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7935" tabRatio="788" activeTab="3"/>
  </bookViews>
  <sheets>
    <sheet name="LOGBOOK" sheetId="15" r:id="rId1"/>
    <sheet name="DataInput" sheetId="19" r:id="rId2"/>
    <sheet name="SIM" sheetId="14" r:id="rId3"/>
    <sheet name="Model" sheetId="20" r:id="rId4"/>
    <sheet name="finsim" sheetId="38" r:id="rId5"/>
    <sheet name="decompositie" sheetId="28" r:id="rId6"/>
    <sheet name="MANUAL" sheetId="13" r:id="rId7"/>
    <sheet name="mamiabc" sheetId="25" r:id="rId8"/>
    <sheet name="rijstblok" sheetId="23" r:id="rId9"/>
  </sheets>
  <definedNames>
    <definedName name="_31._OGOWN">MANUAL!$A$1351</definedName>
    <definedName name="_xlnm.Print_Area" localSheetId="0">LOGBOOK!$A$846:$H$879</definedName>
    <definedName name="_xlnm.Print_Area" localSheetId="3">Model!$BF$386:$DH$426</definedName>
    <definedName name="_xlnm.Print_Titles" localSheetId="3">Model!$B:$B</definedName>
  </definedNames>
  <calcPr calcId="125725" iterate="1"/>
</workbook>
</file>

<file path=xl/calcChain.xml><?xml version="1.0" encoding="utf-8"?>
<calcChain xmlns="http://schemas.openxmlformats.org/spreadsheetml/2006/main">
  <c r="BY16" i="20"/>
  <c r="BZ16"/>
  <c r="CA16"/>
  <c r="CB16"/>
  <c r="CX16" s="1"/>
  <c r="CC16"/>
  <c r="CD16"/>
  <c r="BY17"/>
  <c r="BZ17"/>
  <c r="CA17"/>
  <c r="CB17"/>
  <c r="CC17"/>
  <c r="CD17"/>
  <c r="BY18"/>
  <c r="BZ18"/>
  <c r="CA18"/>
  <c r="CB18"/>
  <c r="CC18"/>
  <c r="CD18"/>
  <c r="BY19"/>
  <c r="BZ19"/>
  <c r="CA19"/>
  <c r="CB19"/>
  <c r="CC19"/>
  <c r="CD19"/>
  <c r="BY20"/>
  <c r="BZ20"/>
  <c r="CA20"/>
  <c r="CB20"/>
  <c r="CC20"/>
  <c r="CD20"/>
  <c r="BY21"/>
  <c r="BZ21"/>
  <c r="CA21"/>
  <c r="CB21"/>
  <c r="CC21"/>
  <c r="CD21"/>
  <c r="BY22"/>
  <c r="BZ22"/>
  <c r="BZ89" s="1"/>
  <c r="CA22"/>
  <c r="CA111" s="1"/>
  <c r="CB22"/>
  <c r="CC22"/>
  <c r="CD22"/>
  <c r="CD89" s="1"/>
  <c r="BY35"/>
  <c r="BZ35"/>
  <c r="CA35"/>
  <c r="CB35"/>
  <c r="CC35"/>
  <c r="CD35"/>
  <c r="BY43"/>
  <c r="BZ43"/>
  <c r="CA43"/>
  <c r="CB43"/>
  <c r="CC43"/>
  <c r="CD43"/>
  <c r="BY89"/>
  <c r="CA89"/>
  <c r="CC89"/>
  <c r="BY111"/>
  <c r="BZ111"/>
  <c r="CC111"/>
  <c r="CD111"/>
  <c r="BZ133"/>
  <c r="CA133"/>
  <c r="CB133"/>
  <c r="CX133" s="1"/>
  <c r="CD133"/>
  <c r="BY214"/>
  <c r="BZ214"/>
  <c r="CA214"/>
  <c r="CB214"/>
  <c r="CC214"/>
  <c r="CD214"/>
  <c r="BY239"/>
  <c r="BZ239"/>
  <c r="CA239"/>
  <c r="CB239"/>
  <c r="CC239"/>
  <c r="CD239"/>
  <c r="BY265"/>
  <c r="BZ265"/>
  <c r="CA265"/>
  <c r="CB265"/>
  <c r="CC265"/>
  <c r="CD265"/>
  <c r="BY308"/>
  <c r="BZ308"/>
  <c r="CA308"/>
  <c r="CB308"/>
  <c r="CC308"/>
  <c r="CD308"/>
  <c r="BY372"/>
  <c r="BZ372"/>
  <c r="CA372"/>
  <c r="CB372"/>
  <c r="CC372"/>
  <c r="CD372"/>
  <c r="BY373"/>
  <c r="BZ373"/>
  <c r="CA373"/>
  <c r="CB373"/>
  <c r="CX373" s="1"/>
  <c r="CC373"/>
  <c r="CD373"/>
  <c r="BY379"/>
  <c r="BZ379"/>
  <c r="CA379"/>
  <c r="CB379"/>
  <c r="CC379"/>
  <c r="CD379"/>
  <c r="BY397"/>
  <c r="BZ397"/>
  <c r="CA397"/>
  <c r="CB397"/>
  <c r="CC397"/>
  <c r="CD397"/>
  <c r="BY504"/>
  <c r="BZ504"/>
  <c r="CA504"/>
  <c r="CB504"/>
  <c r="CC504"/>
  <c r="CD504"/>
  <c r="B635"/>
  <c r="CY18"/>
  <c r="CW89"/>
  <c r="CY111"/>
  <c r="CX372"/>
  <c r="CZ372"/>
  <c r="B633"/>
  <c r="B636"/>
  <c r="B634"/>
  <c r="B638"/>
  <c r="BO683" i="19"/>
  <c r="BN683"/>
  <c r="BP20" i="20"/>
  <c r="BN347"/>
  <c r="BO347"/>
  <c r="BN350"/>
  <c r="BO350"/>
  <c r="BL696" i="19"/>
  <c r="BM696"/>
  <c r="BK695"/>
  <c r="BL695"/>
  <c r="BM695"/>
  <c r="BN695"/>
  <c r="BO695"/>
  <c r="BN687"/>
  <c r="BO687"/>
  <c r="BM687"/>
  <c r="BP824"/>
  <c r="BO1089"/>
  <c r="BO1093"/>
  <c r="AB7" i="14"/>
  <c r="AA7"/>
  <c r="Y7"/>
  <c r="Z7"/>
  <c r="X7"/>
  <c r="BR1076" i="19"/>
  <c r="BS1076" s="1"/>
  <c r="BP17" i="20"/>
  <c r="BR1071" i="19"/>
  <c r="BS1071" s="1"/>
  <c r="CL22" i="20"/>
  <c r="CM22"/>
  <c r="CJ54"/>
  <c r="CK54"/>
  <c r="CL54"/>
  <c r="CM54"/>
  <c r="CN54"/>
  <c r="CO54"/>
  <c r="CP54"/>
  <c r="CQ54"/>
  <c r="CR54"/>
  <c r="CS54"/>
  <c r="CT54"/>
  <c r="CU54"/>
  <c r="CV54"/>
  <c r="CW54"/>
  <c r="CX54"/>
  <c r="CY54"/>
  <c r="CZ54"/>
  <c r="CJ55"/>
  <c r="CK55"/>
  <c r="CL55"/>
  <c r="CM55"/>
  <c r="CN55"/>
  <c r="CO55"/>
  <c r="CP55"/>
  <c r="CQ55"/>
  <c r="CR55"/>
  <c r="CS55"/>
  <c r="CT55"/>
  <c r="CU55"/>
  <c r="CV55"/>
  <c r="CW55"/>
  <c r="CX55"/>
  <c r="CY55"/>
  <c r="CZ55"/>
  <c r="CJ57"/>
  <c r="CK57"/>
  <c r="CL57"/>
  <c r="CM57"/>
  <c r="CN57"/>
  <c r="CO57"/>
  <c r="CP57"/>
  <c r="CQ57"/>
  <c r="CR57"/>
  <c r="CS57"/>
  <c r="CT57"/>
  <c r="CU57"/>
  <c r="CV57"/>
  <c r="CW57"/>
  <c r="CX57"/>
  <c r="CY57"/>
  <c r="CZ57"/>
  <c r="CJ65"/>
  <c r="CK65"/>
  <c r="CL65"/>
  <c r="CM65"/>
  <c r="CN65"/>
  <c r="CO65"/>
  <c r="CP65"/>
  <c r="CQ65"/>
  <c r="CR65"/>
  <c r="CS65"/>
  <c r="CT65"/>
  <c r="CU65"/>
  <c r="CV65"/>
  <c r="CW65"/>
  <c r="CX65"/>
  <c r="CY65"/>
  <c r="CZ65"/>
  <c r="CJ76"/>
  <c r="CK76"/>
  <c r="CL76"/>
  <c r="CM76"/>
  <c r="CN76"/>
  <c r="CO76"/>
  <c r="CP76"/>
  <c r="CQ76"/>
  <c r="CR76"/>
  <c r="CS76"/>
  <c r="CT76"/>
  <c r="CU76"/>
  <c r="CV76"/>
  <c r="CW76"/>
  <c r="CX76"/>
  <c r="CY76"/>
  <c r="CZ76"/>
  <c r="CJ89"/>
  <c r="CJ100"/>
  <c r="CK100"/>
  <c r="CL100"/>
  <c r="CM100"/>
  <c r="CN100"/>
  <c r="CO100"/>
  <c r="CP100"/>
  <c r="CQ100"/>
  <c r="CR100"/>
  <c r="CS100"/>
  <c r="CT100"/>
  <c r="CU100"/>
  <c r="CV100"/>
  <c r="CW100"/>
  <c r="CX100"/>
  <c r="CY100"/>
  <c r="CZ100"/>
  <c r="CJ122"/>
  <c r="CK122"/>
  <c r="CL122"/>
  <c r="CM122"/>
  <c r="CN122"/>
  <c r="CO122"/>
  <c r="CP122"/>
  <c r="CQ122"/>
  <c r="CR122"/>
  <c r="CS122"/>
  <c r="CT122"/>
  <c r="CU122"/>
  <c r="CV122"/>
  <c r="CW122"/>
  <c r="CX122"/>
  <c r="CY122"/>
  <c r="CZ122"/>
  <c r="CJ144"/>
  <c r="CK144"/>
  <c r="CL144"/>
  <c r="CM144"/>
  <c r="CN144"/>
  <c r="CO144"/>
  <c r="CP144"/>
  <c r="CQ144"/>
  <c r="CR144"/>
  <c r="CS144"/>
  <c r="CT144"/>
  <c r="CU144"/>
  <c r="CV144"/>
  <c r="CW144"/>
  <c r="CX144"/>
  <c r="CY144"/>
  <c r="CZ144"/>
  <c r="CJ160"/>
  <c r="CK160"/>
  <c r="CL160"/>
  <c r="CM160"/>
  <c r="CN160"/>
  <c r="CO160"/>
  <c r="CP160"/>
  <c r="CQ160"/>
  <c r="CR160"/>
  <c r="CS160"/>
  <c r="CT160"/>
  <c r="CU160"/>
  <c r="CV160"/>
  <c r="CW160"/>
  <c r="CX160"/>
  <c r="CY160"/>
  <c r="CZ160"/>
  <c r="CJ167"/>
  <c r="CK167"/>
  <c r="CL167"/>
  <c r="CM167"/>
  <c r="CN167"/>
  <c r="CO167"/>
  <c r="CP167"/>
  <c r="CQ167"/>
  <c r="CR167"/>
  <c r="CS167"/>
  <c r="CT167"/>
  <c r="CU167"/>
  <c r="CV167"/>
  <c r="CW167"/>
  <c r="CX167"/>
  <c r="CY167"/>
  <c r="CZ167"/>
  <c r="CJ175"/>
  <c r="CK175"/>
  <c r="CL175"/>
  <c r="CM175"/>
  <c r="CN175"/>
  <c r="CO175"/>
  <c r="CP175"/>
  <c r="CQ175"/>
  <c r="CR175"/>
  <c r="CS175"/>
  <c r="CT175"/>
  <c r="CU175"/>
  <c r="CV175"/>
  <c r="CW175"/>
  <c r="CX175"/>
  <c r="CY175"/>
  <c r="CZ175"/>
  <c r="CJ179"/>
  <c r="CK179"/>
  <c r="CL179"/>
  <c r="CM179"/>
  <c r="CN179"/>
  <c r="CO179"/>
  <c r="CP179"/>
  <c r="CQ179"/>
  <c r="CR179"/>
  <c r="CS179"/>
  <c r="CT179"/>
  <c r="CU179"/>
  <c r="CV179"/>
  <c r="CW179"/>
  <c r="CX179"/>
  <c r="CY179"/>
  <c r="CZ179"/>
  <c r="CJ180"/>
  <c r="CK180"/>
  <c r="CL180"/>
  <c r="CM180"/>
  <c r="CN180"/>
  <c r="CO180"/>
  <c r="CP180"/>
  <c r="CQ180"/>
  <c r="CR180"/>
  <c r="CS180"/>
  <c r="CT180"/>
  <c r="CU180"/>
  <c r="CV180"/>
  <c r="CW180"/>
  <c r="CX180"/>
  <c r="CY180"/>
  <c r="CZ180"/>
  <c r="CJ185"/>
  <c r="CK185"/>
  <c r="CL185"/>
  <c r="CM185"/>
  <c r="CN185"/>
  <c r="CO185"/>
  <c r="CP185"/>
  <c r="CQ185"/>
  <c r="CR185"/>
  <c r="CS185"/>
  <c r="CT185"/>
  <c r="CU185"/>
  <c r="CV185"/>
  <c r="CW185"/>
  <c r="CX185"/>
  <c r="CY185"/>
  <c r="CZ185"/>
  <c r="CJ192"/>
  <c r="CK192"/>
  <c r="CL192"/>
  <c r="CM192"/>
  <c r="CN192"/>
  <c r="CO192"/>
  <c r="CP192"/>
  <c r="CQ192"/>
  <c r="CR192"/>
  <c r="CS192"/>
  <c r="CT192"/>
  <c r="CU192"/>
  <c r="CV192"/>
  <c r="CW192"/>
  <c r="CX192"/>
  <c r="CY192"/>
  <c r="CZ192"/>
  <c r="CJ197"/>
  <c r="CK197"/>
  <c r="CL197"/>
  <c r="CM197"/>
  <c r="CN197"/>
  <c r="CO197"/>
  <c r="CP197"/>
  <c r="CQ197"/>
  <c r="CR197"/>
  <c r="CS197"/>
  <c r="CT197"/>
  <c r="CU197"/>
  <c r="CV197"/>
  <c r="CW197"/>
  <c r="CX197"/>
  <c r="CY197"/>
  <c r="CZ197"/>
  <c r="CJ203"/>
  <c r="CK203"/>
  <c r="CL203"/>
  <c r="CM203"/>
  <c r="CN203"/>
  <c r="CO203"/>
  <c r="CP203"/>
  <c r="CQ203"/>
  <c r="CR203"/>
  <c r="CS203"/>
  <c r="CT203"/>
  <c r="CU203"/>
  <c r="CV203"/>
  <c r="CW203"/>
  <c r="CX203"/>
  <c r="CY203"/>
  <c r="CZ203"/>
  <c r="CJ209"/>
  <c r="CK209"/>
  <c r="CL209"/>
  <c r="CM209"/>
  <c r="CN209"/>
  <c r="CO209"/>
  <c r="CP209"/>
  <c r="CQ209"/>
  <c r="CR209"/>
  <c r="CS209"/>
  <c r="CT209"/>
  <c r="CU209"/>
  <c r="CV209"/>
  <c r="CW209"/>
  <c r="CX209"/>
  <c r="CY209"/>
  <c r="CZ209"/>
  <c r="CJ210"/>
  <c r="CK210"/>
  <c r="CL210"/>
  <c r="CM210"/>
  <c r="CN210"/>
  <c r="CO210"/>
  <c r="CP210"/>
  <c r="CQ210"/>
  <c r="CR210"/>
  <c r="CS210"/>
  <c r="CT210"/>
  <c r="CU210"/>
  <c r="CV210"/>
  <c r="CW210"/>
  <c r="CX210"/>
  <c r="CY210"/>
  <c r="CZ210"/>
  <c r="CJ213"/>
  <c r="CK213"/>
  <c r="CL213"/>
  <c r="CM213"/>
  <c r="CN213"/>
  <c r="CO213"/>
  <c r="CP213"/>
  <c r="CQ213"/>
  <c r="CR213"/>
  <c r="CS213"/>
  <c r="CT213"/>
  <c r="CU213"/>
  <c r="CV213"/>
  <c r="CW213"/>
  <c r="CX213"/>
  <c r="CY213"/>
  <c r="CZ213"/>
  <c r="CJ248"/>
  <c r="CK248"/>
  <c r="CL248"/>
  <c r="CM248"/>
  <c r="CN248"/>
  <c r="CO248"/>
  <c r="CP248"/>
  <c r="CQ248"/>
  <c r="CR248"/>
  <c r="CS248"/>
  <c r="CT248"/>
  <c r="CU248"/>
  <c r="CV248"/>
  <c r="CW248"/>
  <c r="CX248"/>
  <c r="CY248"/>
  <c r="CZ248"/>
  <c r="CJ251"/>
  <c r="CK251"/>
  <c r="CL251"/>
  <c r="CM251"/>
  <c r="CN251"/>
  <c r="CO251"/>
  <c r="CP251"/>
  <c r="CQ251"/>
  <c r="CR251"/>
  <c r="CS251"/>
  <c r="CT251"/>
  <c r="CU251"/>
  <c r="CV251"/>
  <c r="CW251"/>
  <c r="CX251"/>
  <c r="CY251"/>
  <c r="CZ251"/>
  <c r="CJ253"/>
  <c r="CK253"/>
  <c r="CL253"/>
  <c r="CM253"/>
  <c r="CN253"/>
  <c r="CO253"/>
  <c r="CP253"/>
  <c r="CQ253"/>
  <c r="CR253"/>
  <c r="CS253"/>
  <c r="CT253"/>
  <c r="CU253"/>
  <c r="CV253"/>
  <c r="CW253"/>
  <c r="CX253"/>
  <c r="CY253"/>
  <c r="CZ253"/>
  <c r="CJ254"/>
  <c r="CK254"/>
  <c r="CL254"/>
  <c r="CM254"/>
  <c r="CN254"/>
  <c r="CO254"/>
  <c r="CP254"/>
  <c r="CQ254"/>
  <c r="CR254"/>
  <c r="CS254"/>
  <c r="CT254"/>
  <c r="CU254"/>
  <c r="CV254"/>
  <c r="CW254"/>
  <c r="CX254"/>
  <c r="CY254"/>
  <c r="CZ254"/>
  <c r="CJ263"/>
  <c r="CK263"/>
  <c r="CL263"/>
  <c r="CM263"/>
  <c r="CN263"/>
  <c r="CO263"/>
  <c r="CP263"/>
  <c r="CQ263"/>
  <c r="CR263"/>
  <c r="CS263"/>
  <c r="CT263"/>
  <c r="CU263"/>
  <c r="CV263"/>
  <c r="CW263"/>
  <c r="CX263"/>
  <c r="CY263"/>
  <c r="CZ263"/>
  <c r="CJ268"/>
  <c r="CK268"/>
  <c r="CL268"/>
  <c r="CM268"/>
  <c r="CN268"/>
  <c r="CO268"/>
  <c r="CP268"/>
  <c r="CQ268"/>
  <c r="CR268"/>
  <c r="CS268"/>
  <c r="CT268"/>
  <c r="CU268"/>
  <c r="CV268"/>
  <c r="CW268"/>
  <c r="CX268"/>
  <c r="CY268"/>
  <c r="CZ268"/>
  <c r="CJ272"/>
  <c r="CK272"/>
  <c r="CL272"/>
  <c r="CM272"/>
  <c r="CN272"/>
  <c r="CO272"/>
  <c r="CP272"/>
  <c r="CQ272"/>
  <c r="CR272"/>
  <c r="CS272"/>
  <c r="CT272"/>
  <c r="CU272"/>
  <c r="CV272"/>
  <c r="CW272"/>
  <c r="CX272"/>
  <c r="CY272"/>
  <c r="CZ272"/>
  <c r="CJ275"/>
  <c r="CK275"/>
  <c r="CL275"/>
  <c r="CM275"/>
  <c r="CN275"/>
  <c r="CO275"/>
  <c r="CP275"/>
  <c r="CQ275"/>
  <c r="CR275"/>
  <c r="CS275"/>
  <c r="CT275"/>
  <c r="CU275"/>
  <c r="CV275"/>
  <c r="CW275"/>
  <c r="CX275"/>
  <c r="CY275"/>
  <c r="CZ275"/>
  <c r="CJ283"/>
  <c r="CK283"/>
  <c r="CL283"/>
  <c r="CM283"/>
  <c r="CN283"/>
  <c r="CO283"/>
  <c r="CP283"/>
  <c r="CQ283"/>
  <c r="CR283"/>
  <c r="CS283"/>
  <c r="CT283"/>
  <c r="CU283"/>
  <c r="CV283"/>
  <c r="CW283"/>
  <c r="CX283"/>
  <c r="CY283"/>
  <c r="CZ283"/>
  <c r="CJ288"/>
  <c r="CK288"/>
  <c r="CL288"/>
  <c r="CM288"/>
  <c r="CN288"/>
  <c r="CO288"/>
  <c r="CP288"/>
  <c r="CQ288"/>
  <c r="CR288"/>
  <c r="CS288"/>
  <c r="CT288"/>
  <c r="CU288"/>
  <c r="CV288"/>
  <c r="CW288"/>
  <c r="CX288"/>
  <c r="CY288"/>
  <c r="CZ288"/>
  <c r="CJ289"/>
  <c r="CK289"/>
  <c r="CL289"/>
  <c r="CM289"/>
  <c r="CN289"/>
  <c r="CO289"/>
  <c r="CP289"/>
  <c r="CQ289"/>
  <c r="CR289"/>
  <c r="CS289"/>
  <c r="CT289"/>
  <c r="CU289"/>
  <c r="CV289"/>
  <c r="CW289"/>
  <c r="CX289"/>
  <c r="CY289"/>
  <c r="CZ289"/>
  <c r="CJ290"/>
  <c r="CK290"/>
  <c r="CL290"/>
  <c r="CM290"/>
  <c r="CN290"/>
  <c r="CO290"/>
  <c r="CP290"/>
  <c r="CQ290"/>
  <c r="CR290"/>
  <c r="CS290"/>
  <c r="CT290"/>
  <c r="CU290"/>
  <c r="CV290"/>
  <c r="CW290"/>
  <c r="CX290"/>
  <c r="CY290"/>
  <c r="CZ290"/>
  <c r="CJ291"/>
  <c r="CK291"/>
  <c r="CL291"/>
  <c r="CM291"/>
  <c r="CN291"/>
  <c r="CO291"/>
  <c r="CP291"/>
  <c r="CQ291"/>
  <c r="CR291"/>
  <c r="CS291"/>
  <c r="CT291"/>
  <c r="CU291"/>
  <c r="CV291"/>
  <c r="CW291"/>
  <c r="CX291"/>
  <c r="CY291"/>
  <c r="CZ291"/>
  <c r="CJ297"/>
  <c r="CK297"/>
  <c r="CL297"/>
  <c r="CM297"/>
  <c r="CN297"/>
  <c r="CO297"/>
  <c r="CP297"/>
  <c r="CQ297"/>
  <c r="CR297"/>
  <c r="CS297"/>
  <c r="CT297"/>
  <c r="CU297"/>
  <c r="CV297"/>
  <c r="CW297"/>
  <c r="CX297"/>
  <c r="CY297"/>
  <c r="CZ297"/>
  <c r="CJ301"/>
  <c r="CK301"/>
  <c r="CL301"/>
  <c r="CM301"/>
  <c r="CN301"/>
  <c r="CO301"/>
  <c r="CP301"/>
  <c r="CQ301"/>
  <c r="CR301"/>
  <c r="CS301"/>
  <c r="CT301"/>
  <c r="CU301"/>
  <c r="CV301"/>
  <c r="CW301"/>
  <c r="CX301"/>
  <c r="CY301"/>
  <c r="CZ301"/>
  <c r="CJ312"/>
  <c r="CK312"/>
  <c r="CL312"/>
  <c r="CM312"/>
  <c r="CN312"/>
  <c r="CO312"/>
  <c r="CP312"/>
  <c r="CQ312"/>
  <c r="CR312"/>
  <c r="CS312"/>
  <c r="CT312"/>
  <c r="CU312"/>
  <c r="CV312"/>
  <c r="CW312"/>
  <c r="CX312"/>
  <c r="CY312"/>
  <c r="CZ312"/>
  <c r="CJ318"/>
  <c r="CK318"/>
  <c r="CL318"/>
  <c r="CM318"/>
  <c r="CN318"/>
  <c r="CO318"/>
  <c r="CP318"/>
  <c r="CQ318"/>
  <c r="CR318"/>
  <c r="CS318"/>
  <c r="CT318"/>
  <c r="CU318"/>
  <c r="CV318"/>
  <c r="CW318"/>
  <c r="CX318"/>
  <c r="CY318"/>
  <c r="CZ318"/>
  <c r="CJ330"/>
  <c r="CK330"/>
  <c r="CL330"/>
  <c r="CM330"/>
  <c r="CN330"/>
  <c r="CO330"/>
  <c r="CP330"/>
  <c r="CQ330"/>
  <c r="CR330"/>
  <c r="CS330"/>
  <c r="CT330"/>
  <c r="CU330"/>
  <c r="CV330"/>
  <c r="CW330"/>
  <c r="CX330"/>
  <c r="CY330"/>
  <c r="CZ330"/>
  <c r="CJ343"/>
  <c r="CK343"/>
  <c r="CL343"/>
  <c r="CM343"/>
  <c r="CN343"/>
  <c r="CO343"/>
  <c r="CP343"/>
  <c r="CQ343"/>
  <c r="CR343"/>
  <c r="CS343"/>
  <c r="CT343"/>
  <c r="CU343"/>
  <c r="CV343"/>
  <c r="CW343"/>
  <c r="CX343"/>
  <c r="CY343"/>
  <c r="CZ343"/>
  <c r="CJ344"/>
  <c r="CK344"/>
  <c r="CL344"/>
  <c r="CM344"/>
  <c r="CN344"/>
  <c r="CO344"/>
  <c r="CP344"/>
  <c r="CQ344"/>
  <c r="CR344"/>
  <c r="CS344"/>
  <c r="CT344"/>
  <c r="CU344"/>
  <c r="CV344"/>
  <c r="CW344"/>
  <c r="CX344"/>
  <c r="CY344"/>
  <c r="CZ344"/>
  <c r="CJ345"/>
  <c r="CK345"/>
  <c r="CL345"/>
  <c r="CM345"/>
  <c r="CN345"/>
  <c r="CO345"/>
  <c r="CP345"/>
  <c r="CQ345"/>
  <c r="CR345"/>
  <c r="CS345"/>
  <c r="CT345"/>
  <c r="CU345"/>
  <c r="CV345"/>
  <c r="CW345"/>
  <c r="CX345"/>
  <c r="CY345"/>
  <c r="CZ345"/>
  <c r="CJ346"/>
  <c r="CK346"/>
  <c r="CL346"/>
  <c r="CM346"/>
  <c r="CN346"/>
  <c r="CO346"/>
  <c r="CP346"/>
  <c r="CQ346"/>
  <c r="CR346"/>
  <c r="CS346"/>
  <c r="CT346"/>
  <c r="CU346"/>
  <c r="CV346"/>
  <c r="CW346"/>
  <c r="CX346"/>
  <c r="CY346"/>
  <c r="CZ346"/>
  <c r="CJ360"/>
  <c r="CK360"/>
  <c r="CL360"/>
  <c r="CM360"/>
  <c r="CN360"/>
  <c r="CO360"/>
  <c r="CP360"/>
  <c r="CQ360"/>
  <c r="CR360"/>
  <c r="CS360"/>
  <c r="CT360"/>
  <c r="CU360"/>
  <c r="CV360"/>
  <c r="CW360"/>
  <c r="CX360"/>
  <c r="CY360"/>
  <c r="CZ360"/>
  <c r="CJ393"/>
  <c r="CK393"/>
  <c r="CL393"/>
  <c r="CM393"/>
  <c r="CN393"/>
  <c r="CO393"/>
  <c r="CP393"/>
  <c r="CQ393"/>
  <c r="CR393"/>
  <c r="CS393"/>
  <c r="CT393"/>
  <c r="CU393"/>
  <c r="CV393"/>
  <c r="CW393"/>
  <c r="CX393"/>
  <c r="CY393"/>
  <c r="CZ393"/>
  <c r="CJ394"/>
  <c r="CK394"/>
  <c r="CL394"/>
  <c r="CM394"/>
  <c r="CN394"/>
  <c r="CO394"/>
  <c r="CP394"/>
  <c r="CQ394"/>
  <c r="CR394"/>
  <c r="CS394"/>
  <c r="CT394"/>
  <c r="CU394"/>
  <c r="CV394"/>
  <c r="CW394"/>
  <c r="CX394"/>
  <c r="CY394"/>
  <c r="CZ394"/>
  <c r="CJ406"/>
  <c r="CK406"/>
  <c r="CL406"/>
  <c r="CM406"/>
  <c r="CN406"/>
  <c r="CO406"/>
  <c r="CP406"/>
  <c r="CQ406"/>
  <c r="CR406"/>
  <c r="CS406"/>
  <c r="CT406"/>
  <c r="CU406"/>
  <c r="CV406"/>
  <c r="CW406"/>
  <c r="CX406"/>
  <c r="CY406"/>
  <c r="CZ406"/>
  <c r="CJ416"/>
  <c r="CK416"/>
  <c r="CL416"/>
  <c r="CM416"/>
  <c r="CN416"/>
  <c r="CO416"/>
  <c r="CP416"/>
  <c r="CQ416"/>
  <c r="CR416"/>
  <c r="CS416"/>
  <c r="CT416"/>
  <c r="CU416"/>
  <c r="CV416"/>
  <c r="CW416"/>
  <c r="CX416"/>
  <c r="CY416"/>
  <c r="CZ416"/>
  <c r="CJ444"/>
  <c r="CK444"/>
  <c r="CL444"/>
  <c r="CM444"/>
  <c r="CN444"/>
  <c r="CO444"/>
  <c r="CP444"/>
  <c r="CQ444"/>
  <c r="CR444"/>
  <c r="CS444"/>
  <c r="CT444"/>
  <c r="CU444"/>
  <c r="CV444"/>
  <c r="CW444"/>
  <c r="CX444"/>
  <c r="CY444"/>
  <c r="CZ444"/>
  <c r="CJ445"/>
  <c r="CK445"/>
  <c r="CL445"/>
  <c r="CM445"/>
  <c r="CN445"/>
  <c r="CO445"/>
  <c r="CP445"/>
  <c r="CQ445"/>
  <c r="CR445"/>
  <c r="CS445"/>
  <c r="CT445"/>
  <c r="CU445"/>
  <c r="CV445"/>
  <c r="CW445"/>
  <c r="CX445"/>
  <c r="CY445"/>
  <c r="CZ445"/>
  <c r="CJ455"/>
  <c r="CK455"/>
  <c r="CL455"/>
  <c r="CM455"/>
  <c r="CN455"/>
  <c r="CO455"/>
  <c r="CP455"/>
  <c r="CQ455"/>
  <c r="CR455"/>
  <c r="CS455"/>
  <c r="CT455"/>
  <c r="CU455"/>
  <c r="CV455"/>
  <c r="CW455"/>
  <c r="CX455"/>
  <c r="CY455"/>
  <c r="CZ455"/>
  <c r="CJ456"/>
  <c r="CK456"/>
  <c r="CL456"/>
  <c r="CM456"/>
  <c r="CN456"/>
  <c r="CO456"/>
  <c r="CP456"/>
  <c r="CQ456"/>
  <c r="CR456"/>
  <c r="CS456"/>
  <c r="CT456"/>
  <c r="CU456"/>
  <c r="CV456"/>
  <c r="CW456"/>
  <c r="CX456"/>
  <c r="CY456"/>
  <c r="CZ456"/>
  <c r="CJ480"/>
  <c r="CK480"/>
  <c r="CL480"/>
  <c r="CM480"/>
  <c r="CN480"/>
  <c r="CO480"/>
  <c r="CP480"/>
  <c r="CQ480"/>
  <c r="CR480"/>
  <c r="CS480"/>
  <c r="CT480"/>
  <c r="CU480"/>
  <c r="CV480"/>
  <c r="CW480"/>
  <c r="CX480"/>
  <c r="CY480"/>
  <c r="CZ480"/>
  <c r="CJ481"/>
  <c r="CK481"/>
  <c r="CL481"/>
  <c r="CM481"/>
  <c r="CN481"/>
  <c r="CO481"/>
  <c r="CP481"/>
  <c r="CQ481"/>
  <c r="CR481"/>
  <c r="CS481"/>
  <c r="CT481"/>
  <c r="CU481"/>
  <c r="CV481"/>
  <c r="CW481"/>
  <c r="CX481"/>
  <c r="CY481"/>
  <c r="CZ481"/>
  <c r="CJ487"/>
  <c r="CK487"/>
  <c r="CL487"/>
  <c r="CM487"/>
  <c r="CN487"/>
  <c r="CO487"/>
  <c r="CP487"/>
  <c r="CQ487"/>
  <c r="CR487"/>
  <c r="CS487"/>
  <c r="CT487"/>
  <c r="CU487"/>
  <c r="CV487"/>
  <c r="CW487"/>
  <c r="CX487"/>
  <c r="CY487"/>
  <c r="CZ487"/>
  <c r="CJ488"/>
  <c r="CK488"/>
  <c r="CL488"/>
  <c r="CM488"/>
  <c r="CN488"/>
  <c r="CO488"/>
  <c r="CP488"/>
  <c r="CQ488"/>
  <c r="CR488"/>
  <c r="CS488"/>
  <c r="CT488"/>
  <c r="CU488"/>
  <c r="CV488"/>
  <c r="CW488"/>
  <c r="CX488"/>
  <c r="CY488"/>
  <c r="CZ488"/>
  <c r="CJ490"/>
  <c r="CK490"/>
  <c r="CL490"/>
  <c r="CM490"/>
  <c r="CN490"/>
  <c r="CO490"/>
  <c r="CP490"/>
  <c r="CQ490"/>
  <c r="CR490"/>
  <c r="CS490"/>
  <c r="CT490"/>
  <c r="CU490"/>
  <c r="CV490"/>
  <c r="CW490"/>
  <c r="CX490"/>
  <c r="CY490"/>
  <c r="CZ490"/>
  <c r="CJ497"/>
  <c r="CK497"/>
  <c r="CL497"/>
  <c r="CM497"/>
  <c r="CN497"/>
  <c r="CO497"/>
  <c r="CP497"/>
  <c r="CQ497"/>
  <c r="CR497"/>
  <c r="CS497"/>
  <c r="CT497"/>
  <c r="CU497"/>
  <c r="CV497"/>
  <c r="CW497"/>
  <c r="CX497"/>
  <c r="CY497"/>
  <c r="CZ497"/>
  <c r="CJ498"/>
  <c r="CK498"/>
  <c r="CL498"/>
  <c r="CM498"/>
  <c r="CN498"/>
  <c r="CO498"/>
  <c r="CP498"/>
  <c r="CQ498"/>
  <c r="CR498"/>
  <c r="CS498"/>
  <c r="CT498"/>
  <c r="CU498"/>
  <c r="CV498"/>
  <c r="CW498"/>
  <c r="CX498"/>
  <c r="CY498"/>
  <c r="CZ498"/>
  <c r="CJ508"/>
  <c r="CK508"/>
  <c r="CL508"/>
  <c r="CM508"/>
  <c r="CN508"/>
  <c r="CO508"/>
  <c r="CP508"/>
  <c r="CQ508"/>
  <c r="CR508"/>
  <c r="CS508"/>
  <c r="CT508"/>
  <c r="CU508"/>
  <c r="CV508"/>
  <c r="CW508"/>
  <c r="CX508"/>
  <c r="CY508"/>
  <c r="CZ508"/>
  <c r="CJ514"/>
  <c r="CK514"/>
  <c r="CL514"/>
  <c r="CM514"/>
  <c r="CN514"/>
  <c r="CO514"/>
  <c r="CP514"/>
  <c r="CQ514"/>
  <c r="CR514"/>
  <c r="CS514"/>
  <c r="CT514"/>
  <c r="CU514"/>
  <c r="CV514"/>
  <c r="CW514"/>
  <c r="CX514"/>
  <c r="CY514"/>
  <c r="CZ514"/>
  <c r="CJ519"/>
  <c r="CK519"/>
  <c r="CL519"/>
  <c r="CM519"/>
  <c r="CN519"/>
  <c r="CO519"/>
  <c r="CP519"/>
  <c r="CQ519"/>
  <c r="CR519"/>
  <c r="CS519"/>
  <c r="CT519"/>
  <c r="CU519"/>
  <c r="CV519"/>
  <c r="CW519"/>
  <c r="CX519"/>
  <c r="CY519"/>
  <c r="CZ519"/>
  <c r="CJ520"/>
  <c r="CK520"/>
  <c r="CL520"/>
  <c r="CM520"/>
  <c r="CN520"/>
  <c r="CO520"/>
  <c r="CP520"/>
  <c r="CQ520"/>
  <c r="CR520"/>
  <c r="CS520"/>
  <c r="CT520"/>
  <c r="CU520"/>
  <c r="CV520"/>
  <c r="CW520"/>
  <c r="CX520"/>
  <c r="CY520"/>
  <c r="CZ520"/>
  <c r="CJ521"/>
  <c r="CK521"/>
  <c r="CL521"/>
  <c r="CM521"/>
  <c r="CN521"/>
  <c r="CO521"/>
  <c r="CP521"/>
  <c r="CQ521"/>
  <c r="CR521"/>
  <c r="CS521"/>
  <c r="CT521"/>
  <c r="CU521"/>
  <c r="CV521"/>
  <c r="CW521"/>
  <c r="CX521"/>
  <c r="CY521"/>
  <c r="CZ521"/>
  <c r="CJ527"/>
  <c r="CK527"/>
  <c r="CL527"/>
  <c r="CM527"/>
  <c r="CN527"/>
  <c r="CO527"/>
  <c r="CP527"/>
  <c r="CQ527"/>
  <c r="CR527"/>
  <c r="CS527"/>
  <c r="CT527"/>
  <c r="CU527"/>
  <c r="CV527"/>
  <c r="CW527"/>
  <c r="CX527"/>
  <c r="CY527"/>
  <c r="CZ527"/>
  <c r="CJ533"/>
  <c r="CK533"/>
  <c r="CL533"/>
  <c r="CM533"/>
  <c r="CN533"/>
  <c r="CO533"/>
  <c r="CP533"/>
  <c r="CQ533"/>
  <c r="CR533"/>
  <c r="CS533"/>
  <c r="CT533"/>
  <c r="CU533"/>
  <c r="CV533"/>
  <c r="CW533"/>
  <c r="CX533"/>
  <c r="CY533"/>
  <c r="CZ533"/>
  <c r="CJ538"/>
  <c r="CK538"/>
  <c r="CL538"/>
  <c r="CM538"/>
  <c r="CN538"/>
  <c r="CO538"/>
  <c r="CP538"/>
  <c r="CQ538"/>
  <c r="CR538"/>
  <c r="CS538"/>
  <c r="CT538"/>
  <c r="CU538"/>
  <c r="CV538"/>
  <c r="CW538"/>
  <c r="CX538"/>
  <c r="CY538"/>
  <c r="CZ538"/>
  <c r="CJ543"/>
  <c r="CK543"/>
  <c r="CL543"/>
  <c r="CM543"/>
  <c r="CN543"/>
  <c r="CO543"/>
  <c r="CP543"/>
  <c r="CQ543"/>
  <c r="CR543"/>
  <c r="CS543"/>
  <c r="CT543"/>
  <c r="CU543"/>
  <c r="CV543"/>
  <c r="CW543"/>
  <c r="CX543"/>
  <c r="CY543"/>
  <c r="CZ543"/>
  <c r="CJ556"/>
  <c r="CK556"/>
  <c r="CL556"/>
  <c r="CM556"/>
  <c r="CN556"/>
  <c r="CO556"/>
  <c r="CP556"/>
  <c r="CQ556"/>
  <c r="CR556"/>
  <c r="CS556"/>
  <c r="CT556"/>
  <c r="CU556"/>
  <c r="CV556"/>
  <c r="CW556"/>
  <c r="CX556"/>
  <c r="CY556"/>
  <c r="CZ556"/>
  <c r="CJ588"/>
  <c r="CK588"/>
  <c r="CL588"/>
  <c r="CM588"/>
  <c r="CN588"/>
  <c r="CO588"/>
  <c r="CP588"/>
  <c r="CQ588"/>
  <c r="CR588"/>
  <c r="CS588"/>
  <c r="CT588"/>
  <c r="CU588"/>
  <c r="CV588"/>
  <c r="CW588"/>
  <c r="CX588"/>
  <c r="CY588"/>
  <c r="CZ588"/>
  <c r="CJ590"/>
  <c r="CK590"/>
  <c r="CL590"/>
  <c r="CM590"/>
  <c r="CN590"/>
  <c r="CO590"/>
  <c r="CP590"/>
  <c r="CQ590"/>
  <c r="CR590"/>
  <c r="CS590"/>
  <c r="CT590"/>
  <c r="CU590"/>
  <c r="CV590"/>
  <c r="CW590"/>
  <c r="CX590"/>
  <c r="CY590"/>
  <c r="CZ590"/>
  <c r="CJ592"/>
  <c r="CK592"/>
  <c r="CL592"/>
  <c r="CM592"/>
  <c r="CN592"/>
  <c r="CO592"/>
  <c r="CP592"/>
  <c r="CQ592"/>
  <c r="CR592"/>
  <c r="CS592"/>
  <c r="CT592"/>
  <c r="CU592"/>
  <c r="CV592"/>
  <c r="CW592"/>
  <c r="CX592"/>
  <c r="CY592"/>
  <c r="CZ592"/>
  <c r="CJ614"/>
  <c r="CK614"/>
  <c r="CL614"/>
  <c r="CM614"/>
  <c r="CN614"/>
  <c r="CO614"/>
  <c r="CP614"/>
  <c r="CQ614"/>
  <c r="CR614"/>
  <c r="CS614"/>
  <c r="CT614"/>
  <c r="CU614"/>
  <c r="CV614"/>
  <c r="CW614"/>
  <c r="CX614"/>
  <c r="CY614"/>
  <c r="CZ614"/>
  <c r="BO645" i="19"/>
  <c r="BO649"/>
  <c r="BO762"/>
  <c r="BO679" s="1"/>
  <c r="BO755"/>
  <c r="BO754" s="1"/>
  <c r="BO748"/>
  <c r="BO747"/>
  <c r="BO746"/>
  <c r="BO677"/>
  <c r="BO745"/>
  <c r="BO744"/>
  <c r="BO743"/>
  <c r="BO672"/>
  <c r="BO742"/>
  <c r="BO741"/>
  <c r="BO740" s="1"/>
  <c r="BO739"/>
  <c r="BO738" s="1"/>
  <c r="BO737"/>
  <c r="BO736"/>
  <c r="BN735"/>
  <c r="BO734"/>
  <c r="BO733"/>
  <c r="BO727"/>
  <c r="BO726"/>
  <c r="BO723"/>
  <c r="BO666" s="1"/>
  <c r="BO722"/>
  <c r="BO720"/>
  <c r="BO656" s="1"/>
  <c r="BO719"/>
  <c r="BO653" s="1"/>
  <c r="BO717"/>
  <c r="BO638" s="1"/>
  <c r="BO716"/>
  <c r="BO715" s="1"/>
  <c r="BO714"/>
  <c r="BO713"/>
  <c r="BO710"/>
  <c r="BO718"/>
  <c r="BN732"/>
  <c r="BO709"/>
  <c r="BO632" s="1"/>
  <c r="BN690"/>
  <c r="BO690"/>
  <c r="BO694" s="1"/>
  <c r="BP6"/>
  <c r="BP371" i="20" s="1"/>
  <c r="CL371" s="1"/>
  <c r="BO371"/>
  <c r="CK371" s="1"/>
  <c r="CL17"/>
  <c r="BN16"/>
  <c r="CJ16" s="1"/>
  <c r="BO16"/>
  <c r="CK16" s="1"/>
  <c r="BP16"/>
  <c r="CL16" s="1"/>
  <c r="BQ16"/>
  <c r="BR16"/>
  <c r="CN16" s="1"/>
  <c r="BS16"/>
  <c r="CO16" s="1"/>
  <c r="BT16"/>
  <c r="CP16" s="1"/>
  <c r="BU16"/>
  <c r="CQ16" s="1"/>
  <c r="BV16"/>
  <c r="CR16" s="1"/>
  <c r="BW16"/>
  <c r="CS16" s="1"/>
  <c r="BX16"/>
  <c r="CT16" s="1"/>
  <c r="CU16"/>
  <c r="CV16"/>
  <c r="CW16"/>
  <c r="CY16"/>
  <c r="CZ16"/>
  <c r="BN17"/>
  <c r="CJ17" s="1"/>
  <c r="BO17"/>
  <c r="CK17" s="1"/>
  <c r="BQ17"/>
  <c r="CM17" s="1"/>
  <c r="BR17"/>
  <c r="CN17" s="1"/>
  <c r="BN18"/>
  <c r="CJ18" s="1"/>
  <c r="BO18"/>
  <c r="CK18" s="1"/>
  <c r="BP18"/>
  <c r="BQ18"/>
  <c r="CM18" s="1"/>
  <c r="BR18"/>
  <c r="CN18" s="1"/>
  <c r="BS18"/>
  <c r="CO18" s="1"/>
  <c r="BT18"/>
  <c r="CP18" s="1"/>
  <c r="BO19"/>
  <c r="CK19" s="1"/>
  <c r="BP19"/>
  <c r="CL19" s="1"/>
  <c r="BQ19"/>
  <c r="CM19" s="1"/>
  <c r="BR19"/>
  <c r="CN19" s="1"/>
  <c r="BS19"/>
  <c r="CO19" s="1"/>
  <c r="BT19"/>
  <c r="CP19" s="1"/>
  <c r="BN20"/>
  <c r="BO20"/>
  <c r="BQ20"/>
  <c r="BR20"/>
  <c r="BN21"/>
  <c r="BO21"/>
  <c r="CK21" s="1"/>
  <c r="BP21"/>
  <c r="CL21" s="1"/>
  <c r="BQ21"/>
  <c r="CM21" s="1"/>
  <c r="BR21"/>
  <c r="CN21" s="1"/>
  <c r="BS21"/>
  <c r="CO21" s="1"/>
  <c r="BT21"/>
  <c r="CP21" s="1"/>
  <c r="CF21"/>
  <c r="CF20"/>
  <c r="CF19"/>
  <c r="CF18"/>
  <c r="CF17"/>
  <c r="CF16"/>
  <c r="CE21"/>
  <c r="CE20"/>
  <c r="CE19"/>
  <c r="CE17"/>
  <c r="CE18"/>
  <c r="CE16"/>
  <c r="BP1139" i="19"/>
  <c r="BO1140"/>
  <c r="BO1137"/>
  <c r="BP1137"/>
  <c r="BO1136"/>
  <c r="BP1136"/>
  <c r="BO1135"/>
  <c r="BP1135"/>
  <c r="BO1134"/>
  <c r="BP1134"/>
  <c r="BO1133"/>
  <c r="BP1133"/>
  <c r="BO1132"/>
  <c r="BP1132"/>
  <c r="BQ1138"/>
  <c r="BR1138"/>
  <c r="BS1138"/>
  <c r="BT1138"/>
  <c r="BN1138"/>
  <c r="BR1141"/>
  <c r="BS1141"/>
  <c r="BT1141"/>
  <c r="BU1135"/>
  <c r="BU1140"/>
  <c r="BU1141" s="1"/>
  <c r="X3" i="14"/>
  <c r="Y3"/>
  <c r="Z3"/>
  <c r="AA3"/>
  <c r="AB3"/>
  <c r="AC3"/>
  <c r="AD3"/>
  <c r="AE3"/>
  <c r="AF3"/>
  <c r="AG3"/>
  <c r="AH3"/>
  <c r="AI3"/>
  <c r="AJ3"/>
  <c r="AK3"/>
  <c r="AL3"/>
  <c r="BG217" i="19"/>
  <c r="BF217" s="1"/>
  <c r="BG198"/>
  <c r="BF198"/>
  <c r="BE198"/>
  <c r="BD198"/>
  <c r="BC198"/>
  <c r="BB198"/>
  <c r="BA198"/>
  <c r="AZ198"/>
  <c r="AY198"/>
  <c r="AX198"/>
  <c r="AW198"/>
  <c r="AV198"/>
  <c r="AU198"/>
  <c r="AT198"/>
  <c r="AS198"/>
  <c r="AR198"/>
  <c r="BG218"/>
  <c r="BG199"/>
  <c r="BF199"/>
  <c r="BE199"/>
  <c r="BD199"/>
  <c r="BC199"/>
  <c r="BB199"/>
  <c r="BA199"/>
  <c r="AZ199"/>
  <c r="AY199"/>
  <c r="AX199"/>
  <c r="AW199"/>
  <c r="AV199"/>
  <c r="AU199"/>
  <c r="AT199"/>
  <c r="AS199"/>
  <c r="AR199"/>
  <c r="BG219"/>
  <c r="BG200"/>
  <c r="BF200"/>
  <c r="BE200"/>
  <c r="BD200"/>
  <c r="BC200"/>
  <c r="BB200"/>
  <c r="BA200"/>
  <c r="AZ200"/>
  <c r="AY200"/>
  <c r="AX200"/>
  <c r="AW200"/>
  <c r="AV200"/>
  <c r="AU200"/>
  <c r="AT200"/>
  <c r="AS200"/>
  <c r="AR200"/>
  <c r="BG220"/>
  <c r="BG201"/>
  <c r="BF201"/>
  <c r="BE201"/>
  <c r="BD201"/>
  <c r="BC201"/>
  <c r="BB201"/>
  <c r="BA201"/>
  <c r="AZ201"/>
  <c r="AY201"/>
  <c r="AX201"/>
  <c r="AW201"/>
  <c r="AV201"/>
  <c r="AU201"/>
  <c r="AT201"/>
  <c r="AS201"/>
  <c r="AR201"/>
  <c r="BG221"/>
  <c r="BF221" s="1"/>
  <c r="BG202"/>
  <c r="BF202"/>
  <c r="BE202"/>
  <c r="BD202"/>
  <c r="BC202"/>
  <c r="BB202"/>
  <c r="BA202"/>
  <c r="AZ202"/>
  <c r="AY202"/>
  <c r="AX202"/>
  <c r="AW202"/>
  <c r="AV202"/>
  <c r="AU202"/>
  <c r="AT202"/>
  <c r="AS202"/>
  <c r="AR202"/>
  <c r="BG222"/>
  <c r="BG203"/>
  <c r="BF203"/>
  <c r="BE203"/>
  <c r="BD203"/>
  <c r="BC203"/>
  <c r="BB203"/>
  <c r="BA203"/>
  <c r="AZ203"/>
  <c r="AY203"/>
  <c r="AX203"/>
  <c r="AW203"/>
  <c r="AV203"/>
  <c r="AU203"/>
  <c r="AT203"/>
  <c r="AS203"/>
  <c r="AR203"/>
  <c r="BG223"/>
  <c r="BG204"/>
  <c r="BF204"/>
  <c r="BE204"/>
  <c r="BD204"/>
  <c r="BC204"/>
  <c r="BB204"/>
  <c r="BA204"/>
  <c r="AZ204"/>
  <c r="AY204"/>
  <c r="AX204"/>
  <c r="AW204"/>
  <c r="AV204"/>
  <c r="AU204"/>
  <c r="AT204"/>
  <c r="AS204"/>
  <c r="AR204"/>
  <c r="BG224"/>
  <c r="BG205"/>
  <c r="BF205"/>
  <c r="BE205"/>
  <c r="BD205"/>
  <c r="BC205"/>
  <c r="BB205"/>
  <c r="BA205"/>
  <c r="AZ205"/>
  <c r="AY205"/>
  <c r="AX205"/>
  <c r="AW205"/>
  <c r="AV205"/>
  <c r="AU205"/>
  <c r="AT205"/>
  <c r="AS205"/>
  <c r="AR205"/>
  <c r="BG225"/>
  <c r="BG206"/>
  <c r="BF225"/>
  <c r="BE225" s="1"/>
  <c r="BF206"/>
  <c r="BE206"/>
  <c r="BD206"/>
  <c r="BC206"/>
  <c r="BB206"/>
  <c r="BA206"/>
  <c r="AZ206"/>
  <c r="AY206"/>
  <c r="AX206"/>
  <c r="AW206"/>
  <c r="AV206"/>
  <c r="AU206"/>
  <c r="AT206"/>
  <c r="AS206"/>
  <c r="AR206"/>
  <c r="BG226"/>
  <c r="BF226" s="1"/>
  <c r="BG207"/>
  <c r="BF207"/>
  <c r="BE207"/>
  <c r="BD207"/>
  <c r="BC207"/>
  <c r="BB207"/>
  <c r="BA207"/>
  <c r="AZ207"/>
  <c r="AY207"/>
  <c r="AX207"/>
  <c r="AW207"/>
  <c r="AV207"/>
  <c r="AU207"/>
  <c r="AT207"/>
  <c r="AS207"/>
  <c r="AR207"/>
  <c r="BG227"/>
  <c r="BG208"/>
  <c r="BF227" s="1"/>
  <c r="BE227" s="1"/>
  <c r="BD227" s="1"/>
  <c r="BF208"/>
  <c r="BE208"/>
  <c r="BD208"/>
  <c r="BC208"/>
  <c r="BB208"/>
  <c r="BA208"/>
  <c r="AZ208"/>
  <c r="AY208"/>
  <c r="AX208"/>
  <c r="AW208"/>
  <c r="AV208"/>
  <c r="AU208"/>
  <c r="AT208"/>
  <c r="AS208"/>
  <c r="AR208"/>
  <c r="BG228"/>
  <c r="BG209"/>
  <c r="BF209"/>
  <c r="BE209"/>
  <c r="BD209"/>
  <c r="BC209"/>
  <c r="BB209"/>
  <c r="BA209"/>
  <c r="AZ209"/>
  <c r="AY209"/>
  <c r="AX209"/>
  <c r="AW209"/>
  <c r="AV209"/>
  <c r="AU209"/>
  <c r="AT209"/>
  <c r="AS209"/>
  <c r="AR209"/>
  <c r="BG229"/>
  <c r="BG210"/>
  <c r="BF210"/>
  <c r="BE210"/>
  <c r="BD210"/>
  <c r="BC210"/>
  <c r="BB210"/>
  <c r="BA210"/>
  <c r="AZ210"/>
  <c r="AY210"/>
  <c r="AX210"/>
  <c r="AW210"/>
  <c r="AV210"/>
  <c r="AU210"/>
  <c r="AT210"/>
  <c r="AS210"/>
  <c r="AR210"/>
  <c r="BG230"/>
  <c r="BG211"/>
  <c r="BF211"/>
  <c r="BE211"/>
  <c r="BD211"/>
  <c r="BC211"/>
  <c r="BB211"/>
  <c r="BA211"/>
  <c r="AZ211"/>
  <c r="AY211"/>
  <c r="AX211"/>
  <c r="AW211"/>
  <c r="AV211"/>
  <c r="AU211"/>
  <c r="AT211"/>
  <c r="AS211"/>
  <c r="AR211"/>
  <c r="BG231"/>
  <c r="BG212"/>
  <c r="BF212"/>
  <c r="BE212"/>
  <c r="BD212"/>
  <c r="BC212"/>
  <c r="BB212"/>
  <c r="BA212"/>
  <c r="AZ212"/>
  <c r="AY212"/>
  <c r="AX212"/>
  <c r="AW212"/>
  <c r="AV212"/>
  <c r="AU212"/>
  <c r="AT212"/>
  <c r="AS212"/>
  <c r="AR212"/>
  <c r="BH198"/>
  <c r="BH199"/>
  <c r="BH218"/>
  <c r="BH200"/>
  <c r="BH201"/>
  <c r="BH202"/>
  <c r="BH203"/>
  <c r="BH222" s="1"/>
  <c r="BH204"/>
  <c r="BH205"/>
  <c r="BH224" s="1"/>
  <c r="BI224" s="1"/>
  <c r="BH206"/>
  <c r="BH207"/>
  <c r="BH208"/>
  <c r="BH209"/>
  <c r="BH210"/>
  <c r="BH211"/>
  <c r="BH212"/>
  <c r="BI198"/>
  <c r="BI199"/>
  <c r="BI200"/>
  <c r="BI201"/>
  <c r="BI202"/>
  <c r="BI203"/>
  <c r="BI204"/>
  <c r="BI205"/>
  <c r="BI206"/>
  <c r="BI207"/>
  <c r="BI208"/>
  <c r="BI209"/>
  <c r="BI210"/>
  <c r="BI211"/>
  <c r="BI212"/>
  <c r="BJ198"/>
  <c r="BJ199"/>
  <c r="BJ200"/>
  <c r="BJ201"/>
  <c r="BJ202"/>
  <c r="BJ203"/>
  <c r="BJ204"/>
  <c r="BJ205"/>
  <c r="BJ206"/>
  <c r="BJ207"/>
  <c r="BJ208"/>
  <c r="BJ209"/>
  <c r="BJ210"/>
  <c r="BJ211"/>
  <c r="BJ212"/>
  <c r="BK198"/>
  <c r="BK199"/>
  <c r="BK200"/>
  <c r="BK201"/>
  <c r="BK202"/>
  <c r="BK203"/>
  <c r="BK204"/>
  <c r="BK205"/>
  <c r="BK206"/>
  <c r="BK207"/>
  <c r="BK208"/>
  <c r="BK209"/>
  <c r="BK210"/>
  <c r="BK211"/>
  <c r="BK212"/>
  <c r="BL198"/>
  <c r="BL199"/>
  <c r="BL200"/>
  <c r="BL201"/>
  <c r="BL202"/>
  <c r="BL203"/>
  <c r="BL204"/>
  <c r="BL205"/>
  <c r="BL206"/>
  <c r="BL207"/>
  <c r="BL208"/>
  <c r="BL209"/>
  <c r="BL210"/>
  <c r="BL211"/>
  <c r="BL212"/>
  <c r="BM198"/>
  <c r="BM199"/>
  <c r="BM200"/>
  <c r="BM201"/>
  <c r="BM202"/>
  <c r="BM203"/>
  <c r="BM204"/>
  <c r="BM205"/>
  <c r="BM206"/>
  <c r="BM207"/>
  <c r="BM208"/>
  <c r="BM209"/>
  <c r="BM210"/>
  <c r="BM211"/>
  <c r="BM212"/>
  <c r="BN198"/>
  <c r="BN199"/>
  <c r="BN200"/>
  <c r="BN201"/>
  <c r="BN202"/>
  <c r="BN203"/>
  <c r="BN204"/>
  <c r="BN205"/>
  <c r="BN206"/>
  <c r="BN207"/>
  <c r="BN208"/>
  <c r="BN209"/>
  <c r="BN210"/>
  <c r="BN211"/>
  <c r="BN212"/>
  <c r="BO198"/>
  <c r="BO199"/>
  <c r="BO200"/>
  <c r="BO201"/>
  <c r="BO202"/>
  <c r="BO203"/>
  <c r="BO204"/>
  <c r="BO205"/>
  <c r="BO206"/>
  <c r="BO207"/>
  <c r="BO208"/>
  <c r="BO209"/>
  <c r="BO210"/>
  <c r="BO211"/>
  <c r="BO212"/>
  <c r="BP198"/>
  <c r="BP199"/>
  <c r="BP200"/>
  <c r="BP201"/>
  <c r="BP202"/>
  <c r="BP203"/>
  <c r="BP204"/>
  <c r="BP205"/>
  <c r="BP206"/>
  <c r="BP207"/>
  <c r="BP208"/>
  <c r="BP209"/>
  <c r="BP210"/>
  <c r="BP211"/>
  <c r="BP212"/>
  <c r="BQ198"/>
  <c r="BQ199"/>
  <c r="BQ200"/>
  <c r="BQ201"/>
  <c r="BQ202"/>
  <c r="BQ203"/>
  <c r="BQ204"/>
  <c r="BQ205"/>
  <c r="BQ206"/>
  <c r="BQ207"/>
  <c r="BQ208"/>
  <c r="BQ209"/>
  <c r="BQ210"/>
  <c r="BQ211"/>
  <c r="BQ212"/>
  <c r="BR198"/>
  <c r="BR199"/>
  <c r="BR200"/>
  <c r="BR201"/>
  <c r="BR202"/>
  <c r="BR203"/>
  <c r="BR204"/>
  <c r="BR205"/>
  <c r="BR206"/>
  <c r="BR207"/>
  <c r="BR208"/>
  <c r="BR209"/>
  <c r="BR210"/>
  <c r="BR211"/>
  <c r="BR212"/>
  <c r="BS198"/>
  <c r="BS199"/>
  <c r="BS200"/>
  <c r="BS201"/>
  <c r="BS202"/>
  <c r="BS203"/>
  <c r="BS204"/>
  <c r="BS205"/>
  <c r="BS206"/>
  <c r="BS207"/>
  <c r="BS208"/>
  <c r="BS209"/>
  <c r="BS210"/>
  <c r="BS211"/>
  <c r="BS212"/>
  <c r="AQ198"/>
  <c r="AQ199"/>
  <c r="AQ200"/>
  <c r="AQ201"/>
  <c r="AQ202"/>
  <c r="AQ203"/>
  <c r="AQ204"/>
  <c r="AQ205"/>
  <c r="AQ206"/>
  <c r="AQ207"/>
  <c r="AQ208"/>
  <c r="AQ209"/>
  <c r="AQ210"/>
  <c r="AQ211"/>
  <c r="AQ212"/>
  <c r="BF6" i="20"/>
  <c r="BG6" s="1"/>
  <c r="BU1072" i="19"/>
  <c r="BU18" i="20"/>
  <c r="CQ18" s="1"/>
  <c r="BV1072" i="19"/>
  <c r="BV18" i="20" s="1"/>
  <c r="CR18" s="1"/>
  <c r="BU1075" i="19"/>
  <c r="BV1075" s="1"/>
  <c r="BU1074"/>
  <c r="BU21" i="20" s="1"/>
  <c r="CQ21" s="1"/>
  <c r="BW22"/>
  <c r="CS22" s="1"/>
  <c r="BX22"/>
  <c r="BY133" s="1"/>
  <c r="CU22"/>
  <c r="CW22"/>
  <c r="BW35"/>
  <c r="CS35" s="1"/>
  <c r="BX35"/>
  <c r="CT35" s="1"/>
  <c r="CU35"/>
  <c r="BZ85" i="19"/>
  <c r="CA85" s="1"/>
  <c r="BW43" i="20"/>
  <c r="CS43" s="1"/>
  <c r="BX43"/>
  <c r="CT43" s="1"/>
  <c r="CU43"/>
  <c r="CV43"/>
  <c r="CW43"/>
  <c r="CX43"/>
  <c r="CY43"/>
  <c r="CZ43"/>
  <c r="BP353" i="19"/>
  <c r="BP354"/>
  <c r="BQ354" s="1"/>
  <c r="BR354" s="1"/>
  <c r="BS354" s="1"/>
  <c r="BT354" s="1"/>
  <c r="BU354" s="1"/>
  <c r="BV354" s="1"/>
  <c r="BW354" s="1"/>
  <c r="BX354" s="1"/>
  <c r="BY354" s="1"/>
  <c r="BZ354" s="1"/>
  <c r="CA354" s="1"/>
  <c r="CB354" s="1"/>
  <c r="CC354" s="1"/>
  <c r="CD354" s="1"/>
  <c r="BP355"/>
  <c r="BQ356"/>
  <c r="BR356"/>
  <c r="BS356" s="1"/>
  <c r="BT356" s="1"/>
  <c r="BU356" s="1"/>
  <c r="BV356" s="1"/>
  <c r="BW356" s="1"/>
  <c r="BX356" s="1"/>
  <c r="BY356" s="1"/>
  <c r="BZ356" s="1"/>
  <c r="CA356" s="1"/>
  <c r="CB356" s="1"/>
  <c r="CC356" s="1"/>
  <c r="CD356" s="1"/>
  <c r="BO359"/>
  <c r="BP359"/>
  <c r="BQ359" s="1"/>
  <c r="BR359" s="1"/>
  <c r="BS359" s="1"/>
  <c r="BT359" s="1"/>
  <c r="BU359" s="1"/>
  <c r="BV359" s="1"/>
  <c r="BW359" s="1"/>
  <c r="BX359" s="1"/>
  <c r="BY359" s="1"/>
  <c r="BZ359" s="1"/>
  <c r="CA359" s="1"/>
  <c r="CB359" s="1"/>
  <c r="CC359" s="1"/>
  <c r="CD359" s="1"/>
  <c r="BS380"/>
  <c r="BS425"/>
  <c r="BS406" s="1"/>
  <c r="BS271" s="1"/>
  <c r="BT271" s="1"/>
  <c r="BO553"/>
  <c r="BT274"/>
  <c r="BT282"/>
  <c r="BU282" s="1"/>
  <c r="BV282" s="1"/>
  <c r="BW282" s="1"/>
  <c r="BX282" s="1"/>
  <c r="BY282" s="1"/>
  <c r="BZ282" s="1"/>
  <c r="CA282" s="1"/>
  <c r="CB282" s="1"/>
  <c r="CC282" s="1"/>
  <c r="CD282" s="1"/>
  <c r="BT283"/>
  <c r="BS333"/>
  <c r="BS334"/>
  <c r="BT285"/>
  <c r="BR286"/>
  <c r="BS286" s="1"/>
  <c r="BT286" s="1"/>
  <c r="BT289"/>
  <c r="BT265" i="20" s="1"/>
  <c r="BT290" i="19"/>
  <c r="BJ44"/>
  <c r="BK44" s="1"/>
  <c r="BL44" s="1"/>
  <c r="BM44" s="1"/>
  <c r="BN44" s="1"/>
  <c r="BO44" s="1"/>
  <c r="BP44" s="1"/>
  <c r="BQ44" s="1"/>
  <c r="BR44" s="1"/>
  <c r="BS44" s="1"/>
  <c r="BT44" s="1"/>
  <c r="BU44" s="1"/>
  <c r="BV44" s="1"/>
  <c r="BW44" s="1"/>
  <c r="BW372" i="20"/>
  <c r="CS372" s="1"/>
  <c r="BX372"/>
  <c r="CT372" s="1"/>
  <c r="CU372"/>
  <c r="CW372"/>
  <c r="CY372"/>
  <c r="BW373"/>
  <c r="CS373" s="1"/>
  <c r="BX373"/>
  <c r="CT373" s="1"/>
  <c r="CU373"/>
  <c r="CV373"/>
  <c r="CW373"/>
  <c r="CY373"/>
  <c r="CZ373"/>
  <c r="AE76" i="14"/>
  <c r="BW379" i="20" s="1"/>
  <c r="CS379" s="1"/>
  <c r="AF76" i="14"/>
  <c r="BX379" i="20" s="1"/>
  <c r="CT379" s="1"/>
  <c r="AG76" i="14"/>
  <c r="AH76"/>
  <c r="CV379" i="20" s="1"/>
  <c r="AI76" i="14"/>
  <c r="AJ76"/>
  <c r="CX379" i="20" s="1"/>
  <c r="AK76" i="14"/>
  <c r="CY379" i="20"/>
  <c r="AL76" i="14"/>
  <c r="CZ379" i="20" s="1"/>
  <c r="BT120" i="19"/>
  <c r="BU120" s="1"/>
  <c r="BV120" s="1"/>
  <c r="BW120" s="1"/>
  <c r="BW504" i="20"/>
  <c r="CS504" s="1"/>
  <c r="BX504"/>
  <c r="CT504" s="1"/>
  <c r="CU504"/>
  <c r="CV504"/>
  <c r="CW504"/>
  <c r="CX504"/>
  <c r="CY504"/>
  <c r="CZ504"/>
  <c r="AB43" i="14"/>
  <c r="BT89" i="19" s="1"/>
  <c r="AA43" i="14"/>
  <c r="BS89" i="19" s="1"/>
  <c r="Z43" i="14"/>
  <c r="BR89" i="19" s="1"/>
  <c r="Y43" i="14"/>
  <c r="BQ89" i="19" s="1"/>
  <c r="W43" i="14"/>
  <c r="BO89" i="19" s="1"/>
  <c r="BG233"/>
  <c r="BH233" s="1"/>
  <c r="BH214"/>
  <c r="BI214"/>
  <c r="BJ214"/>
  <c r="BK214"/>
  <c r="BL214"/>
  <c r="BM214"/>
  <c r="BN214"/>
  <c r="BO214"/>
  <c r="BP214"/>
  <c r="BQ214"/>
  <c r="BR214"/>
  <c r="BS214"/>
  <c r="BG214"/>
  <c r="BF214"/>
  <c r="BO38" i="20"/>
  <c r="CK38" s="1"/>
  <c r="BO39"/>
  <c r="CK39" s="1"/>
  <c r="BO40"/>
  <c r="CK40" s="1"/>
  <c r="BO41"/>
  <c r="BO43"/>
  <c r="CK43" s="1"/>
  <c r="BP43"/>
  <c r="CL43" s="1"/>
  <c r="BQ43"/>
  <c r="CM43" s="1"/>
  <c r="BR43"/>
  <c r="CN43" s="1"/>
  <c r="BS43"/>
  <c r="CO43" s="1"/>
  <c r="BT43"/>
  <c r="CP43" s="1"/>
  <c r="BU43"/>
  <c r="CQ43" s="1"/>
  <c r="BV43"/>
  <c r="CR43" s="1"/>
  <c r="Z78" i="14"/>
  <c r="AA78"/>
  <c r="AB78"/>
  <c r="AC78"/>
  <c r="AD78"/>
  <c r="AE78"/>
  <c r="AF78"/>
  <c r="AG78"/>
  <c r="AH78"/>
  <c r="AI78"/>
  <c r="AJ78"/>
  <c r="AK78"/>
  <c r="AL78"/>
  <c r="BO831" i="19"/>
  <c r="BO174" i="20" s="1"/>
  <c r="CK174" s="1"/>
  <c r="BI173"/>
  <c r="BJ173"/>
  <c r="BK173"/>
  <c r="BD174"/>
  <c r="BE174"/>
  <c r="BU831" i="19"/>
  <c r="BV831" s="1"/>
  <c r="BW831" s="1"/>
  <c r="BX831" s="1"/>
  <c r="BY831" s="1"/>
  <c r="BZ831" s="1"/>
  <c r="CA831" s="1"/>
  <c r="CB831" s="1"/>
  <c r="CC831" s="1"/>
  <c r="CD831" s="1"/>
  <c r="BN334"/>
  <c r="BN333"/>
  <c r="AA33" i="14"/>
  <c r="Z33"/>
  <c r="Y33"/>
  <c r="X33"/>
  <c r="W33"/>
  <c r="BO1100" i="19"/>
  <c r="BO1112" s="1"/>
  <c r="BO1101"/>
  <c r="BO1113" s="1"/>
  <c r="BO1102"/>
  <c r="BO1114" s="1"/>
  <c r="BO1103"/>
  <c r="BO1115" s="1"/>
  <c r="BO1106"/>
  <c r="BO1118" s="1"/>
  <c r="BO1119"/>
  <c r="BO1120"/>
  <c r="BN764"/>
  <c r="BN696" s="1"/>
  <c r="BR380"/>
  <c r="BQ380"/>
  <c r="BP357"/>
  <c r="BP380"/>
  <c r="BO356"/>
  <c r="BO357"/>
  <c r="BO380"/>
  <c r="BN356"/>
  <c r="BN357"/>
  <c r="BN359"/>
  <c r="BN380"/>
  <c r="BQ1052"/>
  <c r="BR1052"/>
  <c r="BS1052"/>
  <c r="BT1052"/>
  <c r="BO1044"/>
  <c r="BP1044"/>
  <c r="BQ1044"/>
  <c r="BO1080"/>
  <c r="BO1078" s="1"/>
  <c r="BP333"/>
  <c r="BP334"/>
  <c r="BQ333"/>
  <c r="BQ334"/>
  <c r="BR333"/>
  <c r="BR334"/>
  <c r="BR332" s="1"/>
  <c r="BR284" s="1"/>
  <c r="BO333"/>
  <c r="BO334"/>
  <c r="BP549"/>
  <c r="BP565"/>
  <c r="BR425"/>
  <c r="BR406"/>
  <c r="BQ425"/>
  <c r="BQ406"/>
  <c r="BP415"/>
  <c r="BP425"/>
  <c r="BT425"/>
  <c r="BT406"/>
  <c r="BU406" s="1"/>
  <c r="BV406" s="1"/>
  <c r="BW406" s="1"/>
  <c r="BX406" s="1"/>
  <c r="BY406" s="1"/>
  <c r="BZ406" s="1"/>
  <c r="CA406" s="1"/>
  <c r="CB406" s="1"/>
  <c r="CC406" s="1"/>
  <c r="CD406" s="1"/>
  <c r="BO602"/>
  <c r="BO625"/>
  <c r="BO271" i="20" s="1"/>
  <c r="BO589" i="19"/>
  <c r="BG382" i="20"/>
  <c r="BH382" s="1"/>
  <c r="BP363"/>
  <c r="CL363" s="1"/>
  <c r="BO365"/>
  <c r="BN371"/>
  <c r="CJ371" s="1"/>
  <c r="BO372"/>
  <c r="CK372" s="1"/>
  <c r="BN372"/>
  <c r="BP372"/>
  <c r="CL372" s="1"/>
  <c r="BQ372"/>
  <c r="CM372" s="1"/>
  <c r="BR372"/>
  <c r="CN372" s="1"/>
  <c r="BS372"/>
  <c r="CO372" s="1"/>
  <c r="BT372"/>
  <c r="CP372" s="1"/>
  <c r="BU372"/>
  <c r="CQ372" s="1"/>
  <c r="BN13"/>
  <c r="CJ13" s="1"/>
  <c r="BN25"/>
  <c r="CJ25" s="1"/>
  <c r="BN26"/>
  <c r="BN27"/>
  <c r="CJ27" s="1"/>
  <c r="BN28"/>
  <c r="CJ28" s="1"/>
  <c r="BN31"/>
  <c r="CJ31" s="1"/>
  <c r="BN32"/>
  <c r="BN47"/>
  <c r="CJ47" s="1"/>
  <c r="BI363"/>
  <c r="BI201" s="1"/>
  <c r="BI270" s="1"/>
  <c r="BH363"/>
  <c r="AV34"/>
  <c r="AV363"/>
  <c r="AV182" s="1"/>
  <c r="AW34"/>
  <c r="AW363"/>
  <c r="AW181" s="1"/>
  <c r="AX34"/>
  <c r="AX363"/>
  <c r="AX181" s="1"/>
  <c r="AY34"/>
  <c r="AY363"/>
  <c r="AY182" s="1"/>
  <c r="AZ34"/>
  <c r="AZ363"/>
  <c r="AZ181" s="1"/>
  <c r="BA34"/>
  <c r="BA363"/>
  <c r="BA183" s="1"/>
  <c r="BB34"/>
  <c r="BB363"/>
  <c r="BC34"/>
  <c r="BC363"/>
  <c r="BD34"/>
  <c r="BD363"/>
  <c r="BD206" s="1"/>
  <c r="BE34"/>
  <c r="BE363"/>
  <c r="BF34"/>
  <c r="BF363"/>
  <c r="BF206" s="1"/>
  <c r="BG34"/>
  <c r="BG363"/>
  <c r="BG356" s="1"/>
  <c r="BH34"/>
  <c r="BI34"/>
  <c r="BK34"/>
  <c r="CG34" s="1"/>
  <c r="BK363"/>
  <c r="BK148" s="1"/>
  <c r="BL34"/>
  <c r="BL363"/>
  <c r="BM34"/>
  <c r="BM363"/>
  <c r="BF13"/>
  <c r="BG221"/>
  <c r="BH13"/>
  <c r="BG13"/>
  <c r="BI13"/>
  <c r="BJ13"/>
  <c r="BK42" i="19"/>
  <c r="BK45"/>
  <c r="BK13" i="20"/>
  <c r="BL42" i="19"/>
  <c r="BL45"/>
  <c r="BL13" i="20"/>
  <c r="BM12" s="1"/>
  <c r="BM89" i="19"/>
  <c r="BM13" i="20"/>
  <c r="BO228"/>
  <c r="CK228" s="1"/>
  <c r="AV36"/>
  <c r="AW36"/>
  <c r="AX36"/>
  <c r="AY36"/>
  <c r="AZ36"/>
  <c r="BA36"/>
  <c r="BB36"/>
  <c r="BC36"/>
  <c r="BD36"/>
  <c r="BE36"/>
  <c r="BF36"/>
  <c r="BG36"/>
  <c r="AV37"/>
  <c r="AW37"/>
  <c r="AX37"/>
  <c r="AY37"/>
  <c r="AZ37"/>
  <c r="BC37"/>
  <c r="BD37"/>
  <c r="BE37"/>
  <c r="BF37"/>
  <c r="BN41"/>
  <c r="BM41" s="1"/>
  <c r="BM63" s="1"/>
  <c r="BN109" s="1"/>
  <c r="BO22"/>
  <c r="AV44"/>
  <c r="AW44"/>
  <c r="AX44"/>
  <c r="AY44"/>
  <c r="AZ44"/>
  <c r="BA44"/>
  <c r="BB44"/>
  <c r="BC44"/>
  <c r="BD44"/>
  <c r="AX45"/>
  <c r="AW45"/>
  <c r="AY45"/>
  <c r="AZ45"/>
  <c r="BA45"/>
  <c r="BB45"/>
  <c r="BC45"/>
  <c r="BD45"/>
  <c r="BE45"/>
  <c r="BF45"/>
  <c r="BG45"/>
  <c r="BH45"/>
  <c r="BI45"/>
  <c r="BJ45"/>
  <c r="BK45"/>
  <c r="BL45"/>
  <c r="CH45" s="1"/>
  <c r="BM45"/>
  <c r="BN45"/>
  <c r="AV46"/>
  <c r="AW46"/>
  <c r="AW10" i="23" s="1"/>
  <c r="AX46" i="20"/>
  <c r="AY46"/>
  <c r="AV47"/>
  <c r="AW47"/>
  <c r="AX47"/>
  <c r="AY47"/>
  <c r="BC47"/>
  <c r="BE47"/>
  <c r="BF47"/>
  <c r="BG47"/>
  <c r="BH47"/>
  <c r="BI47"/>
  <c r="BJ47"/>
  <c r="BK47"/>
  <c r="BL47"/>
  <c r="BM47"/>
  <c r="AV48"/>
  <c r="AW48"/>
  <c r="AX48"/>
  <c r="AY48"/>
  <c r="AV49"/>
  <c r="AW49"/>
  <c r="AX49"/>
  <c r="AY49"/>
  <c r="AV52"/>
  <c r="AW52"/>
  <c r="AX52"/>
  <c r="AY52"/>
  <c r="AZ52"/>
  <c r="BA52"/>
  <c r="BB52"/>
  <c r="BC52"/>
  <c r="BD52"/>
  <c r="BE52"/>
  <c r="BF52"/>
  <c r="BG52"/>
  <c r="BH52"/>
  <c r="BI52"/>
  <c r="BJ52"/>
  <c r="AV53"/>
  <c r="AW53"/>
  <c r="AX53"/>
  <c r="AY53"/>
  <c r="AZ53"/>
  <c r="BA53"/>
  <c r="BB53"/>
  <c r="BC53"/>
  <c r="BD53"/>
  <c r="BE53"/>
  <c r="BF53"/>
  <c r="BG53"/>
  <c r="BN22"/>
  <c r="BP111"/>
  <c r="CL111" s="1"/>
  <c r="BQ111"/>
  <c r="CM111" s="1"/>
  <c r="BR22"/>
  <c r="BS22"/>
  <c r="BT22"/>
  <c r="CP22" s="1"/>
  <c r="BU22"/>
  <c r="CQ22" s="1"/>
  <c r="AV255"/>
  <c r="AW255" s="1"/>
  <c r="BO259"/>
  <c r="CK259" s="1"/>
  <c r="BE260"/>
  <c r="BF44" i="19"/>
  <c r="BG44"/>
  <c r="BO279" i="20"/>
  <c r="AV242"/>
  <c r="AP181"/>
  <c r="AO36" i="28" s="1"/>
  <c r="AO35" s="1"/>
  <c r="AP183" i="20"/>
  <c r="AP184"/>
  <c r="AP231"/>
  <c r="AV258"/>
  <c r="AP293"/>
  <c r="AP255"/>
  <c r="AP302"/>
  <c r="AP303"/>
  <c r="AO13"/>
  <c r="AP80"/>
  <c r="AP13"/>
  <c r="AO14"/>
  <c r="AP81"/>
  <c r="AP14"/>
  <c r="AO15"/>
  <c r="AP82"/>
  <c r="AP15"/>
  <c r="AO25"/>
  <c r="AP92"/>
  <c r="AP25"/>
  <c r="AO26"/>
  <c r="AP93"/>
  <c r="AP26"/>
  <c r="AO27"/>
  <c r="AP94"/>
  <c r="AP27"/>
  <c r="AO28"/>
  <c r="AP95"/>
  <c r="AP28"/>
  <c r="AO80"/>
  <c r="AO81"/>
  <c r="AO82"/>
  <c r="AO92"/>
  <c r="AO93"/>
  <c r="AO94"/>
  <c r="AO95"/>
  <c r="AO183"/>
  <c r="AO184"/>
  <c r="AQ181"/>
  <c r="AQ183"/>
  <c r="AQ184"/>
  <c r="AQ231"/>
  <c r="AQ293"/>
  <c r="AQ255"/>
  <c r="AQ302"/>
  <c r="AQ303"/>
  <c r="AQ80"/>
  <c r="AQ13"/>
  <c r="AQ81"/>
  <c r="AQ14"/>
  <c r="AQ82"/>
  <c r="AQ15"/>
  <c r="AQ92"/>
  <c r="AQ25"/>
  <c r="AQ93"/>
  <c r="AQ26"/>
  <c r="AQ94"/>
  <c r="AQ27"/>
  <c r="AQ95"/>
  <c r="AQ28"/>
  <c r="AR181"/>
  <c r="AR183"/>
  <c r="AR184"/>
  <c r="AR231"/>
  <c r="AR293"/>
  <c r="AR255"/>
  <c r="AR302"/>
  <c r="AR303"/>
  <c r="AR323" s="1"/>
  <c r="AR401" s="1"/>
  <c r="AR450" s="1"/>
  <c r="AR80"/>
  <c r="AR13"/>
  <c r="AR81"/>
  <c r="AR14"/>
  <c r="AR82"/>
  <c r="AR15"/>
  <c r="AR92"/>
  <c r="AR25"/>
  <c r="AR93"/>
  <c r="AR26"/>
  <c r="AR94"/>
  <c r="AR27"/>
  <c r="AR95"/>
  <c r="AR28"/>
  <c r="AS181"/>
  <c r="AS183"/>
  <c r="AR39" i="28" s="1"/>
  <c r="AS184" i="20"/>
  <c r="AS231"/>
  <c r="AS293"/>
  <c r="AS255"/>
  <c r="AS302"/>
  <c r="AS303"/>
  <c r="AS80"/>
  <c r="AS13"/>
  <c r="AS81"/>
  <c r="AS14"/>
  <c r="AS82"/>
  <c r="AS15"/>
  <c r="AS92"/>
  <c r="AS25"/>
  <c r="AS93"/>
  <c r="AS26"/>
  <c r="AS94"/>
  <c r="AS27"/>
  <c r="AS95"/>
  <c r="AS28"/>
  <c r="AT181"/>
  <c r="AT183"/>
  <c r="AT184"/>
  <c r="AT231"/>
  <c r="AT293"/>
  <c r="AT255"/>
  <c r="AT302"/>
  <c r="AT303"/>
  <c r="AT323" s="1"/>
  <c r="AT401" s="1"/>
  <c r="AT450" s="1"/>
  <c r="AT80"/>
  <c r="AT13"/>
  <c r="AT81"/>
  <c r="AT14"/>
  <c r="AT82"/>
  <c r="AT15"/>
  <c r="AT92"/>
  <c r="AT25"/>
  <c r="AT93"/>
  <c r="AT26"/>
  <c r="AT94"/>
  <c r="AT27"/>
  <c r="AT95"/>
  <c r="AT28"/>
  <c r="AU181"/>
  <c r="AU183"/>
  <c r="AU184"/>
  <c r="AU231"/>
  <c r="AU293"/>
  <c r="AU255"/>
  <c r="AU302"/>
  <c r="AU303"/>
  <c r="AU80"/>
  <c r="AU13"/>
  <c r="AU81"/>
  <c r="AU14"/>
  <c r="AU82"/>
  <c r="AU15"/>
  <c r="AU92"/>
  <c r="AU25"/>
  <c r="AU93"/>
  <c r="AU26"/>
  <c r="AU94"/>
  <c r="AU27"/>
  <c r="AU95"/>
  <c r="AU28"/>
  <c r="AV244"/>
  <c r="AV245"/>
  <c r="AV257"/>
  <c r="AV293"/>
  <c r="AV302"/>
  <c r="AV305"/>
  <c r="AV224"/>
  <c r="AV226"/>
  <c r="AV227"/>
  <c r="AV228"/>
  <c r="AV229"/>
  <c r="AV247"/>
  <c r="AU224"/>
  <c r="AU228"/>
  <c r="AV35"/>
  <c r="AW242"/>
  <c r="AW244"/>
  <c r="AW245"/>
  <c r="AW257"/>
  <c r="AW258"/>
  <c r="AW293"/>
  <c r="AW302"/>
  <c r="AW294"/>
  <c r="AV294"/>
  <c r="AW382"/>
  <c r="AX382" s="1"/>
  <c r="AY382" s="1"/>
  <c r="AZ382" s="1"/>
  <c r="BA382" s="1"/>
  <c r="BB382" s="1"/>
  <c r="BC382" s="1"/>
  <c r="BD382" s="1"/>
  <c r="BE382" s="1"/>
  <c r="BF33" i="23" s="1"/>
  <c r="AW42" i="19"/>
  <c r="AW45"/>
  <c r="AW224" i="20"/>
  <c r="AW226"/>
  <c r="AW227"/>
  <c r="AW228"/>
  <c r="AW229"/>
  <c r="AW247"/>
  <c r="AV13"/>
  <c r="AV14"/>
  <c r="AW35"/>
  <c r="AV15"/>
  <c r="AV16"/>
  <c r="AV23"/>
  <c r="AV24"/>
  <c r="AV113" s="1"/>
  <c r="AV25"/>
  <c r="AV26"/>
  <c r="AV27"/>
  <c r="AV28"/>
  <c r="AV31"/>
  <c r="AV32"/>
  <c r="AX242"/>
  <c r="AX182"/>
  <c r="AW38" i="28" s="1"/>
  <c r="AX244" i="20"/>
  <c r="AX245"/>
  <c r="AX257"/>
  <c r="AX258"/>
  <c r="AX293"/>
  <c r="AX302"/>
  <c r="AX294"/>
  <c r="AX42" i="19"/>
  <c r="AX45"/>
  <c r="AX224" i="20"/>
  <c r="AX228"/>
  <c r="AX229"/>
  <c r="AX247"/>
  <c r="AW13"/>
  <c r="AW14"/>
  <c r="AX35"/>
  <c r="AW15"/>
  <c r="AW16"/>
  <c r="AW23"/>
  <c r="AW24"/>
  <c r="AW25"/>
  <c r="AW26"/>
  <c r="AW27"/>
  <c r="AW28"/>
  <c r="AW31"/>
  <c r="AW32"/>
  <c r="AY242"/>
  <c r="AY183"/>
  <c r="AY244"/>
  <c r="AY245"/>
  <c r="AY257"/>
  <c r="AY258"/>
  <c r="AY293"/>
  <c r="AX33" i="28" s="1"/>
  <c r="AY302" i="20"/>
  <c r="AY294"/>
  <c r="AY42" i="19"/>
  <c r="AY45"/>
  <c r="AY224" i="20"/>
  <c r="AY228"/>
  <c r="AY229"/>
  <c r="AY247"/>
  <c r="AX13"/>
  <c r="AX14"/>
  <c r="AY35"/>
  <c r="AX15"/>
  <c r="AX16"/>
  <c r="AX23"/>
  <c r="AX24"/>
  <c r="AX25"/>
  <c r="AX26"/>
  <c r="AX27"/>
  <c r="AX28"/>
  <c r="AX31"/>
  <c r="AX32"/>
  <c r="AZ242"/>
  <c r="AZ244"/>
  <c r="AZ245"/>
  <c r="AZ257"/>
  <c r="AZ258"/>
  <c r="AZ293"/>
  <c r="AZ302"/>
  <c r="AZ294"/>
  <c r="AZ42" i="19"/>
  <c r="AZ45"/>
  <c r="AZ224" i="20"/>
  <c r="AZ228"/>
  <c r="AZ229"/>
  <c r="AZ247"/>
  <c r="AY13"/>
  <c r="AY14"/>
  <c r="AZ125" s="1"/>
  <c r="AY15"/>
  <c r="AY16"/>
  <c r="AY23"/>
  <c r="AY24"/>
  <c r="AY25"/>
  <c r="AY26"/>
  <c r="AY27"/>
  <c r="AY28"/>
  <c r="AY31"/>
  <c r="AY32"/>
  <c r="BA242"/>
  <c r="BA245"/>
  <c r="BA257"/>
  <c r="BA258"/>
  <c r="BA293"/>
  <c r="BA302"/>
  <c r="BA294"/>
  <c r="BA42" i="19"/>
  <c r="BA45"/>
  <c r="BA247" i="20"/>
  <c r="AZ13"/>
  <c r="AZ14"/>
  <c r="AZ15"/>
  <c r="AZ16"/>
  <c r="AZ23"/>
  <c r="AZ24"/>
  <c r="AZ25"/>
  <c r="AZ26"/>
  <c r="AZ27"/>
  <c r="AZ28"/>
  <c r="AZ31"/>
  <c r="AZ32"/>
  <c r="BB242"/>
  <c r="BB245"/>
  <c r="BB257"/>
  <c r="BB237" s="1"/>
  <c r="BB258"/>
  <c r="BB293"/>
  <c r="BB302"/>
  <c r="BB294"/>
  <c r="BB42" i="19"/>
  <c r="BB45"/>
  <c r="BB247" i="20"/>
  <c r="BA13"/>
  <c r="BA14"/>
  <c r="BA15"/>
  <c r="BA16"/>
  <c r="BA23"/>
  <c r="BA25"/>
  <c r="BA26"/>
  <c r="BA27"/>
  <c r="BA28"/>
  <c r="BA31"/>
  <c r="BA32"/>
  <c r="BV824" i="19"/>
  <c r="BW824"/>
  <c r="BX824" s="1"/>
  <c r="BY824" s="1"/>
  <c r="BZ824" s="1"/>
  <c r="CA824" s="1"/>
  <c r="CB824" s="1"/>
  <c r="CC824" s="1"/>
  <c r="CD824" s="1"/>
  <c r="BO302" i="20"/>
  <c r="BV22"/>
  <c r="BF367"/>
  <c r="BG367" s="1"/>
  <c r="BH367" s="1"/>
  <c r="BI367" s="1"/>
  <c r="BJ367" s="1"/>
  <c r="BK367" s="1"/>
  <c r="BE206"/>
  <c r="BB13"/>
  <c r="BB14"/>
  <c r="BB103" s="1"/>
  <c r="BB15"/>
  <c r="BB16"/>
  <c r="BB23"/>
  <c r="BB25"/>
  <c r="BB26"/>
  <c r="BB27"/>
  <c r="BB28"/>
  <c r="BB31"/>
  <c r="BB32"/>
  <c r="BC13"/>
  <c r="BC14"/>
  <c r="BC15"/>
  <c r="BC16"/>
  <c r="BC23"/>
  <c r="BC25"/>
  <c r="BC26"/>
  <c r="BC27"/>
  <c r="BC28"/>
  <c r="BC31"/>
  <c r="BC32"/>
  <c r="BD13"/>
  <c r="BD14"/>
  <c r="BE125" s="1"/>
  <c r="BD15"/>
  <c r="BD16"/>
  <c r="BD23"/>
  <c r="BD25"/>
  <c r="BD26"/>
  <c r="BD27"/>
  <c r="BD28"/>
  <c r="BD31"/>
  <c r="BD32"/>
  <c r="BE13"/>
  <c r="BE14"/>
  <c r="BF125" s="1"/>
  <c r="BE15"/>
  <c r="BE16"/>
  <c r="BE25"/>
  <c r="BE26"/>
  <c r="BE27"/>
  <c r="BE28"/>
  <c r="BE31"/>
  <c r="BE32"/>
  <c r="BF14"/>
  <c r="BF15"/>
  <c r="BF16"/>
  <c r="BF25"/>
  <c r="BF26"/>
  <c r="BF27"/>
  <c r="BF28"/>
  <c r="BF31"/>
  <c r="BF32"/>
  <c r="BG14"/>
  <c r="BG15"/>
  <c r="BG25"/>
  <c r="BG26"/>
  <c r="BG27"/>
  <c r="BG28"/>
  <c r="BG31"/>
  <c r="BG32"/>
  <c r="BH14"/>
  <c r="BH15"/>
  <c r="BH25"/>
  <c r="BH26"/>
  <c r="BH27"/>
  <c r="BH28"/>
  <c r="BH31"/>
  <c r="BH32"/>
  <c r="BI14"/>
  <c r="BI25"/>
  <c r="BI26"/>
  <c r="BI27"/>
  <c r="BI28"/>
  <c r="BI31"/>
  <c r="BI32"/>
  <c r="BJ14"/>
  <c r="BJ25"/>
  <c r="BJ26"/>
  <c r="BJ27"/>
  <c r="BJ28"/>
  <c r="BJ31"/>
  <c r="BJ32"/>
  <c r="BK16"/>
  <c r="BK25"/>
  <c r="BK26"/>
  <c r="BK27"/>
  <c r="BK28"/>
  <c r="BK31"/>
  <c r="BK32"/>
  <c r="BL25"/>
  <c r="BL26"/>
  <c r="BL27"/>
  <c r="CH27" s="1"/>
  <c r="BL28"/>
  <c r="BL31"/>
  <c r="BL32"/>
  <c r="BM17"/>
  <c r="BM18"/>
  <c r="BM19"/>
  <c r="BM20"/>
  <c r="BM21"/>
  <c r="BM22"/>
  <c r="BN133" s="1"/>
  <c r="CJ133" s="1"/>
  <c r="BM25"/>
  <c r="BM26"/>
  <c r="BM27"/>
  <c r="BM28"/>
  <c r="BM31"/>
  <c r="BS265"/>
  <c r="BR265"/>
  <c r="BQ265"/>
  <c r="BP265"/>
  <c r="BO265"/>
  <c r="BN265"/>
  <c r="BN282" s="1"/>
  <c r="CJ282" s="1"/>
  <c r="BC42" i="19"/>
  <c r="BC45"/>
  <c r="BD42"/>
  <c r="BD45"/>
  <c r="BE42"/>
  <c r="BE44"/>
  <c r="BE308" i="20" s="1"/>
  <c r="BE45" i="19"/>
  <c r="BF42"/>
  <c r="BF45"/>
  <c r="BG42"/>
  <c r="BG45"/>
  <c r="BM195" i="20"/>
  <c r="BF366"/>
  <c r="BG366" s="1"/>
  <c r="BH366" s="1"/>
  <c r="BI366" s="1"/>
  <c r="BJ366" s="1"/>
  <c r="BK366" s="1"/>
  <c r="BV372"/>
  <c r="CR372" s="1"/>
  <c r="BI377"/>
  <c r="BJ373"/>
  <c r="BI373"/>
  <c r="BK373"/>
  <c r="BL373"/>
  <c r="CH373" s="1"/>
  <c r="BM373"/>
  <c r="BN373"/>
  <c r="CJ373" s="1"/>
  <c r="BO373"/>
  <c r="CK373" s="1"/>
  <c r="BP373"/>
  <c r="CL373" s="1"/>
  <c r="BQ373"/>
  <c r="CM373" s="1"/>
  <c r="BR373"/>
  <c r="CN373" s="1"/>
  <c r="BS373"/>
  <c r="CO373" s="1"/>
  <c r="BT373"/>
  <c r="BU373"/>
  <c r="CQ373" s="1"/>
  <c r="BV373"/>
  <c r="CR373" s="1"/>
  <c r="F380"/>
  <c r="AV379"/>
  <c r="AW379"/>
  <c r="AX379"/>
  <c r="AY379"/>
  <c r="AZ379"/>
  <c r="BA379"/>
  <c r="BB379"/>
  <c r="BC379"/>
  <c r="BD379"/>
  <c r="BE379"/>
  <c r="BF379"/>
  <c r="BG379"/>
  <c r="BH379"/>
  <c r="BI379"/>
  <c r="BJ379"/>
  <c r="BK379"/>
  <c r="CG379" s="1"/>
  <c r="BL372"/>
  <c r="BK372"/>
  <c r="BM372"/>
  <c r="BG372"/>
  <c r="BF372"/>
  <c r="BH372"/>
  <c r="BI372"/>
  <c r="BJ372"/>
  <c r="BI374"/>
  <c r="BI370"/>
  <c r="BI371"/>
  <c r="BJ370"/>
  <c r="BJ371"/>
  <c r="BK370"/>
  <c r="BK371"/>
  <c r="BL370"/>
  <c r="BL371"/>
  <c r="BM370"/>
  <c r="BM371"/>
  <c r="BN370"/>
  <c r="CJ370" s="1"/>
  <c r="BN374"/>
  <c r="CJ374" s="1"/>
  <c r="BJ374"/>
  <c r="BK374"/>
  <c r="BL374"/>
  <c r="BM374"/>
  <c r="BH374"/>
  <c r="BH369" s="1"/>
  <c r="BH370"/>
  <c r="BH371"/>
  <c r="BG374"/>
  <c r="BG370"/>
  <c r="BG371"/>
  <c r="BV35"/>
  <c r="CR35" s="1"/>
  <c r="BV504"/>
  <c r="CR504" s="1"/>
  <c r="BT35"/>
  <c r="CP35" s="1"/>
  <c r="BU35"/>
  <c r="AB76" i="14"/>
  <c r="BT379" i="20" s="1"/>
  <c r="CP379" s="1"/>
  <c r="AC76" i="14"/>
  <c r="AD76"/>
  <c r="BV379" i="20" s="1"/>
  <c r="CR379" s="1"/>
  <c r="BT504"/>
  <c r="CP504" s="1"/>
  <c r="BU504"/>
  <c r="CQ504" s="1"/>
  <c r="BP288" i="19"/>
  <c r="BQ288"/>
  <c r="BR288"/>
  <c r="BS288"/>
  <c r="X18" i="14"/>
  <c r="BO219" i="20"/>
  <c r="CK219" s="1"/>
  <c r="BO387" i="19"/>
  <c r="BO224" i="20"/>
  <c r="CK224" s="1"/>
  <c r="BO226"/>
  <c r="CK226" s="1"/>
  <c r="BO227"/>
  <c r="CK227" s="1"/>
  <c r="BO234"/>
  <c r="BO237"/>
  <c r="BO288" i="19"/>
  <c r="BO242" i="20"/>
  <c r="CK242" s="1"/>
  <c r="BJ244"/>
  <c r="BK244" s="1"/>
  <c r="BL244" s="1"/>
  <c r="BM244" s="1"/>
  <c r="BN244" s="1"/>
  <c r="BO245"/>
  <c r="CK245" s="1"/>
  <c r="BO247"/>
  <c r="CK247" s="1"/>
  <c r="BO252"/>
  <c r="CK252" s="1"/>
  <c r="BO258"/>
  <c r="CK258" s="1"/>
  <c r="Z72" i="14"/>
  <c r="AA72"/>
  <c r="AB72"/>
  <c r="AC72"/>
  <c r="AD72"/>
  <c r="AE72"/>
  <c r="AF72"/>
  <c r="AG72"/>
  <c r="AH72"/>
  <c r="AI72"/>
  <c r="AJ72"/>
  <c r="AK72"/>
  <c r="AL72"/>
  <c r="X5"/>
  <c r="CE386" i="20"/>
  <c r="CE438"/>
  <c r="CE439"/>
  <c r="BS35"/>
  <c r="CO35" s="1"/>
  <c r="AA76" i="14"/>
  <c r="BS379" i="20" s="1"/>
  <c r="CO379" s="1"/>
  <c r="BS397"/>
  <c r="BS504"/>
  <c r="CO504" s="1"/>
  <c r="BO425" i="19"/>
  <c r="BO406" s="1"/>
  <c r="BO271" s="1"/>
  <c r="BZ98"/>
  <c r="CA98"/>
  <c r="CB98" s="1"/>
  <c r="CC98" s="1"/>
  <c r="CD98" s="1"/>
  <c r="BN425"/>
  <c r="BN406" s="1"/>
  <c r="BN271" s="1"/>
  <c r="BN560"/>
  <c r="BN553"/>
  <c r="BN545" s="1"/>
  <c r="BN288"/>
  <c r="BM397" i="20"/>
  <c r="BQ421"/>
  <c r="CM421" s="1"/>
  <c r="W9" i="14"/>
  <c r="X9"/>
  <c r="W10"/>
  <c r="BU818" i="19"/>
  <c r="BV818" s="1"/>
  <c r="BW818" s="1"/>
  <c r="BX818" s="1"/>
  <c r="BY818" s="1"/>
  <c r="BZ818" s="1"/>
  <c r="CA818" s="1"/>
  <c r="CB818" s="1"/>
  <c r="CC818" s="1"/>
  <c r="CD818" s="1"/>
  <c r="BS821"/>
  <c r="BT821" s="1"/>
  <c r="BU821" s="1"/>
  <c r="BV821" s="1"/>
  <c r="BW821" s="1"/>
  <c r="BX821" s="1"/>
  <c r="BY821" s="1"/>
  <c r="BZ821" s="1"/>
  <c r="CA821" s="1"/>
  <c r="CB821" s="1"/>
  <c r="CC821" s="1"/>
  <c r="CD821" s="1"/>
  <c r="BU822"/>
  <c r="BV822" s="1"/>
  <c r="BW822" s="1"/>
  <c r="BX822" s="1"/>
  <c r="BY822" s="1"/>
  <c r="BZ822" s="1"/>
  <c r="CA822" s="1"/>
  <c r="CB822" s="1"/>
  <c r="CC822" s="1"/>
  <c r="CD822" s="1"/>
  <c r="BU823"/>
  <c r="BV823" s="1"/>
  <c r="BW823" s="1"/>
  <c r="BX823" s="1"/>
  <c r="BY823" s="1"/>
  <c r="BZ823" s="1"/>
  <c r="CA823" s="1"/>
  <c r="CB823" s="1"/>
  <c r="CC823" s="1"/>
  <c r="CD823" s="1"/>
  <c r="BR35" i="20"/>
  <c r="CN35" s="1"/>
  <c r="BR397"/>
  <c r="BR504"/>
  <c r="CN504" s="1"/>
  <c r="CL48" i="14"/>
  <c r="CC48"/>
  <c r="BO802" i="19"/>
  <c r="BO63"/>
  <c r="BK359"/>
  <c r="BK364" s="1"/>
  <c r="BK380"/>
  <c r="BK271"/>
  <c r="BK272"/>
  <c r="BK333"/>
  <c r="BK334"/>
  <c r="BK288"/>
  <c r="BL359"/>
  <c r="BL380"/>
  <c r="BL271"/>
  <c r="BL272"/>
  <c r="BL230" i="20" s="1"/>
  <c r="BL333" i="19"/>
  <c r="BL334"/>
  <c r="BL288"/>
  <c r="BM356"/>
  <c r="BM221" i="20" s="1"/>
  <c r="BM380" i="19"/>
  <c r="BM410"/>
  <c r="BM224" i="20" s="1"/>
  <c r="BM426" i="19"/>
  <c r="BL427"/>
  <c r="BM553"/>
  <c r="BM545"/>
  <c r="BM272" s="1"/>
  <c r="BM333"/>
  <c r="BM334"/>
  <c r="BM288"/>
  <c r="BS539"/>
  <c r="BP360"/>
  <c r="BQ360" s="1"/>
  <c r="BR360" s="1"/>
  <c r="BS360" s="1"/>
  <c r="BT360" s="1"/>
  <c r="BP361"/>
  <c r="BQ361" s="1"/>
  <c r="BR361" s="1"/>
  <c r="BS361" s="1"/>
  <c r="BT361" s="1"/>
  <c r="BU361" s="1"/>
  <c r="BV361" s="1"/>
  <c r="BW361" s="1"/>
  <c r="BX361" s="1"/>
  <c r="BY361" s="1"/>
  <c r="BZ361" s="1"/>
  <c r="CA361" s="1"/>
  <c r="CB361" s="1"/>
  <c r="CC361" s="1"/>
  <c r="CD361" s="1"/>
  <c r="BP362"/>
  <c r="BQ362" s="1"/>
  <c r="BR362" s="1"/>
  <c r="BS362" s="1"/>
  <c r="BT362" s="1"/>
  <c r="BU362" s="1"/>
  <c r="BV362" s="1"/>
  <c r="BW362" s="1"/>
  <c r="BX362" s="1"/>
  <c r="BY362" s="1"/>
  <c r="BZ362" s="1"/>
  <c r="CA362" s="1"/>
  <c r="CB362" s="1"/>
  <c r="CC362" s="1"/>
  <c r="CD362" s="1"/>
  <c r="BP363"/>
  <c r="BQ363"/>
  <c r="BR363" s="1"/>
  <c r="BS363" s="1"/>
  <c r="BT363" s="1"/>
  <c r="BU363" s="1"/>
  <c r="BV363" s="1"/>
  <c r="BW363" s="1"/>
  <c r="BX363" s="1"/>
  <c r="BY363" s="1"/>
  <c r="BZ363" s="1"/>
  <c r="CA363" s="1"/>
  <c r="CB363" s="1"/>
  <c r="CC363" s="1"/>
  <c r="CD363" s="1"/>
  <c r="BT380"/>
  <c r="BR1100"/>
  <c r="BR1101"/>
  <c r="BR1102"/>
  <c r="BR1103"/>
  <c r="BR1106"/>
  <c r="BR1119"/>
  <c r="BR1120"/>
  <c r="BQ1100"/>
  <c r="BQ1101"/>
  <c r="BQ1102"/>
  <c r="BQ1103"/>
  <c r="BQ1106"/>
  <c r="BQ1119"/>
  <c r="BQ1120"/>
  <c r="BS1100"/>
  <c r="BS1102"/>
  <c r="BS1103"/>
  <c r="BS1003"/>
  <c r="BS1011"/>
  <c r="BS1004"/>
  <c r="BT1004" s="1"/>
  <c r="BS1012"/>
  <c r="BT1012" s="1"/>
  <c r="BU1012" s="1"/>
  <c r="BV1012" s="1"/>
  <c r="BW1012" s="1"/>
  <c r="BX1012" s="1"/>
  <c r="BY1012" s="1"/>
  <c r="BZ1012" s="1"/>
  <c r="CA1012" s="1"/>
  <c r="CB1012" s="1"/>
  <c r="CC1012" s="1"/>
  <c r="CD1012" s="1"/>
  <c r="BT1100"/>
  <c r="BT1102"/>
  <c r="BT1103"/>
  <c r="BT1060"/>
  <c r="BO1060"/>
  <c r="BO1069"/>
  <c r="BP1060"/>
  <c r="BP1069"/>
  <c r="BQ1060"/>
  <c r="BR1060"/>
  <c r="BS1060"/>
  <c r="BN1060"/>
  <c r="BN1100"/>
  <c r="BN87"/>
  <c r="BN37" i="20" s="1"/>
  <c r="CJ37" s="1"/>
  <c r="BN1075" i="19"/>
  <c r="BN19" i="20" s="1"/>
  <c r="CJ19" s="1"/>
  <c r="BP1100" i="19"/>
  <c r="BQ1069"/>
  <c r="BR1069"/>
  <c r="BM87"/>
  <c r="BM37" i="20" s="1"/>
  <c r="BO42"/>
  <c r="CK42" s="1"/>
  <c r="B1100" i="19"/>
  <c r="B1112" s="1"/>
  <c r="B21" i="20"/>
  <c r="B42" s="1"/>
  <c r="B64" s="1"/>
  <c r="B88" s="1"/>
  <c r="B110" s="1"/>
  <c r="B132" s="1"/>
  <c r="BN101" i="19"/>
  <c r="BN49" i="20" s="1"/>
  <c r="CJ49" s="1"/>
  <c r="BN100" i="19"/>
  <c r="BN48" i="20" s="1"/>
  <c r="BM101" i="19"/>
  <c r="BM49" i="20"/>
  <c r="BL101" i="19"/>
  <c r="BL49" i="20"/>
  <c r="BK101" i="19"/>
  <c r="BK49" i="20"/>
  <c r="BJ101" i="19"/>
  <c r="BJ49" i="20" s="1"/>
  <c r="BM100" i="19"/>
  <c r="BM48" i="20" s="1"/>
  <c r="BL100" i="19"/>
  <c r="BL48" i="20" s="1"/>
  <c r="BK100" i="19"/>
  <c r="BK48" i="20" s="1"/>
  <c r="BN98" i="19"/>
  <c r="BN46" i="20" s="1"/>
  <c r="BM98" i="19"/>
  <c r="BM46" i="20" s="1"/>
  <c r="BL98" i="19"/>
  <c r="BL46" i="20" s="1"/>
  <c r="BK98" i="19"/>
  <c r="BK46" i="20" s="1"/>
  <c r="BJ98" i="19"/>
  <c r="BJ46" i="20" s="1"/>
  <c r="BN84" i="19"/>
  <c r="BN34" i="20" s="1"/>
  <c r="B1095" i="19"/>
  <c r="AC33" i="14"/>
  <c r="AD33"/>
  <c r="AE33"/>
  <c r="AF33"/>
  <c r="AG33"/>
  <c r="AB33"/>
  <c r="BT119" i="19"/>
  <c r="BO397" i="20"/>
  <c r="BC137" i="19"/>
  <c r="BC138"/>
  <c r="BD137"/>
  <c r="BD138"/>
  <c r="BK60"/>
  <c r="BK14" i="20" s="1"/>
  <c r="BA81" i="19"/>
  <c r="BA24" i="20" s="1"/>
  <c r="BM671" i="19"/>
  <c r="BM672"/>
  <c r="BM725"/>
  <c r="BM675" s="1"/>
  <c r="BM677"/>
  <c r="BM679"/>
  <c r="BM207" i="20"/>
  <c r="BM632" i="19"/>
  <c r="BM712"/>
  <c r="BM633" s="1"/>
  <c r="BM636"/>
  <c r="BM637"/>
  <c r="BM638"/>
  <c r="BM645"/>
  <c r="BM649"/>
  <c r="BM653"/>
  <c r="BM188" i="20" s="1"/>
  <c r="BM660" i="19"/>
  <c r="BM666"/>
  <c r="BM690"/>
  <c r="BM694" s="1"/>
  <c r="BM28"/>
  <c r="BM32" s="1"/>
  <c r="BN28"/>
  <c r="BN32" s="1"/>
  <c r="AQ68"/>
  <c r="AQ103" s="1"/>
  <c r="AQ106" s="1"/>
  <c r="AP67"/>
  <c r="AP102" s="1"/>
  <c r="AP68"/>
  <c r="AP103" s="1"/>
  <c r="AR67"/>
  <c r="AR102" s="1"/>
  <c r="AR68"/>
  <c r="AR103" s="1"/>
  <c r="AS67"/>
  <c r="AS102" s="1"/>
  <c r="AS68"/>
  <c r="AS103" s="1"/>
  <c r="AT67"/>
  <c r="AT102" s="1"/>
  <c r="AT68"/>
  <c r="AT103" s="1"/>
  <c r="AU67"/>
  <c r="AU102" s="1"/>
  <c r="AU68"/>
  <c r="AU103" s="1"/>
  <c r="AV67"/>
  <c r="AV68"/>
  <c r="AV30" i="20"/>
  <c r="AW67" i="19"/>
  <c r="AW29" i="20"/>
  <c r="AW68" i="19"/>
  <c r="AW30" i="20"/>
  <c r="AX67" i="19"/>
  <c r="AX68"/>
  <c r="AY67"/>
  <c r="AY29" i="20"/>
  <c r="AY68" i="19"/>
  <c r="AY30" i="20" s="1"/>
  <c r="AZ67" i="19"/>
  <c r="AZ68"/>
  <c r="BA67"/>
  <c r="BA29" i="20" s="1"/>
  <c r="BA68" i="19"/>
  <c r="BA30" i="20" s="1"/>
  <c r="BB67" i="19"/>
  <c r="BB68"/>
  <c r="BC67"/>
  <c r="BC29" i="20" s="1"/>
  <c r="BC68" i="19"/>
  <c r="BC30" i="20" s="1"/>
  <c r="BD67" i="19"/>
  <c r="BD68"/>
  <c r="BE67"/>
  <c r="BE29" i="20" s="1"/>
  <c r="BE68" i="19"/>
  <c r="BE30" i="20" s="1"/>
  <c r="BF67" i="19"/>
  <c r="BF68"/>
  <c r="BG67"/>
  <c r="BG29" i="20" s="1"/>
  <c r="BG68" i="19"/>
  <c r="BG30" i="20" s="1"/>
  <c r="BH67" i="19"/>
  <c r="BH68"/>
  <c r="BI67"/>
  <c r="BI29" i="20" s="1"/>
  <c r="BI68" i="19"/>
  <c r="BI30" i="20" s="1"/>
  <c r="BJ67" i="19"/>
  <c r="BJ68"/>
  <c r="BK67"/>
  <c r="BK29" i="20" s="1"/>
  <c r="BK68" i="19"/>
  <c r="BK30" i="20" s="1"/>
  <c r="BL67" i="19"/>
  <c r="BL68"/>
  <c r="BM67"/>
  <c r="BM29" i="20" s="1"/>
  <c r="BM68" i="19"/>
  <c r="BM30" i="20" s="1"/>
  <c r="BN67" i="19"/>
  <c r="BN68"/>
  <c r="BN30" i="20"/>
  <c r="BD425"/>
  <c r="F429"/>
  <c r="G429"/>
  <c r="H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AE429"/>
  <c r="AF429"/>
  <c r="AG429"/>
  <c r="AH429"/>
  <c r="AI429"/>
  <c r="AJ429"/>
  <c r="AK429"/>
  <c r="AL429"/>
  <c r="AM429"/>
  <c r="AN429"/>
  <c r="AO429"/>
  <c r="AP429"/>
  <c r="AQ429"/>
  <c r="AR429"/>
  <c r="AS429"/>
  <c r="AT429"/>
  <c r="AU429"/>
  <c r="F425"/>
  <c r="G425"/>
  <c r="H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AE425"/>
  <c r="AF425"/>
  <c r="AG425"/>
  <c r="AH425"/>
  <c r="AI425"/>
  <c r="AJ425"/>
  <c r="AK425"/>
  <c r="AL425"/>
  <c r="AM425"/>
  <c r="AN425"/>
  <c r="AO425"/>
  <c r="AP425"/>
  <c r="AQ425"/>
  <c r="AR425"/>
  <c r="AS425"/>
  <c r="AT425"/>
  <c r="AU425"/>
  <c r="AV425"/>
  <c r="AW425"/>
  <c r="AX425"/>
  <c r="AY425"/>
  <c r="AZ425"/>
  <c r="BA425"/>
  <c r="BB425"/>
  <c r="BC425"/>
  <c r="F404"/>
  <c r="F398"/>
  <c r="G398"/>
  <c r="H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AE398"/>
  <c r="AF398"/>
  <c r="AG398"/>
  <c r="AH398"/>
  <c r="AI398"/>
  <c r="AJ398"/>
  <c r="AK398"/>
  <c r="AL398"/>
  <c r="AM398"/>
  <c r="AN398"/>
  <c r="AO398"/>
  <c r="F399"/>
  <c r="F397"/>
  <c r="G397"/>
  <c r="H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AE397"/>
  <c r="AF397"/>
  <c r="AG397"/>
  <c r="AH397"/>
  <c r="AI397"/>
  <c r="AJ397"/>
  <c r="AK397"/>
  <c r="AL397"/>
  <c r="AM397"/>
  <c r="AN397"/>
  <c r="AO397"/>
  <c r="AP397"/>
  <c r="AQ397"/>
  <c r="AR397"/>
  <c r="AS397"/>
  <c r="AT397"/>
  <c r="AV429"/>
  <c r="AW429"/>
  <c r="AX429"/>
  <c r="AY429"/>
  <c r="AZ429"/>
  <c r="BA429"/>
  <c r="BB429"/>
  <c r="BC429"/>
  <c r="BB421"/>
  <c r="BP421"/>
  <c r="AU62" i="28"/>
  <c r="AV62"/>
  <c r="AW62"/>
  <c r="AX62"/>
  <c r="AY62"/>
  <c r="AZ62"/>
  <c r="BA62"/>
  <c r="BB62"/>
  <c r="BC62"/>
  <c r="BD62"/>
  <c r="E45"/>
  <c r="E105" s="1"/>
  <c r="F45"/>
  <c r="G45"/>
  <c r="G105" s="1"/>
  <c r="H45"/>
  <c r="H105" s="1"/>
  <c r="I45"/>
  <c r="I105" s="1"/>
  <c r="J45"/>
  <c r="K45"/>
  <c r="K105" s="1"/>
  <c r="L45"/>
  <c r="M45"/>
  <c r="M105" s="1"/>
  <c r="N45"/>
  <c r="N105" s="1"/>
  <c r="O45"/>
  <c r="O105" s="1"/>
  <c r="P45"/>
  <c r="Q45"/>
  <c r="Q105" s="1"/>
  <c r="R45"/>
  <c r="R105" s="1"/>
  <c r="S45"/>
  <c r="S105" s="1"/>
  <c r="T45"/>
  <c r="U45"/>
  <c r="U105" s="1"/>
  <c r="V45"/>
  <c r="W45"/>
  <c r="W105" s="1"/>
  <c r="X45"/>
  <c r="Y45"/>
  <c r="Y105" s="1"/>
  <c r="Z45"/>
  <c r="AA45"/>
  <c r="AA105" s="1"/>
  <c r="AB45"/>
  <c r="AB105" s="1"/>
  <c r="AC45"/>
  <c r="AC105" s="1"/>
  <c r="AD45"/>
  <c r="AE73" s="1"/>
  <c r="AE45"/>
  <c r="AE105" s="1"/>
  <c r="AF45"/>
  <c r="AG45"/>
  <c r="AG105" s="1"/>
  <c r="AH45"/>
  <c r="AI45"/>
  <c r="AI105" s="1"/>
  <c r="AJ45"/>
  <c r="AK45"/>
  <c r="AK105" s="1"/>
  <c r="AL45"/>
  <c r="AM73" s="1"/>
  <c r="AM45"/>
  <c r="AM105" s="1"/>
  <c r="AN45"/>
  <c r="AO73" s="1"/>
  <c r="AO45"/>
  <c r="AO105" s="1"/>
  <c r="AP45"/>
  <c r="AP105" s="1"/>
  <c r="AQ45"/>
  <c r="AQ105" s="1"/>
  <c r="AR45"/>
  <c r="AS45"/>
  <c r="AT45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AU24"/>
  <c r="AV24"/>
  <c r="AW24"/>
  <c r="AX24"/>
  <c r="AY24"/>
  <c r="AZ24"/>
  <c r="BA24"/>
  <c r="BB24"/>
  <c r="BC24"/>
  <c r="BD24"/>
  <c r="BQ10"/>
  <c r="BR10"/>
  <c r="BS10"/>
  <c r="BT10"/>
  <c r="BN35" i="20"/>
  <c r="BN43"/>
  <c r="CJ43"/>
  <c r="BN224"/>
  <c r="CJ224" s="1"/>
  <c r="BN226"/>
  <c r="CJ226" s="1"/>
  <c r="BN227"/>
  <c r="CJ227" s="1"/>
  <c r="BN228"/>
  <c r="CJ228" s="1"/>
  <c r="BN234"/>
  <c r="CJ234" s="1"/>
  <c r="BN237"/>
  <c r="BN242"/>
  <c r="CJ242" s="1"/>
  <c r="BN118" i="19"/>
  <c r="BN245" i="20"/>
  <c r="BN252"/>
  <c r="BN258"/>
  <c r="BN259"/>
  <c r="BN277"/>
  <c r="BN279"/>
  <c r="CJ279" s="1"/>
  <c r="BN302"/>
  <c r="BN354"/>
  <c r="BN355"/>
  <c r="BN365"/>
  <c r="CJ365" s="1"/>
  <c r="BN397"/>
  <c r="BN421"/>
  <c r="BN504"/>
  <c r="CJ504" s="1"/>
  <c r="Z5" i="14"/>
  <c r="BN59" i="19"/>
  <c r="BP1106"/>
  <c r="BN1106"/>
  <c r="BN1118" s="1"/>
  <c r="B1106"/>
  <c r="B1118" s="1"/>
  <c r="B20" i="20"/>
  <c r="B41" s="1"/>
  <c r="B63" s="1"/>
  <c r="B87" s="1"/>
  <c r="B109" s="1"/>
  <c r="B131" s="1"/>
  <c r="BT68" i="19"/>
  <c r="BS68"/>
  <c r="BR68"/>
  <c r="BQ68"/>
  <c r="BP68"/>
  <c r="BO68"/>
  <c r="BP1052"/>
  <c r="BV1041"/>
  <c r="BV1042"/>
  <c r="BV1048"/>
  <c r="BV1049"/>
  <c r="BO1039"/>
  <c r="BO799"/>
  <c r="BP799"/>
  <c r="BN74"/>
  <c r="BO74" s="1"/>
  <c r="BO355" i="20"/>
  <c r="BO354"/>
  <c r="BO277"/>
  <c r="BN625" i="19"/>
  <c r="BN271" i="20"/>
  <c r="CJ271" s="1"/>
  <c r="BN247"/>
  <c r="CL54" i="14"/>
  <c r="S78"/>
  <c r="T78"/>
  <c r="U78"/>
  <c r="V78"/>
  <c r="W78"/>
  <c r="X78"/>
  <c r="Y78"/>
  <c r="R78"/>
  <c r="R77"/>
  <c r="S77"/>
  <c r="BO54"/>
  <c r="BU54"/>
  <c r="BS126" i="19"/>
  <c r="BT126" s="1"/>
  <c r="BU126" s="1"/>
  <c r="BV126" s="1"/>
  <c r="BW126" s="1"/>
  <c r="BX126" s="1"/>
  <c r="BY126" s="1"/>
  <c r="BZ126" s="1"/>
  <c r="CA126" s="1"/>
  <c r="CB126" s="1"/>
  <c r="CC126" s="1"/>
  <c r="CD126" s="1"/>
  <c r="BO118"/>
  <c r="V35" i="14"/>
  <c r="BN1052" i="19"/>
  <c r="BO1052"/>
  <c r="BS81" i="14"/>
  <c r="BT79"/>
  <c r="BS79"/>
  <c r="BT54"/>
  <c r="BS54"/>
  <c r="BT51"/>
  <c r="BS51"/>
  <c r="CC20"/>
  <c r="BT20"/>
  <c r="BS20"/>
  <c r="BS18"/>
  <c r="W5"/>
  <c r="Y55"/>
  <c r="Z55"/>
  <c r="AA55"/>
  <c r="AB55"/>
  <c r="AC55"/>
  <c r="AD55"/>
  <c r="AE55"/>
  <c r="AF55"/>
  <c r="AG55"/>
  <c r="AH55"/>
  <c r="AI55"/>
  <c r="AJ55"/>
  <c r="AK55"/>
  <c r="AL55"/>
  <c r="Y56"/>
  <c r="Z56"/>
  <c r="AA56"/>
  <c r="AB56"/>
  <c r="AC56"/>
  <c r="AD56"/>
  <c r="AE56"/>
  <c r="AF56"/>
  <c r="AG56"/>
  <c r="AH56"/>
  <c r="AI56"/>
  <c r="AJ56"/>
  <c r="AK56"/>
  <c r="AL56"/>
  <c r="Y57"/>
  <c r="Z57"/>
  <c r="AA57"/>
  <c r="AB57"/>
  <c r="AC57"/>
  <c r="AD57"/>
  <c r="AE57"/>
  <c r="AF57"/>
  <c r="AG57"/>
  <c r="AH57"/>
  <c r="AI57"/>
  <c r="AJ57"/>
  <c r="AK57"/>
  <c r="AL57"/>
  <c r="Y59"/>
  <c r="Z59"/>
  <c r="AA59"/>
  <c r="AB59"/>
  <c r="AC59"/>
  <c r="AD59"/>
  <c r="AE59"/>
  <c r="AF59"/>
  <c r="AG59"/>
  <c r="AH59"/>
  <c r="AI59"/>
  <c r="AJ59"/>
  <c r="AK59"/>
  <c r="AL59"/>
  <c r="Y60"/>
  <c r="Z60"/>
  <c r="AA60"/>
  <c r="AB60"/>
  <c r="AC60"/>
  <c r="AD60"/>
  <c r="AE60"/>
  <c r="AF60"/>
  <c r="AG60"/>
  <c r="AH60"/>
  <c r="AI60"/>
  <c r="AJ60"/>
  <c r="AK60"/>
  <c r="AL60"/>
  <c r="Y61"/>
  <c r="Z61"/>
  <c r="AA61"/>
  <c r="AB61"/>
  <c r="AC61"/>
  <c r="AD61"/>
  <c r="AE61"/>
  <c r="AF61"/>
  <c r="AG61"/>
  <c r="AH61"/>
  <c r="AI61"/>
  <c r="AJ61"/>
  <c r="AK61"/>
  <c r="AL61"/>
  <c r="Y62"/>
  <c r="Z62"/>
  <c r="AA62"/>
  <c r="AB62"/>
  <c r="AC62"/>
  <c r="AD62"/>
  <c r="AE62"/>
  <c r="AF62"/>
  <c r="AG62"/>
  <c r="AH62"/>
  <c r="AI62"/>
  <c r="AJ62"/>
  <c r="AK62"/>
  <c r="AL62"/>
  <c r="Y63"/>
  <c r="Z63"/>
  <c r="AA63"/>
  <c r="AB63"/>
  <c r="AC63"/>
  <c r="AD63"/>
  <c r="AE63"/>
  <c r="AF63"/>
  <c r="AG63"/>
  <c r="AH63"/>
  <c r="AI63"/>
  <c r="AJ63"/>
  <c r="AK63"/>
  <c r="AL63"/>
  <c r="Y64"/>
  <c r="Z64"/>
  <c r="AA64"/>
  <c r="AB64"/>
  <c r="AC64"/>
  <c r="AD64"/>
  <c r="AE64"/>
  <c r="AF64"/>
  <c r="AG64"/>
  <c r="AH64"/>
  <c r="AI64"/>
  <c r="AJ64"/>
  <c r="AK64"/>
  <c r="AL64"/>
  <c r="Z65"/>
  <c r="AA65"/>
  <c r="AB65"/>
  <c r="AC65"/>
  <c r="AD65"/>
  <c r="AE65"/>
  <c r="AF65"/>
  <c r="AG65"/>
  <c r="AH65"/>
  <c r="AI65"/>
  <c r="AJ65"/>
  <c r="AK65"/>
  <c r="AL65"/>
  <c r="X43"/>
  <c r="BP89" i="19"/>
  <c r="AC43" i="14"/>
  <c r="AD43"/>
  <c r="AE43"/>
  <c r="AF43"/>
  <c r="AG43"/>
  <c r="AH43"/>
  <c r="AI43"/>
  <c r="AJ43"/>
  <c r="AK43"/>
  <c r="AL43"/>
  <c r="BE421" i="20"/>
  <c r="BF421"/>
  <c r="BO821" i="19"/>
  <c r="BP397" i="20"/>
  <c r="BQ397"/>
  <c r="BS122" i="19"/>
  <c r="BT122"/>
  <c r="BU122" s="1"/>
  <c r="BV122" s="1"/>
  <c r="BW122" s="1"/>
  <c r="BX122" s="1"/>
  <c r="BY122" s="1"/>
  <c r="BZ122" s="1"/>
  <c r="CA122" s="1"/>
  <c r="CB122" s="1"/>
  <c r="CC122" s="1"/>
  <c r="CD122" s="1"/>
  <c r="Z20" i="14"/>
  <c r="W20"/>
  <c r="V18"/>
  <c r="U18"/>
  <c r="Y20"/>
  <c r="V20"/>
  <c r="X20"/>
  <c r="AA20"/>
  <c r="AB20"/>
  <c r="AC20"/>
  <c r="AD20"/>
  <c r="AE20"/>
  <c r="AF20"/>
  <c r="AG20"/>
  <c r="AH20"/>
  <c r="AI20"/>
  <c r="AJ20"/>
  <c r="AK20"/>
  <c r="AL20"/>
  <c r="W18"/>
  <c r="Y18"/>
  <c r="Z18"/>
  <c r="AA18"/>
  <c r="AB18"/>
  <c r="AC18"/>
  <c r="AD18"/>
  <c r="AE18"/>
  <c r="AF18"/>
  <c r="AG18"/>
  <c r="AH18"/>
  <c r="AI18"/>
  <c r="Y9"/>
  <c r="Z9"/>
  <c r="AA9"/>
  <c r="AB9"/>
  <c r="AC9"/>
  <c r="AD9"/>
  <c r="AE9"/>
  <c r="AF9"/>
  <c r="AG9"/>
  <c r="AH9"/>
  <c r="AI9"/>
  <c r="AJ9"/>
  <c r="AK9"/>
  <c r="AL9"/>
  <c r="BM35" i="20"/>
  <c r="BO35"/>
  <c r="BP35"/>
  <c r="CL35" s="1"/>
  <c r="BQ35"/>
  <c r="CM35" s="1"/>
  <c r="BU123" i="19"/>
  <c r="BV123"/>
  <c r="BW123" s="1"/>
  <c r="BX123" s="1"/>
  <c r="BY123" s="1"/>
  <c r="BZ123" s="1"/>
  <c r="CA123" s="1"/>
  <c r="CB123" s="1"/>
  <c r="CC123" s="1"/>
  <c r="CD123" s="1"/>
  <c r="BI226" i="20"/>
  <c r="BN645" i="19"/>
  <c r="BN649"/>
  <c r="BN589"/>
  <c r="BN679"/>
  <c r="BN754"/>
  <c r="BN677"/>
  <c r="BN672"/>
  <c r="BN738"/>
  <c r="BN671"/>
  <c r="BN725"/>
  <c r="BN675" s="1"/>
  <c r="BN666"/>
  <c r="BN660"/>
  <c r="BN656"/>
  <c r="BN653"/>
  <c r="BN638"/>
  <c r="BN637"/>
  <c r="BN712"/>
  <c r="BN636"/>
  <c r="BN632"/>
  <c r="AZ373" i="20"/>
  <c r="BC302"/>
  <c r="BD302"/>
  <c r="BE302"/>
  <c r="BF302"/>
  <c r="BG302"/>
  <c r="BH302"/>
  <c r="BI302"/>
  <c r="BJ302"/>
  <c r="BK302"/>
  <c r="BH373"/>
  <c r="BG373"/>
  <c r="BF373"/>
  <c r="BE373"/>
  <c r="BD373"/>
  <c r="BC373"/>
  <c r="BB373"/>
  <c r="BA373"/>
  <c r="BK242"/>
  <c r="BJ242"/>
  <c r="BI242"/>
  <c r="BH242"/>
  <c r="BG242"/>
  <c r="BF242"/>
  <c r="BE242"/>
  <c r="BD242"/>
  <c r="BC242"/>
  <c r="BD370"/>
  <c r="BF371"/>
  <c r="BE371"/>
  <c r="BD371"/>
  <c r="BC371"/>
  <c r="BB371"/>
  <c r="BA371"/>
  <c r="AC7" i="14"/>
  <c r="AD7"/>
  <c r="AE7"/>
  <c r="AF7"/>
  <c r="AG7"/>
  <c r="AH7"/>
  <c r="AI7"/>
  <c r="AJ7"/>
  <c r="AK7"/>
  <c r="AL7"/>
  <c r="AA58"/>
  <c r="AB58"/>
  <c r="AC58"/>
  <c r="AD58"/>
  <c r="AE58"/>
  <c r="AF58"/>
  <c r="AG58"/>
  <c r="AH58"/>
  <c r="AI58"/>
  <c r="AJ58"/>
  <c r="AK58"/>
  <c r="AL58"/>
  <c r="Y58"/>
  <c r="Z58"/>
  <c r="X58"/>
  <c r="V63"/>
  <c r="V3"/>
  <c r="V5"/>
  <c r="W3"/>
  <c r="Y5"/>
  <c r="AA5"/>
  <c r="AB5"/>
  <c r="AC5"/>
  <c r="AD5"/>
  <c r="AE5"/>
  <c r="AF5"/>
  <c r="AG5"/>
  <c r="AH5"/>
  <c r="AI5"/>
  <c r="AJ5"/>
  <c r="AK5"/>
  <c r="AL5"/>
  <c r="V7"/>
  <c r="W7"/>
  <c r="V9"/>
  <c r="V10"/>
  <c r="X10"/>
  <c r="Y10"/>
  <c r="Z10"/>
  <c r="AA10"/>
  <c r="AB10"/>
  <c r="AC10"/>
  <c r="AD10"/>
  <c r="AE10"/>
  <c r="AF10"/>
  <c r="AG10"/>
  <c r="AH10"/>
  <c r="AI10"/>
  <c r="AJ10"/>
  <c r="AK10"/>
  <c r="AL10"/>
  <c r="V11"/>
  <c r="W11"/>
  <c r="X11"/>
  <c r="Y11"/>
  <c r="Z11"/>
  <c r="AA11"/>
  <c r="AB11"/>
  <c r="AC11"/>
  <c r="AD11"/>
  <c r="AE11"/>
  <c r="AF11"/>
  <c r="AG11"/>
  <c r="AH11"/>
  <c r="AI11"/>
  <c r="AJ11"/>
  <c r="AK11"/>
  <c r="AL11"/>
  <c r="V12"/>
  <c r="W12"/>
  <c r="X12"/>
  <c r="Y12"/>
  <c r="Z12"/>
  <c r="AA12"/>
  <c r="AB12"/>
  <c r="AC12"/>
  <c r="AD12"/>
  <c r="AE12"/>
  <c r="AF12"/>
  <c r="AG12"/>
  <c r="AH12"/>
  <c r="AI12"/>
  <c r="AJ12"/>
  <c r="AK12"/>
  <c r="AL12"/>
  <c r="V13"/>
  <c r="W13"/>
  <c r="X13"/>
  <c r="Y13"/>
  <c r="Z13"/>
  <c r="AA13"/>
  <c r="AB13"/>
  <c r="AC13"/>
  <c r="AD13"/>
  <c r="AE13"/>
  <c r="AF13"/>
  <c r="AG13"/>
  <c r="AH13"/>
  <c r="AI13"/>
  <c r="AJ13"/>
  <c r="AK13"/>
  <c r="AL13"/>
  <c r="T3"/>
  <c r="T14"/>
  <c r="U3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V15"/>
  <c r="W15"/>
  <c r="X15"/>
  <c r="Y15"/>
  <c r="Z15"/>
  <c r="AA15"/>
  <c r="AB15"/>
  <c r="AC15"/>
  <c r="AD15"/>
  <c r="AE15"/>
  <c r="AF15"/>
  <c r="AG15"/>
  <c r="AH15"/>
  <c r="AI15"/>
  <c r="AJ15"/>
  <c r="AK15"/>
  <c r="AL15"/>
  <c r="V16"/>
  <c r="W16"/>
  <c r="X16"/>
  <c r="Y16"/>
  <c r="Z16"/>
  <c r="AA16"/>
  <c r="AB16"/>
  <c r="AC16"/>
  <c r="AD16"/>
  <c r="AE16"/>
  <c r="AF16"/>
  <c r="AG16"/>
  <c r="AH16"/>
  <c r="AI16"/>
  <c r="AJ16"/>
  <c r="AK16"/>
  <c r="AL16"/>
  <c r="V31"/>
  <c r="W31"/>
  <c r="X31"/>
  <c r="Y31"/>
  <c r="Z31"/>
  <c r="AA31"/>
  <c r="AB31"/>
  <c r="AC31"/>
  <c r="AD31"/>
  <c r="AE31"/>
  <c r="AF31"/>
  <c r="AG31"/>
  <c r="AH31"/>
  <c r="AI31"/>
  <c r="AJ31"/>
  <c r="AK31"/>
  <c r="AL31"/>
  <c r="V33"/>
  <c r="AH33"/>
  <c r="AI33"/>
  <c r="AJ33"/>
  <c r="AK33"/>
  <c r="AL33"/>
  <c r="V34"/>
  <c r="W34"/>
  <c r="X34"/>
  <c r="Y34"/>
  <c r="Z34"/>
  <c r="AA34"/>
  <c r="AB34"/>
  <c r="AC34"/>
  <c r="AD34"/>
  <c r="AE34"/>
  <c r="AF34"/>
  <c r="AG34"/>
  <c r="AH34"/>
  <c r="AI34"/>
  <c r="AJ34"/>
  <c r="AK34"/>
  <c r="AL34"/>
  <c r="W35"/>
  <c r="X35"/>
  <c r="Y35"/>
  <c r="Z35"/>
  <c r="AA35"/>
  <c r="AB35"/>
  <c r="AC35"/>
  <c r="AD35"/>
  <c r="AE35"/>
  <c r="AF35"/>
  <c r="AG35"/>
  <c r="AH35"/>
  <c r="AI35"/>
  <c r="AJ35"/>
  <c r="AK35"/>
  <c r="AL35"/>
  <c r="V36"/>
  <c r="W36"/>
  <c r="X36"/>
  <c r="Y36"/>
  <c r="Z36"/>
  <c r="AA36"/>
  <c r="AB36"/>
  <c r="AC36"/>
  <c r="AD36"/>
  <c r="AE36"/>
  <c r="AF36"/>
  <c r="AG36"/>
  <c r="AH36"/>
  <c r="AI36"/>
  <c r="AJ36"/>
  <c r="AK36"/>
  <c r="AL36"/>
  <c r="V37"/>
  <c r="W37"/>
  <c r="X37"/>
  <c r="Y37"/>
  <c r="Z37"/>
  <c r="AA37"/>
  <c r="AB37"/>
  <c r="AC37"/>
  <c r="AD37"/>
  <c r="AE37"/>
  <c r="AF37"/>
  <c r="AG37"/>
  <c r="AH37"/>
  <c r="AI37"/>
  <c r="AJ37"/>
  <c r="AK37"/>
  <c r="AL37"/>
  <c r="V38"/>
  <c r="W38"/>
  <c r="X38"/>
  <c r="Y38"/>
  <c r="Z38"/>
  <c r="AA38"/>
  <c r="AB38"/>
  <c r="AC38"/>
  <c r="AD38"/>
  <c r="AE38"/>
  <c r="AF38"/>
  <c r="AG38"/>
  <c r="AH38"/>
  <c r="AI38"/>
  <c r="AJ38"/>
  <c r="AK38"/>
  <c r="AL38"/>
  <c r="V39"/>
  <c r="W39"/>
  <c r="X39"/>
  <c r="Y39"/>
  <c r="Z39"/>
  <c r="AA39"/>
  <c r="AB39"/>
  <c r="AC39"/>
  <c r="AD39"/>
  <c r="AE39"/>
  <c r="AF39"/>
  <c r="AG39"/>
  <c r="AH39"/>
  <c r="AI39"/>
  <c r="AJ39"/>
  <c r="AK39"/>
  <c r="AL39"/>
  <c r="V40"/>
  <c r="W40"/>
  <c r="X40"/>
  <c r="Y40"/>
  <c r="Z40"/>
  <c r="AA40"/>
  <c r="AB40"/>
  <c r="AC40"/>
  <c r="AD40"/>
  <c r="AE40"/>
  <c r="AF40"/>
  <c r="AG40"/>
  <c r="AH40"/>
  <c r="AI40"/>
  <c r="AJ40"/>
  <c r="AK40"/>
  <c r="AL40"/>
  <c r="V41"/>
  <c r="W41"/>
  <c r="X41"/>
  <c r="Y41"/>
  <c r="Z41"/>
  <c r="AA41"/>
  <c r="AB41"/>
  <c r="AC41"/>
  <c r="AD41"/>
  <c r="AE41"/>
  <c r="AF41"/>
  <c r="AG41"/>
  <c r="AH41"/>
  <c r="AI41"/>
  <c r="AJ41"/>
  <c r="AK41"/>
  <c r="AL41"/>
  <c r="V42"/>
  <c r="W42"/>
  <c r="X42"/>
  <c r="Y42"/>
  <c r="Z42"/>
  <c r="AA42"/>
  <c r="AB42"/>
  <c r="AC42"/>
  <c r="AD42"/>
  <c r="AE42"/>
  <c r="AF42"/>
  <c r="AG42"/>
  <c r="AH42"/>
  <c r="AI42"/>
  <c r="AJ42"/>
  <c r="AK42"/>
  <c r="AL42"/>
  <c r="V58"/>
  <c r="W58"/>
  <c r="BF413" i="20"/>
  <c r="BB427"/>
  <c r="BE149"/>
  <c r="BL157"/>
  <c r="AV10" i="23"/>
  <c r="BM47" i="19"/>
  <c r="BM42" s="1"/>
  <c r="P64" i="14"/>
  <c r="Q64"/>
  <c r="R64"/>
  <c r="S64"/>
  <c r="T59"/>
  <c r="T64"/>
  <c r="U59"/>
  <c r="U64"/>
  <c r="V59"/>
  <c r="V64"/>
  <c r="W59"/>
  <c r="W64"/>
  <c r="X59"/>
  <c r="X64"/>
  <c r="AL68"/>
  <c r="W63"/>
  <c r="X63"/>
  <c r="BE103" i="20"/>
  <c r="AX8" i="23"/>
  <c r="CG28" i="20"/>
  <c r="V75" i="14"/>
  <c r="BM259" i="20"/>
  <c r="W75" i="14"/>
  <c r="X75"/>
  <c r="Y75"/>
  <c r="Z75"/>
  <c r="AA75"/>
  <c r="AB75"/>
  <c r="AC75"/>
  <c r="AD75"/>
  <c r="AE75"/>
  <c r="AF75"/>
  <c r="AG75"/>
  <c r="AH75"/>
  <c r="AI75"/>
  <c r="AJ75"/>
  <c r="AK75"/>
  <c r="AL75"/>
  <c r="BG308" i="20"/>
  <c r="P61" i="14"/>
  <c r="Q61"/>
  <c r="R61"/>
  <c r="S61"/>
  <c r="T61"/>
  <c r="U61"/>
  <c r="V61"/>
  <c r="W61"/>
  <c r="X61"/>
  <c r="BM365" i="20"/>
  <c r="BM38" i="23" s="1"/>
  <c r="CK38" s="1"/>
  <c r="V62" i="14"/>
  <c r="W62"/>
  <c r="X6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T76"/>
  <c r="BL379" i="20" s="1"/>
  <c r="CH379" s="1"/>
  <c r="U76" i="14"/>
  <c r="BM379" i="20" s="1"/>
  <c r="V76" i="14"/>
  <c r="BN379" i="20" s="1"/>
  <c r="CJ379" s="1"/>
  <c r="W76" i="14"/>
  <c r="BO379" i="20"/>
  <c r="CK379" s="1"/>
  <c r="X76" i="14"/>
  <c r="BP379" i="20" s="1"/>
  <c r="Y76" i="14"/>
  <c r="BQ379" i="20" s="1"/>
  <c r="CM379" s="1"/>
  <c r="Z76" i="14"/>
  <c r="BR379" i="20"/>
  <c r="S56" i="14"/>
  <c r="T56"/>
  <c r="U56"/>
  <c r="V56"/>
  <c r="W56"/>
  <c r="X56"/>
  <c r="AX372" i="20"/>
  <c r="AW372"/>
  <c r="AY372"/>
  <c r="AZ372"/>
  <c r="BA372"/>
  <c r="BB372"/>
  <c r="BC372"/>
  <c r="BD372"/>
  <c r="BE372"/>
  <c r="BN10" i="28"/>
  <c r="BM245" i="20"/>
  <c r="BM421"/>
  <c r="BL302"/>
  <c r="BM302"/>
  <c r="BL245"/>
  <c r="CH245" s="1"/>
  <c r="BK245"/>
  <c r="BJ245"/>
  <c r="BI245"/>
  <c r="BH245"/>
  <c r="BG245"/>
  <c r="BF245"/>
  <c r="BE245"/>
  <c r="BL365"/>
  <c r="BK365"/>
  <c r="BJ365"/>
  <c r="BI365"/>
  <c r="BI38" i="23" s="1"/>
  <c r="CG38" s="1"/>
  <c r="BH365" i="20"/>
  <c r="BH38" i="23" s="1"/>
  <c r="CF38" s="1"/>
  <c r="BG365" i="20"/>
  <c r="BG38" i="23" s="1"/>
  <c r="BF365" i="20"/>
  <c r="BF38" i="23" s="1"/>
  <c r="BH409" i="20"/>
  <c r="BF374"/>
  <c r="BG257"/>
  <c r="BG258"/>
  <c r="BG293"/>
  <c r="BF257"/>
  <c r="BF237" s="1"/>
  <c r="BF258"/>
  <c r="BF293"/>
  <c r="BL354"/>
  <c r="BK354"/>
  <c r="BM354"/>
  <c r="BL224"/>
  <c r="BL226"/>
  <c r="BL228"/>
  <c r="BL237"/>
  <c r="BL421"/>
  <c r="BM237"/>
  <c r="BL242"/>
  <c r="BL252"/>
  <c r="BL258"/>
  <c r="CH258" s="1"/>
  <c r="BL259"/>
  <c r="BM242"/>
  <c r="BM252"/>
  <c r="BM258"/>
  <c r="BO421"/>
  <c r="BL277"/>
  <c r="BM277"/>
  <c r="BJ10" i="28"/>
  <c r="BK10"/>
  <c r="BL10"/>
  <c r="BM10"/>
  <c r="BO10"/>
  <c r="CO81" i="14"/>
  <c r="CP79"/>
  <c r="CO79"/>
  <c r="CP54"/>
  <c r="CO54"/>
  <c r="CP51"/>
  <c r="CO51"/>
  <c r="CR20"/>
  <c r="CP20"/>
  <c r="CO20"/>
  <c r="CO18"/>
  <c r="X65"/>
  <c r="BA237" i="20"/>
  <c r="CV81" i="14"/>
  <c r="CV54"/>
  <c r="CU54"/>
  <c r="DA20"/>
  <c r="CY20"/>
  <c r="CX20"/>
  <c r="CV18"/>
  <c r="BU1133" i="19"/>
  <c r="BU1134"/>
  <c r="BU1136"/>
  <c r="BU1137"/>
  <c r="BS1007"/>
  <c r="BU274"/>
  <c r="BV274"/>
  <c r="BW274" s="1"/>
  <c r="BX274" s="1"/>
  <c r="BY274" s="1"/>
  <c r="BZ274" s="1"/>
  <c r="CA274" s="1"/>
  <c r="CB274" s="1"/>
  <c r="CC274" s="1"/>
  <c r="CD274" s="1"/>
  <c r="BU283"/>
  <c r="BV283" s="1"/>
  <c r="BW283" s="1"/>
  <c r="BX283" s="1"/>
  <c r="BY283" s="1"/>
  <c r="BZ283" s="1"/>
  <c r="CA283" s="1"/>
  <c r="CB283" s="1"/>
  <c r="CC283" s="1"/>
  <c r="CD283" s="1"/>
  <c r="G77" i="23"/>
  <c r="H77" s="1"/>
  <c r="I77" s="1"/>
  <c r="J77" s="1"/>
  <c r="K77" s="1"/>
  <c r="L77" s="1"/>
  <c r="M77" s="1"/>
  <c r="N77" s="1"/>
  <c r="O77" s="1"/>
  <c r="P77" s="1"/>
  <c r="Q77" s="1"/>
  <c r="R77" s="1"/>
  <c r="S77" s="1"/>
  <c r="T77" s="1"/>
  <c r="U77" s="1"/>
  <c r="V77" s="1"/>
  <c r="W77" s="1"/>
  <c r="X77" s="1"/>
  <c r="Y77" s="1"/>
  <c r="Z77" s="1"/>
  <c r="AA77" s="1"/>
  <c r="AB77" s="1"/>
  <c r="AC77" s="1"/>
  <c r="AD77" s="1"/>
  <c r="AE77" s="1"/>
  <c r="AF77" s="1"/>
  <c r="AG77" s="1"/>
  <c r="AH77" s="1"/>
  <c r="AI77" s="1"/>
  <c r="AJ77" s="1"/>
  <c r="AK77" s="1"/>
  <c r="AL77" s="1"/>
  <c r="AM77" s="1"/>
  <c r="AN77" s="1"/>
  <c r="AO77" s="1"/>
  <c r="AP77" s="1"/>
  <c r="AQ77" s="1"/>
  <c r="AR77" s="1"/>
  <c r="AS77" s="1"/>
  <c r="AT77" s="1"/>
  <c r="AU77" s="1"/>
  <c r="AV77" s="1"/>
  <c r="AW77" s="1"/>
  <c r="AX77" s="1"/>
  <c r="AY77" s="1"/>
  <c r="AZ77" s="1"/>
  <c r="BA77" s="1"/>
  <c r="BB77" s="1"/>
  <c r="BC77" s="1"/>
  <c r="BD77" s="1"/>
  <c r="BE77" s="1"/>
  <c r="BF77" s="1"/>
  <c r="BG77" s="1"/>
  <c r="BH77" s="1"/>
  <c r="BV71"/>
  <c r="BW71"/>
  <c r="BX71"/>
  <c r="BY71"/>
  <c r="BZ71"/>
  <c r="CA71"/>
  <c r="CB71"/>
  <c r="CC71"/>
  <c r="CD71"/>
  <c r="AY40"/>
  <c r="O40"/>
  <c r="B414" i="20"/>
  <c r="B399"/>
  <c r="B400"/>
  <c r="B401"/>
  <c r="B402"/>
  <c r="B403"/>
  <c r="B404"/>
  <c r="B398"/>
  <c r="BQ525" i="19"/>
  <c r="BR525" s="1"/>
  <c r="BS525" s="1"/>
  <c r="BT525" s="1"/>
  <c r="BM230" i="20"/>
  <c r="BM462" i="19"/>
  <c r="BM228" i="20" s="1"/>
  <c r="BM226"/>
  <c r="CI221"/>
  <c r="BN1091" i="19"/>
  <c r="BN39" i="20" s="1"/>
  <c r="CJ39" s="1"/>
  <c r="BN219"/>
  <c r="CJ219" s="1"/>
  <c r="BO504"/>
  <c r="CK504" s="1"/>
  <c r="BP504"/>
  <c r="CL504" s="1"/>
  <c r="BQ504"/>
  <c r="CM504" s="1"/>
  <c r="BR539" i="19"/>
  <c r="BR404"/>
  <c r="BM247" i="20"/>
  <c r="BA2" i="19"/>
  <c r="BB2"/>
  <c r="BC2" s="1"/>
  <c r="BD2" s="1"/>
  <c r="BE2" s="1"/>
  <c r="BF2" s="1"/>
  <c r="BG2" s="1"/>
  <c r="BH2" s="1"/>
  <c r="BI2" s="1"/>
  <c r="BU795"/>
  <c r="BU796"/>
  <c r="BU797"/>
  <c r="BQ798"/>
  <c r="BR798"/>
  <c r="BU798"/>
  <c r="BU799"/>
  <c r="BU800"/>
  <c r="BK801"/>
  <c r="BP802"/>
  <c r="BQ802" s="1"/>
  <c r="BU803"/>
  <c r="BV803" s="1"/>
  <c r="BE804"/>
  <c r="BF804" s="1"/>
  <c r="BU805"/>
  <c r="BU806"/>
  <c r="BU807"/>
  <c r="BU808"/>
  <c r="BU809"/>
  <c r="BK104"/>
  <c r="BK52" i="20" s="1"/>
  <c r="BH105" i="19"/>
  <c r="BH53" i="20" s="1"/>
  <c r="BM74" i="19"/>
  <c r="BM23" i="20" s="1"/>
  <c r="BK74" i="19"/>
  <c r="BK23" i="20"/>
  <c r="U5" i="14"/>
  <c r="U6"/>
  <c r="U7"/>
  <c r="U9"/>
  <c r="U10"/>
  <c r="U11"/>
  <c r="U12"/>
  <c r="U13"/>
  <c r="U15"/>
  <c r="U16"/>
  <c r="U19"/>
  <c r="U20"/>
  <c r="U21"/>
  <c r="U22"/>
  <c r="U23"/>
  <c r="U24"/>
  <c r="U25"/>
  <c r="U26"/>
  <c r="U27"/>
  <c r="U28"/>
  <c r="U29"/>
  <c r="U31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3"/>
  <c r="U54"/>
  <c r="U55"/>
  <c r="U57"/>
  <c r="U58"/>
  <c r="U60"/>
  <c r="U62"/>
  <c r="U63"/>
  <c r="U65"/>
  <c r="U66"/>
  <c r="U67"/>
  <c r="U68"/>
  <c r="U69"/>
  <c r="U70"/>
  <c r="U71"/>
  <c r="U72"/>
  <c r="U73"/>
  <c r="U74"/>
  <c r="U75"/>
  <c r="U77"/>
  <c r="U79"/>
  <c r="U80"/>
  <c r="U81"/>
  <c r="V6"/>
  <c r="W6"/>
  <c r="BU852" i="19"/>
  <c r="BV852"/>
  <c r="BW852" s="1"/>
  <c r="BX852" s="1"/>
  <c r="BY852" s="1"/>
  <c r="BZ852" s="1"/>
  <c r="CA852" s="1"/>
  <c r="CB852" s="1"/>
  <c r="CC852" s="1"/>
  <c r="CD852" s="1"/>
  <c r="BU853"/>
  <c r="BV853" s="1"/>
  <c r="BW853"/>
  <c r="BX853" s="1"/>
  <c r="BY853" s="1"/>
  <c r="BZ853" s="1"/>
  <c r="CA853" s="1"/>
  <c r="CB853" s="1"/>
  <c r="CC853" s="1"/>
  <c r="CD853" s="1"/>
  <c r="BU854"/>
  <c r="BV854" s="1"/>
  <c r="BW854" s="1"/>
  <c r="BX854" s="1"/>
  <c r="BY854" s="1"/>
  <c r="BZ854" s="1"/>
  <c r="CA854" s="1"/>
  <c r="CB854" s="1"/>
  <c r="CC854" s="1"/>
  <c r="CD854" s="1"/>
  <c r="BU855"/>
  <c r="BV855" s="1"/>
  <c r="BW855" s="1"/>
  <c r="BX855" s="1"/>
  <c r="BY855" s="1"/>
  <c r="BZ855" s="1"/>
  <c r="CA855" s="1"/>
  <c r="CB855" s="1"/>
  <c r="CC855" s="1"/>
  <c r="CD855" s="1"/>
  <c r="BU856"/>
  <c r="BV856"/>
  <c r="BW856" s="1"/>
  <c r="BX856" s="1"/>
  <c r="BY856" s="1"/>
  <c r="BZ856" s="1"/>
  <c r="CA856" s="1"/>
  <c r="CB856" s="1"/>
  <c r="CC856" s="1"/>
  <c r="CD856" s="1"/>
  <c r="BU857"/>
  <c r="BV857" s="1"/>
  <c r="BW857"/>
  <c r="BX857" s="1"/>
  <c r="BY857" s="1"/>
  <c r="BZ857" s="1"/>
  <c r="CA857" s="1"/>
  <c r="CB857" s="1"/>
  <c r="CC857" s="1"/>
  <c r="CD857" s="1"/>
  <c r="BU858"/>
  <c r="BV858" s="1"/>
  <c r="BW858" s="1"/>
  <c r="BX858" s="1"/>
  <c r="BY858" s="1"/>
  <c r="BZ858" s="1"/>
  <c r="CA858" s="1"/>
  <c r="CB858" s="1"/>
  <c r="CC858" s="1"/>
  <c r="CD858" s="1"/>
  <c r="BU859"/>
  <c r="BV859" s="1"/>
  <c r="BW859" s="1"/>
  <c r="BX859" s="1"/>
  <c r="BY859" s="1"/>
  <c r="BZ859" s="1"/>
  <c r="CA859" s="1"/>
  <c r="CB859" s="1"/>
  <c r="CC859" s="1"/>
  <c r="CD859" s="1"/>
  <c r="BU860"/>
  <c r="BU861"/>
  <c r="BV861" s="1"/>
  <c r="BW861" s="1"/>
  <c r="BX861" s="1"/>
  <c r="BY861" s="1"/>
  <c r="BZ861" s="1"/>
  <c r="CA861" s="1"/>
  <c r="CB861" s="1"/>
  <c r="CC861" s="1"/>
  <c r="CD861" s="1"/>
  <c r="BU862"/>
  <c r="BV862"/>
  <c r="BW862" s="1"/>
  <c r="BX862" s="1"/>
  <c r="BY862" s="1"/>
  <c r="BZ862" s="1"/>
  <c r="CA862" s="1"/>
  <c r="CB862" s="1"/>
  <c r="CC862" s="1"/>
  <c r="CD862" s="1"/>
  <c r="BU863"/>
  <c r="BV863" s="1"/>
  <c r="BW863" s="1"/>
  <c r="BX863"/>
  <c r="BY863" s="1"/>
  <c r="BZ863" s="1"/>
  <c r="CA863" s="1"/>
  <c r="CB863" s="1"/>
  <c r="CC863" s="1"/>
  <c r="CD863" s="1"/>
  <c r="BU864"/>
  <c r="BV864"/>
  <c r="BW864" s="1"/>
  <c r="BX864" s="1"/>
  <c r="BY864" s="1"/>
  <c r="BZ864" s="1"/>
  <c r="CA864" s="1"/>
  <c r="CB864" s="1"/>
  <c r="CC864" s="1"/>
  <c r="CD864" s="1"/>
  <c r="BU865"/>
  <c r="BV865" s="1"/>
  <c r="BW865" s="1"/>
  <c r="BX865" s="1"/>
  <c r="BY865" s="1"/>
  <c r="BZ865" s="1"/>
  <c r="CA865" s="1"/>
  <c r="CB865" s="1"/>
  <c r="CC865" s="1"/>
  <c r="CD865" s="1"/>
  <c r="BU866"/>
  <c r="BV866" s="1"/>
  <c r="BW866" s="1"/>
  <c r="BX866" s="1"/>
  <c r="BY866" s="1"/>
  <c r="BZ866" s="1"/>
  <c r="CA866" s="1"/>
  <c r="CB866" s="1"/>
  <c r="CC866" s="1"/>
  <c r="CD866" s="1"/>
  <c r="BU867"/>
  <c r="BV867" s="1"/>
  <c r="BW867" s="1"/>
  <c r="BX867" s="1"/>
  <c r="BY867" s="1"/>
  <c r="BZ867" s="1"/>
  <c r="CA867" s="1"/>
  <c r="CB867" s="1"/>
  <c r="CC867" s="1"/>
  <c r="CD867" s="1"/>
  <c r="BU868"/>
  <c r="BV868" s="1"/>
  <c r="BW868" s="1"/>
  <c r="BX868" s="1"/>
  <c r="BY868" s="1"/>
  <c r="BZ868" s="1"/>
  <c r="CA868" s="1"/>
  <c r="CB868" s="1"/>
  <c r="CC868" s="1"/>
  <c r="CD868" s="1"/>
  <c r="BU869"/>
  <c r="BV869" s="1"/>
  <c r="BW869" s="1"/>
  <c r="BX869" s="1"/>
  <c r="BY869" s="1"/>
  <c r="BZ869" s="1"/>
  <c r="CA869" s="1"/>
  <c r="CB869" s="1"/>
  <c r="CC869" s="1"/>
  <c r="CD869" s="1"/>
  <c r="BU870"/>
  <c r="BV870" s="1"/>
  <c r="BW870" s="1"/>
  <c r="BX870" s="1"/>
  <c r="BY870" s="1"/>
  <c r="BZ870" s="1"/>
  <c r="CA870" s="1"/>
  <c r="CB870" s="1"/>
  <c r="CC870" s="1"/>
  <c r="CD870" s="1"/>
  <c r="BU871"/>
  <c r="BV871" s="1"/>
  <c r="BW871" s="1"/>
  <c r="BX871" s="1"/>
  <c r="BY871" s="1"/>
  <c r="BZ871" s="1"/>
  <c r="CA871" s="1"/>
  <c r="CB871" s="1"/>
  <c r="CC871" s="1"/>
  <c r="CD871" s="1"/>
  <c r="BU872"/>
  <c r="BV872" s="1"/>
  <c r="BW872" s="1"/>
  <c r="BX872" s="1"/>
  <c r="BY872" s="1"/>
  <c r="BZ872" s="1"/>
  <c r="CA872" s="1"/>
  <c r="CB872" s="1"/>
  <c r="CC872" s="1"/>
  <c r="CD872" s="1"/>
  <c r="BU873"/>
  <c r="BV873" s="1"/>
  <c r="BW873" s="1"/>
  <c r="BX873" s="1"/>
  <c r="BY873" s="1"/>
  <c r="BZ873" s="1"/>
  <c r="CA873" s="1"/>
  <c r="CB873" s="1"/>
  <c r="CC873" s="1"/>
  <c r="CD873" s="1"/>
  <c r="BU874"/>
  <c r="BV874" s="1"/>
  <c r="BW874" s="1"/>
  <c r="BX874" s="1"/>
  <c r="BY874" s="1"/>
  <c r="BZ874" s="1"/>
  <c r="CA874" s="1"/>
  <c r="CB874" s="1"/>
  <c r="CC874" s="1"/>
  <c r="CD874" s="1"/>
  <c r="BU875"/>
  <c r="BV875" s="1"/>
  <c r="BW875" s="1"/>
  <c r="BX875" s="1"/>
  <c r="BY875" s="1"/>
  <c r="BZ875" s="1"/>
  <c r="CA875" s="1"/>
  <c r="CB875" s="1"/>
  <c r="CC875" s="1"/>
  <c r="CD875" s="1"/>
  <c r="BU876"/>
  <c r="BV876" s="1"/>
  <c r="BW876" s="1"/>
  <c r="BX876" s="1"/>
  <c r="BY876" s="1"/>
  <c r="BZ876" s="1"/>
  <c r="CA876" s="1"/>
  <c r="CB876" s="1"/>
  <c r="CC876" s="1"/>
  <c r="CD876" s="1"/>
  <c r="BU877"/>
  <c r="BV877" s="1"/>
  <c r="BW877" s="1"/>
  <c r="BX877" s="1"/>
  <c r="BY877" s="1"/>
  <c r="BZ877" s="1"/>
  <c r="CA877" s="1"/>
  <c r="CB877" s="1"/>
  <c r="CC877" s="1"/>
  <c r="CD877" s="1"/>
  <c r="BU878"/>
  <c r="BV878" s="1"/>
  <c r="BW878" s="1"/>
  <c r="BX878" s="1"/>
  <c r="BY878" s="1"/>
  <c r="BZ878" s="1"/>
  <c r="CA878" s="1"/>
  <c r="CB878" s="1"/>
  <c r="CC878" s="1"/>
  <c r="CD878" s="1"/>
  <c r="BU879"/>
  <c r="BV879" s="1"/>
  <c r="BW879" s="1"/>
  <c r="BX879" s="1"/>
  <c r="BY879" s="1"/>
  <c r="BZ879" s="1"/>
  <c r="CA879" s="1"/>
  <c r="CB879" s="1"/>
  <c r="CC879" s="1"/>
  <c r="CD879" s="1"/>
  <c r="BU880"/>
  <c r="BV880" s="1"/>
  <c r="BW880" s="1"/>
  <c r="BX880" s="1"/>
  <c r="BY880" s="1"/>
  <c r="BZ880" s="1"/>
  <c r="CA880" s="1"/>
  <c r="CB880" s="1"/>
  <c r="CC880" s="1"/>
  <c r="CD880" s="1"/>
  <c r="BU881"/>
  <c r="BV881" s="1"/>
  <c r="BW881" s="1"/>
  <c r="BX881" s="1"/>
  <c r="BY881" s="1"/>
  <c r="BZ881" s="1"/>
  <c r="CA881" s="1"/>
  <c r="CB881" s="1"/>
  <c r="CC881" s="1"/>
  <c r="CD881" s="1"/>
  <c r="BU882"/>
  <c r="BV882" s="1"/>
  <c r="BW882" s="1"/>
  <c r="BX882" s="1"/>
  <c r="BY882" s="1"/>
  <c r="BZ882" s="1"/>
  <c r="CA882" s="1"/>
  <c r="CB882" s="1"/>
  <c r="CC882" s="1"/>
  <c r="CD882" s="1"/>
  <c r="BU883"/>
  <c r="BV883"/>
  <c r="BW883" s="1"/>
  <c r="BX883" s="1"/>
  <c r="BY883" s="1"/>
  <c r="BZ883" s="1"/>
  <c r="CA883" s="1"/>
  <c r="CB883" s="1"/>
  <c r="CC883" s="1"/>
  <c r="CD883" s="1"/>
  <c r="BU884"/>
  <c r="BV884"/>
  <c r="BW884" s="1"/>
  <c r="BX884" s="1"/>
  <c r="BY884" s="1"/>
  <c r="BZ884" s="1"/>
  <c r="CA884" s="1"/>
  <c r="CB884" s="1"/>
  <c r="CC884" s="1"/>
  <c r="CD884" s="1"/>
  <c r="BU885"/>
  <c r="BV885"/>
  <c r="BW885" s="1"/>
  <c r="BX885" s="1"/>
  <c r="BY885" s="1"/>
  <c r="BZ885" s="1"/>
  <c r="CA885" s="1"/>
  <c r="CB885" s="1"/>
  <c r="CC885" s="1"/>
  <c r="CD885" s="1"/>
  <c r="BU886"/>
  <c r="BV886"/>
  <c r="BW886" s="1"/>
  <c r="BX886" s="1"/>
  <c r="BY886" s="1"/>
  <c r="BZ886" s="1"/>
  <c r="CA886" s="1"/>
  <c r="CB886" s="1"/>
  <c r="CC886" s="1"/>
  <c r="CD886" s="1"/>
  <c r="BU887"/>
  <c r="BV887"/>
  <c r="BW887" s="1"/>
  <c r="BX887" s="1"/>
  <c r="BY887" s="1"/>
  <c r="BZ887" s="1"/>
  <c r="CA887" s="1"/>
  <c r="CB887" s="1"/>
  <c r="CC887" s="1"/>
  <c r="CD887" s="1"/>
  <c r="BU888"/>
  <c r="BV888"/>
  <c r="BW888" s="1"/>
  <c r="BX888" s="1"/>
  <c r="BY888" s="1"/>
  <c r="BZ888" s="1"/>
  <c r="CA888" s="1"/>
  <c r="CB888" s="1"/>
  <c r="CC888" s="1"/>
  <c r="CD888" s="1"/>
  <c r="BU889"/>
  <c r="BV889"/>
  <c r="BW889" s="1"/>
  <c r="BX889" s="1"/>
  <c r="BY889" s="1"/>
  <c r="BZ889" s="1"/>
  <c r="CA889" s="1"/>
  <c r="CB889" s="1"/>
  <c r="CC889" s="1"/>
  <c r="CD889" s="1"/>
  <c r="BU890"/>
  <c r="BV890"/>
  <c r="BW890" s="1"/>
  <c r="BX890" s="1"/>
  <c r="BY890" s="1"/>
  <c r="BZ890" s="1"/>
  <c r="CA890" s="1"/>
  <c r="CB890" s="1"/>
  <c r="CC890" s="1"/>
  <c r="CD890" s="1"/>
  <c r="BU891"/>
  <c r="BV891"/>
  <c r="BW891" s="1"/>
  <c r="BX891" s="1"/>
  <c r="BY891" s="1"/>
  <c r="BZ891" s="1"/>
  <c r="CA891" s="1"/>
  <c r="CB891" s="1"/>
  <c r="CC891" s="1"/>
  <c r="CD891" s="1"/>
  <c r="BU892"/>
  <c r="BV892"/>
  <c r="BW892" s="1"/>
  <c r="BX892" s="1"/>
  <c r="BY892" s="1"/>
  <c r="BZ892" s="1"/>
  <c r="CA892" s="1"/>
  <c r="CB892" s="1"/>
  <c r="CC892" s="1"/>
  <c r="CD892" s="1"/>
  <c r="BU893"/>
  <c r="BV893"/>
  <c r="BW893" s="1"/>
  <c r="BX893" s="1"/>
  <c r="BY893" s="1"/>
  <c r="BZ893" s="1"/>
  <c r="CA893" s="1"/>
  <c r="CB893" s="1"/>
  <c r="CC893" s="1"/>
  <c r="CD893" s="1"/>
  <c r="BU894"/>
  <c r="BV894"/>
  <c r="BW894" s="1"/>
  <c r="BX894" s="1"/>
  <c r="BY894" s="1"/>
  <c r="BZ894" s="1"/>
  <c r="CA894" s="1"/>
  <c r="CB894" s="1"/>
  <c r="CC894" s="1"/>
  <c r="CD894" s="1"/>
  <c r="BU895"/>
  <c r="BV895"/>
  <c r="BW895" s="1"/>
  <c r="BX895" s="1"/>
  <c r="BY895" s="1"/>
  <c r="BZ895" s="1"/>
  <c r="CA895" s="1"/>
  <c r="CB895" s="1"/>
  <c r="CC895" s="1"/>
  <c r="CD895" s="1"/>
  <c r="BU896"/>
  <c r="BV896"/>
  <c r="BW896" s="1"/>
  <c r="BX896" s="1"/>
  <c r="BY896" s="1"/>
  <c r="BZ896" s="1"/>
  <c r="CA896" s="1"/>
  <c r="CB896" s="1"/>
  <c r="CC896" s="1"/>
  <c r="CD896" s="1"/>
  <c r="BU897"/>
  <c r="BV897"/>
  <c r="BW897" s="1"/>
  <c r="BX897" s="1"/>
  <c r="BY897" s="1"/>
  <c r="BZ897" s="1"/>
  <c r="CA897" s="1"/>
  <c r="CB897" s="1"/>
  <c r="CC897" s="1"/>
  <c r="CD897" s="1"/>
  <c r="BU898"/>
  <c r="BV898"/>
  <c r="BW898" s="1"/>
  <c r="BX898" s="1"/>
  <c r="BY898" s="1"/>
  <c r="BZ898" s="1"/>
  <c r="CA898" s="1"/>
  <c r="CB898" s="1"/>
  <c r="CC898" s="1"/>
  <c r="CD898" s="1"/>
  <c r="BU899"/>
  <c r="BV899"/>
  <c r="BW899" s="1"/>
  <c r="BX899" s="1"/>
  <c r="BY899" s="1"/>
  <c r="BZ899" s="1"/>
  <c r="CA899" s="1"/>
  <c r="CB899" s="1"/>
  <c r="CC899" s="1"/>
  <c r="CD899" s="1"/>
  <c r="BU900"/>
  <c r="BV900"/>
  <c r="BW900" s="1"/>
  <c r="BX900" s="1"/>
  <c r="BY900" s="1"/>
  <c r="BZ900" s="1"/>
  <c r="CA900" s="1"/>
  <c r="CB900" s="1"/>
  <c r="CC900" s="1"/>
  <c r="CD900" s="1"/>
  <c r="BU901"/>
  <c r="BV901"/>
  <c r="BW901" s="1"/>
  <c r="BX901" s="1"/>
  <c r="BY901" s="1"/>
  <c r="BZ901" s="1"/>
  <c r="CA901" s="1"/>
  <c r="CB901" s="1"/>
  <c r="CC901" s="1"/>
  <c r="CD901" s="1"/>
  <c r="BU902"/>
  <c r="BV902"/>
  <c r="BW902" s="1"/>
  <c r="BX902" s="1"/>
  <c r="BY902" s="1"/>
  <c r="BZ902" s="1"/>
  <c r="CA902" s="1"/>
  <c r="CB902" s="1"/>
  <c r="CC902" s="1"/>
  <c r="CD902" s="1"/>
  <c r="BU903"/>
  <c r="BV903"/>
  <c r="BW903" s="1"/>
  <c r="BX903" s="1"/>
  <c r="BY903" s="1"/>
  <c r="BZ903" s="1"/>
  <c r="CA903" s="1"/>
  <c r="CB903" s="1"/>
  <c r="CC903" s="1"/>
  <c r="CD903" s="1"/>
  <c r="BU904"/>
  <c r="BV904"/>
  <c r="BW904" s="1"/>
  <c r="BX904" s="1"/>
  <c r="BY904" s="1"/>
  <c r="BZ904" s="1"/>
  <c r="CA904" s="1"/>
  <c r="CB904" s="1"/>
  <c r="CC904" s="1"/>
  <c r="CD904" s="1"/>
  <c r="BU905"/>
  <c r="BV905"/>
  <c r="BW905" s="1"/>
  <c r="BX905" s="1"/>
  <c r="BY905" s="1"/>
  <c r="BZ905" s="1"/>
  <c r="CA905" s="1"/>
  <c r="CB905" s="1"/>
  <c r="CC905" s="1"/>
  <c r="CD905" s="1"/>
  <c r="BU906"/>
  <c r="BV906"/>
  <c r="BW906" s="1"/>
  <c r="BX906" s="1"/>
  <c r="BY906" s="1"/>
  <c r="BZ906" s="1"/>
  <c r="CA906" s="1"/>
  <c r="CB906" s="1"/>
  <c r="CC906" s="1"/>
  <c r="CD906" s="1"/>
  <c r="BU907"/>
  <c r="BV907"/>
  <c r="BW907" s="1"/>
  <c r="BX907" s="1"/>
  <c r="BY907" s="1"/>
  <c r="BZ907" s="1"/>
  <c r="CA907" s="1"/>
  <c r="CB907" s="1"/>
  <c r="CC907" s="1"/>
  <c r="CD907" s="1"/>
  <c r="BU908"/>
  <c r="BV908"/>
  <c r="BW908" s="1"/>
  <c r="BX908" s="1"/>
  <c r="BY908" s="1"/>
  <c r="BZ908" s="1"/>
  <c r="CA908" s="1"/>
  <c r="CB908" s="1"/>
  <c r="CC908" s="1"/>
  <c r="CD908" s="1"/>
  <c r="BU909"/>
  <c r="BV909"/>
  <c r="BW909" s="1"/>
  <c r="BX909" s="1"/>
  <c r="BY909" s="1"/>
  <c r="BZ909" s="1"/>
  <c r="CA909" s="1"/>
  <c r="CB909" s="1"/>
  <c r="CC909" s="1"/>
  <c r="CD909" s="1"/>
  <c r="BU910"/>
  <c r="BV910"/>
  <c r="BW910" s="1"/>
  <c r="BX910" s="1"/>
  <c r="BY910" s="1"/>
  <c r="BZ910" s="1"/>
  <c r="CA910" s="1"/>
  <c r="CB910" s="1"/>
  <c r="CC910" s="1"/>
  <c r="CD910" s="1"/>
  <c r="BU911"/>
  <c r="BV911"/>
  <c r="BW911" s="1"/>
  <c r="BX911" s="1"/>
  <c r="BY911" s="1"/>
  <c r="BZ911" s="1"/>
  <c r="CA911" s="1"/>
  <c r="CB911" s="1"/>
  <c r="CC911" s="1"/>
  <c r="CD911" s="1"/>
  <c r="BU912"/>
  <c r="BV912"/>
  <c r="BW912" s="1"/>
  <c r="BX912" s="1"/>
  <c r="BY912" s="1"/>
  <c r="BZ912" s="1"/>
  <c r="CA912" s="1"/>
  <c r="CB912" s="1"/>
  <c r="CC912" s="1"/>
  <c r="CD912" s="1"/>
  <c r="BU913"/>
  <c r="BV913"/>
  <c r="BW913" s="1"/>
  <c r="BX913" s="1"/>
  <c r="BY913" s="1"/>
  <c r="BZ913" s="1"/>
  <c r="CA913" s="1"/>
  <c r="CB913" s="1"/>
  <c r="CC913" s="1"/>
  <c r="CD913" s="1"/>
  <c r="BU914"/>
  <c r="BV914"/>
  <c r="BW914" s="1"/>
  <c r="BX914" s="1"/>
  <c r="BY914" s="1"/>
  <c r="BZ914" s="1"/>
  <c r="CA914" s="1"/>
  <c r="CB914" s="1"/>
  <c r="CC914" s="1"/>
  <c r="CD914" s="1"/>
  <c r="BU915"/>
  <c r="BV915"/>
  <c r="BW915" s="1"/>
  <c r="BX915" s="1"/>
  <c r="BY915" s="1"/>
  <c r="BZ915" s="1"/>
  <c r="CA915" s="1"/>
  <c r="CB915" s="1"/>
  <c r="CC915" s="1"/>
  <c r="CD915" s="1"/>
  <c r="BU916"/>
  <c r="BV916"/>
  <c r="BW916" s="1"/>
  <c r="BX916" s="1"/>
  <c r="BY916" s="1"/>
  <c r="BZ916" s="1"/>
  <c r="CA916" s="1"/>
  <c r="CB916" s="1"/>
  <c r="CC916" s="1"/>
  <c r="CD916" s="1"/>
  <c r="BU917"/>
  <c r="BV917"/>
  <c r="BW917" s="1"/>
  <c r="BX917" s="1"/>
  <c r="BY917" s="1"/>
  <c r="BZ917" s="1"/>
  <c r="CA917" s="1"/>
  <c r="CB917" s="1"/>
  <c r="CC917" s="1"/>
  <c r="CD917" s="1"/>
  <c r="BU918"/>
  <c r="BV918"/>
  <c r="BW918" s="1"/>
  <c r="BX918" s="1"/>
  <c r="BY918" s="1"/>
  <c r="BZ918" s="1"/>
  <c r="CA918" s="1"/>
  <c r="CB918" s="1"/>
  <c r="CC918" s="1"/>
  <c r="CD918" s="1"/>
  <c r="BU919"/>
  <c r="BV919"/>
  <c r="BW919" s="1"/>
  <c r="BX919" s="1"/>
  <c r="BY919" s="1"/>
  <c r="BZ919" s="1"/>
  <c r="CA919" s="1"/>
  <c r="CB919" s="1"/>
  <c r="CC919" s="1"/>
  <c r="CD919" s="1"/>
  <c r="BU920"/>
  <c r="BV920"/>
  <c r="BW920" s="1"/>
  <c r="BX920" s="1"/>
  <c r="BY920" s="1"/>
  <c r="BZ920" s="1"/>
  <c r="CA920" s="1"/>
  <c r="CB920" s="1"/>
  <c r="CC920" s="1"/>
  <c r="CD920" s="1"/>
  <c r="BU921"/>
  <c r="BV921"/>
  <c r="BW921" s="1"/>
  <c r="BX921" s="1"/>
  <c r="BY921" s="1"/>
  <c r="BZ921" s="1"/>
  <c r="CA921" s="1"/>
  <c r="CB921" s="1"/>
  <c r="CC921" s="1"/>
  <c r="CD921" s="1"/>
  <c r="BU922"/>
  <c r="BV922"/>
  <c r="BW922" s="1"/>
  <c r="BX922" s="1"/>
  <c r="BY922" s="1"/>
  <c r="BZ922" s="1"/>
  <c r="CA922" s="1"/>
  <c r="CB922" s="1"/>
  <c r="CC922" s="1"/>
  <c r="CD922" s="1"/>
  <c r="BU923"/>
  <c r="BV923"/>
  <c r="BW923" s="1"/>
  <c r="BX923" s="1"/>
  <c r="BY923" s="1"/>
  <c r="BZ923" s="1"/>
  <c r="CA923" s="1"/>
  <c r="CB923" s="1"/>
  <c r="CC923" s="1"/>
  <c r="CD923" s="1"/>
  <c r="BU924"/>
  <c r="BV924"/>
  <c r="BW924" s="1"/>
  <c r="BX924" s="1"/>
  <c r="BY924" s="1"/>
  <c r="BZ924" s="1"/>
  <c r="CA924" s="1"/>
  <c r="CB924" s="1"/>
  <c r="CC924" s="1"/>
  <c r="CD924" s="1"/>
  <c r="BU925"/>
  <c r="BV925"/>
  <c r="BW925" s="1"/>
  <c r="BX925" s="1"/>
  <c r="BY925" s="1"/>
  <c r="BZ925" s="1"/>
  <c r="CA925" s="1"/>
  <c r="CB925" s="1"/>
  <c r="CC925" s="1"/>
  <c r="CD925" s="1"/>
  <c r="BU926"/>
  <c r="BV926"/>
  <c r="BW926" s="1"/>
  <c r="BX926" s="1"/>
  <c r="BY926" s="1"/>
  <c r="BZ926" s="1"/>
  <c r="CA926" s="1"/>
  <c r="CB926" s="1"/>
  <c r="CC926" s="1"/>
  <c r="CD926" s="1"/>
  <c r="BU927"/>
  <c r="BV927"/>
  <c r="BW927" s="1"/>
  <c r="BX927" s="1"/>
  <c r="BY927" s="1"/>
  <c r="BZ927" s="1"/>
  <c r="CA927" s="1"/>
  <c r="CB927" s="1"/>
  <c r="CC927" s="1"/>
  <c r="CD927" s="1"/>
  <c r="BU928"/>
  <c r="BV928"/>
  <c r="BW928" s="1"/>
  <c r="BX928" s="1"/>
  <c r="BY928" s="1"/>
  <c r="BZ928" s="1"/>
  <c r="CA928" s="1"/>
  <c r="CB928" s="1"/>
  <c r="CC928" s="1"/>
  <c r="CD928" s="1"/>
  <c r="BU929"/>
  <c r="BV929"/>
  <c r="BW929" s="1"/>
  <c r="BX929" s="1"/>
  <c r="BY929" s="1"/>
  <c r="BZ929" s="1"/>
  <c r="CA929" s="1"/>
  <c r="CB929" s="1"/>
  <c r="CC929" s="1"/>
  <c r="CD929" s="1"/>
  <c r="BU930"/>
  <c r="BV930"/>
  <c r="BW930" s="1"/>
  <c r="BX930" s="1"/>
  <c r="BY930" s="1"/>
  <c r="BZ930" s="1"/>
  <c r="CA930" s="1"/>
  <c r="CB930" s="1"/>
  <c r="CC930" s="1"/>
  <c r="CD930" s="1"/>
  <c r="BU931"/>
  <c r="BV931"/>
  <c r="BW931" s="1"/>
  <c r="BX931" s="1"/>
  <c r="BY931" s="1"/>
  <c r="BZ931" s="1"/>
  <c r="CA931" s="1"/>
  <c r="CB931" s="1"/>
  <c r="CC931" s="1"/>
  <c r="CD931" s="1"/>
  <c r="BU932"/>
  <c r="BV932"/>
  <c r="BW932" s="1"/>
  <c r="BX932" s="1"/>
  <c r="BY932" s="1"/>
  <c r="BZ932" s="1"/>
  <c r="CA932" s="1"/>
  <c r="CB932" s="1"/>
  <c r="CC932" s="1"/>
  <c r="CD932" s="1"/>
  <c r="BU933"/>
  <c r="BV933"/>
  <c r="BW933" s="1"/>
  <c r="BX933" s="1"/>
  <c r="BY933" s="1"/>
  <c r="BZ933" s="1"/>
  <c r="CA933" s="1"/>
  <c r="CB933" s="1"/>
  <c r="CC933" s="1"/>
  <c r="CD933" s="1"/>
  <c r="BU934"/>
  <c r="BV934"/>
  <c r="BW934" s="1"/>
  <c r="BX934" s="1"/>
  <c r="BY934" s="1"/>
  <c r="BZ934" s="1"/>
  <c r="CA934" s="1"/>
  <c r="CB934" s="1"/>
  <c r="CC934" s="1"/>
  <c r="CD934" s="1"/>
  <c r="BU935"/>
  <c r="BV935"/>
  <c r="BW935" s="1"/>
  <c r="BX935" s="1"/>
  <c r="BY935" s="1"/>
  <c r="BZ935" s="1"/>
  <c r="CA935" s="1"/>
  <c r="CB935" s="1"/>
  <c r="CC935" s="1"/>
  <c r="CD935" s="1"/>
  <c r="BU936"/>
  <c r="BV936"/>
  <c r="BW936" s="1"/>
  <c r="BX936" s="1"/>
  <c r="BY936" s="1"/>
  <c r="BZ936" s="1"/>
  <c r="CA936" s="1"/>
  <c r="CB936" s="1"/>
  <c r="CC936" s="1"/>
  <c r="CD936" s="1"/>
  <c r="BU937"/>
  <c r="BV937"/>
  <c r="BW937" s="1"/>
  <c r="BX937" s="1"/>
  <c r="BY937" s="1"/>
  <c r="BZ937" s="1"/>
  <c r="CA937" s="1"/>
  <c r="CB937" s="1"/>
  <c r="CC937" s="1"/>
  <c r="CD937" s="1"/>
  <c r="BU938"/>
  <c r="BV938"/>
  <c r="BW938" s="1"/>
  <c r="BX938" s="1"/>
  <c r="BY938" s="1"/>
  <c r="BZ938" s="1"/>
  <c r="CA938" s="1"/>
  <c r="CB938" s="1"/>
  <c r="CC938" s="1"/>
  <c r="CD938" s="1"/>
  <c r="BU939"/>
  <c r="BV939"/>
  <c r="BW939" s="1"/>
  <c r="BX939" s="1"/>
  <c r="BY939" s="1"/>
  <c r="BZ939" s="1"/>
  <c r="CA939" s="1"/>
  <c r="CB939" s="1"/>
  <c r="CC939" s="1"/>
  <c r="CD939" s="1"/>
  <c r="BU940"/>
  <c r="BV940"/>
  <c r="BW940" s="1"/>
  <c r="BX940" s="1"/>
  <c r="BY940" s="1"/>
  <c r="BZ940" s="1"/>
  <c r="CA940" s="1"/>
  <c r="CB940" s="1"/>
  <c r="CC940" s="1"/>
  <c r="CD940" s="1"/>
  <c r="BU941"/>
  <c r="BV941"/>
  <c r="BW941" s="1"/>
  <c r="BX941" s="1"/>
  <c r="BY941" s="1"/>
  <c r="BZ941" s="1"/>
  <c r="CA941" s="1"/>
  <c r="CB941" s="1"/>
  <c r="CC941" s="1"/>
  <c r="CD941" s="1"/>
  <c r="BU942"/>
  <c r="BV942"/>
  <c r="BW942" s="1"/>
  <c r="BX942" s="1"/>
  <c r="BY942" s="1"/>
  <c r="BZ942" s="1"/>
  <c r="CA942" s="1"/>
  <c r="CB942" s="1"/>
  <c r="CC942" s="1"/>
  <c r="CD942" s="1"/>
  <c r="BU943"/>
  <c r="BV943"/>
  <c r="BW943" s="1"/>
  <c r="BX943" s="1"/>
  <c r="BY943" s="1"/>
  <c r="BZ943" s="1"/>
  <c r="CA943" s="1"/>
  <c r="CB943" s="1"/>
  <c r="CC943" s="1"/>
  <c r="CD943" s="1"/>
  <c r="BU944"/>
  <c r="BV944"/>
  <c r="BW944" s="1"/>
  <c r="BX944" s="1"/>
  <c r="BY944" s="1"/>
  <c r="BZ944" s="1"/>
  <c r="CA944" s="1"/>
  <c r="CB944" s="1"/>
  <c r="CC944" s="1"/>
  <c r="CD944" s="1"/>
  <c r="BU945"/>
  <c r="BV945"/>
  <c r="BW945" s="1"/>
  <c r="BX945" s="1"/>
  <c r="BY945" s="1"/>
  <c r="BZ945" s="1"/>
  <c r="CA945" s="1"/>
  <c r="CB945" s="1"/>
  <c r="CC945" s="1"/>
  <c r="CD945" s="1"/>
  <c r="BU946"/>
  <c r="BV946"/>
  <c r="BW946" s="1"/>
  <c r="BX946" s="1"/>
  <c r="BY946" s="1"/>
  <c r="BZ946" s="1"/>
  <c r="CA946" s="1"/>
  <c r="CB946" s="1"/>
  <c r="CC946" s="1"/>
  <c r="CD946" s="1"/>
  <c r="BU947"/>
  <c r="BV947"/>
  <c r="BW947" s="1"/>
  <c r="BX947" s="1"/>
  <c r="BY947" s="1"/>
  <c r="BZ947" s="1"/>
  <c r="CA947" s="1"/>
  <c r="CB947" s="1"/>
  <c r="CC947" s="1"/>
  <c r="CD947" s="1"/>
  <c r="BU948"/>
  <c r="BV948"/>
  <c r="BW948" s="1"/>
  <c r="BX948" s="1"/>
  <c r="BY948" s="1"/>
  <c r="BZ948" s="1"/>
  <c r="CA948" s="1"/>
  <c r="CB948" s="1"/>
  <c r="CC948" s="1"/>
  <c r="CD948" s="1"/>
  <c r="BU949"/>
  <c r="BV949"/>
  <c r="BW949" s="1"/>
  <c r="BX949" s="1"/>
  <c r="BY949" s="1"/>
  <c r="BZ949" s="1"/>
  <c r="CA949" s="1"/>
  <c r="CB949" s="1"/>
  <c r="CC949" s="1"/>
  <c r="CD949" s="1"/>
  <c r="BU950"/>
  <c r="BV950"/>
  <c r="BW950" s="1"/>
  <c r="BX950" s="1"/>
  <c r="BY950" s="1"/>
  <c r="BZ950" s="1"/>
  <c r="CA950" s="1"/>
  <c r="CB950" s="1"/>
  <c r="CC950" s="1"/>
  <c r="CD950" s="1"/>
  <c r="BU951"/>
  <c r="BV951"/>
  <c r="BW951" s="1"/>
  <c r="BX951" s="1"/>
  <c r="BY951" s="1"/>
  <c r="BZ951" s="1"/>
  <c r="CA951" s="1"/>
  <c r="CB951" s="1"/>
  <c r="CC951" s="1"/>
  <c r="CD951" s="1"/>
  <c r="BU952"/>
  <c r="BV952"/>
  <c r="BW952" s="1"/>
  <c r="BX952" s="1"/>
  <c r="BY952" s="1"/>
  <c r="BZ952" s="1"/>
  <c r="CA952" s="1"/>
  <c r="CB952" s="1"/>
  <c r="CC952" s="1"/>
  <c r="CD952" s="1"/>
  <c r="BU953"/>
  <c r="BV953"/>
  <c r="BW953" s="1"/>
  <c r="BX953" s="1"/>
  <c r="BY953" s="1"/>
  <c r="BZ953" s="1"/>
  <c r="CA953" s="1"/>
  <c r="CB953" s="1"/>
  <c r="CC953" s="1"/>
  <c r="CD953" s="1"/>
  <c r="BU954"/>
  <c r="BV954"/>
  <c r="BW954" s="1"/>
  <c r="BX954" s="1"/>
  <c r="BY954" s="1"/>
  <c r="BZ954" s="1"/>
  <c r="CA954" s="1"/>
  <c r="CB954" s="1"/>
  <c r="CC954" s="1"/>
  <c r="CD954" s="1"/>
  <c r="BU955"/>
  <c r="BV955"/>
  <c r="BW955" s="1"/>
  <c r="BX955" s="1"/>
  <c r="BY955" s="1"/>
  <c r="BZ955" s="1"/>
  <c r="CA955" s="1"/>
  <c r="CB955" s="1"/>
  <c r="CC955" s="1"/>
  <c r="CD955" s="1"/>
  <c r="BU956"/>
  <c r="BV956"/>
  <c r="BW956" s="1"/>
  <c r="BX956" s="1"/>
  <c r="BY956" s="1"/>
  <c r="BZ956" s="1"/>
  <c r="CA956" s="1"/>
  <c r="CB956" s="1"/>
  <c r="CC956" s="1"/>
  <c r="CD956" s="1"/>
  <c r="BU957"/>
  <c r="BV957"/>
  <c r="BW957" s="1"/>
  <c r="BX957" s="1"/>
  <c r="BY957" s="1"/>
  <c r="BZ957" s="1"/>
  <c r="CA957" s="1"/>
  <c r="CB957" s="1"/>
  <c r="CC957" s="1"/>
  <c r="CD957" s="1"/>
  <c r="BU958"/>
  <c r="BV958"/>
  <c r="BW958" s="1"/>
  <c r="BX958" s="1"/>
  <c r="BY958" s="1"/>
  <c r="BZ958" s="1"/>
  <c r="CA958" s="1"/>
  <c r="CB958" s="1"/>
  <c r="CC958" s="1"/>
  <c r="CD958" s="1"/>
  <c r="BU959"/>
  <c r="BV959"/>
  <c r="BW959" s="1"/>
  <c r="BX959" s="1"/>
  <c r="BY959" s="1"/>
  <c r="BZ959" s="1"/>
  <c r="CA959" s="1"/>
  <c r="CB959" s="1"/>
  <c r="CC959" s="1"/>
  <c r="CD959" s="1"/>
  <c r="BU960"/>
  <c r="BV960"/>
  <c r="BW960" s="1"/>
  <c r="BX960" s="1"/>
  <c r="BY960" s="1"/>
  <c r="BZ960" s="1"/>
  <c r="CA960" s="1"/>
  <c r="CB960" s="1"/>
  <c r="CC960" s="1"/>
  <c r="CD960" s="1"/>
  <c r="BU961"/>
  <c r="BV961"/>
  <c r="BW961" s="1"/>
  <c r="BX961" s="1"/>
  <c r="BY961" s="1"/>
  <c r="BZ961" s="1"/>
  <c r="CA961" s="1"/>
  <c r="CB961" s="1"/>
  <c r="CC961" s="1"/>
  <c r="CD961" s="1"/>
  <c r="BU962"/>
  <c r="BV962"/>
  <c r="BW962" s="1"/>
  <c r="BX962" s="1"/>
  <c r="BY962" s="1"/>
  <c r="BZ962" s="1"/>
  <c r="CA962" s="1"/>
  <c r="CB962" s="1"/>
  <c r="CC962" s="1"/>
  <c r="CD962" s="1"/>
  <c r="BU963"/>
  <c r="BV963"/>
  <c r="BW963" s="1"/>
  <c r="BX963" s="1"/>
  <c r="BY963" s="1"/>
  <c r="BZ963" s="1"/>
  <c r="CA963" s="1"/>
  <c r="CB963" s="1"/>
  <c r="CC963" s="1"/>
  <c r="CD963" s="1"/>
  <c r="BU964"/>
  <c r="BV964"/>
  <c r="BW964" s="1"/>
  <c r="BX964" s="1"/>
  <c r="BY964" s="1"/>
  <c r="BZ964" s="1"/>
  <c r="CA964" s="1"/>
  <c r="CB964" s="1"/>
  <c r="CC964" s="1"/>
  <c r="CD964" s="1"/>
  <c r="BU965"/>
  <c r="BV965"/>
  <c r="BW965" s="1"/>
  <c r="BX965" s="1"/>
  <c r="BY965" s="1"/>
  <c r="BZ965" s="1"/>
  <c r="CA965" s="1"/>
  <c r="CB965" s="1"/>
  <c r="CC965" s="1"/>
  <c r="CD965" s="1"/>
  <c r="BU966"/>
  <c r="BV966"/>
  <c r="BW966" s="1"/>
  <c r="BX966" s="1"/>
  <c r="BY966" s="1"/>
  <c r="BZ966" s="1"/>
  <c r="CA966" s="1"/>
  <c r="CB966" s="1"/>
  <c r="CC966" s="1"/>
  <c r="CD966" s="1"/>
  <c r="BU967"/>
  <c r="BV967"/>
  <c r="BW967" s="1"/>
  <c r="BX967" s="1"/>
  <c r="BY967" s="1"/>
  <c r="BZ967" s="1"/>
  <c r="CA967" s="1"/>
  <c r="CB967" s="1"/>
  <c r="CC967" s="1"/>
  <c r="CD967" s="1"/>
  <c r="BU968"/>
  <c r="BV968"/>
  <c r="BW968" s="1"/>
  <c r="BX968" s="1"/>
  <c r="BY968" s="1"/>
  <c r="BZ968" s="1"/>
  <c r="CA968" s="1"/>
  <c r="CB968" s="1"/>
  <c r="CC968" s="1"/>
  <c r="CD968" s="1"/>
  <c r="BU969"/>
  <c r="BV969"/>
  <c r="BW969" s="1"/>
  <c r="BX969" s="1"/>
  <c r="BY969" s="1"/>
  <c r="BZ969" s="1"/>
  <c r="CA969" s="1"/>
  <c r="CB969" s="1"/>
  <c r="CC969" s="1"/>
  <c r="CD969" s="1"/>
  <c r="BU970"/>
  <c r="BV970"/>
  <c r="BW970" s="1"/>
  <c r="BX970" s="1"/>
  <c r="BY970" s="1"/>
  <c r="BZ970" s="1"/>
  <c r="CA970" s="1"/>
  <c r="CB970" s="1"/>
  <c r="CC970" s="1"/>
  <c r="CD970" s="1"/>
  <c r="BU971"/>
  <c r="BV971"/>
  <c r="BW971" s="1"/>
  <c r="BX971" s="1"/>
  <c r="BY971" s="1"/>
  <c r="BZ971" s="1"/>
  <c r="CA971" s="1"/>
  <c r="CB971" s="1"/>
  <c r="CC971" s="1"/>
  <c r="CD971" s="1"/>
  <c r="BU972"/>
  <c r="BV972"/>
  <c r="BW972" s="1"/>
  <c r="BX972" s="1"/>
  <c r="BY972" s="1"/>
  <c r="BZ972" s="1"/>
  <c r="CA972" s="1"/>
  <c r="CB972" s="1"/>
  <c r="CC972" s="1"/>
  <c r="CD972" s="1"/>
  <c r="BU973"/>
  <c r="BV973" s="1"/>
  <c r="BW973" s="1"/>
  <c r="BX973" s="1"/>
  <c r="BY973" s="1"/>
  <c r="BZ973" s="1"/>
  <c r="CA973" s="1"/>
  <c r="CB973" s="1"/>
  <c r="CC973" s="1"/>
  <c r="CD973" s="1"/>
  <c r="BU974"/>
  <c r="BV974" s="1"/>
  <c r="BW974" s="1"/>
  <c r="BX974" s="1"/>
  <c r="BY974" s="1"/>
  <c r="BZ974" s="1"/>
  <c r="CA974" s="1"/>
  <c r="CB974" s="1"/>
  <c r="CC974" s="1"/>
  <c r="CD974" s="1"/>
  <c r="BU975"/>
  <c r="BV975" s="1"/>
  <c r="BW975" s="1"/>
  <c r="BX975" s="1"/>
  <c r="BY975" s="1"/>
  <c r="BZ975" s="1"/>
  <c r="CA975" s="1"/>
  <c r="CB975" s="1"/>
  <c r="CC975" s="1"/>
  <c r="CD975" s="1"/>
  <c r="BU976"/>
  <c r="BV976" s="1"/>
  <c r="BW976" s="1"/>
  <c r="BX976" s="1"/>
  <c r="BY976" s="1"/>
  <c r="BZ976" s="1"/>
  <c r="CA976" s="1"/>
  <c r="CB976" s="1"/>
  <c r="CC976" s="1"/>
  <c r="CD976" s="1"/>
  <c r="BU977"/>
  <c r="BV977"/>
  <c r="BW977" s="1"/>
  <c r="BX977" s="1"/>
  <c r="BY977" s="1"/>
  <c r="BZ977" s="1"/>
  <c r="CA977" s="1"/>
  <c r="CB977" s="1"/>
  <c r="CC977" s="1"/>
  <c r="CD977" s="1"/>
  <c r="BU978"/>
  <c r="BV978"/>
  <c r="BW978" s="1"/>
  <c r="BX978" s="1"/>
  <c r="BY978" s="1"/>
  <c r="BZ978" s="1"/>
  <c r="CA978" s="1"/>
  <c r="CB978" s="1"/>
  <c r="CC978" s="1"/>
  <c r="CD978" s="1"/>
  <c r="BU979"/>
  <c r="BV979"/>
  <c r="BW979" s="1"/>
  <c r="BX979" s="1"/>
  <c r="BY979" s="1"/>
  <c r="BZ979" s="1"/>
  <c r="CA979" s="1"/>
  <c r="CB979" s="1"/>
  <c r="CC979" s="1"/>
  <c r="CD979" s="1"/>
  <c r="BU980"/>
  <c r="BV980"/>
  <c r="BW980" s="1"/>
  <c r="BX980" s="1"/>
  <c r="BY980" s="1"/>
  <c r="BZ980" s="1"/>
  <c r="CA980" s="1"/>
  <c r="CB980" s="1"/>
  <c r="CC980" s="1"/>
  <c r="CD980" s="1"/>
  <c r="BU981"/>
  <c r="BV981" s="1"/>
  <c r="BW981" s="1"/>
  <c r="BX981" s="1"/>
  <c r="BY981" s="1"/>
  <c r="BZ981" s="1"/>
  <c r="CA981" s="1"/>
  <c r="CB981" s="1"/>
  <c r="CC981" s="1"/>
  <c r="CD981" s="1"/>
  <c r="BU982"/>
  <c r="BV982" s="1"/>
  <c r="BW982" s="1"/>
  <c r="BX982" s="1"/>
  <c r="BY982" s="1"/>
  <c r="BZ982" s="1"/>
  <c r="CA982" s="1"/>
  <c r="CB982" s="1"/>
  <c r="CC982" s="1"/>
  <c r="CD982" s="1"/>
  <c r="BU983"/>
  <c r="BV983" s="1"/>
  <c r="BW983" s="1"/>
  <c r="BX983" s="1"/>
  <c r="BY983" s="1"/>
  <c r="BZ983" s="1"/>
  <c r="CA983" s="1"/>
  <c r="CB983" s="1"/>
  <c r="CC983" s="1"/>
  <c r="CD983" s="1"/>
  <c r="BU984"/>
  <c r="BV984" s="1"/>
  <c r="BW984" s="1"/>
  <c r="BX984" s="1"/>
  <c r="BY984" s="1"/>
  <c r="BZ984" s="1"/>
  <c r="CA984" s="1"/>
  <c r="CB984" s="1"/>
  <c r="CC984" s="1"/>
  <c r="CD984" s="1"/>
  <c r="BU985"/>
  <c r="BV985"/>
  <c r="BW985" s="1"/>
  <c r="BX985" s="1"/>
  <c r="BY985" s="1"/>
  <c r="BZ985" s="1"/>
  <c r="CA985" s="1"/>
  <c r="CB985" s="1"/>
  <c r="CC985" s="1"/>
  <c r="CD985" s="1"/>
  <c r="BU986"/>
  <c r="BV986"/>
  <c r="BU987"/>
  <c r="BV987"/>
  <c r="BW987" s="1"/>
  <c r="BX987" s="1"/>
  <c r="BY987" s="1"/>
  <c r="BZ987" s="1"/>
  <c r="CA987" s="1"/>
  <c r="CB987" s="1"/>
  <c r="CC987" s="1"/>
  <c r="CD987" s="1"/>
  <c r="BU988"/>
  <c r="BV988" s="1"/>
  <c r="BW988" s="1"/>
  <c r="BX988" s="1"/>
  <c r="BY988" s="1"/>
  <c r="BZ988" s="1"/>
  <c r="CA988" s="1"/>
  <c r="CB988" s="1"/>
  <c r="CC988" s="1"/>
  <c r="CD988" s="1"/>
  <c r="BU989"/>
  <c r="BV989" s="1"/>
  <c r="BW989" s="1"/>
  <c r="BX989" s="1"/>
  <c r="BY989" s="1"/>
  <c r="BZ989" s="1"/>
  <c r="CA989" s="1"/>
  <c r="CB989" s="1"/>
  <c r="CC989" s="1"/>
  <c r="CD989" s="1"/>
  <c r="BU990"/>
  <c r="BV990"/>
  <c r="BW990" s="1"/>
  <c r="BX990" s="1"/>
  <c r="BY990" s="1"/>
  <c r="BZ990" s="1"/>
  <c r="CA990" s="1"/>
  <c r="CB990" s="1"/>
  <c r="CC990" s="1"/>
  <c r="CD990" s="1"/>
  <c r="BU991"/>
  <c r="BV991" s="1"/>
  <c r="BW991" s="1"/>
  <c r="BX991" s="1"/>
  <c r="BY991" s="1"/>
  <c r="BZ991" s="1"/>
  <c r="CA991" s="1"/>
  <c r="CB991" s="1"/>
  <c r="CC991" s="1"/>
  <c r="CD991" s="1"/>
  <c r="BU992"/>
  <c r="BV992" s="1"/>
  <c r="BW992" s="1"/>
  <c r="BX992" s="1"/>
  <c r="BY992" s="1"/>
  <c r="BZ992" s="1"/>
  <c r="CA992" s="1"/>
  <c r="CB992" s="1"/>
  <c r="CC992" s="1"/>
  <c r="CD992" s="1"/>
  <c r="BU993"/>
  <c r="BV993" s="1"/>
  <c r="BW993" s="1"/>
  <c r="BX993" s="1"/>
  <c r="BY993" s="1"/>
  <c r="BZ993" s="1"/>
  <c r="CA993" s="1"/>
  <c r="CB993" s="1"/>
  <c r="CC993" s="1"/>
  <c r="CD993" s="1"/>
  <c r="BU994"/>
  <c r="BV994"/>
  <c r="BW994" s="1"/>
  <c r="BX994" s="1"/>
  <c r="BY994" s="1"/>
  <c r="BZ994" s="1"/>
  <c r="CA994" s="1"/>
  <c r="CB994" s="1"/>
  <c r="CC994" s="1"/>
  <c r="CD994" s="1"/>
  <c r="BU995"/>
  <c r="BV995" s="1"/>
  <c r="BW995" s="1"/>
  <c r="BX995" s="1"/>
  <c r="BY995" s="1"/>
  <c r="BZ995" s="1"/>
  <c r="CA995" s="1"/>
  <c r="CB995" s="1"/>
  <c r="CC995" s="1"/>
  <c r="CD995" s="1"/>
  <c r="BU996"/>
  <c r="BV996" s="1"/>
  <c r="BW996" s="1"/>
  <c r="BX996" s="1"/>
  <c r="BY996" s="1"/>
  <c r="BZ996" s="1"/>
  <c r="CA996" s="1"/>
  <c r="CB996" s="1"/>
  <c r="CC996" s="1"/>
  <c r="CD996" s="1"/>
  <c r="BU997"/>
  <c r="BV997" s="1"/>
  <c r="BW997" s="1"/>
  <c r="BX997" s="1"/>
  <c r="BY997" s="1"/>
  <c r="BZ997" s="1"/>
  <c r="CA997" s="1"/>
  <c r="CB997" s="1"/>
  <c r="CC997" s="1"/>
  <c r="CD997" s="1"/>
  <c r="BU1017"/>
  <c r="BV1017"/>
  <c r="BW1017" s="1"/>
  <c r="BX1017" s="1"/>
  <c r="BY1017" s="1"/>
  <c r="BZ1017" s="1"/>
  <c r="CA1017" s="1"/>
  <c r="CB1017" s="1"/>
  <c r="CC1017" s="1"/>
  <c r="CD1017" s="1"/>
  <c r="BU1018"/>
  <c r="BV1018" s="1"/>
  <c r="BW1018" s="1"/>
  <c r="BX1018" s="1"/>
  <c r="BY1018" s="1"/>
  <c r="BZ1018" s="1"/>
  <c r="CA1018" s="1"/>
  <c r="CB1018" s="1"/>
  <c r="CC1018" s="1"/>
  <c r="CD1018" s="1"/>
  <c r="BU1022"/>
  <c r="BV1022" s="1"/>
  <c r="BW1022" s="1"/>
  <c r="BX1022" s="1"/>
  <c r="BY1022" s="1"/>
  <c r="BZ1022" s="1"/>
  <c r="CA1022" s="1"/>
  <c r="CB1022" s="1"/>
  <c r="CC1022" s="1"/>
  <c r="CD1022" s="1"/>
  <c r="BU1023"/>
  <c r="BV1023" s="1"/>
  <c r="BW1023" s="1"/>
  <c r="BX1023" s="1"/>
  <c r="BY1023" s="1"/>
  <c r="BZ1023" s="1"/>
  <c r="CA1023" s="1"/>
  <c r="CB1023" s="1"/>
  <c r="CC1023" s="1"/>
  <c r="CD1023" s="1"/>
  <c r="BU1024"/>
  <c r="BV1024"/>
  <c r="BW1024" s="1"/>
  <c r="BX1024" s="1"/>
  <c r="BY1024" s="1"/>
  <c r="BZ1024" s="1"/>
  <c r="CA1024" s="1"/>
  <c r="CB1024" s="1"/>
  <c r="CC1024" s="1"/>
  <c r="CD1024" s="1"/>
  <c r="BU1025"/>
  <c r="BV1025" s="1"/>
  <c r="BW1025" s="1"/>
  <c r="BX1025" s="1"/>
  <c r="BY1025" s="1"/>
  <c r="BZ1025" s="1"/>
  <c r="CA1025" s="1"/>
  <c r="CB1025" s="1"/>
  <c r="CC1025" s="1"/>
  <c r="CD1025" s="1"/>
  <c r="BU1026"/>
  <c r="BV1026" s="1"/>
  <c r="BW1026" s="1"/>
  <c r="BX1026" s="1"/>
  <c r="BY1026" s="1"/>
  <c r="BZ1026" s="1"/>
  <c r="CA1026" s="1"/>
  <c r="CB1026" s="1"/>
  <c r="CC1026" s="1"/>
  <c r="CD1026" s="1"/>
  <c r="BU1027"/>
  <c r="BV1027" s="1"/>
  <c r="BW1027" s="1"/>
  <c r="BX1027" s="1"/>
  <c r="BY1027" s="1"/>
  <c r="BZ1027" s="1"/>
  <c r="CA1027" s="1"/>
  <c r="CB1027" s="1"/>
  <c r="CC1027" s="1"/>
  <c r="CD1027" s="1"/>
  <c r="BU1028"/>
  <c r="BV1028"/>
  <c r="BW1028" s="1"/>
  <c r="BX1028" s="1"/>
  <c r="BY1028" s="1"/>
  <c r="BZ1028" s="1"/>
  <c r="CA1028" s="1"/>
  <c r="CB1028" s="1"/>
  <c r="CC1028" s="1"/>
  <c r="CD1028" s="1"/>
  <c r="BV1029"/>
  <c r="BW1029" s="1"/>
  <c r="BX1029" s="1"/>
  <c r="BY1029" s="1"/>
  <c r="BZ1029" s="1"/>
  <c r="CA1029" s="1"/>
  <c r="CB1029" s="1"/>
  <c r="CC1029" s="1"/>
  <c r="CD1029" s="1"/>
  <c r="BV1030"/>
  <c r="BW1030" s="1"/>
  <c r="BX1030" s="1"/>
  <c r="BY1030" s="1"/>
  <c r="BZ1030" s="1"/>
  <c r="CA1030" s="1"/>
  <c r="CB1030" s="1"/>
  <c r="CC1030" s="1"/>
  <c r="CD1030" s="1"/>
  <c r="BV1031"/>
  <c r="BW1031"/>
  <c r="BX1031" s="1"/>
  <c r="BY1031" s="1"/>
  <c r="BZ1031" s="1"/>
  <c r="CA1031" s="1"/>
  <c r="CB1031" s="1"/>
  <c r="CC1031" s="1"/>
  <c r="CD1031" s="1"/>
  <c r="BV1032"/>
  <c r="BW1032" s="1"/>
  <c r="BX1032"/>
  <c r="BY1032" s="1"/>
  <c r="BZ1032" s="1"/>
  <c r="CA1032" s="1"/>
  <c r="CB1032" s="1"/>
  <c r="CC1032" s="1"/>
  <c r="CD1032" s="1"/>
  <c r="BV1033"/>
  <c r="BW1033" s="1"/>
  <c r="BX1033" s="1"/>
  <c r="BY1033" s="1"/>
  <c r="BZ1033" s="1"/>
  <c r="CA1033" s="1"/>
  <c r="CB1033" s="1"/>
  <c r="CC1033" s="1"/>
  <c r="CD1033" s="1"/>
  <c r="BV1034"/>
  <c r="BW1034" s="1"/>
  <c r="BX1034" s="1"/>
  <c r="BY1034" s="1"/>
  <c r="BZ1034" s="1"/>
  <c r="CA1034" s="1"/>
  <c r="CB1034" s="1"/>
  <c r="CC1034" s="1"/>
  <c r="CD1034" s="1"/>
  <c r="BU1035"/>
  <c r="BU1036"/>
  <c r="BV1036" s="1"/>
  <c r="BW1036" s="1"/>
  <c r="BX1036" s="1"/>
  <c r="BY1036" s="1"/>
  <c r="BZ1036" s="1"/>
  <c r="CA1036" s="1"/>
  <c r="CB1036" s="1"/>
  <c r="CC1036" s="1"/>
  <c r="CD1036" s="1"/>
  <c r="BV1037"/>
  <c r="BW1037" s="1"/>
  <c r="BX1037" s="1"/>
  <c r="BY1037" s="1"/>
  <c r="BZ1037" s="1"/>
  <c r="CA1037" s="1"/>
  <c r="CB1037" s="1"/>
  <c r="CC1037" s="1"/>
  <c r="CD1037" s="1"/>
  <c r="BU1038"/>
  <c r="BV1038" s="1"/>
  <c r="BW1038" s="1"/>
  <c r="BX1038" s="1"/>
  <c r="BY1038" s="1"/>
  <c r="BZ1038" s="1"/>
  <c r="CA1038" s="1"/>
  <c r="CB1038" s="1"/>
  <c r="CC1038" s="1"/>
  <c r="CD1038" s="1"/>
  <c r="BU1040"/>
  <c r="BV1040" s="1"/>
  <c r="BW1040" s="1"/>
  <c r="BX1040" s="1"/>
  <c r="BY1040" s="1"/>
  <c r="BZ1040" s="1"/>
  <c r="CA1040" s="1"/>
  <c r="CB1040" s="1"/>
  <c r="CC1040" s="1"/>
  <c r="CD1040" s="1"/>
  <c r="BW1041"/>
  <c r="BX1041" s="1"/>
  <c r="BY1041" s="1"/>
  <c r="BZ1041" s="1"/>
  <c r="CA1041" s="1"/>
  <c r="CB1041" s="1"/>
  <c r="CC1041" s="1"/>
  <c r="CD1041" s="1"/>
  <c r="BW1042"/>
  <c r="BX1042" s="1"/>
  <c r="BY1042" s="1"/>
  <c r="BZ1042" s="1"/>
  <c r="CA1042" s="1"/>
  <c r="CB1042" s="1"/>
  <c r="CC1042" s="1"/>
  <c r="CD1042" s="1"/>
  <c r="BU1043"/>
  <c r="BU1045"/>
  <c r="BU1046"/>
  <c r="BU1047"/>
  <c r="BW1048"/>
  <c r="BX1048" s="1"/>
  <c r="BY1048" s="1"/>
  <c r="BZ1048" s="1"/>
  <c r="CA1048" s="1"/>
  <c r="CB1048" s="1"/>
  <c r="CC1048" s="1"/>
  <c r="CD1048" s="1"/>
  <c r="BW1049"/>
  <c r="BX1049" s="1"/>
  <c r="BY1049" s="1"/>
  <c r="BZ1049" s="1"/>
  <c r="CA1049" s="1"/>
  <c r="CB1049" s="1"/>
  <c r="CC1049" s="1"/>
  <c r="CD1049" s="1"/>
  <c r="BV1050"/>
  <c r="BW1050" s="1"/>
  <c r="BX1050" s="1"/>
  <c r="BY1050" s="1"/>
  <c r="BZ1050" s="1"/>
  <c r="CA1050" s="1"/>
  <c r="CB1050" s="1"/>
  <c r="CC1050" s="1"/>
  <c r="CD1050" s="1"/>
  <c r="BV1051"/>
  <c r="BW1051" s="1"/>
  <c r="BX1051" s="1"/>
  <c r="BY1051" s="1"/>
  <c r="BZ1051" s="1"/>
  <c r="CA1051" s="1"/>
  <c r="CB1051" s="1"/>
  <c r="CC1051" s="1"/>
  <c r="CD1051" s="1"/>
  <c r="BU1053"/>
  <c r="BV1053" s="1"/>
  <c r="BW1053" s="1"/>
  <c r="BX1053" s="1"/>
  <c r="BY1053" s="1"/>
  <c r="BZ1053" s="1"/>
  <c r="CA1053" s="1"/>
  <c r="CB1053" s="1"/>
  <c r="CC1053" s="1"/>
  <c r="CD1053" s="1"/>
  <c r="BU1055"/>
  <c r="BV1055" s="1"/>
  <c r="BW1055"/>
  <c r="BX1055" s="1"/>
  <c r="BY1055" s="1"/>
  <c r="BZ1055" s="1"/>
  <c r="CA1055" s="1"/>
  <c r="CB1055" s="1"/>
  <c r="CC1055" s="1"/>
  <c r="CD1055" s="1"/>
  <c r="BU1057"/>
  <c r="BV1057" s="1"/>
  <c r="BW1057" s="1"/>
  <c r="BX1057" s="1"/>
  <c r="BY1057" s="1"/>
  <c r="BZ1057" s="1"/>
  <c r="CA1057" s="1"/>
  <c r="CB1057" s="1"/>
  <c r="CC1057" s="1"/>
  <c r="CD1057" s="1"/>
  <c r="BU1058"/>
  <c r="BV1058" s="1"/>
  <c r="BW1058" s="1"/>
  <c r="BX1058" s="1"/>
  <c r="BY1058" s="1"/>
  <c r="BZ1058" s="1"/>
  <c r="CA1058" s="1"/>
  <c r="CB1058" s="1"/>
  <c r="CC1058" s="1"/>
  <c r="CD1058" s="1"/>
  <c r="BU1059"/>
  <c r="BV1059" s="1"/>
  <c r="BW1059" s="1"/>
  <c r="BX1059" s="1"/>
  <c r="BY1059" s="1"/>
  <c r="BZ1059" s="1"/>
  <c r="CA1059" s="1"/>
  <c r="CB1059" s="1"/>
  <c r="CC1059" s="1"/>
  <c r="CD1059" s="1"/>
  <c r="BU1060"/>
  <c r="BV1060" s="1"/>
  <c r="BW1060" s="1"/>
  <c r="BX1060" s="1"/>
  <c r="BY1060" s="1"/>
  <c r="BZ1060" s="1"/>
  <c r="CA1060" s="1"/>
  <c r="CB1060" s="1"/>
  <c r="CC1060" s="1"/>
  <c r="CD1060" s="1"/>
  <c r="BV1067"/>
  <c r="BW1067" s="1"/>
  <c r="BX1067" s="1"/>
  <c r="BY1067" s="1"/>
  <c r="BZ1067" s="1"/>
  <c r="CA1067" s="1"/>
  <c r="CB1067" s="1"/>
  <c r="CC1067" s="1"/>
  <c r="CD1067" s="1"/>
  <c r="BU1068"/>
  <c r="BV1068" s="1"/>
  <c r="BW1068" s="1"/>
  <c r="BX1068" s="1"/>
  <c r="BY1068" s="1"/>
  <c r="BZ1068" s="1"/>
  <c r="CA1068" s="1"/>
  <c r="CB1068" s="1"/>
  <c r="CC1068" s="1"/>
  <c r="CD1068" s="1"/>
  <c r="BU1073"/>
  <c r="BV1073"/>
  <c r="BW1073" s="1"/>
  <c r="BX1073" s="1"/>
  <c r="BY1073" s="1"/>
  <c r="BZ1073" s="1"/>
  <c r="CA1073" s="1"/>
  <c r="CB1073" s="1"/>
  <c r="CC1073" s="1"/>
  <c r="CD1073" s="1"/>
  <c r="BU1081"/>
  <c r="BV1081" s="1"/>
  <c r="BW1081" s="1"/>
  <c r="BX1081" s="1"/>
  <c r="BY1081" s="1"/>
  <c r="BZ1081" s="1"/>
  <c r="CA1081" s="1"/>
  <c r="CB1081" s="1"/>
  <c r="CC1081" s="1"/>
  <c r="CD1081" s="1"/>
  <c r="BU1082"/>
  <c r="BV1082"/>
  <c r="BW1082" s="1"/>
  <c r="BX1082" s="1"/>
  <c r="BY1082" s="1"/>
  <c r="BZ1082" s="1"/>
  <c r="CA1082" s="1"/>
  <c r="CB1082" s="1"/>
  <c r="CC1082" s="1"/>
  <c r="CD1082" s="1"/>
  <c r="BU1083"/>
  <c r="BV1083" s="1"/>
  <c r="BW1083" s="1"/>
  <c r="BX1083" s="1"/>
  <c r="BY1083" s="1"/>
  <c r="BZ1083" s="1"/>
  <c r="CA1083" s="1"/>
  <c r="CB1083" s="1"/>
  <c r="CC1083" s="1"/>
  <c r="CD1083" s="1"/>
  <c r="BU1084"/>
  <c r="BV1084"/>
  <c r="BW1084" s="1"/>
  <c r="BX1084" s="1"/>
  <c r="BY1084" s="1"/>
  <c r="BZ1084" s="1"/>
  <c r="CA1084" s="1"/>
  <c r="CB1084" s="1"/>
  <c r="CC1084" s="1"/>
  <c r="CD1084" s="1"/>
  <c r="BU1088"/>
  <c r="BV1088" s="1"/>
  <c r="BW1088" s="1"/>
  <c r="BX1088" s="1"/>
  <c r="BY1088" s="1"/>
  <c r="BZ1088" s="1"/>
  <c r="CA1088" s="1"/>
  <c r="CB1088" s="1"/>
  <c r="CC1088" s="1"/>
  <c r="CD1088" s="1"/>
  <c r="BU1096"/>
  <c r="BV1096"/>
  <c r="BW1096" s="1"/>
  <c r="BX1096" s="1"/>
  <c r="BY1096" s="1"/>
  <c r="BZ1096" s="1"/>
  <c r="CA1096" s="1"/>
  <c r="CB1096" s="1"/>
  <c r="CC1096" s="1"/>
  <c r="CD1096" s="1"/>
  <c r="BU1109"/>
  <c r="BV1109" s="1"/>
  <c r="BW1109" s="1"/>
  <c r="BX1109" s="1"/>
  <c r="BY1109" s="1"/>
  <c r="BZ1109" s="1"/>
  <c r="CA1109" s="1"/>
  <c r="CB1109" s="1"/>
  <c r="CC1109" s="1"/>
  <c r="CD1109" s="1"/>
  <c r="BU1110"/>
  <c r="BV1110"/>
  <c r="BW1110" s="1"/>
  <c r="BX1110" s="1"/>
  <c r="BY1110" s="1"/>
  <c r="BZ1110" s="1"/>
  <c r="CA1110" s="1"/>
  <c r="CB1110" s="1"/>
  <c r="CC1110" s="1"/>
  <c r="CD1110" s="1"/>
  <c r="BU1111"/>
  <c r="BV1111" s="1"/>
  <c r="BW1111" s="1"/>
  <c r="BX1111" s="1"/>
  <c r="BY1111" s="1"/>
  <c r="BZ1111" s="1"/>
  <c r="CA1111" s="1"/>
  <c r="CB1111" s="1"/>
  <c r="CC1111" s="1"/>
  <c r="CD1111" s="1"/>
  <c r="BU1116"/>
  <c r="BV1116"/>
  <c r="BW1116" s="1"/>
  <c r="BX1116" s="1"/>
  <c r="BY1116" s="1"/>
  <c r="BZ1116" s="1"/>
  <c r="CA1116" s="1"/>
  <c r="CB1116" s="1"/>
  <c r="CC1116" s="1"/>
  <c r="CD1116" s="1"/>
  <c r="BU1117"/>
  <c r="BV1117" s="1"/>
  <c r="BW1117" s="1"/>
  <c r="BX1117" s="1"/>
  <c r="BY1117" s="1"/>
  <c r="BZ1117" s="1"/>
  <c r="CA1117" s="1"/>
  <c r="CB1117" s="1"/>
  <c r="CC1117" s="1"/>
  <c r="CD1117" s="1"/>
  <c r="BU1129"/>
  <c r="BV1129"/>
  <c r="BW1129" s="1"/>
  <c r="BX1129" s="1"/>
  <c r="BY1129" s="1"/>
  <c r="BZ1129" s="1"/>
  <c r="CA1129" s="1"/>
  <c r="CB1129" s="1"/>
  <c r="CC1129" s="1"/>
  <c r="CD1129" s="1"/>
  <c r="BU1130"/>
  <c r="BV1130" s="1"/>
  <c r="BW1130" s="1"/>
  <c r="BX1130" s="1"/>
  <c r="BY1130" s="1"/>
  <c r="BZ1130" s="1"/>
  <c r="CA1130" s="1"/>
  <c r="CB1130" s="1"/>
  <c r="CC1130" s="1"/>
  <c r="CD1130" s="1"/>
  <c r="BU1131"/>
  <c r="BV1131"/>
  <c r="BW1131" s="1"/>
  <c r="BX1131" s="1"/>
  <c r="BY1131" s="1"/>
  <c r="BZ1131" s="1"/>
  <c r="CA1131" s="1"/>
  <c r="CB1131" s="1"/>
  <c r="CC1131" s="1"/>
  <c r="CD1131" s="1"/>
  <c r="BU851"/>
  <c r="BV851" s="1"/>
  <c r="BW851" s="1"/>
  <c r="BX851" s="1"/>
  <c r="BY851" s="1"/>
  <c r="BZ851" s="1"/>
  <c r="CA851" s="1"/>
  <c r="CB851" s="1"/>
  <c r="CC851" s="1"/>
  <c r="CD851" s="1"/>
  <c r="BU5"/>
  <c r="BV5"/>
  <c r="BW5" s="1"/>
  <c r="BX5" s="1"/>
  <c r="BY5" s="1"/>
  <c r="BZ5" s="1"/>
  <c r="CA5" s="1"/>
  <c r="CB5" s="1"/>
  <c r="CC5" s="1"/>
  <c r="CD5" s="1"/>
  <c r="BU6"/>
  <c r="BV6" s="1"/>
  <c r="BW6" s="1"/>
  <c r="BX6" s="1"/>
  <c r="BY6" s="1"/>
  <c r="BZ6" s="1"/>
  <c r="CA6" s="1"/>
  <c r="CB6" s="1"/>
  <c r="CC6" s="1"/>
  <c r="CD6" s="1"/>
  <c r="BU7"/>
  <c r="BV7"/>
  <c r="BW7" s="1"/>
  <c r="BX7" s="1"/>
  <c r="BY7" s="1"/>
  <c r="BZ7" s="1"/>
  <c r="CA7" s="1"/>
  <c r="CB7" s="1"/>
  <c r="CC7" s="1"/>
  <c r="CD7" s="1"/>
  <c r="BU8"/>
  <c r="BV8" s="1"/>
  <c r="BW8" s="1"/>
  <c r="BX8" s="1"/>
  <c r="BY8" s="1"/>
  <c r="BZ8" s="1"/>
  <c r="CA8" s="1"/>
  <c r="CB8" s="1"/>
  <c r="CC8" s="1"/>
  <c r="CD8" s="1"/>
  <c r="BU11"/>
  <c r="BV11"/>
  <c r="BW11" s="1"/>
  <c r="BX11" s="1"/>
  <c r="BY11" s="1"/>
  <c r="BZ11" s="1"/>
  <c r="CA11" s="1"/>
  <c r="CB11" s="1"/>
  <c r="CC11" s="1"/>
  <c r="CD11" s="1"/>
  <c r="BU12"/>
  <c r="BV12" s="1"/>
  <c r="BW12" s="1"/>
  <c r="BX12" s="1"/>
  <c r="BY12" s="1"/>
  <c r="BZ12" s="1"/>
  <c r="CA12" s="1"/>
  <c r="CB12" s="1"/>
  <c r="CC12" s="1"/>
  <c r="CD12" s="1"/>
  <c r="BU13"/>
  <c r="BV13"/>
  <c r="BW13" s="1"/>
  <c r="BX13" s="1"/>
  <c r="BY13" s="1"/>
  <c r="BZ13" s="1"/>
  <c r="CA13" s="1"/>
  <c r="CB13" s="1"/>
  <c r="CC13" s="1"/>
  <c r="CD13" s="1"/>
  <c r="BU14"/>
  <c r="BV14" s="1"/>
  <c r="BW14" s="1"/>
  <c r="BX14" s="1"/>
  <c r="BY14" s="1"/>
  <c r="BZ14" s="1"/>
  <c r="CA14" s="1"/>
  <c r="CB14" s="1"/>
  <c r="CC14" s="1"/>
  <c r="CD14" s="1"/>
  <c r="BU15"/>
  <c r="BV15"/>
  <c r="BW15" s="1"/>
  <c r="BX15" s="1"/>
  <c r="BY15" s="1"/>
  <c r="BZ15" s="1"/>
  <c r="CA15" s="1"/>
  <c r="CB15" s="1"/>
  <c r="CC15" s="1"/>
  <c r="CD15" s="1"/>
  <c r="BU17"/>
  <c r="BV17" s="1"/>
  <c r="BW17" s="1"/>
  <c r="BX17" s="1"/>
  <c r="BY17" s="1"/>
  <c r="BZ17" s="1"/>
  <c r="CA17" s="1"/>
  <c r="CB17" s="1"/>
  <c r="CC17" s="1"/>
  <c r="CD17" s="1"/>
  <c r="BU20"/>
  <c r="BV20" s="1"/>
  <c r="BW20" s="1"/>
  <c r="BX20" s="1"/>
  <c r="BY20" s="1"/>
  <c r="BZ20" s="1"/>
  <c r="CA20" s="1"/>
  <c r="CB20" s="1"/>
  <c r="CC20" s="1"/>
  <c r="CD20" s="1"/>
  <c r="BU21"/>
  <c r="BV21" s="1"/>
  <c r="BW21" s="1"/>
  <c r="BX21" s="1"/>
  <c r="BY21" s="1"/>
  <c r="BZ21" s="1"/>
  <c r="CA21" s="1"/>
  <c r="CB21" s="1"/>
  <c r="CC21" s="1"/>
  <c r="CD21" s="1"/>
  <c r="BU22"/>
  <c r="BV22" s="1"/>
  <c r="BW22" s="1"/>
  <c r="BX22" s="1"/>
  <c r="BY22" s="1"/>
  <c r="BZ22" s="1"/>
  <c r="CA22" s="1"/>
  <c r="CB22" s="1"/>
  <c r="CC22" s="1"/>
  <c r="CD22" s="1"/>
  <c r="BU23"/>
  <c r="BV23" s="1"/>
  <c r="BW23" s="1"/>
  <c r="BX23" s="1"/>
  <c r="BY23" s="1"/>
  <c r="BZ23" s="1"/>
  <c r="CA23" s="1"/>
  <c r="CB23" s="1"/>
  <c r="CC23" s="1"/>
  <c r="CD23" s="1"/>
  <c r="BU24"/>
  <c r="BV24" s="1"/>
  <c r="BW24" s="1"/>
  <c r="BX24" s="1"/>
  <c r="BY24" s="1"/>
  <c r="BZ24" s="1"/>
  <c r="CA24" s="1"/>
  <c r="CB24" s="1"/>
  <c r="CC24" s="1"/>
  <c r="CD24" s="1"/>
  <c r="BU25"/>
  <c r="BV25" s="1"/>
  <c r="BW25" s="1"/>
  <c r="BX25" s="1"/>
  <c r="BY25" s="1"/>
  <c r="BZ25" s="1"/>
  <c r="CA25" s="1"/>
  <c r="CB25" s="1"/>
  <c r="CC25" s="1"/>
  <c r="CD25" s="1"/>
  <c r="BU26"/>
  <c r="BV26" s="1"/>
  <c r="BW26" s="1"/>
  <c r="BX26" s="1"/>
  <c r="BY26" s="1"/>
  <c r="BZ26" s="1"/>
  <c r="CA26" s="1"/>
  <c r="CB26" s="1"/>
  <c r="CC26" s="1"/>
  <c r="CD26" s="1"/>
  <c r="BU27"/>
  <c r="BV27" s="1"/>
  <c r="BW27" s="1"/>
  <c r="BX27" s="1"/>
  <c r="BY27" s="1"/>
  <c r="BZ27" s="1"/>
  <c r="CA27" s="1"/>
  <c r="CB27" s="1"/>
  <c r="CC27" s="1"/>
  <c r="CD27" s="1"/>
  <c r="BU28"/>
  <c r="BV28" s="1"/>
  <c r="BW28" s="1"/>
  <c r="BX28" s="1"/>
  <c r="BY28" s="1"/>
  <c r="BZ28" s="1"/>
  <c r="CA28" s="1"/>
  <c r="CB28" s="1"/>
  <c r="CC28" s="1"/>
  <c r="CD28" s="1"/>
  <c r="BU29"/>
  <c r="BV29" s="1"/>
  <c r="BW29" s="1"/>
  <c r="BX29" s="1"/>
  <c r="BY29" s="1"/>
  <c r="BZ29" s="1"/>
  <c r="CA29" s="1"/>
  <c r="CB29" s="1"/>
  <c r="CC29" s="1"/>
  <c r="CD29" s="1"/>
  <c r="BU30"/>
  <c r="BV30" s="1"/>
  <c r="BW30" s="1"/>
  <c r="BX30" s="1"/>
  <c r="BY30" s="1"/>
  <c r="BZ30" s="1"/>
  <c r="CA30" s="1"/>
  <c r="CB30" s="1"/>
  <c r="CC30" s="1"/>
  <c r="CD30" s="1"/>
  <c r="BU31"/>
  <c r="BV31" s="1"/>
  <c r="BW31" s="1"/>
  <c r="BX31" s="1"/>
  <c r="BY31" s="1"/>
  <c r="BZ31" s="1"/>
  <c r="CA31" s="1"/>
  <c r="CB31" s="1"/>
  <c r="CC31" s="1"/>
  <c r="CD31" s="1"/>
  <c r="BU32"/>
  <c r="BV32" s="1"/>
  <c r="BW32" s="1"/>
  <c r="BX32" s="1"/>
  <c r="BY32" s="1"/>
  <c r="BZ32" s="1"/>
  <c r="CA32" s="1"/>
  <c r="CB32" s="1"/>
  <c r="CC32" s="1"/>
  <c r="CD32" s="1"/>
  <c r="BU33"/>
  <c r="BV33" s="1"/>
  <c r="BW33" s="1"/>
  <c r="BX33" s="1"/>
  <c r="BY33" s="1"/>
  <c r="BZ33" s="1"/>
  <c r="CA33" s="1"/>
  <c r="CB33" s="1"/>
  <c r="CC33" s="1"/>
  <c r="CD33" s="1"/>
  <c r="BU34"/>
  <c r="BV34" s="1"/>
  <c r="BW34" s="1"/>
  <c r="BX34" s="1"/>
  <c r="BY34" s="1"/>
  <c r="BZ34" s="1"/>
  <c r="CA34" s="1"/>
  <c r="CB34" s="1"/>
  <c r="CC34" s="1"/>
  <c r="CD34" s="1"/>
  <c r="BU40"/>
  <c r="BV40" s="1"/>
  <c r="BW40" s="1"/>
  <c r="BX40" s="1"/>
  <c r="BY40" s="1"/>
  <c r="BZ40" s="1"/>
  <c r="CA40" s="1"/>
  <c r="CB40" s="1"/>
  <c r="CC40" s="1"/>
  <c r="CD40" s="1"/>
  <c r="BU41"/>
  <c r="BV41" s="1"/>
  <c r="BW41" s="1"/>
  <c r="BX41" s="1"/>
  <c r="BY41" s="1"/>
  <c r="BZ41" s="1"/>
  <c r="CA41" s="1"/>
  <c r="CB41" s="1"/>
  <c r="CC41" s="1"/>
  <c r="CD41" s="1"/>
  <c r="BU46"/>
  <c r="BV46" s="1"/>
  <c r="BW46" s="1"/>
  <c r="BX46" s="1"/>
  <c r="BY46" s="1"/>
  <c r="BZ46" s="1"/>
  <c r="CA46" s="1"/>
  <c r="CB46" s="1"/>
  <c r="CC46" s="1"/>
  <c r="CD46" s="1"/>
  <c r="BU49"/>
  <c r="BV49" s="1"/>
  <c r="BW49" s="1"/>
  <c r="BX49" s="1"/>
  <c r="BY49" s="1"/>
  <c r="BZ49" s="1"/>
  <c r="CA49" s="1"/>
  <c r="CB49" s="1"/>
  <c r="CC49" s="1"/>
  <c r="CD49" s="1"/>
  <c r="BU52"/>
  <c r="BV52" s="1"/>
  <c r="BW52" s="1"/>
  <c r="BX52" s="1"/>
  <c r="BY52" s="1"/>
  <c r="BZ52" s="1"/>
  <c r="CA52" s="1"/>
  <c r="CB52" s="1"/>
  <c r="CC52" s="1"/>
  <c r="CD52" s="1"/>
  <c r="BU55"/>
  <c r="BV55" s="1"/>
  <c r="BW55" s="1"/>
  <c r="BX55" s="1"/>
  <c r="BY55" s="1"/>
  <c r="BZ55" s="1"/>
  <c r="CA55" s="1"/>
  <c r="CB55" s="1"/>
  <c r="CC55" s="1"/>
  <c r="CD55" s="1"/>
  <c r="BU56"/>
  <c r="BV56" s="1"/>
  <c r="BW56" s="1"/>
  <c r="BX56" s="1"/>
  <c r="BY56" s="1"/>
  <c r="BZ56" s="1"/>
  <c r="CA56" s="1"/>
  <c r="CB56" s="1"/>
  <c r="CC56" s="1"/>
  <c r="CD56" s="1"/>
  <c r="BU57"/>
  <c r="BV57" s="1"/>
  <c r="BW57" s="1"/>
  <c r="BX57" s="1"/>
  <c r="BY57" s="1"/>
  <c r="BZ57" s="1"/>
  <c r="CA57" s="1"/>
  <c r="CB57" s="1"/>
  <c r="CC57" s="1"/>
  <c r="CD57" s="1"/>
  <c r="BU62"/>
  <c r="BV62" s="1"/>
  <c r="BW62" s="1"/>
  <c r="BX62" s="1"/>
  <c r="BY62" s="1"/>
  <c r="BZ62" s="1"/>
  <c r="CA62" s="1"/>
  <c r="CB62" s="1"/>
  <c r="CC62" s="1"/>
  <c r="CD62" s="1"/>
  <c r="BU64"/>
  <c r="BV64" s="1"/>
  <c r="BW64" s="1"/>
  <c r="BX64" s="1"/>
  <c r="BY64" s="1"/>
  <c r="BZ64" s="1"/>
  <c r="CA64" s="1"/>
  <c r="CB64" s="1"/>
  <c r="CC64" s="1"/>
  <c r="CD64" s="1"/>
  <c r="BU66"/>
  <c r="BV66" s="1"/>
  <c r="BW66" s="1"/>
  <c r="BX66" s="1"/>
  <c r="BY66" s="1"/>
  <c r="BZ66" s="1"/>
  <c r="CA66" s="1"/>
  <c r="CB66" s="1"/>
  <c r="CC66" s="1"/>
  <c r="CD66" s="1"/>
  <c r="BU77"/>
  <c r="BV77" s="1"/>
  <c r="BW77" s="1"/>
  <c r="BX77" s="1"/>
  <c r="BY77" s="1"/>
  <c r="BZ77" s="1"/>
  <c r="CA77" s="1"/>
  <c r="CB77" s="1"/>
  <c r="CC77" s="1"/>
  <c r="CD77" s="1"/>
  <c r="BU78"/>
  <c r="BV78" s="1"/>
  <c r="BW78" s="1"/>
  <c r="BX78" s="1"/>
  <c r="BY78" s="1"/>
  <c r="BZ78" s="1"/>
  <c r="CA78" s="1"/>
  <c r="CB78" s="1"/>
  <c r="CC78" s="1"/>
  <c r="CD78" s="1"/>
  <c r="BU80"/>
  <c r="BV80" s="1"/>
  <c r="BW80" s="1"/>
  <c r="BX80" s="1"/>
  <c r="BY80" s="1"/>
  <c r="BZ80" s="1"/>
  <c r="CA80" s="1"/>
  <c r="CB80" s="1"/>
  <c r="CC80" s="1"/>
  <c r="CD80" s="1"/>
  <c r="BU82"/>
  <c r="BV82" s="1"/>
  <c r="BW82" s="1"/>
  <c r="BX82" s="1"/>
  <c r="BY82" s="1"/>
  <c r="BZ82" s="1"/>
  <c r="CA82" s="1"/>
  <c r="CB82" s="1"/>
  <c r="CC82" s="1"/>
  <c r="CD82" s="1"/>
  <c r="BU83"/>
  <c r="BV83" s="1"/>
  <c r="BW83" s="1"/>
  <c r="BX83" s="1"/>
  <c r="BY83" s="1"/>
  <c r="BZ83" s="1"/>
  <c r="CA83" s="1"/>
  <c r="CB83" s="1"/>
  <c r="CC83" s="1"/>
  <c r="CD83" s="1"/>
  <c r="BU91"/>
  <c r="BV91" s="1"/>
  <c r="BW91" s="1"/>
  <c r="BX91" s="1"/>
  <c r="BY91" s="1"/>
  <c r="BZ91" s="1"/>
  <c r="CA91" s="1"/>
  <c r="CB91" s="1"/>
  <c r="CC91" s="1"/>
  <c r="CD91" s="1"/>
  <c r="BU92"/>
  <c r="BV92" s="1"/>
  <c r="BW92" s="1"/>
  <c r="BX92" s="1"/>
  <c r="BY92" s="1"/>
  <c r="BZ92" s="1"/>
  <c r="CA92" s="1"/>
  <c r="CB92" s="1"/>
  <c r="CC92" s="1"/>
  <c r="CD92" s="1"/>
  <c r="BU93"/>
  <c r="BV93" s="1"/>
  <c r="BW93" s="1"/>
  <c r="BX93" s="1"/>
  <c r="BY93" s="1"/>
  <c r="BZ93" s="1"/>
  <c r="CA93" s="1"/>
  <c r="CB93" s="1"/>
  <c r="CC93" s="1"/>
  <c r="CD93" s="1"/>
  <c r="BU94"/>
  <c r="BV94" s="1"/>
  <c r="BW94" s="1"/>
  <c r="BX94" s="1"/>
  <c r="BY94" s="1"/>
  <c r="BZ94" s="1"/>
  <c r="CA94" s="1"/>
  <c r="CB94" s="1"/>
  <c r="CC94" s="1"/>
  <c r="CD94" s="1"/>
  <c r="BU95"/>
  <c r="BV95" s="1"/>
  <c r="BW95" s="1"/>
  <c r="BX95" s="1"/>
  <c r="BY95" s="1"/>
  <c r="BZ95" s="1"/>
  <c r="CA95" s="1"/>
  <c r="CB95" s="1"/>
  <c r="CC95" s="1"/>
  <c r="CD95" s="1"/>
  <c r="BZ96"/>
  <c r="CA96" s="1"/>
  <c r="CB96" s="1"/>
  <c r="CC96" s="1"/>
  <c r="CD96" s="1"/>
  <c r="BU103"/>
  <c r="BV103" s="1"/>
  <c r="BW103" s="1"/>
  <c r="BX103" s="1"/>
  <c r="BY103" s="1"/>
  <c r="BZ103" s="1"/>
  <c r="CA103" s="1"/>
  <c r="CB103" s="1"/>
  <c r="CC103" s="1"/>
  <c r="CD103" s="1"/>
  <c r="BU106"/>
  <c r="BV106" s="1"/>
  <c r="BW106" s="1"/>
  <c r="BX106" s="1"/>
  <c r="BY106" s="1"/>
  <c r="BZ106" s="1"/>
  <c r="CA106" s="1"/>
  <c r="CB106" s="1"/>
  <c r="CC106" s="1"/>
  <c r="CD106" s="1"/>
  <c r="BU107"/>
  <c r="BV107" s="1"/>
  <c r="BW107" s="1"/>
  <c r="BX107" s="1"/>
  <c r="BY107" s="1"/>
  <c r="BZ107" s="1"/>
  <c r="CA107" s="1"/>
  <c r="CB107" s="1"/>
  <c r="CC107" s="1"/>
  <c r="CD107" s="1"/>
  <c r="BU108"/>
  <c r="BV108" s="1"/>
  <c r="BW108" s="1"/>
  <c r="BX108" s="1"/>
  <c r="BY108" s="1"/>
  <c r="BZ108" s="1"/>
  <c r="CA108" s="1"/>
  <c r="CB108" s="1"/>
  <c r="CC108" s="1"/>
  <c r="CD108" s="1"/>
  <c r="BU109"/>
  <c r="BV109" s="1"/>
  <c r="BW109" s="1"/>
  <c r="BX109" s="1"/>
  <c r="BY109" s="1"/>
  <c r="BZ109" s="1"/>
  <c r="CA109" s="1"/>
  <c r="CB109" s="1"/>
  <c r="CC109" s="1"/>
  <c r="CD109" s="1"/>
  <c r="BU110"/>
  <c r="BV110" s="1"/>
  <c r="BW110" s="1"/>
  <c r="BX110" s="1"/>
  <c r="BY110" s="1"/>
  <c r="BZ110" s="1"/>
  <c r="CA110" s="1"/>
  <c r="CB110" s="1"/>
  <c r="CC110" s="1"/>
  <c r="CD110" s="1"/>
  <c r="BU111"/>
  <c r="BV111" s="1"/>
  <c r="BW111" s="1"/>
  <c r="BX111" s="1"/>
  <c r="BY111" s="1"/>
  <c r="BZ111" s="1"/>
  <c r="CA111" s="1"/>
  <c r="CB111" s="1"/>
  <c r="CC111" s="1"/>
  <c r="CD111" s="1"/>
  <c r="BU112"/>
  <c r="BV112" s="1"/>
  <c r="BW112" s="1"/>
  <c r="BX112" s="1"/>
  <c r="BY112" s="1"/>
  <c r="BZ112" s="1"/>
  <c r="CA112" s="1"/>
  <c r="CB112" s="1"/>
  <c r="CC112" s="1"/>
  <c r="CD112" s="1"/>
  <c r="BU113"/>
  <c r="BV113" s="1"/>
  <c r="BW113" s="1"/>
  <c r="BX113" s="1"/>
  <c r="BY113" s="1"/>
  <c r="BZ113" s="1"/>
  <c r="CA113" s="1"/>
  <c r="CB113" s="1"/>
  <c r="CC113" s="1"/>
  <c r="CD113" s="1"/>
  <c r="BU114"/>
  <c r="BV114" s="1"/>
  <c r="BW114"/>
  <c r="BX114" s="1"/>
  <c r="BY114" s="1"/>
  <c r="BZ114" s="1"/>
  <c r="CA114" s="1"/>
  <c r="CB114" s="1"/>
  <c r="CC114" s="1"/>
  <c r="CD114" s="1"/>
  <c r="BU115"/>
  <c r="BV115" s="1"/>
  <c r="BW115" s="1"/>
  <c r="BX115" s="1"/>
  <c r="BY115" s="1"/>
  <c r="BZ115" s="1"/>
  <c r="CA115" s="1"/>
  <c r="CB115" s="1"/>
  <c r="CC115" s="1"/>
  <c r="CD115" s="1"/>
  <c r="BU116"/>
  <c r="BV116" s="1"/>
  <c r="BW116" s="1"/>
  <c r="BX116" s="1"/>
  <c r="BY116" s="1"/>
  <c r="BZ116" s="1"/>
  <c r="CA116" s="1"/>
  <c r="CB116" s="1"/>
  <c r="CC116" s="1"/>
  <c r="CD116" s="1"/>
  <c r="BU117"/>
  <c r="BV117" s="1"/>
  <c r="BW117" s="1"/>
  <c r="BX117" s="1"/>
  <c r="BY117" s="1"/>
  <c r="BZ117" s="1"/>
  <c r="CA117" s="1"/>
  <c r="CB117" s="1"/>
  <c r="CC117" s="1"/>
  <c r="CD117" s="1"/>
  <c r="BU118"/>
  <c r="BV118" s="1"/>
  <c r="BW118"/>
  <c r="BX118" s="1"/>
  <c r="BY118" s="1"/>
  <c r="BZ118" s="1"/>
  <c r="CA118" s="1"/>
  <c r="CB118" s="1"/>
  <c r="CC118" s="1"/>
  <c r="CD118" s="1"/>
  <c r="BU119"/>
  <c r="BV119" s="1"/>
  <c r="BW119" s="1"/>
  <c r="BX119" s="1"/>
  <c r="BY119" s="1"/>
  <c r="BZ119" s="1"/>
  <c r="CA119" s="1"/>
  <c r="CB119" s="1"/>
  <c r="CC119" s="1"/>
  <c r="CD119" s="1"/>
  <c r="BU121"/>
  <c r="BV121" s="1"/>
  <c r="BW121" s="1"/>
  <c r="BX121" s="1"/>
  <c r="BY121" s="1"/>
  <c r="BZ121" s="1"/>
  <c r="CA121" s="1"/>
  <c r="CB121" s="1"/>
  <c r="CC121" s="1"/>
  <c r="CD121" s="1"/>
  <c r="BU124"/>
  <c r="BV124" s="1"/>
  <c r="BW124" s="1"/>
  <c r="BX124" s="1"/>
  <c r="BY124" s="1"/>
  <c r="BZ124" s="1"/>
  <c r="CA124" s="1"/>
  <c r="CB124" s="1"/>
  <c r="CC124" s="1"/>
  <c r="CD124" s="1"/>
  <c r="BU125"/>
  <c r="BV125" s="1"/>
  <c r="BW125"/>
  <c r="BX125" s="1"/>
  <c r="BY125" s="1"/>
  <c r="BZ125" s="1"/>
  <c r="CA125" s="1"/>
  <c r="CB125" s="1"/>
  <c r="CC125" s="1"/>
  <c r="CD125" s="1"/>
  <c r="BU127"/>
  <c r="BV127" s="1"/>
  <c r="BW127" s="1"/>
  <c r="BX127" s="1"/>
  <c r="BY127" s="1"/>
  <c r="BZ127" s="1"/>
  <c r="CA127" s="1"/>
  <c r="CB127" s="1"/>
  <c r="CC127" s="1"/>
  <c r="CD127" s="1"/>
  <c r="BU128"/>
  <c r="BV128" s="1"/>
  <c r="BW128" s="1"/>
  <c r="BX128" s="1"/>
  <c r="BY128" s="1"/>
  <c r="BZ128" s="1"/>
  <c r="CA128" s="1"/>
  <c r="CB128" s="1"/>
  <c r="CC128" s="1"/>
  <c r="CD128" s="1"/>
  <c r="BU129"/>
  <c r="BV129" s="1"/>
  <c r="BW129" s="1"/>
  <c r="BX129" s="1"/>
  <c r="BY129" s="1"/>
  <c r="BZ129" s="1"/>
  <c r="CA129" s="1"/>
  <c r="CB129" s="1"/>
  <c r="CC129" s="1"/>
  <c r="CD129" s="1"/>
  <c r="BU130"/>
  <c r="BV130"/>
  <c r="BW130" s="1"/>
  <c r="BX130" s="1"/>
  <c r="BY130" s="1"/>
  <c r="BZ130" s="1"/>
  <c r="CA130" s="1"/>
  <c r="CB130" s="1"/>
  <c r="CC130" s="1"/>
  <c r="CD130" s="1"/>
  <c r="BU131"/>
  <c r="BV131" s="1"/>
  <c r="BW131" s="1"/>
  <c r="BX131"/>
  <c r="BY131" s="1"/>
  <c r="BZ131" s="1"/>
  <c r="CA131" s="1"/>
  <c r="CB131" s="1"/>
  <c r="CC131" s="1"/>
  <c r="CD131" s="1"/>
  <c r="BU132"/>
  <c r="BV132"/>
  <c r="BW132" s="1"/>
  <c r="BX132" s="1"/>
  <c r="BY132" s="1"/>
  <c r="BZ132" s="1"/>
  <c r="CA132" s="1"/>
  <c r="CB132" s="1"/>
  <c r="CC132" s="1"/>
  <c r="CD132" s="1"/>
  <c r="BU133"/>
  <c r="BV133" s="1"/>
  <c r="BW133" s="1"/>
  <c r="BX133" s="1"/>
  <c r="BY133" s="1"/>
  <c r="BZ133" s="1"/>
  <c r="CA133" s="1"/>
  <c r="CB133" s="1"/>
  <c r="CC133" s="1"/>
  <c r="CD133" s="1"/>
  <c r="BU134"/>
  <c r="BV134"/>
  <c r="BW134" s="1"/>
  <c r="BX134" s="1"/>
  <c r="BY134" s="1"/>
  <c r="BZ134" s="1"/>
  <c r="CA134" s="1"/>
  <c r="CB134" s="1"/>
  <c r="CC134" s="1"/>
  <c r="CD134" s="1"/>
  <c r="BU135"/>
  <c r="BV135" s="1"/>
  <c r="BW135" s="1"/>
  <c r="BX135" s="1"/>
  <c r="BY135" s="1"/>
  <c r="BZ135" s="1"/>
  <c r="CA135" s="1"/>
  <c r="CB135" s="1"/>
  <c r="CC135" s="1"/>
  <c r="CD135" s="1"/>
  <c r="BU136"/>
  <c r="BV136"/>
  <c r="BW136" s="1"/>
  <c r="BX136" s="1"/>
  <c r="BY136" s="1"/>
  <c r="BZ136" s="1"/>
  <c r="CA136" s="1"/>
  <c r="CB136" s="1"/>
  <c r="CC136" s="1"/>
  <c r="CD136" s="1"/>
  <c r="BU137"/>
  <c r="BV137" s="1"/>
  <c r="BW137" s="1"/>
  <c r="BX137" s="1"/>
  <c r="BY137" s="1"/>
  <c r="BZ137" s="1"/>
  <c r="CA137" s="1"/>
  <c r="CB137" s="1"/>
  <c r="CC137" s="1"/>
  <c r="CD137" s="1"/>
  <c r="BU138"/>
  <c r="BV138"/>
  <c r="BW138" s="1"/>
  <c r="BX138" s="1"/>
  <c r="BY138" s="1"/>
  <c r="BZ138" s="1"/>
  <c r="CA138" s="1"/>
  <c r="CB138" s="1"/>
  <c r="CC138" s="1"/>
  <c r="CD138" s="1"/>
  <c r="BU139"/>
  <c r="BV139" s="1"/>
  <c r="BW139" s="1"/>
  <c r="BX139" s="1"/>
  <c r="BY139" s="1"/>
  <c r="BZ139" s="1"/>
  <c r="CA139" s="1"/>
  <c r="CB139" s="1"/>
  <c r="CC139" s="1"/>
  <c r="CD139" s="1"/>
  <c r="BU140"/>
  <c r="BV140"/>
  <c r="BW140" s="1"/>
  <c r="BX140" s="1"/>
  <c r="BY140" s="1"/>
  <c r="BZ140" s="1"/>
  <c r="CA140" s="1"/>
  <c r="CB140" s="1"/>
  <c r="CC140" s="1"/>
  <c r="CD140" s="1"/>
  <c r="BU141"/>
  <c r="BV141" s="1"/>
  <c r="BW141" s="1"/>
  <c r="BX141" s="1"/>
  <c r="BY141" s="1"/>
  <c r="BZ141" s="1"/>
  <c r="CA141" s="1"/>
  <c r="CB141" s="1"/>
  <c r="CC141" s="1"/>
  <c r="CD141" s="1"/>
  <c r="BU142"/>
  <c r="BV142"/>
  <c r="BW142" s="1"/>
  <c r="BX142" s="1"/>
  <c r="BY142" s="1"/>
  <c r="BZ142" s="1"/>
  <c r="CA142" s="1"/>
  <c r="CB142" s="1"/>
  <c r="CC142" s="1"/>
  <c r="CD142" s="1"/>
  <c r="BU143"/>
  <c r="BV143" s="1"/>
  <c r="BW143" s="1"/>
  <c r="BX143" s="1"/>
  <c r="BY143" s="1"/>
  <c r="BZ143" s="1"/>
  <c r="CA143" s="1"/>
  <c r="CB143" s="1"/>
  <c r="CC143" s="1"/>
  <c r="CD143" s="1"/>
  <c r="BU144"/>
  <c r="BV144"/>
  <c r="BW144" s="1"/>
  <c r="BX144" s="1"/>
  <c r="BY144" s="1"/>
  <c r="BZ144" s="1"/>
  <c r="CA144" s="1"/>
  <c r="CB144" s="1"/>
  <c r="CC144" s="1"/>
  <c r="CD144" s="1"/>
  <c r="BU145"/>
  <c r="BV145" s="1"/>
  <c r="BW145" s="1"/>
  <c r="BX145" s="1"/>
  <c r="BY145" s="1"/>
  <c r="BZ145" s="1"/>
  <c r="CA145" s="1"/>
  <c r="CB145" s="1"/>
  <c r="CC145" s="1"/>
  <c r="CD145" s="1"/>
  <c r="BU146"/>
  <c r="BV146"/>
  <c r="BW146" s="1"/>
  <c r="BX146" s="1"/>
  <c r="BY146" s="1"/>
  <c r="BZ146" s="1"/>
  <c r="CA146" s="1"/>
  <c r="CB146" s="1"/>
  <c r="CC146" s="1"/>
  <c r="CD146" s="1"/>
  <c r="BU147"/>
  <c r="BV147" s="1"/>
  <c r="BW147" s="1"/>
  <c r="BX147" s="1"/>
  <c r="BY147" s="1"/>
  <c r="BZ147" s="1"/>
  <c r="CA147" s="1"/>
  <c r="CB147" s="1"/>
  <c r="CC147" s="1"/>
  <c r="CD147" s="1"/>
  <c r="BU148"/>
  <c r="BV148"/>
  <c r="BW148" s="1"/>
  <c r="BX148" s="1"/>
  <c r="BY148" s="1"/>
  <c r="BZ148" s="1"/>
  <c r="CA148" s="1"/>
  <c r="CB148" s="1"/>
  <c r="CC148" s="1"/>
  <c r="CD148" s="1"/>
  <c r="BU149"/>
  <c r="BV149" s="1"/>
  <c r="BW149" s="1"/>
  <c r="BX149" s="1"/>
  <c r="BY149" s="1"/>
  <c r="BZ149" s="1"/>
  <c r="CA149" s="1"/>
  <c r="CB149" s="1"/>
  <c r="CC149" s="1"/>
  <c r="CD149" s="1"/>
  <c r="BU150"/>
  <c r="BV150"/>
  <c r="BW150" s="1"/>
  <c r="BX150" s="1"/>
  <c r="BY150" s="1"/>
  <c r="BZ150" s="1"/>
  <c r="CA150" s="1"/>
  <c r="CB150" s="1"/>
  <c r="CC150" s="1"/>
  <c r="CD150" s="1"/>
  <c r="BU151"/>
  <c r="BV151" s="1"/>
  <c r="BW151" s="1"/>
  <c r="BX151" s="1"/>
  <c r="BY151" s="1"/>
  <c r="BZ151" s="1"/>
  <c r="CA151" s="1"/>
  <c r="CB151" s="1"/>
  <c r="CC151" s="1"/>
  <c r="CD151" s="1"/>
  <c r="BU152"/>
  <c r="BV152"/>
  <c r="BW152" s="1"/>
  <c r="BX152" s="1"/>
  <c r="BY152" s="1"/>
  <c r="BZ152" s="1"/>
  <c r="CA152" s="1"/>
  <c r="CB152" s="1"/>
  <c r="CC152" s="1"/>
  <c r="CD152" s="1"/>
  <c r="BU153"/>
  <c r="BV153" s="1"/>
  <c r="BW153" s="1"/>
  <c r="BX153" s="1"/>
  <c r="BY153" s="1"/>
  <c r="BZ153" s="1"/>
  <c r="CA153" s="1"/>
  <c r="CB153" s="1"/>
  <c r="CC153" s="1"/>
  <c r="CD153" s="1"/>
  <c r="BU154"/>
  <c r="BV154"/>
  <c r="BW154" s="1"/>
  <c r="BX154" s="1"/>
  <c r="BY154" s="1"/>
  <c r="BZ154" s="1"/>
  <c r="CA154" s="1"/>
  <c r="CB154" s="1"/>
  <c r="CC154" s="1"/>
  <c r="CD154" s="1"/>
  <c r="BU155"/>
  <c r="BV155" s="1"/>
  <c r="BW155" s="1"/>
  <c r="BX155" s="1"/>
  <c r="BY155" s="1"/>
  <c r="BZ155" s="1"/>
  <c r="CA155" s="1"/>
  <c r="CB155" s="1"/>
  <c r="CC155" s="1"/>
  <c r="CD155" s="1"/>
  <c r="BU156"/>
  <c r="BV156"/>
  <c r="BW156" s="1"/>
  <c r="BX156" s="1"/>
  <c r="BY156" s="1"/>
  <c r="BZ156" s="1"/>
  <c r="CA156" s="1"/>
  <c r="CB156" s="1"/>
  <c r="CC156" s="1"/>
  <c r="CD156" s="1"/>
  <c r="BU157"/>
  <c r="BV157" s="1"/>
  <c r="BW157" s="1"/>
  <c r="BX157" s="1"/>
  <c r="BY157" s="1"/>
  <c r="BZ157" s="1"/>
  <c r="CA157" s="1"/>
  <c r="CB157" s="1"/>
  <c r="CC157" s="1"/>
  <c r="CD157" s="1"/>
  <c r="BU158"/>
  <c r="BV158"/>
  <c r="BW158" s="1"/>
  <c r="BX158" s="1"/>
  <c r="BY158" s="1"/>
  <c r="BZ158" s="1"/>
  <c r="CA158" s="1"/>
  <c r="CB158" s="1"/>
  <c r="CC158" s="1"/>
  <c r="CD158" s="1"/>
  <c r="BU159"/>
  <c r="BV159" s="1"/>
  <c r="BW159" s="1"/>
  <c r="BX159" s="1"/>
  <c r="BY159" s="1"/>
  <c r="BZ159" s="1"/>
  <c r="CA159" s="1"/>
  <c r="CB159" s="1"/>
  <c r="CC159" s="1"/>
  <c r="CD159" s="1"/>
  <c r="BU160"/>
  <c r="BV160" s="1"/>
  <c r="BW160"/>
  <c r="BX160" s="1"/>
  <c r="BY160" s="1"/>
  <c r="BZ160" s="1"/>
  <c r="CA160" s="1"/>
  <c r="CB160" s="1"/>
  <c r="CC160" s="1"/>
  <c r="CD160" s="1"/>
  <c r="BU161"/>
  <c r="BV161" s="1"/>
  <c r="BW161" s="1"/>
  <c r="BX161" s="1"/>
  <c r="BY161" s="1"/>
  <c r="BZ161" s="1"/>
  <c r="CA161" s="1"/>
  <c r="CB161" s="1"/>
  <c r="CC161" s="1"/>
  <c r="CD161" s="1"/>
  <c r="BU162"/>
  <c r="BV162"/>
  <c r="BW162" s="1"/>
  <c r="BX162" s="1"/>
  <c r="BY162" s="1"/>
  <c r="BZ162" s="1"/>
  <c r="CA162" s="1"/>
  <c r="CB162" s="1"/>
  <c r="CC162" s="1"/>
  <c r="CD162" s="1"/>
  <c r="BU163"/>
  <c r="BV163" s="1"/>
  <c r="BW163" s="1"/>
  <c r="BX163" s="1"/>
  <c r="BY163" s="1"/>
  <c r="BZ163" s="1"/>
  <c r="CA163" s="1"/>
  <c r="CB163" s="1"/>
  <c r="CC163" s="1"/>
  <c r="CD163" s="1"/>
  <c r="BU164"/>
  <c r="BV164" s="1"/>
  <c r="BW164"/>
  <c r="BX164" s="1"/>
  <c r="BY164" s="1"/>
  <c r="BZ164" s="1"/>
  <c r="CA164" s="1"/>
  <c r="CB164" s="1"/>
  <c r="CC164" s="1"/>
  <c r="CD164" s="1"/>
  <c r="BU165"/>
  <c r="BV165" s="1"/>
  <c r="BW165" s="1"/>
  <c r="BX165" s="1"/>
  <c r="BY165" s="1"/>
  <c r="BZ165" s="1"/>
  <c r="CA165" s="1"/>
  <c r="CB165" s="1"/>
  <c r="CC165" s="1"/>
  <c r="CD165" s="1"/>
  <c r="BU166"/>
  <c r="BV166"/>
  <c r="BW166" s="1"/>
  <c r="BX166" s="1"/>
  <c r="BY166" s="1"/>
  <c r="BZ166" s="1"/>
  <c r="CA166" s="1"/>
  <c r="CB166" s="1"/>
  <c r="CC166" s="1"/>
  <c r="CD166" s="1"/>
  <c r="BU167"/>
  <c r="BV167" s="1"/>
  <c r="BW167" s="1"/>
  <c r="BX167" s="1"/>
  <c r="BY167" s="1"/>
  <c r="BZ167" s="1"/>
  <c r="CA167" s="1"/>
  <c r="CB167" s="1"/>
  <c r="CC167" s="1"/>
  <c r="CD167" s="1"/>
  <c r="BU168"/>
  <c r="BV168" s="1"/>
  <c r="BW168" s="1"/>
  <c r="BX168" s="1"/>
  <c r="BY168" s="1"/>
  <c r="BZ168" s="1"/>
  <c r="CA168" s="1"/>
  <c r="CB168" s="1"/>
  <c r="CC168" s="1"/>
  <c r="CD168" s="1"/>
  <c r="BU169"/>
  <c r="BV169" s="1"/>
  <c r="BW169" s="1"/>
  <c r="BX169" s="1"/>
  <c r="BY169" s="1"/>
  <c r="BZ169" s="1"/>
  <c r="CA169" s="1"/>
  <c r="CB169" s="1"/>
  <c r="CC169" s="1"/>
  <c r="CD169" s="1"/>
  <c r="BU170"/>
  <c r="BV170"/>
  <c r="BW170" s="1"/>
  <c r="BX170" s="1"/>
  <c r="BY170" s="1"/>
  <c r="BZ170" s="1"/>
  <c r="CA170" s="1"/>
  <c r="CB170" s="1"/>
  <c r="CC170" s="1"/>
  <c r="CD170" s="1"/>
  <c r="BU171"/>
  <c r="BV171" s="1"/>
  <c r="BW171" s="1"/>
  <c r="BX171" s="1"/>
  <c r="BY171" s="1"/>
  <c r="BZ171" s="1"/>
  <c r="CA171" s="1"/>
  <c r="CB171" s="1"/>
  <c r="CC171" s="1"/>
  <c r="CD171" s="1"/>
  <c r="BU172"/>
  <c r="BV172" s="1"/>
  <c r="BW172" s="1"/>
  <c r="BX172" s="1"/>
  <c r="BY172" s="1"/>
  <c r="BZ172" s="1"/>
  <c r="CA172" s="1"/>
  <c r="CB172" s="1"/>
  <c r="CC172" s="1"/>
  <c r="CD172" s="1"/>
  <c r="BU173"/>
  <c r="BV173" s="1"/>
  <c r="BW173" s="1"/>
  <c r="BX173" s="1"/>
  <c r="BY173" s="1"/>
  <c r="BZ173" s="1"/>
  <c r="CA173" s="1"/>
  <c r="CB173" s="1"/>
  <c r="CC173" s="1"/>
  <c r="CD173" s="1"/>
  <c r="BU174"/>
  <c r="BV174"/>
  <c r="BW174" s="1"/>
  <c r="BX174" s="1"/>
  <c r="BY174" s="1"/>
  <c r="BZ174" s="1"/>
  <c r="CA174" s="1"/>
  <c r="CB174" s="1"/>
  <c r="CC174" s="1"/>
  <c r="CD174" s="1"/>
  <c r="BU175"/>
  <c r="BV175" s="1"/>
  <c r="BW175" s="1"/>
  <c r="BX175" s="1"/>
  <c r="BY175" s="1"/>
  <c r="BZ175" s="1"/>
  <c r="CA175" s="1"/>
  <c r="CB175" s="1"/>
  <c r="CC175" s="1"/>
  <c r="CD175" s="1"/>
  <c r="BU176"/>
  <c r="BV176" s="1"/>
  <c r="BW176" s="1"/>
  <c r="BX176" s="1"/>
  <c r="BY176" s="1"/>
  <c r="BZ176" s="1"/>
  <c r="CA176" s="1"/>
  <c r="CB176" s="1"/>
  <c r="CC176" s="1"/>
  <c r="CD176" s="1"/>
  <c r="BU177"/>
  <c r="BV177" s="1"/>
  <c r="BW177" s="1"/>
  <c r="BX177" s="1"/>
  <c r="BY177" s="1"/>
  <c r="BZ177" s="1"/>
  <c r="CA177" s="1"/>
  <c r="CB177" s="1"/>
  <c r="CC177" s="1"/>
  <c r="CD177" s="1"/>
  <c r="BU178"/>
  <c r="BV178"/>
  <c r="BW178" s="1"/>
  <c r="BX178" s="1"/>
  <c r="BY178" s="1"/>
  <c r="BZ178" s="1"/>
  <c r="CA178" s="1"/>
  <c r="CB178" s="1"/>
  <c r="CC178" s="1"/>
  <c r="CD178" s="1"/>
  <c r="BU179"/>
  <c r="BV179" s="1"/>
  <c r="BW179" s="1"/>
  <c r="BX179" s="1"/>
  <c r="BY179" s="1"/>
  <c r="BZ179" s="1"/>
  <c r="CA179" s="1"/>
  <c r="CB179" s="1"/>
  <c r="CC179" s="1"/>
  <c r="CD179" s="1"/>
  <c r="BU180"/>
  <c r="BV180" s="1"/>
  <c r="BW180" s="1"/>
  <c r="BX180" s="1"/>
  <c r="BY180" s="1"/>
  <c r="BZ180" s="1"/>
  <c r="CA180" s="1"/>
  <c r="CB180" s="1"/>
  <c r="CC180" s="1"/>
  <c r="CD180" s="1"/>
  <c r="BU181"/>
  <c r="BV181" s="1"/>
  <c r="BW181" s="1"/>
  <c r="BX181" s="1"/>
  <c r="BY181" s="1"/>
  <c r="BZ181" s="1"/>
  <c r="CA181" s="1"/>
  <c r="CB181" s="1"/>
  <c r="CC181" s="1"/>
  <c r="CD181" s="1"/>
  <c r="BU182"/>
  <c r="BV182"/>
  <c r="BW182" s="1"/>
  <c r="BX182" s="1"/>
  <c r="BY182" s="1"/>
  <c r="BZ182" s="1"/>
  <c r="CA182" s="1"/>
  <c r="CB182" s="1"/>
  <c r="CC182" s="1"/>
  <c r="CD182" s="1"/>
  <c r="BU183"/>
  <c r="BV183" s="1"/>
  <c r="BW183" s="1"/>
  <c r="BX183" s="1"/>
  <c r="BY183" s="1"/>
  <c r="BZ183" s="1"/>
  <c r="CA183" s="1"/>
  <c r="CB183" s="1"/>
  <c r="CC183" s="1"/>
  <c r="CD183" s="1"/>
  <c r="BU184"/>
  <c r="BV184" s="1"/>
  <c r="BW184" s="1"/>
  <c r="BX184" s="1"/>
  <c r="BY184" s="1"/>
  <c r="BZ184" s="1"/>
  <c r="CA184" s="1"/>
  <c r="CB184" s="1"/>
  <c r="CC184" s="1"/>
  <c r="CD184" s="1"/>
  <c r="BU185"/>
  <c r="BV185" s="1"/>
  <c r="BW185" s="1"/>
  <c r="BX185" s="1"/>
  <c r="BY185" s="1"/>
  <c r="BZ185" s="1"/>
  <c r="CA185" s="1"/>
  <c r="CB185" s="1"/>
  <c r="CC185" s="1"/>
  <c r="CD185" s="1"/>
  <c r="BU186"/>
  <c r="BV186"/>
  <c r="BW186" s="1"/>
  <c r="BX186" s="1"/>
  <c r="BY186" s="1"/>
  <c r="BZ186" s="1"/>
  <c r="CA186" s="1"/>
  <c r="CB186" s="1"/>
  <c r="CC186" s="1"/>
  <c r="CD186" s="1"/>
  <c r="BU187"/>
  <c r="BV187" s="1"/>
  <c r="BW187" s="1"/>
  <c r="BX187" s="1"/>
  <c r="BY187" s="1"/>
  <c r="BZ187" s="1"/>
  <c r="CA187" s="1"/>
  <c r="CB187" s="1"/>
  <c r="CC187" s="1"/>
  <c r="CD187" s="1"/>
  <c r="BU188"/>
  <c r="BV188" s="1"/>
  <c r="BW188" s="1"/>
  <c r="BX188" s="1"/>
  <c r="BY188" s="1"/>
  <c r="BZ188" s="1"/>
  <c r="CA188" s="1"/>
  <c r="CB188" s="1"/>
  <c r="CC188" s="1"/>
  <c r="CD188" s="1"/>
  <c r="BU189"/>
  <c r="BV189" s="1"/>
  <c r="BW189" s="1"/>
  <c r="BX189" s="1"/>
  <c r="BY189" s="1"/>
  <c r="BZ189" s="1"/>
  <c r="CA189" s="1"/>
  <c r="CB189" s="1"/>
  <c r="CC189" s="1"/>
  <c r="CD189" s="1"/>
  <c r="BU190"/>
  <c r="BV190"/>
  <c r="BW190" s="1"/>
  <c r="BX190" s="1"/>
  <c r="BY190" s="1"/>
  <c r="BZ190" s="1"/>
  <c r="CA190" s="1"/>
  <c r="CB190" s="1"/>
  <c r="CC190" s="1"/>
  <c r="CD190" s="1"/>
  <c r="BU191"/>
  <c r="BV191" s="1"/>
  <c r="BW191" s="1"/>
  <c r="BX191" s="1"/>
  <c r="BY191" s="1"/>
  <c r="BZ191" s="1"/>
  <c r="CA191" s="1"/>
  <c r="CB191" s="1"/>
  <c r="CC191" s="1"/>
  <c r="CD191" s="1"/>
  <c r="BU192"/>
  <c r="BV192" s="1"/>
  <c r="BW192" s="1"/>
  <c r="BX192" s="1"/>
  <c r="BY192" s="1"/>
  <c r="BZ192" s="1"/>
  <c r="CA192" s="1"/>
  <c r="CB192" s="1"/>
  <c r="CC192" s="1"/>
  <c r="CD192" s="1"/>
  <c r="BU193"/>
  <c r="BV193" s="1"/>
  <c r="BW193" s="1"/>
  <c r="BX193" s="1"/>
  <c r="BY193" s="1"/>
  <c r="BZ193" s="1"/>
  <c r="CA193" s="1"/>
  <c r="CB193" s="1"/>
  <c r="CC193" s="1"/>
  <c r="CD193" s="1"/>
  <c r="BU194"/>
  <c r="BV194"/>
  <c r="BW194" s="1"/>
  <c r="BX194" s="1"/>
  <c r="BY194" s="1"/>
  <c r="BZ194" s="1"/>
  <c r="CA194" s="1"/>
  <c r="CB194" s="1"/>
  <c r="CC194" s="1"/>
  <c r="CD194" s="1"/>
  <c r="BU195"/>
  <c r="BV195" s="1"/>
  <c r="BW195" s="1"/>
  <c r="BX195" s="1"/>
  <c r="BY195" s="1"/>
  <c r="BZ195" s="1"/>
  <c r="CA195" s="1"/>
  <c r="CB195" s="1"/>
  <c r="CC195" s="1"/>
  <c r="CD195" s="1"/>
  <c r="BU196"/>
  <c r="BV196" s="1"/>
  <c r="BW196" s="1"/>
  <c r="BX196" s="1"/>
  <c r="BY196" s="1"/>
  <c r="BZ196" s="1"/>
  <c r="CA196" s="1"/>
  <c r="CB196" s="1"/>
  <c r="CC196" s="1"/>
  <c r="CD196" s="1"/>
  <c r="BU197"/>
  <c r="BV197" s="1"/>
  <c r="BW197" s="1"/>
  <c r="BX197" s="1"/>
  <c r="BY197" s="1"/>
  <c r="BZ197" s="1"/>
  <c r="CA197" s="1"/>
  <c r="CB197" s="1"/>
  <c r="CC197" s="1"/>
  <c r="CD197" s="1"/>
  <c r="BU198"/>
  <c r="BV198"/>
  <c r="BW198" s="1"/>
  <c r="BX198" s="1"/>
  <c r="BY198" s="1"/>
  <c r="BZ198" s="1"/>
  <c r="CA198" s="1"/>
  <c r="CB198" s="1"/>
  <c r="CC198" s="1"/>
  <c r="CD198" s="1"/>
  <c r="BU199"/>
  <c r="BV199" s="1"/>
  <c r="BW199" s="1"/>
  <c r="BX199" s="1"/>
  <c r="BY199" s="1"/>
  <c r="BZ199" s="1"/>
  <c r="CA199" s="1"/>
  <c r="CB199" s="1"/>
  <c r="CC199" s="1"/>
  <c r="CD199" s="1"/>
  <c r="BU200"/>
  <c r="BV200" s="1"/>
  <c r="BW200" s="1"/>
  <c r="BX200" s="1"/>
  <c r="BY200" s="1"/>
  <c r="BZ200" s="1"/>
  <c r="CA200" s="1"/>
  <c r="CB200" s="1"/>
  <c r="CC200" s="1"/>
  <c r="CD200" s="1"/>
  <c r="BU201"/>
  <c r="BV201" s="1"/>
  <c r="BW201" s="1"/>
  <c r="BX201" s="1"/>
  <c r="BY201" s="1"/>
  <c r="BZ201" s="1"/>
  <c r="CA201" s="1"/>
  <c r="CB201" s="1"/>
  <c r="CC201" s="1"/>
  <c r="CD201" s="1"/>
  <c r="BU202"/>
  <c r="BV202"/>
  <c r="BW202" s="1"/>
  <c r="BX202" s="1"/>
  <c r="BY202" s="1"/>
  <c r="BZ202" s="1"/>
  <c r="CA202" s="1"/>
  <c r="CB202" s="1"/>
  <c r="CC202" s="1"/>
  <c r="CD202" s="1"/>
  <c r="BU203"/>
  <c r="BV203" s="1"/>
  <c r="BW203" s="1"/>
  <c r="BX203" s="1"/>
  <c r="BY203" s="1"/>
  <c r="BZ203" s="1"/>
  <c r="CA203" s="1"/>
  <c r="CB203" s="1"/>
  <c r="CC203" s="1"/>
  <c r="CD203" s="1"/>
  <c r="BU204"/>
  <c r="BV204" s="1"/>
  <c r="BW204" s="1"/>
  <c r="BX204" s="1"/>
  <c r="BY204" s="1"/>
  <c r="BZ204" s="1"/>
  <c r="CA204" s="1"/>
  <c r="CB204" s="1"/>
  <c r="CC204" s="1"/>
  <c r="CD204" s="1"/>
  <c r="BU205"/>
  <c r="BV205" s="1"/>
  <c r="BW205" s="1"/>
  <c r="BX205" s="1"/>
  <c r="BY205" s="1"/>
  <c r="BZ205" s="1"/>
  <c r="CA205" s="1"/>
  <c r="CB205" s="1"/>
  <c r="CC205" s="1"/>
  <c r="CD205" s="1"/>
  <c r="BU206"/>
  <c r="BV206" s="1"/>
  <c r="BW206" s="1"/>
  <c r="BX206" s="1"/>
  <c r="BY206" s="1"/>
  <c r="BZ206" s="1"/>
  <c r="CA206" s="1"/>
  <c r="CB206" s="1"/>
  <c r="CC206" s="1"/>
  <c r="CD206" s="1"/>
  <c r="BU207"/>
  <c r="BV207" s="1"/>
  <c r="BW207" s="1"/>
  <c r="BX207" s="1"/>
  <c r="BY207" s="1"/>
  <c r="BZ207" s="1"/>
  <c r="CA207" s="1"/>
  <c r="CB207" s="1"/>
  <c r="CC207" s="1"/>
  <c r="CD207" s="1"/>
  <c r="BU208"/>
  <c r="BV208" s="1"/>
  <c r="BW208" s="1"/>
  <c r="BX208" s="1"/>
  <c r="BY208" s="1"/>
  <c r="BZ208" s="1"/>
  <c r="CA208" s="1"/>
  <c r="CB208" s="1"/>
  <c r="CC208" s="1"/>
  <c r="CD208" s="1"/>
  <c r="BU209"/>
  <c r="BV209" s="1"/>
  <c r="BW209" s="1"/>
  <c r="BX209" s="1"/>
  <c r="BY209" s="1"/>
  <c r="BZ209" s="1"/>
  <c r="CA209" s="1"/>
  <c r="CB209" s="1"/>
  <c r="CC209" s="1"/>
  <c r="CD209" s="1"/>
  <c r="BU210"/>
  <c r="BV210" s="1"/>
  <c r="BW210" s="1"/>
  <c r="BX210" s="1"/>
  <c r="BY210" s="1"/>
  <c r="BZ210" s="1"/>
  <c r="CA210" s="1"/>
  <c r="CB210" s="1"/>
  <c r="CC210" s="1"/>
  <c r="CD210" s="1"/>
  <c r="BU211"/>
  <c r="BV211" s="1"/>
  <c r="BW211" s="1"/>
  <c r="BX211" s="1"/>
  <c r="BY211"/>
  <c r="BZ211" s="1"/>
  <c r="CA211" s="1"/>
  <c r="CB211" s="1"/>
  <c r="CC211" s="1"/>
  <c r="CD211" s="1"/>
  <c r="BU212"/>
  <c r="BV212" s="1"/>
  <c r="BW212" s="1"/>
  <c r="BX212" s="1"/>
  <c r="BY212" s="1"/>
  <c r="BZ212" s="1"/>
  <c r="CA212" s="1"/>
  <c r="CB212" s="1"/>
  <c r="CC212" s="1"/>
  <c r="CD212" s="1"/>
  <c r="BU213"/>
  <c r="BV213" s="1"/>
  <c r="BW213" s="1"/>
  <c r="BX213" s="1"/>
  <c r="BY213" s="1"/>
  <c r="BZ213" s="1"/>
  <c r="CA213" s="1"/>
  <c r="CB213" s="1"/>
  <c r="CC213" s="1"/>
  <c r="CD213" s="1"/>
  <c r="BU214"/>
  <c r="BV214" s="1"/>
  <c r="BW214" s="1"/>
  <c r="BX214" s="1"/>
  <c r="BY214" s="1"/>
  <c r="BZ214" s="1"/>
  <c r="CA214" s="1"/>
  <c r="CB214" s="1"/>
  <c r="CC214" s="1"/>
  <c r="CD214" s="1"/>
  <c r="BU215"/>
  <c r="BV215" s="1"/>
  <c r="BW215" s="1"/>
  <c r="BX215" s="1"/>
  <c r="BY215" s="1"/>
  <c r="BZ215" s="1"/>
  <c r="CA215" s="1"/>
  <c r="CB215" s="1"/>
  <c r="CC215" s="1"/>
  <c r="CD215" s="1"/>
  <c r="BU216"/>
  <c r="BV216" s="1"/>
  <c r="BW216" s="1"/>
  <c r="BX216" s="1"/>
  <c r="BY216" s="1"/>
  <c r="BZ216" s="1"/>
  <c r="CA216" s="1"/>
  <c r="CB216" s="1"/>
  <c r="CC216" s="1"/>
  <c r="CD216" s="1"/>
  <c r="BU217"/>
  <c r="BV217" s="1"/>
  <c r="BW217" s="1"/>
  <c r="BX217" s="1"/>
  <c r="BY217" s="1"/>
  <c r="BZ217" s="1"/>
  <c r="CA217" s="1"/>
  <c r="CB217" s="1"/>
  <c r="CC217" s="1"/>
  <c r="CD217" s="1"/>
  <c r="BU218"/>
  <c r="BV218" s="1"/>
  <c r="BW218" s="1"/>
  <c r="BX218" s="1"/>
  <c r="BY218" s="1"/>
  <c r="BZ218" s="1"/>
  <c r="CA218" s="1"/>
  <c r="CB218" s="1"/>
  <c r="CC218" s="1"/>
  <c r="CD218" s="1"/>
  <c r="BU219"/>
  <c r="BV219" s="1"/>
  <c r="BW219" s="1"/>
  <c r="BX219" s="1"/>
  <c r="BY219" s="1"/>
  <c r="BZ219" s="1"/>
  <c r="CA219" s="1"/>
  <c r="CB219" s="1"/>
  <c r="CC219" s="1"/>
  <c r="CD219" s="1"/>
  <c r="BU220"/>
  <c r="BV220" s="1"/>
  <c r="BW220" s="1"/>
  <c r="BX220" s="1"/>
  <c r="BY220" s="1"/>
  <c r="BZ220" s="1"/>
  <c r="CA220" s="1"/>
  <c r="CB220" s="1"/>
  <c r="CC220" s="1"/>
  <c r="CD220" s="1"/>
  <c r="BU221"/>
  <c r="BV221" s="1"/>
  <c r="BW221" s="1"/>
  <c r="BX221" s="1"/>
  <c r="BY221" s="1"/>
  <c r="BZ221" s="1"/>
  <c r="CA221" s="1"/>
  <c r="CB221" s="1"/>
  <c r="CC221" s="1"/>
  <c r="CD221" s="1"/>
  <c r="BU222"/>
  <c r="BV222" s="1"/>
  <c r="BW222" s="1"/>
  <c r="BX222" s="1"/>
  <c r="BY222" s="1"/>
  <c r="BZ222" s="1"/>
  <c r="CA222" s="1"/>
  <c r="CB222" s="1"/>
  <c r="CC222" s="1"/>
  <c r="CD222" s="1"/>
  <c r="BU223"/>
  <c r="BV223" s="1"/>
  <c r="BW223" s="1"/>
  <c r="BX223" s="1"/>
  <c r="BY223" s="1"/>
  <c r="BZ223" s="1"/>
  <c r="CA223" s="1"/>
  <c r="CB223" s="1"/>
  <c r="CC223" s="1"/>
  <c r="CD223" s="1"/>
  <c r="BU224"/>
  <c r="BV224" s="1"/>
  <c r="BW224" s="1"/>
  <c r="BX224" s="1"/>
  <c r="BY224" s="1"/>
  <c r="BZ224" s="1"/>
  <c r="CA224" s="1"/>
  <c r="CB224" s="1"/>
  <c r="CC224" s="1"/>
  <c r="CD224" s="1"/>
  <c r="BU225"/>
  <c r="BV225" s="1"/>
  <c r="BW225" s="1"/>
  <c r="BX225" s="1"/>
  <c r="BY225" s="1"/>
  <c r="BZ225" s="1"/>
  <c r="CA225" s="1"/>
  <c r="CB225" s="1"/>
  <c r="CC225" s="1"/>
  <c r="CD225" s="1"/>
  <c r="BU226"/>
  <c r="BV226" s="1"/>
  <c r="BW226"/>
  <c r="BX226" s="1"/>
  <c r="BY226" s="1"/>
  <c r="BZ226" s="1"/>
  <c r="CA226" s="1"/>
  <c r="CB226" s="1"/>
  <c r="CC226" s="1"/>
  <c r="CD226" s="1"/>
  <c r="BU227"/>
  <c r="BV227" s="1"/>
  <c r="BW227" s="1"/>
  <c r="BX227" s="1"/>
  <c r="BY227" s="1"/>
  <c r="BZ227" s="1"/>
  <c r="CA227" s="1"/>
  <c r="CB227" s="1"/>
  <c r="CC227" s="1"/>
  <c r="CD227" s="1"/>
  <c r="BU228"/>
  <c r="BV228" s="1"/>
  <c r="BW228" s="1"/>
  <c r="BX228" s="1"/>
  <c r="BY228" s="1"/>
  <c r="BZ228" s="1"/>
  <c r="CA228" s="1"/>
  <c r="CB228" s="1"/>
  <c r="CC228" s="1"/>
  <c r="CD228" s="1"/>
  <c r="BU229"/>
  <c r="BV229" s="1"/>
  <c r="BW229" s="1"/>
  <c r="BX229" s="1"/>
  <c r="BY229" s="1"/>
  <c r="BZ229" s="1"/>
  <c r="CA229" s="1"/>
  <c r="CB229" s="1"/>
  <c r="CC229" s="1"/>
  <c r="CD229" s="1"/>
  <c r="BU230"/>
  <c r="BV230" s="1"/>
  <c r="BW230" s="1"/>
  <c r="BX230" s="1"/>
  <c r="BY230" s="1"/>
  <c r="BZ230" s="1"/>
  <c r="CA230" s="1"/>
  <c r="CB230" s="1"/>
  <c r="CC230" s="1"/>
  <c r="CD230" s="1"/>
  <c r="BU231"/>
  <c r="BV231" s="1"/>
  <c r="BW231" s="1"/>
  <c r="BX231" s="1"/>
  <c r="BY231" s="1"/>
  <c r="BZ231" s="1"/>
  <c r="CA231" s="1"/>
  <c r="CB231" s="1"/>
  <c r="CC231" s="1"/>
  <c r="CD231" s="1"/>
  <c r="BU232"/>
  <c r="BV232" s="1"/>
  <c r="BW232" s="1"/>
  <c r="BX232" s="1"/>
  <c r="BY232" s="1"/>
  <c r="BZ232" s="1"/>
  <c r="CA232" s="1"/>
  <c r="CB232" s="1"/>
  <c r="CC232" s="1"/>
  <c r="CD232" s="1"/>
  <c r="BU233"/>
  <c r="BV233" s="1"/>
  <c r="BW233" s="1"/>
  <c r="BX233" s="1"/>
  <c r="BY233" s="1"/>
  <c r="BZ233" s="1"/>
  <c r="CA233" s="1"/>
  <c r="CB233" s="1"/>
  <c r="CC233" s="1"/>
  <c r="CD233" s="1"/>
  <c r="BU234"/>
  <c r="BV234" s="1"/>
  <c r="BW234"/>
  <c r="BX234" s="1"/>
  <c r="BY234" s="1"/>
  <c r="BZ234" s="1"/>
  <c r="CA234" s="1"/>
  <c r="CB234" s="1"/>
  <c r="CC234" s="1"/>
  <c r="CD234" s="1"/>
  <c r="BU235"/>
  <c r="BV235" s="1"/>
  <c r="BW235" s="1"/>
  <c r="BX235" s="1"/>
  <c r="BY235" s="1"/>
  <c r="BZ235" s="1"/>
  <c r="CA235" s="1"/>
  <c r="CB235" s="1"/>
  <c r="CC235" s="1"/>
  <c r="CD235" s="1"/>
  <c r="BU236"/>
  <c r="BV236" s="1"/>
  <c r="BW236" s="1"/>
  <c r="BX236" s="1"/>
  <c r="BY236" s="1"/>
  <c r="BZ236" s="1"/>
  <c r="CA236" s="1"/>
  <c r="CB236" s="1"/>
  <c r="CC236" s="1"/>
  <c r="CD236" s="1"/>
  <c r="BU237"/>
  <c r="BV237" s="1"/>
  <c r="BW237" s="1"/>
  <c r="BX237" s="1"/>
  <c r="BY237" s="1"/>
  <c r="BZ237" s="1"/>
  <c r="CA237" s="1"/>
  <c r="CB237" s="1"/>
  <c r="CC237" s="1"/>
  <c r="CD237" s="1"/>
  <c r="BU238"/>
  <c r="BV238" s="1"/>
  <c r="BW238" s="1"/>
  <c r="BX238" s="1"/>
  <c r="BY238" s="1"/>
  <c r="BZ238" s="1"/>
  <c r="CA238" s="1"/>
  <c r="CB238" s="1"/>
  <c r="CC238" s="1"/>
  <c r="CD238" s="1"/>
  <c r="BU239"/>
  <c r="BV239" s="1"/>
  <c r="BW239" s="1"/>
  <c r="BX239" s="1"/>
  <c r="BY239" s="1"/>
  <c r="BZ239" s="1"/>
  <c r="CA239" s="1"/>
  <c r="CB239" s="1"/>
  <c r="CC239" s="1"/>
  <c r="CD239" s="1"/>
  <c r="BU240"/>
  <c r="BV240" s="1"/>
  <c r="BW240" s="1"/>
  <c r="BX240" s="1"/>
  <c r="BY240" s="1"/>
  <c r="BZ240" s="1"/>
  <c r="CA240" s="1"/>
  <c r="CB240" s="1"/>
  <c r="CC240" s="1"/>
  <c r="CD240" s="1"/>
  <c r="BU241"/>
  <c r="BV241" s="1"/>
  <c r="BW241" s="1"/>
  <c r="BX241" s="1"/>
  <c r="BY241" s="1"/>
  <c r="BZ241" s="1"/>
  <c r="CA241" s="1"/>
  <c r="CB241" s="1"/>
  <c r="CC241" s="1"/>
  <c r="CD241" s="1"/>
  <c r="BU242"/>
  <c r="BV242" s="1"/>
  <c r="BW242"/>
  <c r="BX242" s="1"/>
  <c r="BY242" s="1"/>
  <c r="BZ242" s="1"/>
  <c r="CA242" s="1"/>
  <c r="CB242" s="1"/>
  <c r="CC242" s="1"/>
  <c r="CD242" s="1"/>
  <c r="BU243"/>
  <c r="BV243" s="1"/>
  <c r="BW243" s="1"/>
  <c r="BX243" s="1"/>
  <c r="BY243" s="1"/>
  <c r="BZ243" s="1"/>
  <c r="CA243" s="1"/>
  <c r="CB243" s="1"/>
  <c r="CC243" s="1"/>
  <c r="CD243" s="1"/>
  <c r="BU244"/>
  <c r="BV244" s="1"/>
  <c r="BW244" s="1"/>
  <c r="BX244" s="1"/>
  <c r="BY244" s="1"/>
  <c r="BZ244" s="1"/>
  <c r="CA244" s="1"/>
  <c r="CB244" s="1"/>
  <c r="CC244" s="1"/>
  <c r="CD244" s="1"/>
  <c r="BU245"/>
  <c r="BV245" s="1"/>
  <c r="BW245" s="1"/>
  <c r="BX245" s="1"/>
  <c r="BY245" s="1"/>
  <c r="BZ245" s="1"/>
  <c r="CA245" s="1"/>
  <c r="CB245" s="1"/>
  <c r="CC245" s="1"/>
  <c r="CD245" s="1"/>
  <c r="BU246"/>
  <c r="BV246" s="1"/>
  <c r="BW246" s="1"/>
  <c r="BX246" s="1"/>
  <c r="BY246" s="1"/>
  <c r="BZ246" s="1"/>
  <c r="CA246" s="1"/>
  <c r="CB246" s="1"/>
  <c r="CC246" s="1"/>
  <c r="CD246" s="1"/>
  <c r="BU247"/>
  <c r="BV247" s="1"/>
  <c r="BW247" s="1"/>
  <c r="BX247" s="1"/>
  <c r="BY247" s="1"/>
  <c r="BZ247" s="1"/>
  <c r="CA247" s="1"/>
  <c r="CB247" s="1"/>
  <c r="CC247" s="1"/>
  <c r="CD247" s="1"/>
  <c r="BU248"/>
  <c r="BV248" s="1"/>
  <c r="BW248" s="1"/>
  <c r="BX248" s="1"/>
  <c r="BY248" s="1"/>
  <c r="BZ248" s="1"/>
  <c r="CA248" s="1"/>
  <c r="CB248" s="1"/>
  <c r="CC248" s="1"/>
  <c r="CD248" s="1"/>
  <c r="BU249"/>
  <c r="BV249" s="1"/>
  <c r="BW249" s="1"/>
  <c r="BX249" s="1"/>
  <c r="BY249" s="1"/>
  <c r="BZ249" s="1"/>
  <c r="CA249" s="1"/>
  <c r="CB249" s="1"/>
  <c r="CC249" s="1"/>
  <c r="CD249" s="1"/>
  <c r="BU250"/>
  <c r="BV250" s="1"/>
  <c r="BW250" s="1"/>
  <c r="BX250" s="1"/>
  <c r="BY250" s="1"/>
  <c r="BZ250" s="1"/>
  <c r="CA250" s="1"/>
  <c r="CB250" s="1"/>
  <c r="CC250" s="1"/>
  <c r="CD250" s="1"/>
  <c r="BU251"/>
  <c r="BV251" s="1"/>
  <c r="BW251" s="1"/>
  <c r="BX251" s="1"/>
  <c r="BY251" s="1"/>
  <c r="BZ251" s="1"/>
  <c r="CA251" s="1"/>
  <c r="CB251" s="1"/>
  <c r="CC251" s="1"/>
  <c r="CD251" s="1"/>
  <c r="BU252"/>
  <c r="BV252" s="1"/>
  <c r="BW252" s="1"/>
  <c r="BX252" s="1"/>
  <c r="BY252" s="1"/>
  <c r="BZ252" s="1"/>
  <c r="CA252" s="1"/>
  <c r="CB252" s="1"/>
  <c r="CC252" s="1"/>
  <c r="CD252" s="1"/>
  <c r="BU253"/>
  <c r="BV253" s="1"/>
  <c r="BW253" s="1"/>
  <c r="BX253" s="1"/>
  <c r="BY253" s="1"/>
  <c r="BZ253" s="1"/>
  <c r="CA253" s="1"/>
  <c r="CB253" s="1"/>
  <c r="CC253" s="1"/>
  <c r="CD253" s="1"/>
  <c r="BU254"/>
  <c r="BV254" s="1"/>
  <c r="BW254" s="1"/>
  <c r="BX254" s="1"/>
  <c r="BY254" s="1"/>
  <c r="BZ254" s="1"/>
  <c r="CA254" s="1"/>
  <c r="CB254" s="1"/>
  <c r="CC254" s="1"/>
  <c r="CD254" s="1"/>
  <c r="BU255"/>
  <c r="BV255" s="1"/>
  <c r="BW255" s="1"/>
  <c r="BX255" s="1"/>
  <c r="BY255" s="1"/>
  <c r="BZ255" s="1"/>
  <c r="CA255" s="1"/>
  <c r="CB255" s="1"/>
  <c r="CC255" s="1"/>
  <c r="CD255" s="1"/>
  <c r="BU256"/>
  <c r="BV256" s="1"/>
  <c r="BW256" s="1"/>
  <c r="BX256" s="1"/>
  <c r="BY256" s="1"/>
  <c r="BZ256" s="1"/>
  <c r="CA256" s="1"/>
  <c r="CB256" s="1"/>
  <c r="CC256" s="1"/>
  <c r="CD256" s="1"/>
  <c r="BU257"/>
  <c r="BV257" s="1"/>
  <c r="BW257" s="1"/>
  <c r="BX257" s="1"/>
  <c r="BY257" s="1"/>
  <c r="BZ257" s="1"/>
  <c r="CA257" s="1"/>
  <c r="CB257" s="1"/>
  <c r="CC257" s="1"/>
  <c r="CD257" s="1"/>
  <c r="BU258"/>
  <c r="BV258" s="1"/>
  <c r="BW258" s="1"/>
  <c r="BX258" s="1"/>
  <c r="BY258" s="1"/>
  <c r="BZ258" s="1"/>
  <c r="CA258" s="1"/>
  <c r="CB258" s="1"/>
  <c r="CC258" s="1"/>
  <c r="CD258" s="1"/>
  <c r="BU259"/>
  <c r="BV259" s="1"/>
  <c r="BW259" s="1"/>
  <c r="BX259" s="1"/>
  <c r="BY259" s="1"/>
  <c r="BZ259" s="1"/>
  <c r="CA259" s="1"/>
  <c r="CB259" s="1"/>
  <c r="CC259" s="1"/>
  <c r="CD259" s="1"/>
  <c r="BU260"/>
  <c r="BV260" s="1"/>
  <c r="BW260" s="1"/>
  <c r="BX260" s="1"/>
  <c r="BY260" s="1"/>
  <c r="BZ260" s="1"/>
  <c r="CA260" s="1"/>
  <c r="CB260" s="1"/>
  <c r="CC260" s="1"/>
  <c r="CD260" s="1"/>
  <c r="BU261"/>
  <c r="BV261" s="1"/>
  <c r="BW261" s="1"/>
  <c r="BX261" s="1"/>
  <c r="BY261" s="1"/>
  <c r="BZ261" s="1"/>
  <c r="CA261" s="1"/>
  <c r="CB261" s="1"/>
  <c r="CC261" s="1"/>
  <c r="CD261" s="1"/>
  <c r="BU262"/>
  <c r="BV262" s="1"/>
  <c r="BW262" s="1"/>
  <c r="BX262" s="1"/>
  <c r="BY262" s="1"/>
  <c r="BZ262" s="1"/>
  <c r="CA262" s="1"/>
  <c r="CB262" s="1"/>
  <c r="CC262" s="1"/>
  <c r="CD262" s="1"/>
  <c r="BU263"/>
  <c r="BV263" s="1"/>
  <c r="BW263" s="1"/>
  <c r="BX263" s="1"/>
  <c r="BY263" s="1"/>
  <c r="BZ263" s="1"/>
  <c r="CA263" s="1"/>
  <c r="CB263" s="1"/>
  <c r="CC263" s="1"/>
  <c r="CD263" s="1"/>
  <c r="BU264"/>
  <c r="BV264" s="1"/>
  <c r="BW264" s="1"/>
  <c r="BX264" s="1"/>
  <c r="BY264" s="1"/>
  <c r="BZ264" s="1"/>
  <c r="CA264" s="1"/>
  <c r="CB264" s="1"/>
  <c r="CC264" s="1"/>
  <c r="CD264" s="1"/>
  <c r="BU266"/>
  <c r="BV266" s="1"/>
  <c r="BW266" s="1"/>
  <c r="BX266" s="1"/>
  <c r="BY266" s="1"/>
  <c r="BZ266" s="1"/>
  <c r="CA266" s="1"/>
  <c r="CB266" s="1"/>
  <c r="CC266" s="1"/>
  <c r="CD266" s="1"/>
  <c r="BU270"/>
  <c r="BV270" s="1"/>
  <c r="BW270" s="1"/>
  <c r="BX270" s="1"/>
  <c r="BY270" s="1"/>
  <c r="BZ270" s="1"/>
  <c r="CA270" s="1"/>
  <c r="CB270" s="1"/>
  <c r="CC270" s="1"/>
  <c r="CD270" s="1"/>
  <c r="BU273"/>
  <c r="BV273" s="1"/>
  <c r="BW273" s="1"/>
  <c r="BX273" s="1"/>
  <c r="BY273" s="1"/>
  <c r="BZ273" s="1"/>
  <c r="CA273" s="1"/>
  <c r="CB273" s="1"/>
  <c r="CC273" s="1"/>
  <c r="CD273" s="1"/>
  <c r="BU275"/>
  <c r="BV275" s="1"/>
  <c r="BW275" s="1"/>
  <c r="BX275" s="1"/>
  <c r="BY275" s="1"/>
  <c r="BZ275" s="1"/>
  <c r="CA275" s="1"/>
  <c r="CB275" s="1"/>
  <c r="CC275" s="1"/>
  <c r="CD275" s="1"/>
  <c r="BU278"/>
  <c r="BV278" s="1"/>
  <c r="BW278" s="1"/>
  <c r="BX278" s="1"/>
  <c r="BY278" s="1"/>
  <c r="BZ278" s="1"/>
  <c r="CA278" s="1"/>
  <c r="CB278" s="1"/>
  <c r="CC278" s="1"/>
  <c r="CD278" s="1"/>
  <c r="BU280"/>
  <c r="BV280" s="1"/>
  <c r="BW280" s="1"/>
  <c r="BX280" s="1"/>
  <c r="BY280" s="1"/>
  <c r="BZ280" s="1"/>
  <c r="CA280" s="1"/>
  <c r="CB280" s="1"/>
  <c r="CC280" s="1"/>
  <c r="CD280" s="1"/>
  <c r="BU287"/>
  <c r="BV287" s="1"/>
  <c r="BW287" s="1"/>
  <c r="BX287" s="1"/>
  <c r="BY287" s="1"/>
  <c r="BZ287" s="1"/>
  <c r="CA287" s="1"/>
  <c r="CB287" s="1"/>
  <c r="CC287" s="1"/>
  <c r="CD287" s="1"/>
  <c r="BU291"/>
  <c r="BV291" s="1"/>
  <c r="BW291" s="1"/>
  <c r="BX291" s="1"/>
  <c r="BY291" s="1"/>
  <c r="BZ291" s="1"/>
  <c r="CA291" s="1"/>
  <c r="CB291" s="1"/>
  <c r="CC291" s="1"/>
  <c r="CD291" s="1"/>
  <c r="BU292"/>
  <c r="BV292" s="1"/>
  <c r="BW292" s="1"/>
  <c r="BX292" s="1"/>
  <c r="BY292" s="1"/>
  <c r="BZ292" s="1"/>
  <c r="CA292" s="1"/>
  <c r="CB292" s="1"/>
  <c r="CC292" s="1"/>
  <c r="CD292" s="1"/>
  <c r="BU294"/>
  <c r="BV294" s="1"/>
  <c r="BW294" s="1"/>
  <c r="BX294" s="1"/>
  <c r="BY294" s="1"/>
  <c r="BZ294" s="1"/>
  <c r="CA294" s="1"/>
  <c r="CB294" s="1"/>
  <c r="CC294" s="1"/>
  <c r="CD294" s="1"/>
  <c r="BU296"/>
  <c r="BV296" s="1"/>
  <c r="BW296" s="1"/>
  <c r="BX296" s="1"/>
  <c r="BY296" s="1"/>
  <c r="BZ296" s="1"/>
  <c r="CA296" s="1"/>
  <c r="CB296" s="1"/>
  <c r="CC296" s="1"/>
  <c r="CD296" s="1"/>
  <c r="BU298"/>
  <c r="BV298" s="1"/>
  <c r="BW298" s="1"/>
  <c r="BX298" s="1"/>
  <c r="BY298" s="1"/>
  <c r="BZ298" s="1"/>
  <c r="CA298" s="1"/>
  <c r="CB298" s="1"/>
  <c r="CC298" s="1"/>
  <c r="CD298" s="1"/>
  <c r="BU299"/>
  <c r="BV299" s="1"/>
  <c r="BW299" s="1"/>
  <c r="BX299" s="1"/>
  <c r="BY299" s="1"/>
  <c r="BZ299" s="1"/>
  <c r="CA299" s="1"/>
  <c r="CB299" s="1"/>
  <c r="CC299" s="1"/>
  <c r="CD299" s="1"/>
  <c r="BU300"/>
  <c r="BV300" s="1"/>
  <c r="BW300" s="1"/>
  <c r="BX300" s="1"/>
  <c r="BY300" s="1"/>
  <c r="BZ300" s="1"/>
  <c r="CA300" s="1"/>
  <c r="CB300" s="1"/>
  <c r="CC300" s="1"/>
  <c r="CD300" s="1"/>
  <c r="BU301"/>
  <c r="BV301" s="1"/>
  <c r="BW301" s="1"/>
  <c r="BX301" s="1"/>
  <c r="BY301" s="1"/>
  <c r="BZ301" s="1"/>
  <c r="CA301" s="1"/>
  <c r="CB301" s="1"/>
  <c r="CC301" s="1"/>
  <c r="CD301" s="1"/>
  <c r="BU302"/>
  <c r="BV302" s="1"/>
  <c r="BW302" s="1"/>
  <c r="BX302" s="1"/>
  <c r="BY302" s="1"/>
  <c r="BZ302" s="1"/>
  <c r="CA302" s="1"/>
  <c r="CB302" s="1"/>
  <c r="CC302" s="1"/>
  <c r="CD302" s="1"/>
  <c r="BU303"/>
  <c r="BV303" s="1"/>
  <c r="BW303" s="1"/>
  <c r="BX303" s="1"/>
  <c r="BY303" s="1"/>
  <c r="BZ303" s="1"/>
  <c r="CA303" s="1"/>
  <c r="CB303" s="1"/>
  <c r="CC303" s="1"/>
  <c r="CD303" s="1"/>
  <c r="BU304"/>
  <c r="BV304" s="1"/>
  <c r="BW304" s="1"/>
  <c r="BX304" s="1"/>
  <c r="BY304" s="1"/>
  <c r="BZ304" s="1"/>
  <c r="CA304" s="1"/>
  <c r="CB304" s="1"/>
  <c r="CC304" s="1"/>
  <c r="CD304" s="1"/>
  <c r="BU305"/>
  <c r="BV305" s="1"/>
  <c r="BW305" s="1"/>
  <c r="BX305" s="1"/>
  <c r="BY305" s="1"/>
  <c r="BZ305" s="1"/>
  <c r="CA305" s="1"/>
  <c r="CB305" s="1"/>
  <c r="CC305" s="1"/>
  <c r="CD305" s="1"/>
  <c r="BU306"/>
  <c r="BV306" s="1"/>
  <c r="BW306" s="1"/>
  <c r="BX306" s="1"/>
  <c r="BY306" s="1"/>
  <c r="BZ306" s="1"/>
  <c r="CA306" s="1"/>
  <c r="CB306" s="1"/>
  <c r="CC306" s="1"/>
  <c r="CD306" s="1"/>
  <c r="BU307"/>
  <c r="BV307" s="1"/>
  <c r="BW307" s="1"/>
  <c r="BX307" s="1"/>
  <c r="BY307" s="1"/>
  <c r="BZ307" s="1"/>
  <c r="CA307" s="1"/>
  <c r="CB307" s="1"/>
  <c r="CC307" s="1"/>
  <c r="CD307" s="1"/>
  <c r="BU308"/>
  <c r="BV308" s="1"/>
  <c r="BW308" s="1"/>
  <c r="BX308" s="1"/>
  <c r="BY308" s="1"/>
  <c r="BZ308" s="1"/>
  <c r="CA308" s="1"/>
  <c r="CB308" s="1"/>
  <c r="CC308" s="1"/>
  <c r="CD308" s="1"/>
  <c r="BU309"/>
  <c r="BV309" s="1"/>
  <c r="BW309" s="1"/>
  <c r="BX309" s="1"/>
  <c r="BY309" s="1"/>
  <c r="BZ309" s="1"/>
  <c r="CA309" s="1"/>
  <c r="CB309" s="1"/>
  <c r="CC309" s="1"/>
  <c r="CD309" s="1"/>
  <c r="BU310"/>
  <c r="BV310" s="1"/>
  <c r="BW310" s="1"/>
  <c r="BX310" s="1"/>
  <c r="BY310" s="1"/>
  <c r="BZ310" s="1"/>
  <c r="CA310" s="1"/>
  <c r="CB310" s="1"/>
  <c r="CC310" s="1"/>
  <c r="CD310" s="1"/>
  <c r="BU311"/>
  <c r="BV311" s="1"/>
  <c r="BW311" s="1"/>
  <c r="BX311" s="1"/>
  <c r="BY311" s="1"/>
  <c r="BZ311" s="1"/>
  <c r="CA311" s="1"/>
  <c r="CB311" s="1"/>
  <c r="CC311" s="1"/>
  <c r="CD311" s="1"/>
  <c r="BU312"/>
  <c r="BV312" s="1"/>
  <c r="BW312" s="1"/>
  <c r="BX312" s="1"/>
  <c r="BY312" s="1"/>
  <c r="BZ312" s="1"/>
  <c r="CA312" s="1"/>
  <c r="CB312" s="1"/>
  <c r="CC312" s="1"/>
  <c r="CD312" s="1"/>
  <c r="BU313"/>
  <c r="BV313" s="1"/>
  <c r="BW313" s="1"/>
  <c r="BX313" s="1"/>
  <c r="BY313" s="1"/>
  <c r="BZ313" s="1"/>
  <c r="CA313" s="1"/>
  <c r="CB313" s="1"/>
  <c r="CC313" s="1"/>
  <c r="CD313" s="1"/>
  <c r="BU314"/>
  <c r="BV314" s="1"/>
  <c r="BW314" s="1"/>
  <c r="BX314" s="1"/>
  <c r="BY314" s="1"/>
  <c r="BZ314" s="1"/>
  <c r="CA314" s="1"/>
  <c r="CB314" s="1"/>
  <c r="CC314" s="1"/>
  <c r="CD314" s="1"/>
  <c r="BU315"/>
  <c r="BV315" s="1"/>
  <c r="BW315" s="1"/>
  <c r="BX315" s="1"/>
  <c r="BY315" s="1"/>
  <c r="BZ315" s="1"/>
  <c r="CA315" s="1"/>
  <c r="CB315" s="1"/>
  <c r="CC315" s="1"/>
  <c r="CD315" s="1"/>
  <c r="BU316"/>
  <c r="BV316" s="1"/>
  <c r="BW316" s="1"/>
  <c r="BX316" s="1"/>
  <c r="BY316" s="1"/>
  <c r="BZ316" s="1"/>
  <c r="CA316" s="1"/>
  <c r="CB316" s="1"/>
  <c r="CC316" s="1"/>
  <c r="CD316" s="1"/>
  <c r="BU317"/>
  <c r="BV317" s="1"/>
  <c r="BW317" s="1"/>
  <c r="BX317" s="1"/>
  <c r="BY317" s="1"/>
  <c r="BZ317" s="1"/>
  <c r="CA317" s="1"/>
  <c r="CB317" s="1"/>
  <c r="CC317" s="1"/>
  <c r="CD317" s="1"/>
  <c r="BU318"/>
  <c r="BV318" s="1"/>
  <c r="BW318" s="1"/>
  <c r="BX318" s="1"/>
  <c r="BY318" s="1"/>
  <c r="BZ318" s="1"/>
  <c r="CA318" s="1"/>
  <c r="CB318" s="1"/>
  <c r="CC318" s="1"/>
  <c r="CD318" s="1"/>
  <c r="BU319"/>
  <c r="BV319" s="1"/>
  <c r="BW319" s="1"/>
  <c r="BX319" s="1"/>
  <c r="BY319" s="1"/>
  <c r="BZ319" s="1"/>
  <c r="CA319" s="1"/>
  <c r="CB319" s="1"/>
  <c r="CC319" s="1"/>
  <c r="CD319" s="1"/>
  <c r="BU320"/>
  <c r="BV320" s="1"/>
  <c r="BW320" s="1"/>
  <c r="BX320" s="1"/>
  <c r="BY320" s="1"/>
  <c r="BZ320" s="1"/>
  <c r="CA320" s="1"/>
  <c r="CB320" s="1"/>
  <c r="CC320" s="1"/>
  <c r="CD320" s="1"/>
  <c r="BU321"/>
  <c r="BV321" s="1"/>
  <c r="BW321" s="1"/>
  <c r="BX321" s="1"/>
  <c r="BY321" s="1"/>
  <c r="BZ321" s="1"/>
  <c r="CA321" s="1"/>
  <c r="CB321" s="1"/>
  <c r="CC321" s="1"/>
  <c r="CD321" s="1"/>
  <c r="BU322"/>
  <c r="BV322" s="1"/>
  <c r="BW322" s="1"/>
  <c r="BX322" s="1"/>
  <c r="BY322" s="1"/>
  <c r="BZ322" s="1"/>
  <c r="CA322" s="1"/>
  <c r="CB322" s="1"/>
  <c r="CC322" s="1"/>
  <c r="CD322" s="1"/>
  <c r="BU323"/>
  <c r="BV323" s="1"/>
  <c r="BW323" s="1"/>
  <c r="BX323" s="1"/>
  <c r="BY323" s="1"/>
  <c r="BZ323" s="1"/>
  <c r="CA323" s="1"/>
  <c r="CB323" s="1"/>
  <c r="CC323" s="1"/>
  <c r="CD323" s="1"/>
  <c r="BU324"/>
  <c r="BV324" s="1"/>
  <c r="BW324" s="1"/>
  <c r="BX324" s="1"/>
  <c r="BY324" s="1"/>
  <c r="BZ324" s="1"/>
  <c r="CA324" s="1"/>
  <c r="CB324" s="1"/>
  <c r="CC324" s="1"/>
  <c r="CD324" s="1"/>
  <c r="BU325"/>
  <c r="BV325" s="1"/>
  <c r="BW325" s="1"/>
  <c r="BX325" s="1"/>
  <c r="BY325" s="1"/>
  <c r="BZ325" s="1"/>
  <c r="CA325" s="1"/>
  <c r="CB325" s="1"/>
  <c r="CC325" s="1"/>
  <c r="CD325" s="1"/>
  <c r="BU326"/>
  <c r="BV326" s="1"/>
  <c r="BW326" s="1"/>
  <c r="BX326" s="1"/>
  <c r="BY326" s="1"/>
  <c r="BZ326" s="1"/>
  <c r="CA326" s="1"/>
  <c r="CB326" s="1"/>
  <c r="CC326" s="1"/>
  <c r="CD326" s="1"/>
  <c r="BU327"/>
  <c r="BV327" s="1"/>
  <c r="BW327" s="1"/>
  <c r="BX327" s="1"/>
  <c r="BY327" s="1"/>
  <c r="BZ327" s="1"/>
  <c r="CA327" s="1"/>
  <c r="CB327" s="1"/>
  <c r="CC327" s="1"/>
  <c r="CD327" s="1"/>
  <c r="BU328"/>
  <c r="BV328" s="1"/>
  <c r="BW328" s="1"/>
  <c r="BX328" s="1"/>
  <c r="BY328" s="1"/>
  <c r="BZ328" s="1"/>
  <c r="CA328" s="1"/>
  <c r="CB328" s="1"/>
  <c r="CC328" s="1"/>
  <c r="CD328" s="1"/>
  <c r="BU329"/>
  <c r="BV329" s="1"/>
  <c r="BW329" s="1"/>
  <c r="BX329" s="1"/>
  <c r="BY329" s="1"/>
  <c r="BZ329" s="1"/>
  <c r="CA329" s="1"/>
  <c r="CB329" s="1"/>
  <c r="CC329" s="1"/>
  <c r="CD329" s="1"/>
  <c r="BU330"/>
  <c r="BV330" s="1"/>
  <c r="BW330" s="1"/>
  <c r="BX330" s="1"/>
  <c r="BY330" s="1"/>
  <c r="BZ330" s="1"/>
  <c r="CA330" s="1"/>
  <c r="CB330" s="1"/>
  <c r="CC330" s="1"/>
  <c r="CD330" s="1"/>
  <c r="BU331"/>
  <c r="BV331" s="1"/>
  <c r="BW331" s="1"/>
  <c r="BX331" s="1"/>
  <c r="BY331" s="1"/>
  <c r="BZ331" s="1"/>
  <c r="CA331" s="1"/>
  <c r="CB331" s="1"/>
  <c r="CC331" s="1"/>
  <c r="CD331" s="1"/>
  <c r="BU332"/>
  <c r="BV332" s="1"/>
  <c r="BW332" s="1"/>
  <c r="BX332" s="1"/>
  <c r="BY332" s="1"/>
  <c r="BZ332" s="1"/>
  <c r="CA332" s="1"/>
  <c r="CB332" s="1"/>
  <c r="CC332" s="1"/>
  <c r="CD332" s="1"/>
  <c r="BU333"/>
  <c r="BV333" s="1"/>
  <c r="BW333" s="1"/>
  <c r="BX333" s="1"/>
  <c r="BY333" s="1"/>
  <c r="BZ333" s="1"/>
  <c r="CA333" s="1"/>
  <c r="CB333" s="1"/>
  <c r="CC333" s="1"/>
  <c r="CD333" s="1"/>
  <c r="BU334"/>
  <c r="BV334" s="1"/>
  <c r="BW334" s="1"/>
  <c r="BX334" s="1"/>
  <c r="BY334" s="1"/>
  <c r="BZ334" s="1"/>
  <c r="CA334" s="1"/>
  <c r="CB334" s="1"/>
  <c r="CC334" s="1"/>
  <c r="CD334" s="1"/>
  <c r="BU335"/>
  <c r="BV335" s="1"/>
  <c r="BW335" s="1"/>
  <c r="BX335" s="1"/>
  <c r="BY335" s="1"/>
  <c r="BZ335" s="1"/>
  <c r="CA335" s="1"/>
  <c r="CB335" s="1"/>
  <c r="CC335" s="1"/>
  <c r="CD335" s="1"/>
  <c r="BU336"/>
  <c r="BV336" s="1"/>
  <c r="BW336" s="1"/>
  <c r="BX336" s="1"/>
  <c r="BY336" s="1"/>
  <c r="BZ336" s="1"/>
  <c r="CA336" s="1"/>
  <c r="CB336" s="1"/>
  <c r="CC336" s="1"/>
  <c r="CD336" s="1"/>
  <c r="BU337"/>
  <c r="BV337" s="1"/>
  <c r="BW337" s="1"/>
  <c r="BX337" s="1"/>
  <c r="BY337" s="1"/>
  <c r="BZ337" s="1"/>
  <c r="CA337" s="1"/>
  <c r="CB337" s="1"/>
  <c r="CC337" s="1"/>
  <c r="CD337" s="1"/>
  <c r="BU338"/>
  <c r="BV338" s="1"/>
  <c r="BW338" s="1"/>
  <c r="BX338" s="1"/>
  <c r="BY338" s="1"/>
  <c r="BZ338" s="1"/>
  <c r="CA338" s="1"/>
  <c r="CB338" s="1"/>
  <c r="CC338" s="1"/>
  <c r="CD338" s="1"/>
  <c r="BU339"/>
  <c r="BV339" s="1"/>
  <c r="BW339" s="1"/>
  <c r="BX339" s="1"/>
  <c r="BY339" s="1"/>
  <c r="BZ339" s="1"/>
  <c r="CA339" s="1"/>
  <c r="CB339" s="1"/>
  <c r="CC339" s="1"/>
  <c r="CD339" s="1"/>
  <c r="BU340"/>
  <c r="BV340" s="1"/>
  <c r="BW340" s="1"/>
  <c r="BX340" s="1"/>
  <c r="BY340" s="1"/>
  <c r="BZ340" s="1"/>
  <c r="CA340" s="1"/>
  <c r="CB340" s="1"/>
  <c r="CC340" s="1"/>
  <c r="CD340" s="1"/>
  <c r="BU341"/>
  <c r="BV341" s="1"/>
  <c r="BW341" s="1"/>
  <c r="BX341" s="1"/>
  <c r="BY341" s="1"/>
  <c r="BZ341" s="1"/>
  <c r="CA341" s="1"/>
  <c r="CB341" s="1"/>
  <c r="CC341" s="1"/>
  <c r="CD341" s="1"/>
  <c r="BU342"/>
  <c r="BV342" s="1"/>
  <c r="BW342" s="1"/>
  <c r="BX342" s="1"/>
  <c r="BY342" s="1"/>
  <c r="BZ342" s="1"/>
  <c r="CA342" s="1"/>
  <c r="CB342" s="1"/>
  <c r="CC342" s="1"/>
  <c r="CD342" s="1"/>
  <c r="BU343"/>
  <c r="BV343" s="1"/>
  <c r="BW343" s="1"/>
  <c r="BX343" s="1"/>
  <c r="BY343" s="1"/>
  <c r="BZ343" s="1"/>
  <c r="CA343" s="1"/>
  <c r="CB343" s="1"/>
  <c r="CC343" s="1"/>
  <c r="CD343" s="1"/>
  <c r="BU344"/>
  <c r="BV344" s="1"/>
  <c r="BW344" s="1"/>
  <c r="BX344" s="1"/>
  <c r="BY344" s="1"/>
  <c r="BZ344" s="1"/>
  <c r="CA344" s="1"/>
  <c r="CB344" s="1"/>
  <c r="CC344" s="1"/>
  <c r="CD344" s="1"/>
  <c r="BU345"/>
  <c r="BV345" s="1"/>
  <c r="BW345" s="1"/>
  <c r="BX345" s="1"/>
  <c r="BY345" s="1"/>
  <c r="BZ345" s="1"/>
  <c r="CA345" s="1"/>
  <c r="CB345" s="1"/>
  <c r="CC345" s="1"/>
  <c r="CD345" s="1"/>
  <c r="BU346"/>
  <c r="BV346" s="1"/>
  <c r="BW346" s="1"/>
  <c r="BX346" s="1"/>
  <c r="BY346" s="1"/>
  <c r="BZ346" s="1"/>
  <c r="CA346" s="1"/>
  <c r="CB346" s="1"/>
  <c r="CC346" s="1"/>
  <c r="CD346" s="1"/>
  <c r="BU347"/>
  <c r="BV347" s="1"/>
  <c r="BW347" s="1"/>
  <c r="BX347" s="1"/>
  <c r="BY347" s="1"/>
  <c r="BZ347" s="1"/>
  <c r="CA347" s="1"/>
  <c r="CB347" s="1"/>
  <c r="CC347" s="1"/>
  <c r="CD347" s="1"/>
  <c r="BU348"/>
  <c r="BV348" s="1"/>
  <c r="BW348" s="1"/>
  <c r="BX348" s="1"/>
  <c r="BY348" s="1"/>
  <c r="BZ348" s="1"/>
  <c r="CA348" s="1"/>
  <c r="CB348" s="1"/>
  <c r="CC348" s="1"/>
  <c r="CD348" s="1"/>
  <c r="BU349"/>
  <c r="BV349" s="1"/>
  <c r="BW349" s="1"/>
  <c r="BX349" s="1"/>
  <c r="BY349" s="1"/>
  <c r="BZ349" s="1"/>
  <c r="CA349" s="1"/>
  <c r="CB349" s="1"/>
  <c r="CC349" s="1"/>
  <c r="CD349" s="1"/>
  <c r="BU350"/>
  <c r="BV350" s="1"/>
  <c r="BW350" s="1"/>
  <c r="BX350" s="1"/>
  <c r="BY350" s="1"/>
  <c r="BZ350" s="1"/>
  <c r="CA350" s="1"/>
  <c r="CB350" s="1"/>
  <c r="CC350" s="1"/>
  <c r="CD350" s="1"/>
  <c r="BU351"/>
  <c r="BV351" s="1"/>
  <c r="BW351" s="1"/>
  <c r="BX351" s="1"/>
  <c r="BY351" s="1"/>
  <c r="BZ351" s="1"/>
  <c r="CA351" s="1"/>
  <c r="CB351" s="1"/>
  <c r="CC351" s="1"/>
  <c r="CD351" s="1"/>
  <c r="BU352"/>
  <c r="BV352" s="1"/>
  <c r="BW352" s="1"/>
  <c r="BX352" s="1"/>
  <c r="BY352" s="1"/>
  <c r="BZ352" s="1"/>
  <c r="CA352" s="1"/>
  <c r="CB352" s="1"/>
  <c r="CC352" s="1"/>
  <c r="CD352" s="1"/>
  <c r="BU357"/>
  <c r="BV357" s="1"/>
  <c r="BW357" s="1"/>
  <c r="BX357" s="1"/>
  <c r="BY357" s="1"/>
  <c r="BZ357" s="1"/>
  <c r="CA357" s="1"/>
  <c r="CB357" s="1"/>
  <c r="CC357" s="1"/>
  <c r="CD357" s="1"/>
  <c r="BU358"/>
  <c r="BV358" s="1"/>
  <c r="BW358" s="1"/>
  <c r="BX358" s="1"/>
  <c r="BY358" s="1"/>
  <c r="BZ358" s="1"/>
  <c r="CA358" s="1"/>
  <c r="CB358" s="1"/>
  <c r="CC358" s="1"/>
  <c r="CD358" s="1"/>
  <c r="BU360"/>
  <c r="BV360" s="1"/>
  <c r="BW360" s="1"/>
  <c r="BX360" s="1"/>
  <c r="BY360" s="1"/>
  <c r="BZ360" s="1"/>
  <c r="CA360" s="1"/>
  <c r="CB360" s="1"/>
  <c r="CC360" s="1"/>
  <c r="CD360" s="1"/>
  <c r="BU365"/>
  <c r="BV365" s="1"/>
  <c r="BW365" s="1"/>
  <c r="BX365" s="1"/>
  <c r="BY365" s="1"/>
  <c r="BZ365" s="1"/>
  <c r="CA365" s="1"/>
  <c r="CB365" s="1"/>
  <c r="CC365" s="1"/>
  <c r="CD365" s="1"/>
  <c r="BU366"/>
  <c r="BV366" s="1"/>
  <c r="BW366" s="1"/>
  <c r="BX366" s="1"/>
  <c r="BY366" s="1"/>
  <c r="BZ366" s="1"/>
  <c r="CA366" s="1"/>
  <c r="CB366" s="1"/>
  <c r="CC366" s="1"/>
  <c r="CD366" s="1"/>
  <c r="BU367"/>
  <c r="BV367" s="1"/>
  <c r="BW367" s="1"/>
  <c r="BX367" s="1"/>
  <c r="BY367" s="1"/>
  <c r="BZ367" s="1"/>
  <c r="CA367" s="1"/>
  <c r="CB367" s="1"/>
  <c r="CC367" s="1"/>
  <c r="CD367" s="1"/>
  <c r="BU368"/>
  <c r="BV368" s="1"/>
  <c r="BW368" s="1"/>
  <c r="BX368" s="1"/>
  <c r="BY368" s="1"/>
  <c r="BZ368" s="1"/>
  <c r="CA368" s="1"/>
  <c r="CB368" s="1"/>
  <c r="CC368" s="1"/>
  <c r="CD368" s="1"/>
  <c r="BU369"/>
  <c r="BV369" s="1"/>
  <c r="BW369" s="1"/>
  <c r="BX369" s="1"/>
  <c r="BY369" s="1"/>
  <c r="BZ369" s="1"/>
  <c r="CA369" s="1"/>
  <c r="CB369" s="1"/>
  <c r="CC369" s="1"/>
  <c r="CD369" s="1"/>
  <c r="BU370"/>
  <c r="BV370" s="1"/>
  <c r="BW370" s="1"/>
  <c r="BX370" s="1"/>
  <c r="BY370" s="1"/>
  <c r="BZ370" s="1"/>
  <c r="CA370" s="1"/>
  <c r="CB370" s="1"/>
  <c r="CC370" s="1"/>
  <c r="CD370" s="1"/>
  <c r="BU371"/>
  <c r="BV371" s="1"/>
  <c r="BW371" s="1"/>
  <c r="BX371" s="1"/>
  <c r="BY371" s="1"/>
  <c r="BZ371" s="1"/>
  <c r="CA371" s="1"/>
  <c r="CB371" s="1"/>
  <c r="CC371" s="1"/>
  <c r="CD371" s="1"/>
  <c r="BU372"/>
  <c r="BV372" s="1"/>
  <c r="BW372" s="1"/>
  <c r="BX372" s="1"/>
  <c r="BY372" s="1"/>
  <c r="BZ372" s="1"/>
  <c r="CA372" s="1"/>
  <c r="CB372" s="1"/>
  <c r="CC372" s="1"/>
  <c r="CD372" s="1"/>
  <c r="BU373"/>
  <c r="BV373" s="1"/>
  <c r="BW373" s="1"/>
  <c r="BX373" s="1"/>
  <c r="BY373" s="1"/>
  <c r="BZ373" s="1"/>
  <c r="CA373" s="1"/>
  <c r="CB373" s="1"/>
  <c r="CC373" s="1"/>
  <c r="CD373" s="1"/>
  <c r="BU374"/>
  <c r="BV374" s="1"/>
  <c r="BW374" s="1"/>
  <c r="BX374" s="1"/>
  <c r="BY374" s="1"/>
  <c r="BZ374" s="1"/>
  <c r="CA374" s="1"/>
  <c r="CB374" s="1"/>
  <c r="CC374" s="1"/>
  <c r="CD374" s="1"/>
  <c r="BU375"/>
  <c r="BV375" s="1"/>
  <c r="BW375" s="1"/>
  <c r="BX375" s="1"/>
  <c r="BY375" s="1"/>
  <c r="BZ375" s="1"/>
  <c r="CA375" s="1"/>
  <c r="CB375" s="1"/>
  <c r="CC375" s="1"/>
  <c r="CD375" s="1"/>
  <c r="BU376"/>
  <c r="BV376" s="1"/>
  <c r="BW376" s="1"/>
  <c r="BX376" s="1"/>
  <c r="BY376" s="1"/>
  <c r="BZ376" s="1"/>
  <c r="CA376" s="1"/>
  <c r="CB376" s="1"/>
  <c r="CC376" s="1"/>
  <c r="CD376" s="1"/>
  <c r="BU377"/>
  <c r="BV377" s="1"/>
  <c r="BW377" s="1"/>
  <c r="BX377" s="1"/>
  <c r="BY377" s="1"/>
  <c r="BZ377" s="1"/>
  <c r="CA377" s="1"/>
  <c r="CB377" s="1"/>
  <c r="CC377" s="1"/>
  <c r="CD377" s="1"/>
  <c r="BU378"/>
  <c r="BV378" s="1"/>
  <c r="BW378" s="1"/>
  <c r="BX378" s="1"/>
  <c r="BY378" s="1"/>
  <c r="BZ378" s="1"/>
  <c r="CA378" s="1"/>
  <c r="CB378" s="1"/>
  <c r="CC378" s="1"/>
  <c r="CD378" s="1"/>
  <c r="BU379"/>
  <c r="BV379" s="1"/>
  <c r="BW379" s="1"/>
  <c r="BX379" s="1"/>
  <c r="BY379" s="1"/>
  <c r="BZ379" s="1"/>
  <c r="CA379" s="1"/>
  <c r="CB379" s="1"/>
  <c r="CC379" s="1"/>
  <c r="CD379" s="1"/>
  <c r="BU380"/>
  <c r="BV380" s="1"/>
  <c r="BW380" s="1"/>
  <c r="BX380" s="1"/>
  <c r="BY380" s="1"/>
  <c r="BZ380" s="1"/>
  <c r="CA380" s="1"/>
  <c r="CB380" s="1"/>
  <c r="CC380" s="1"/>
  <c r="CD380" s="1"/>
  <c r="BU381"/>
  <c r="BV381" s="1"/>
  <c r="BW381" s="1"/>
  <c r="BX381" s="1"/>
  <c r="BY381" s="1"/>
  <c r="BZ381" s="1"/>
  <c r="CA381" s="1"/>
  <c r="CB381" s="1"/>
  <c r="CC381" s="1"/>
  <c r="CD381" s="1"/>
  <c r="BU382"/>
  <c r="BV382" s="1"/>
  <c r="BW382" s="1"/>
  <c r="BX382" s="1"/>
  <c r="BY382" s="1"/>
  <c r="BZ382" s="1"/>
  <c r="CA382" s="1"/>
  <c r="CB382" s="1"/>
  <c r="CC382" s="1"/>
  <c r="CD382" s="1"/>
  <c r="BU383"/>
  <c r="BV383" s="1"/>
  <c r="BW383" s="1"/>
  <c r="BX383" s="1"/>
  <c r="BY383" s="1"/>
  <c r="BZ383" s="1"/>
  <c r="CA383" s="1"/>
  <c r="CB383" s="1"/>
  <c r="CC383" s="1"/>
  <c r="CD383" s="1"/>
  <c r="BU384"/>
  <c r="BV384" s="1"/>
  <c r="BW384" s="1"/>
  <c r="BX384" s="1"/>
  <c r="BY384" s="1"/>
  <c r="BZ384" s="1"/>
  <c r="CA384" s="1"/>
  <c r="CB384" s="1"/>
  <c r="CC384" s="1"/>
  <c r="CD384" s="1"/>
  <c r="BU385"/>
  <c r="BV385" s="1"/>
  <c r="BW385" s="1"/>
  <c r="BX385" s="1"/>
  <c r="BY385" s="1"/>
  <c r="BZ385" s="1"/>
  <c r="CA385" s="1"/>
  <c r="CB385" s="1"/>
  <c r="CC385" s="1"/>
  <c r="CD385" s="1"/>
  <c r="BU386"/>
  <c r="BV386" s="1"/>
  <c r="BW386" s="1"/>
  <c r="BX386" s="1"/>
  <c r="BY386" s="1"/>
  <c r="BZ386" s="1"/>
  <c r="CA386" s="1"/>
  <c r="CB386" s="1"/>
  <c r="CC386" s="1"/>
  <c r="CD386" s="1"/>
  <c r="BU388"/>
  <c r="BV388" s="1"/>
  <c r="BW388" s="1"/>
  <c r="BX388" s="1"/>
  <c r="BY388" s="1"/>
  <c r="BZ388" s="1"/>
  <c r="CA388" s="1"/>
  <c r="CB388" s="1"/>
  <c r="CC388" s="1"/>
  <c r="CD388" s="1"/>
  <c r="BU389"/>
  <c r="BV389" s="1"/>
  <c r="BW389" s="1"/>
  <c r="BX389" s="1"/>
  <c r="BY389" s="1"/>
  <c r="BZ389" s="1"/>
  <c r="CA389" s="1"/>
  <c r="CB389" s="1"/>
  <c r="CC389" s="1"/>
  <c r="CD389" s="1"/>
  <c r="BU390"/>
  <c r="BV390" s="1"/>
  <c r="BW390" s="1"/>
  <c r="BX390" s="1"/>
  <c r="BY390" s="1"/>
  <c r="BZ390" s="1"/>
  <c r="CA390" s="1"/>
  <c r="CB390" s="1"/>
  <c r="CC390" s="1"/>
  <c r="CD390" s="1"/>
  <c r="BU391"/>
  <c r="BV391" s="1"/>
  <c r="BW391" s="1"/>
  <c r="BX391" s="1"/>
  <c r="BY391" s="1"/>
  <c r="BZ391" s="1"/>
  <c r="CA391" s="1"/>
  <c r="CB391" s="1"/>
  <c r="CC391" s="1"/>
  <c r="CD391" s="1"/>
  <c r="BU392"/>
  <c r="BV392" s="1"/>
  <c r="BW392" s="1"/>
  <c r="BX392" s="1"/>
  <c r="BY392" s="1"/>
  <c r="BZ392" s="1"/>
  <c r="CA392" s="1"/>
  <c r="CB392" s="1"/>
  <c r="CC392" s="1"/>
  <c r="CD392" s="1"/>
  <c r="BU393"/>
  <c r="BV393" s="1"/>
  <c r="BW393" s="1"/>
  <c r="BX393" s="1"/>
  <c r="BY393" s="1"/>
  <c r="BZ393" s="1"/>
  <c r="CA393" s="1"/>
  <c r="CB393" s="1"/>
  <c r="CC393" s="1"/>
  <c r="CD393" s="1"/>
  <c r="BU394"/>
  <c r="BV394" s="1"/>
  <c r="BW394" s="1"/>
  <c r="BX394" s="1"/>
  <c r="BY394" s="1"/>
  <c r="BZ394" s="1"/>
  <c r="CA394" s="1"/>
  <c r="CB394" s="1"/>
  <c r="CC394" s="1"/>
  <c r="CD394" s="1"/>
  <c r="BU395"/>
  <c r="BV395" s="1"/>
  <c r="BW395" s="1"/>
  <c r="BX395" s="1"/>
  <c r="BY395" s="1"/>
  <c r="BZ395" s="1"/>
  <c r="CA395" s="1"/>
  <c r="CB395" s="1"/>
  <c r="CC395" s="1"/>
  <c r="CD395" s="1"/>
  <c r="BU396"/>
  <c r="BV396" s="1"/>
  <c r="BW396" s="1"/>
  <c r="BX396" s="1"/>
  <c r="BY396" s="1"/>
  <c r="BZ396" s="1"/>
  <c r="CA396" s="1"/>
  <c r="CB396" s="1"/>
  <c r="CC396" s="1"/>
  <c r="CD396" s="1"/>
  <c r="BU397"/>
  <c r="BV397" s="1"/>
  <c r="BW397" s="1"/>
  <c r="BX397" s="1"/>
  <c r="BY397" s="1"/>
  <c r="BZ397" s="1"/>
  <c r="CA397" s="1"/>
  <c r="CB397" s="1"/>
  <c r="CC397" s="1"/>
  <c r="CD397" s="1"/>
  <c r="BU398"/>
  <c r="BV398" s="1"/>
  <c r="BW398" s="1"/>
  <c r="BX398" s="1"/>
  <c r="BY398" s="1"/>
  <c r="BZ398" s="1"/>
  <c r="CA398" s="1"/>
  <c r="CB398" s="1"/>
  <c r="CC398" s="1"/>
  <c r="CD398" s="1"/>
  <c r="BU399"/>
  <c r="BV399" s="1"/>
  <c r="BW399" s="1"/>
  <c r="BX399" s="1"/>
  <c r="BY399" s="1"/>
  <c r="BZ399" s="1"/>
  <c r="CA399" s="1"/>
  <c r="CB399" s="1"/>
  <c r="CC399" s="1"/>
  <c r="CD399" s="1"/>
  <c r="BU400"/>
  <c r="BV400" s="1"/>
  <c r="BW400" s="1"/>
  <c r="BX400" s="1"/>
  <c r="BY400" s="1"/>
  <c r="BZ400" s="1"/>
  <c r="CA400" s="1"/>
  <c r="CB400" s="1"/>
  <c r="CC400" s="1"/>
  <c r="CD400" s="1"/>
  <c r="BU401"/>
  <c r="BV401" s="1"/>
  <c r="BW401" s="1"/>
  <c r="BX401" s="1"/>
  <c r="BY401" s="1"/>
  <c r="BZ401" s="1"/>
  <c r="CA401" s="1"/>
  <c r="CB401" s="1"/>
  <c r="CC401" s="1"/>
  <c r="CD401" s="1"/>
  <c r="BU402"/>
  <c r="BV402" s="1"/>
  <c r="BW402" s="1"/>
  <c r="BX402" s="1"/>
  <c r="BY402" s="1"/>
  <c r="BZ402" s="1"/>
  <c r="CA402" s="1"/>
  <c r="CB402" s="1"/>
  <c r="CC402" s="1"/>
  <c r="CD402" s="1"/>
  <c r="BU403"/>
  <c r="BV403" s="1"/>
  <c r="BW403" s="1"/>
  <c r="BX403" s="1"/>
  <c r="BY403" s="1"/>
  <c r="BZ403" s="1"/>
  <c r="CA403" s="1"/>
  <c r="CB403" s="1"/>
  <c r="CC403" s="1"/>
  <c r="CD403" s="1"/>
  <c r="BU404"/>
  <c r="BV404" s="1"/>
  <c r="BW404" s="1"/>
  <c r="BX404" s="1"/>
  <c r="BY404" s="1"/>
  <c r="BZ404" s="1"/>
  <c r="CA404" s="1"/>
  <c r="CB404" s="1"/>
  <c r="CC404" s="1"/>
  <c r="CD404" s="1"/>
  <c r="BU405"/>
  <c r="BV405" s="1"/>
  <c r="BW405" s="1"/>
  <c r="BX405" s="1"/>
  <c r="BY405" s="1"/>
  <c r="BZ405" s="1"/>
  <c r="CA405" s="1"/>
  <c r="CB405" s="1"/>
  <c r="CC405" s="1"/>
  <c r="CD405" s="1"/>
  <c r="BU407"/>
  <c r="BV407" s="1"/>
  <c r="BW407" s="1"/>
  <c r="BX407" s="1"/>
  <c r="BY407" s="1"/>
  <c r="BZ407" s="1"/>
  <c r="CA407" s="1"/>
  <c r="CB407" s="1"/>
  <c r="CC407" s="1"/>
  <c r="CD407" s="1"/>
  <c r="BU408"/>
  <c r="BV408" s="1"/>
  <c r="BW408" s="1"/>
  <c r="BX408" s="1"/>
  <c r="BY408" s="1"/>
  <c r="BZ408" s="1"/>
  <c r="CA408" s="1"/>
  <c r="CB408" s="1"/>
  <c r="CC408" s="1"/>
  <c r="CD408" s="1"/>
  <c r="BU409"/>
  <c r="BV409" s="1"/>
  <c r="BW409" s="1"/>
  <c r="BX409" s="1"/>
  <c r="BY409" s="1"/>
  <c r="BZ409" s="1"/>
  <c r="CA409" s="1"/>
  <c r="CB409" s="1"/>
  <c r="CC409" s="1"/>
  <c r="CD409" s="1"/>
  <c r="BU410"/>
  <c r="BV410" s="1"/>
  <c r="BW410" s="1"/>
  <c r="BX410" s="1"/>
  <c r="BY410" s="1"/>
  <c r="BZ410" s="1"/>
  <c r="CA410" s="1"/>
  <c r="CB410" s="1"/>
  <c r="CC410" s="1"/>
  <c r="CD410" s="1"/>
  <c r="BU411"/>
  <c r="BV411" s="1"/>
  <c r="BW411" s="1"/>
  <c r="BX411" s="1"/>
  <c r="BY411" s="1"/>
  <c r="BZ411" s="1"/>
  <c r="CA411" s="1"/>
  <c r="CB411" s="1"/>
  <c r="CC411" s="1"/>
  <c r="CD411" s="1"/>
  <c r="BU412"/>
  <c r="BV412" s="1"/>
  <c r="BW412" s="1"/>
  <c r="BX412" s="1"/>
  <c r="BY412" s="1"/>
  <c r="BZ412" s="1"/>
  <c r="CA412" s="1"/>
  <c r="CB412" s="1"/>
  <c r="CC412" s="1"/>
  <c r="CD412" s="1"/>
  <c r="BU413"/>
  <c r="BV413" s="1"/>
  <c r="BW413" s="1"/>
  <c r="BX413" s="1"/>
  <c r="BY413" s="1"/>
  <c r="BZ413" s="1"/>
  <c r="CA413" s="1"/>
  <c r="CB413" s="1"/>
  <c r="CC413" s="1"/>
  <c r="CD413" s="1"/>
  <c r="BU414"/>
  <c r="BV414" s="1"/>
  <c r="BW414" s="1"/>
  <c r="BX414" s="1"/>
  <c r="BY414" s="1"/>
  <c r="BZ414" s="1"/>
  <c r="CA414" s="1"/>
  <c r="CB414" s="1"/>
  <c r="CC414" s="1"/>
  <c r="CD414" s="1"/>
  <c r="BU415"/>
  <c r="BV415" s="1"/>
  <c r="BW415" s="1"/>
  <c r="BX415" s="1"/>
  <c r="BY415" s="1"/>
  <c r="BZ415" s="1"/>
  <c r="CA415" s="1"/>
  <c r="CB415" s="1"/>
  <c r="CC415" s="1"/>
  <c r="CD415" s="1"/>
  <c r="BU416"/>
  <c r="BV416" s="1"/>
  <c r="BW416" s="1"/>
  <c r="BX416" s="1"/>
  <c r="BY416" s="1"/>
  <c r="BZ416" s="1"/>
  <c r="CA416" s="1"/>
  <c r="CB416" s="1"/>
  <c r="CC416" s="1"/>
  <c r="CD416" s="1"/>
  <c r="BU417"/>
  <c r="BV417" s="1"/>
  <c r="BW417" s="1"/>
  <c r="BX417" s="1"/>
  <c r="BY417" s="1"/>
  <c r="BZ417" s="1"/>
  <c r="CA417" s="1"/>
  <c r="CB417" s="1"/>
  <c r="CC417" s="1"/>
  <c r="CD417" s="1"/>
  <c r="BU418"/>
  <c r="BV418" s="1"/>
  <c r="BW418" s="1"/>
  <c r="BX418" s="1"/>
  <c r="BY418" s="1"/>
  <c r="BZ418" s="1"/>
  <c r="CA418" s="1"/>
  <c r="CB418" s="1"/>
  <c r="CC418" s="1"/>
  <c r="CD418" s="1"/>
  <c r="BU419"/>
  <c r="BV419" s="1"/>
  <c r="BW419" s="1"/>
  <c r="BX419" s="1"/>
  <c r="BY419" s="1"/>
  <c r="BZ419" s="1"/>
  <c r="CA419" s="1"/>
  <c r="CB419" s="1"/>
  <c r="CC419" s="1"/>
  <c r="CD419" s="1"/>
  <c r="BU420"/>
  <c r="BV420" s="1"/>
  <c r="BW420" s="1"/>
  <c r="BX420" s="1"/>
  <c r="BY420" s="1"/>
  <c r="BZ420" s="1"/>
  <c r="CA420" s="1"/>
  <c r="CB420" s="1"/>
  <c r="CC420" s="1"/>
  <c r="CD420" s="1"/>
  <c r="BU421"/>
  <c r="BV421" s="1"/>
  <c r="BW421" s="1"/>
  <c r="BX421" s="1"/>
  <c r="BY421" s="1"/>
  <c r="BZ421" s="1"/>
  <c r="CA421" s="1"/>
  <c r="CB421" s="1"/>
  <c r="CC421" s="1"/>
  <c r="CD421" s="1"/>
  <c r="BU422"/>
  <c r="BV422" s="1"/>
  <c r="BW422" s="1"/>
  <c r="BX422" s="1"/>
  <c r="BY422" s="1"/>
  <c r="BZ422" s="1"/>
  <c r="CA422" s="1"/>
  <c r="CB422" s="1"/>
  <c r="CC422" s="1"/>
  <c r="CD422" s="1"/>
  <c r="BU423"/>
  <c r="BV423" s="1"/>
  <c r="BW423" s="1"/>
  <c r="BX423" s="1"/>
  <c r="BY423" s="1"/>
  <c r="BZ423" s="1"/>
  <c r="CA423" s="1"/>
  <c r="CB423" s="1"/>
  <c r="CC423" s="1"/>
  <c r="CD423" s="1"/>
  <c r="BU424"/>
  <c r="BV424" s="1"/>
  <c r="BW424" s="1"/>
  <c r="BX424" s="1"/>
  <c r="BY424" s="1"/>
  <c r="BZ424" s="1"/>
  <c r="CA424" s="1"/>
  <c r="CB424" s="1"/>
  <c r="CC424" s="1"/>
  <c r="CD424" s="1"/>
  <c r="BU425"/>
  <c r="BV425" s="1"/>
  <c r="BW425" s="1"/>
  <c r="BX425" s="1"/>
  <c r="BY425" s="1"/>
  <c r="BZ425" s="1"/>
  <c r="CA425" s="1"/>
  <c r="CB425" s="1"/>
  <c r="CC425" s="1"/>
  <c r="CD425" s="1"/>
  <c r="BU426"/>
  <c r="BV426" s="1"/>
  <c r="BW426"/>
  <c r="BX426" s="1"/>
  <c r="BY426" s="1"/>
  <c r="BZ426" s="1"/>
  <c r="CA426" s="1"/>
  <c r="CB426" s="1"/>
  <c r="CC426" s="1"/>
  <c r="CD426" s="1"/>
  <c r="BU427"/>
  <c r="BV427" s="1"/>
  <c r="BW427" s="1"/>
  <c r="BX427" s="1"/>
  <c r="BY427" s="1"/>
  <c r="BZ427" s="1"/>
  <c r="CA427" s="1"/>
  <c r="CB427" s="1"/>
  <c r="CC427" s="1"/>
  <c r="CD427" s="1"/>
  <c r="BU428"/>
  <c r="BV428" s="1"/>
  <c r="BW428" s="1"/>
  <c r="BX428" s="1"/>
  <c r="BY428" s="1"/>
  <c r="BZ428" s="1"/>
  <c r="CA428" s="1"/>
  <c r="CB428" s="1"/>
  <c r="CC428" s="1"/>
  <c r="CD428" s="1"/>
  <c r="BU429"/>
  <c r="BV429" s="1"/>
  <c r="BW429" s="1"/>
  <c r="BX429" s="1"/>
  <c r="BY429" s="1"/>
  <c r="BZ429" s="1"/>
  <c r="CA429" s="1"/>
  <c r="CB429" s="1"/>
  <c r="CC429" s="1"/>
  <c r="CD429" s="1"/>
  <c r="BU430"/>
  <c r="BV430" s="1"/>
  <c r="BW430"/>
  <c r="BX430" s="1"/>
  <c r="BY430" s="1"/>
  <c r="BZ430" s="1"/>
  <c r="CA430" s="1"/>
  <c r="CB430" s="1"/>
  <c r="CC430" s="1"/>
  <c r="CD430" s="1"/>
  <c r="BU431"/>
  <c r="BV431" s="1"/>
  <c r="BW431" s="1"/>
  <c r="BX431" s="1"/>
  <c r="BY431" s="1"/>
  <c r="BZ431" s="1"/>
  <c r="CA431" s="1"/>
  <c r="CB431" s="1"/>
  <c r="CC431" s="1"/>
  <c r="CD431" s="1"/>
  <c r="BU432"/>
  <c r="BV432" s="1"/>
  <c r="BW432" s="1"/>
  <c r="BX432" s="1"/>
  <c r="BY432" s="1"/>
  <c r="BZ432" s="1"/>
  <c r="CA432" s="1"/>
  <c r="CB432" s="1"/>
  <c r="CC432" s="1"/>
  <c r="CD432" s="1"/>
  <c r="BU433"/>
  <c r="BV433" s="1"/>
  <c r="BW433" s="1"/>
  <c r="BX433" s="1"/>
  <c r="BY433" s="1"/>
  <c r="BZ433" s="1"/>
  <c r="CA433" s="1"/>
  <c r="CB433" s="1"/>
  <c r="CC433" s="1"/>
  <c r="CD433" s="1"/>
  <c r="BU434"/>
  <c r="BV434" s="1"/>
  <c r="BW434"/>
  <c r="BX434" s="1"/>
  <c r="BY434" s="1"/>
  <c r="BZ434" s="1"/>
  <c r="CA434" s="1"/>
  <c r="CB434" s="1"/>
  <c r="CC434" s="1"/>
  <c r="CD434" s="1"/>
  <c r="BU435"/>
  <c r="BV435" s="1"/>
  <c r="BW435" s="1"/>
  <c r="BX435" s="1"/>
  <c r="BY435" s="1"/>
  <c r="BZ435" s="1"/>
  <c r="CA435" s="1"/>
  <c r="CB435" s="1"/>
  <c r="CC435" s="1"/>
  <c r="CD435" s="1"/>
  <c r="BU436"/>
  <c r="BV436" s="1"/>
  <c r="BW436" s="1"/>
  <c r="BX436" s="1"/>
  <c r="BY436" s="1"/>
  <c r="BZ436" s="1"/>
  <c r="CA436" s="1"/>
  <c r="CB436" s="1"/>
  <c r="CC436" s="1"/>
  <c r="CD436" s="1"/>
  <c r="BU437"/>
  <c r="BV437" s="1"/>
  <c r="BW437" s="1"/>
  <c r="BX437" s="1"/>
  <c r="BY437" s="1"/>
  <c r="BZ437" s="1"/>
  <c r="CA437" s="1"/>
  <c r="CB437" s="1"/>
  <c r="CC437" s="1"/>
  <c r="CD437" s="1"/>
  <c r="BU438"/>
  <c r="BV438" s="1"/>
  <c r="BW438"/>
  <c r="BX438" s="1"/>
  <c r="BY438" s="1"/>
  <c r="BZ438" s="1"/>
  <c r="CA438" s="1"/>
  <c r="CB438" s="1"/>
  <c r="CC438" s="1"/>
  <c r="CD438" s="1"/>
  <c r="BU439"/>
  <c r="BV439" s="1"/>
  <c r="BW439" s="1"/>
  <c r="BX439" s="1"/>
  <c r="BY439" s="1"/>
  <c r="BZ439" s="1"/>
  <c r="CA439" s="1"/>
  <c r="CB439" s="1"/>
  <c r="CC439" s="1"/>
  <c r="CD439" s="1"/>
  <c r="BU440"/>
  <c r="BV440" s="1"/>
  <c r="BW440" s="1"/>
  <c r="BX440" s="1"/>
  <c r="BY440" s="1"/>
  <c r="BZ440" s="1"/>
  <c r="CA440" s="1"/>
  <c r="CB440" s="1"/>
  <c r="CC440" s="1"/>
  <c r="CD440" s="1"/>
  <c r="BU441"/>
  <c r="BV441" s="1"/>
  <c r="BW441" s="1"/>
  <c r="BX441" s="1"/>
  <c r="BY441" s="1"/>
  <c r="BZ441" s="1"/>
  <c r="CA441" s="1"/>
  <c r="CB441" s="1"/>
  <c r="CC441" s="1"/>
  <c r="CD441" s="1"/>
  <c r="BU442"/>
  <c r="BV442" s="1"/>
  <c r="BW442"/>
  <c r="BX442" s="1"/>
  <c r="BY442" s="1"/>
  <c r="BZ442" s="1"/>
  <c r="CA442" s="1"/>
  <c r="CB442" s="1"/>
  <c r="CC442" s="1"/>
  <c r="CD442" s="1"/>
  <c r="BU443"/>
  <c r="BV443" s="1"/>
  <c r="BW443" s="1"/>
  <c r="BX443" s="1"/>
  <c r="BY443" s="1"/>
  <c r="BZ443" s="1"/>
  <c r="CA443" s="1"/>
  <c r="CB443" s="1"/>
  <c r="CC443" s="1"/>
  <c r="CD443" s="1"/>
  <c r="BU444"/>
  <c r="BV444" s="1"/>
  <c r="BW444" s="1"/>
  <c r="BX444" s="1"/>
  <c r="BY444" s="1"/>
  <c r="BZ444" s="1"/>
  <c r="CA444" s="1"/>
  <c r="CB444" s="1"/>
  <c r="CC444" s="1"/>
  <c r="CD444" s="1"/>
  <c r="BU445"/>
  <c r="BV445" s="1"/>
  <c r="BW445" s="1"/>
  <c r="BX445" s="1"/>
  <c r="BY445" s="1"/>
  <c r="BZ445" s="1"/>
  <c r="CA445" s="1"/>
  <c r="CB445" s="1"/>
  <c r="CC445" s="1"/>
  <c r="CD445" s="1"/>
  <c r="BU446"/>
  <c r="BV446" s="1"/>
  <c r="BW446"/>
  <c r="BX446" s="1"/>
  <c r="BY446" s="1"/>
  <c r="BZ446" s="1"/>
  <c r="CA446" s="1"/>
  <c r="CB446" s="1"/>
  <c r="CC446" s="1"/>
  <c r="CD446" s="1"/>
  <c r="BU447"/>
  <c r="BV447" s="1"/>
  <c r="BW447" s="1"/>
  <c r="BX447" s="1"/>
  <c r="BY447" s="1"/>
  <c r="BZ447" s="1"/>
  <c r="CA447" s="1"/>
  <c r="CB447" s="1"/>
  <c r="CC447" s="1"/>
  <c r="CD447" s="1"/>
  <c r="BU448"/>
  <c r="BV448" s="1"/>
  <c r="BW448" s="1"/>
  <c r="BX448" s="1"/>
  <c r="BY448" s="1"/>
  <c r="BZ448" s="1"/>
  <c r="CA448" s="1"/>
  <c r="CB448" s="1"/>
  <c r="CC448" s="1"/>
  <c r="CD448" s="1"/>
  <c r="BU449"/>
  <c r="BV449" s="1"/>
  <c r="BW449" s="1"/>
  <c r="BX449" s="1"/>
  <c r="BY449" s="1"/>
  <c r="BZ449" s="1"/>
  <c r="CA449" s="1"/>
  <c r="CB449" s="1"/>
  <c r="CC449" s="1"/>
  <c r="CD449" s="1"/>
  <c r="BU450"/>
  <c r="BV450" s="1"/>
  <c r="BW450"/>
  <c r="BX450" s="1"/>
  <c r="BY450" s="1"/>
  <c r="BZ450" s="1"/>
  <c r="CA450" s="1"/>
  <c r="CB450" s="1"/>
  <c r="CC450" s="1"/>
  <c r="CD450" s="1"/>
  <c r="BU451"/>
  <c r="BV451" s="1"/>
  <c r="BW451" s="1"/>
  <c r="BX451" s="1"/>
  <c r="BY451" s="1"/>
  <c r="BZ451" s="1"/>
  <c r="CA451" s="1"/>
  <c r="CB451" s="1"/>
  <c r="CC451" s="1"/>
  <c r="CD451" s="1"/>
  <c r="BU452"/>
  <c r="BV452" s="1"/>
  <c r="BW452" s="1"/>
  <c r="BX452" s="1"/>
  <c r="BY452" s="1"/>
  <c r="BZ452" s="1"/>
  <c r="CA452" s="1"/>
  <c r="CB452" s="1"/>
  <c r="CC452" s="1"/>
  <c r="CD452" s="1"/>
  <c r="BU453"/>
  <c r="BV453" s="1"/>
  <c r="BW453" s="1"/>
  <c r="BX453" s="1"/>
  <c r="BY453" s="1"/>
  <c r="BZ453" s="1"/>
  <c r="CA453" s="1"/>
  <c r="CB453" s="1"/>
  <c r="CC453" s="1"/>
  <c r="CD453" s="1"/>
  <c r="BU454"/>
  <c r="BV454" s="1"/>
  <c r="BW454"/>
  <c r="BX454" s="1"/>
  <c r="BY454" s="1"/>
  <c r="BZ454" s="1"/>
  <c r="CA454" s="1"/>
  <c r="CB454" s="1"/>
  <c r="CC454" s="1"/>
  <c r="CD454" s="1"/>
  <c r="BU455"/>
  <c r="BV455" s="1"/>
  <c r="BW455" s="1"/>
  <c r="BX455" s="1"/>
  <c r="BY455" s="1"/>
  <c r="BZ455" s="1"/>
  <c r="CA455" s="1"/>
  <c r="CB455" s="1"/>
  <c r="CC455" s="1"/>
  <c r="CD455" s="1"/>
  <c r="BU456"/>
  <c r="BV456" s="1"/>
  <c r="BW456" s="1"/>
  <c r="BX456" s="1"/>
  <c r="BY456" s="1"/>
  <c r="BZ456" s="1"/>
  <c r="CA456" s="1"/>
  <c r="CB456" s="1"/>
  <c r="CC456" s="1"/>
  <c r="CD456" s="1"/>
  <c r="BU457"/>
  <c r="BV457" s="1"/>
  <c r="BW457" s="1"/>
  <c r="BX457" s="1"/>
  <c r="BY457" s="1"/>
  <c r="BZ457" s="1"/>
  <c r="CA457" s="1"/>
  <c r="CB457" s="1"/>
  <c r="CC457" s="1"/>
  <c r="CD457" s="1"/>
  <c r="BU458"/>
  <c r="BV458" s="1"/>
  <c r="BW458"/>
  <c r="BX458" s="1"/>
  <c r="BY458" s="1"/>
  <c r="BZ458" s="1"/>
  <c r="CA458" s="1"/>
  <c r="CB458" s="1"/>
  <c r="CC458" s="1"/>
  <c r="CD458" s="1"/>
  <c r="BU459"/>
  <c r="BV459" s="1"/>
  <c r="BW459" s="1"/>
  <c r="BX459" s="1"/>
  <c r="BY459" s="1"/>
  <c r="BZ459" s="1"/>
  <c r="CA459" s="1"/>
  <c r="CB459" s="1"/>
  <c r="CC459" s="1"/>
  <c r="CD459" s="1"/>
  <c r="BU460"/>
  <c r="BV460" s="1"/>
  <c r="BW460" s="1"/>
  <c r="BX460" s="1"/>
  <c r="BY460" s="1"/>
  <c r="BZ460" s="1"/>
  <c r="CA460" s="1"/>
  <c r="CB460" s="1"/>
  <c r="CC460" s="1"/>
  <c r="CD460" s="1"/>
  <c r="BU461"/>
  <c r="BV461" s="1"/>
  <c r="BW461" s="1"/>
  <c r="BX461" s="1"/>
  <c r="BY461" s="1"/>
  <c r="BZ461" s="1"/>
  <c r="CA461" s="1"/>
  <c r="CB461" s="1"/>
  <c r="CC461" s="1"/>
  <c r="CD461" s="1"/>
  <c r="BU462"/>
  <c r="BV462" s="1"/>
  <c r="BW462"/>
  <c r="BX462" s="1"/>
  <c r="BY462" s="1"/>
  <c r="BZ462" s="1"/>
  <c r="CA462" s="1"/>
  <c r="CB462" s="1"/>
  <c r="CC462" s="1"/>
  <c r="CD462" s="1"/>
  <c r="BU463"/>
  <c r="BV463" s="1"/>
  <c r="BW463" s="1"/>
  <c r="BX463" s="1"/>
  <c r="BY463" s="1"/>
  <c r="BZ463" s="1"/>
  <c r="CA463" s="1"/>
  <c r="CB463" s="1"/>
  <c r="CC463" s="1"/>
  <c r="CD463" s="1"/>
  <c r="BU464"/>
  <c r="BV464" s="1"/>
  <c r="BW464" s="1"/>
  <c r="BX464" s="1"/>
  <c r="BY464" s="1"/>
  <c r="BZ464" s="1"/>
  <c r="CA464" s="1"/>
  <c r="CB464" s="1"/>
  <c r="CC464" s="1"/>
  <c r="CD464" s="1"/>
  <c r="BU465"/>
  <c r="BV465" s="1"/>
  <c r="BW465" s="1"/>
  <c r="BX465" s="1"/>
  <c r="BY465" s="1"/>
  <c r="BZ465" s="1"/>
  <c r="CA465" s="1"/>
  <c r="CB465" s="1"/>
  <c r="CC465" s="1"/>
  <c r="CD465" s="1"/>
  <c r="BU466"/>
  <c r="BV466" s="1"/>
  <c r="BW466"/>
  <c r="BX466" s="1"/>
  <c r="BY466" s="1"/>
  <c r="BZ466" s="1"/>
  <c r="CA466" s="1"/>
  <c r="CB466" s="1"/>
  <c r="CC466" s="1"/>
  <c r="CD466" s="1"/>
  <c r="BU467"/>
  <c r="BV467" s="1"/>
  <c r="BW467" s="1"/>
  <c r="BX467" s="1"/>
  <c r="BY467" s="1"/>
  <c r="BZ467" s="1"/>
  <c r="CA467" s="1"/>
  <c r="CB467" s="1"/>
  <c r="CC467" s="1"/>
  <c r="CD467" s="1"/>
  <c r="BU468"/>
  <c r="BV468" s="1"/>
  <c r="BW468" s="1"/>
  <c r="BX468" s="1"/>
  <c r="BY468" s="1"/>
  <c r="BZ468" s="1"/>
  <c r="CA468" s="1"/>
  <c r="CB468" s="1"/>
  <c r="CC468" s="1"/>
  <c r="CD468" s="1"/>
  <c r="BU469"/>
  <c r="BV469" s="1"/>
  <c r="BW469" s="1"/>
  <c r="BX469" s="1"/>
  <c r="BY469" s="1"/>
  <c r="BZ469" s="1"/>
  <c r="CA469" s="1"/>
  <c r="CB469" s="1"/>
  <c r="CC469" s="1"/>
  <c r="CD469" s="1"/>
  <c r="BU470"/>
  <c r="BV470" s="1"/>
  <c r="BW470"/>
  <c r="BX470" s="1"/>
  <c r="BY470" s="1"/>
  <c r="BZ470" s="1"/>
  <c r="CA470" s="1"/>
  <c r="CB470" s="1"/>
  <c r="CC470" s="1"/>
  <c r="CD470" s="1"/>
  <c r="BU471"/>
  <c r="BV471" s="1"/>
  <c r="BW471" s="1"/>
  <c r="BX471" s="1"/>
  <c r="BY471" s="1"/>
  <c r="BZ471" s="1"/>
  <c r="CA471" s="1"/>
  <c r="CB471" s="1"/>
  <c r="CC471" s="1"/>
  <c r="CD471" s="1"/>
  <c r="BU472"/>
  <c r="BV472" s="1"/>
  <c r="BW472" s="1"/>
  <c r="BX472" s="1"/>
  <c r="BY472" s="1"/>
  <c r="BZ472" s="1"/>
  <c r="CA472" s="1"/>
  <c r="CB472" s="1"/>
  <c r="CC472" s="1"/>
  <c r="CD472" s="1"/>
  <c r="BU473"/>
  <c r="BV473" s="1"/>
  <c r="BW473" s="1"/>
  <c r="BX473" s="1"/>
  <c r="BY473" s="1"/>
  <c r="BZ473" s="1"/>
  <c r="CA473" s="1"/>
  <c r="CB473" s="1"/>
  <c r="CC473" s="1"/>
  <c r="CD473" s="1"/>
  <c r="BU474"/>
  <c r="BV474" s="1"/>
  <c r="BW474"/>
  <c r="BX474" s="1"/>
  <c r="BY474" s="1"/>
  <c r="BZ474" s="1"/>
  <c r="CA474" s="1"/>
  <c r="CB474" s="1"/>
  <c r="CC474" s="1"/>
  <c r="CD474" s="1"/>
  <c r="BU475"/>
  <c r="BV475" s="1"/>
  <c r="BW475" s="1"/>
  <c r="BX475" s="1"/>
  <c r="BY475" s="1"/>
  <c r="BZ475" s="1"/>
  <c r="CA475" s="1"/>
  <c r="CB475" s="1"/>
  <c r="CC475" s="1"/>
  <c r="CD475" s="1"/>
  <c r="BU476"/>
  <c r="BV476" s="1"/>
  <c r="BW476" s="1"/>
  <c r="BX476" s="1"/>
  <c r="BY476" s="1"/>
  <c r="BZ476" s="1"/>
  <c r="CA476" s="1"/>
  <c r="CB476" s="1"/>
  <c r="CC476" s="1"/>
  <c r="CD476" s="1"/>
  <c r="BU477"/>
  <c r="BV477" s="1"/>
  <c r="BW477" s="1"/>
  <c r="BX477" s="1"/>
  <c r="BY477" s="1"/>
  <c r="BZ477" s="1"/>
  <c r="CA477" s="1"/>
  <c r="CB477" s="1"/>
  <c r="CC477" s="1"/>
  <c r="CD477" s="1"/>
  <c r="BU478"/>
  <c r="BV478" s="1"/>
  <c r="BW478" s="1"/>
  <c r="BX478" s="1"/>
  <c r="BY478" s="1"/>
  <c r="BZ478" s="1"/>
  <c r="CA478" s="1"/>
  <c r="CB478" s="1"/>
  <c r="CC478" s="1"/>
  <c r="CD478" s="1"/>
  <c r="BU479"/>
  <c r="BV479" s="1"/>
  <c r="BW479" s="1"/>
  <c r="BX479" s="1"/>
  <c r="BY479" s="1"/>
  <c r="BZ479" s="1"/>
  <c r="CA479" s="1"/>
  <c r="CB479" s="1"/>
  <c r="CC479" s="1"/>
  <c r="CD479" s="1"/>
  <c r="BU480"/>
  <c r="BV480" s="1"/>
  <c r="BW480" s="1"/>
  <c r="BX480" s="1"/>
  <c r="BY480" s="1"/>
  <c r="BZ480" s="1"/>
  <c r="CA480" s="1"/>
  <c r="CB480" s="1"/>
  <c r="CC480" s="1"/>
  <c r="CD480" s="1"/>
  <c r="BU481"/>
  <c r="BV481" s="1"/>
  <c r="BW481" s="1"/>
  <c r="BX481" s="1"/>
  <c r="BY481" s="1"/>
  <c r="BZ481" s="1"/>
  <c r="CA481" s="1"/>
  <c r="CB481" s="1"/>
  <c r="CC481" s="1"/>
  <c r="CD481" s="1"/>
  <c r="BU482"/>
  <c r="BV482" s="1"/>
  <c r="BW482" s="1"/>
  <c r="BX482" s="1"/>
  <c r="BY482" s="1"/>
  <c r="BZ482" s="1"/>
  <c r="CA482" s="1"/>
  <c r="CB482" s="1"/>
  <c r="CC482" s="1"/>
  <c r="CD482" s="1"/>
  <c r="BU483"/>
  <c r="BV483" s="1"/>
  <c r="BW483" s="1"/>
  <c r="BX483" s="1"/>
  <c r="BY483" s="1"/>
  <c r="BZ483" s="1"/>
  <c r="CA483" s="1"/>
  <c r="CB483" s="1"/>
  <c r="CC483" s="1"/>
  <c r="CD483" s="1"/>
  <c r="BU484"/>
  <c r="BV484" s="1"/>
  <c r="BW484" s="1"/>
  <c r="BX484" s="1"/>
  <c r="BY484" s="1"/>
  <c r="BZ484" s="1"/>
  <c r="CA484" s="1"/>
  <c r="CB484" s="1"/>
  <c r="CC484" s="1"/>
  <c r="CD484" s="1"/>
  <c r="BU485"/>
  <c r="BV485" s="1"/>
  <c r="BW485" s="1"/>
  <c r="BX485" s="1"/>
  <c r="BY485" s="1"/>
  <c r="BZ485" s="1"/>
  <c r="CA485" s="1"/>
  <c r="CB485" s="1"/>
  <c r="CC485" s="1"/>
  <c r="CD485" s="1"/>
  <c r="BU486"/>
  <c r="BV486" s="1"/>
  <c r="BW486" s="1"/>
  <c r="BX486" s="1"/>
  <c r="BY486" s="1"/>
  <c r="BZ486" s="1"/>
  <c r="CA486" s="1"/>
  <c r="CB486" s="1"/>
  <c r="CC486" s="1"/>
  <c r="CD486" s="1"/>
  <c r="BU487"/>
  <c r="BV487" s="1"/>
  <c r="BW487" s="1"/>
  <c r="BX487" s="1"/>
  <c r="BY487" s="1"/>
  <c r="BZ487" s="1"/>
  <c r="CA487" s="1"/>
  <c r="CB487" s="1"/>
  <c r="CC487" s="1"/>
  <c r="CD487" s="1"/>
  <c r="BU488"/>
  <c r="BV488" s="1"/>
  <c r="BW488" s="1"/>
  <c r="BX488" s="1"/>
  <c r="BY488" s="1"/>
  <c r="BZ488" s="1"/>
  <c r="CA488" s="1"/>
  <c r="CB488" s="1"/>
  <c r="CC488" s="1"/>
  <c r="CD488" s="1"/>
  <c r="BU489"/>
  <c r="BV489" s="1"/>
  <c r="BW489" s="1"/>
  <c r="BX489" s="1"/>
  <c r="BY489" s="1"/>
  <c r="BZ489" s="1"/>
  <c r="CA489" s="1"/>
  <c r="CB489" s="1"/>
  <c r="CC489" s="1"/>
  <c r="CD489" s="1"/>
  <c r="BU490"/>
  <c r="BV490" s="1"/>
  <c r="BW490" s="1"/>
  <c r="BX490" s="1"/>
  <c r="BY490" s="1"/>
  <c r="BZ490" s="1"/>
  <c r="CA490" s="1"/>
  <c r="CB490" s="1"/>
  <c r="CC490" s="1"/>
  <c r="CD490" s="1"/>
  <c r="BU491"/>
  <c r="BV491" s="1"/>
  <c r="BW491" s="1"/>
  <c r="BX491" s="1"/>
  <c r="BY491" s="1"/>
  <c r="BZ491" s="1"/>
  <c r="CA491" s="1"/>
  <c r="CB491" s="1"/>
  <c r="CC491" s="1"/>
  <c r="CD491" s="1"/>
  <c r="BU492"/>
  <c r="BV492" s="1"/>
  <c r="BW492" s="1"/>
  <c r="BX492" s="1"/>
  <c r="BY492" s="1"/>
  <c r="BZ492" s="1"/>
  <c r="CA492" s="1"/>
  <c r="CB492" s="1"/>
  <c r="CC492" s="1"/>
  <c r="CD492" s="1"/>
  <c r="BU493"/>
  <c r="BV493" s="1"/>
  <c r="BW493" s="1"/>
  <c r="BX493" s="1"/>
  <c r="BY493" s="1"/>
  <c r="BZ493" s="1"/>
  <c r="CA493" s="1"/>
  <c r="CB493" s="1"/>
  <c r="CC493" s="1"/>
  <c r="CD493" s="1"/>
  <c r="BU494"/>
  <c r="BV494" s="1"/>
  <c r="BW494" s="1"/>
  <c r="BX494" s="1"/>
  <c r="BY494" s="1"/>
  <c r="BZ494" s="1"/>
  <c r="CA494" s="1"/>
  <c r="CB494" s="1"/>
  <c r="CC494" s="1"/>
  <c r="CD494" s="1"/>
  <c r="BU495"/>
  <c r="BV495" s="1"/>
  <c r="BW495" s="1"/>
  <c r="BX495" s="1"/>
  <c r="BY495" s="1"/>
  <c r="BZ495" s="1"/>
  <c r="CA495" s="1"/>
  <c r="CB495" s="1"/>
  <c r="CC495" s="1"/>
  <c r="CD495" s="1"/>
  <c r="BU496"/>
  <c r="BV496" s="1"/>
  <c r="BW496" s="1"/>
  <c r="BX496" s="1"/>
  <c r="BY496" s="1"/>
  <c r="BZ496" s="1"/>
  <c r="CA496" s="1"/>
  <c r="CB496" s="1"/>
  <c r="CC496" s="1"/>
  <c r="CD496" s="1"/>
  <c r="BU497"/>
  <c r="BV497" s="1"/>
  <c r="BW497" s="1"/>
  <c r="BX497" s="1"/>
  <c r="BY497" s="1"/>
  <c r="BZ497" s="1"/>
  <c r="CA497" s="1"/>
  <c r="CB497" s="1"/>
  <c r="CC497" s="1"/>
  <c r="CD497" s="1"/>
  <c r="BU498"/>
  <c r="BV498" s="1"/>
  <c r="BW498" s="1"/>
  <c r="BX498" s="1"/>
  <c r="BY498" s="1"/>
  <c r="BZ498" s="1"/>
  <c r="CA498" s="1"/>
  <c r="CB498" s="1"/>
  <c r="CC498" s="1"/>
  <c r="CD498" s="1"/>
  <c r="BU499"/>
  <c r="BV499" s="1"/>
  <c r="BW499" s="1"/>
  <c r="BX499" s="1"/>
  <c r="BY499" s="1"/>
  <c r="BZ499" s="1"/>
  <c r="CA499" s="1"/>
  <c r="CB499" s="1"/>
  <c r="CC499" s="1"/>
  <c r="CD499" s="1"/>
  <c r="BU500"/>
  <c r="BV500" s="1"/>
  <c r="BW500" s="1"/>
  <c r="BX500" s="1"/>
  <c r="BY500" s="1"/>
  <c r="BZ500" s="1"/>
  <c r="CA500" s="1"/>
  <c r="CB500" s="1"/>
  <c r="CC500" s="1"/>
  <c r="CD500" s="1"/>
  <c r="BU501"/>
  <c r="BV501" s="1"/>
  <c r="BW501" s="1"/>
  <c r="BX501" s="1"/>
  <c r="BY501" s="1"/>
  <c r="BZ501" s="1"/>
  <c r="CA501" s="1"/>
  <c r="CB501" s="1"/>
  <c r="CC501" s="1"/>
  <c r="CD501" s="1"/>
  <c r="BU502"/>
  <c r="BV502" s="1"/>
  <c r="BW502" s="1"/>
  <c r="BX502" s="1"/>
  <c r="BY502" s="1"/>
  <c r="BZ502" s="1"/>
  <c r="CA502" s="1"/>
  <c r="CB502" s="1"/>
  <c r="CC502" s="1"/>
  <c r="CD502" s="1"/>
  <c r="BU503"/>
  <c r="BV503" s="1"/>
  <c r="BW503" s="1"/>
  <c r="BX503" s="1"/>
  <c r="BY503" s="1"/>
  <c r="BZ503" s="1"/>
  <c r="CA503" s="1"/>
  <c r="CB503" s="1"/>
  <c r="CC503" s="1"/>
  <c r="CD503" s="1"/>
  <c r="BU504"/>
  <c r="BV504" s="1"/>
  <c r="BW504" s="1"/>
  <c r="BX504" s="1"/>
  <c r="BY504" s="1"/>
  <c r="BZ504" s="1"/>
  <c r="CA504" s="1"/>
  <c r="CB504" s="1"/>
  <c r="CC504" s="1"/>
  <c r="CD504" s="1"/>
  <c r="BU505"/>
  <c r="BV505" s="1"/>
  <c r="BW505" s="1"/>
  <c r="BX505" s="1"/>
  <c r="BY505" s="1"/>
  <c r="BZ505" s="1"/>
  <c r="CA505" s="1"/>
  <c r="CB505" s="1"/>
  <c r="CC505" s="1"/>
  <c r="CD505" s="1"/>
  <c r="BU506"/>
  <c r="BV506" s="1"/>
  <c r="BW506" s="1"/>
  <c r="BX506" s="1"/>
  <c r="BY506" s="1"/>
  <c r="BZ506" s="1"/>
  <c r="CA506" s="1"/>
  <c r="CB506" s="1"/>
  <c r="CC506" s="1"/>
  <c r="CD506" s="1"/>
  <c r="BU507"/>
  <c r="BV507" s="1"/>
  <c r="BW507" s="1"/>
  <c r="BX507" s="1"/>
  <c r="BY507" s="1"/>
  <c r="BZ507" s="1"/>
  <c r="CA507" s="1"/>
  <c r="CB507" s="1"/>
  <c r="CC507" s="1"/>
  <c r="CD507" s="1"/>
  <c r="BU508"/>
  <c r="BV508" s="1"/>
  <c r="BW508" s="1"/>
  <c r="BX508" s="1"/>
  <c r="BY508" s="1"/>
  <c r="BZ508" s="1"/>
  <c r="CA508" s="1"/>
  <c r="CB508" s="1"/>
  <c r="CC508" s="1"/>
  <c r="CD508" s="1"/>
  <c r="BU509"/>
  <c r="BV509" s="1"/>
  <c r="BW509" s="1"/>
  <c r="BX509" s="1"/>
  <c r="BY509" s="1"/>
  <c r="BZ509" s="1"/>
  <c r="CA509" s="1"/>
  <c r="CB509" s="1"/>
  <c r="CC509" s="1"/>
  <c r="CD509" s="1"/>
  <c r="BU510"/>
  <c r="BV510" s="1"/>
  <c r="BW510" s="1"/>
  <c r="BX510" s="1"/>
  <c r="BY510" s="1"/>
  <c r="BZ510" s="1"/>
  <c r="CA510" s="1"/>
  <c r="CB510" s="1"/>
  <c r="CC510" s="1"/>
  <c r="CD510" s="1"/>
  <c r="BU511"/>
  <c r="BV511" s="1"/>
  <c r="BW511" s="1"/>
  <c r="BX511" s="1"/>
  <c r="BY511" s="1"/>
  <c r="BZ511" s="1"/>
  <c r="CA511" s="1"/>
  <c r="CB511" s="1"/>
  <c r="CC511" s="1"/>
  <c r="CD511" s="1"/>
  <c r="BU512"/>
  <c r="BV512" s="1"/>
  <c r="BW512" s="1"/>
  <c r="BX512" s="1"/>
  <c r="BY512" s="1"/>
  <c r="BZ512" s="1"/>
  <c r="CA512" s="1"/>
  <c r="CB512" s="1"/>
  <c r="CC512" s="1"/>
  <c r="CD512" s="1"/>
  <c r="BU513"/>
  <c r="BV513" s="1"/>
  <c r="BW513" s="1"/>
  <c r="BX513" s="1"/>
  <c r="BY513" s="1"/>
  <c r="BZ513" s="1"/>
  <c r="CA513" s="1"/>
  <c r="CB513" s="1"/>
  <c r="CC513" s="1"/>
  <c r="CD513" s="1"/>
  <c r="BU514"/>
  <c r="BV514" s="1"/>
  <c r="BW514" s="1"/>
  <c r="BX514" s="1"/>
  <c r="BY514" s="1"/>
  <c r="BZ514" s="1"/>
  <c r="CA514" s="1"/>
  <c r="CB514" s="1"/>
  <c r="CC514" s="1"/>
  <c r="CD514" s="1"/>
  <c r="BU515"/>
  <c r="BV515" s="1"/>
  <c r="BW515" s="1"/>
  <c r="BX515" s="1"/>
  <c r="BY515" s="1"/>
  <c r="BZ515" s="1"/>
  <c r="CA515" s="1"/>
  <c r="CB515" s="1"/>
  <c r="CC515" s="1"/>
  <c r="CD515" s="1"/>
  <c r="BU516"/>
  <c r="BV516" s="1"/>
  <c r="BW516" s="1"/>
  <c r="BX516" s="1"/>
  <c r="BY516" s="1"/>
  <c r="BZ516" s="1"/>
  <c r="CA516" s="1"/>
  <c r="CB516" s="1"/>
  <c r="CC516" s="1"/>
  <c r="CD516" s="1"/>
  <c r="BU517"/>
  <c r="BV517" s="1"/>
  <c r="BW517" s="1"/>
  <c r="BX517" s="1"/>
  <c r="BY517" s="1"/>
  <c r="BZ517" s="1"/>
  <c r="CA517" s="1"/>
  <c r="CB517" s="1"/>
  <c r="CC517" s="1"/>
  <c r="CD517" s="1"/>
  <c r="BU518"/>
  <c r="BV518" s="1"/>
  <c r="BW518" s="1"/>
  <c r="BX518" s="1"/>
  <c r="BY518" s="1"/>
  <c r="BZ518" s="1"/>
  <c r="CA518" s="1"/>
  <c r="CB518" s="1"/>
  <c r="CC518" s="1"/>
  <c r="CD518" s="1"/>
  <c r="BU519"/>
  <c r="BV519" s="1"/>
  <c r="BW519" s="1"/>
  <c r="BX519" s="1"/>
  <c r="BY519" s="1"/>
  <c r="BZ519" s="1"/>
  <c r="CA519" s="1"/>
  <c r="CB519" s="1"/>
  <c r="CC519" s="1"/>
  <c r="CD519" s="1"/>
  <c r="BU520"/>
  <c r="BV520" s="1"/>
  <c r="BW520" s="1"/>
  <c r="BX520" s="1"/>
  <c r="BY520" s="1"/>
  <c r="BZ520" s="1"/>
  <c r="CA520" s="1"/>
  <c r="CB520" s="1"/>
  <c r="CC520" s="1"/>
  <c r="CD520" s="1"/>
  <c r="BU521"/>
  <c r="BV521" s="1"/>
  <c r="BW521" s="1"/>
  <c r="BX521" s="1"/>
  <c r="BY521" s="1"/>
  <c r="BZ521" s="1"/>
  <c r="CA521" s="1"/>
  <c r="CB521" s="1"/>
  <c r="CC521" s="1"/>
  <c r="CD521" s="1"/>
  <c r="BU522"/>
  <c r="BV522" s="1"/>
  <c r="BW522" s="1"/>
  <c r="BX522" s="1"/>
  <c r="BY522" s="1"/>
  <c r="BZ522" s="1"/>
  <c r="CA522" s="1"/>
  <c r="CB522" s="1"/>
  <c r="CC522" s="1"/>
  <c r="CD522" s="1"/>
  <c r="BU523"/>
  <c r="BV523" s="1"/>
  <c r="BW523" s="1"/>
  <c r="BX523" s="1"/>
  <c r="BY523" s="1"/>
  <c r="BZ523" s="1"/>
  <c r="CA523" s="1"/>
  <c r="CB523" s="1"/>
  <c r="CC523" s="1"/>
  <c r="CD523" s="1"/>
  <c r="BU524"/>
  <c r="BV524" s="1"/>
  <c r="BW524" s="1"/>
  <c r="BX524" s="1"/>
  <c r="BY524" s="1"/>
  <c r="BZ524" s="1"/>
  <c r="CA524" s="1"/>
  <c r="CB524" s="1"/>
  <c r="CC524" s="1"/>
  <c r="CD524" s="1"/>
  <c r="BU525"/>
  <c r="BV525" s="1"/>
  <c r="BW525" s="1"/>
  <c r="BX525" s="1"/>
  <c r="BY525" s="1"/>
  <c r="BZ525" s="1"/>
  <c r="CA525" s="1"/>
  <c r="CB525" s="1"/>
  <c r="CC525" s="1"/>
  <c r="CD525" s="1"/>
  <c r="BU526"/>
  <c r="BV526" s="1"/>
  <c r="BW526" s="1"/>
  <c r="BX526" s="1"/>
  <c r="BY526" s="1"/>
  <c r="BZ526" s="1"/>
  <c r="CA526" s="1"/>
  <c r="CB526" s="1"/>
  <c r="CC526" s="1"/>
  <c r="CD526" s="1"/>
  <c r="BU527"/>
  <c r="BV527" s="1"/>
  <c r="BW527" s="1"/>
  <c r="BX527" s="1"/>
  <c r="BY527" s="1"/>
  <c r="BZ527" s="1"/>
  <c r="CA527" s="1"/>
  <c r="CB527" s="1"/>
  <c r="CC527" s="1"/>
  <c r="CD527" s="1"/>
  <c r="BU528"/>
  <c r="BV528" s="1"/>
  <c r="BW528" s="1"/>
  <c r="BX528" s="1"/>
  <c r="BY528" s="1"/>
  <c r="BZ528" s="1"/>
  <c r="CA528" s="1"/>
  <c r="CB528" s="1"/>
  <c r="CC528" s="1"/>
  <c r="CD528" s="1"/>
  <c r="BU529"/>
  <c r="BV529" s="1"/>
  <c r="BW529" s="1"/>
  <c r="BX529" s="1"/>
  <c r="BY529" s="1"/>
  <c r="BZ529" s="1"/>
  <c r="CA529" s="1"/>
  <c r="CB529" s="1"/>
  <c r="CC529" s="1"/>
  <c r="CD529" s="1"/>
  <c r="BU530"/>
  <c r="BV530" s="1"/>
  <c r="BW530" s="1"/>
  <c r="BX530" s="1"/>
  <c r="BY530" s="1"/>
  <c r="BZ530" s="1"/>
  <c r="CA530" s="1"/>
  <c r="CB530" s="1"/>
  <c r="CC530" s="1"/>
  <c r="CD530" s="1"/>
  <c r="BU531"/>
  <c r="BV531" s="1"/>
  <c r="BW531" s="1"/>
  <c r="BX531" s="1"/>
  <c r="BY531" s="1"/>
  <c r="BZ531" s="1"/>
  <c r="CA531" s="1"/>
  <c r="CB531" s="1"/>
  <c r="CC531" s="1"/>
  <c r="CD531" s="1"/>
  <c r="BU532"/>
  <c r="BV532" s="1"/>
  <c r="BW532" s="1"/>
  <c r="BX532" s="1"/>
  <c r="BY532" s="1"/>
  <c r="BZ532" s="1"/>
  <c r="CA532" s="1"/>
  <c r="CB532" s="1"/>
  <c r="CC532" s="1"/>
  <c r="CD532" s="1"/>
  <c r="BU533"/>
  <c r="BV533" s="1"/>
  <c r="BW533" s="1"/>
  <c r="BX533" s="1"/>
  <c r="BY533" s="1"/>
  <c r="BZ533" s="1"/>
  <c r="CA533" s="1"/>
  <c r="CB533" s="1"/>
  <c r="CC533" s="1"/>
  <c r="CD533" s="1"/>
  <c r="BU534"/>
  <c r="BV534" s="1"/>
  <c r="BW534" s="1"/>
  <c r="BX534" s="1"/>
  <c r="BY534" s="1"/>
  <c r="BZ534" s="1"/>
  <c r="CA534" s="1"/>
  <c r="CB534" s="1"/>
  <c r="CC534" s="1"/>
  <c r="CD534" s="1"/>
  <c r="BU535"/>
  <c r="BV535" s="1"/>
  <c r="BW535" s="1"/>
  <c r="BX535" s="1"/>
  <c r="BY535" s="1"/>
  <c r="BZ535" s="1"/>
  <c r="CA535" s="1"/>
  <c r="CB535" s="1"/>
  <c r="CC535" s="1"/>
  <c r="CD535" s="1"/>
  <c r="BU536"/>
  <c r="BV536" s="1"/>
  <c r="BW536" s="1"/>
  <c r="BX536" s="1"/>
  <c r="BY536" s="1"/>
  <c r="BZ536" s="1"/>
  <c r="CA536" s="1"/>
  <c r="CB536" s="1"/>
  <c r="CC536" s="1"/>
  <c r="CD536" s="1"/>
  <c r="BU537"/>
  <c r="BV537" s="1"/>
  <c r="BW537" s="1"/>
  <c r="BX537" s="1"/>
  <c r="BY537" s="1"/>
  <c r="BZ537" s="1"/>
  <c r="CA537" s="1"/>
  <c r="CB537" s="1"/>
  <c r="CC537" s="1"/>
  <c r="CD537" s="1"/>
  <c r="BU538"/>
  <c r="BV538" s="1"/>
  <c r="BW538" s="1"/>
  <c r="BX538" s="1"/>
  <c r="BY538" s="1"/>
  <c r="BZ538" s="1"/>
  <c r="CA538" s="1"/>
  <c r="CB538" s="1"/>
  <c r="CC538" s="1"/>
  <c r="CD538" s="1"/>
  <c r="BU539"/>
  <c r="BV539" s="1"/>
  <c r="BW539" s="1"/>
  <c r="BX539" s="1"/>
  <c r="BY539" s="1"/>
  <c r="BZ539" s="1"/>
  <c r="CA539" s="1"/>
  <c r="CB539" s="1"/>
  <c r="CC539" s="1"/>
  <c r="CD539" s="1"/>
  <c r="BU540"/>
  <c r="BV540" s="1"/>
  <c r="BW540" s="1"/>
  <c r="BX540" s="1"/>
  <c r="BY540" s="1"/>
  <c r="BZ540" s="1"/>
  <c r="CA540" s="1"/>
  <c r="CB540" s="1"/>
  <c r="CC540" s="1"/>
  <c r="CD540" s="1"/>
  <c r="BU541"/>
  <c r="BV541" s="1"/>
  <c r="BW541" s="1"/>
  <c r="BX541" s="1"/>
  <c r="BY541" s="1"/>
  <c r="BZ541" s="1"/>
  <c r="CA541" s="1"/>
  <c r="CB541" s="1"/>
  <c r="CC541" s="1"/>
  <c r="CD541" s="1"/>
  <c r="BU542"/>
  <c r="BV542" s="1"/>
  <c r="BW542" s="1"/>
  <c r="BX542" s="1"/>
  <c r="BY542" s="1"/>
  <c r="BZ542" s="1"/>
  <c r="CA542" s="1"/>
  <c r="CB542" s="1"/>
  <c r="CC542" s="1"/>
  <c r="CD542" s="1"/>
  <c r="BU543"/>
  <c r="BV543" s="1"/>
  <c r="BW543" s="1"/>
  <c r="BX543" s="1"/>
  <c r="BY543" s="1"/>
  <c r="BZ543" s="1"/>
  <c r="CA543" s="1"/>
  <c r="CB543" s="1"/>
  <c r="CC543" s="1"/>
  <c r="CD543" s="1"/>
  <c r="BU544"/>
  <c r="BV544" s="1"/>
  <c r="BW544" s="1"/>
  <c r="BX544" s="1"/>
  <c r="BY544" s="1"/>
  <c r="BZ544" s="1"/>
  <c r="CA544" s="1"/>
  <c r="CB544" s="1"/>
  <c r="CC544" s="1"/>
  <c r="CD544" s="1"/>
  <c r="BU546"/>
  <c r="BV546" s="1"/>
  <c r="BW546" s="1"/>
  <c r="BX546" s="1"/>
  <c r="BY546" s="1"/>
  <c r="BZ546" s="1"/>
  <c r="CA546" s="1"/>
  <c r="CB546" s="1"/>
  <c r="CC546" s="1"/>
  <c r="CD546" s="1"/>
  <c r="BU547"/>
  <c r="BV547" s="1"/>
  <c r="BW547" s="1"/>
  <c r="BX547" s="1"/>
  <c r="BY547" s="1"/>
  <c r="BZ547" s="1"/>
  <c r="CA547" s="1"/>
  <c r="CB547" s="1"/>
  <c r="CC547" s="1"/>
  <c r="CD547" s="1"/>
  <c r="BU548"/>
  <c r="BV548" s="1"/>
  <c r="BW548" s="1"/>
  <c r="BX548" s="1"/>
  <c r="BY548" s="1"/>
  <c r="BZ548" s="1"/>
  <c r="CA548" s="1"/>
  <c r="CB548" s="1"/>
  <c r="CC548" s="1"/>
  <c r="CD548" s="1"/>
  <c r="BU549"/>
  <c r="BV549" s="1"/>
  <c r="BW549" s="1"/>
  <c r="BX549" s="1"/>
  <c r="BY549" s="1"/>
  <c r="BZ549" s="1"/>
  <c r="CA549" s="1"/>
  <c r="CB549" s="1"/>
  <c r="CC549" s="1"/>
  <c r="CD549" s="1"/>
  <c r="BU550"/>
  <c r="BV550" s="1"/>
  <c r="BW550" s="1"/>
  <c r="BX550" s="1"/>
  <c r="BY550" s="1"/>
  <c r="BZ550" s="1"/>
  <c r="CA550" s="1"/>
  <c r="CB550" s="1"/>
  <c r="CC550" s="1"/>
  <c r="CD550" s="1"/>
  <c r="BU551"/>
  <c r="BV551" s="1"/>
  <c r="BW551" s="1"/>
  <c r="BX551" s="1"/>
  <c r="BY551" s="1"/>
  <c r="BZ551" s="1"/>
  <c r="CA551" s="1"/>
  <c r="CB551" s="1"/>
  <c r="CC551" s="1"/>
  <c r="CD551" s="1"/>
  <c r="BU552"/>
  <c r="BV552" s="1"/>
  <c r="BW552" s="1"/>
  <c r="BX552" s="1"/>
  <c r="BY552" s="1"/>
  <c r="BZ552" s="1"/>
  <c r="CA552" s="1"/>
  <c r="CB552" s="1"/>
  <c r="CC552" s="1"/>
  <c r="CD552" s="1"/>
  <c r="BU554"/>
  <c r="BV554" s="1"/>
  <c r="BW554" s="1"/>
  <c r="BX554" s="1"/>
  <c r="BY554" s="1"/>
  <c r="BZ554" s="1"/>
  <c r="CA554" s="1"/>
  <c r="CB554" s="1"/>
  <c r="CC554" s="1"/>
  <c r="CD554" s="1"/>
  <c r="BU555"/>
  <c r="BV555" s="1"/>
  <c r="BW555" s="1"/>
  <c r="BX555" s="1"/>
  <c r="BY555" s="1"/>
  <c r="BZ555" s="1"/>
  <c r="CA555" s="1"/>
  <c r="CB555" s="1"/>
  <c r="CC555" s="1"/>
  <c r="CD555" s="1"/>
  <c r="BU556"/>
  <c r="BV556" s="1"/>
  <c r="BW556" s="1"/>
  <c r="BX556" s="1"/>
  <c r="BY556" s="1"/>
  <c r="BZ556" s="1"/>
  <c r="CA556" s="1"/>
  <c r="CB556" s="1"/>
  <c r="CC556" s="1"/>
  <c r="CD556" s="1"/>
  <c r="BU557"/>
  <c r="BV557" s="1"/>
  <c r="BW557" s="1"/>
  <c r="BX557" s="1"/>
  <c r="BY557" s="1"/>
  <c r="BZ557" s="1"/>
  <c r="CA557" s="1"/>
  <c r="CB557" s="1"/>
  <c r="CC557" s="1"/>
  <c r="CD557" s="1"/>
  <c r="BU558"/>
  <c r="BV558" s="1"/>
  <c r="BW558" s="1"/>
  <c r="BX558" s="1"/>
  <c r="BY558" s="1"/>
  <c r="BZ558" s="1"/>
  <c r="CA558" s="1"/>
  <c r="CB558" s="1"/>
  <c r="CC558" s="1"/>
  <c r="CD558" s="1"/>
  <c r="BU559"/>
  <c r="BV559" s="1"/>
  <c r="BW559" s="1"/>
  <c r="BX559" s="1"/>
  <c r="BY559" s="1"/>
  <c r="BZ559" s="1"/>
  <c r="CA559" s="1"/>
  <c r="CB559" s="1"/>
  <c r="CC559" s="1"/>
  <c r="CD559" s="1"/>
  <c r="BU560"/>
  <c r="BV560" s="1"/>
  <c r="BW560" s="1"/>
  <c r="BX560" s="1"/>
  <c r="BY560" s="1"/>
  <c r="BZ560" s="1"/>
  <c r="CA560" s="1"/>
  <c r="CB560" s="1"/>
  <c r="CC560" s="1"/>
  <c r="CD560" s="1"/>
  <c r="BU561"/>
  <c r="BV561" s="1"/>
  <c r="BW561" s="1"/>
  <c r="BX561" s="1"/>
  <c r="BY561" s="1"/>
  <c r="BZ561" s="1"/>
  <c r="CA561" s="1"/>
  <c r="CB561" s="1"/>
  <c r="CC561" s="1"/>
  <c r="CD561" s="1"/>
  <c r="BU562"/>
  <c r="BV562" s="1"/>
  <c r="BW562" s="1"/>
  <c r="BX562" s="1"/>
  <c r="BY562" s="1"/>
  <c r="BZ562" s="1"/>
  <c r="CA562" s="1"/>
  <c r="CB562" s="1"/>
  <c r="CC562" s="1"/>
  <c r="CD562" s="1"/>
  <c r="BU563"/>
  <c r="BV563" s="1"/>
  <c r="BW563" s="1"/>
  <c r="BX563" s="1"/>
  <c r="BY563" s="1"/>
  <c r="BZ563" s="1"/>
  <c r="CA563" s="1"/>
  <c r="CB563" s="1"/>
  <c r="CC563" s="1"/>
  <c r="CD563" s="1"/>
  <c r="BU564"/>
  <c r="BV564" s="1"/>
  <c r="BW564" s="1"/>
  <c r="BX564" s="1"/>
  <c r="BY564" s="1"/>
  <c r="BZ564" s="1"/>
  <c r="CA564" s="1"/>
  <c r="CB564" s="1"/>
  <c r="CC564" s="1"/>
  <c r="CD564" s="1"/>
  <c r="BU565"/>
  <c r="BV565" s="1"/>
  <c r="BW565" s="1"/>
  <c r="BX565" s="1"/>
  <c r="BY565" s="1"/>
  <c r="BZ565" s="1"/>
  <c r="CA565" s="1"/>
  <c r="CB565" s="1"/>
  <c r="CC565" s="1"/>
  <c r="CD565" s="1"/>
  <c r="BU566"/>
  <c r="BV566" s="1"/>
  <c r="BW566" s="1"/>
  <c r="BX566" s="1"/>
  <c r="BY566" s="1"/>
  <c r="BZ566" s="1"/>
  <c r="CA566" s="1"/>
  <c r="CB566" s="1"/>
  <c r="CC566" s="1"/>
  <c r="CD566" s="1"/>
  <c r="BU567"/>
  <c r="BV567" s="1"/>
  <c r="BW567" s="1"/>
  <c r="BX567" s="1"/>
  <c r="BY567" s="1"/>
  <c r="BZ567" s="1"/>
  <c r="CA567" s="1"/>
  <c r="CB567" s="1"/>
  <c r="CC567" s="1"/>
  <c r="CD567" s="1"/>
  <c r="BU568"/>
  <c r="BV568" s="1"/>
  <c r="BW568" s="1"/>
  <c r="BX568" s="1"/>
  <c r="BY568" s="1"/>
  <c r="BZ568" s="1"/>
  <c r="CA568" s="1"/>
  <c r="CB568" s="1"/>
  <c r="CC568" s="1"/>
  <c r="CD568" s="1"/>
  <c r="BU569"/>
  <c r="BV569" s="1"/>
  <c r="BW569" s="1"/>
  <c r="BX569" s="1"/>
  <c r="BY569" s="1"/>
  <c r="BZ569" s="1"/>
  <c r="CA569" s="1"/>
  <c r="CB569" s="1"/>
  <c r="CC569" s="1"/>
  <c r="CD569" s="1"/>
  <c r="BU570"/>
  <c r="BV570" s="1"/>
  <c r="BW570" s="1"/>
  <c r="BX570" s="1"/>
  <c r="BY570" s="1"/>
  <c r="BZ570" s="1"/>
  <c r="CA570" s="1"/>
  <c r="CB570" s="1"/>
  <c r="CC570" s="1"/>
  <c r="CD570" s="1"/>
  <c r="BU571"/>
  <c r="BV571" s="1"/>
  <c r="BW571" s="1"/>
  <c r="BX571" s="1"/>
  <c r="BY571" s="1"/>
  <c r="BZ571" s="1"/>
  <c r="CA571" s="1"/>
  <c r="CB571" s="1"/>
  <c r="CC571" s="1"/>
  <c r="CD571" s="1"/>
  <c r="BU572"/>
  <c r="BV572" s="1"/>
  <c r="BW572" s="1"/>
  <c r="BX572" s="1"/>
  <c r="BY572" s="1"/>
  <c r="BZ572" s="1"/>
  <c r="CA572" s="1"/>
  <c r="CB572" s="1"/>
  <c r="CC572" s="1"/>
  <c r="CD572" s="1"/>
  <c r="BU573"/>
  <c r="BV573" s="1"/>
  <c r="BW573" s="1"/>
  <c r="BX573" s="1"/>
  <c r="BY573" s="1"/>
  <c r="BZ573" s="1"/>
  <c r="CA573" s="1"/>
  <c r="CB573" s="1"/>
  <c r="CC573" s="1"/>
  <c r="CD573" s="1"/>
  <c r="BU574"/>
  <c r="BV574" s="1"/>
  <c r="BW574" s="1"/>
  <c r="BX574" s="1"/>
  <c r="BY574" s="1"/>
  <c r="BZ574" s="1"/>
  <c r="CA574" s="1"/>
  <c r="CB574" s="1"/>
  <c r="CC574" s="1"/>
  <c r="CD574" s="1"/>
  <c r="BU575"/>
  <c r="BV575" s="1"/>
  <c r="BW575" s="1"/>
  <c r="BX575" s="1"/>
  <c r="BY575" s="1"/>
  <c r="BZ575" s="1"/>
  <c r="CA575" s="1"/>
  <c r="CB575" s="1"/>
  <c r="CC575" s="1"/>
  <c r="CD575" s="1"/>
  <c r="BU576"/>
  <c r="BV576" s="1"/>
  <c r="BW576" s="1"/>
  <c r="BX576" s="1"/>
  <c r="BY576" s="1"/>
  <c r="BZ576" s="1"/>
  <c r="CA576" s="1"/>
  <c r="CB576" s="1"/>
  <c r="CC576" s="1"/>
  <c r="CD576" s="1"/>
  <c r="BU577"/>
  <c r="BV577" s="1"/>
  <c r="BW577" s="1"/>
  <c r="BX577" s="1"/>
  <c r="BY577" s="1"/>
  <c r="BZ577" s="1"/>
  <c r="CA577" s="1"/>
  <c r="CB577" s="1"/>
  <c r="CC577" s="1"/>
  <c r="CD577" s="1"/>
  <c r="BU578"/>
  <c r="BV578" s="1"/>
  <c r="BW578" s="1"/>
  <c r="BX578" s="1"/>
  <c r="BY578" s="1"/>
  <c r="BZ578" s="1"/>
  <c r="CA578" s="1"/>
  <c r="CB578" s="1"/>
  <c r="CC578" s="1"/>
  <c r="CD578" s="1"/>
  <c r="BU579"/>
  <c r="BV579" s="1"/>
  <c r="BW579" s="1"/>
  <c r="BX579" s="1"/>
  <c r="BY579" s="1"/>
  <c r="BZ579" s="1"/>
  <c r="CA579" s="1"/>
  <c r="CB579" s="1"/>
  <c r="CC579" s="1"/>
  <c r="CD579" s="1"/>
  <c r="BU580"/>
  <c r="BV580" s="1"/>
  <c r="BW580" s="1"/>
  <c r="BX580" s="1"/>
  <c r="BY580" s="1"/>
  <c r="BZ580" s="1"/>
  <c r="CA580" s="1"/>
  <c r="CB580" s="1"/>
  <c r="CC580" s="1"/>
  <c r="CD580" s="1"/>
  <c r="BU581"/>
  <c r="BV581" s="1"/>
  <c r="BW581" s="1"/>
  <c r="BX581" s="1"/>
  <c r="BY581" s="1"/>
  <c r="BZ581" s="1"/>
  <c r="CA581" s="1"/>
  <c r="CB581" s="1"/>
  <c r="CC581" s="1"/>
  <c r="CD581" s="1"/>
  <c r="BU582"/>
  <c r="BV582" s="1"/>
  <c r="BW582" s="1"/>
  <c r="BX582" s="1"/>
  <c r="BY582" s="1"/>
  <c r="BZ582" s="1"/>
  <c r="CA582" s="1"/>
  <c r="CB582" s="1"/>
  <c r="CC582" s="1"/>
  <c r="CD582" s="1"/>
  <c r="BU583"/>
  <c r="BV583" s="1"/>
  <c r="BW583" s="1"/>
  <c r="BX583" s="1"/>
  <c r="BY583" s="1"/>
  <c r="BZ583" s="1"/>
  <c r="CA583" s="1"/>
  <c r="CB583" s="1"/>
  <c r="CC583" s="1"/>
  <c r="CD583" s="1"/>
  <c r="BU584"/>
  <c r="BV584" s="1"/>
  <c r="BW584" s="1"/>
  <c r="BX584" s="1"/>
  <c r="BY584" s="1"/>
  <c r="BZ584" s="1"/>
  <c r="CA584" s="1"/>
  <c r="CB584" s="1"/>
  <c r="CC584" s="1"/>
  <c r="CD584" s="1"/>
  <c r="BU585"/>
  <c r="BV585" s="1"/>
  <c r="BW585" s="1"/>
  <c r="BX585" s="1"/>
  <c r="BY585" s="1"/>
  <c r="BZ585" s="1"/>
  <c r="CA585" s="1"/>
  <c r="CB585" s="1"/>
  <c r="CC585" s="1"/>
  <c r="CD585" s="1"/>
  <c r="BU586"/>
  <c r="BV586" s="1"/>
  <c r="BW586" s="1"/>
  <c r="BX586" s="1"/>
  <c r="BY586" s="1"/>
  <c r="BZ586" s="1"/>
  <c r="CA586" s="1"/>
  <c r="CB586" s="1"/>
  <c r="CC586" s="1"/>
  <c r="CD586" s="1"/>
  <c r="BU587"/>
  <c r="BV587" s="1"/>
  <c r="BW587" s="1"/>
  <c r="BX587" s="1"/>
  <c r="BY587" s="1"/>
  <c r="BZ587" s="1"/>
  <c r="CA587" s="1"/>
  <c r="CB587" s="1"/>
  <c r="CC587" s="1"/>
  <c r="CD587" s="1"/>
  <c r="BU588"/>
  <c r="BV588" s="1"/>
  <c r="BW588" s="1"/>
  <c r="BX588" s="1"/>
  <c r="BY588" s="1"/>
  <c r="BZ588" s="1"/>
  <c r="CA588" s="1"/>
  <c r="CB588" s="1"/>
  <c r="CC588" s="1"/>
  <c r="CD588" s="1"/>
  <c r="BU589"/>
  <c r="BV589" s="1"/>
  <c r="BW589" s="1"/>
  <c r="BX589" s="1"/>
  <c r="BY589" s="1"/>
  <c r="BZ589" s="1"/>
  <c r="CA589" s="1"/>
  <c r="CB589" s="1"/>
  <c r="CC589" s="1"/>
  <c r="CD589" s="1"/>
  <c r="BU590"/>
  <c r="BV590" s="1"/>
  <c r="BW590" s="1"/>
  <c r="BX590" s="1"/>
  <c r="BY590" s="1"/>
  <c r="BZ590" s="1"/>
  <c r="CA590" s="1"/>
  <c r="CB590" s="1"/>
  <c r="CC590" s="1"/>
  <c r="CD590" s="1"/>
  <c r="BU591"/>
  <c r="BV591" s="1"/>
  <c r="BW591" s="1"/>
  <c r="BX591" s="1"/>
  <c r="BY591" s="1"/>
  <c r="BZ591" s="1"/>
  <c r="CA591" s="1"/>
  <c r="CB591" s="1"/>
  <c r="CC591" s="1"/>
  <c r="CD591" s="1"/>
  <c r="BU592"/>
  <c r="BV592" s="1"/>
  <c r="BW592" s="1"/>
  <c r="BX592" s="1"/>
  <c r="BY592" s="1"/>
  <c r="BZ592" s="1"/>
  <c r="CA592" s="1"/>
  <c r="CB592" s="1"/>
  <c r="CC592" s="1"/>
  <c r="CD592" s="1"/>
  <c r="BU593"/>
  <c r="BV593" s="1"/>
  <c r="BW593" s="1"/>
  <c r="BX593" s="1"/>
  <c r="BY593" s="1"/>
  <c r="BZ593" s="1"/>
  <c r="CA593" s="1"/>
  <c r="CB593" s="1"/>
  <c r="CC593" s="1"/>
  <c r="CD593" s="1"/>
  <c r="BU594"/>
  <c r="BV594" s="1"/>
  <c r="BW594" s="1"/>
  <c r="BX594" s="1"/>
  <c r="BY594" s="1"/>
  <c r="BZ594" s="1"/>
  <c r="CA594" s="1"/>
  <c r="CB594" s="1"/>
  <c r="CC594" s="1"/>
  <c r="CD594" s="1"/>
  <c r="BU595"/>
  <c r="BV595" s="1"/>
  <c r="BW595" s="1"/>
  <c r="BX595" s="1"/>
  <c r="BY595" s="1"/>
  <c r="BZ595" s="1"/>
  <c r="CA595" s="1"/>
  <c r="CB595" s="1"/>
  <c r="CC595" s="1"/>
  <c r="CD595" s="1"/>
  <c r="BU596"/>
  <c r="BV596" s="1"/>
  <c r="BW596" s="1"/>
  <c r="BX596" s="1"/>
  <c r="BY596" s="1"/>
  <c r="BZ596" s="1"/>
  <c r="CA596" s="1"/>
  <c r="CB596" s="1"/>
  <c r="CC596" s="1"/>
  <c r="CD596" s="1"/>
  <c r="BU597"/>
  <c r="BV597" s="1"/>
  <c r="BW597" s="1"/>
  <c r="BX597" s="1"/>
  <c r="BY597" s="1"/>
  <c r="BZ597" s="1"/>
  <c r="CA597" s="1"/>
  <c r="CB597" s="1"/>
  <c r="CC597" s="1"/>
  <c r="CD597" s="1"/>
  <c r="BU598"/>
  <c r="BV598" s="1"/>
  <c r="BW598" s="1"/>
  <c r="BX598" s="1"/>
  <c r="BY598" s="1"/>
  <c r="BZ598" s="1"/>
  <c r="CA598" s="1"/>
  <c r="CB598" s="1"/>
  <c r="CC598" s="1"/>
  <c r="CD598" s="1"/>
  <c r="BU599"/>
  <c r="BV599" s="1"/>
  <c r="BW599" s="1"/>
  <c r="BX599" s="1"/>
  <c r="BY599" s="1"/>
  <c r="BZ599" s="1"/>
  <c r="CA599" s="1"/>
  <c r="CB599" s="1"/>
  <c r="CC599" s="1"/>
  <c r="CD599" s="1"/>
  <c r="BU600"/>
  <c r="BV600" s="1"/>
  <c r="BW600" s="1"/>
  <c r="BX600" s="1"/>
  <c r="BY600" s="1"/>
  <c r="BZ600" s="1"/>
  <c r="CA600" s="1"/>
  <c r="CB600" s="1"/>
  <c r="CC600" s="1"/>
  <c r="CD600" s="1"/>
  <c r="BU601"/>
  <c r="BV601" s="1"/>
  <c r="BW601" s="1"/>
  <c r="BX601" s="1"/>
  <c r="BY601" s="1"/>
  <c r="BZ601" s="1"/>
  <c r="CA601" s="1"/>
  <c r="CB601" s="1"/>
  <c r="CC601" s="1"/>
  <c r="CD601" s="1"/>
  <c r="BU602"/>
  <c r="BV602" s="1"/>
  <c r="BW602" s="1"/>
  <c r="BX602" s="1"/>
  <c r="BY602" s="1"/>
  <c r="BZ602" s="1"/>
  <c r="CA602" s="1"/>
  <c r="CB602" s="1"/>
  <c r="CC602" s="1"/>
  <c r="CD602" s="1"/>
  <c r="BU603"/>
  <c r="BV603" s="1"/>
  <c r="BW603" s="1"/>
  <c r="BX603" s="1"/>
  <c r="BY603" s="1"/>
  <c r="BZ603" s="1"/>
  <c r="CA603" s="1"/>
  <c r="CB603" s="1"/>
  <c r="CC603" s="1"/>
  <c r="CD603" s="1"/>
  <c r="BU604"/>
  <c r="BV604" s="1"/>
  <c r="BW604" s="1"/>
  <c r="BX604" s="1"/>
  <c r="BY604" s="1"/>
  <c r="BZ604" s="1"/>
  <c r="CA604" s="1"/>
  <c r="CB604" s="1"/>
  <c r="CC604" s="1"/>
  <c r="CD604" s="1"/>
  <c r="BU605"/>
  <c r="BV605" s="1"/>
  <c r="BW605" s="1"/>
  <c r="BX605" s="1"/>
  <c r="BY605" s="1"/>
  <c r="BZ605" s="1"/>
  <c r="CA605" s="1"/>
  <c r="CB605" s="1"/>
  <c r="CC605" s="1"/>
  <c r="CD605" s="1"/>
  <c r="BU606"/>
  <c r="BV606" s="1"/>
  <c r="BW606" s="1"/>
  <c r="BX606" s="1"/>
  <c r="BY606" s="1"/>
  <c r="BZ606" s="1"/>
  <c r="CA606" s="1"/>
  <c r="CB606" s="1"/>
  <c r="CC606" s="1"/>
  <c r="CD606" s="1"/>
  <c r="BU607"/>
  <c r="BV607" s="1"/>
  <c r="BW607" s="1"/>
  <c r="BX607" s="1"/>
  <c r="BY607" s="1"/>
  <c r="BZ607" s="1"/>
  <c r="CA607" s="1"/>
  <c r="CB607" s="1"/>
  <c r="CC607" s="1"/>
  <c r="CD607" s="1"/>
  <c r="BU608"/>
  <c r="BV608" s="1"/>
  <c r="BW608" s="1"/>
  <c r="BX608" s="1"/>
  <c r="BY608" s="1"/>
  <c r="BZ608" s="1"/>
  <c r="CA608" s="1"/>
  <c r="CB608" s="1"/>
  <c r="CC608" s="1"/>
  <c r="CD608" s="1"/>
  <c r="BU609"/>
  <c r="BV609" s="1"/>
  <c r="BW609" s="1"/>
  <c r="BX609" s="1"/>
  <c r="BY609" s="1"/>
  <c r="BZ609" s="1"/>
  <c r="CA609" s="1"/>
  <c r="CB609" s="1"/>
  <c r="CC609" s="1"/>
  <c r="CD609" s="1"/>
  <c r="BU610"/>
  <c r="BV610" s="1"/>
  <c r="BW610" s="1"/>
  <c r="BX610" s="1"/>
  <c r="BY610" s="1"/>
  <c r="BZ610" s="1"/>
  <c r="CA610" s="1"/>
  <c r="CB610" s="1"/>
  <c r="CC610" s="1"/>
  <c r="CD610" s="1"/>
  <c r="BU611"/>
  <c r="BV611" s="1"/>
  <c r="BW611" s="1"/>
  <c r="BX611" s="1"/>
  <c r="BY611" s="1"/>
  <c r="BZ611" s="1"/>
  <c r="CA611" s="1"/>
  <c r="CB611" s="1"/>
  <c r="CC611" s="1"/>
  <c r="CD611" s="1"/>
  <c r="BU612"/>
  <c r="BV612" s="1"/>
  <c r="BW612" s="1"/>
  <c r="BX612" s="1"/>
  <c r="BY612" s="1"/>
  <c r="BZ612" s="1"/>
  <c r="CA612" s="1"/>
  <c r="CB612" s="1"/>
  <c r="CC612" s="1"/>
  <c r="CD612" s="1"/>
  <c r="BU613"/>
  <c r="BV613" s="1"/>
  <c r="BW613" s="1"/>
  <c r="BX613" s="1"/>
  <c r="BY613" s="1"/>
  <c r="BZ613" s="1"/>
  <c r="CA613" s="1"/>
  <c r="CB613" s="1"/>
  <c r="CC613" s="1"/>
  <c r="CD613" s="1"/>
  <c r="BU614"/>
  <c r="BV614" s="1"/>
  <c r="BW614" s="1"/>
  <c r="BX614" s="1"/>
  <c r="BY614" s="1"/>
  <c r="BZ614" s="1"/>
  <c r="CA614" s="1"/>
  <c r="CB614" s="1"/>
  <c r="CC614" s="1"/>
  <c r="CD614" s="1"/>
  <c r="BU615"/>
  <c r="BV615" s="1"/>
  <c r="BW615" s="1"/>
  <c r="BX615" s="1"/>
  <c r="BY615" s="1"/>
  <c r="BZ615" s="1"/>
  <c r="CA615" s="1"/>
  <c r="CB615" s="1"/>
  <c r="CC615" s="1"/>
  <c r="CD615" s="1"/>
  <c r="BU616"/>
  <c r="BV616" s="1"/>
  <c r="BW616" s="1"/>
  <c r="BX616" s="1"/>
  <c r="BY616" s="1"/>
  <c r="BZ616" s="1"/>
  <c r="CA616" s="1"/>
  <c r="CB616" s="1"/>
  <c r="CC616" s="1"/>
  <c r="CD616" s="1"/>
  <c r="BU617"/>
  <c r="BV617" s="1"/>
  <c r="BW617" s="1"/>
  <c r="BX617" s="1"/>
  <c r="BY617" s="1"/>
  <c r="BZ617" s="1"/>
  <c r="CA617" s="1"/>
  <c r="CB617" s="1"/>
  <c r="CC617" s="1"/>
  <c r="CD617" s="1"/>
  <c r="BU618"/>
  <c r="BV618" s="1"/>
  <c r="BW618" s="1"/>
  <c r="BX618" s="1"/>
  <c r="BY618" s="1"/>
  <c r="BZ618" s="1"/>
  <c r="CA618" s="1"/>
  <c r="CB618" s="1"/>
  <c r="CC618" s="1"/>
  <c r="CD618" s="1"/>
  <c r="BU619"/>
  <c r="BV619" s="1"/>
  <c r="BW619" s="1"/>
  <c r="BX619" s="1"/>
  <c r="BY619" s="1"/>
  <c r="BZ619" s="1"/>
  <c r="CA619" s="1"/>
  <c r="CB619" s="1"/>
  <c r="CC619" s="1"/>
  <c r="CD619" s="1"/>
  <c r="BU620"/>
  <c r="BV620" s="1"/>
  <c r="BW620" s="1"/>
  <c r="BX620" s="1"/>
  <c r="BY620" s="1"/>
  <c r="BZ620" s="1"/>
  <c r="CA620" s="1"/>
  <c r="CB620" s="1"/>
  <c r="CC620" s="1"/>
  <c r="CD620" s="1"/>
  <c r="BU621"/>
  <c r="BV621" s="1"/>
  <c r="BW621" s="1"/>
  <c r="BX621" s="1"/>
  <c r="BY621" s="1"/>
  <c r="BZ621" s="1"/>
  <c r="CA621" s="1"/>
  <c r="CB621" s="1"/>
  <c r="CC621" s="1"/>
  <c r="CD621" s="1"/>
  <c r="BU622"/>
  <c r="BV622" s="1"/>
  <c r="BW622" s="1"/>
  <c r="BX622" s="1"/>
  <c r="BY622" s="1"/>
  <c r="BZ622" s="1"/>
  <c r="CA622" s="1"/>
  <c r="CB622" s="1"/>
  <c r="CC622" s="1"/>
  <c r="CD622" s="1"/>
  <c r="BU623"/>
  <c r="BV623" s="1"/>
  <c r="BW623" s="1"/>
  <c r="BX623" s="1"/>
  <c r="BY623" s="1"/>
  <c r="BZ623" s="1"/>
  <c r="CA623" s="1"/>
  <c r="CB623" s="1"/>
  <c r="CC623" s="1"/>
  <c r="CD623" s="1"/>
  <c r="BU624"/>
  <c r="BV624" s="1"/>
  <c r="BW624" s="1"/>
  <c r="BX624" s="1"/>
  <c r="BY624" s="1"/>
  <c r="BZ624" s="1"/>
  <c r="CA624" s="1"/>
  <c r="CB624" s="1"/>
  <c r="CC624" s="1"/>
  <c r="CD624" s="1"/>
  <c r="BU625"/>
  <c r="BV625" s="1"/>
  <c r="BW625" s="1"/>
  <c r="BX625" s="1"/>
  <c r="BY625" s="1"/>
  <c r="BZ625" s="1"/>
  <c r="CA625" s="1"/>
  <c r="CB625" s="1"/>
  <c r="CC625" s="1"/>
  <c r="CD625" s="1"/>
  <c r="BU626"/>
  <c r="BV626" s="1"/>
  <c r="BW626" s="1"/>
  <c r="BX626" s="1"/>
  <c r="BY626" s="1"/>
  <c r="BZ626" s="1"/>
  <c r="CA626" s="1"/>
  <c r="CB626" s="1"/>
  <c r="CC626" s="1"/>
  <c r="CD626" s="1"/>
  <c r="BU627"/>
  <c r="BV627" s="1"/>
  <c r="BW627" s="1"/>
  <c r="BX627" s="1"/>
  <c r="BY627" s="1"/>
  <c r="BZ627" s="1"/>
  <c r="CA627" s="1"/>
  <c r="CB627" s="1"/>
  <c r="CC627" s="1"/>
  <c r="CD627" s="1"/>
  <c r="BU628"/>
  <c r="BV628" s="1"/>
  <c r="BW628" s="1"/>
  <c r="BX628" s="1"/>
  <c r="BY628" s="1"/>
  <c r="BZ628" s="1"/>
  <c r="CA628" s="1"/>
  <c r="CB628" s="1"/>
  <c r="CC628" s="1"/>
  <c r="CD628" s="1"/>
  <c r="BU629"/>
  <c r="BV629" s="1"/>
  <c r="BW629" s="1"/>
  <c r="BX629" s="1"/>
  <c r="BY629" s="1"/>
  <c r="BZ629" s="1"/>
  <c r="CA629" s="1"/>
  <c r="CB629" s="1"/>
  <c r="CC629" s="1"/>
  <c r="CD629" s="1"/>
  <c r="BU630"/>
  <c r="BV630" s="1"/>
  <c r="BW630" s="1"/>
  <c r="BX630" s="1"/>
  <c r="BY630" s="1"/>
  <c r="BZ630" s="1"/>
  <c r="CA630" s="1"/>
  <c r="CB630" s="1"/>
  <c r="CC630" s="1"/>
  <c r="CD630" s="1"/>
  <c r="BU631"/>
  <c r="BV631" s="1"/>
  <c r="BW631" s="1"/>
  <c r="BX631" s="1"/>
  <c r="BY631" s="1"/>
  <c r="BZ631" s="1"/>
  <c r="CA631" s="1"/>
  <c r="CB631" s="1"/>
  <c r="CC631" s="1"/>
  <c r="CD631" s="1"/>
  <c r="BU632"/>
  <c r="BV632" s="1"/>
  <c r="BW632" s="1"/>
  <c r="BX632" s="1"/>
  <c r="BY632" s="1"/>
  <c r="BZ632" s="1"/>
  <c r="CA632" s="1"/>
  <c r="CB632" s="1"/>
  <c r="CC632" s="1"/>
  <c r="CD632" s="1"/>
  <c r="BU633"/>
  <c r="BV633" s="1"/>
  <c r="BW633" s="1"/>
  <c r="BX633" s="1"/>
  <c r="BY633" s="1"/>
  <c r="BZ633" s="1"/>
  <c r="CA633" s="1"/>
  <c r="CB633" s="1"/>
  <c r="CC633" s="1"/>
  <c r="CD633" s="1"/>
  <c r="BU634"/>
  <c r="BV634" s="1"/>
  <c r="BW634" s="1"/>
  <c r="BX634" s="1"/>
  <c r="BY634" s="1"/>
  <c r="BZ634" s="1"/>
  <c r="CA634" s="1"/>
  <c r="CB634" s="1"/>
  <c r="CC634" s="1"/>
  <c r="CD634" s="1"/>
  <c r="BU635"/>
  <c r="BV635" s="1"/>
  <c r="BW635" s="1"/>
  <c r="BX635" s="1"/>
  <c r="BY635" s="1"/>
  <c r="BZ635" s="1"/>
  <c r="CA635" s="1"/>
  <c r="CB635" s="1"/>
  <c r="CC635" s="1"/>
  <c r="CD635" s="1"/>
  <c r="BU636"/>
  <c r="BV636" s="1"/>
  <c r="BW636" s="1"/>
  <c r="BX636" s="1"/>
  <c r="BY636" s="1"/>
  <c r="BZ636" s="1"/>
  <c r="CA636" s="1"/>
  <c r="CB636" s="1"/>
  <c r="CC636" s="1"/>
  <c r="CD636" s="1"/>
  <c r="BU637"/>
  <c r="BV637" s="1"/>
  <c r="BW637" s="1"/>
  <c r="BX637" s="1"/>
  <c r="BY637" s="1"/>
  <c r="BZ637" s="1"/>
  <c r="CA637" s="1"/>
  <c r="CB637" s="1"/>
  <c r="CC637" s="1"/>
  <c r="CD637" s="1"/>
  <c r="BU638"/>
  <c r="BV638" s="1"/>
  <c r="BW638" s="1"/>
  <c r="BX638" s="1"/>
  <c r="BY638" s="1"/>
  <c r="BZ638" s="1"/>
  <c r="CA638" s="1"/>
  <c r="CB638" s="1"/>
  <c r="CC638" s="1"/>
  <c r="CD638" s="1"/>
  <c r="BU639"/>
  <c r="BV639" s="1"/>
  <c r="BW639" s="1"/>
  <c r="BX639" s="1"/>
  <c r="BY639" s="1"/>
  <c r="BZ639" s="1"/>
  <c r="CA639" s="1"/>
  <c r="CB639" s="1"/>
  <c r="CC639" s="1"/>
  <c r="CD639" s="1"/>
  <c r="BU640"/>
  <c r="BV640" s="1"/>
  <c r="BW640" s="1"/>
  <c r="BX640" s="1"/>
  <c r="BY640" s="1"/>
  <c r="BZ640" s="1"/>
  <c r="CA640" s="1"/>
  <c r="CB640" s="1"/>
  <c r="CC640" s="1"/>
  <c r="CD640" s="1"/>
  <c r="BU641"/>
  <c r="BV641" s="1"/>
  <c r="BW641" s="1"/>
  <c r="BX641" s="1"/>
  <c r="BY641" s="1"/>
  <c r="BZ641" s="1"/>
  <c r="CA641" s="1"/>
  <c r="CB641" s="1"/>
  <c r="CC641" s="1"/>
  <c r="CD641" s="1"/>
  <c r="BU642"/>
  <c r="BV642" s="1"/>
  <c r="BW642" s="1"/>
  <c r="BX642" s="1"/>
  <c r="BY642" s="1"/>
  <c r="BZ642" s="1"/>
  <c r="CA642" s="1"/>
  <c r="CB642" s="1"/>
  <c r="CC642" s="1"/>
  <c r="CD642" s="1"/>
  <c r="BU643"/>
  <c r="BV643" s="1"/>
  <c r="BW643" s="1"/>
  <c r="BX643" s="1"/>
  <c r="BY643" s="1"/>
  <c r="BZ643" s="1"/>
  <c r="CA643" s="1"/>
  <c r="CB643" s="1"/>
  <c r="CC643" s="1"/>
  <c r="CD643" s="1"/>
  <c r="BU644"/>
  <c r="BV644" s="1"/>
  <c r="BW644" s="1"/>
  <c r="BX644" s="1"/>
  <c r="BY644" s="1"/>
  <c r="BZ644" s="1"/>
  <c r="CA644" s="1"/>
  <c r="CB644" s="1"/>
  <c r="CC644" s="1"/>
  <c r="CD644" s="1"/>
  <c r="BU645"/>
  <c r="BV645" s="1"/>
  <c r="BW645" s="1"/>
  <c r="BX645" s="1"/>
  <c r="BY645" s="1"/>
  <c r="BZ645" s="1"/>
  <c r="CA645" s="1"/>
  <c r="CB645" s="1"/>
  <c r="CC645" s="1"/>
  <c r="CD645" s="1"/>
  <c r="BU646"/>
  <c r="BV646" s="1"/>
  <c r="BW646" s="1"/>
  <c r="BX646" s="1"/>
  <c r="BY646" s="1"/>
  <c r="BZ646" s="1"/>
  <c r="CA646" s="1"/>
  <c r="CB646" s="1"/>
  <c r="CC646" s="1"/>
  <c r="CD646" s="1"/>
  <c r="BU647"/>
  <c r="BV647" s="1"/>
  <c r="BW647" s="1"/>
  <c r="BX647" s="1"/>
  <c r="BY647" s="1"/>
  <c r="BZ647" s="1"/>
  <c r="CA647" s="1"/>
  <c r="CB647" s="1"/>
  <c r="CC647" s="1"/>
  <c r="CD647" s="1"/>
  <c r="BU648"/>
  <c r="BV648" s="1"/>
  <c r="BW648" s="1"/>
  <c r="BX648" s="1"/>
  <c r="BY648" s="1"/>
  <c r="BZ648" s="1"/>
  <c r="CA648" s="1"/>
  <c r="CB648" s="1"/>
  <c r="CC648" s="1"/>
  <c r="CD648" s="1"/>
  <c r="BU649"/>
  <c r="BV649" s="1"/>
  <c r="BW649" s="1"/>
  <c r="BX649" s="1"/>
  <c r="BY649" s="1"/>
  <c r="BZ649" s="1"/>
  <c r="CA649" s="1"/>
  <c r="CB649" s="1"/>
  <c r="CC649" s="1"/>
  <c r="CD649" s="1"/>
  <c r="BU650"/>
  <c r="BV650" s="1"/>
  <c r="BW650" s="1"/>
  <c r="BX650" s="1"/>
  <c r="BY650" s="1"/>
  <c r="BZ650" s="1"/>
  <c r="CA650" s="1"/>
  <c r="CB650" s="1"/>
  <c r="CC650" s="1"/>
  <c r="CD650" s="1"/>
  <c r="BU651"/>
  <c r="BV651" s="1"/>
  <c r="BW651" s="1"/>
  <c r="BX651" s="1"/>
  <c r="BY651" s="1"/>
  <c r="BZ651" s="1"/>
  <c r="CA651" s="1"/>
  <c r="CB651" s="1"/>
  <c r="CC651" s="1"/>
  <c r="CD651" s="1"/>
  <c r="BU652"/>
  <c r="BV652" s="1"/>
  <c r="BW652" s="1"/>
  <c r="BX652" s="1"/>
  <c r="BY652" s="1"/>
  <c r="BZ652" s="1"/>
  <c r="CA652" s="1"/>
  <c r="CB652" s="1"/>
  <c r="CC652" s="1"/>
  <c r="CD652" s="1"/>
  <c r="BU653"/>
  <c r="BV653" s="1"/>
  <c r="BW653" s="1"/>
  <c r="BX653" s="1"/>
  <c r="BY653" s="1"/>
  <c r="BZ653" s="1"/>
  <c r="CA653" s="1"/>
  <c r="CB653" s="1"/>
  <c r="CC653" s="1"/>
  <c r="CD653" s="1"/>
  <c r="BU654"/>
  <c r="BV654" s="1"/>
  <c r="BW654" s="1"/>
  <c r="BX654" s="1"/>
  <c r="BY654" s="1"/>
  <c r="BZ654" s="1"/>
  <c r="CA654" s="1"/>
  <c r="CB654" s="1"/>
  <c r="CC654" s="1"/>
  <c r="CD654" s="1"/>
  <c r="BU655"/>
  <c r="BV655" s="1"/>
  <c r="BW655" s="1"/>
  <c r="BX655" s="1"/>
  <c r="BY655" s="1"/>
  <c r="BZ655" s="1"/>
  <c r="CA655" s="1"/>
  <c r="CB655" s="1"/>
  <c r="CC655" s="1"/>
  <c r="CD655" s="1"/>
  <c r="BU656"/>
  <c r="BV656" s="1"/>
  <c r="BW656" s="1"/>
  <c r="BX656" s="1"/>
  <c r="BY656" s="1"/>
  <c r="BZ656" s="1"/>
  <c r="CA656" s="1"/>
  <c r="CB656" s="1"/>
  <c r="CC656" s="1"/>
  <c r="CD656" s="1"/>
  <c r="BU657"/>
  <c r="BV657" s="1"/>
  <c r="BW657" s="1"/>
  <c r="BX657" s="1"/>
  <c r="BY657" s="1"/>
  <c r="BZ657" s="1"/>
  <c r="CA657" s="1"/>
  <c r="CB657" s="1"/>
  <c r="CC657" s="1"/>
  <c r="CD657" s="1"/>
  <c r="BU658"/>
  <c r="BV658" s="1"/>
  <c r="BW658" s="1"/>
  <c r="BX658" s="1"/>
  <c r="BY658" s="1"/>
  <c r="BZ658" s="1"/>
  <c r="CA658" s="1"/>
  <c r="CB658" s="1"/>
  <c r="CC658" s="1"/>
  <c r="CD658" s="1"/>
  <c r="BU659"/>
  <c r="BV659" s="1"/>
  <c r="BW659" s="1"/>
  <c r="BX659" s="1"/>
  <c r="BY659" s="1"/>
  <c r="BZ659" s="1"/>
  <c r="CA659" s="1"/>
  <c r="CB659" s="1"/>
  <c r="CC659" s="1"/>
  <c r="CD659" s="1"/>
  <c r="BU660"/>
  <c r="BV660" s="1"/>
  <c r="BW660" s="1"/>
  <c r="BX660" s="1"/>
  <c r="BY660" s="1"/>
  <c r="BZ660" s="1"/>
  <c r="CA660" s="1"/>
  <c r="CB660" s="1"/>
  <c r="CC660" s="1"/>
  <c r="CD660" s="1"/>
  <c r="BU661"/>
  <c r="BV661" s="1"/>
  <c r="BW661" s="1"/>
  <c r="BX661" s="1"/>
  <c r="BY661" s="1"/>
  <c r="BZ661" s="1"/>
  <c r="CA661" s="1"/>
  <c r="CB661" s="1"/>
  <c r="CC661" s="1"/>
  <c r="CD661" s="1"/>
  <c r="BU662"/>
  <c r="BV662" s="1"/>
  <c r="BW662" s="1"/>
  <c r="BX662" s="1"/>
  <c r="BY662" s="1"/>
  <c r="BZ662" s="1"/>
  <c r="CA662" s="1"/>
  <c r="CB662" s="1"/>
  <c r="CC662" s="1"/>
  <c r="CD662" s="1"/>
  <c r="BU663"/>
  <c r="BV663" s="1"/>
  <c r="BW663" s="1"/>
  <c r="BX663" s="1"/>
  <c r="BY663" s="1"/>
  <c r="BZ663" s="1"/>
  <c r="CA663" s="1"/>
  <c r="CB663" s="1"/>
  <c r="CC663" s="1"/>
  <c r="CD663" s="1"/>
  <c r="BU664"/>
  <c r="BV664" s="1"/>
  <c r="BW664" s="1"/>
  <c r="BX664" s="1"/>
  <c r="BY664" s="1"/>
  <c r="BZ664" s="1"/>
  <c r="CA664" s="1"/>
  <c r="CB664" s="1"/>
  <c r="CC664" s="1"/>
  <c r="CD664" s="1"/>
  <c r="BU665"/>
  <c r="BV665" s="1"/>
  <c r="BW665" s="1"/>
  <c r="BX665" s="1"/>
  <c r="BY665" s="1"/>
  <c r="BZ665" s="1"/>
  <c r="CA665" s="1"/>
  <c r="CB665" s="1"/>
  <c r="CC665" s="1"/>
  <c r="CD665" s="1"/>
  <c r="BU666"/>
  <c r="BV666" s="1"/>
  <c r="BW666"/>
  <c r="BX666" s="1"/>
  <c r="BY666" s="1"/>
  <c r="BZ666" s="1"/>
  <c r="CA666" s="1"/>
  <c r="CB666" s="1"/>
  <c r="CC666" s="1"/>
  <c r="CD666" s="1"/>
  <c r="BU667"/>
  <c r="BV667" s="1"/>
  <c r="BW667"/>
  <c r="BX667" s="1"/>
  <c r="BY667" s="1"/>
  <c r="BZ667" s="1"/>
  <c r="CA667" s="1"/>
  <c r="CB667" s="1"/>
  <c r="CC667" s="1"/>
  <c r="CD667" s="1"/>
  <c r="BU668"/>
  <c r="BV668" s="1"/>
  <c r="BW668" s="1"/>
  <c r="BX668"/>
  <c r="BY668" s="1"/>
  <c r="BZ668" s="1"/>
  <c r="CA668" s="1"/>
  <c r="CB668" s="1"/>
  <c r="CC668" s="1"/>
  <c r="CD668" s="1"/>
  <c r="BU669"/>
  <c r="BV669"/>
  <c r="BW669" s="1"/>
  <c r="BX669" s="1"/>
  <c r="BY669" s="1"/>
  <c r="BZ669" s="1"/>
  <c r="CA669" s="1"/>
  <c r="CB669" s="1"/>
  <c r="CC669" s="1"/>
  <c r="CD669" s="1"/>
  <c r="BU670"/>
  <c r="BV670" s="1"/>
  <c r="BW670"/>
  <c r="BX670" s="1"/>
  <c r="BY670" s="1"/>
  <c r="BZ670" s="1"/>
  <c r="CA670" s="1"/>
  <c r="CB670" s="1"/>
  <c r="CC670" s="1"/>
  <c r="CD670" s="1"/>
  <c r="BU671"/>
  <c r="BV671" s="1"/>
  <c r="BW671" s="1"/>
  <c r="BX671" s="1"/>
  <c r="BY671" s="1"/>
  <c r="BZ671" s="1"/>
  <c r="CA671" s="1"/>
  <c r="CB671" s="1"/>
  <c r="CC671" s="1"/>
  <c r="CD671" s="1"/>
  <c r="BU672"/>
  <c r="BV672" s="1"/>
  <c r="BW672" s="1"/>
  <c r="BX672" s="1"/>
  <c r="BY672" s="1"/>
  <c r="BZ672" s="1"/>
  <c r="CA672" s="1"/>
  <c r="CB672" s="1"/>
  <c r="CC672" s="1"/>
  <c r="CD672" s="1"/>
  <c r="BU673"/>
  <c r="BV673" s="1"/>
  <c r="BW673" s="1"/>
  <c r="BX673" s="1"/>
  <c r="BY673" s="1"/>
  <c r="BZ673" s="1"/>
  <c r="CA673" s="1"/>
  <c r="CB673" s="1"/>
  <c r="CC673" s="1"/>
  <c r="CD673" s="1"/>
  <c r="BU674"/>
  <c r="BV674" s="1"/>
  <c r="BW674"/>
  <c r="BX674" s="1"/>
  <c r="BY674" s="1"/>
  <c r="BZ674" s="1"/>
  <c r="CA674" s="1"/>
  <c r="CB674" s="1"/>
  <c r="CC674" s="1"/>
  <c r="CD674" s="1"/>
  <c r="BU675"/>
  <c r="BV675" s="1"/>
  <c r="BW675"/>
  <c r="BX675" s="1"/>
  <c r="BY675" s="1"/>
  <c r="BZ675" s="1"/>
  <c r="CA675" s="1"/>
  <c r="CB675" s="1"/>
  <c r="CC675" s="1"/>
  <c r="CD675" s="1"/>
  <c r="BU676"/>
  <c r="BV676" s="1"/>
  <c r="BW676" s="1"/>
  <c r="BX676"/>
  <c r="BY676" s="1"/>
  <c r="BZ676" s="1"/>
  <c r="CA676" s="1"/>
  <c r="CB676" s="1"/>
  <c r="CC676" s="1"/>
  <c r="CD676" s="1"/>
  <c r="BU677"/>
  <c r="BV677"/>
  <c r="BW677" s="1"/>
  <c r="BX677" s="1"/>
  <c r="BY677" s="1"/>
  <c r="BZ677" s="1"/>
  <c r="CA677" s="1"/>
  <c r="CB677" s="1"/>
  <c r="CC677" s="1"/>
  <c r="CD677" s="1"/>
  <c r="BU678"/>
  <c r="BV678" s="1"/>
  <c r="BW678"/>
  <c r="BX678" s="1"/>
  <c r="BY678" s="1"/>
  <c r="BZ678" s="1"/>
  <c r="CA678" s="1"/>
  <c r="CB678" s="1"/>
  <c r="CC678" s="1"/>
  <c r="CD678" s="1"/>
  <c r="BU679"/>
  <c r="BV679" s="1"/>
  <c r="BW679" s="1"/>
  <c r="BX679" s="1"/>
  <c r="BY679" s="1"/>
  <c r="BZ679" s="1"/>
  <c r="CA679" s="1"/>
  <c r="CB679" s="1"/>
  <c r="CC679" s="1"/>
  <c r="CD679" s="1"/>
  <c r="BU680"/>
  <c r="BV680" s="1"/>
  <c r="BW680" s="1"/>
  <c r="BX680" s="1"/>
  <c r="BY680" s="1"/>
  <c r="BZ680" s="1"/>
  <c r="CA680" s="1"/>
  <c r="CB680" s="1"/>
  <c r="CC680" s="1"/>
  <c r="CD680" s="1"/>
  <c r="BU681"/>
  <c r="BV681" s="1"/>
  <c r="BW681" s="1"/>
  <c r="BX681" s="1"/>
  <c r="BY681" s="1"/>
  <c r="BZ681" s="1"/>
  <c r="CA681" s="1"/>
  <c r="CB681" s="1"/>
  <c r="CC681" s="1"/>
  <c r="CD681" s="1"/>
  <c r="BU682"/>
  <c r="BV682" s="1"/>
  <c r="BW682"/>
  <c r="BX682" s="1"/>
  <c r="BY682" s="1"/>
  <c r="BZ682" s="1"/>
  <c r="CA682" s="1"/>
  <c r="CB682" s="1"/>
  <c r="CC682" s="1"/>
  <c r="CD682" s="1"/>
  <c r="BU683"/>
  <c r="BV683" s="1"/>
  <c r="BW683"/>
  <c r="BX683" s="1"/>
  <c r="BY683" s="1"/>
  <c r="BZ683" s="1"/>
  <c r="CA683" s="1"/>
  <c r="CB683" s="1"/>
  <c r="CC683" s="1"/>
  <c r="CD683" s="1"/>
  <c r="BU684"/>
  <c r="BV684" s="1"/>
  <c r="BW684" s="1"/>
  <c r="BX684"/>
  <c r="BY684" s="1"/>
  <c r="BZ684" s="1"/>
  <c r="CA684" s="1"/>
  <c r="CB684" s="1"/>
  <c r="CC684" s="1"/>
  <c r="CD684" s="1"/>
  <c r="BU685"/>
  <c r="BV685"/>
  <c r="BW685" s="1"/>
  <c r="BX685" s="1"/>
  <c r="BY685" s="1"/>
  <c r="BZ685" s="1"/>
  <c r="CA685" s="1"/>
  <c r="CB685" s="1"/>
  <c r="CC685" s="1"/>
  <c r="CD685" s="1"/>
  <c r="BU686"/>
  <c r="BV686" s="1"/>
  <c r="BW686"/>
  <c r="BX686" s="1"/>
  <c r="BY686" s="1"/>
  <c r="BZ686" s="1"/>
  <c r="CA686" s="1"/>
  <c r="CB686" s="1"/>
  <c r="CC686" s="1"/>
  <c r="CD686" s="1"/>
  <c r="BU687"/>
  <c r="BV687" s="1"/>
  <c r="BW687" s="1"/>
  <c r="BX687" s="1"/>
  <c r="BY687" s="1"/>
  <c r="BZ687" s="1"/>
  <c r="CA687" s="1"/>
  <c r="CB687" s="1"/>
  <c r="CC687" s="1"/>
  <c r="CD687" s="1"/>
  <c r="BU688"/>
  <c r="BV688" s="1"/>
  <c r="BW688" s="1"/>
  <c r="BX688" s="1"/>
  <c r="BY688" s="1"/>
  <c r="BZ688" s="1"/>
  <c r="CA688" s="1"/>
  <c r="CB688" s="1"/>
  <c r="CC688" s="1"/>
  <c r="CD688" s="1"/>
  <c r="BU689"/>
  <c r="BV689" s="1"/>
  <c r="BW689" s="1"/>
  <c r="BX689" s="1"/>
  <c r="BY689" s="1"/>
  <c r="BZ689" s="1"/>
  <c r="CA689" s="1"/>
  <c r="CB689" s="1"/>
  <c r="CC689" s="1"/>
  <c r="CD689" s="1"/>
  <c r="BU690"/>
  <c r="BV690" s="1"/>
  <c r="BW690"/>
  <c r="BX690" s="1"/>
  <c r="BY690" s="1"/>
  <c r="BZ690" s="1"/>
  <c r="CA690" s="1"/>
  <c r="CB690" s="1"/>
  <c r="CC690" s="1"/>
  <c r="CD690" s="1"/>
  <c r="BU691"/>
  <c r="BV691" s="1"/>
  <c r="BW691"/>
  <c r="BX691" s="1"/>
  <c r="BY691" s="1"/>
  <c r="BZ691" s="1"/>
  <c r="CA691" s="1"/>
  <c r="CB691" s="1"/>
  <c r="CC691" s="1"/>
  <c r="CD691" s="1"/>
  <c r="BU692"/>
  <c r="BV692" s="1"/>
  <c r="BW692" s="1"/>
  <c r="BX692"/>
  <c r="BY692" s="1"/>
  <c r="BZ692" s="1"/>
  <c r="CA692" s="1"/>
  <c r="CB692" s="1"/>
  <c r="CC692" s="1"/>
  <c r="CD692" s="1"/>
  <c r="BU693"/>
  <c r="BV693"/>
  <c r="BW693" s="1"/>
  <c r="BX693" s="1"/>
  <c r="BY693" s="1"/>
  <c r="BZ693" s="1"/>
  <c r="CA693" s="1"/>
  <c r="CB693" s="1"/>
  <c r="CC693" s="1"/>
  <c r="CD693" s="1"/>
  <c r="BU694"/>
  <c r="BV694" s="1"/>
  <c r="BW694"/>
  <c r="BX694" s="1"/>
  <c r="BY694" s="1"/>
  <c r="BZ694" s="1"/>
  <c r="CA694" s="1"/>
  <c r="CB694" s="1"/>
  <c r="CC694" s="1"/>
  <c r="CD694" s="1"/>
  <c r="BU695"/>
  <c r="BV695" s="1"/>
  <c r="BW695" s="1"/>
  <c r="BX695" s="1"/>
  <c r="BY695" s="1"/>
  <c r="BZ695" s="1"/>
  <c r="CA695" s="1"/>
  <c r="CB695" s="1"/>
  <c r="CC695" s="1"/>
  <c r="CD695" s="1"/>
  <c r="BU696"/>
  <c r="BV696" s="1"/>
  <c r="BW696" s="1"/>
  <c r="BX696" s="1"/>
  <c r="BY696" s="1"/>
  <c r="BZ696" s="1"/>
  <c r="CA696" s="1"/>
  <c r="CB696" s="1"/>
  <c r="CC696" s="1"/>
  <c r="CD696" s="1"/>
  <c r="BU697"/>
  <c r="BV697" s="1"/>
  <c r="BW697" s="1"/>
  <c r="BX697" s="1"/>
  <c r="BY697" s="1"/>
  <c r="BZ697" s="1"/>
  <c r="CA697" s="1"/>
  <c r="CB697" s="1"/>
  <c r="CC697" s="1"/>
  <c r="CD697" s="1"/>
  <c r="BU698"/>
  <c r="BV698" s="1"/>
  <c r="BW698"/>
  <c r="BX698" s="1"/>
  <c r="BY698" s="1"/>
  <c r="BZ698" s="1"/>
  <c r="CA698" s="1"/>
  <c r="CB698" s="1"/>
  <c r="CC698" s="1"/>
  <c r="CD698" s="1"/>
  <c r="BU699"/>
  <c r="BV699" s="1"/>
  <c r="BW699"/>
  <c r="BX699" s="1"/>
  <c r="BY699" s="1"/>
  <c r="BZ699" s="1"/>
  <c r="CA699" s="1"/>
  <c r="CB699" s="1"/>
  <c r="CC699" s="1"/>
  <c r="CD699" s="1"/>
  <c r="BU700"/>
  <c r="BV700" s="1"/>
  <c r="BW700" s="1"/>
  <c r="BX700"/>
  <c r="BY700" s="1"/>
  <c r="BZ700" s="1"/>
  <c r="CA700" s="1"/>
  <c r="CB700" s="1"/>
  <c r="CC700" s="1"/>
  <c r="CD700" s="1"/>
  <c r="BU701"/>
  <c r="BV701"/>
  <c r="BW701" s="1"/>
  <c r="BX701" s="1"/>
  <c r="BY701" s="1"/>
  <c r="BZ701" s="1"/>
  <c r="CA701" s="1"/>
  <c r="CB701" s="1"/>
  <c r="CC701" s="1"/>
  <c r="CD701" s="1"/>
  <c r="BU702"/>
  <c r="BV702" s="1"/>
  <c r="BW702"/>
  <c r="BX702" s="1"/>
  <c r="BY702" s="1"/>
  <c r="BZ702" s="1"/>
  <c r="CA702" s="1"/>
  <c r="CB702" s="1"/>
  <c r="CC702" s="1"/>
  <c r="CD702" s="1"/>
  <c r="BU703"/>
  <c r="BV703" s="1"/>
  <c r="BW703" s="1"/>
  <c r="BX703" s="1"/>
  <c r="BY703" s="1"/>
  <c r="BZ703" s="1"/>
  <c r="CA703" s="1"/>
  <c r="CB703" s="1"/>
  <c r="CC703" s="1"/>
  <c r="CD703" s="1"/>
  <c r="BU704"/>
  <c r="BV704" s="1"/>
  <c r="BW704" s="1"/>
  <c r="BX704" s="1"/>
  <c r="BY704" s="1"/>
  <c r="BZ704" s="1"/>
  <c r="CA704" s="1"/>
  <c r="CB704" s="1"/>
  <c r="CC704" s="1"/>
  <c r="CD704" s="1"/>
  <c r="BU705"/>
  <c r="BV705" s="1"/>
  <c r="BW705" s="1"/>
  <c r="BX705" s="1"/>
  <c r="BY705" s="1"/>
  <c r="BZ705" s="1"/>
  <c r="CA705" s="1"/>
  <c r="CB705" s="1"/>
  <c r="CC705" s="1"/>
  <c r="CD705" s="1"/>
  <c r="BU706"/>
  <c r="BV706" s="1"/>
  <c r="BW706"/>
  <c r="BX706" s="1"/>
  <c r="BY706" s="1"/>
  <c r="BZ706" s="1"/>
  <c r="CA706" s="1"/>
  <c r="CB706" s="1"/>
  <c r="CC706" s="1"/>
  <c r="CD706" s="1"/>
  <c r="BU707"/>
  <c r="BV707" s="1"/>
  <c r="BW707"/>
  <c r="BX707" s="1"/>
  <c r="BY707" s="1"/>
  <c r="BZ707" s="1"/>
  <c r="CA707" s="1"/>
  <c r="CB707" s="1"/>
  <c r="CC707" s="1"/>
  <c r="CD707" s="1"/>
  <c r="BU708"/>
  <c r="BV708" s="1"/>
  <c r="BW708" s="1"/>
  <c r="BX708"/>
  <c r="BY708" s="1"/>
  <c r="BZ708" s="1"/>
  <c r="CA708" s="1"/>
  <c r="CB708" s="1"/>
  <c r="CC708" s="1"/>
  <c r="CD708" s="1"/>
  <c r="BU709"/>
  <c r="BV709"/>
  <c r="BW709" s="1"/>
  <c r="BX709" s="1"/>
  <c r="BY709" s="1"/>
  <c r="BZ709" s="1"/>
  <c r="CA709" s="1"/>
  <c r="CB709" s="1"/>
  <c r="CC709" s="1"/>
  <c r="CD709" s="1"/>
  <c r="BU710"/>
  <c r="BV710" s="1"/>
  <c r="BW710"/>
  <c r="BX710" s="1"/>
  <c r="BY710" s="1"/>
  <c r="BZ710" s="1"/>
  <c r="CA710" s="1"/>
  <c r="CB710" s="1"/>
  <c r="CC710" s="1"/>
  <c r="CD710" s="1"/>
  <c r="BU711"/>
  <c r="BV711" s="1"/>
  <c r="BW711" s="1"/>
  <c r="BX711" s="1"/>
  <c r="BY711" s="1"/>
  <c r="BZ711" s="1"/>
  <c r="CA711" s="1"/>
  <c r="CB711" s="1"/>
  <c r="CC711" s="1"/>
  <c r="CD711" s="1"/>
  <c r="BU712"/>
  <c r="BV712" s="1"/>
  <c r="BW712" s="1"/>
  <c r="BX712" s="1"/>
  <c r="BY712" s="1"/>
  <c r="BZ712" s="1"/>
  <c r="CA712" s="1"/>
  <c r="CB712" s="1"/>
  <c r="CC712" s="1"/>
  <c r="CD712" s="1"/>
  <c r="BU713"/>
  <c r="BV713" s="1"/>
  <c r="BW713" s="1"/>
  <c r="BX713" s="1"/>
  <c r="BY713" s="1"/>
  <c r="BZ713" s="1"/>
  <c r="CA713" s="1"/>
  <c r="CB713" s="1"/>
  <c r="CC713" s="1"/>
  <c r="CD713" s="1"/>
  <c r="BU714"/>
  <c r="BV714" s="1"/>
  <c r="BW714"/>
  <c r="BX714" s="1"/>
  <c r="BY714" s="1"/>
  <c r="BZ714" s="1"/>
  <c r="CA714" s="1"/>
  <c r="CB714" s="1"/>
  <c r="CC714" s="1"/>
  <c r="CD714" s="1"/>
  <c r="BU715"/>
  <c r="BV715"/>
  <c r="BW715" s="1"/>
  <c r="BX715" s="1"/>
  <c r="BY715" s="1"/>
  <c r="BZ715" s="1"/>
  <c r="CA715" s="1"/>
  <c r="CB715" s="1"/>
  <c r="CC715" s="1"/>
  <c r="CD715" s="1"/>
  <c r="BU716"/>
  <c r="BV716" s="1"/>
  <c r="BW716" s="1"/>
  <c r="BX716" s="1"/>
  <c r="BY716" s="1"/>
  <c r="BZ716" s="1"/>
  <c r="CA716" s="1"/>
  <c r="CB716" s="1"/>
  <c r="CC716" s="1"/>
  <c r="CD716" s="1"/>
  <c r="BU717"/>
  <c r="BV717"/>
  <c r="BW717" s="1"/>
  <c r="BX717" s="1"/>
  <c r="BY717" s="1"/>
  <c r="BZ717" s="1"/>
  <c r="CA717" s="1"/>
  <c r="CB717" s="1"/>
  <c r="CC717" s="1"/>
  <c r="CD717" s="1"/>
  <c r="BU718"/>
  <c r="BV718" s="1"/>
  <c r="BW718" s="1"/>
  <c r="BX718" s="1"/>
  <c r="BY718" s="1"/>
  <c r="BZ718" s="1"/>
  <c r="CA718" s="1"/>
  <c r="CB718" s="1"/>
  <c r="CC718" s="1"/>
  <c r="CD718" s="1"/>
  <c r="BU719"/>
  <c r="BV719"/>
  <c r="BW719" s="1"/>
  <c r="BX719" s="1"/>
  <c r="BY719" s="1"/>
  <c r="BZ719" s="1"/>
  <c r="CA719" s="1"/>
  <c r="CB719" s="1"/>
  <c r="CC719" s="1"/>
  <c r="CD719" s="1"/>
  <c r="BU720"/>
  <c r="BV720" s="1"/>
  <c r="BW720" s="1"/>
  <c r="BX720" s="1"/>
  <c r="BY720" s="1"/>
  <c r="BZ720" s="1"/>
  <c r="CA720" s="1"/>
  <c r="CB720" s="1"/>
  <c r="CC720" s="1"/>
  <c r="CD720" s="1"/>
  <c r="BU721"/>
  <c r="BV721"/>
  <c r="BW721" s="1"/>
  <c r="BX721" s="1"/>
  <c r="BY721" s="1"/>
  <c r="BZ721" s="1"/>
  <c r="CA721" s="1"/>
  <c r="CB721" s="1"/>
  <c r="CC721" s="1"/>
  <c r="CD721" s="1"/>
  <c r="BU722"/>
  <c r="BV722" s="1"/>
  <c r="BW722" s="1"/>
  <c r="BX722" s="1"/>
  <c r="BY722" s="1"/>
  <c r="BZ722" s="1"/>
  <c r="CA722" s="1"/>
  <c r="CB722" s="1"/>
  <c r="CC722" s="1"/>
  <c r="CD722" s="1"/>
  <c r="BU723"/>
  <c r="BV723"/>
  <c r="BW723" s="1"/>
  <c r="BX723" s="1"/>
  <c r="BY723" s="1"/>
  <c r="BZ723" s="1"/>
  <c r="CA723" s="1"/>
  <c r="CB723" s="1"/>
  <c r="CC723" s="1"/>
  <c r="CD723" s="1"/>
  <c r="BU724"/>
  <c r="BV724" s="1"/>
  <c r="BW724" s="1"/>
  <c r="BX724" s="1"/>
  <c r="BY724" s="1"/>
  <c r="BZ724" s="1"/>
  <c r="CA724" s="1"/>
  <c r="CB724" s="1"/>
  <c r="CC724" s="1"/>
  <c r="CD724" s="1"/>
  <c r="BU725"/>
  <c r="BV725"/>
  <c r="BW725" s="1"/>
  <c r="BX725" s="1"/>
  <c r="BY725" s="1"/>
  <c r="BZ725" s="1"/>
  <c r="CA725" s="1"/>
  <c r="CB725" s="1"/>
  <c r="CC725" s="1"/>
  <c r="CD725" s="1"/>
  <c r="BU726"/>
  <c r="BV726" s="1"/>
  <c r="BW726" s="1"/>
  <c r="BX726" s="1"/>
  <c r="BY726" s="1"/>
  <c r="BZ726" s="1"/>
  <c r="CA726" s="1"/>
  <c r="CB726" s="1"/>
  <c r="CC726" s="1"/>
  <c r="CD726" s="1"/>
  <c r="BU727"/>
  <c r="BV727"/>
  <c r="BW727" s="1"/>
  <c r="BX727" s="1"/>
  <c r="BY727" s="1"/>
  <c r="BZ727" s="1"/>
  <c r="CA727" s="1"/>
  <c r="CB727" s="1"/>
  <c r="CC727" s="1"/>
  <c r="CD727" s="1"/>
  <c r="BU728"/>
  <c r="BV728"/>
  <c r="BW728" s="1"/>
  <c r="BX728" s="1"/>
  <c r="BY728" s="1"/>
  <c r="BZ728" s="1"/>
  <c r="CA728" s="1"/>
  <c r="CB728" s="1"/>
  <c r="CC728" s="1"/>
  <c r="CD728" s="1"/>
  <c r="BU729"/>
  <c r="BV729"/>
  <c r="BW729" s="1"/>
  <c r="BX729" s="1"/>
  <c r="BY729" s="1"/>
  <c r="BZ729" s="1"/>
  <c r="CA729" s="1"/>
  <c r="CB729" s="1"/>
  <c r="CC729" s="1"/>
  <c r="CD729" s="1"/>
  <c r="BU730"/>
  <c r="BV730"/>
  <c r="BW730" s="1"/>
  <c r="BX730" s="1"/>
  <c r="BY730" s="1"/>
  <c r="BZ730" s="1"/>
  <c r="CA730" s="1"/>
  <c r="CB730" s="1"/>
  <c r="CC730" s="1"/>
  <c r="CD730" s="1"/>
  <c r="BU731"/>
  <c r="BV731"/>
  <c r="BW731" s="1"/>
  <c r="BX731" s="1"/>
  <c r="BY731" s="1"/>
  <c r="BZ731" s="1"/>
  <c r="CA731" s="1"/>
  <c r="CB731" s="1"/>
  <c r="CC731" s="1"/>
  <c r="CD731" s="1"/>
  <c r="BU732"/>
  <c r="BV732"/>
  <c r="BW732" s="1"/>
  <c r="BX732" s="1"/>
  <c r="BY732" s="1"/>
  <c r="BZ732" s="1"/>
  <c r="CA732" s="1"/>
  <c r="CB732" s="1"/>
  <c r="CC732" s="1"/>
  <c r="CD732" s="1"/>
  <c r="BU733"/>
  <c r="BV733"/>
  <c r="BW733" s="1"/>
  <c r="BX733" s="1"/>
  <c r="BY733" s="1"/>
  <c r="BZ733" s="1"/>
  <c r="CA733" s="1"/>
  <c r="CB733" s="1"/>
  <c r="CC733" s="1"/>
  <c r="CD733" s="1"/>
  <c r="BU734"/>
  <c r="BV734"/>
  <c r="BW734" s="1"/>
  <c r="BX734" s="1"/>
  <c r="BY734" s="1"/>
  <c r="BZ734" s="1"/>
  <c r="CA734" s="1"/>
  <c r="CB734" s="1"/>
  <c r="CC734" s="1"/>
  <c r="CD734" s="1"/>
  <c r="BU735"/>
  <c r="BV735"/>
  <c r="BW735" s="1"/>
  <c r="BX735" s="1"/>
  <c r="BY735" s="1"/>
  <c r="BZ735" s="1"/>
  <c r="CA735" s="1"/>
  <c r="CB735" s="1"/>
  <c r="CC735" s="1"/>
  <c r="CD735" s="1"/>
  <c r="BU736"/>
  <c r="BV736"/>
  <c r="BW736" s="1"/>
  <c r="BX736" s="1"/>
  <c r="BY736" s="1"/>
  <c r="BZ736" s="1"/>
  <c r="CA736" s="1"/>
  <c r="CB736" s="1"/>
  <c r="CC736" s="1"/>
  <c r="CD736" s="1"/>
  <c r="BU737"/>
  <c r="BV737"/>
  <c r="BW737" s="1"/>
  <c r="BX737" s="1"/>
  <c r="BY737" s="1"/>
  <c r="BZ737" s="1"/>
  <c r="CA737" s="1"/>
  <c r="CB737" s="1"/>
  <c r="CC737" s="1"/>
  <c r="CD737" s="1"/>
  <c r="BU738"/>
  <c r="BV738"/>
  <c r="BW738" s="1"/>
  <c r="BX738" s="1"/>
  <c r="BY738" s="1"/>
  <c r="BZ738" s="1"/>
  <c r="CA738" s="1"/>
  <c r="CB738" s="1"/>
  <c r="CC738" s="1"/>
  <c r="CD738" s="1"/>
  <c r="BU739"/>
  <c r="BV739"/>
  <c r="BW739" s="1"/>
  <c r="BX739" s="1"/>
  <c r="BY739" s="1"/>
  <c r="BZ739" s="1"/>
  <c r="CA739" s="1"/>
  <c r="CB739" s="1"/>
  <c r="CC739" s="1"/>
  <c r="CD739" s="1"/>
  <c r="BU740"/>
  <c r="BV740"/>
  <c r="BW740" s="1"/>
  <c r="BX740" s="1"/>
  <c r="BY740" s="1"/>
  <c r="BZ740" s="1"/>
  <c r="CA740" s="1"/>
  <c r="CB740" s="1"/>
  <c r="CC740" s="1"/>
  <c r="CD740" s="1"/>
  <c r="BU741"/>
  <c r="BV741"/>
  <c r="BW741" s="1"/>
  <c r="BX741" s="1"/>
  <c r="BY741" s="1"/>
  <c r="BZ741" s="1"/>
  <c r="CA741" s="1"/>
  <c r="CB741" s="1"/>
  <c r="CC741" s="1"/>
  <c r="CD741" s="1"/>
  <c r="BU742"/>
  <c r="BV742"/>
  <c r="BW742" s="1"/>
  <c r="BX742" s="1"/>
  <c r="BY742" s="1"/>
  <c r="BZ742" s="1"/>
  <c r="CA742" s="1"/>
  <c r="CB742" s="1"/>
  <c r="CC742" s="1"/>
  <c r="CD742" s="1"/>
  <c r="BU743"/>
  <c r="BV743"/>
  <c r="BW743" s="1"/>
  <c r="BX743" s="1"/>
  <c r="BY743" s="1"/>
  <c r="BZ743" s="1"/>
  <c r="CA743" s="1"/>
  <c r="CB743" s="1"/>
  <c r="CC743" s="1"/>
  <c r="CD743" s="1"/>
  <c r="BU744"/>
  <c r="BV744"/>
  <c r="BW744" s="1"/>
  <c r="BX744" s="1"/>
  <c r="BY744" s="1"/>
  <c r="BZ744" s="1"/>
  <c r="CA744" s="1"/>
  <c r="CB744" s="1"/>
  <c r="CC744" s="1"/>
  <c r="CD744" s="1"/>
  <c r="BU745"/>
  <c r="BV745"/>
  <c r="BW745" s="1"/>
  <c r="BX745" s="1"/>
  <c r="BY745" s="1"/>
  <c r="BZ745" s="1"/>
  <c r="CA745" s="1"/>
  <c r="CB745" s="1"/>
  <c r="CC745" s="1"/>
  <c r="CD745" s="1"/>
  <c r="BU746"/>
  <c r="BV746"/>
  <c r="BW746" s="1"/>
  <c r="BX746" s="1"/>
  <c r="BY746" s="1"/>
  <c r="BZ746" s="1"/>
  <c r="CA746" s="1"/>
  <c r="CB746" s="1"/>
  <c r="CC746" s="1"/>
  <c r="CD746" s="1"/>
  <c r="BU747"/>
  <c r="BV747"/>
  <c r="BW747" s="1"/>
  <c r="BX747" s="1"/>
  <c r="BY747" s="1"/>
  <c r="BZ747" s="1"/>
  <c r="CA747" s="1"/>
  <c r="CB747" s="1"/>
  <c r="CC747" s="1"/>
  <c r="CD747" s="1"/>
  <c r="BU748"/>
  <c r="BV748"/>
  <c r="BW748" s="1"/>
  <c r="BX748" s="1"/>
  <c r="BY748" s="1"/>
  <c r="BZ748" s="1"/>
  <c r="CA748" s="1"/>
  <c r="CB748" s="1"/>
  <c r="CC748" s="1"/>
  <c r="CD748" s="1"/>
  <c r="BU749"/>
  <c r="BV749"/>
  <c r="BW749" s="1"/>
  <c r="BX749" s="1"/>
  <c r="BY749" s="1"/>
  <c r="BZ749" s="1"/>
  <c r="CA749" s="1"/>
  <c r="CB749" s="1"/>
  <c r="CC749" s="1"/>
  <c r="CD749" s="1"/>
  <c r="BU750"/>
  <c r="BV750"/>
  <c r="BW750" s="1"/>
  <c r="BX750" s="1"/>
  <c r="BY750" s="1"/>
  <c r="BZ750" s="1"/>
  <c r="CA750" s="1"/>
  <c r="CB750" s="1"/>
  <c r="CC750" s="1"/>
  <c r="CD750" s="1"/>
  <c r="BU751"/>
  <c r="BV751"/>
  <c r="BW751" s="1"/>
  <c r="BX751" s="1"/>
  <c r="BY751" s="1"/>
  <c r="BZ751" s="1"/>
  <c r="CA751" s="1"/>
  <c r="CB751" s="1"/>
  <c r="CC751" s="1"/>
  <c r="CD751" s="1"/>
  <c r="BU752"/>
  <c r="BV752"/>
  <c r="BW752" s="1"/>
  <c r="BX752" s="1"/>
  <c r="BY752" s="1"/>
  <c r="BZ752" s="1"/>
  <c r="CA752" s="1"/>
  <c r="CB752" s="1"/>
  <c r="CC752" s="1"/>
  <c r="CD752" s="1"/>
  <c r="BU753"/>
  <c r="BV753"/>
  <c r="BW753" s="1"/>
  <c r="BX753" s="1"/>
  <c r="BY753" s="1"/>
  <c r="BZ753" s="1"/>
  <c r="CA753" s="1"/>
  <c r="CB753" s="1"/>
  <c r="CC753" s="1"/>
  <c r="CD753" s="1"/>
  <c r="BU754"/>
  <c r="BV754"/>
  <c r="BW754" s="1"/>
  <c r="BX754" s="1"/>
  <c r="BY754" s="1"/>
  <c r="BZ754" s="1"/>
  <c r="CA754" s="1"/>
  <c r="CB754" s="1"/>
  <c r="CC754" s="1"/>
  <c r="CD754" s="1"/>
  <c r="BU755"/>
  <c r="BV755"/>
  <c r="BW755" s="1"/>
  <c r="BX755" s="1"/>
  <c r="BY755" s="1"/>
  <c r="BZ755" s="1"/>
  <c r="CA755" s="1"/>
  <c r="CB755" s="1"/>
  <c r="CC755" s="1"/>
  <c r="CD755" s="1"/>
  <c r="BU756"/>
  <c r="BV756"/>
  <c r="BW756" s="1"/>
  <c r="BX756" s="1"/>
  <c r="BY756" s="1"/>
  <c r="BZ756" s="1"/>
  <c r="CA756" s="1"/>
  <c r="CB756" s="1"/>
  <c r="CC756" s="1"/>
  <c r="CD756" s="1"/>
  <c r="BU757"/>
  <c r="BV757"/>
  <c r="BW757" s="1"/>
  <c r="BX757" s="1"/>
  <c r="BY757" s="1"/>
  <c r="BZ757" s="1"/>
  <c r="CA757" s="1"/>
  <c r="CB757" s="1"/>
  <c r="CC757" s="1"/>
  <c r="CD757" s="1"/>
  <c r="BU758"/>
  <c r="BV758"/>
  <c r="BW758" s="1"/>
  <c r="BX758" s="1"/>
  <c r="BY758" s="1"/>
  <c r="BZ758" s="1"/>
  <c r="CA758" s="1"/>
  <c r="CB758" s="1"/>
  <c r="CC758" s="1"/>
  <c r="CD758" s="1"/>
  <c r="BU759"/>
  <c r="BV759"/>
  <c r="BW759" s="1"/>
  <c r="BX759" s="1"/>
  <c r="BY759" s="1"/>
  <c r="BZ759" s="1"/>
  <c r="CA759" s="1"/>
  <c r="CB759" s="1"/>
  <c r="CC759" s="1"/>
  <c r="CD759" s="1"/>
  <c r="BU760"/>
  <c r="BV760"/>
  <c r="BW760" s="1"/>
  <c r="BX760" s="1"/>
  <c r="BY760" s="1"/>
  <c r="BZ760" s="1"/>
  <c r="CA760" s="1"/>
  <c r="CB760" s="1"/>
  <c r="CC760" s="1"/>
  <c r="CD760" s="1"/>
  <c r="BU761"/>
  <c r="BV761"/>
  <c r="BW761" s="1"/>
  <c r="BX761" s="1"/>
  <c r="BY761" s="1"/>
  <c r="BZ761" s="1"/>
  <c r="CA761" s="1"/>
  <c r="CB761" s="1"/>
  <c r="CC761" s="1"/>
  <c r="CD761" s="1"/>
  <c r="BU762"/>
  <c r="BV762"/>
  <c r="BW762" s="1"/>
  <c r="BX762" s="1"/>
  <c r="BY762" s="1"/>
  <c r="BZ762" s="1"/>
  <c r="CA762" s="1"/>
  <c r="CB762" s="1"/>
  <c r="CC762" s="1"/>
  <c r="CD762" s="1"/>
  <c r="BU763"/>
  <c r="BV763"/>
  <c r="BW763" s="1"/>
  <c r="BX763" s="1"/>
  <c r="BY763" s="1"/>
  <c r="BZ763" s="1"/>
  <c r="CA763" s="1"/>
  <c r="CB763" s="1"/>
  <c r="CC763" s="1"/>
  <c r="CD763" s="1"/>
  <c r="BU765"/>
  <c r="BV765"/>
  <c r="BW765" s="1"/>
  <c r="BX765" s="1"/>
  <c r="BY765" s="1"/>
  <c r="BZ765" s="1"/>
  <c r="CA765" s="1"/>
  <c r="CB765" s="1"/>
  <c r="CC765" s="1"/>
  <c r="CD765" s="1"/>
  <c r="BU766"/>
  <c r="BV766"/>
  <c r="BW766" s="1"/>
  <c r="BX766" s="1"/>
  <c r="BY766" s="1"/>
  <c r="BZ766" s="1"/>
  <c r="CA766" s="1"/>
  <c r="CB766" s="1"/>
  <c r="CC766" s="1"/>
  <c r="CD766" s="1"/>
  <c r="BU767"/>
  <c r="BV767"/>
  <c r="BW767" s="1"/>
  <c r="BX767" s="1"/>
  <c r="BY767" s="1"/>
  <c r="BZ767" s="1"/>
  <c r="CA767" s="1"/>
  <c r="CB767" s="1"/>
  <c r="CC767" s="1"/>
  <c r="CD767" s="1"/>
  <c r="BU768"/>
  <c r="BV768"/>
  <c r="BW768" s="1"/>
  <c r="BX768" s="1"/>
  <c r="BY768" s="1"/>
  <c r="BZ768" s="1"/>
  <c r="CA768" s="1"/>
  <c r="CB768" s="1"/>
  <c r="CC768" s="1"/>
  <c r="CD768" s="1"/>
  <c r="BU769"/>
  <c r="BV769"/>
  <c r="BW769" s="1"/>
  <c r="BX769" s="1"/>
  <c r="BY769" s="1"/>
  <c r="BZ769" s="1"/>
  <c r="CA769" s="1"/>
  <c r="CB769" s="1"/>
  <c r="CC769" s="1"/>
  <c r="CD769" s="1"/>
  <c r="BU770"/>
  <c r="BV770"/>
  <c r="BW770" s="1"/>
  <c r="BX770" s="1"/>
  <c r="BY770" s="1"/>
  <c r="BZ770" s="1"/>
  <c r="CA770" s="1"/>
  <c r="CB770" s="1"/>
  <c r="CC770" s="1"/>
  <c r="CD770" s="1"/>
  <c r="BU771"/>
  <c r="BV771"/>
  <c r="BW771" s="1"/>
  <c r="BX771" s="1"/>
  <c r="BY771" s="1"/>
  <c r="BZ771" s="1"/>
  <c r="CA771" s="1"/>
  <c r="CB771" s="1"/>
  <c r="CC771" s="1"/>
  <c r="CD771" s="1"/>
  <c r="BU772"/>
  <c r="BV772"/>
  <c r="BW772" s="1"/>
  <c r="BX772" s="1"/>
  <c r="BY772" s="1"/>
  <c r="BZ772" s="1"/>
  <c r="CA772" s="1"/>
  <c r="CB772" s="1"/>
  <c r="CC772" s="1"/>
  <c r="CD772" s="1"/>
  <c r="BU773"/>
  <c r="BV773"/>
  <c r="BW773" s="1"/>
  <c r="BX773" s="1"/>
  <c r="BY773" s="1"/>
  <c r="BZ773" s="1"/>
  <c r="CA773" s="1"/>
  <c r="CB773" s="1"/>
  <c r="CC773" s="1"/>
  <c r="CD773" s="1"/>
  <c r="BU774"/>
  <c r="BV774"/>
  <c r="BW774" s="1"/>
  <c r="BX774" s="1"/>
  <c r="BY774" s="1"/>
  <c r="BZ774" s="1"/>
  <c r="CA774" s="1"/>
  <c r="CB774" s="1"/>
  <c r="CC774" s="1"/>
  <c r="CD774" s="1"/>
  <c r="BU775"/>
  <c r="BV775"/>
  <c r="BW775" s="1"/>
  <c r="BX775" s="1"/>
  <c r="BY775" s="1"/>
  <c r="BZ775" s="1"/>
  <c r="CA775" s="1"/>
  <c r="CB775" s="1"/>
  <c r="CC775" s="1"/>
  <c r="CD775" s="1"/>
  <c r="BU776"/>
  <c r="BV776"/>
  <c r="BW776" s="1"/>
  <c r="BX776" s="1"/>
  <c r="BY776" s="1"/>
  <c r="BZ776" s="1"/>
  <c r="CA776" s="1"/>
  <c r="CB776" s="1"/>
  <c r="CC776" s="1"/>
  <c r="CD776" s="1"/>
  <c r="BU777"/>
  <c r="BV777"/>
  <c r="BW777" s="1"/>
  <c r="BX777" s="1"/>
  <c r="BY777" s="1"/>
  <c r="BZ777" s="1"/>
  <c r="CA777" s="1"/>
  <c r="CB777" s="1"/>
  <c r="CC777" s="1"/>
  <c r="CD777" s="1"/>
  <c r="BU778"/>
  <c r="BV778"/>
  <c r="BW778" s="1"/>
  <c r="BX778" s="1"/>
  <c r="BY778" s="1"/>
  <c r="BZ778" s="1"/>
  <c r="CA778" s="1"/>
  <c r="CB778" s="1"/>
  <c r="CC778" s="1"/>
  <c r="CD778" s="1"/>
  <c r="BU779"/>
  <c r="BV779"/>
  <c r="BW779" s="1"/>
  <c r="BX779" s="1"/>
  <c r="BY779" s="1"/>
  <c r="BZ779" s="1"/>
  <c r="CA779" s="1"/>
  <c r="CB779" s="1"/>
  <c r="CC779" s="1"/>
  <c r="CD779" s="1"/>
  <c r="BU780"/>
  <c r="BV780"/>
  <c r="BW780" s="1"/>
  <c r="BX780" s="1"/>
  <c r="BY780" s="1"/>
  <c r="BZ780" s="1"/>
  <c r="CA780" s="1"/>
  <c r="CB780" s="1"/>
  <c r="CC780" s="1"/>
  <c r="CD780" s="1"/>
  <c r="BU781"/>
  <c r="BV781"/>
  <c r="BW781" s="1"/>
  <c r="BX781" s="1"/>
  <c r="BY781" s="1"/>
  <c r="BZ781" s="1"/>
  <c r="CA781" s="1"/>
  <c r="CB781" s="1"/>
  <c r="CC781" s="1"/>
  <c r="CD781" s="1"/>
  <c r="BU782"/>
  <c r="BV782"/>
  <c r="BW782" s="1"/>
  <c r="BX782" s="1"/>
  <c r="BY782" s="1"/>
  <c r="BZ782" s="1"/>
  <c r="CA782" s="1"/>
  <c r="CB782" s="1"/>
  <c r="CC782" s="1"/>
  <c r="CD782" s="1"/>
  <c r="BU783"/>
  <c r="BV783"/>
  <c r="BW783" s="1"/>
  <c r="BX783" s="1"/>
  <c r="BY783" s="1"/>
  <c r="BZ783" s="1"/>
  <c r="CA783" s="1"/>
  <c r="CB783" s="1"/>
  <c r="CC783" s="1"/>
  <c r="CD783" s="1"/>
  <c r="BU784"/>
  <c r="BV784"/>
  <c r="BW784" s="1"/>
  <c r="BX784" s="1"/>
  <c r="BY784" s="1"/>
  <c r="BZ784" s="1"/>
  <c r="CA784" s="1"/>
  <c r="CB784" s="1"/>
  <c r="CC784" s="1"/>
  <c r="CD784" s="1"/>
  <c r="BU785"/>
  <c r="BV785"/>
  <c r="BW785" s="1"/>
  <c r="BX785" s="1"/>
  <c r="BY785" s="1"/>
  <c r="BZ785" s="1"/>
  <c r="CA785" s="1"/>
  <c r="CB785" s="1"/>
  <c r="CC785" s="1"/>
  <c r="CD785" s="1"/>
  <c r="BU786"/>
  <c r="BV786"/>
  <c r="BW786" s="1"/>
  <c r="BX786" s="1"/>
  <c r="BY786" s="1"/>
  <c r="BZ786" s="1"/>
  <c r="CA786" s="1"/>
  <c r="CB786" s="1"/>
  <c r="CC786" s="1"/>
  <c r="CD786" s="1"/>
  <c r="BU787"/>
  <c r="BV787"/>
  <c r="BW787" s="1"/>
  <c r="BX787" s="1"/>
  <c r="BY787" s="1"/>
  <c r="BZ787" s="1"/>
  <c r="CA787" s="1"/>
  <c r="CB787" s="1"/>
  <c r="CC787" s="1"/>
  <c r="CD787" s="1"/>
  <c r="BU788"/>
  <c r="BV788"/>
  <c r="BW788" s="1"/>
  <c r="BX788" s="1"/>
  <c r="BY788" s="1"/>
  <c r="BZ788" s="1"/>
  <c r="CA788" s="1"/>
  <c r="CB788" s="1"/>
  <c r="CC788" s="1"/>
  <c r="CD788" s="1"/>
  <c r="BU789"/>
  <c r="BV789"/>
  <c r="BW789" s="1"/>
  <c r="BX789" s="1"/>
  <c r="BY789" s="1"/>
  <c r="BZ789" s="1"/>
  <c r="CA789" s="1"/>
  <c r="CB789" s="1"/>
  <c r="CC789" s="1"/>
  <c r="CD789" s="1"/>
  <c r="BU790"/>
  <c r="BV790"/>
  <c r="BW790" s="1"/>
  <c r="BX790" s="1"/>
  <c r="BY790" s="1"/>
  <c r="BZ790" s="1"/>
  <c r="CA790" s="1"/>
  <c r="CB790" s="1"/>
  <c r="CC790" s="1"/>
  <c r="CD790" s="1"/>
  <c r="BU791"/>
  <c r="BV791"/>
  <c r="BW791" s="1"/>
  <c r="BX791" s="1"/>
  <c r="BY791" s="1"/>
  <c r="BZ791" s="1"/>
  <c r="CA791" s="1"/>
  <c r="CB791" s="1"/>
  <c r="CC791" s="1"/>
  <c r="CD791" s="1"/>
  <c r="BU792"/>
  <c r="BV792"/>
  <c r="BW792" s="1"/>
  <c r="BX792" s="1"/>
  <c r="BY792" s="1"/>
  <c r="BZ792" s="1"/>
  <c r="CA792" s="1"/>
  <c r="CB792" s="1"/>
  <c r="CC792" s="1"/>
  <c r="CD792" s="1"/>
  <c r="BU793"/>
  <c r="BV793"/>
  <c r="BW793" s="1"/>
  <c r="BX793" s="1"/>
  <c r="BY793" s="1"/>
  <c r="BZ793" s="1"/>
  <c r="CA793" s="1"/>
  <c r="CB793" s="1"/>
  <c r="CC793" s="1"/>
  <c r="CD793" s="1"/>
  <c r="BU794"/>
  <c r="BV794"/>
  <c r="BW794" s="1"/>
  <c r="BX794" s="1"/>
  <c r="BY794" s="1"/>
  <c r="BZ794" s="1"/>
  <c r="CA794" s="1"/>
  <c r="CB794" s="1"/>
  <c r="CC794" s="1"/>
  <c r="CD794" s="1"/>
  <c r="BU810"/>
  <c r="BV810"/>
  <c r="BW810" s="1"/>
  <c r="BX810" s="1"/>
  <c r="BY810" s="1"/>
  <c r="BZ810" s="1"/>
  <c r="CA810" s="1"/>
  <c r="CB810" s="1"/>
  <c r="CC810" s="1"/>
  <c r="CD810" s="1"/>
  <c r="BU811"/>
  <c r="BV811"/>
  <c r="BW811" s="1"/>
  <c r="BX811" s="1"/>
  <c r="BY811" s="1"/>
  <c r="BZ811" s="1"/>
  <c r="CA811" s="1"/>
  <c r="CB811" s="1"/>
  <c r="CC811" s="1"/>
  <c r="CD811" s="1"/>
  <c r="BU812"/>
  <c r="BV812"/>
  <c r="BW812" s="1"/>
  <c r="BX812" s="1"/>
  <c r="BY812" s="1"/>
  <c r="BZ812" s="1"/>
  <c r="CA812" s="1"/>
  <c r="CB812" s="1"/>
  <c r="CC812" s="1"/>
  <c r="CD812" s="1"/>
  <c r="BU813"/>
  <c r="BV813"/>
  <c r="BW813" s="1"/>
  <c r="BX813" s="1"/>
  <c r="BY813" s="1"/>
  <c r="BZ813" s="1"/>
  <c r="CA813" s="1"/>
  <c r="CB813" s="1"/>
  <c r="CC813" s="1"/>
  <c r="CD813" s="1"/>
  <c r="BU814"/>
  <c r="BV814"/>
  <c r="BW814" s="1"/>
  <c r="BX814" s="1"/>
  <c r="BY814" s="1"/>
  <c r="BZ814" s="1"/>
  <c r="CA814" s="1"/>
  <c r="CB814" s="1"/>
  <c r="CC814" s="1"/>
  <c r="CD814" s="1"/>
  <c r="BU815"/>
  <c r="BV815"/>
  <c r="BW815" s="1"/>
  <c r="BX815" s="1"/>
  <c r="BY815" s="1"/>
  <c r="BZ815" s="1"/>
  <c r="CA815" s="1"/>
  <c r="CB815" s="1"/>
  <c r="CC815" s="1"/>
  <c r="CD815" s="1"/>
  <c r="BU816"/>
  <c r="BV816"/>
  <c r="BW816" s="1"/>
  <c r="BX816" s="1"/>
  <c r="BY816" s="1"/>
  <c r="BZ816" s="1"/>
  <c r="CA816" s="1"/>
  <c r="CB816" s="1"/>
  <c r="CC816" s="1"/>
  <c r="CD816" s="1"/>
  <c r="BU817"/>
  <c r="BV817"/>
  <c r="BW817" s="1"/>
  <c r="BX817" s="1"/>
  <c r="BY817" s="1"/>
  <c r="BZ817" s="1"/>
  <c r="CA817" s="1"/>
  <c r="CB817" s="1"/>
  <c r="CC817" s="1"/>
  <c r="CD817" s="1"/>
  <c r="BU825"/>
  <c r="BV825"/>
  <c r="BW825" s="1"/>
  <c r="BX825" s="1"/>
  <c r="BY825" s="1"/>
  <c r="BZ825" s="1"/>
  <c r="CA825" s="1"/>
  <c r="CB825" s="1"/>
  <c r="CC825" s="1"/>
  <c r="CD825" s="1"/>
  <c r="BU826"/>
  <c r="BV826"/>
  <c r="BW826" s="1"/>
  <c r="BX826" s="1"/>
  <c r="BY826" s="1"/>
  <c r="BZ826" s="1"/>
  <c r="CA826" s="1"/>
  <c r="CB826" s="1"/>
  <c r="CC826" s="1"/>
  <c r="CD826" s="1"/>
  <c r="BU827"/>
  <c r="BV827"/>
  <c r="BW827" s="1"/>
  <c r="BX827" s="1"/>
  <c r="BY827" s="1"/>
  <c r="BZ827" s="1"/>
  <c r="CA827" s="1"/>
  <c r="CB827" s="1"/>
  <c r="CC827" s="1"/>
  <c r="CD827" s="1"/>
  <c r="BU828"/>
  <c r="BU829"/>
  <c r="BV829" s="1"/>
  <c r="BW829" s="1"/>
  <c r="BX829" s="1"/>
  <c r="BY829" s="1"/>
  <c r="BZ829" s="1"/>
  <c r="CA829" s="1"/>
  <c r="CB829" s="1"/>
  <c r="CC829" s="1"/>
  <c r="CD829" s="1"/>
  <c r="BU830"/>
  <c r="BV830"/>
  <c r="BW830" s="1"/>
  <c r="BX830" s="1"/>
  <c r="BY830" s="1"/>
  <c r="BZ830" s="1"/>
  <c r="CA830" s="1"/>
  <c r="CB830" s="1"/>
  <c r="CC830" s="1"/>
  <c r="CD830" s="1"/>
  <c r="BU832"/>
  <c r="BV832" s="1"/>
  <c r="BW832"/>
  <c r="BX832" s="1"/>
  <c r="BY832" s="1"/>
  <c r="BZ832" s="1"/>
  <c r="CA832" s="1"/>
  <c r="CB832" s="1"/>
  <c r="CC832" s="1"/>
  <c r="CD832" s="1"/>
  <c r="BU4"/>
  <c r="BV4" s="1"/>
  <c r="BW4" s="1"/>
  <c r="BX4" s="1"/>
  <c r="BY4" s="1"/>
  <c r="BZ4" s="1"/>
  <c r="CA4" s="1"/>
  <c r="CB4" s="1"/>
  <c r="CC4" s="1"/>
  <c r="CD4" s="1"/>
  <c r="AD6" i="14"/>
  <c r="AE6"/>
  <c r="AF6"/>
  <c r="AG6"/>
  <c r="AH6"/>
  <c r="AI6"/>
  <c r="AJ6"/>
  <c r="AK6"/>
  <c r="AL6"/>
  <c r="AJ18"/>
  <c r="AK18"/>
  <c r="AL18"/>
  <c r="AD19"/>
  <c r="AE19"/>
  <c r="AF19"/>
  <c r="AG19"/>
  <c r="AH19"/>
  <c r="AI19"/>
  <c r="AJ19"/>
  <c r="AK19"/>
  <c r="AL19"/>
  <c r="AD21"/>
  <c r="AE21"/>
  <c r="AF21"/>
  <c r="AG21"/>
  <c r="AH21"/>
  <c r="AI21"/>
  <c r="AJ21"/>
  <c r="AK21"/>
  <c r="AL21"/>
  <c r="AD22"/>
  <c r="AE22"/>
  <c r="AF22"/>
  <c r="AG22"/>
  <c r="AH22"/>
  <c r="AI22"/>
  <c r="AJ22"/>
  <c r="AK22"/>
  <c r="AL22"/>
  <c r="AD23"/>
  <c r="AE23"/>
  <c r="AF23"/>
  <c r="AG23"/>
  <c r="AH23"/>
  <c r="AI23"/>
  <c r="AJ23"/>
  <c r="AK23"/>
  <c r="AL23"/>
  <c r="AD24"/>
  <c r="AE24"/>
  <c r="AF24"/>
  <c r="AG24"/>
  <c r="AH24"/>
  <c r="AI24"/>
  <c r="AJ24"/>
  <c r="AK24"/>
  <c r="AL24"/>
  <c r="AD25"/>
  <c r="AE25"/>
  <c r="AF25"/>
  <c r="AG25"/>
  <c r="AH25"/>
  <c r="AI25"/>
  <c r="AJ25"/>
  <c r="AK25"/>
  <c r="AL25"/>
  <c r="AD26"/>
  <c r="AE26"/>
  <c r="AF26"/>
  <c r="AG26"/>
  <c r="AH26"/>
  <c r="AI26"/>
  <c r="AJ26"/>
  <c r="AK26"/>
  <c r="AL26"/>
  <c r="AD27"/>
  <c r="AE27"/>
  <c r="AF27"/>
  <c r="AG27"/>
  <c r="AH27"/>
  <c r="AI27"/>
  <c r="AJ27"/>
  <c r="AK27"/>
  <c r="AL27"/>
  <c r="AD28"/>
  <c r="AE28"/>
  <c r="AF28"/>
  <c r="AG28"/>
  <c r="AH28"/>
  <c r="AI28"/>
  <c r="AJ28"/>
  <c r="AK28"/>
  <c r="AL28"/>
  <c r="AD29"/>
  <c r="AE29"/>
  <c r="AF29"/>
  <c r="AG29"/>
  <c r="AH29"/>
  <c r="AI29"/>
  <c r="AJ29"/>
  <c r="AK29"/>
  <c r="AL29"/>
  <c r="AD44"/>
  <c r="AE44"/>
  <c r="AF44"/>
  <c r="AG44"/>
  <c r="AH44"/>
  <c r="AI44"/>
  <c r="AJ44"/>
  <c r="AK44"/>
  <c r="AL44"/>
  <c r="AD45"/>
  <c r="AE45"/>
  <c r="AF45"/>
  <c r="AG45"/>
  <c r="AH45"/>
  <c r="AI45"/>
  <c r="AJ45"/>
  <c r="AK45"/>
  <c r="AL45"/>
  <c r="AD46"/>
  <c r="AE46"/>
  <c r="AF46"/>
  <c r="AG46"/>
  <c r="AH46"/>
  <c r="AI46"/>
  <c r="AJ46"/>
  <c r="AK46"/>
  <c r="AL46"/>
  <c r="AD47"/>
  <c r="AE47"/>
  <c r="AF47"/>
  <c r="AG47"/>
  <c r="AH47"/>
  <c r="AI47"/>
  <c r="AJ47"/>
  <c r="AK47"/>
  <c r="AL47"/>
  <c r="AD48"/>
  <c r="AE48"/>
  <c r="AF48"/>
  <c r="AG48"/>
  <c r="AH48"/>
  <c r="AI48"/>
  <c r="AJ48"/>
  <c r="AK48"/>
  <c r="AL48"/>
  <c r="AD49"/>
  <c r="AE49"/>
  <c r="AF49"/>
  <c r="AG49"/>
  <c r="AH49"/>
  <c r="AI49"/>
  <c r="AJ49"/>
  <c r="AK49"/>
  <c r="AL49"/>
  <c r="AD50"/>
  <c r="AE50"/>
  <c r="AF50"/>
  <c r="AG50"/>
  <c r="AH50"/>
  <c r="AI50"/>
  <c r="AJ50"/>
  <c r="AK50"/>
  <c r="AL50"/>
  <c r="AD51"/>
  <c r="AE51"/>
  <c r="AF51"/>
  <c r="AG51"/>
  <c r="AH51"/>
  <c r="AI51"/>
  <c r="AJ51"/>
  <c r="AK51"/>
  <c r="AL51"/>
  <c r="AD53"/>
  <c r="AE53"/>
  <c r="AF53"/>
  <c r="AG53"/>
  <c r="AH53"/>
  <c r="AI53"/>
  <c r="AJ53"/>
  <c r="AK53"/>
  <c r="AL53"/>
  <c r="AD54"/>
  <c r="AE54"/>
  <c r="AF54"/>
  <c r="AG54"/>
  <c r="AH54"/>
  <c r="AI54"/>
  <c r="AJ54"/>
  <c r="AK54"/>
  <c r="AL54"/>
  <c r="AD66"/>
  <c r="AE66"/>
  <c r="AF66"/>
  <c r="AG66"/>
  <c r="AH66"/>
  <c r="AI66"/>
  <c r="AJ66"/>
  <c r="AK66"/>
  <c r="AL66"/>
  <c r="AD67"/>
  <c r="AE67"/>
  <c r="AF67"/>
  <c r="AG67"/>
  <c r="AH67"/>
  <c r="AI67"/>
  <c r="AJ67"/>
  <c r="AK67"/>
  <c r="AL67"/>
  <c r="AD68"/>
  <c r="AE68"/>
  <c r="AF68"/>
  <c r="AG68"/>
  <c r="AH68"/>
  <c r="AI68"/>
  <c r="AJ68"/>
  <c r="AK68"/>
  <c r="AD69"/>
  <c r="AE69"/>
  <c r="AF69"/>
  <c r="AG69"/>
  <c r="AH69"/>
  <c r="AI69"/>
  <c r="AJ69"/>
  <c r="AK69"/>
  <c r="AL69"/>
  <c r="AD70"/>
  <c r="AE70"/>
  <c r="AF70"/>
  <c r="AG70"/>
  <c r="AH70"/>
  <c r="AI70"/>
  <c r="AJ70"/>
  <c r="AK70"/>
  <c r="AL70"/>
  <c r="AD71"/>
  <c r="AE71"/>
  <c r="AF71"/>
  <c r="AG71"/>
  <c r="AH71"/>
  <c r="AI71"/>
  <c r="AJ71"/>
  <c r="AK71"/>
  <c r="AL71"/>
  <c r="AD73"/>
  <c r="AE73"/>
  <c r="AF73"/>
  <c r="AG73"/>
  <c r="AH73"/>
  <c r="AI73"/>
  <c r="AJ73"/>
  <c r="AK73"/>
  <c r="AL73"/>
  <c r="AD74"/>
  <c r="AE74"/>
  <c r="AF74"/>
  <c r="AG74"/>
  <c r="AH74"/>
  <c r="AI74"/>
  <c r="AJ74"/>
  <c r="AK74"/>
  <c r="AL74"/>
  <c r="AD77"/>
  <c r="AE77"/>
  <c r="AF77"/>
  <c r="AG77"/>
  <c r="AH77"/>
  <c r="AI77"/>
  <c r="AJ77"/>
  <c r="AK77"/>
  <c r="AL77"/>
  <c r="AD79"/>
  <c r="AE79"/>
  <c r="AF79"/>
  <c r="AG79"/>
  <c r="AH79"/>
  <c r="AI79"/>
  <c r="AJ79"/>
  <c r="AK79"/>
  <c r="AL79"/>
  <c r="AD80"/>
  <c r="AE80"/>
  <c r="AF80"/>
  <c r="AG80"/>
  <c r="AH80"/>
  <c r="AI80"/>
  <c r="AJ80"/>
  <c r="AK80"/>
  <c r="AL80"/>
  <c r="AD81"/>
  <c r="AE81"/>
  <c r="AF81"/>
  <c r="AG81"/>
  <c r="AH81"/>
  <c r="AI81"/>
  <c r="AJ81"/>
  <c r="AK81"/>
  <c r="AL81"/>
  <c r="V65"/>
  <c r="W65"/>
  <c r="BU71" i="23"/>
  <c r="BS999" i="19"/>
  <c r="BT999" s="1"/>
  <c r="BU999" s="1"/>
  <c r="BV999" s="1"/>
  <c r="BW999" s="1"/>
  <c r="BX999" s="1"/>
  <c r="BY999" s="1"/>
  <c r="BZ999" s="1"/>
  <c r="CA999" s="1"/>
  <c r="CB999" s="1"/>
  <c r="CC999" s="1"/>
  <c r="CD999" s="1"/>
  <c r="BS1000"/>
  <c r="BT1000" s="1"/>
  <c r="BU1000" s="1"/>
  <c r="BV1000" s="1"/>
  <c r="BW1000" s="1"/>
  <c r="BX1000" s="1"/>
  <c r="BY1000" s="1"/>
  <c r="BZ1000" s="1"/>
  <c r="CA1000" s="1"/>
  <c r="CB1000" s="1"/>
  <c r="CC1000" s="1"/>
  <c r="CD1000" s="1"/>
  <c r="BS1001"/>
  <c r="BT1001" s="1"/>
  <c r="BU1001" s="1"/>
  <c r="BV1001" s="1"/>
  <c r="BW1001" s="1"/>
  <c r="BX1001" s="1"/>
  <c r="BY1001" s="1"/>
  <c r="BZ1001" s="1"/>
  <c r="CA1001" s="1"/>
  <c r="CB1001" s="1"/>
  <c r="CC1001" s="1"/>
  <c r="CD1001" s="1"/>
  <c r="BS1002"/>
  <c r="BT1002" s="1"/>
  <c r="BU1002" s="1"/>
  <c r="BV1002" s="1"/>
  <c r="BW1002" s="1"/>
  <c r="BX1002" s="1"/>
  <c r="BY1002" s="1"/>
  <c r="BZ1002" s="1"/>
  <c r="CA1002" s="1"/>
  <c r="CB1002" s="1"/>
  <c r="CC1002" s="1"/>
  <c r="CD1002" s="1"/>
  <c r="BS1005"/>
  <c r="BT1005" s="1"/>
  <c r="BU1005" s="1"/>
  <c r="BV1005" s="1"/>
  <c r="BW1005" s="1"/>
  <c r="BX1005" s="1"/>
  <c r="BY1005" s="1"/>
  <c r="BZ1005" s="1"/>
  <c r="CA1005" s="1"/>
  <c r="CB1005" s="1"/>
  <c r="CC1005" s="1"/>
  <c r="CD1005" s="1"/>
  <c r="BS1006"/>
  <c r="BT1006" s="1"/>
  <c r="BU1006" s="1"/>
  <c r="BV1006" s="1"/>
  <c r="BW1006" s="1"/>
  <c r="BX1006" s="1"/>
  <c r="BY1006" s="1"/>
  <c r="BZ1006" s="1"/>
  <c r="CA1006" s="1"/>
  <c r="CB1006" s="1"/>
  <c r="CC1006" s="1"/>
  <c r="CD1006" s="1"/>
  <c r="BS1009"/>
  <c r="BT1009" s="1"/>
  <c r="BU1009" s="1"/>
  <c r="BV1009" s="1"/>
  <c r="BW1009" s="1"/>
  <c r="BX1009" s="1"/>
  <c r="BY1009" s="1"/>
  <c r="BZ1009" s="1"/>
  <c r="CA1009" s="1"/>
  <c r="CB1009" s="1"/>
  <c r="CC1009" s="1"/>
  <c r="CD1009" s="1"/>
  <c r="BS1010"/>
  <c r="BT1010" s="1"/>
  <c r="BU1010" s="1"/>
  <c r="BV1010" s="1"/>
  <c r="BW1010" s="1"/>
  <c r="BX1010" s="1"/>
  <c r="BY1010" s="1"/>
  <c r="BZ1010" s="1"/>
  <c r="CA1010" s="1"/>
  <c r="CB1010" s="1"/>
  <c r="CC1010" s="1"/>
  <c r="CD1010" s="1"/>
  <c r="BS1013"/>
  <c r="BT1013" s="1"/>
  <c r="BU1013" s="1"/>
  <c r="BV1013" s="1"/>
  <c r="BW1013" s="1"/>
  <c r="BX1013" s="1"/>
  <c r="BY1013" s="1"/>
  <c r="BZ1013" s="1"/>
  <c r="CA1013" s="1"/>
  <c r="CB1013" s="1"/>
  <c r="CC1013" s="1"/>
  <c r="CD1013" s="1"/>
  <c r="BS1014"/>
  <c r="BT1014" s="1"/>
  <c r="BU1014" s="1"/>
  <c r="BV1014" s="1"/>
  <c r="BW1014" s="1"/>
  <c r="BX1014" s="1"/>
  <c r="BY1014" s="1"/>
  <c r="BZ1014" s="1"/>
  <c r="CA1014" s="1"/>
  <c r="CB1014" s="1"/>
  <c r="CC1014" s="1"/>
  <c r="CD1014" s="1"/>
  <c r="BS1015"/>
  <c r="BT1015" s="1"/>
  <c r="BU1015" s="1"/>
  <c r="BV1015" s="1"/>
  <c r="BW1015" s="1"/>
  <c r="BX1015" s="1"/>
  <c r="BY1015" s="1"/>
  <c r="BZ1015" s="1"/>
  <c r="CA1015" s="1"/>
  <c r="CB1015" s="1"/>
  <c r="CC1015" s="1"/>
  <c r="CD1015" s="1"/>
  <c r="BS1016"/>
  <c r="BT1016" s="1"/>
  <c r="BU1016" s="1"/>
  <c r="BV1016" s="1"/>
  <c r="BW1016" s="1"/>
  <c r="BX1016" s="1"/>
  <c r="BY1016" s="1"/>
  <c r="BZ1016" s="1"/>
  <c r="CA1016" s="1"/>
  <c r="CB1016" s="1"/>
  <c r="CC1016" s="1"/>
  <c r="CD1016" s="1"/>
  <c r="BS998"/>
  <c r="BT998" s="1"/>
  <c r="BU998" s="1"/>
  <c r="BV998" s="1"/>
  <c r="BW998" s="1"/>
  <c r="BX998" s="1"/>
  <c r="BY998" s="1"/>
  <c r="BZ998" s="1"/>
  <c r="CA998" s="1"/>
  <c r="CB998" s="1"/>
  <c r="CC998" s="1"/>
  <c r="CD998" s="1"/>
  <c r="BO72"/>
  <c r="BP72" s="1"/>
  <c r="BQ72" s="1"/>
  <c r="BR72" s="1"/>
  <c r="BS72" s="1"/>
  <c r="BT72" s="1"/>
  <c r="BU72" s="1"/>
  <c r="BV72" s="1"/>
  <c r="BW72" s="1"/>
  <c r="BX72" s="1"/>
  <c r="BY72" s="1"/>
  <c r="BZ72" s="1"/>
  <c r="CA72" s="1"/>
  <c r="CB72" s="1"/>
  <c r="CC72" s="1"/>
  <c r="CD72" s="1"/>
  <c r="BN72"/>
  <c r="BU2" i="38"/>
  <c r="BV2" s="1"/>
  <c r="BW2" s="1"/>
  <c r="BX2" s="1"/>
  <c r="BY2" s="1"/>
  <c r="BZ2" s="1"/>
  <c r="CA2" s="1"/>
  <c r="CB2" s="1"/>
  <c r="CC2" s="1"/>
  <c r="BT1020" i="19"/>
  <c r="BU1020" s="1"/>
  <c r="BV1020" s="1"/>
  <c r="BW1020" s="1"/>
  <c r="BX1020" s="1"/>
  <c r="BY1020" s="1"/>
  <c r="BZ1020" s="1"/>
  <c r="CA1020" s="1"/>
  <c r="CB1020" s="1"/>
  <c r="CC1020" s="1"/>
  <c r="CD1020" s="1"/>
  <c r="BT1019"/>
  <c r="BU1019"/>
  <c r="BV1019" s="1"/>
  <c r="BW1019" s="1"/>
  <c r="BX1019" s="1"/>
  <c r="BY1019" s="1"/>
  <c r="BZ1019" s="1"/>
  <c r="CA1019" s="1"/>
  <c r="CB1019" s="1"/>
  <c r="CC1019" s="1"/>
  <c r="CD1019" s="1"/>
  <c r="A427" i="20"/>
  <c r="A462" s="1"/>
  <c r="A426"/>
  <c r="A425"/>
  <c r="A461"/>
  <c r="A405"/>
  <c r="A454" s="1"/>
  <c r="A414"/>
  <c r="A467" s="1"/>
  <c r="A413"/>
  <c r="A463"/>
  <c r="A409"/>
  <c r="A460"/>
  <c r="A399"/>
  <c r="A448"/>
  <c r="A398"/>
  <c r="A446"/>
  <c r="A465"/>
  <c r="A424"/>
  <c r="A423"/>
  <c r="A466"/>
  <c r="A404"/>
  <c r="A453"/>
  <c r="A403"/>
  <c r="A452" s="1"/>
  <c r="A402"/>
  <c r="A451" s="1"/>
  <c r="A401"/>
  <c r="A450" s="1"/>
  <c r="A400"/>
  <c r="A449" s="1"/>
  <c r="A391"/>
  <c r="A443" s="1"/>
  <c r="A390"/>
  <c r="A442" s="1"/>
  <c r="A389"/>
  <c r="A441" s="1"/>
  <c r="A388"/>
  <c r="A440" s="1"/>
  <c r="A247"/>
  <c r="A242"/>
  <c r="A238"/>
  <c r="A236"/>
  <c r="A464"/>
  <c r="A459"/>
  <c r="FO44" i="14"/>
  <c r="FN53"/>
  <c r="FM53"/>
  <c r="FQ33"/>
  <c r="FP33"/>
  <c r="FO33"/>
  <c r="FN33"/>
  <c r="A252" i="20"/>
  <c r="X44" i="14"/>
  <c r="FE19"/>
  <c r="FE22"/>
  <c r="FF19"/>
  <c r="FF22"/>
  <c r="FG19"/>
  <c r="FG22"/>
  <c r="FH19"/>
  <c r="FH22"/>
  <c r="FI19"/>
  <c r="FI22"/>
  <c r="FJ19"/>
  <c r="FJ22"/>
  <c r="FK19"/>
  <c r="FK22"/>
  <c r="FD19"/>
  <c r="FD22"/>
  <c r="FH44"/>
  <c r="FG44"/>
  <c r="FF44"/>
  <c r="FE44"/>
  <c r="FD44"/>
  <c r="FG73"/>
  <c r="FG70"/>
  <c r="FG69"/>
  <c r="FG67"/>
  <c r="FG65"/>
  <c r="FG54"/>
  <c r="FG53"/>
  <c r="FG51"/>
  <c r="FG49"/>
  <c r="FG48"/>
  <c r="B446" i="20"/>
  <c r="FD54" i="14"/>
  <c r="V79"/>
  <c r="W79"/>
  <c r="X79"/>
  <c r="Y79"/>
  <c r="Z79"/>
  <c r="AA79"/>
  <c r="AB79"/>
  <c r="AC79"/>
  <c r="AN79"/>
  <c r="V80"/>
  <c r="W80"/>
  <c r="X80"/>
  <c r="Y80"/>
  <c r="Z80"/>
  <c r="AA80"/>
  <c r="AB80"/>
  <c r="AC80"/>
  <c r="AN80"/>
  <c r="V81"/>
  <c r="W81"/>
  <c r="X81"/>
  <c r="Y81"/>
  <c r="Z81"/>
  <c r="AA81"/>
  <c r="AB81"/>
  <c r="AC81"/>
  <c r="AN81"/>
  <c r="BN1119" i="19"/>
  <c r="BN1120"/>
  <c r="BQ764"/>
  <c r="BR764" s="1"/>
  <c r="BN1078"/>
  <c r="BN1102"/>
  <c r="BN1101"/>
  <c r="BN1103"/>
  <c r="BN1115" s="1"/>
  <c r="BN1104"/>
  <c r="BN1164"/>
  <c r="BJ288"/>
  <c r="BJ334"/>
  <c r="BJ333"/>
  <c r="B462" i="20"/>
  <c r="BU285" i="19"/>
  <c r="BV285"/>
  <c r="BW285" s="1"/>
  <c r="BX285" s="1"/>
  <c r="BY285" s="1"/>
  <c r="BZ285" s="1"/>
  <c r="CA285" s="1"/>
  <c r="CB285" s="1"/>
  <c r="CC285" s="1"/>
  <c r="CD285" s="1"/>
  <c r="BR277"/>
  <c r="BS277"/>
  <c r="BT277" s="1"/>
  <c r="BU277" s="1"/>
  <c r="BV277" s="1"/>
  <c r="BW277" s="1"/>
  <c r="BX277" s="1"/>
  <c r="BY277" s="1"/>
  <c r="BZ277" s="1"/>
  <c r="CA277" s="1"/>
  <c r="CB277" s="1"/>
  <c r="CC277" s="1"/>
  <c r="CD277" s="1"/>
  <c r="FG20" i="14"/>
  <c r="FF20"/>
  <c r="FE20"/>
  <c r="FD20"/>
  <c r="CH6" i="20"/>
  <c r="CH438" s="1"/>
  <c r="CH17"/>
  <c r="CH18"/>
  <c r="CH19"/>
  <c r="CH21"/>
  <c r="CH22"/>
  <c r="CH38"/>
  <c r="CH39"/>
  <c r="CH40"/>
  <c r="CH42"/>
  <c r="CH43"/>
  <c r="CH54"/>
  <c r="CI54"/>
  <c r="CH55"/>
  <c r="CI55"/>
  <c r="CH57"/>
  <c r="CI57"/>
  <c r="CH60"/>
  <c r="CH61"/>
  <c r="CH62"/>
  <c r="CH64"/>
  <c r="CI64"/>
  <c r="CH65"/>
  <c r="CI65"/>
  <c r="CH76"/>
  <c r="CI76"/>
  <c r="CH84"/>
  <c r="CI84"/>
  <c r="CH85"/>
  <c r="CI85"/>
  <c r="CH86"/>
  <c r="CI86"/>
  <c r="CH88"/>
  <c r="CI88"/>
  <c r="CH89"/>
  <c r="CI89"/>
  <c r="CH100"/>
  <c r="CI100"/>
  <c r="CH106"/>
  <c r="CI106"/>
  <c r="CH107"/>
  <c r="CI107"/>
  <c r="CH108"/>
  <c r="CI108"/>
  <c r="CH110"/>
  <c r="CI110"/>
  <c r="CH111"/>
  <c r="CI111"/>
  <c r="CH122"/>
  <c r="CI122"/>
  <c r="CH128"/>
  <c r="CI128"/>
  <c r="CH129"/>
  <c r="CI129"/>
  <c r="CH130"/>
  <c r="CI130"/>
  <c r="CH132"/>
  <c r="CI132"/>
  <c r="CH133"/>
  <c r="CI133"/>
  <c r="CH144"/>
  <c r="CI144"/>
  <c r="CH160"/>
  <c r="CI160"/>
  <c r="CH167"/>
  <c r="CI167"/>
  <c r="CH175"/>
  <c r="CI175"/>
  <c r="CH179"/>
  <c r="CI179"/>
  <c r="CH180"/>
  <c r="CI180"/>
  <c r="CH185"/>
  <c r="CI185"/>
  <c r="CH192"/>
  <c r="CI192"/>
  <c r="CH197"/>
  <c r="CI197"/>
  <c r="CH203"/>
  <c r="CI203"/>
  <c r="CH209"/>
  <c r="CI209"/>
  <c r="CH210"/>
  <c r="CI210"/>
  <c r="CH213"/>
  <c r="CI213"/>
  <c r="CH214"/>
  <c r="CH222"/>
  <c r="CH239"/>
  <c r="CI248"/>
  <c r="CH251"/>
  <c r="CI251"/>
  <c r="CH253"/>
  <c r="CI253"/>
  <c r="CH254"/>
  <c r="CI254"/>
  <c r="CH263"/>
  <c r="CI263"/>
  <c r="CH268"/>
  <c r="CI268"/>
  <c r="CH272"/>
  <c r="CI272"/>
  <c r="CH275"/>
  <c r="CI275"/>
  <c r="CH282"/>
  <c r="CI282"/>
  <c r="CH283"/>
  <c r="CI283"/>
  <c r="CH288"/>
  <c r="CI288"/>
  <c r="CH289"/>
  <c r="CI289"/>
  <c r="CH290"/>
  <c r="CI290"/>
  <c r="CH291"/>
  <c r="CI291"/>
  <c r="CH297"/>
  <c r="CI297"/>
  <c r="CH301"/>
  <c r="CI301"/>
  <c r="CH312"/>
  <c r="CI312"/>
  <c r="CH318"/>
  <c r="CI318"/>
  <c r="CH330"/>
  <c r="CI330"/>
  <c r="CH343"/>
  <c r="CI343"/>
  <c r="CH344"/>
  <c r="CI344"/>
  <c r="CH345"/>
  <c r="CI345"/>
  <c r="CH346"/>
  <c r="CI346"/>
  <c r="CH360"/>
  <c r="CI360"/>
  <c r="CH393"/>
  <c r="CI393"/>
  <c r="CH394"/>
  <c r="CI394"/>
  <c r="CH406"/>
  <c r="CI406"/>
  <c r="CH416"/>
  <c r="CI416"/>
  <c r="CH444"/>
  <c r="CI444"/>
  <c r="CH445"/>
  <c r="CI445"/>
  <c r="CH455"/>
  <c r="CI455"/>
  <c r="CH456"/>
  <c r="CI456"/>
  <c r="CH480"/>
  <c r="CI480"/>
  <c r="CH481"/>
  <c r="CI481"/>
  <c r="CH487"/>
  <c r="CI487"/>
  <c r="CH488"/>
  <c r="CI488"/>
  <c r="CH490"/>
  <c r="CI490"/>
  <c r="CH497"/>
  <c r="CI497"/>
  <c r="CH498"/>
  <c r="CI498"/>
  <c r="CH508"/>
  <c r="CI508"/>
  <c r="CH514"/>
  <c r="CI514"/>
  <c r="CH519"/>
  <c r="CI519"/>
  <c r="CH520"/>
  <c r="CI520"/>
  <c r="CH521"/>
  <c r="CI521"/>
  <c r="CH527"/>
  <c r="CI527"/>
  <c r="CH533"/>
  <c r="CI533"/>
  <c r="CH538"/>
  <c r="CI538"/>
  <c r="CH543"/>
  <c r="CI543"/>
  <c r="CH556"/>
  <c r="CI556"/>
  <c r="CH588"/>
  <c r="CI588"/>
  <c r="CH590"/>
  <c r="CI590"/>
  <c r="CH592"/>
  <c r="CI592"/>
  <c r="CH614"/>
  <c r="CI614"/>
  <c r="BJ28" i="19"/>
  <c r="BK28"/>
  <c r="BK32" s="1"/>
  <c r="BL28"/>
  <c r="BT84"/>
  <c r="BU84" s="1"/>
  <c r="BV84" s="1"/>
  <c r="BW84" s="1"/>
  <c r="BX84" s="1"/>
  <c r="BY84" s="1"/>
  <c r="BZ84" s="1"/>
  <c r="CA84" s="1"/>
  <c r="CB84" s="1"/>
  <c r="CC84" s="1"/>
  <c r="CD84" s="1"/>
  <c r="BP1119"/>
  <c r="BP1120"/>
  <c r="B22" i="20"/>
  <c r="B43" s="1"/>
  <c r="B65" s="1"/>
  <c r="B89" s="1"/>
  <c r="B111" s="1"/>
  <c r="B133" s="1"/>
  <c r="B19"/>
  <c r="B40" s="1"/>
  <c r="B62" s="1"/>
  <c r="B86" s="1"/>
  <c r="B108" s="1"/>
  <c r="B130" s="1"/>
  <c r="B18"/>
  <c r="B39" s="1"/>
  <c r="B61" s="1"/>
  <c r="B85" s="1"/>
  <c r="B107" s="1"/>
  <c r="B129" s="1"/>
  <c r="B17"/>
  <c r="B38" s="1"/>
  <c r="B60" s="1"/>
  <c r="B84" s="1"/>
  <c r="B106" s="1"/>
  <c r="B128" s="1"/>
  <c r="BM80" i="19"/>
  <c r="BM32" i="20"/>
  <c r="BQ1107" i="19"/>
  <c r="BR1107"/>
  <c r="BQ1108"/>
  <c r="BR1108"/>
  <c r="BS1108"/>
  <c r="BP1108"/>
  <c r="BP1107"/>
  <c r="C1107"/>
  <c r="C1108"/>
  <c r="B1108"/>
  <c r="B1120" s="1"/>
  <c r="B1107"/>
  <c r="B1119" s="1"/>
  <c r="B1102"/>
  <c r="B1114" s="1"/>
  <c r="B1103"/>
  <c r="B1115" s="1"/>
  <c r="B1104"/>
  <c r="B1116" s="1"/>
  <c r="B1105"/>
  <c r="B1117" s="1"/>
  <c r="B1101"/>
  <c r="B1113" s="1"/>
  <c r="BV1066"/>
  <c r="BW1066" s="1"/>
  <c r="BX1066" s="1"/>
  <c r="BY1066" s="1"/>
  <c r="BZ1066" s="1"/>
  <c r="CA1066" s="1"/>
  <c r="CB1066" s="1"/>
  <c r="CC1066" s="1"/>
  <c r="CD1066" s="1"/>
  <c r="BV1065"/>
  <c r="BW1065" s="1"/>
  <c r="BX1065" s="1"/>
  <c r="BY1065" s="1"/>
  <c r="BZ1065" s="1"/>
  <c r="CA1065" s="1"/>
  <c r="CB1065" s="1"/>
  <c r="CC1065" s="1"/>
  <c r="CD1065" s="1"/>
  <c r="BV1064"/>
  <c r="BW1064" s="1"/>
  <c r="BX1064" s="1"/>
  <c r="BY1064" s="1"/>
  <c r="BZ1064" s="1"/>
  <c r="CA1064" s="1"/>
  <c r="CB1064" s="1"/>
  <c r="CC1064" s="1"/>
  <c r="CD1064" s="1"/>
  <c r="BV1063"/>
  <c r="BW1063"/>
  <c r="BX1063" s="1"/>
  <c r="BY1063" s="1"/>
  <c r="BZ1063" s="1"/>
  <c r="CA1063" s="1"/>
  <c r="CB1063" s="1"/>
  <c r="CC1063" s="1"/>
  <c r="CD1063" s="1"/>
  <c r="BU1052"/>
  <c r="BV1052" s="1"/>
  <c r="BW1052" s="1"/>
  <c r="BX1052" s="1"/>
  <c r="BY1052" s="1"/>
  <c r="BZ1052" s="1"/>
  <c r="CA1052" s="1"/>
  <c r="CB1052" s="1"/>
  <c r="CC1052" s="1"/>
  <c r="CD1052" s="1"/>
  <c r="BT1044"/>
  <c r="BU1044" s="1"/>
  <c r="BV1044" s="1"/>
  <c r="BW1044" s="1"/>
  <c r="BX1044" s="1"/>
  <c r="BY1044" s="1"/>
  <c r="BZ1044" s="1"/>
  <c r="CA1044" s="1"/>
  <c r="CB1044" s="1"/>
  <c r="CC1044" s="1"/>
  <c r="CD1044" s="1"/>
  <c r="BS1044"/>
  <c r="BR1044"/>
  <c r="BN1044"/>
  <c r="BT1039"/>
  <c r="BS1039"/>
  <c r="BR1039"/>
  <c r="BR1054" s="1"/>
  <c r="BR1056" s="1"/>
  <c r="BQ1039"/>
  <c r="BP1039"/>
  <c r="BN1039"/>
  <c r="BT1104"/>
  <c r="BU1104" s="1"/>
  <c r="BV1104" s="1"/>
  <c r="BW1104" s="1"/>
  <c r="BX1104" s="1"/>
  <c r="BY1104" s="1"/>
  <c r="BZ1104" s="1"/>
  <c r="CA1104" s="1"/>
  <c r="CB1104" s="1"/>
  <c r="CC1104" s="1"/>
  <c r="CD1104" s="1"/>
  <c r="BR836"/>
  <c r="BK949"/>
  <c r="BL949"/>
  <c r="BM949"/>
  <c r="BJ949"/>
  <c r="BM656"/>
  <c r="BM190" i="20" s="1"/>
  <c r="BF679" i="19"/>
  <c r="BF677"/>
  <c r="BF672"/>
  <c r="BF671"/>
  <c r="BF725"/>
  <c r="BF675" s="1"/>
  <c r="BF199" i="20" s="1"/>
  <c r="BF666" i="19"/>
  <c r="BF660"/>
  <c r="BF193" i="20" s="1"/>
  <c r="BF656" i="19"/>
  <c r="BF653"/>
  <c r="BG653"/>
  <c r="BF638"/>
  <c r="BF637"/>
  <c r="BF636"/>
  <c r="BF632"/>
  <c r="BM873"/>
  <c r="BM78"/>
  <c r="AW221" i="20"/>
  <c r="AX221"/>
  <c r="AY221"/>
  <c r="AZ221"/>
  <c r="BA221"/>
  <c r="BB221"/>
  <c r="BC221"/>
  <c r="BD221"/>
  <c r="BE221"/>
  <c r="BF221"/>
  <c r="BH221"/>
  <c r="BI221"/>
  <c r="BJ221"/>
  <c r="BK221"/>
  <c r="BL221"/>
  <c r="CH221" s="1"/>
  <c r="AV221"/>
  <c r="BL799" i="19"/>
  <c r="BL792"/>
  <c r="BM799"/>
  <c r="BM859"/>
  <c r="BM8"/>
  <c r="BM166" i="20" s="1"/>
  <c r="CI166" s="1"/>
  <c r="BL8" i="19"/>
  <c r="BL166" i="20" s="1"/>
  <c r="CH166" s="1"/>
  <c r="BM77" i="19"/>
  <c r="BL77"/>
  <c r="BK77"/>
  <c r="A266" i="20"/>
  <c r="A422" s="1"/>
  <c r="A458" s="1"/>
  <c r="A256"/>
  <c r="A258"/>
  <c r="A257"/>
  <c r="A251"/>
  <c r="A246"/>
  <c r="A245"/>
  <c r="A244"/>
  <c r="A243"/>
  <c r="A241"/>
  <c r="A240"/>
  <c r="A235"/>
  <c r="A237"/>
  <c r="A230"/>
  <c r="A223"/>
  <c r="A217"/>
  <c r="A216"/>
  <c r="A215"/>
  <c r="BL74" i="19"/>
  <c r="BL23" i="20" s="1"/>
  <c r="BM1021" i="19"/>
  <c r="BN1021"/>
  <c r="BO1021"/>
  <c r="BP1021"/>
  <c r="BQ1021"/>
  <c r="BR1021"/>
  <c r="BS1021"/>
  <c r="BT1021"/>
  <c r="BU1021" s="1"/>
  <c r="BV1021" s="1"/>
  <c r="BW1021" s="1"/>
  <c r="BX1021" s="1"/>
  <c r="BY1021" s="1"/>
  <c r="BZ1021" s="1"/>
  <c r="CA1021" s="1"/>
  <c r="CB1021" s="1"/>
  <c r="CC1021" s="1"/>
  <c r="CD1021" s="1"/>
  <c r="BP986"/>
  <c r="BQ986"/>
  <c r="BR986"/>
  <c r="BO969"/>
  <c r="BP969"/>
  <c r="BQ969"/>
  <c r="BR969"/>
  <c r="BN969"/>
  <c r="CE55" i="28"/>
  <c r="CE56"/>
  <c r="CE57"/>
  <c r="AQ2" i="19"/>
  <c r="AR2"/>
  <c r="AS2" s="1"/>
  <c r="AT2" s="1"/>
  <c r="AU2" s="1"/>
  <c r="CM2"/>
  <c r="AZ6"/>
  <c r="AZ371" i="20" s="1"/>
  <c r="BA7" i="19"/>
  <c r="BA370" i="20"/>
  <c r="BB7" i="19"/>
  <c r="BB370" i="20"/>
  <c r="BC7" i="19"/>
  <c r="BC370" i="20"/>
  <c r="BE370"/>
  <c r="BF370"/>
  <c r="BN8" i="19"/>
  <c r="BN166" i="20"/>
  <c r="CJ166" s="1"/>
  <c r="CM8" i="19"/>
  <c r="BP13"/>
  <c r="AZ28"/>
  <c r="BA28"/>
  <c r="BB28"/>
  <c r="BC28"/>
  <c r="BD28"/>
  <c r="BE28"/>
  <c r="BF28"/>
  <c r="BG28"/>
  <c r="BH28"/>
  <c r="BI28"/>
  <c r="AV35"/>
  <c r="AW35"/>
  <c r="AX35"/>
  <c r="AY35"/>
  <c r="AV36"/>
  <c r="AW36"/>
  <c r="AY36"/>
  <c r="AX36" s="1"/>
  <c r="BO36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M36"/>
  <c r="AV37"/>
  <c r="AW37"/>
  <c r="AV38"/>
  <c r="AW38"/>
  <c r="AV39"/>
  <c r="AW39"/>
  <c r="AY39"/>
  <c r="AX39" s="1"/>
  <c r="CM39"/>
  <c r="BM43"/>
  <c r="BN43" s="1"/>
  <c r="BO43" s="1"/>
  <c r="BP43" s="1"/>
  <c r="BQ43" s="1"/>
  <c r="BR43" s="1"/>
  <c r="BS43" s="1"/>
  <c r="BT43" s="1"/>
  <c r="BU43" s="1"/>
  <c r="BV43" s="1"/>
  <c r="BW43" s="1"/>
  <c r="BX43" s="1"/>
  <c r="BY43" s="1"/>
  <c r="BZ43" s="1"/>
  <c r="CA43" s="1"/>
  <c r="CB43" s="1"/>
  <c r="CC43" s="1"/>
  <c r="CD43" s="1"/>
  <c r="CM43"/>
  <c r="CM44"/>
  <c r="CM45"/>
  <c r="CM47"/>
  <c r="BH48"/>
  <c r="BI48"/>
  <c r="CM48"/>
  <c r="CM42" s="1"/>
  <c r="BI56"/>
  <c r="BJ56"/>
  <c r="BK56"/>
  <c r="BE57"/>
  <c r="BF57"/>
  <c r="BG57"/>
  <c r="BH57"/>
  <c r="BI57"/>
  <c r="BJ57"/>
  <c r="BK57"/>
  <c r="BL57"/>
  <c r="BM57"/>
  <c r="BN57"/>
  <c r="CM57"/>
  <c r="BT58"/>
  <c r="BU58"/>
  <c r="BV58" s="1"/>
  <c r="BW58" s="1"/>
  <c r="BX58" s="1"/>
  <c r="BY58" s="1"/>
  <c r="BZ58" s="1"/>
  <c r="CA58" s="1"/>
  <c r="CB58" s="1"/>
  <c r="CC58" s="1"/>
  <c r="CD58" s="1"/>
  <c r="BQ59"/>
  <c r="BR59" s="1"/>
  <c r="BS59" s="1"/>
  <c r="BT59" s="1"/>
  <c r="BU59" s="1"/>
  <c r="BV59" s="1"/>
  <c r="BW59" s="1"/>
  <c r="BX59" s="1"/>
  <c r="BY59" s="1"/>
  <c r="BZ59" s="1"/>
  <c r="CA59" s="1"/>
  <c r="CB59" s="1"/>
  <c r="CC59" s="1"/>
  <c r="CD59" s="1"/>
  <c r="CM60"/>
  <c r="BP61"/>
  <c r="BQ61"/>
  <c r="BR61" s="1"/>
  <c r="BS61" s="1"/>
  <c r="BT61" s="1"/>
  <c r="BU61" s="1"/>
  <c r="BV61" s="1"/>
  <c r="BW61" s="1"/>
  <c r="BX61" s="1"/>
  <c r="BY61" s="1"/>
  <c r="BZ61" s="1"/>
  <c r="CA61" s="1"/>
  <c r="CB61" s="1"/>
  <c r="CC61" s="1"/>
  <c r="CD61" s="1"/>
  <c r="CM61"/>
  <c r="BK62"/>
  <c r="BP63"/>
  <c r="BQ63" s="1"/>
  <c r="BR63" s="1"/>
  <c r="BS63" s="1"/>
  <c r="BT63" s="1"/>
  <c r="BU63" s="1"/>
  <c r="BV63" s="1"/>
  <c r="BW63" s="1"/>
  <c r="BX63" s="1"/>
  <c r="BY63" s="1"/>
  <c r="BZ63" s="1"/>
  <c r="CA63" s="1"/>
  <c r="CB63" s="1"/>
  <c r="CC63" s="1"/>
  <c r="CD63" s="1"/>
  <c r="CM65"/>
  <c r="AQ67"/>
  <c r="BU67"/>
  <c r="BV67" s="1"/>
  <c r="BW67" s="1"/>
  <c r="BX67" s="1"/>
  <c r="BY67" s="1"/>
  <c r="BZ67" s="1"/>
  <c r="CA67" s="1"/>
  <c r="CB67" s="1"/>
  <c r="CC67" s="1"/>
  <c r="CD67" s="1"/>
  <c r="CM67"/>
  <c r="CM68"/>
  <c r="CM69"/>
  <c r="CM70"/>
  <c r="BG71"/>
  <c r="BH71"/>
  <c r="BI71"/>
  <c r="BI70" s="1"/>
  <c r="BJ71"/>
  <c r="BK71"/>
  <c r="BL71"/>
  <c r="BM71"/>
  <c r="BN71"/>
  <c r="CM71"/>
  <c r="BG72"/>
  <c r="BG16" i="20" s="1"/>
  <c r="BH72" i="19"/>
  <c r="BH16" i="20" s="1"/>
  <c r="BI72" i="19"/>
  <c r="BI16" i="20" s="1"/>
  <c r="BJ72" i="19"/>
  <c r="BJ16" i="20" s="1"/>
  <c r="BL72" i="19"/>
  <c r="BL16" i="20" s="1"/>
  <c r="BM72" i="19"/>
  <c r="BM16" i="20" s="1"/>
  <c r="BQ73" i="19"/>
  <c r="BR73" s="1"/>
  <c r="BS73" s="1"/>
  <c r="BT73" s="1"/>
  <c r="BU73" s="1"/>
  <c r="BV73" s="1"/>
  <c r="BW73" s="1"/>
  <c r="BX73" s="1"/>
  <c r="BY73" s="1"/>
  <c r="BZ73" s="1"/>
  <c r="CA73" s="1"/>
  <c r="CB73" s="1"/>
  <c r="CC73" s="1"/>
  <c r="CD73" s="1"/>
  <c r="BE74"/>
  <c r="BE23" i="20" s="1"/>
  <c r="BF74" i="19"/>
  <c r="BF23" i="20" s="1"/>
  <c r="BG74" i="19"/>
  <c r="BG23" i="20" s="1"/>
  <c r="BH74" i="19"/>
  <c r="BH23" i="20"/>
  <c r="BI74" i="19"/>
  <c r="BI23" i="20"/>
  <c r="BJ74" i="19"/>
  <c r="BJ23" i="20" s="1"/>
  <c r="CM74" i="19"/>
  <c r="BD75"/>
  <c r="BF75"/>
  <c r="BI75"/>
  <c r="BJ75"/>
  <c r="BK75"/>
  <c r="BL75"/>
  <c r="BM75"/>
  <c r="BN75"/>
  <c r="BO75"/>
  <c r="BP75"/>
  <c r="BQ75" s="1"/>
  <c r="BR75" s="1"/>
  <c r="BS75" s="1"/>
  <c r="BT75" s="1"/>
  <c r="BU75" s="1"/>
  <c r="BV75" s="1"/>
  <c r="BW75" s="1"/>
  <c r="BX75" s="1"/>
  <c r="BY75" s="1"/>
  <c r="BZ75" s="1"/>
  <c r="CA75" s="1"/>
  <c r="CB75" s="1"/>
  <c r="CC75" s="1"/>
  <c r="CD75" s="1"/>
  <c r="CM75"/>
  <c r="BI76"/>
  <c r="BI82"/>
  <c r="BJ76"/>
  <c r="BJ82"/>
  <c r="BK76"/>
  <c r="BK82"/>
  <c r="BL76"/>
  <c r="BL82"/>
  <c r="BM76"/>
  <c r="BM82"/>
  <c r="BN76"/>
  <c r="BO76"/>
  <c r="BP76"/>
  <c r="BQ76"/>
  <c r="BR76" s="1"/>
  <c r="BS76" s="1"/>
  <c r="BT76" s="1"/>
  <c r="BU76" s="1"/>
  <c r="BV76" s="1"/>
  <c r="BW76" s="1"/>
  <c r="BX76" s="1"/>
  <c r="BY76" s="1"/>
  <c r="BZ76" s="1"/>
  <c r="CA76" s="1"/>
  <c r="CB76" s="1"/>
  <c r="CC76" s="1"/>
  <c r="CD76" s="1"/>
  <c r="CM76"/>
  <c r="CM82" s="1"/>
  <c r="BJ78"/>
  <c r="CM79"/>
  <c r="CM81"/>
  <c r="BE82"/>
  <c r="BF82"/>
  <c r="BG82"/>
  <c r="BH82"/>
  <c r="BJ84"/>
  <c r="BJ34" i="20" s="1"/>
  <c r="BH85" i="19"/>
  <c r="BH35" i="20" s="1"/>
  <c r="CM86" i="19"/>
  <c r="BA87"/>
  <c r="BA37" i="20" s="1"/>
  <c r="BB87" i="19"/>
  <c r="BB37" i="20" s="1"/>
  <c r="BG87" i="19"/>
  <c r="BG37" i="20" s="1"/>
  <c r="BH87" i="19"/>
  <c r="BH37" i="20"/>
  <c r="BI87" i="19"/>
  <c r="BI37" i="20"/>
  <c r="BJ87" i="19"/>
  <c r="BJ37" i="20"/>
  <c r="BK87" i="19"/>
  <c r="BK37" i="20"/>
  <c r="BL87" i="19"/>
  <c r="BL37" i="20"/>
  <c r="BA88" i="19"/>
  <c r="BB88"/>
  <c r="BG88"/>
  <c r="BH88"/>
  <c r="BH86" s="1"/>
  <c r="BI88"/>
  <c r="BI94" s="1"/>
  <c r="BJ88"/>
  <c r="BK88"/>
  <c r="BL88"/>
  <c r="BM88"/>
  <c r="BN88"/>
  <c r="BO88"/>
  <c r="CM88"/>
  <c r="CM87" s="1"/>
  <c r="BH89"/>
  <c r="BH45" s="1"/>
  <c r="BI89"/>
  <c r="BQ90"/>
  <c r="BR90" s="1"/>
  <c r="BS90" s="1"/>
  <c r="BT90" s="1"/>
  <c r="BU90" s="1"/>
  <c r="BV90" s="1"/>
  <c r="BW90" s="1"/>
  <c r="BX90" s="1"/>
  <c r="BY90" s="1"/>
  <c r="BZ90" s="1"/>
  <c r="CA90" s="1"/>
  <c r="CB90" s="1"/>
  <c r="CC90" s="1"/>
  <c r="CD90" s="1"/>
  <c r="BG93"/>
  <c r="BH93"/>
  <c r="BB95"/>
  <c r="BC95"/>
  <c r="BD95"/>
  <c r="BE95"/>
  <c r="CM95"/>
  <c r="CM96"/>
  <c r="BQ97"/>
  <c r="BR97" s="1"/>
  <c r="BS97" s="1"/>
  <c r="BT97" s="1"/>
  <c r="BU97" s="1"/>
  <c r="BV97" s="1"/>
  <c r="BW97" s="1"/>
  <c r="BX97" s="1"/>
  <c r="BY97" s="1"/>
  <c r="BZ97" s="1"/>
  <c r="CA97" s="1"/>
  <c r="CB97" s="1"/>
  <c r="CC97" s="1"/>
  <c r="CD97" s="1"/>
  <c r="AZ98"/>
  <c r="AZ46" i="20" s="1"/>
  <c r="BA98" i="19"/>
  <c r="BA46" i="20" s="1"/>
  <c r="BB98" i="19"/>
  <c r="BB46" i="20"/>
  <c r="BC98" i="19"/>
  <c r="BC46" i="20"/>
  <c r="BD98" i="19"/>
  <c r="BD46" i="20" s="1"/>
  <c r="BE98" i="19"/>
  <c r="BE46" i="20" s="1"/>
  <c r="BF98" i="19"/>
  <c r="BF46" i="20" s="1"/>
  <c r="BG98" i="19"/>
  <c r="BG46" i="20" s="1"/>
  <c r="BH98" i="19"/>
  <c r="BH46" i="20" s="1"/>
  <c r="BI98" i="19"/>
  <c r="BI46" i="20" s="1"/>
  <c r="CM98" i="19"/>
  <c r="AZ99"/>
  <c r="AZ47" i="20" s="1"/>
  <c r="BA99" i="19"/>
  <c r="BA47" i="20" s="1"/>
  <c r="BB99" i="19"/>
  <c r="BB47" i="20"/>
  <c r="BD99" i="19"/>
  <c r="BD47" i="20"/>
  <c r="BP99" i="19"/>
  <c r="BQ99"/>
  <c r="BR99" s="1"/>
  <c r="BS99" s="1"/>
  <c r="BT99" s="1"/>
  <c r="BU99" s="1"/>
  <c r="BV99" s="1"/>
  <c r="BW99" s="1"/>
  <c r="BX99" s="1"/>
  <c r="BY99" s="1"/>
  <c r="BZ99" s="1"/>
  <c r="CA99" s="1"/>
  <c r="CB99" s="1"/>
  <c r="CC99" s="1"/>
  <c r="CD99" s="1"/>
  <c r="AZ100"/>
  <c r="AZ48" i="20" s="1"/>
  <c r="BA100" i="19"/>
  <c r="BA48" i="20" s="1"/>
  <c r="BB100" i="19"/>
  <c r="BB48" i="20" s="1"/>
  <c r="BC100" i="19"/>
  <c r="BC48" i="20" s="1"/>
  <c r="BD100" i="19"/>
  <c r="BD48" i="20" s="1"/>
  <c r="BE100" i="19"/>
  <c r="BE48" i="20" s="1"/>
  <c r="BF100" i="19"/>
  <c r="BF48" i="20" s="1"/>
  <c r="BG100" i="19"/>
  <c r="BG48" i="20" s="1"/>
  <c r="BH100" i="19"/>
  <c r="BH48" i="20" s="1"/>
  <c r="BI100" i="19"/>
  <c r="BI48" i="20" s="1"/>
  <c r="BJ100" i="19"/>
  <c r="BJ48" i="20" s="1"/>
  <c r="CM100" i="19"/>
  <c r="AZ101"/>
  <c r="AZ49" i="20"/>
  <c r="BA101" i="19"/>
  <c r="BA49" i="20"/>
  <c r="BB101" i="19"/>
  <c r="BB49" i="20"/>
  <c r="BC101" i="19"/>
  <c r="BC49" i="20"/>
  <c r="BD101" i="19"/>
  <c r="BD49" i="20" s="1"/>
  <c r="BE101" i="19"/>
  <c r="BE49" i="20" s="1"/>
  <c r="BF101" i="19"/>
  <c r="BF49" i="20" s="1"/>
  <c r="BG101" i="19"/>
  <c r="BG49" i="20" s="1"/>
  <c r="BH101" i="19"/>
  <c r="BH49" i="20"/>
  <c r="BI101" i="19"/>
  <c r="BI49" i="20"/>
  <c r="CM101" i="19"/>
  <c r="CM102"/>
  <c r="CM103"/>
  <c r="CM104"/>
  <c r="CM105"/>
  <c r="BJ107"/>
  <c r="BK107"/>
  <c r="BL107"/>
  <c r="BK109"/>
  <c r="BL109"/>
  <c r="BM109"/>
  <c r="BN109"/>
  <c r="AY113"/>
  <c r="BE114"/>
  <c r="BE115" s="1"/>
  <c r="AY115"/>
  <c r="AZ115"/>
  <c r="BA115"/>
  <c r="BB115"/>
  <c r="BC115"/>
  <c r="BD115"/>
  <c r="BA118"/>
  <c r="BA292" i="20" s="1"/>
  <c r="CM118" i="19"/>
  <c r="BB119"/>
  <c r="AZ137"/>
  <c r="BA137"/>
  <c r="BB137"/>
  <c r="BC181" i="20"/>
  <c r="BE137" i="19"/>
  <c r="BF137"/>
  <c r="BF181" i="20" s="1"/>
  <c r="BG137" i="19"/>
  <c r="BH137"/>
  <c r="AZ138"/>
  <c r="BA138"/>
  <c r="BB138"/>
  <c r="BE138"/>
  <c r="BF138"/>
  <c r="BG138"/>
  <c r="BH138"/>
  <c r="BE139"/>
  <c r="BF139"/>
  <c r="BG139"/>
  <c r="BH139"/>
  <c r="BI139"/>
  <c r="BJ139"/>
  <c r="BK139"/>
  <c r="BL139"/>
  <c r="AQ213"/>
  <c r="AR213"/>
  <c r="AS213"/>
  <c r="AT213"/>
  <c r="AU213"/>
  <c r="AV213"/>
  <c r="AW213"/>
  <c r="AX213"/>
  <c r="AY213"/>
  <c r="AZ213"/>
  <c r="BA213"/>
  <c r="BB213"/>
  <c r="BC213"/>
  <c r="BD213"/>
  <c r="BE213"/>
  <c r="AQ214"/>
  <c r="AR214"/>
  <c r="AS214"/>
  <c r="AT214"/>
  <c r="AU214"/>
  <c r="AV214"/>
  <c r="AW214"/>
  <c r="AX214"/>
  <c r="AY214"/>
  <c r="AZ214"/>
  <c r="BA214"/>
  <c r="BB214"/>
  <c r="BC214"/>
  <c r="BD214"/>
  <c r="BE214"/>
  <c r="B233"/>
  <c r="BA242"/>
  <c r="BB242"/>
  <c r="BC242"/>
  <c r="BD242"/>
  <c r="BA248"/>
  <c r="BB248"/>
  <c r="BC248"/>
  <c r="BD248"/>
  <c r="BE248"/>
  <c r="BF248"/>
  <c r="AV269"/>
  <c r="AW269"/>
  <c r="AX269"/>
  <c r="AY269"/>
  <c r="AZ269"/>
  <c r="BA270"/>
  <c r="BB270"/>
  <c r="BI270"/>
  <c r="AV271"/>
  <c r="AW271"/>
  <c r="AX271"/>
  <c r="AY271"/>
  <c r="AZ271"/>
  <c r="BF271"/>
  <c r="BG271"/>
  <c r="BH271"/>
  <c r="BI271"/>
  <c r="BJ271"/>
  <c r="AV272"/>
  <c r="AW272"/>
  <c r="AX272"/>
  <c r="AY272"/>
  <c r="AZ272"/>
  <c r="BF272"/>
  <c r="BF230" i="20" s="1"/>
  <c r="BI272" i="19"/>
  <c r="BI230" i="20" s="1"/>
  <c r="BJ272" i="19"/>
  <c r="BJ230" i="20" s="1"/>
  <c r="CM282" i="19"/>
  <c r="AV288"/>
  <c r="AW288"/>
  <c r="AX288"/>
  <c r="AY288"/>
  <c r="AZ288"/>
  <c r="BA288"/>
  <c r="BB288"/>
  <c r="BC288"/>
  <c r="BD288"/>
  <c r="BE288"/>
  <c r="BF288"/>
  <c r="BG288"/>
  <c r="BI288"/>
  <c r="BH290"/>
  <c r="BH291"/>
  <c r="CM291"/>
  <c r="CM288"/>
  <c r="BG292"/>
  <c r="BH299"/>
  <c r="AV315"/>
  <c r="AW315"/>
  <c r="AX315"/>
  <c r="AY315"/>
  <c r="AZ315"/>
  <c r="BA315"/>
  <c r="BB315"/>
  <c r="BC315"/>
  <c r="BD315"/>
  <c r="BE315"/>
  <c r="BF315"/>
  <c r="AV326"/>
  <c r="AW326"/>
  <c r="AX326"/>
  <c r="AY326"/>
  <c r="AZ326"/>
  <c r="BA326"/>
  <c r="BB326"/>
  <c r="BC326"/>
  <c r="BD326"/>
  <c r="BE326"/>
  <c r="BF326"/>
  <c r="AV332"/>
  <c r="AV284" s="1"/>
  <c r="AW332"/>
  <c r="AW284" s="1"/>
  <c r="AX332"/>
  <c r="AX284" s="1"/>
  <c r="AY332"/>
  <c r="AY284" s="1"/>
  <c r="AZ332"/>
  <c r="AZ284" s="1"/>
  <c r="BA332"/>
  <c r="BA284" s="1"/>
  <c r="BB332"/>
  <c r="BB284" s="1"/>
  <c r="BC332"/>
  <c r="BC284" s="1"/>
  <c r="BD332"/>
  <c r="BD284" s="1"/>
  <c r="BE332"/>
  <c r="BE284" s="1"/>
  <c r="BF333"/>
  <c r="BG333"/>
  <c r="BH333"/>
  <c r="BH247" i="20" s="1"/>
  <c r="BI333" i="19"/>
  <c r="BL247" i="20"/>
  <c r="CM333" i="19"/>
  <c r="BF334"/>
  <c r="BG334"/>
  <c r="BH334"/>
  <c r="BI334"/>
  <c r="CM334"/>
  <c r="AV337"/>
  <c r="AV285" s="1"/>
  <c r="AW337"/>
  <c r="AX337"/>
  <c r="AY337"/>
  <c r="AZ337"/>
  <c r="AZ285" s="1"/>
  <c r="BB337"/>
  <c r="BC337"/>
  <c r="BD337"/>
  <c r="BD285" s="1"/>
  <c r="BE337"/>
  <c r="BE285" s="1"/>
  <c r="BF337"/>
  <c r="BG337"/>
  <c r="BH337"/>
  <c r="BI337"/>
  <c r="BJ337"/>
  <c r="BA338"/>
  <c r="BA339"/>
  <c r="BI342"/>
  <c r="AV347"/>
  <c r="AW347"/>
  <c r="AX347"/>
  <c r="AY347"/>
  <c r="AZ347"/>
  <c r="AZ349"/>
  <c r="BA349"/>
  <c r="BB349"/>
  <c r="BC349"/>
  <c r="BD349"/>
  <c r="BE349"/>
  <c r="BF349"/>
  <c r="BG349"/>
  <c r="AV351"/>
  <c r="AW351"/>
  <c r="AX351"/>
  <c r="AY351"/>
  <c r="AZ351"/>
  <c r="BA351"/>
  <c r="BB351"/>
  <c r="BC351"/>
  <c r="BD351"/>
  <c r="BE351"/>
  <c r="BF351"/>
  <c r="BG351"/>
  <c r="BK351"/>
  <c r="BH353"/>
  <c r="BJ354"/>
  <c r="BJ384" s="1"/>
  <c r="AV359"/>
  <c r="AW359"/>
  <c r="AX359"/>
  <c r="AY359"/>
  <c r="AZ359"/>
  <c r="AZ392" s="1"/>
  <c r="BA359"/>
  <c r="BA392" s="1"/>
  <c r="BB359"/>
  <c r="BB392" s="1"/>
  <c r="BC359"/>
  <c r="BC392" s="1"/>
  <c r="BD359"/>
  <c r="BD392" s="1"/>
  <c r="BD394"/>
  <c r="BG359"/>
  <c r="BG364"/>
  <c r="BJ359"/>
  <c r="CM359"/>
  <c r="CM364"/>
  <c r="BE360"/>
  <c r="BF360"/>
  <c r="BH361"/>
  <c r="BH359"/>
  <c r="BI361"/>
  <c r="BI359"/>
  <c r="BE363"/>
  <c r="BF363"/>
  <c r="CI369"/>
  <c r="BG380"/>
  <c r="BH380"/>
  <c r="BI380"/>
  <c r="BJ380"/>
  <c r="CM380"/>
  <c r="BA384"/>
  <c r="BB384"/>
  <c r="BB387"/>
  <c r="BC384"/>
  <c r="BD384"/>
  <c r="BE384"/>
  <c r="BF384"/>
  <c r="BG384"/>
  <c r="BG387"/>
  <c r="BH384"/>
  <c r="BI384"/>
  <c r="BK384"/>
  <c r="BA387"/>
  <c r="BC387"/>
  <c r="BD387"/>
  <c r="BE387"/>
  <c r="BF387"/>
  <c r="BH387"/>
  <c r="BI387"/>
  <c r="BJ387"/>
  <c r="BK387"/>
  <c r="BL387"/>
  <c r="BN387"/>
  <c r="CM387"/>
  <c r="AV389"/>
  <c r="AW389"/>
  <c r="AX389"/>
  <c r="AY389"/>
  <c r="AZ389"/>
  <c r="AV390"/>
  <c r="AV313" s="1"/>
  <c r="AW390"/>
  <c r="AW313" s="1"/>
  <c r="AX390"/>
  <c r="AX313" s="1"/>
  <c r="AY390"/>
  <c r="AY313" s="1"/>
  <c r="AZ390"/>
  <c r="AZ313" s="1"/>
  <c r="AZ393"/>
  <c r="BA393"/>
  <c r="BB393"/>
  <c r="BC393"/>
  <c r="BD393"/>
  <c r="BE393"/>
  <c r="BF393"/>
  <c r="BG393"/>
  <c r="BH393"/>
  <c r="AZ394"/>
  <c r="BA394"/>
  <c r="BB394"/>
  <c r="BC394"/>
  <c r="BE394"/>
  <c r="BF394"/>
  <c r="BG394"/>
  <c r="BH394"/>
  <c r="BG401"/>
  <c r="BN404"/>
  <c r="BO404"/>
  <c r="BP404"/>
  <c r="BQ404"/>
  <c r="CM404"/>
  <c r="BH406"/>
  <c r="BH403" s="1"/>
  <c r="BI406"/>
  <c r="BI409" s="1"/>
  <c r="AV408"/>
  <c r="AW408"/>
  <c r="AX408"/>
  <c r="AY408"/>
  <c r="AZ408"/>
  <c r="BA408"/>
  <c r="BB408"/>
  <c r="BC408"/>
  <c r="BD408"/>
  <c r="BE408"/>
  <c r="BE440" s="1"/>
  <c r="BF408"/>
  <c r="BF440" s="1"/>
  <c r="BG408"/>
  <c r="BG440" s="1"/>
  <c r="BJ408"/>
  <c r="CI416"/>
  <c r="CI417"/>
  <c r="CI419"/>
  <c r="CI420"/>
  <c r="BJ425"/>
  <c r="BJ436"/>
  <c r="BJ438" s="1"/>
  <c r="CM425"/>
  <c r="CM406" s="1"/>
  <c r="AV426"/>
  <c r="AW426"/>
  <c r="AX426"/>
  <c r="AY426"/>
  <c r="AZ426"/>
  <c r="AZ436" s="1"/>
  <c r="AZ438" s="1"/>
  <c r="BK427"/>
  <c r="BL429"/>
  <c r="BG436"/>
  <c r="BG438"/>
  <c r="BH436"/>
  <c r="BH438"/>
  <c r="BI436"/>
  <c r="BI438"/>
  <c r="BI439"/>
  <c r="AV449"/>
  <c r="AW449"/>
  <c r="AX449"/>
  <c r="AY449"/>
  <c r="AZ449"/>
  <c r="BI453"/>
  <c r="BJ453"/>
  <c r="AX454"/>
  <c r="AX226" i="20"/>
  <c r="AY454" i="19"/>
  <c r="AY226" i="20"/>
  <c r="AZ454" i="19"/>
  <c r="AZ226" i="20"/>
  <c r="BA454" i="19"/>
  <c r="BA226" i="20"/>
  <c r="BB454" i="19"/>
  <c r="BC454"/>
  <c r="BD454"/>
  <c r="BE454"/>
  <c r="BF454"/>
  <c r="BG454"/>
  <c r="BG226" i="20" s="1"/>
  <c r="BH454" i="19"/>
  <c r="BI454"/>
  <c r="BJ454"/>
  <c r="CI454"/>
  <c r="AX455"/>
  <c r="AX227" i="20" s="1"/>
  <c r="AY455" i="19"/>
  <c r="AY227" i="20" s="1"/>
  <c r="AZ455" i="19"/>
  <c r="AZ227" i="20" s="1"/>
  <c r="BA455" i="19"/>
  <c r="BA227" i="20" s="1"/>
  <c r="BB455" i="19"/>
  <c r="BB227" i="20" s="1"/>
  <c r="BC455" i="19"/>
  <c r="BD455"/>
  <c r="BE455"/>
  <c r="BF455"/>
  <c r="BF453" s="1"/>
  <c r="BG455"/>
  <c r="BH455"/>
  <c r="BI455"/>
  <c r="BJ455"/>
  <c r="BK455" s="1"/>
  <c r="BK453" s="1"/>
  <c r="BK458"/>
  <c r="CI455"/>
  <c r="BA458"/>
  <c r="BB458"/>
  <c r="BB229" i="20" s="1"/>
  <c r="BC458" i="19"/>
  <c r="BD458"/>
  <c r="BE458"/>
  <c r="BF458"/>
  <c r="BG458"/>
  <c r="BH458"/>
  <c r="BI458"/>
  <c r="BJ458"/>
  <c r="BA460"/>
  <c r="BB460"/>
  <c r="BB462"/>
  <c r="BB228" i="20" s="1"/>
  <c r="BC460" i="19"/>
  <c r="BD460"/>
  <c r="BE460"/>
  <c r="BF460"/>
  <c r="BF462"/>
  <c r="BA462"/>
  <c r="BA228" i="20"/>
  <c r="BC462" i="19"/>
  <c r="BD462"/>
  <c r="BD228" i="20" s="1"/>
  <c r="BE462" i="19"/>
  <c r="BG462"/>
  <c r="BH462"/>
  <c r="BI462"/>
  <c r="BJ462"/>
  <c r="AV464"/>
  <c r="AV314" s="1"/>
  <c r="AW464"/>
  <c r="AW314"/>
  <c r="BE470"/>
  <c r="BE519" s="1"/>
  <c r="BF470"/>
  <c r="BF519" s="1"/>
  <c r="BG470"/>
  <c r="BH470"/>
  <c r="BA475"/>
  <c r="BB475"/>
  <c r="BC475"/>
  <c r="BD475"/>
  <c r="BA481"/>
  <c r="BB481"/>
  <c r="BC481"/>
  <c r="BD481"/>
  <c r="BD493"/>
  <c r="BD503"/>
  <c r="BD496"/>
  <c r="BD497"/>
  <c r="BD498"/>
  <c r="BD499"/>
  <c r="BE481"/>
  <c r="BF481"/>
  <c r="BB483"/>
  <c r="BC483"/>
  <c r="BD483"/>
  <c r="BA484"/>
  <c r="BA483" s="1"/>
  <c r="BB486"/>
  <c r="BC486"/>
  <c r="BD486"/>
  <c r="BA493"/>
  <c r="BB493"/>
  <c r="BC493"/>
  <c r="BE493"/>
  <c r="BE496"/>
  <c r="BE497"/>
  <c r="BE498"/>
  <c r="BE499"/>
  <c r="BF493"/>
  <c r="BA495"/>
  <c r="BB495"/>
  <c r="BC495"/>
  <c r="BD495"/>
  <c r="BE495"/>
  <c r="BE522" s="1"/>
  <c r="BF495"/>
  <c r="BF522" s="1"/>
  <c r="BA496"/>
  <c r="BB496"/>
  <c r="BC496"/>
  <c r="BF496"/>
  <c r="BA497"/>
  <c r="BC497"/>
  <c r="BF497"/>
  <c r="BA498"/>
  <c r="BC498"/>
  <c r="BF498"/>
  <c r="BA499"/>
  <c r="BB499"/>
  <c r="BC499"/>
  <c r="BF499"/>
  <c r="BA503"/>
  <c r="BB503"/>
  <c r="BC503"/>
  <c r="AZ506"/>
  <c r="BA506"/>
  <c r="BB506"/>
  <c r="BC506"/>
  <c r="BC505"/>
  <c r="BC525" s="1"/>
  <c r="BC507"/>
  <c r="BD506"/>
  <c r="BD507"/>
  <c r="BE506"/>
  <c r="BA507"/>
  <c r="BB507"/>
  <c r="BE507"/>
  <c r="BA509"/>
  <c r="BA511"/>
  <c r="BD511"/>
  <c r="AV513"/>
  <c r="AW513"/>
  <c r="AX513"/>
  <c r="AY513"/>
  <c r="AZ513"/>
  <c r="BB513"/>
  <c r="BC513"/>
  <c r="BA514"/>
  <c r="BD514"/>
  <c r="BD515"/>
  <c r="BA515"/>
  <c r="BG517"/>
  <c r="AV519"/>
  <c r="AW519"/>
  <c r="AX519"/>
  <c r="AY519"/>
  <c r="AZ519"/>
  <c r="BA519"/>
  <c r="BB519"/>
  <c r="BC519"/>
  <c r="BD519"/>
  <c r="AV522"/>
  <c r="AV231" i="20" s="1"/>
  <c r="AW522" i="19"/>
  <c r="AW231" i="20" s="1"/>
  <c r="AX522" i="19"/>
  <c r="AY522"/>
  <c r="AY231" i="20"/>
  <c r="AZ522" i="19"/>
  <c r="AZ231" i="20"/>
  <c r="BG522" i="19"/>
  <c r="BH522"/>
  <c r="BI522"/>
  <c r="BJ522"/>
  <c r="AV523"/>
  <c r="AV232" i="20"/>
  <c r="AW523" i="19"/>
  <c r="AW232" i="20"/>
  <c r="AX523" i="19"/>
  <c r="AX232" i="20"/>
  <c r="AY523" i="19"/>
  <c r="AY232" i="20"/>
  <c r="AZ523" i="19"/>
  <c r="AZ232" i="20"/>
  <c r="BG523" i="19"/>
  <c r="BH523"/>
  <c r="BI523"/>
  <c r="BJ523"/>
  <c r="BK523"/>
  <c r="BA524"/>
  <c r="BB524"/>
  <c r="BC524"/>
  <c r="BD524"/>
  <c r="BE524"/>
  <c r="BF524"/>
  <c r="BG524"/>
  <c r="AV525"/>
  <c r="AW525"/>
  <c r="AX525"/>
  <c r="AY525"/>
  <c r="AZ525"/>
  <c r="BE525"/>
  <c r="BF525"/>
  <c r="BG525"/>
  <c r="BH525"/>
  <c r="BI525"/>
  <c r="BJ525"/>
  <c r="BJ234" i="20" s="1"/>
  <c r="BM525" i="19"/>
  <c r="BM234" i="20" s="1"/>
  <c r="AZ534" i="19"/>
  <c r="BA534"/>
  <c r="BB534"/>
  <c r="BC534"/>
  <c r="BD534"/>
  <c r="BE534"/>
  <c r="BF534"/>
  <c r="BG534"/>
  <c r="BH534"/>
  <c r="BH536"/>
  <c r="BI534"/>
  <c r="AZ536"/>
  <c r="BA536"/>
  <c r="BB536"/>
  <c r="BB230" i="20" s="1"/>
  <c r="BC536" i="19"/>
  <c r="BD536"/>
  <c r="BE536"/>
  <c r="BF536"/>
  <c r="BG536"/>
  <c r="BI536"/>
  <c r="BK539"/>
  <c r="BL539"/>
  <c r="BM539"/>
  <c r="BN539"/>
  <c r="BO539"/>
  <c r="BP539"/>
  <c r="BQ539"/>
  <c r="CM539"/>
  <c r="BP546"/>
  <c r="BI553"/>
  <c r="BI545" s="1"/>
  <c r="CM553"/>
  <c r="CM545" s="1"/>
  <c r="BP554"/>
  <c r="BP555"/>
  <c r="BP556"/>
  <c r="BH560"/>
  <c r="BH553"/>
  <c r="BH545" s="1"/>
  <c r="BJ560"/>
  <c r="BJ553"/>
  <c r="BK560"/>
  <c r="BK553" s="1"/>
  <c r="BK545" s="1"/>
  <c r="BL560"/>
  <c r="BL553" s="1"/>
  <c r="BL545" s="1"/>
  <c r="BJ565"/>
  <c r="BG585"/>
  <c r="BI585"/>
  <c r="BJ585" s="1"/>
  <c r="AZ589"/>
  <c r="BA589"/>
  <c r="BB589"/>
  <c r="BC589"/>
  <c r="BD589"/>
  <c r="BE589"/>
  <c r="BF589"/>
  <c r="BG589"/>
  <c r="BH589"/>
  <c r="BI589"/>
  <c r="BJ589"/>
  <c r="BK589"/>
  <c r="BL589"/>
  <c r="BM589"/>
  <c r="CM589"/>
  <c r="AZ590"/>
  <c r="BA590"/>
  <c r="BB590"/>
  <c r="BC590"/>
  <c r="BD590"/>
  <c r="BE590"/>
  <c r="BF590"/>
  <c r="BG590"/>
  <c r="BH590"/>
  <c r="BC595"/>
  <c r="BD595"/>
  <c r="BE595"/>
  <c r="BF595"/>
  <c r="BG595"/>
  <c r="BH595"/>
  <c r="BC597"/>
  <c r="BD597"/>
  <c r="BE597"/>
  <c r="BF597"/>
  <c r="BG597"/>
  <c r="BH597"/>
  <c r="BA625"/>
  <c r="BB625"/>
  <c r="BC625"/>
  <c r="BD625"/>
  <c r="BE625"/>
  <c r="BF625"/>
  <c r="BG625"/>
  <c r="BG271" i="20" s="1"/>
  <c r="BH625" i="19"/>
  <c r="BI625"/>
  <c r="BJ625"/>
  <c r="BK625"/>
  <c r="BK271" i="20" s="1"/>
  <c r="CG271" s="1"/>
  <c r="BL625" i="19"/>
  <c r="BM625"/>
  <c r="BM271" i="20" s="1"/>
  <c r="CM625" i="19"/>
  <c r="BG632"/>
  <c r="BH632"/>
  <c r="BI632"/>
  <c r="BJ632"/>
  <c r="BK632"/>
  <c r="BL632"/>
  <c r="AV634"/>
  <c r="AW634"/>
  <c r="AX634"/>
  <c r="AY634"/>
  <c r="AZ634"/>
  <c r="BA634"/>
  <c r="BB634"/>
  <c r="BC634"/>
  <c r="BD634"/>
  <c r="BE634"/>
  <c r="BG636"/>
  <c r="BH636"/>
  <c r="BI636"/>
  <c r="BJ636"/>
  <c r="BK636"/>
  <c r="BL636"/>
  <c r="BG637"/>
  <c r="BH637"/>
  <c r="BI637"/>
  <c r="BJ637"/>
  <c r="BK637"/>
  <c r="BL637"/>
  <c r="BG638"/>
  <c r="BH638"/>
  <c r="BI638"/>
  <c r="BJ638"/>
  <c r="BK638"/>
  <c r="BL638"/>
  <c r="AV639"/>
  <c r="AV642"/>
  <c r="AW639"/>
  <c r="AW642"/>
  <c r="AX639"/>
  <c r="AX642"/>
  <c r="AY639"/>
  <c r="AY642"/>
  <c r="AZ639"/>
  <c r="BA639"/>
  <c r="BB639"/>
  <c r="BC639"/>
  <c r="BD639"/>
  <c r="BD642" s="1"/>
  <c r="BE639"/>
  <c r="BE642" s="1"/>
  <c r="AV645"/>
  <c r="AW645"/>
  <c r="AX645"/>
  <c r="AY645"/>
  <c r="AY649"/>
  <c r="AY659"/>
  <c r="AY665"/>
  <c r="AZ645"/>
  <c r="BA645"/>
  <c r="BB645"/>
  <c r="BC645"/>
  <c r="BD645"/>
  <c r="BE645"/>
  <c r="BF645"/>
  <c r="BG645"/>
  <c r="BH645"/>
  <c r="BI645"/>
  <c r="BJ645"/>
  <c r="BK645"/>
  <c r="BL645"/>
  <c r="AV649"/>
  <c r="AW649"/>
  <c r="AX649"/>
  <c r="AZ649"/>
  <c r="BA649"/>
  <c r="BB649"/>
  <c r="BC649"/>
  <c r="BD649"/>
  <c r="BE649"/>
  <c r="BF649"/>
  <c r="BG649"/>
  <c r="BH649"/>
  <c r="BI649"/>
  <c r="BJ649"/>
  <c r="BK649"/>
  <c r="BL649"/>
  <c r="BH653"/>
  <c r="BI653"/>
  <c r="BJ653"/>
  <c r="BK653"/>
  <c r="BL653"/>
  <c r="AV655"/>
  <c r="AW655"/>
  <c r="AX655"/>
  <c r="AY655"/>
  <c r="AZ655"/>
  <c r="BA655"/>
  <c r="BB655"/>
  <c r="BC655"/>
  <c r="BD655"/>
  <c r="BE655"/>
  <c r="BG656"/>
  <c r="BH656"/>
  <c r="BI656"/>
  <c r="BJ656"/>
  <c r="BJ703" s="1"/>
  <c r="BK656"/>
  <c r="BL656"/>
  <c r="AV659"/>
  <c r="AW659"/>
  <c r="AX659"/>
  <c r="AZ659"/>
  <c r="BA659"/>
  <c r="BB659"/>
  <c r="BC659"/>
  <c r="BD659"/>
  <c r="BE659"/>
  <c r="BG660"/>
  <c r="BH660"/>
  <c r="BI660"/>
  <c r="BJ660"/>
  <c r="BJ659" s="1"/>
  <c r="BK660"/>
  <c r="BK659" s="1"/>
  <c r="BL660"/>
  <c r="AV665"/>
  <c r="AW665"/>
  <c r="AX665"/>
  <c r="AZ665"/>
  <c r="AZ698" s="1"/>
  <c r="BA665"/>
  <c r="BB665"/>
  <c r="BC665"/>
  <c r="BD665"/>
  <c r="BE665"/>
  <c r="BG666"/>
  <c r="BG665" s="1"/>
  <c r="BH666"/>
  <c r="BI666"/>
  <c r="BJ666"/>
  <c r="BJ665" s="1"/>
  <c r="BK666"/>
  <c r="BL666"/>
  <c r="BG671"/>
  <c r="BH671"/>
  <c r="BH672"/>
  <c r="BI671"/>
  <c r="BJ671"/>
  <c r="BK671"/>
  <c r="BL671"/>
  <c r="BL672"/>
  <c r="BG672"/>
  <c r="BI672"/>
  <c r="BJ672"/>
  <c r="BK672"/>
  <c r="BB673"/>
  <c r="BB699" s="1"/>
  <c r="BC673"/>
  <c r="BC699" s="1"/>
  <c r="BD673"/>
  <c r="BD699" s="1"/>
  <c r="BE673"/>
  <c r="BE699" s="1"/>
  <c r="BE700" s="1"/>
  <c r="BG677"/>
  <c r="BH677"/>
  <c r="BH202" i="20" s="1"/>
  <c r="BI677" i="19"/>
  <c r="BJ677"/>
  <c r="BK677"/>
  <c r="BL677"/>
  <c r="BL202" i="20"/>
  <c r="BG679" i="19"/>
  <c r="BH679"/>
  <c r="BI679"/>
  <c r="BJ679"/>
  <c r="BK679"/>
  <c r="BL679"/>
  <c r="BP682"/>
  <c r="AV683"/>
  <c r="AW683"/>
  <c r="AX683"/>
  <c r="AY683"/>
  <c r="AZ683"/>
  <c r="BA683"/>
  <c r="BB683"/>
  <c r="BC683"/>
  <c r="BD683"/>
  <c r="BE683"/>
  <c r="BF683"/>
  <c r="BG683"/>
  <c r="BH683"/>
  <c r="BI683"/>
  <c r="BK683"/>
  <c r="BL683"/>
  <c r="BF687"/>
  <c r="BG687"/>
  <c r="BH687"/>
  <c r="BI687"/>
  <c r="BJ687"/>
  <c r="BK687"/>
  <c r="BL687"/>
  <c r="BF690"/>
  <c r="BF357" i="20"/>
  <c r="BG690" i="19"/>
  <c r="BG357" i="20"/>
  <c r="BH690" i="19"/>
  <c r="BH357" i="20"/>
  <c r="BI690" i="19"/>
  <c r="BI357" i="20"/>
  <c r="BJ690" i="19"/>
  <c r="BJ357" i="20"/>
  <c r="BK690" i="19"/>
  <c r="BK357" i="20"/>
  <c r="BL690" i="19"/>
  <c r="BL357" i="20"/>
  <c r="AW695" i="19"/>
  <c r="AX695"/>
  <c r="AY695"/>
  <c r="AZ695"/>
  <c r="BA695"/>
  <c r="BB695"/>
  <c r="BC695"/>
  <c r="BD695"/>
  <c r="BE695"/>
  <c r="BF695"/>
  <c r="BG695"/>
  <c r="BH695"/>
  <c r="BI695"/>
  <c r="BJ695"/>
  <c r="AZ696"/>
  <c r="BA696"/>
  <c r="BB696"/>
  <c r="BC696"/>
  <c r="BD696"/>
  <c r="BE696"/>
  <c r="BF696"/>
  <c r="BG696"/>
  <c r="BH696"/>
  <c r="BI696"/>
  <c r="AV699"/>
  <c r="AW699"/>
  <c r="AX699"/>
  <c r="AY699"/>
  <c r="AZ699"/>
  <c r="BA699"/>
  <c r="BF708"/>
  <c r="BG708"/>
  <c r="BH708"/>
  <c r="BI708"/>
  <c r="BJ708"/>
  <c r="BK708"/>
  <c r="BL708"/>
  <c r="BM708"/>
  <c r="CM708"/>
  <c r="BF712"/>
  <c r="BF633" s="1"/>
  <c r="BG712"/>
  <c r="BH712"/>
  <c r="BH633" s="1"/>
  <c r="BH634" s="1"/>
  <c r="BH698" s="1"/>
  <c r="BI712"/>
  <c r="BJ712"/>
  <c r="BJ715"/>
  <c r="BK712"/>
  <c r="BK633" s="1"/>
  <c r="BK634" s="1"/>
  <c r="BL712"/>
  <c r="BL633" s="1"/>
  <c r="CM712"/>
  <c r="BF715"/>
  <c r="BG715"/>
  <c r="BH715"/>
  <c r="BI715"/>
  <c r="BK715"/>
  <c r="BL715"/>
  <c r="BM715"/>
  <c r="BM711"/>
  <c r="CM715"/>
  <c r="BF718"/>
  <c r="BG718"/>
  <c r="BH718"/>
  <c r="BI718"/>
  <c r="BJ718"/>
  <c r="BK718"/>
  <c r="BL718"/>
  <c r="BM718"/>
  <c r="CM718"/>
  <c r="BF721"/>
  <c r="BG721"/>
  <c r="BH721"/>
  <c r="BI721"/>
  <c r="BJ721"/>
  <c r="BK721"/>
  <c r="BL721"/>
  <c r="BM721"/>
  <c r="CM721"/>
  <c r="BG725"/>
  <c r="BG675" s="1"/>
  <c r="BG199" i="20" s="1"/>
  <c r="BH725" i="19"/>
  <c r="BH675"/>
  <c r="BH199" i="20" s="1"/>
  <c r="BI725" i="19"/>
  <c r="BI675" s="1"/>
  <c r="BJ725"/>
  <c r="BJ675" s="1"/>
  <c r="BK725"/>
  <c r="BK675" s="1"/>
  <c r="BK199" i="20" s="1"/>
  <c r="BL725" i="19"/>
  <c r="BL675" s="1"/>
  <c r="BL199" i="20" s="1"/>
  <c r="CM725" i="19"/>
  <c r="BF732"/>
  <c r="BG732"/>
  <c r="BH732"/>
  <c r="BI732"/>
  <c r="BJ732"/>
  <c r="BK732"/>
  <c r="BL732"/>
  <c r="BM732"/>
  <c r="BM735"/>
  <c r="BM738"/>
  <c r="BM740"/>
  <c r="BM744"/>
  <c r="CM732"/>
  <c r="BF735"/>
  <c r="BG735"/>
  <c r="BH735"/>
  <c r="BI735"/>
  <c r="BJ735"/>
  <c r="BK735"/>
  <c r="BL735"/>
  <c r="BL738"/>
  <c r="BL740"/>
  <c r="BL744"/>
  <c r="CM735"/>
  <c r="BF738"/>
  <c r="BG738"/>
  <c r="BH738"/>
  <c r="BI738"/>
  <c r="BJ738"/>
  <c r="BK738"/>
  <c r="CM738"/>
  <c r="BF740"/>
  <c r="BG740"/>
  <c r="BH740"/>
  <c r="BI740"/>
  <c r="BJ740"/>
  <c r="BK740"/>
  <c r="CM740"/>
  <c r="BF744"/>
  <c r="BG744"/>
  <c r="BH744"/>
  <c r="BI744"/>
  <c r="BJ744"/>
  <c r="BK744"/>
  <c r="BK731" s="1"/>
  <c r="CM744"/>
  <c r="BF754"/>
  <c r="BG754"/>
  <c r="BH754"/>
  <c r="BI754"/>
  <c r="BJ754"/>
  <c r="BK754"/>
  <c r="BL754"/>
  <c r="BM754"/>
  <c r="CM754"/>
  <c r="BJ764"/>
  <c r="BK696" s="1"/>
  <c r="BJ363" i="20"/>
  <c r="CM764" i="19"/>
  <c r="AZ766"/>
  <c r="AZ364" i="20" s="1"/>
  <c r="BA766" i="19"/>
  <c r="BA364" i="20" s="1"/>
  <c r="BB766" i="19"/>
  <c r="BB364" i="20" s="1"/>
  <c r="BC766" i="19"/>
  <c r="BC364" i="20" s="1"/>
  <c r="BD766" i="19"/>
  <c r="BD364" i="20" s="1"/>
  <c r="BE766" i="19"/>
  <c r="BE364" i="20" s="1"/>
  <c r="BF766" i="19"/>
  <c r="BF364" i="20" s="1"/>
  <c r="BG364" s="1"/>
  <c r="BH364" s="1"/>
  <c r="BI364" s="1"/>
  <c r="BJ364" s="1"/>
  <c r="AV781" i="19"/>
  <c r="AW781"/>
  <c r="AX781"/>
  <c r="AY781"/>
  <c r="AZ781"/>
  <c r="BA781"/>
  <c r="BB781"/>
  <c r="BC781"/>
  <c r="BD781"/>
  <c r="BE781"/>
  <c r="BF781"/>
  <c r="BG781"/>
  <c r="BH781"/>
  <c r="BI781"/>
  <c r="BJ781"/>
  <c r="AX785"/>
  <c r="AY785"/>
  <c r="AZ785"/>
  <c r="BA785"/>
  <c r="BB785"/>
  <c r="BC785"/>
  <c r="BD785"/>
  <c r="BE785"/>
  <c r="BF785"/>
  <c r="BG785"/>
  <c r="BH785"/>
  <c r="BI785"/>
  <c r="BJ785"/>
  <c r="BG798"/>
  <c r="BH798"/>
  <c r="BI798"/>
  <c r="BL798"/>
  <c r="BM798"/>
  <c r="BN798"/>
  <c r="BO798"/>
  <c r="BP798"/>
  <c r="CM798"/>
  <c r="BD799"/>
  <c r="BD809" s="1"/>
  <c r="BE799"/>
  <c r="BE809" s="1"/>
  <c r="BF799"/>
  <c r="BG799"/>
  <c r="BH799"/>
  <c r="BH150" i="20" s="1"/>
  <c r="BI799" i="19"/>
  <c r="BJ799"/>
  <c r="BK799"/>
  <c r="CM799"/>
  <c r="BG801"/>
  <c r="BG152" i="20" s="1"/>
  <c r="BH801" i="19"/>
  <c r="BI801"/>
  <c r="CM801"/>
  <c r="BG802"/>
  <c r="CM804"/>
  <c r="BJ807"/>
  <c r="BK807"/>
  <c r="BL807"/>
  <c r="BM807"/>
  <c r="BN807"/>
  <c r="BO807"/>
  <c r="CM807"/>
  <c r="AV809"/>
  <c r="AW809"/>
  <c r="AX809"/>
  <c r="AY809"/>
  <c r="AZ809"/>
  <c r="BA809"/>
  <c r="BB809"/>
  <c r="BC809"/>
  <c r="CM818"/>
  <c r="CM823"/>
  <c r="CM829"/>
  <c r="BK835"/>
  <c r="BL835"/>
  <c r="BM835"/>
  <c r="BN835"/>
  <c r="BO835"/>
  <c r="BP835"/>
  <c r="BQ835"/>
  <c r="CM835"/>
  <c r="CM837" s="1"/>
  <c r="BK836"/>
  <c r="BL836"/>
  <c r="BM836"/>
  <c r="BN836"/>
  <c r="BO836"/>
  <c r="BP836"/>
  <c r="BQ836"/>
  <c r="CM836"/>
  <c r="CM838" s="1"/>
  <c r="BJ855"/>
  <c r="BK855"/>
  <c r="BL855"/>
  <c r="BM855"/>
  <c r="BN855"/>
  <c r="BO855"/>
  <c r="BP855"/>
  <c r="CM855"/>
  <c r="BP862"/>
  <c r="B899"/>
  <c r="C899"/>
  <c r="D899"/>
  <c r="AV899"/>
  <c r="AW899"/>
  <c r="AX899"/>
  <c r="AY899"/>
  <c r="AZ899"/>
  <c r="BA899"/>
  <c r="BB899"/>
  <c r="BC899"/>
  <c r="BD899"/>
  <c r="BE899"/>
  <c r="BF899"/>
  <c r="BG899"/>
  <c r="BH899"/>
  <c r="BI899"/>
  <c r="BJ899"/>
  <c r="B900"/>
  <c r="C900"/>
  <c r="D900"/>
  <c r="AV900"/>
  <c r="AW900"/>
  <c r="AX900"/>
  <c r="AY900"/>
  <c r="AZ900"/>
  <c r="BA900"/>
  <c r="BB900"/>
  <c r="BC900"/>
  <c r="BD900"/>
  <c r="BE900"/>
  <c r="BF900"/>
  <c r="BG900"/>
  <c r="BH900"/>
  <c r="BI900"/>
  <c r="BJ900"/>
  <c r="B932"/>
  <c r="C932"/>
  <c r="D932"/>
  <c r="AV932"/>
  <c r="AW932"/>
  <c r="AX932"/>
  <c r="AY932"/>
  <c r="AZ932"/>
  <c r="BA932"/>
  <c r="BB932"/>
  <c r="BC932"/>
  <c r="BD932"/>
  <c r="BE932"/>
  <c r="BF932"/>
  <c r="BG932"/>
  <c r="BH932"/>
  <c r="BI932"/>
  <c r="BJ932"/>
  <c r="B934"/>
  <c r="C934"/>
  <c r="D934"/>
  <c r="AV934"/>
  <c r="AW934"/>
  <c r="AX934"/>
  <c r="AY934"/>
  <c r="AZ934"/>
  <c r="BA934"/>
  <c r="BB934"/>
  <c r="BC934"/>
  <c r="BD934"/>
  <c r="BE934"/>
  <c r="BF934"/>
  <c r="BG934"/>
  <c r="BH934"/>
  <c r="BI934"/>
  <c r="BJ934"/>
  <c r="B952"/>
  <c r="C952"/>
  <c r="D952"/>
  <c r="AV952"/>
  <c r="AW952"/>
  <c r="AX952"/>
  <c r="AY952"/>
  <c r="AZ952"/>
  <c r="BA952"/>
  <c r="BB952"/>
  <c r="BC952"/>
  <c r="BD952"/>
  <c r="BE952"/>
  <c r="BF952"/>
  <c r="BG952"/>
  <c r="B954"/>
  <c r="C954"/>
  <c r="D954"/>
  <c r="AV954"/>
  <c r="AW954"/>
  <c r="AX954"/>
  <c r="AY954"/>
  <c r="AZ954"/>
  <c r="BA954"/>
  <c r="BB954"/>
  <c r="BC954"/>
  <c r="BD954"/>
  <c r="BE954"/>
  <c r="BF954"/>
  <c r="BG954"/>
  <c r="B956"/>
  <c r="C956"/>
  <c r="D956"/>
  <c r="AV956"/>
  <c r="AW956"/>
  <c r="AX956"/>
  <c r="AY956"/>
  <c r="AZ956"/>
  <c r="BA956"/>
  <c r="BB956"/>
  <c r="BC956"/>
  <c r="BD956"/>
  <c r="BE956"/>
  <c r="BF956"/>
  <c r="BG956"/>
  <c r="BP971"/>
  <c r="BI972"/>
  <c r="BK972" s="1"/>
  <c r="BL972" s="1"/>
  <c r="BM972" s="1"/>
  <c r="BN972" s="1"/>
  <c r="BO972" s="1"/>
  <c r="BP972" s="1"/>
  <c r="BJ972"/>
  <c r="CM972"/>
  <c r="CM970" s="1"/>
  <c r="CM72" s="1"/>
  <c r="BP88"/>
  <c r="BG986"/>
  <c r="BH986"/>
  <c r="BI986"/>
  <c r="BJ986"/>
  <c r="BK986"/>
  <c r="BL986"/>
  <c r="BM986"/>
  <c r="BN986"/>
  <c r="BO986"/>
  <c r="CM986"/>
  <c r="BP990"/>
  <c r="AT2" i="28"/>
  <c r="BE2"/>
  <c r="BF2"/>
  <c r="BA10"/>
  <c r="BB10"/>
  <c r="BC10"/>
  <c r="BD10"/>
  <c r="BE10"/>
  <c r="BF10"/>
  <c r="BG10"/>
  <c r="BH10"/>
  <c r="BI10"/>
  <c r="BP10"/>
  <c r="A25"/>
  <c r="B25"/>
  <c r="C25"/>
  <c r="A27"/>
  <c r="B27"/>
  <c r="C27"/>
  <c r="A30"/>
  <c r="A48" s="1"/>
  <c r="B30"/>
  <c r="C30"/>
  <c r="A31"/>
  <c r="A49" s="1"/>
  <c r="B31"/>
  <c r="C31"/>
  <c r="A33"/>
  <c r="A51" s="1"/>
  <c r="B33"/>
  <c r="C33"/>
  <c r="A34"/>
  <c r="A52" s="1"/>
  <c r="B34"/>
  <c r="C34"/>
  <c r="A36"/>
  <c r="B36"/>
  <c r="C36"/>
  <c r="A38"/>
  <c r="A55" s="1"/>
  <c r="B38"/>
  <c r="C38"/>
  <c r="A39"/>
  <c r="A56" s="1"/>
  <c r="B39"/>
  <c r="C39"/>
  <c r="A40"/>
  <c r="A57" s="1"/>
  <c r="B40"/>
  <c r="C40"/>
  <c r="A41"/>
  <c r="A101" s="1"/>
  <c r="B41"/>
  <c r="B101" s="1"/>
  <c r="C41"/>
  <c r="C101" s="1"/>
  <c r="A45"/>
  <c r="A105" s="1"/>
  <c r="B45"/>
  <c r="B105" s="1"/>
  <c r="C45"/>
  <c r="C105" s="1"/>
  <c r="D45"/>
  <c r="E73" s="1"/>
  <c r="A47"/>
  <c r="A50"/>
  <c r="A53"/>
  <c r="A77" s="1"/>
  <c r="A54"/>
  <c r="A111" s="1"/>
  <c r="A63"/>
  <c r="A64"/>
  <c r="A65"/>
  <c r="A66"/>
  <c r="A67"/>
  <c r="A68"/>
  <c r="A74"/>
  <c r="A93"/>
  <c r="A94"/>
  <c r="A95"/>
  <c r="B95"/>
  <c r="C95"/>
  <c r="D95"/>
  <c r="A96"/>
  <c r="B96"/>
  <c r="C96"/>
  <c r="D96"/>
  <c r="A97"/>
  <c r="B97"/>
  <c r="C97"/>
  <c r="D97"/>
  <c r="A98"/>
  <c r="B98"/>
  <c r="C98"/>
  <c r="D98"/>
  <c r="A99"/>
  <c r="B99"/>
  <c r="C99"/>
  <c r="D99"/>
  <c r="A100"/>
  <c r="B100"/>
  <c r="C100"/>
  <c r="D100"/>
  <c r="D101"/>
  <c r="A103"/>
  <c r="A104"/>
  <c r="B104"/>
  <c r="C104"/>
  <c r="D104"/>
  <c r="BF104"/>
  <c r="BG104"/>
  <c r="BH104"/>
  <c r="A106"/>
  <c r="B106"/>
  <c r="C106"/>
  <c r="D106"/>
  <c r="B107"/>
  <c r="C107"/>
  <c r="D107"/>
  <c r="B109"/>
  <c r="C109"/>
  <c r="D109"/>
  <c r="B110"/>
  <c r="C110"/>
  <c r="D110"/>
  <c r="B111"/>
  <c r="C111"/>
  <c r="D111"/>
  <c r="B112"/>
  <c r="C112"/>
  <c r="D112"/>
  <c r="R115" i="25"/>
  <c r="R25" i="20"/>
  <c r="R117" i="25"/>
  <c r="R26" i="20"/>
  <c r="R119" i="25"/>
  <c r="R27" i="20" s="1"/>
  <c r="R94"/>
  <c r="B1192" i="13"/>
  <c r="B1499"/>
  <c r="B1504"/>
  <c r="B1541"/>
  <c r="B1559"/>
  <c r="B1713"/>
  <c r="B1742"/>
  <c r="B1803"/>
  <c r="B2270"/>
  <c r="B2277"/>
  <c r="B2421"/>
  <c r="AU6" i="20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M80"/>
  <c r="AN13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F25"/>
  <c r="G25"/>
  <c r="H25"/>
  <c r="I25"/>
  <c r="J25"/>
  <c r="K25"/>
  <c r="L25"/>
  <c r="M25"/>
  <c r="N25"/>
  <c r="O25"/>
  <c r="P25"/>
  <c r="Q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F26"/>
  <c r="G26"/>
  <c r="H26"/>
  <c r="I26"/>
  <c r="J26"/>
  <c r="K26"/>
  <c r="L26"/>
  <c r="M26"/>
  <c r="N26"/>
  <c r="O26"/>
  <c r="P26"/>
  <c r="Q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S10" i="14"/>
  <c r="F27" i="20"/>
  <c r="G27"/>
  <c r="H27"/>
  <c r="I27"/>
  <c r="J27"/>
  <c r="K27"/>
  <c r="L27"/>
  <c r="M27"/>
  <c r="N27"/>
  <c r="O27"/>
  <c r="P27"/>
  <c r="Q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S16" i="14"/>
  <c r="AZ35" i="20"/>
  <c r="BA35"/>
  <c r="BB35"/>
  <c r="BC35"/>
  <c r="BD35"/>
  <c r="BE35"/>
  <c r="BF35"/>
  <c r="BG35"/>
  <c r="BI35"/>
  <c r="BJ35"/>
  <c r="BK35"/>
  <c r="CG35" s="1"/>
  <c r="BL35"/>
  <c r="AV45"/>
  <c r="CG54"/>
  <c r="CG55"/>
  <c r="CG57"/>
  <c r="CG76"/>
  <c r="F80"/>
  <c r="G80"/>
  <c r="H80"/>
  <c r="H161" s="1"/>
  <c r="I80"/>
  <c r="I161" s="1"/>
  <c r="J80"/>
  <c r="K80"/>
  <c r="K161" s="1"/>
  <c r="L80"/>
  <c r="L161" s="1"/>
  <c r="M80"/>
  <c r="N80"/>
  <c r="N161" s="1"/>
  <c r="O80"/>
  <c r="O161" s="1"/>
  <c r="P80"/>
  <c r="Q80"/>
  <c r="Q161" s="1"/>
  <c r="R80"/>
  <c r="S80"/>
  <c r="T80"/>
  <c r="U80"/>
  <c r="V80"/>
  <c r="W80"/>
  <c r="X80"/>
  <c r="Y80"/>
  <c r="Z80"/>
  <c r="AA80"/>
  <c r="AA161" s="1"/>
  <c r="AB80"/>
  <c r="AC80"/>
  <c r="AD80"/>
  <c r="AE80"/>
  <c r="AE161" s="1"/>
  <c r="AF80"/>
  <c r="AG80"/>
  <c r="AG161" s="1"/>
  <c r="AH80"/>
  <c r="AH161" s="1"/>
  <c r="AI80"/>
  <c r="AJ80"/>
  <c r="AJ161" s="1"/>
  <c r="AK80"/>
  <c r="AL80"/>
  <c r="AL161" s="1"/>
  <c r="AN80"/>
  <c r="AN161" s="1"/>
  <c r="AU16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F92"/>
  <c r="G92"/>
  <c r="H92"/>
  <c r="I92"/>
  <c r="J92"/>
  <c r="K92"/>
  <c r="L92"/>
  <c r="M92"/>
  <c r="N92"/>
  <c r="O92"/>
  <c r="O68" s="1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X69" s="1"/>
  <c r="Y93"/>
  <c r="Z93"/>
  <c r="AA93"/>
  <c r="AB93"/>
  <c r="AC93"/>
  <c r="AD93"/>
  <c r="AE93"/>
  <c r="AF93"/>
  <c r="AF69" s="1"/>
  <c r="AG93"/>
  <c r="AH93"/>
  <c r="AI93"/>
  <c r="AJ93"/>
  <c r="AK93"/>
  <c r="AL93"/>
  <c r="AM93"/>
  <c r="AN93"/>
  <c r="F94"/>
  <c r="G94"/>
  <c r="H94"/>
  <c r="I94"/>
  <c r="J94"/>
  <c r="K94"/>
  <c r="L94"/>
  <c r="M94"/>
  <c r="N94"/>
  <c r="O94"/>
  <c r="P94"/>
  <c r="Q94"/>
  <c r="S94"/>
  <c r="T94"/>
  <c r="U94"/>
  <c r="U70" s="1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CG100"/>
  <c r="AQ105"/>
  <c r="AR105"/>
  <c r="AS105"/>
  <c r="AT105"/>
  <c r="AU105"/>
  <c r="AQ112"/>
  <c r="AR112"/>
  <c r="AS112"/>
  <c r="AT112"/>
  <c r="AU112"/>
  <c r="AQ113"/>
  <c r="AR113"/>
  <c r="AS113"/>
  <c r="AT113"/>
  <c r="AU113"/>
  <c r="AQ119"/>
  <c r="AR119"/>
  <c r="AS119"/>
  <c r="AT119"/>
  <c r="AU119"/>
  <c r="AQ120"/>
  <c r="AR120"/>
  <c r="AS120"/>
  <c r="AT120"/>
  <c r="AU120"/>
  <c r="AQ121"/>
  <c r="AR121"/>
  <c r="AS121"/>
  <c r="AT121"/>
  <c r="AU121"/>
  <c r="CG122"/>
  <c r="AP127"/>
  <c r="AQ127"/>
  <c r="AR127"/>
  <c r="AS127"/>
  <c r="AT127"/>
  <c r="AU127"/>
  <c r="AP134"/>
  <c r="AQ134"/>
  <c r="AR134"/>
  <c r="AS134"/>
  <c r="AT134"/>
  <c r="AU134"/>
  <c r="AP135"/>
  <c r="AQ135"/>
  <c r="AR135"/>
  <c r="AS135"/>
  <c r="AT135"/>
  <c r="AU135"/>
  <c r="AP141"/>
  <c r="AQ141"/>
  <c r="AR141"/>
  <c r="AS141"/>
  <c r="AT141"/>
  <c r="AU141"/>
  <c r="AP142"/>
  <c r="AQ142"/>
  <c r="AR142"/>
  <c r="AS142"/>
  <c r="AT142"/>
  <c r="AU142"/>
  <c r="AP143"/>
  <c r="AQ143"/>
  <c r="AR143"/>
  <c r="AS143"/>
  <c r="AT143"/>
  <c r="AU143"/>
  <c r="CG144"/>
  <c r="CG160"/>
  <c r="B166"/>
  <c r="D166"/>
  <c r="AW166"/>
  <c r="AX166"/>
  <c r="AY166"/>
  <c r="AZ166"/>
  <c r="BA166"/>
  <c r="BB166"/>
  <c r="BC166"/>
  <c r="BD166"/>
  <c r="BE166" s="1"/>
  <c r="BF166"/>
  <c r="BG166"/>
  <c r="BH166"/>
  <c r="BI166"/>
  <c r="BJ166"/>
  <c r="BK166"/>
  <c r="CG166" s="1"/>
  <c r="CG167"/>
  <c r="D168"/>
  <c r="F168"/>
  <c r="F171" s="1"/>
  <c r="G168"/>
  <c r="G171" s="1"/>
  <c r="H168"/>
  <c r="H171" s="1"/>
  <c r="I168"/>
  <c r="I171" s="1"/>
  <c r="J168"/>
  <c r="J171" s="1"/>
  <c r="K168"/>
  <c r="K171" s="1"/>
  <c r="L168"/>
  <c r="L171" s="1"/>
  <c r="M168"/>
  <c r="M171" s="1"/>
  <c r="N168"/>
  <c r="N171" s="1"/>
  <c r="O168"/>
  <c r="O171" s="1"/>
  <c r="P168"/>
  <c r="P171" s="1"/>
  <c r="Q168"/>
  <c r="Q171" s="1"/>
  <c r="R168"/>
  <c r="R171" s="1"/>
  <c r="S168"/>
  <c r="S171" s="1"/>
  <c r="T168"/>
  <c r="T171" s="1"/>
  <c r="U168"/>
  <c r="U171" s="1"/>
  <c r="V168"/>
  <c r="V171" s="1"/>
  <c r="W168"/>
  <c r="W171" s="1"/>
  <c r="X168"/>
  <c r="X171" s="1"/>
  <c r="Y168"/>
  <c r="Y171" s="1"/>
  <c r="Z168"/>
  <c r="Z171" s="1"/>
  <c r="AA168"/>
  <c r="AA171" s="1"/>
  <c r="AB168"/>
  <c r="AB171" s="1"/>
  <c r="AC168"/>
  <c r="AC171" s="1"/>
  <c r="AD168"/>
  <c r="AD171" s="1"/>
  <c r="AE168"/>
  <c r="AE171" s="1"/>
  <c r="AF168"/>
  <c r="AF171" s="1"/>
  <c r="AG168"/>
  <c r="AG171" s="1"/>
  <c r="AH168"/>
  <c r="AH171" s="1"/>
  <c r="AI168"/>
  <c r="AI171" s="1"/>
  <c r="AJ168"/>
  <c r="AJ171" s="1"/>
  <c r="AK168"/>
  <c r="AK171" s="1"/>
  <c r="AL168"/>
  <c r="AL171" s="1"/>
  <c r="AM168"/>
  <c r="AM171" s="1"/>
  <c r="AN168"/>
  <c r="AN171" s="1"/>
  <c r="AO168"/>
  <c r="AO171" s="1"/>
  <c r="AP168"/>
  <c r="AP171" s="1"/>
  <c r="AQ168"/>
  <c r="AQ171" s="1"/>
  <c r="AR168"/>
  <c r="AR171" s="1"/>
  <c r="AS168"/>
  <c r="AS171" s="1"/>
  <c r="AT168"/>
  <c r="AT171" s="1"/>
  <c r="AU168"/>
  <c r="AU171" s="1"/>
  <c r="CG173"/>
  <c r="BL173"/>
  <c r="CG175"/>
  <c r="CG179"/>
  <c r="CG180"/>
  <c r="F181"/>
  <c r="E36" i="28" s="1"/>
  <c r="E35" s="1"/>
  <c r="G181" i="20"/>
  <c r="H181"/>
  <c r="G36" i="28" s="1"/>
  <c r="G35" s="1"/>
  <c r="I181" i="20"/>
  <c r="H36" i="28" s="1"/>
  <c r="H35" s="1"/>
  <c r="J181" i="20"/>
  <c r="I36" i="28" s="1"/>
  <c r="I35" s="1"/>
  <c r="K181" i="20"/>
  <c r="J36" i="28" s="1"/>
  <c r="J35" s="1"/>
  <c r="L181" i="20"/>
  <c r="K36" i="28" s="1"/>
  <c r="K35" s="1"/>
  <c r="M181" i="20"/>
  <c r="L36" i="28" s="1"/>
  <c r="L35" s="1"/>
  <c r="N181" i="20"/>
  <c r="M36" i="28" s="1"/>
  <c r="M35" s="1"/>
  <c r="M99" s="1"/>
  <c r="O181" i="20"/>
  <c r="P181"/>
  <c r="O36" i="28" s="1"/>
  <c r="O35" s="1"/>
  <c r="Q181" i="20"/>
  <c r="P36" i="28" s="1"/>
  <c r="P35" s="1"/>
  <c r="R181" i="20"/>
  <c r="S181"/>
  <c r="R36" i="28" s="1"/>
  <c r="R35" s="1"/>
  <c r="R99" s="1"/>
  <c r="T181" i="20"/>
  <c r="S36" i="28" s="1"/>
  <c r="S35" s="1"/>
  <c r="U181" i="20"/>
  <c r="T36" i="28" s="1"/>
  <c r="T35" s="1"/>
  <c r="V181" i="20"/>
  <c r="U36" i="28" s="1"/>
  <c r="U35" s="1"/>
  <c r="W181" i="20"/>
  <c r="X181"/>
  <c r="W36" i="28" s="1"/>
  <c r="W35" s="1"/>
  <c r="Y181" i="20"/>
  <c r="X36" i="28" s="1"/>
  <c r="X35" s="1"/>
  <c r="Z181" i="20"/>
  <c r="AA181"/>
  <c r="Z36" i="28" s="1"/>
  <c r="Z35" s="1"/>
  <c r="Z99" s="1"/>
  <c r="AB181" i="20"/>
  <c r="AA36" i="28" s="1"/>
  <c r="AA35" s="1"/>
  <c r="AC181" i="20"/>
  <c r="AB36" i="28" s="1"/>
  <c r="AB35" s="1"/>
  <c r="AB99" s="1"/>
  <c r="AD181" i="20"/>
  <c r="AC36" i="28" s="1"/>
  <c r="AC35" s="1"/>
  <c r="AE181" i="20"/>
  <c r="AF181"/>
  <c r="AE36" i="28" s="1"/>
  <c r="AE35" s="1"/>
  <c r="AE99" s="1"/>
  <c r="AG181" i="20"/>
  <c r="AF36" i="28" s="1"/>
  <c r="AF35" s="1"/>
  <c r="AH181" i="20"/>
  <c r="AI181"/>
  <c r="AH36" i="28" s="1"/>
  <c r="AH35" s="1"/>
  <c r="AJ181" i="20"/>
  <c r="AI36" i="28" s="1"/>
  <c r="AI35" s="1"/>
  <c r="AK181" i="20"/>
  <c r="AJ36" i="28" s="1"/>
  <c r="AJ35" s="1"/>
  <c r="AJ99" s="1"/>
  <c r="AL181" i="20"/>
  <c r="AK36" i="28" s="1"/>
  <c r="AK35" s="1"/>
  <c r="AM181" i="20"/>
  <c r="AL36" i="28" s="1"/>
  <c r="AL35" s="1"/>
  <c r="AN181" i="20"/>
  <c r="AM36" i="28" s="1"/>
  <c r="AM35" s="1"/>
  <c r="AM99" s="1"/>
  <c r="AO181" i="20"/>
  <c r="AN36" i="28" s="1"/>
  <c r="AN35" s="1"/>
  <c r="AP36"/>
  <c r="AP35" s="1"/>
  <c r="AQ36"/>
  <c r="AQ35" s="1"/>
  <c r="AR36"/>
  <c r="AR35" s="1"/>
  <c r="AS36"/>
  <c r="AS35" s="1"/>
  <c r="AS99" s="1"/>
  <c r="AT36"/>
  <c r="AT35" s="1"/>
  <c r="BE181" i="20"/>
  <c r="F183"/>
  <c r="E39" i="28" s="1"/>
  <c r="G183" i="20"/>
  <c r="H183"/>
  <c r="G39" i="28" s="1"/>
  <c r="I183" i="20"/>
  <c r="J183"/>
  <c r="I39" i="28" s="1"/>
  <c r="K183" i="20"/>
  <c r="L183"/>
  <c r="K39" i="28" s="1"/>
  <c r="M183" i="20"/>
  <c r="N183"/>
  <c r="M39" i="28" s="1"/>
  <c r="O183" i="20"/>
  <c r="N39" i="28" s="1"/>
  <c r="P183" i="20"/>
  <c r="O39" i="28" s="1"/>
  <c r="Q183" i="20"/>
  <c r="R183"/>
  <c r="Q39" i="28" s="1"/>
  <c r="S183" i="20"/>
  <c r="T183"/>
  <c r="S39" i="28" s="1"/>
  <c r="U183" i="20"/>
  <c r="V183"/>
  <c r="U39" i="28" s="1"/>
  <c r="W183" i="20"/>
  <c r="X183"/>
  <c r="W39" i="28" s="1"/>
  <c r="Y183" i="20"/>
  <c r="Z183"/>
  <c r="Y39" i="28" s="1"/>
  <c r="AA183" i="20"/>
  <c r="AB183"/>
  <c r="AA39" i="28" s="1"/>
  <c r="AC183" i="20"/>
  <c r="AD183"/>
  <c r="AC39" i="28" s="1"/>
  <c r="AE183" i="20"/>
  <c r="AF183"/>
  <c r="AE39" i="28" s="1"/>
  <c r="AG183" i="20"/>
  <c r="AF39" i="28" s="1"/>
  <c r="AH183" i="20"/>
  <c r="AG39" i="28" s="1"/>
  <c r="AI183" i="20"/>
  <c r="AJ183"/>
  <c r="AI39" i="28" s="1"/>
  <c r="AK183" i="20"/>
  <c r="AL183"/>
  <c r="AK39" i="28" s="1"/>
  <c r="AM183" i="20"/>
  <c r="AN183"/>
  <c r="AM39" i="28" s="1"/>
  <c r="AN39"/>
  <c r="AO39"/>
  <c r="AP39"/>
  <c r="AQ39"/>
  <c r="AS39"/>
  <c r="AT39"/>
  <c r="F184" i="20"/>
  <c r="E40" i="28" s="1"/>
  <c r="G184" i="20"/>
  <c r="F40" i="28" s="1"/>
  <c r="H184" i="20"/>
  <c r="G40" i="28" s="1"/>
  <c r="I184" i="20"/>
  <c r="H40" i="28" s="1"/>
  <c r="J184" i="20"/>
  <c r="I40" i="28" s="1"/>
  <c r="K184" i="20"/>
  <c r="J40" i="28" s="1"/>
  <c r="L184" i="20"/>
  <c r="K40" i="28" s="1"/>
  <c r="M184" i="20"/>
  <c r="L40" i="28" s="1"/>
  <c r="N184" i="20"/>
  <c r="M40" i="28" s="1"/>
  <c r="O184" i="20"/>
  <c r="N40" i="28" s="1"/>
  <c r="P184" i="20"/>
  <c r="O40" i="28" s="1"/>
  <c r="Q184" i="20"/>
  <c r="P40" i="28" s="1"/>
  <c r="R184" i="20"/>
  <c r="Q40" i="28" s="1"/>
  <c r="S184" i="20"/>
  <c r="R40" i="28" s="1"/>
  <c r="T184" i="20"/>
  <c r="S40" i="28" s="1"/>
  <c r="U184" i="20"/>
  <c r="T40" i="28" s="1"/>
  <c r="V184" i="20"/>
  <c r="U40" i="28" s="1"/>
  <c r="W184" i="20"/>
  <c r="V40" i="28" s="1"/>
  <c r="X184" i="20"/>
  <c r="W40" i="28" s="1"/>
  <c r="Y184" i="20"/>
  <c r="X40" i="28" s="1"/>
  <c r="Z184" i="20"/>
  <c r="Y40" i="28" s="1"/>
  <c r="AA184" i="20"/>
  <c r="Z40" i="28" s="1"/>
  <c r="AB184" i="20"/>
  <c r="AA40" i="28" s="1"/>
  <c r="AC184" i="20"/>
  <c r="AB40" i="28" s="1"/>
  <c r="AD184" i="20"/>
  <c r="AC40" i="28" s="1"/>
  <c r="AE184" i="20"/>
  <c r="AD40" i="28" s="1"/>
  <c r="AF184" i="20"/>
  <c r="AE40" i="28" s="1"/>
  <c r="AG184" i="20"/>
  <c r="AF40" i="28" s="1"/>
  <c r="AH184" i="20"/>
  <c r="AG40" i="28" s="1"/>
  <c r="AI184" i="20"/>
  <c r="AH40" i="28" s="1"/>
  <c r="AJ184" i="20"/>
  <c r="AI40" i="28" s="1"/>
  <c r="AK184" i="20"/>
  <c r="AJ40" i="28" s="1"/>
  <c r="AL184" i="20"/>
  <c r="AK40" i="28" s="1"/>
  <c r="AM184" i="20"/>
  <c r="AL40" i="28" s="1"/>
  <c r="AN184" i="20"/>
  <c r="AM40" i="28" s="1"/>
  <c r="AN40"/>
  <c r="AO40"/>
  <c r="AP40"/>
  <c r="AQ40"/>
  <c r="AR40"/>
  <c r="AS40"/>
  <c r="AT40"/>
  <c r="CG185" i="20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AN186"/>
  <c r="AO186"/>
  <c r="AP186"/>
  <c r="AQ186"/>
  <c r="AR186"/>
  <c r="AS186"/>
  <c r="AT186"/>
  <c r="AU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AN187"/>
  <c r="AO187"/>
  <c r="AP187"/>
  <c r="AQ187"/>
  <c r="AR187"/>
  <c r="AS187"/>
  <c r="AT187"/>
  <c r="AU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AN188"/>
  <c r="AO188"/>
  <c r="AP188"/>
  <c r="AQ188"/>
  <c r="AR188"/>
  <c r="AS188"/>
  <c r="AT188"/>
  <c r="AU188"/>
  <c r="CG192"/>
  <c r="F195"/>
  <c r="G195"/>
  <c r="H195"/>
  <c r="I195"/>
  <c r="I202"/>
  <c r="J195"/>
  <c r="J202"/>
  <c r="K195"/>
  <c r="K238" s="1"/>
  <c r="K202"/>
  <c r="K269" s="1"/>
  <c r="L195"/>
  <c r="L238" s="1"/>
  <c r="M195"/>
  <c r="N195"/>
  <c r="O195"/>
  <c r="P195"/>
  <c r="Q195"/>
  <c r="Q238" s="1"/>
  <c r="R195"/>
  <c r="S195"/>
  <c r="S238" s="1"/>
  <c r="T195"/>
  <c r="T238" s="1"/>
  <c r="U195"/>
  <c r="V195"/>
  <c r="W195"/>
  <c r="X195"/>
  <c r="X202"/>
  <c r="X205" s="1"/>
  <c r="Y195"/>
  <c r="Z195"/>
  <c r="AA195"/>
  <c r="AB195"/>
  <c r="AC195"/>
  <c r="AD195"/>
  <c r="AE195"/>
  <c r="AF195"/>
  <c r="AG195"/>
  <c r="AG238" s="1"/>
  <c r="AH195"/>
  <c r="AI195"/>
  <c r="AJ195"/>
  <c r="AK195"/>
  <c r="AL195"/>
  <c r="AM195"/>
  <c r="AN195"/>
  <c r="AO195"/>
  <c r="AP195"/>
  <c r="AQ195"/>
  <c r="AQ238" s="1"/>
  <c r="AR195"/>
  <c r="AS195"/>
  <c r="AT195"/>
  <c r="AU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AN196"/>
  <c r="AO196"/>
  <c r="AP196"/>
  <c r="AQ196"/>
  <c r="AR196"/>
  <c r="AS196"/>
  <c r="AT196"/>
  <c r="AU196"/>
  <c r="CG197"/>
  <c r="B200"/>
  <c r="F202"/>
  <c r="F269" s="1"/>
  <c r="G202"/>
  <c r="H202"/>
  <c r="L202"/>
  <c r="M202"/>
  <c r="M269" s="1"/>
  <c r="N202"/>
  <c r="O202"/>
  <c r="P202"/>
  <c r="Q202"/>
  <c r="Q269" s="1"/>
  <c r="R202"/>
  <c r="S202"/>
  <c r="S205" s="1"/>
  <c r="T202"/>
  <c r="T269" s="1"/>
  <c r="U202"/>
  <c r="V202"/>
  <c r="W202"/>
  <c r="W205" s="1"/>
  <c r="Y202"/>
  <c r="Z202"/>
  <c r="AA202"/>
  <c r="AA205" s="1"/>
  <c r="AB202"/>
  <c r="AB205" s="1"/>
  <c r="AC202"/>
  <c r="AD202"/>
  <c r="AD205" s="1"/>
  <c r="AE202"/>
  <c r="AE269" s="1"/>
  <c r="AF202"/>
  <c r="AF269" s="1"/>
  <c r="AG202"/>
  <c r="AG205" s="1"/>
  <c r="AH202"/>
  <c r="AH205" s="1"/>
  <c r="AI202"/>
  <c r="AI205" s="1"/>
  <c r="AJ202"/>
  <c r="AK202"/>
  <c r="AL202"/>
  <c r="AM202"/>
  <c r="AN202"/>
  <c r="AN205" s="1"/>
  <c r="AO202"/>
  <c r="AP202"/>
  <c r="AQ202"/>
  <c r="AR202"/>
  <c r="AR205" s="1"/>
  <c r="AS202"/>
  <c r="AS269" s="1"/>
  <c r="AT202"/>
  <c r="AT205" s="1"/>
  <c r="AU202"/>
  <c r="AU205" s="1"/>
  <c r="CG203"/>
  <c r="CG209"/>
  <c r="CG210"/>
  <c r="CG213"/>
  <c r="CG214"/>
  <c r="AV218"/>
  <c r="AW218"/>
  <c r="AX218"/>
  <c r="AY218"/>
  <c r="AZ218"/>
  <c r="AZ219"/>
  <c r="BA219"/>
  <c r="BB219"/>
  <c r="BC219"/>
  <c r="BC218" s="1"/>
  <c r="BD219"/>
  <c r="BD218" s="1"/>
  <c r="BG219"/>
  <c r="BG218" s="1"/>
  <c r="BK219"/>
  <c r="AV220"/>
  <c r="AW220"/>
  <c r="AX220"/>
  <c r="AY220"/>
  <c r="AZ220"/>
  <c r="CG222"/>
  <c r="F224"/>
  <c r="G224"/>
  <c r="H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AE224"/>
  <c r="AF224"/>
  <c r="AG224"/>
  <c r="AH224"/>
  <c r="AI224"/>
  <c r="AJ224"/>
  <c r="AK224"/>
  <c r="AL224"/>
  <c r="AM224"/>
  <c r="AN224"/>
  <c r="AO224"/>
  <c r="AP224"/>
  <c r="AQ224"/>
  <c r="AR224"/>
  <c r="AS224"/>
  <c r="AT224"/>
  <c r="BD224"/>
  <c r="BE224"/>
  <c r="BF224"/>
  <c r="BG224"/>
  <c r="BH224"/>
  <c r="BI224"/>
  <c r="BJ224"/>
  <c r="BK224"/>
  <c r="CG224" s="1"/>
  <c r="F225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AH225"/>
  <c r="AI225"/>
  <c r="AJ225"/>
  <c r="AK225"/>
  <c r="AL225"/>
  <c r="AM225"/>
  <c r="AN225"/>
  <c r="AO225"/>
  <c r="AP225"/>
  <c r="AQ225"/>
  <c r="AR225"/>
  <c r="AS225"/>
  <c r="AT225"/>
  <c r="AU225"/>
  <c r="AU223" s="1"/>
  <c r="BC226"/>
  <c r="BE226"/>
  <c r="BJ226"/>
  <c r="BK226"/>
  <c r="BG227"/>
  <c r="BI227"/>
  <c r="BJ227"/>
  <c r="BK227"/>
  <c r="F228"/>
  <c r="G228"/>
  <c r="H228"/>
  <c r="I228"/>
  <c r="J228"/>
  <c r="K228"/>
  <c r="L228"/>
  <c r="L223" s="1"/>
  <c r="M228"/>
  <c r="N228"/>
  <c r="O228"/>
  <c r="P228"/>
  <c r="P223" s="1"/>
  <c r="Q228"/>
  <c r="R228"/>
  <c r="S228"/>
  <c r="T228"/>
  <c r="U228"/>
  <c r="V228"/>
  <c r="W228"/>
  <c r="X228"/>
  <c r="X223" s="1"/>
  <c r="Y228"/>
  <c r="Z228"/>
  <c r="AA228"/>
  <c r="AB228"/>
  <c r="AB223" s="1"/>
  <c r="AC228"/>
  <c r="AD228"/>
  <c r="AE228"/>
  <c r="AF228"/>
  <c r="AG228"/>
  <c r="AH228"/>
  <c r="AI228"/>
  <c r="AJ228"/>
  <c r="AJ223" s="1"/>
  <c r="AK228"/>
  <c r="AL228"/>
  <c r="AM228"/>
  <c r="AN228"/>
  <c r="AN223" s="1"/>
  <c r="AO228"/>
  <c r="AP228"/>
  <c r="AQ228"/>
  <c r="AR228"/>
  <c r="AS228"/>
  <c r="AT228"/>
  <c r="BK228"/>
  <c r="BD230"/>
  <c r="BK230"/>
  <c r="F231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AN231"/>
  <c r="AO231"/>
  <c r="AV233"/>
  <c r="AJ233" s="1"/>
  <c r="AW233"/>
  <c r="AX233"/>
  <c r="AY233"/>
  <c r="AZ233"/>
  <c r="BF234"/>
  <c r="BK234"/>
  <c r="CG234" s="1"/>
  <c r="BL234"/>
  <c r="F236"/>
  <c r="G236"/>
  <c r="H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AE236"/>
  <c r="AF236"/>
  <c r="AG236"/>
  <c r="AH236"/>
  <c r="AI236"/>
  <c r="AJ236"/>
  <c r="AK236"/>
  <c r="AL236"/>
  <c r="AM236"/>
  <c r="AN236"/>
  <c r="AO236"/>
  <c r="AP236"/>
  <c r="AQ236"/>
  <c r="AR236"/>
  <c r="AS236"/>
  <c r="AT236"/>
  <c r="AU236"/>
  <c r="F237"/>
  <c r="F200" s="1"/>
  <c r="G237"/>
  <c r="G200" s="1"/>
  <c r="H237"/>
  <c r="H200" s="1"/>
  <c r="I237"/>
  <c r="I200" s="1"/>
  <c r="J237"/>
  <c r="J200" s="1"/>
  <c r="K237"/>
  <c r="K200" s="1"/>
  <c r="L237"/>
  <c r="L200" s="1"/>
  <c r="M237"/>
  <c r="M200" s="1"/>
  <c r="N237"/>
  <c r="N200" s="1"/>
  <c r="O237"/>
  <c r="O200" s="1"/>
  <c r="P237"/>
  <c r="P200" s="1"/>
  <c r="Q237"/>
  <c r="Q200" s="1"/>
  <c r="R237"/>
  <c r="R200" s="1"/>
  <c r="S237"/>
  <c r="S200" s="1"/>
  <c r="T237"/>
  <c r="T200" s="1"/>
  <c r="U237"/>
  <c r="U200" s="1"/>
  <c r="V237"/>
  <c r="V200" s="1"/>
  <c r="W237"/>
  <c r="W200" s="1"/>
  <c r="X237"/>
  <c r="X200" s="1"/>
  <c r="Y237"/>
  <c r="Y200" s="1"/>
  <c r="Z237"/>
  <c r="Z200" s="1"/>
  <c r="AA237"/>
  <c r="AA200" s="1"/>
  <c r="AB237"/>
  <c r="AB200" s="1"/>
  <c r="AC237"/>
  <c r="AC200" s="1"/>
  <c r="AD237"/>
  <c r="AD200" s="1"/>
  <c r="AE237"/>
  <c r="AE200" s="1"/>
  <c r="AF237"/>
  <c r="AF200" s="1"/>
  <c r="AG237"/>
  <c r="AG200" s="1"/>
  <c r="AH237"/>
  <c r="AH200" s="1"/>
  <c r="AI237"/>
  <c r="AI200" s="1"/>
  <c r="AJ237"/>
  <c r="AJ200" s="1"/>
  <c r="AK237"/>
  <c r="AK200" s="1"/>
  <c r="AL237"/>
  <c r="AL200" s="1"/>
  <c r="AM237"/>
  <c r="AM200" s="1"/>
  <c r="AN237"/>
  <c r="AN200" s="1"/>
  <c r="AO237"/>
  <c r="AO200" s="1"/>
  <c r="AP237"/>
  <c r="AP200" s="1"/>
  <c r="AQ237"/>
  <c r="AQ200" s="1"/>
  <c r="AR237"/>
  <c r="AR200" s="1"/>
  <c r="AS237"/>
  <c r="AS200" s="1"/>
  <c r="AT237"/>
  <c r="AT200" s="1"/>
  <c r="AU237"/>
  <c r="AU200" s="1"/>
  <c r="BI237"/>
  <c r="BJ237"/>
  <c r="BK237"/>
  <c r="CG239"/>
  <c r="BC245"/>
  <c r="BD245"/>
  <c r="BC247"/>
  <c r="BD247"/>
  <c r="BE247"/>
  <c r="BJ247"/>
  <c r="BK247"/>
  <c r="AV249"/>
  <c r="AW249"/>
  <c r="AX249"/>
  <c r="AY249"/>
  <c r="AZ249"/>
  <c r="CG251"/>
  <c r="AV252"/>
  <c r="AW252"/>
  <c r="AX252"/>
  <c r="AY252"/>
  <c r="AZ252"/>
  <c r="BF252"/>
  <c r="BG252"/>
  <c r="BH252"/>
  <c r="BI252"/>
  <c r="BJ252"/>
  <c r="BK252"/>
  <c r="CG253"/>
  <c r="CG254"/>
  <c r="F255"/>
  <c r="G255"/>
  <c r="H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AE255"/>
  <c r="AF255"/>
  <c r="AG255"/>
  <c r="AH255"/>
  <c r="AI255"/>
  <c r="AJ255"/>
  <c r="AK255"/>
  <c r="AL255"/>
  <c r="AM255"/>
  <c r="AN255"/>
  <c r="AO255"/>
  <c r="AW259"/>
  <c r="BC257"/>
  <c r="BD257"/>
  <c r="BE257"/>
  <c r="BI257"/>
  <c r="BC258"/>
  <c r="BD258"/>
  <c r="BE258"/>
  <c r="BI258"/>
  <c r="BJ258"/>
  <c r="BK258"/>
  <c r="AV259"/>
  <c r="AX259"/>
  <c r="AY259"/>
  <c r="AZ259"/>
  <c r="BA259"/>
  <c r="BB259"/>
  <c r="BC259"/>
  <c r="BD259"/>
  <c r="BE259"/>
  <c r="BF259"/>
  <c r="BG259"/>
  <c r="BH259"/>
  <c r="BI259"/>
  <c r="BJ259"/>
  <c r="BK259"/>
  <c r="CG263"/>
  <c r="CG268"/>
  <c r="F270"/>
  <c r="G270"/>
  <c r="H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AE270"/>
  <c r="AF270"/>
  <c r="AG270"/>
  <c r="AH270"/>
  <c r="AI270"/>
  <c r="AJ270"/>
  <c r="AK270"/>
  <c r="AL270"/>
  <c r="AM270"/>
  <c r="AN270"/>
  <c r="AO270"/>
  <c r="AP270"/>
  <c r="AQ270"/>
  <c r="AR270"/>
  <c r="AS270"/>
  <c r="AT270"/>
  <c r="AU270"/>
  <c r="AV271"/>
  <c r="J271" s="1"/>
  <c r="AW271"/>
  <c r="AX271"/>
  <c r="AY271"/>
  <c r="AZ271"/>
  <c r="BD271"/>
  <c r="BF271"/>
  <c r="BH271"/>
  <c r="BL271"/>
  <c r="CG272"/>
  <c r="CG275"/>
  <c r="AV277"/>
  <c r="AW277"/>
  <c r="AX277"/>
  <c r="AY277"/>
  <c r="AZ277"/>
  <c r="BA277"/>
  <c r="BB277"/>
  <c r="BC277"/>
  <c r="BD277"/>
  <c r="BE277"/>
  <c r="BF277"/>
  <c r="BG277"/>
  <c r="BH277"/>
  <c r="BI277"/>
  <c r="BJ277"/>
  <c r="BK277"/>
  <c r="AV279"/>
  <c r="AW279"/>
  <c r="AX279"/>
  <c r="AY279"/>
  <c r="AZ279"/>
  <c r="BA279"/>
  <c r="BB279"/>
  <c r="BC279"/>
  <c r="BD279"/>
  <c r="BE279"/>
  <c r="BF279"/>
  <c r="BG279"/>
  <c r="BH279"/>
  <c r="BI279"/>
  <c r="BJ279"/>
  <c r="BK279"/>
  <c r="BL279"/>
  <c r="BM279"/>
  <c r="CG282"/>
  <c r="CG283"/>
  <c r="CG288"/>
  <c r="CG289"/>
  <c r="CG290"/>
  <c r="CG291"/>
  <c r="F293"/>
  <c r="E33" i="28" s="1"/>
  <c r="G293" i="20"/>
  <c r="H293"/>
  <c r="I293"/>
  <c r="I303"/>
  <c r="J293"/>
  <c r="K293"/>
  <c r="J33" i="28" s="1"/>
  <c r="L293" i="20"/>
  <c r="M293"/>
  <c r="N293"/>
  <c r="O293"/>
  <c r="P293"/>
  <c r="Q293"/>
  <c r="P33" i="28" s="1"/>
  <c r="R293" i="20"/>
  <c r="S293"/>
  <c r="T293"/>
  <c r="U293"/>
  <c r="T33" i="28" s="1"/>
  <c r="V293" i="20"/>
  <c r="W293"/>
  <c r="V33" i="28" s="1"/>
  <c r="X293" i="20"/>
  <c r="Y293"/>
  <c r="X33" i="28" s="1"/>
  <c r="Z293" i="20"/>
  <c r="AA293"/>
  <c r="AB293"/>
  <c r="AC293"/>
  <c r="AB33" i="28" s="1"/>
  <c r="AD293" i="20"/>
  <c r="AE293"/>
  <c r="AF293"/>
  <c r="AE33" i="28" s="1"/>
  <c r="AG293" i="20"/>
  <c r="AH293"/>
  <c r="AG33" i="28" s="1"/>
  <c r="AI293" i="20"/>
  <c r="AH33" i="28" s="1"/>
  <c r="AJ293" i="20"/>
  <c r="AK293"/>
  <c r="AJ33" i="28" s="1"/>
  <c r="AL293" i="20"/>
  <c r="AM293"/>
  <c r="AN293"/>
  <c r="AO293"/>
  <c r="AP33" i="28"/>
  <c r="AQ33"/>
  <c r="AR33"/>
  <c r="AS33"/>
  <c r="BC293" i="20"/>
  <c r="BD293"/>
  <c r="BE293"/>
  <c r="F294"/>
  <c r="G294"/>
  <c r="H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AE294"/>
  <c r="AF294"/>
  <c r="AG294"/>
  <c r="AH294"/>
  <c r="AI294"/>
  <c r="AJ294"/>
  <c r="AK294"/>
  <c r="AL294"/>
  <c r="AM294"/>
  <c r="AN294"/>
  <c r="AO294"/>
  <c r="AP294"/>
  <c r="AQ294"/>
  <c r="AR294"/>
  <c r="AS294"/>
  <c r="AT294"/>
  <c r="AU294"/>
  <c r="F295"/>
  <c r="G295"/>
  <c r="H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AE295"/>
  <c r="AF295"/>
  <c r="AG295"/>
  <c r="AH295"/>
  <c r="AI295"/>
  <c r="AJ295"/>
  <c r="AK295"/>
  <c r="AL295"/>
  <c r="AM295"/>
  <c r="AN295"/>
  <c r="AO295"/>
  <c r="AP295"/>
  <c r="AQ295"/>
  <c r="AR295"/>
  <c r="AS295"/>
  <c r="AT295"/>
  <c r="AU295"/>
  <c r="AV295"/>
  <c r="AW295"/>
  <c r="AX295"/>
  <c r="AY295"/>
  <c r="AZ295"/>
  <c r="CG297"/>
  <c r="CG301"/>
  <c r="F302"/>
  <c r="G302"/>
  <c r="H302"/>
  <c r="I302"/>
  <c r="I388" s="1"/>
  <c r="I440" s="1"/>
  <c r="J302"/>
  <c r="K302"/>
  <c r="K388" s="1"/>
  <c r="K440" s="1"/>
  <c r="L302"/>
  <c r="L388" s="1"/>
  <c r="L440" s="1"/>
  <c r="M302"/>
  <c r="N302"/>
  <c r="O302"/>
  <c r="O388" s="1"/>
  <c r="O440" s="1"/>
  <c r="P302"/>
  <c r="Q302"/>
  <c r="R302"/>
  <c r="S302"/>
  <c r="T302"/>
  <c r="U302"/>
  <c r="V302"/>
  <c r="V388" s="1"/>
  <c r="V440" s="1"/>
  <c r="W302"/>
  <c r="X302"/>
  <c r="Y302"/>
  <c r="Z302"/>
  <c r="Z388" s="1"/>
  <c r="Z440" s="1"/>
  <c r="AA302"/>
  <c r="AA388" s="1"/>
  <c r="AA440" s="1"/>
  <c r="AB302"/>
  <c r="AC302"/>
  <c r="AD302"/>
  <c r="AE302"/>
  <c r="AE388" s="1"/>
  <c r="AE440" s="1"/>
  <c r="AF302"/>
  <c r="AG302"/>
  <c r="AG388" s="1"/>
  <c r="AG440" s="1"/>
  <c r="AH302"/>
  <c r="AI302"/>
  <c r="AI388" s="1"/>
  <c r="AI440" s="1"/>
  <c r="AJ302"/>
  <c r="AK302"/>
  <c r="AL302"/>
  <c r="AM302"/>
  <c r="AM388" s="1"/>
  <c r="AM440" s="1"/>
  <c r="AN302"/>
  <c r="AO302"/>
  <c r="AP388"/>
  <c r="AP440" s="1"/>
  <c r="AQ388"/>
  <c r="AQ440" s="1"/>
  <c r="AS388"/>
  <c r="AS440" s="1"/>
  <c r="AU388"/>
  <c r="AU440" s="1"/>
  <c r="F303"/>
  <c r="G303"/>
  <c r="H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AE303"/>
  <c r="AF303"/>
  <c r="AG303"/>
  <c r="AH303"/>
  <c r="AI303"/>
  <c r="AJ303"/>
  <c r="AK303"/>
  <c r="AL303"/>
  <c r="AM303"/>
  <c r="AN303"/>
  <c r="AO303"/>
  <c r="F305"/>
  <c r="F390" s="1"/>
  <c r="F442" s="1"/>
  <c r="G305"/>
  <c r="G390" s="1"/>
  <c r="G442" s="1"/>
  <c r="H305"/>
  <c r="H390" s="1"/>
  <c r="H442" s="1"/>
  <c r="I305"/>
  <c r="I390"/>
  <c r="I442" s="1"/>
  <c r="J305"/>
  <c r="J390" s="1"/>
  <c r="J442" s="1"/>
  <c r="K305"/>
  <c r="K390" s="1"/>
  <c r="K442" s="1"/>
  <c r="L305"/>
  <c r="L390" s="1"/>
  <c r="L442" s="1"/>
  <c r="M305"/>
  <c r="M390" s="1"/>
  <c r="M442" s="1"/>
  <c r="N305"/>
  <c r="N390" s="1"/>
  <c r="N442" s="1"/>
  <c r="O305"/>
  <c r="O390" s="1"/>
  <c r="O442" s="1"/>
  <c r="P305"/>
  <c r="P390" s="1"/>
  <c r="P442" s="1"/>
  <c r="Q305"/>
  <c r="Q390" s="1"/>
  <c r="Q442" s="1"/>
  <c r="R305"/>
  <c r="R390" s="1"/>
  <c r="R442" s="1"/>
  <c r="S305"/>
  <c r="S390" s="1"/>
  <c r="S442" s="1"/>
  <c r="T305"/>
  <c r="T390" s="1"/>
  <c r="T442" s="1"/>
  <c r="U305"/>
  <c r="U390" s="1"/>
  <c r="U442" s="1"/>
  <c r="V305"/>
  <c r="V390" s="1"/>
  <c r="V442" s="1"/>
  <c r="W305"/>
  <c r="W390" s="1"/>
  <c r="W442" s="1"/>
  <c r="X305"/>
  <c r="X390" s="1"/>
  <c r="X442" s="1"/>
  <c r="Y305"/>
  <c r="Y390" s="1"/>
  <c r="Y442" s="1"/>
  <c r="Z305"/>
  <c r="Z390" s="1"/>
  <c r="Z442" s="1"/>
  <c r="AA305"/>
  <c r="AA390" s="1"/>
  <c r="AA442" s="1"/>
  <c r="AB305"/>
  <c r="AB390" s="1"/>
  <c r="AB442" s="1"/>
  <c r="AC305"/>
  <c r="AC390" s="1"/>
  <c r="AC442" s="1"/>
  <c r="AD305"/>
  <c r="AD390" s="1"/>
  <c r="AD442" s="1"/>
  <c r="AE305"/>
  <c r="AE390" s="1"/>
  <c r="AE442" s="1"/>
  <c r="AF305"/>
  <c r="AF390" s="1"/>
  <c r="AF442" s="1"/>
  <c r="AG305"/>
  <c r="AG390" s="1"/>
  <c r="AG442" s="1"/>
  <c r="AH305"/>
  <c r="AH390" s="1"/>
  <c r="AH442" s="1"/>
  <c r="AI305"/>
  <c r="AI390" s="1"/>
  <c r="AI442" s="1"/>
  <c r="AJ305"/>
  <c r="AJ390" s="1"/>
  <c r="AJ442" s="1"/>
  <c r="AK305"/>
  <c r="AK390" s="1"/>
  <c r="AK442" s="1"/>
  <c r="AL305"/>
  <c r="AL390" s="1"/>
  <c r="AL442" s="1"/>
  <c r="AM305"/>
  <c r="AM390" s="1"/>
  <c r="AM442" s="1"/>
  <c r="AN305"/>
  <c r="AN390" s="1"/>
  <c r="AN442" s="1"/>
  <c r="AO305"/>
  <c r="AO390" s="1"/>
  <c r="AO442" s="1"/>
  <c r="AP305"/>
  <c r="AP390" s="1"/>
  <c r="AP442" s="1"/>
  <c r="AQ305"/>
  <c r="AQ390" s="1"/>
  <c r="AQ442" s="1"/>
  <c r="AR305"/>
  <c r="AR390" s="1"/>
  <c r="AR442" s="1"/>
  <c r="AS305"/>
  <c r="AS390" s="1"/>
  <c r="AS442" s="1"/>
  <c r="AT305"/>
  <c r="AT390" s="1"/>
  <c r="AT442" s="1"/>
  <c r="AU305"/>
  <c r="AU390" s="1"/>
  <c r="AU442" s="1"/>
  <c r="AV32" i="23"/>
  <c r="F306" i="20"/>
  <c r="G306"/>
  <c r="H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AE306"/>
  <c r="AF306"/>
  <c r="AG306"/>
  <c r="AH306"/>
  <c r="AI306"/>
  <c r="AJ306"/>
  <c r="AK306"/>
  <c r="AL306"/>
  <c r="AM306"/>
  <c r="AN306"/>
  <c r="AO306"/>
  <c r="AP306"/>
  <c r="AQ306"/>
  <c r="AR306"/>
  <c r="AS306"/>
  <c r="AT306"/>
  <c r="AU306"/>
  <c r="AV306"/>
  <c r="AV308"/>
  <c r="AW308"/>
  <c r="AX308"/>
  <c r="AY308"/>
  <c r="AZ308"/>
  <c r="BA308"/>
  <c r="BB308"/>
  <c r="BC308"/>
  <c r="BD308"/>
  <c r="BI308"/>
  <c r="CG312"/>
  <c r="CG318"/>
  <c r="CG330"/>
  <c r="CG343"/>
  <c r="CG344"/>
  <c r="CG345"/>
  <c r="CG346"/>
  <c r="BA347"/>
  <c r="BB347"/>
  <c r="BC347"/>
  <c r="BD347"/>
  <c r="BE347"/>
  <c r="BF347"/>
  <c r="BG347"/>
  <c r="BH347"/>
  <c r="BI347"/>
  <c r="BJ347"/>
  <c r="BK347"/>
  <c r="CG347" s="1"/>
  <c r="BL347"/>
  <c r="CH347" s="1"/>
  <c r="BM347"/>
  <c r="CI347" s="1"/>
  <c r="BA348"/>
  <c r="BB348"/>
  <c r="BC348"/>
  <c r="BD348"/>
  <c r="BE348"/>
  <c r="BF348"/>
  <c r="BA349"/>
  <c r="BB349"/>
  <c r="BC349"/>
  <c r="BD349"/>
  <c r="BD350" s="1"/>
  <c r="BE349"/>
  <c r="BF349"/>
  <c r="F350"/>
  <c r="G350"/>
  <c r="H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AE350"/>
  <c r="AF350"/>
  <c r="AG350"/>
  <c r="AH350"/>
  <c r="AI350"/>
  <c r="AJ350"/>
  <c r="AK350"/>
  <c r="AL350"/>
  <c r="AM350"/>
  <c r="AN350"/>
  <c r="AO350"/>
  <c r="AP350"/>
  <c r="AQ350"/>
  <c r="AR350"/>
  <c r="AS350"/>
  <c r="AT350"/>
  <c r="AU350"/>
  <c r="AV350"/>
  <c r="BG350"/>
  <c r="BH350"/>
  <c r="BI350"/>
  <c r="BJ350"/>
  <c r="BK350"/>
  <c r="BL350"/>
  <c r="CH350" s="1"/>
  <c r="BM350"/>
  <c r="B352"/>
  <c r="AV354"/>
  <c r="AG354" s="1"/>
  <c r="AW354"/>
  <c r="AX354"/>
  <c r="AY354"/>
  <c r="AY423" s="1"/>
  <c r="AY466" s="1"/>
  <c r="AZ354"/>
  <c r="BA354"/>
  <c r="BB354"/>
  <c r="BC354"/>
  <c r="BD354"/>
  <c r="BE354"/>
  <c r="BF354"/>
  <c r="BG354"/>
  <c r="BH354"/>
  <c r="BI354"/>
  <c r="BJ354"/>
  <c r="AY355"/>
  <c r="AZ355"/>
  <c r="BA355"/>
  <c r="BB355"/>
  <c r="BC355"/>
  <c r="BD355"/>
  <c r="BE355"/>
  <c r="BF355"/>
  <c r="BG355"/>
  <c r="BH355"/>
  <c r="BI355"/>
  <c r="BJ355"/>
  <c r="BK355"/>
  <c r="BL355"/>
  <c r="BM355"/>
  <c r="CG360"/>
  <c r="AV364"/>
  <c r="AW364"/>
  <c r="AX364"/>
  <c r="AY364"/>
  <c r="AU365"/>
  <c r="AV365"/>
  <c r="AW365"/>
  <c r="AW38" i="23" s="1"/>
  <c r="AX365" i="20"/>
  <c r="AX38" i="23" s="1"/>
  <c r="AY365" i="20"/>
  <c r="AY38" i="23" s="1"/>
  <c r="AZ365" i="20"/>
  <c r="AZ38" i="23" s="1"/>
  <c r="BA365" i="20"/>
  <c r="BA38" i="23" s="1"/>
  <c r="BB365" i="20"/>
  <c r="BB38" i="23" s="1"/>
  <c r="BC365" i="20"/>
  <c r="BC38" i="23" s="1"/>
  <c r="BD365" i="20"/>
  <c r="BD38" i="23" s="1"/>
  <c r="BE365" i="20"/>
  <c r="BE38" i="23" s="1"/>
  <c r="BE366" i="20"/>
  <c r="AU367"/>
  <c r="AV367"/>
  <c r="AW367"/>
  <c r="AX367"/>
  <c r="AY367"/>
  <c r="AZ367"/>
  <c r="BA367"/>
  <c r="BB367"/>
  <c r="BC367"/>
  <c r="BD367"/>
  <c r="BE367"/>
  <c r="AV372"/>
  <c r="AC372" s="1"/>
  <c r="F374"/>
  <c r="F409" s="1"/>
  <c r="F460" s="1"/>
  <c r="G374"/>
  <c r="G409" s="1"/>
  <c r="G460" s="1"/>
  <c r="H374"/>
  <c r="H409" s="1"/>
  <c r="H460" s="1"/>
  <c r="I374"/>
  <c r="I409" s="1"/>
  <c r="I460" s="1"/>
  <c r="J374"/>
  <c r="J409" s="1"/>
  <c r="J460" s="1"/>
  <c r="K374"/>
  <c r="K409" s="1"/>
  <c r="K460" s="1"/>
  <c r="L374"/>
  <c r="L409" s="1"/>
  <c r="L460" s="1"/>
  <c r="M374"/>
  <c r="M409" s="1"/>
  <c r="M460" s="1"/>
  <c r="N374"/>
  <c r="N409"/>
  <c r="N460" s="1"/>
  <c r="O374"/>
  <c r="O409" s="1"/>
  <c r="O460" s="1"/>
  <c r="P374"/>
  <c r="P409" s="1"/>
  <c r="P460" s="1"/>
  <c r="Q374"/>
  <c r="Q409" s="1"/>
  <c r="Q460" s="1"/>
  <c r="R374"/>
  <c r="R409" s="1"/>
  <c r="R460" s="1"/>
  <c r="S374"/>
  <c r="S409" s="1"/>
  <c r="S460" s="1"/>
  <c r="T374"/>
  <c r="T409" s="1"/>
  <c r="T460" s="1"/>
  <c r="U374"/>
  <c r="U409" s="1"/>
  <c r="U460" s="1"/>
  <c r="V374"/>
  <c r="V409" s="1"/>
  <c r="V460" s="1"/>
  <c r="W374"/>
  <c r="W409" s="1"/>
  <c r="W460" s="1"/>
  <c r="X374"/>
  <c r="X409" s="1"/>
  <c r="X460" s="1"/>
  <c r="Y374"/>
  <c r="Y409" s="1"/>
  <c r="Y460" s="1"/>
  <c r="Z374"/>
  <c r="Z409" s="1"/>
  <c r="Z460" s="1"/>
  <c r="AA374"/>
  <c r="AA409" s="1"/>
  <c r="AA460" s="1"/>
  <c r="AB374"/>
  <c r="AB409" s="1"/>
  <c r="AB460" s="1"/>
  <c r="AC374"/>
  <c r="AC409" s="1"/>
  <c r="AC460" s="1"/>
  <c r="AD374"/>
  <c r="AD409" s="1"/>
  <c r="AD460" s="1"/>
  <c r="AE374"/>
  <c r="AE409" s="1"/>
  <c r="AE460" s="1"/>
  <c r="AF374"/>
  <c r="AF409" s="1"/>
  <c r="AF460" s="1"/>
  <c r="AG374"/>
  <c r="AG409" s="1"/>
  <c r="AG460" s="1"/>
  <c r="AH374"/>
  <c r="AH409" s="1"/>
  <c r="AH460" s="1"/>
  <c r="AI374"/>
  <c r="AI409" s="1"/>
  <c r="AI460" s="1"/>
  <c r="AJ374"/>
  <c r="AJ409" s="1"/>
  <c r="AJ460" s="1"/>
  <c r="AK374"/>
  <c r="AK409" s="1"/>
  <c r="AK460" s="1"/>
  <c r="AL374"/>
  <c r="AL409" s="1"/>
  <c r="AL460" s="1"/>
  <c r="AM374"/>
  <c r="AM409" s="1"/>
  <c r="AM460" s="1"/>
  <c r="AN374"/>
  <c r="AN409" s="1"/>
  <c r="AN460" s="1"/>
  <c r="AO374"/>
  <c r="AO409" s="1"/>
  <c r="AO460" s="1"/>
  <c r="AP374"/>
  <c r="AP409" s="1"/>
  <c r="AP460" s="1"/>
  <c r="AQ374"/>
  <c r="AQ409" s="1"/>
  <c r="AQ460" s="1"/>
  <c r="AR374"/>
  <c r="AR409" s="1"/>
  <c r="AR460" s="1"/>
  <c r="AS374"/>
  <c r="AS409" s="1"/>
  <c r="AS460" s="1"/>
  <c r="AT374"/>
  <c r="AT409" s="1"/>
  <c r="AT460" s="1"/>
  <c r="AU374"/>
  <c r="AU409" s="1"/>
  <c r="AU460" s="1"/>
  <c r="AV374"/>
  <c r="AV409" s="1"/>
  <c r="AV460" s="1"/>
  <c r="AW374"/>
  <c r="AX374"/>
  <c r="AY374"/>
  <c r="AZ374"/>
  <c r="BA374"/>
  <c r="BB374"/>
  <c r="BC374"/>
  <c r="BC409" s="1"/>
  <c r="BD374"/>
  <c r="BE374"/>
  <c r="AV386"/>
  <c r="AV438" s="1"/>
  <c r="AW386"/>
  <c r="AW438" s="1"/>
  <c r="AX386"/>
  <c r="AX438" s="1"/>
  <c r="AY386"/>
  <c r="AY438" s="1"/>
  <c r="AZ386"/>
  <c r="AZ438" s="1"/>
  <c r="BA386"/>
  <c r="BA438" s="1"/>
  <c r="BB386"/>
  <c r="BB438" s="1"/>
  <c r="BC386"/>
  <c r="BC438" s="1"/>
  <c r="BD386"/>
  <c r="BD438" s="1"/>
  <c r="BE386"/>
  <c r="BE438" s="1"/>
  <c r="BF386"/>
  <c r="BF438" s="1"/>
  <c r="F391"/>
  <c r="F443" s="1"/>
  <c r="G391"/>
  <c r="G443" s="1"/>
  <c r="H391"/>
  <c r="H443" s="1"/>
  <c r="I391"/>
  <c r="I443" s="1"/>
  <c r="J391"/>
  <c r="J443" s="1"/>
  <c r="K391"/>
  <c r="K443" s="1"/>
  <c r="L391"/>
  <c r="L443" s="1"/>
  <c r="M391"/>
  <c r="M443" s="1"/>
  <c r="N391"/>
  <c r="N443" s="1"/>
  <c r="O391"/>
  <c r="O443" s="1"/>
  <c r="P391"/>
  <c r="P443" s="1"/>
  <c r="Q391"/>
  <c r="Q443" s="1"/>
  <c r="R391"/>
  <c r="R443" s="1"/>
  <c r="S391"/>
  <c r="S443" s="1"/>
  <c r="T391"/>
  <c r="T443" s="1"/>
  <c r="U391"/>
  <c r="U443" s="1"/>
  <c r="V391"/>
  <c r="V443" s="1"/>
  <c r="W391"/>
  <c r="W443" s="1"/>
  <c r="X391"/>
  <c r="X443" s="1"/>
  <c r="Y391"/>
  <c r="Y443" s="1"/>
  <c r="Z391"/>
  <c r="Z443" s="1"/>
  <c r="AA391"/>
  <c r="AA443" s="1"/>
  <c r="AB391"/>
  <c r="AB443" s="1"/>
  <c r="AC391"/>
  <c r="AC443" s="1"/>
  <c r="AD391"/>
  <c r="AD443" s="1"/>
  <c r="AE391"/>
  <c r="AE443" s="1"/>
  <c r="AF391"/>
  <c r="AF443" s="1"/>
  <c r="AG391"/>
  <c r="AG443" s="1"/>
  <c r="AH391"/>
  <c r="AH443" s="1"/>
  <c r="AI391"/>
  <c r="AI443" s="1"/>
  <c r="AJ391"/>
  <c r="AJ443" s="1"/>
  <c r="AK391"/>
  <c r="AK443" s="1"/>
  <c r="AL391"/>
  <c r="AL443" s="1"/>
  <c r="AM391"/>
  <c r="AM443" s="1"/>
  <c r="AN391"/>
  <c r="AN443" s="1"/>
  <c r="AO391"/>
  <c r="AO443" s="1"/>
  <c r="AP391"/>
  <c r="AP443" s="1"/>
  <c r="AQ391"/>
  <c r="AQ443" s="1"/>
  <c r="AR391"/>
  <c r="AR443" s="1"/>
  <c r="AS391"/>
  <c r="AS443"/>
  <c r="AT391"/>
  <c r="AT443" s="1"/>
  <c r="AU391"/>
  <c r="AU443" s="1"/>
  <c r="AV391"/>
  <c r="AV443" s="1"/>
  <c r="CG393"/>
  <c r="CG394"/>
  <c r="AU397"/>
  <c r="AV397"/>
  <c r="AW397"/>
  <c r="AX397"/>
  <c r="AY397"/>
  <c r="AZ397"/>
  <c r="BA397"/>
  <c r="BB397"/>
  <c r="BC397"/>
  <c r="BD397"/>
  <c r="BE397"/>
  <c r="BF397"/>
  <c r="BG397"/>
  <c r="BH397"/>
  <c r="BI397"/>
  <c r="BJ397"/>
  <c r="BK397"/>
  <c r="BL397"/>
  <c r="F400"/>
  <c r="F449" s="1"/>
  <c r="G400"/>
  <c r="G449" s="1"/>
  <c r="H400"/>
  <c r="H449" s="1"/>
  <c r="I400"/>
  <c r="I449" s="1"/>
  <c r="J400"/>
  <c r="J449" s="1"/>
  <c r="K400"/>
  <c r="K449" s="1"/>
  <c r="L400"/>
  <c r="L449" s="1"/>
  <c r="M400"/>
  <c r="M449" s="1"/>
  <c r="N400"/>
  <c r="N449" s="1"/>
  <c r="O400"/>
  <c r="O449" s="1"/>
  <c r="P400"/>
  <c r="P449" s="1"/>
  <c r="Q400"/>
  <c r="Q449" s="1"/>
  <c r="R400"/>
  <c r="R449" s="1"/>
  <c r="S400"/>
  <c r="S449" s="1"/>
  <c r="T400"/>
  <c r="T449" s="1"/>
  <c r="U400"/>
  <c r="U449" s="1"/>
  <c r="V400"/>
  <c r="V449" s="1"/>
  <c r="W400"/>
  <c r="W449" s="1"/>
  <c r="X400"/>
  <c r="X449" s="1"/>
  <c r="Y400"/>
  <c r="Y449" s="1"/>
  <c r="Z400"/>
  <c r="Z449" s="1"/>
  <c r="AA400"/>
  <c r="AA449" s="1"/>
  <c r="AB400"/>
  <c r="AB449" s="1"/>
  <c r="AC400"/>
  <c r="AC449" s="1"/>
  <c r="AD400"/>
  <c r="AD449" s="1"/>
  <c r="AE400"/>
  <c r="AE449" s="1"/>
  <c r="AF400"/>
  <c r="AF449" s="1"/>
  <c r="AG400"/>
  <c r="AG449" s="1"/>
  <c r="AH400"/>
  <c r="AH449" s="1"/>
  <c r="AI400"/>
  <c r="AI449" s="1"/>
  <c r="AJ400"/>
  <c r="AJ449" s="1"/>
  <c r="AK400"/>
  <c r="AK449" s="1"/>
  <c r="AL400"/>
  <c r="AL449" s="1"/>
  <c r="AM400"/>
  <c r="AM449" s="1"/>
  <c r="AN400"/>
  <c r="AN449" s="1"/>
  <c r="AO400"/>
  <c r="AO449" s="1"/>
  <c r="AP400"/>
  <c r="AP449" s="1"/>
  <c r="AQ400"/>
  <c r="AQ449" s="1"/>
  <c r="AR400"/>
  <c r="AR449" s="1"/>
  <c r="AS400"/>
  <c r="AS449" s="1"/>
  <c r="AT400"/>
  <c r="AT449" s="1"/>
  <c r="AU400"/>
  <c r="AU449" s="1"/>
  <c r="AV400"/>
  <c r="AV449" s="1"/>
  <c r="F402"/>
  <c r="F451" s="1"/>
  <c r="G402"/>
  <c r="G451" s="1"/>
  <c r="H402"/>
  <c r="H451" s="1"/>
  <c r="I402"/>
  <c r="I451" s="1"/>
  <c r="J402"/>
  <c r="J451" s="1"/>
  <c r="K402"/>
  <c r="K451" s="1"/>
  <c r="L402"/>
  <c r="L451" s="1"/>
  <c r="M402"/>
  <c r="M451" s="1"/>
  <c r="N402"/>
  <c r="N451" s="1"/>
  <c r="O402"/>
  <c r="O451" s="1"/>
  <c r="P402"/>
  <c r="P451" s="1"/>
  <c r="Q402"/>
  <c r="Q451" s="1"/>
  <c r="R402"/>
  <c r="R451" s="1"/>
  <c r="S402"/>
  <c r="S451" s="1"/>
  <c r="T402"/>
  <c r="T451" s="1"/>
  <c r="U402"/>
  <c r="U451" s="1"/>
  <c r="V402"/>
  <c r="V451" s="1"/>
  <c r="W402"/>
  <c r="W451" s="1"/>
  <c r="X402"/>
  <c r="X451" s="1"/>
  <c r="Y402"/>
  <c r="Y451" s="1"/>
  <c r="Z402"/>
  <c r="Z451" s="1"/>
  <c r="AA402"/>
  <c r="AA451" s="1"/>
  <c r="AB402"/>
  <c r="AB451" s="1"/>
  <c r="AC402"/>
  <c r="AC451" s="1"/>
  <c r="AD402"/>
  <c r="AD451" s="1"/>
  <c r="AE402"/>
  <c r="AE451" s="1"/>
  <c r="AF402"/>
  <c r="AF451" s="1"/>
  <c r="AG402"/>
  <c r="AG451" s="1"/>
  <c r="AH402"/>
  <c r="AH451" s="1"/>
  <c r="AI402"/>
  <c r="AI451" s="1"/>
  <c r="AJ402"/>
  <c r="AJ451" s="1"/>
  <c r="AK402"/>
  <c r="AK451" s="1"/>
  <c r="AL402"/>
  <c r="AL451" s="1"/>
  <c r="AM402"/>
  <c r="AM451" s="1"/>
  <c r="AN402"/>
  <c r="AN451" s="1"/>
  <c r="AO402"/>
  <c r="AO451" s="1"/>
  <c r="AP402"/>
  <c r="AP451" s="1"/>
  <c r="AQ402"/>
  <c r="AQ451" s="1"/>
  <c r="AR402"/>
  <c r="AR451" s="1"/>
  <c r="AS402"/>
  <c r="AS451" s="1"/>
  <c r="AT402"/>
  <c r="AT451" s="1"/>
  <c r="AU402"/>
  <c r="AU451" s="1"/>
  <c r="AV402"/>
  <c r="AV451" s="1"/>
  <c r="F403"/>
  <c r="F452" s="1"/>
  <c r="G403"/>
  <c r="G452" s="1"/>
  <c r="H403"/>
  <c r="H452" s="1"/>
  <c r="I403"/>
  <c r="I452" s="1"/>
  <c r="J403"/>
  <c r="J452" s="1"/>
  <c r="K403"/>
  <c r="K452" s="1"/>
  <c r="L403"/>
  <c r="L452" s="1"/>
  <c r="M403"/>
  <c r="M452" s="1"/>
  <c r="N403"/>
  <c r="N452" s="1"/>
  <c r="O403"/>
  <c r="O452" s="1"/>
  <c r="P403"/>
  <c r="P452" s="1"/>
  <c r="Q403"/>
  <c r="Q452" s="1"/>
  <c r="R403"/>
  <c r="R452" s="1"/>
  <c r="S403"/>
  <c r="S452" s="1"/>
  <c r="T403"/>
  <c r="T452" s="1"/>
  <c r="U403"/>
  <c r="U452" s="1"/>
  <c r="V403"/>
  <c r="V452" s="1"/>
  <c r="W403"/>
  <c r="W452" s="1"/>
  <c r="X403"/>
  <c r="X452" s="1"/>
  <c r="Y403"/>
  <c r="Y452" s="1"/>
  <c r="Z403"/>
  <c r="Z452" s="1"/>
  <c r="AA403"/>
  <c r="AA452" s="1"/>
  <c r="AB403"/>
  <c r="AB452" s="1"/>
  <c r="AC403"/>
  <c r="AC452" s="1"/>
  <c r="AD403"/>
  <c r="AD452" s="1"/>
  <c r="AE403"/>
  <c r="AE452" s="1"/>
  <c r="AF403"/>
  <c r="AF452" s="1"/>
  <c r="AG403"/>
  <c r="AG452" s="1"/>
  <c r="AH403"/>
  <c r="AH452" s="1"/>
  <c r="AI403"/>
  <c r="AI452" s="1"/>
  <c r="AJ403"/>
  <c r="AJ452" s="1"/>
  <c r="AK403"/>
  <c r="AK452" s="1"/>
  <c r="AL403"/>
  <c r="AL452" s="1"/>
  <c r="AM403"/>
  <c r="AM452" s="1"/>
  <c r="AN403"/>
  <c r="AN452" s="1"/>
  <c r="AO403"/>
  <c r="AO452" s="1"/>
  <c r="CG406"/>
  <c r="C414"/>
  <c r="C467" s="1"/>
  <c r="CG416"/>
  <c r="BG421"/>
  <c r="BH421"/>
  <c r="BI421"/>
  <c r="BJ421"/>
  <c r="BK421"/>
  <c r="B438"/>
  <c r="B439"/>
  <c r="B440"/>
  <c r="C440"/>
  <c r="D440"/>
  <c r="B441"/>
  <c r="C441"/>
  <c r="D441"/>
  <c r="F441"/>
  <c r="J441"/>
  <c r="B442"/>
  <c r="C442"/>
  <c r="D442"/>
  <c r="B443"/>
  <c r="C443"/>
  <c r="D443"/>
  <c r="CG444"/>
  <c r="B445"/>
  <c r="CG445"/>
  <c r="D446"/>
  <c r="B447"/>
  <c r="D447"/>
  <c r="F447"/>
  <c r="G447"/>
  <c r="H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AE447"/>
  <c r="AF447"/>
  <c r="AG447"/>
  <c r="AH447"/>
  <c r="AI447"/>
  <c r="AJ447"/>
  <c r="AK447"/>
  <c r="AL447"/>
  <c r="AM447"/>
  <c r="AN447"/>
  <c r="AO447"/>
  <c r="D448"/>
  <c r="F448"/>
  <c r="D449"/>
  <c r="D450"/>
  <c r="F450"/>
  <c r="D451"/>
  <c r="D452"/>
  <c r="D453"/>
  <c r="F453"/>
  <c r="B454"/>
  <c r="B637" s="1"/>
  <c r="D454"/>
  <c r="F454"/>
  <c r="CG455"/>
  <c r="B456"/>
  <c r="CG456"/>
  <c r="B457"/>
  <c r="D457"/>
  <c r="B458"/>
  <c r="D458"/>
  <c r="B459"/>
  <c r="D459"/>
  <c r="B460"/>
  <c r="D460"/>
  <c r="B461"/>
  <c r="D461"/>
  <c r="D462"/>
  <c r="B463"/>
  <c r="B632" s="1"/>
  <c r="D463"/>
  <c r="B464"/>
  <c r="D464"/>
  <c r="B465"/>
  <c r="D465"/>
  <c r="F465"/>
  <c r="G465"/>
  <c r="H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AE465"/>
  <c r="AF465"/>
  <c r="AG465"/>
  <c r="AH465"/>
  <c r="AI465"/>
  <c r="AJ465"/>
  <c r="AK465"/>
  <c r="AL465"/>
  <c r="AM465"/>
  <c r="AN465"/>
  <c r="AO465"/>
  <c r="AP465"/>
  <c r="AQ465"/>
  <c r="AR465"/>
  <c r="AS465"/>
  <c r="AT465"/>
  <c r="AU465"/>
  <c r="BB465"/>
  <c r="BF465"/>
  <c r="B466"/>
  <c r="D466"/>
  <c r="D467"/>
  <c r="B473"/>
  <c r="B474"/>
  <c r="B483" s="1"/>
  <c r="B475"/>
  <c r="B476"/>
  <c r="B477"/>
  <c r="B478"/>
  <c r="CG480"/>
  <c r="CG481"/>
  <c r="CG487"/>
  <c r="CG488"/>
  <c r="B489"/>
  <c r="C489"/>
  <c r="B490"/>
  <c r="C490"/>
  <c r="CG490"/>
  <c r="B491"/>
  <c r="C491"/>
  <c r="B493"/>
  <c r="C493"/>
  <c r="B494"/>
  <c r="C494"/>
  <c r="B495"/>
  <c r="C495"/>
  <c r="B496"/>
  <c r="C496"/>
  <c r="CG497"/>
  <c r="B498"/>
  <c r="CG498"/>
  <c r="B499"/>
  <c r="C499"/>
  <c r="B501"/>
  <c r="C501"/>
  <c r="B502"/>
  <c r="C502"/>
  <c r="B503"/>
  <c r="C503"/>
  <c r="B504"/>
  <c r="C504"/>
  <c r="BG504"/>
  <c r="BJ504"/>
  <c r="BK504"/>
  <c r="CG504" s="1"/>
  <c r="BL504"/>
  <c r="CH504" s="1"/>
  <c r="BM504"/>
  <c r="CI504" s="1"/>
  <c r="B505"/>
  <c r="C505"/>
  <c r="B506"/>
  <c r="C506"/>
  <c r="B507"/>
  <c r="C507"/>
  <c r="CG508"/>
  <c r="CG514"/>
  <c r="CG519"/>
  <c r="CG520"/>
  <c r="CG521"/>
  <c r="CG527"/>
  <c r="CG533"/>
  <c r="CG538"/>
  <c r="CG543"/>
  <c r="B552"/>
  <c r="CG556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CG588"/>
  <c r="B589"/>
  <c r="B590"/>
  <c r="CG590"/>
  <c r="B591"/>
  <c r="B592"/>
  <c r="CG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CG614"/>
  <c r="B615"/>
  <c r="B616"/>
  <c r="B617"/>
  <c r="B619"/>
  <c r="B620"/>
  <c r="B621"/>
  <c r="B622"/>
  <c r="B623"/>
  <c r="B624"/>
  <c r="B625"/>
  <c r="B626"/>
  <c r="B627"/>
  <c r="CH2" i="23"/>
  <c r="CI2" s="1"/>
  <c r="CJ2" s="1"/>
  <c r="CK2" s="1"/>
  <c r="CL2" s="1"/>
  <c r="CM2" s="1"/>
  <c r="AY3"/>
  <c r="AZ3"/>
  <c r="BA3"/>
  <c r="BB3"/>
  <c r="BC3"/>
  <c r="BD3"/>
  <c r="CF5"/>
  <c r="CG5"/>
  <c r="CH5"/>
  <c r="CI5"/>
  <c r="CJ5"/>
  <c r="CK5"/>
  <c r="CL5"/>
  <c r="CM5"/>
  <c r="CF6"/>
  <c r="CG6"/>
  <c r="CH6"/>
  <c r="CI6"/>
  <c r="CJ6"/>
  <c r="CK6"/>
  <c r="CL6"/>
  <c r="CM6"/>
  <c r="CF7"/>
  <c r="CG7"/>
  <c r="CH7"/>
  <c r="CI7"/>
  <c r="CJ7"/>
  <c r="CK7"/>
  <c r="CL7"/>
  <c r="CM7"/>
  <c r="CF9"/>
  <c r="CG9"/>
  <c r="CH9"/>
  <c r="CI9"/>
  <c r="CJ9"/>
  <c r="CK9"/>
  <c r="CL9"/>
  <c r="CM9"/>
  <c r="CF11"/>
  <c r="CG11"/>
  <c r="CH11"/>
  <c r="CI11"/>
  <c r="CJ11"/>
  <c r="CK11"/>
  <c r="CL11"/>
  <c r="CM11"/>
  <c r="CF12"/>
  <c r="CG12"/>
  <c r="CH12"/>
  <c r="CI12"/>
  <c r="CJ12"/>
  <c r="CK12"/>
  <c r="CL12"/>
  <c r="CM12"/>
  <c r="CF13"/>
  <c r="CG13"/>
  <c r="CH13"/>
  <c r="CI13"/>
  <c r="CJ13"/>
  <c r="CK13"/>
  <c r="CL13"/>
  <c r="CM13"/>
  <c r="CF14"/>
  <c r="CG14"/>
  <c r="CH14"/>
  <c r="CI14"/>
  <c r="CJ14"/>
  <c r="CK14"/>
  <c r="CL14"/>
  <c r="CM14"/>
  <c r="CF15"/>
  <c r="CG15"/>
  <c r="CH15"/>
  <c r="CI15"/>
  <c r="CJ15"/>
  <c r="CK15"/>
  <c r="CL15"/>
  <c r="CM15"/>
  <c r="CF16"/>
  <c r="CG16"/>
  <c r="CH16"/>
  <c r="CI16"/>
  <c r="CJ16"/>
  <c r="CK16"/>
  <c r="CL16"/>
  <c r="CM16"/>
  <c r="CF17"/>
  <c r="CG17"/>
  <c r="CH17"/>
  <c r="CI17"/>
  <c r="CJ17"/>
  <c r="CK17"/>
  <c r="CL17"/>
  <c r="CM17"/>
  <c r="CF18"/>
  <c r="CG18"/>
  <c r="CH18"/>
  <c r="CI18"/>
  <c r="CJ18"/>
  <c r="CK18"/>
  <c r="CL18"/>
  <c r="CM18"/>
  <c r="CF19"/>
  <c r="CG19"/>
  <c r="CH19"/>
  <c r="CI19"/>
  <c r="CJ19"/>
  <c r="CK19"/>
  <c r="CL19"/>
  <c r="CM19"/>
  <c r="CF20"/>
  <c r="CG20"/>
  <c r="CH20"/>
  <c r="CI20"/>
  <c r="CJ20"/>
  <c r="CK20"/>
  <c r="CL20"/>
  <c r="CM20"/>
  <c r="CF21"/>
  <c r="CG21"/>
  <c r="CH21"/>
  <c r="CI21"/>
  <c r="CJ21"/>
  <c r="CK21"/>
  <c r="CL21"/>
  <c r="CM21"/>
  <c r="CF22"/>
  <c r="CG22"/>
  <c r="CH22"/>
  <c r="CI22"/>
  <c r="CJ22"/>
  <c r="CK22"/>
  <c r="CL22"/>
  <c r="CM22"/>
  <c r="CF23"/>
  <c r="CG23"/>
  <c r="CH23"/>
  <c r="CI23"/>
  <c r="CJ23"/>
  <c r="CK23"/>
  <c r="CL23"/>
  <c r="CM23"/>
  <c r="CF24"/>
  <c r="CG24"/>
  <c r="CH24"/>
  <c r="CI24"/>
  <c r="CJ24"/>
  <c r="CK24"/>
  <c r="CL24"/>
  <c r="CM24"/>
  <c r="CF25"/>
  <c r="CG25"/>
  <c r="CH25"/>
  <c r="CI25"/>
  <c r="CJ25"/>
  <c r="CK25"/>
  <c r="CL25"/>
  <c r="CM25"/>
  <c r="CF26"/>
  <c r="CG26"/>
  <c r="CH26"/>
  <c r="CI26"/>
  <c r="CJ26"/>
  <c r="CK26"/>
  <c r="CL26"/>
  <c r="CM26"/>
  <c r="CF27"/>
  <c r="CG27"/>
  <c r="CH27"/>
  <c r="CI27"/>
  <c r="CJ27"/>
  <c r="CK27"/>
  <c r="CL27"/>
  <c r="CM27"/>
  <c r="CF28"/>
  <c r="CG28"/>
  <c r="CH28"/>
  <c r="CI28"/>
  <c r="CJ28"/>
  <c r="CK28"/>
  <c r="CL28"/>
  <c r="CM28"/>
  <c r="CF29"/>
  <c r="CG29"/>
  <c r="CH29"/>
  <c r="CI29"/>
  <c r="CJ29"/>
  <c r="CK29"/>
  <c r="CL29"/>
  <c r="CM29"/>
  <c r="A30"/>
  <c r="AV34"/>
  <c r="CF39"/>
  <c r="CG39"/>
  <c r="CH39"/>
  <c r="CI39"/>
  <c r="CJ39"/>
  <c r="CK39"/>
  <c r="CL39"/>
  <c r="CM39"/>
  <c r="F40"/>
  <c r="G40"/>
  <c r="H40"/>
  <c r="I40"/>
  <c r="J40"/>
  <c r="K40"/>
  <c r="L40"/>
  <c r="L41" s="1"/>
  <c r="M40"/>
  <c r="N40"/>
  <c r="P40"/>
  <c r="P41" s="1"/>
  <c r="Q40"/>
  <c r="R40"/>
  <c r="S40"/>
  <c r="S41" s="1"/>
  <c r="T40"/>
  <c r="U40"/>
  <c r="V40"/>
  <c r="W40"/>
  <c r="W41" s="1"/>
  <c r="X40"/>
  <c r="Y40"/>
  <c r="Z40"/>
  <c r="AA40"/>
  <c r="AB40"/>
  <c r="AC40"/>
  <c r="AD40"/>
  <c r="AE41"/>
  <c r="AE40"/>
  <c r="AF41"/>
  <c r="AF40"/>
  <c r="AG40"/>
  <c r="AH40"/>
  <c r="AI41"/>
  <c r="AI40"/>
  <c r="AJ40"/>
  <c r="AK40"/>
  <c r="AL40"/>
  <c r="AM40"/>
  <c r="AN41"/>
  <c r="AN40"/>
  <c r="AO40"/>
  <c r="AO41" s="1"/>
  <c r="AP40"/>
  <c r="AQ40"/>
  <c r="AQ41" s="1"/>
  <c r="AR40"/>
  <c r="AS40"/>
  <c r="AT40"/>
  <c r="AU40"/>
  <c r="AV40"/>
  <c r="AW40"/>
  <c r="AX40"/>
  <c r="AY41"/>
  <c r="AZ40"/>
  <c r="AZ41"/>
  <c r="BA40"/>
  <c r="BB40"/>
  <c r="BC40"/>
  <c r="BD40"/>
  <c r="BE40"/>
  <c r="BF40"/>
  <c r="BG40"/>
  <c r="BH40"/>
  <c r="BH41" s="1"/>
  <c r="CF41" s="1"/>
  <c r="BI40"/>
  <c r="CG40"/>
  <c r="CH40"/>
  <c r="CI40"/>
  <c r="CJ40"/>
  <c r="CK40"/>
  <c r="CL40"/>
  <c r="CM40"/>
  <c r="CF42"/>
  <c r="CG42"/>
  <c r="CH42"/>
  <c r="CI42"/>
  <c r="CJ42"/>
  <c r="CK42"/>
  <c r="CL42"/>
  <c r="CM42"/>
  <c r="F43"/>
  <c r="G43"/>
  <c r="G79" s="1"/>
  <c r="H79" s="1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O44"/>
  <c r="AY44"/>
  <c r="AZ44"/>
  <c r="CF44"/>
  <c r="CG44"/>
  <c r="CH44"/>
  <c r="CI44"/>
  <c r="CJ44"/>
  <c r="CK44"/>
  <c r="CL44"/>
  <c r="CM44"/>
  <c r="AY45"/>
  <c r="AZ45"/>
  <c r="CF45"/>
  <c r="CG45"/>
  <c r="CH45"/>
  <c r="CI45"/>
  <c r="CJ45"/>
  <c r="CK45"/>
  <c r="CL45"/>
  <c r="CM45"/>
  <c r="CF46"/>
  <c r="CG46"/>
  <c r="CH46"/>
  <c r="CI46"/>
  <c r="CJ46"/>
  <c r="CK46"/>
  <c r="CL46"/>
  <c r="CM46"/>
  <c r="CF47"/>
  <c r="CG47"/>
  <c r="CH47"/>
  <c r="CI47"/>
  <c r="CJ47"/>
  <c r="CK47"/>
  <c r="CL47"/>
  <c r="CM47"/>
  <c r="CF48"/>
  <c r="CG48"/>
  <c r="CH48"/>
  <c r="CI48"/>
  <c r="CJ48"/>
  <c r="CK48"/>
  <c r="CL48"/>
  <c r="CM48"/>
  <c r="CF49"/>
  <c r="CG49"/>
  <c r="CH49"/>
  <c r="CI49"/>
  <c r="CJ49"/>
  <c r="CK49"/>
  <c r="CL49"/>
  <c r="CM49"/>
  <c r="CF50"/>
  <c r="CG50"/>
  <c r="CH50"/>
  <c r="CI50"/>
  <c r="CJ50"/>
  <c r="CK50"/>
  <c r="CL50"/>
  <c r="CM50"/>
  <c r="CF51"/>
  <c r="CG51"/>
  <c r="CH51"/>
  <c r="CI51"/>
  <c r="CJ51"/>
  <c r="CK51"/>
  <c r="CL51"/>
  <c r="CM51"/>
  <c r="CF52"/>
  <c r="CG52"/>
  <c r="CH52"/>
  <c r="CI52"/>
  <c r="CJ52"/>
  <c r="CK52"/>
  <c r="CL52"/>
  <c r="CM52"/>
  <c r="CF53"/>
  <c r="CG53"/>
  <c r="CH53"/>
  <c r="CI53"/>
  <c r="CJ53"/>
  <c r="CK53"/>
  <c r="CL53"/>
  <c r="CM53"/>
  <c r="CF54"/>
  <c r="CG54"/>
  <c r="CH54"/>
  <c r="CI54"/>
  <c r="CJ54"/>
  <c r="CK54"/>
  <c r="CL54"/>
  <c r="CM54"/>
  <c r="CF55"/>
  <c r="CG55"/>
  <c r="CH55"/>
  <c r="CI55"/>
  <c r="CJ55"/>
  <c r="CK55"/>
  <c r="CL55"/>
  <c r="CM55"/>
  <c r="CF57"/>
  <c r="CG57"/>
  <c r="CH57"/>
  <c r="CI57"/>
  <c r="CJ57"/>
  <c r="CK57"/>
  <c r="CL57"/>
  <c r="CM57"/>
  <c r="CF58"/>
  <c r="CG58"/>
  <c r="CH58"/>
  <c r="CI58"/>
  <c r="CJ58"/>
  <c r="CK58"/>
  <c r="CL58"/>
  <c r="CM58"/>
  <c r="AI59"/>
  <c r="AZ59"/>
  <c r="CF59"/>
  <c r="CG59"/>
  <c r="CH59"/>
  <c r="CI59"/>
  <c r="CJ59"/>
  <c r="CK59"/>
  <c r="CL59"/>
  <c r="CM59"/>
  <c r="CF60"/>
  <c r="CG60"/>
  <c r="CH60"/>
  <c r="CI60"/>
  <c r="CJ60"/>
  <c r="CK60"/>
  <c r="CL60"/>
  <c r="CM60"/>
  <c r="G61"/>
  <c r="G62" s="1"/>
  <c r="G63" s="1"/>
  <c r="F62"/>
  <c r="G64"/>
  <c r="H64" s="1"/>
  <c r="I64" s="1"/>
  <c r="J64" s="1"/>
  <c r="K64" s="1"/>
  <c r="L64" s="1"/>
  <c r="M64" s="1"/>
  <c r="N64" s="1"/>
  <c r="O64" s="1"/>
  <c r="P64" s="1"/>
  <c r="Q64" s="1"/>
  <c r="R64" s="1"/>
  <c r="S64" s="1"/>
  <c r="T64" s="1"/>
  <c r="U64" s="1"/>
  <c r="V64" s="1"/>
  <c r="W64" s="1"/>
  <c r="X64" s="1"/>
  <c r="Y64" s="1"/>
  <c r="Z64" s="1"/>
  <c r="AA64" s="1"/>
  <c r="AB64" s="1"/>
  <c r="AC64" s="1"/>
  <c r="AD64" s="1"/>
  <c r="AE64" s="1"/>
  <c r="AF64" s="1"/>
  <c r="AG64" s="1"/>
  <c r="AH64" s="1"/>
  <c r="AI64" s="1"/>
  <c r="AJ64" s="1"/>
  <c r="AK64" s="1"/>
  <c r="AL64" s="1"/>
  <c r="AM64" s="1"/>
  <c r="AN64" s="1"/>
  <c r="AO64" s="1"/>
  <c r="AP64" s="1"/>
  <c r="AQ64" s="1"/>
  <c r="AR64" s="1"/>
  <c r="AS64" s="1"/>
  <c r="AT64" s="1"/>
  <c r="AU64" s="1"/>
  <c r="F65"/>
  <c r="F66" s="1"/>
  <c r="CF70"/>
  <c r="CG70"/>
  <c r="CH70"/>
  <c r="CI70"/>
  <c r="CJ70"/>
  <c r="CK70"/>
  <c r="CL70"/>
  <c r="CM70"/>
  <c r="A71"/>
  <c r="B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CF71" s="1"/>
  <c r="BI71"/>
  <c r="CG71" s="1"/>
  <c r="BJ71"/>
  <c r="CH71" s="1"/>
  <c r="BK71"/>
  <c r="CI71" s="1"/>
  <c r="BL71"/>
  <c r="CJ71" s="1"/>
  <c r="BM71"/>
  <c r="CK71" s="1"/>
  <c r="BN71"/>
  <c r="CL71" s="1"/>
  <c r="BO71"/>
  <c r="CM71" s="1"/>
  <c r="BP71"/>
  <c r="BQ71"/>
  <c r="BR71"/>
  <c r="BS71"/>
  <c r="BT71"/>
  <c r="CF75"/>
  <c r="CG75"/>
  <c r="CH75"/>
  <c r="CI75"/>
  <c r="CJ75"/>
  <c r="CK75"/>
  <c r="CL75"/>
  <c r="CM75"/>
  <c r="F76"/>
  <c r="G78"/>
  <c r="G76"/>
  <c r="H76"/>
  <c r="I76"/>
  <c r="J78"/>
  <c r="J76"/>
  <c r="K76"/>
  <c r="L78" s="1"/>
  <c r="L76"/>
  <c r="M76"/>
  <c r="N76"/>
  <c r="O76"/>
  <c r="P76"/>
  <c r="Q76"/>
  <c r="R78" s="1"/>
  <c r="R76"/>
  <c r="S76"/>
  <c r="S78" s="1"/>
  <c r="T76"/>
  <c r="U76"/>
  <c r="V76"/>
  <c r="W76"/>
  <c r="X76"/>
  <c r="Y76"/>
  <c r="Y78" s="1"/>
  <c r="Z76"/>
  <c r="AA76"/>
  <c r="AB76"/>
  <c r="AC76"/>
  <c r="AD76"/>
  <c r="AE76"/>
  <c r="AF76"/>
  <c r="AG76"/>
  <c r="AH76"/>
  <c r="AI76"/>
  <c r="AJ76"/>
  <c r="AK76"/>
  <c r="AK78" s="1"/>
  <c r="AL76"/>
  <c r="AM76"/>
  <c r="AM78" s="1"/>
  <c r="AN76"/>
  <c r="AO76"/>
  <c r="AO78" s="1"/>
  <c r="AP76"/>
  <c r="AQ76"/>
  <c r="AR76"/>
  <c r="AS76"/>
  <c r="AT76"/>
  <c r="AU76"/>
  <c r="AV76"/>
  <c r="AV78"/>
  <c r="AW76"/>
  <c r="AX76"/>
  <c r="AY76"/>
  <c r="AY78"/>
  <c r="AZ76"/>
  <c r="BA76"/>
  <c r="BB76"/>
  <c r="BB78"/>
  <c r="BC76"/>
  <c r="BC78"/>
  <c r="BD76"/>
  <c r="BE76"/>
  <c r="BF78" s="1"/>
  <c r="BF76"/>
  <c r="BG76"/>
  <c r="BH76"/>
  <c r="BI76"/>
  <c r="BJ76"/>
  <c r="BK76"/>
  <c r="CI76" s="1"/>
  <c r="BL76"/>
  <c r="BM76"/>
  <c r="H1" i="14"/>
  <c r="G1"/>
  <c r="F1" s="1"/>
  <c r="E1" s="1"/>
  <c r="D1" s="1"/>
  <c r="AP1"/>
  <c r="P5"/>
  <c r="Q5"/>
  <c r="R5"/>
  <c r="S5"/>
  <c r="T5"/>
  <c r="FX5"/>
  <c r="FZ5"/>
  <c r="GB5"/>
  <c r="P6"/>
  <c r="Q6"/>
  <c r="R6"/>
  <c r="S6"/>
  <c r="T6"/>
  <c r="X6"/>
  <c r="Y6"/>
  <c r="Z6"/>
  <c r="AA6"/>
  <c r="AB6"/>
  <c r="AC6"/>
  <c r="FX6"/>
  <c r="FZ6"/>
  <c r="GB6"/>
  <c r="P7"/>
  <c r="Q7"/>
  <c r="R7"/>
  <c r="S7"/>
  <c r="T7"/>
  <c r="FX7"/>
  <c r="FZ7"/>
  <c r="GB7"/>
  <c r="P8"/>
  <c r="P9"/>
  <c r="Q9"/>
  <c r="R9"/>
  <c r="S9"/>
  <c r="T9"/>
  <c r="FX9"/>
  <c r="FZ9"/>
  <c r="GB9"/>
  <c r="P10"/>
  <c r="Q10"/>
  <c r="R10"/>
  <c r="T10"/>
  <c r="FX10"/>
  <c r="FZ10"/>
  <c r="GB10"/>
  <c r="P11"/>
  <c r="Q11"/>
  <c r="R11"/>
  <c r="S11"/>
  <c r="T11"/>
  <c r="FX11"/>
  <c r="FZ11"/>
  <c r="GB11"/>
  <c r="P12"/>
  <c r="Q12"/>
  <c r="R12"/>
  <c r="S12"/>
  <c r="T12"/>
  <c r="FX12"/>
  <c r="FZ12"/>
  <c r="GB12"/>
  <c r="P13"/>
  <c r="Q13"/>
  <c r="R13"/>
  <c r="S13"/>
  <c r="T13"/>
  <c r="FX13"/>
  <c r="FZ13"/>
  <c r="GB13"/>
  <c r="P14"/>
  <c r="Q14"/>
  <c r="R14"/>
  <c r="S14"/>
  <c r="FX14"/>
  <c r="FZ14"/>
  <c r="GB14"/>
  <c r="P15"/>
  <c r="Q15"/>
  <c r="R15"/>
  <c r="S15"/>
  <c r="T15"/>
  <c r="FX15"/>
  <c r="FZ15"/>
  <c r="GB15"/>
  <c r="P16"/>
  <c r="Q16"/>
  <c r="R16"/>
  <c r="T16"/>
  <c r="FX16"/>
  <c r="FZ16"/>
  <c r="GB16"/>
  <c r="P18"/>
  <c r="Q18"/>
  <c r="R18"/>
  <c r="S18"/>
  <c r="T18"/>
  <c r="FX18"/>
  <c r="FZ18"/>
  <c r="GB18"/>
  <c r="P19"/>
  <c r="Q19"/>
  <c r="R19"/>
  <c r="S19"/>
  <c r="T19"/>
  <c r="V19"/>
  <c r="W19"/>
  <c r="X19"/>
  <c r="Y19"/>
  <c r="Z19"/>
  <c r="AA19"/>
  <c r="AB19"/>
  <c r="AC19"/>
  <c r="FX19"/>
  <c r="FZ19"/>
  <c r="GB19"/>
  <c r="P20"/>
  <c r="Q20"/>
  <c r="R20"/>
  <c r="S20"/>
  <c r="T20"/>
  <c r="FX20"/>
  <c r="FZ20"/>
  <c r="GB20"/>
  <c r="P21"/>
  <c r="Q21"/>
  <c r="R21"/>
  <c r="S21"/>
  <c r="T21"/>
  <c r="V21"/>
  <c r="W21"/>
  <c r="X21"/>
  <c r="Y21"/>
  <c r="Z21"/>
  <c r="AA21"/>
  <c r="AB21"/>
  <c r="AC21"/>
  <c r="FX21"/>
  <c r="FZ21"/>
  <c r="GB21"/>
  <c r="P22"/>
  <c r="Q22"/>
  <c r="R22"/>
  <c r="S22"/>
  <c r="T22"/>
  <c r="V22"/>
  <c r="W22"/>
  <c r="X22"/>
  <c r="Y22"/>
  <c r="Z22"/>
  <c r="AA22"/>
  <c r="AB22"/>
  <c r="AC22"/>
  <c r="FX22"/>
  <c r="FZ22"/>
  <c r="GB22"/>
  <c r="P23"/>
  <c r="Q23"/>
  <c r="R23"/>
  <c r="S23"/>
  <c r="T23"/>
  <c r="V23"/>
  <c r="W23"/>
  <c r="X23"/>
  <c r="Y23"/>
  <c r="Z23"/>
  <c r="AA23"/>
  <c r="AB23"/>
  <c r="AC23"/>
  <c r="FX23"/>
  <c r="FZ23"/>
  <c r="GB23"/>
  <c r="P24"/>
  <c r="Q24"/>
  <c r="R24"/>
  <c r="S24"/>
  <c r="T24"/>
  <c r="V24"/>
  <c r="W24"/>
  <c r="X24"/>
  <c r="Y24"/>
  <c r="Z24"/>
  <c r="AA24"/>
  <c r="AB24"/>
  <c r="AC24"/>
  <c r="FX24"/>
  <c r="FZ24"/>
  <c r="GB24"/>
  <c r="P25"/>
  <c r="Q25"/>
  <c r="R25"/>
  <c r="S25"/>
  <c r="T25"/>
  <c r="V25"/>
  <c r="W25"/>
  <c r="X25"/>
  <c r="Y25"/>
  <c r="Z25"/>
  <c r="AA25"/>
  <c r="AB25"/>
  <c r="AC25"/>
  <c r="FX25"/>
  <c r="FZ25"/>
  <c r="GB25"/>
  <c r="P26"/>
  <c r="Q26"/>
  <c r="R26"/>
  <c r="S26"/>
  <c r="T26"/>
  <c r="V26"/>
  <c r="W26"/>
  <c r="X26"/>
  <c r="Y26"/>
  <c r="Z26"/>
  <c r="AA26"/>
  <c r="AB26"/>
  <c r="AC26"/>
  <c r="FX26"/>
  <c r="FZ26"/>
  <c r="GB26"/>
  <c r="P27"/>
  <c r="Q27"/>
  <c r="R27"/>
  <c r="S27"/>
  <c r="T27"/>
  <c r="V27"/>
  <c r="W27"/>
  <c r="X27"/>
  <c r="Y27"/>
  <c r="Z27"/>
  <c r="AA27"/>
  <c r="AB27"/>
  <c r="AC27"/>
  <c r="FX27"/>
  <c r="FZ27"/>
  <c r="GB27"/>
  <c r="P28"/>
  <c r="Q28"/>
  <c r="R28"/>
  <c r="S28"/>
  <c r="T28"/>
  <c r="V28"/>
  <c r="W28"/>
  <c r="X28"/>
  <c r="Y28"/>
  <c r="Z28"/>
  <c r="AA28"/>
  <c r="AB28"/>
  <c r="AC28"/>
  <c r="FX28"/>
  <c r="FZ28"/>
  <c r="GB28"/>
  <c r="P29"/>
  <c r="Q29"/>
  <c r="R29"/>
  <c r="S29"/>
  <c r="T29"/>
  <c r="V29"/>
  <c r="W29"/>
  <c r="X29"/>
  <c r="Y29"/>
  <c r="Z29"/>
  <c r="AA29"/>
  <c r="AB29"/>
  <c r="AC29"/>
  <c r="FX29"/>
  <c r="FZ29"/>
  <c r="GB29"/>
  <c r="P31"/>
  <c r="Q31"/>
  <c r="R31"/>
  <c r="S31"/>
  <c r="T31"/>
  <c r="FX31"/>
  <c r="FZ31"/>
  <c r="GB31"/>
  <c r="FX32"/>
  <c r="FZ32"/>
  <c r="GB32"/>
  <c r="P33"/>
  <c r="Q33"/>
  <c r="R33"/>
  <c r="S33"/>
  <c r="T33"/>
  <c r="FD33"/>
  <c r="FE33"/>
  <c r="FX33"/>
  <c r="FZ33"/>
  <c r="GB33"/>
  <c r="P34"/>
  <c r="Q34"/>
  <c r="R34"/>
  <c r="S34"/>
  <c r="T34"/>
  <c r="FX34"/>
  <c r="FZ34"/>
  <c r="GB34"/>
  <c r="P35"/>
  <c r="Q35"/>
  <c r="R35"/>
  <c r="S35"/>
  <c r="T35"/>
  <c r="FX35"/>
  <c r="FZ35"/>
  <c r="GB35"/>
  <c r="P36"/>
  <c r="Q36"/>
  <c r="R36"/>
  <c r="S36"/>
  <c r="T36"/>
  <c r="FX36"/>
  <c r="FZ36"/>
  <c r="GB36"/>
  <c r="P37"/>
  <c r="Q37"/>
  <c r="R37"/>
  <c r="S37"/>
  <c r="T37"/>
  <c r="FX37"/>
  <c r="FZ37"/>
  <c r="GB37"/>
  <c r="P38"/>
  <c r="Q38"/>
  <c r="R38"/>
  <c r="S38"/>
  <c r="T38"/>
  <c r="FX38"/>
  <c r="FZ38"/>
  <c r="GB38"/>
  <c r="P39"/>
  <c r="Q39"/>
  <c r="R39"/>
  <c r="S39"/>
  <c r="T39"/>
  <c r="FX39"/>
  <c r="FZ39"/>
  <c r="GB39"/>
  <c r="P40"/>
  <c r="Q40"/>
  <c r="R40"/>
  <c r="S40"/>
  <c r="T40"/>
  <c r="FX40"/>
  <c r="FZ40"/>
  <c r="GB40"/>
  <c r="P41"/>
  <c r="Q41"/>
  <c r="R41"/>
  <c r="S41"/>
  <c r="T41"/>
  <c r="FX41"/>
  <c r="FZ41"/>
  <c r="GB41"/>
  <c r="P42"/>
  <c r="Q42"/>
  <c r="R42"/>
  <c r="S42"/>
  <c r="T42"/>
  <c r="FX42"/>
  <c r="FZ42"/>
  <c r="GB42"/>
  <c r="P43"/>
  <c r="Q43"/>
  <c r="R43"/>
  <c r="S43"/>
  <c r="T43"/>
  <c r="V43"/>
  <c r="BN89" i="19" s="1"/>
  <c r="FX43" i="14"/>
  <c r="FZ43"/>
  <c r="GB43"/>
  <c r="P44"/>
  <c r="Q44"/>
  <c r="T44"/>
  <c r="V44"/>
  <c r="W44"/>
  <c r="Y44"/>
  <c r="Z44"/>
  <c r="AA44"/>
  <c r="AB44"/>
  <c r="AC44"/>
  <c r="AN44"/>
  <c r="FX44"/>
  <c r="FZ44"/>
  <c r="GB44"/>
  <c r="P45"/>
  <c r="Q45"/>
  <c r="T45"/>
  <c r="V45"/>
  <c r="W45"/>
  <c r="X45"/>
  <c r="Y45"/>
  <c r="Z45"/>
  <c r="AA45"/>
  <c r="AB45"/>
  <c r="AC45"/>
  <c r="AN45"/>
  <c r="FX45"/>
  <c r="FZ45"/>
  <c r="GB45"/>
  <c r="P46"/>
  <c r="Q46"/>
  <c r="T46"/>
  <c r="V46"/>
  <c r="W46"/>
  <c r="X46"/>
  <c r="Y46"/>
  <c r="Z46"/>
  <c r="AA46"/>
  <c r="AB46"/>
  <c r="AC46"/>
  <c r="AN46"/>
  <c r="FX46"/>
  <c r="FZ46"/>
  <c r="GB46"/>
  <c r="P47"/>
  <c r="Q47"/>
  <c r="T47"/>
  <c r="V47"/>
  <c r="W47"/>
  <c r="X47"/>
  <c r="Y47"/>
  <c r="Z47"/>
  <c r="AA47"/>
  <c r="AB47"/>
  <c r="AC47"/>
  <c r="AN47"/>
  <c r="FX47"/>
  <c r="FZ47"/>
  <c r="GB47"/>
  <c r="P48"/>
  <c r="Q48"/>
  <c r="T48"/>
  <c r="V48"/>
  <c r="W48"/>
  <c r="X48"/>
  <c r="Y48"/>
  <c r="Z48"/>
  <c r="AA48"/>
  <c r="AB48"/>
  <c r="AC48"/>
  <c r="AN48"/>
  <c r="FX48"/>
  <c r="FZ48"/>
  <c r="GB48"/>
  <c r="P49"/>
  <c r="Q49"/>
  <c r="T49"/>
  <c r="V49"/>
  <c r="W49"/>
  <c r="X49"/>
  <c r="Y49"/>
  <c r="Z49"/>
  <c r="AA49"/>
  <c r="AB49"/>
  <c r="AC49"/>
  <c r="AN49"/>
  <c r="FX49"/>
  <c r="FZ49"/>
  <c r="GB49"/>
  <c r="P50"/>
  <c r="Q50"/>
  <c r="T50"/>
  <c r="V50"/>
  <c r="W50"/>
  <c r="X50"/>
  <c r="Y50"/>
  <c r="Z50"/>
  <c r="AA50"/>
  <c r="AB50"/>
  <c r="AC50"/>
  <c r="AN50"/>
  <c r="P51"/>
  <c r="Q51"/>
  <c r="T51"/>
  <c r="V51"/>
  <c r="W51"/>
  <c r="X51"/>
  <c r="Y51"/>
  <c r="Z51"/>
  <c r="AA51"/>
  <c r="AB51"/>
  <c r="AC51"/>
  <c r="AN51"/>
  <c r="ES51"/>
  <c r="FX51"/>
  <c r="FZ51"/>
  <c r="GB51"/>
  <c r="P52"/>
  <c r="Q52"/>
  <c r="AN52"/>
  <c r="FX52"/>
  <c r="FZ52"/>
  <c r="GB52"/>
  <c r="P53"/>
  <c r="Q53"/>
  <c r="T53"/>
  <c r="V53"/>
  <c r="W53"/>
  <c r="X53"/>
  <c r="Y53"/>
  <c r="Z53"/>
  <c r="AA53"/>
  <c r="AB53"/>
  <c r="AC53"/>
  <c r="AN53"/>
  <c r="FX53"/>
  <c r="FZ53"/>
  <c r="GB53"/>
  <c r="P54"/>
  <c r="Q54"/>
  <c r="R54"/>
  <c r="S54"/>
  <c r="T54"/>
  <c r="V54"/>
  <c r="W54"/>
  <c r="X54"/>
  <c r="Y54"/>
  <c r="Z54"/>
  <c r="AA54"/>
  <c r="AB54"/>
  <c r="AC54"/>
  <c r="AN54"/>
  <c r="ES54"/>
  <c r="FX54"/>
  <c r="FZ54"/>
  <c r="GB54"/>
  <c r="P55"/>
  <c r="Q55"/>
  <c r="R55"/>
  <c r="S55"/>
  <c r="T55"/>
  <c r="V55"/>
  <c r="W55"/>
  <c r="X55"/>
  <c r="FX55"/>
  <c r="FZ55"/>
  <c r="GB55"/>
  <c r="P56"/>
  <c r="Q56"/>
  <c r="R56"/>
  <c r="FX56"/>
  <c r="FZ56"/>
  <c r="GB56"/>
  <c r="P57"/>
  <c r="Q57"/>
  <c r="R57"/>
  <c r="S57"/>
  <c r="T57"/>
  <c r="V57"/>
  <c r="W57"/>
  <c r="X57"/>
  <c r="FX57"/>
  <c r="FZ57"/>
  <c r="GB57"/>
  <c r="P58"/>
  <c r="Q58"/>
  <c r="R58"/>
  <c r="S58"/>
  <c r="T58"/>
  <c r="AN58"/>
  <c r="FX58"/>
  <c r="FZ58"/>
  <c r="GB58"/>
  <c r="P59"/>
  <c r="Q59"/>
  <c r="R59"/>
  <c r="S59"/>
  <c r="FX59"/>
  <c r="FZ59"/>
  <c r="GB59"/>
  <c r="P60"/>
  <c r="Q60"/>
  <c r="R60"/>
  <c r="S60"/>
  <c r="T60"/>
  <c r="V60"/>
  <c r="W60"/>
  <c r="X60"/>
  <c r="FX60"/>
  <c r="FZ60"/>
  <c r="GB60"/>
  <c r="FX61"/>
  <c r="FZ61"/>
  <c r="GB61"/>
  <c r="P62"/>
  <c r="Q62"/>
  <c r="R62"/>
  <c r="S62"/>
  <c r="T62"/>
  <c r="FX62"/>
  <c r="FZ62"/>
  <c r="GB62"/>
  <c r="P63"/>
  <c r="Q63"/>
  <c r="R63"/>
  <c r="S63"/>
  <c r="T63"/>
  <c r="FX63"/>
  <c r="FZ63"/>
  <c r="GB63"/>
  <c r="FX64"/>
  <c r="FZ64"/>
  <c r="GB64"/>
  <c r="P65"/>
  <c r="Q65"/>
  <c r="T65"/>
  <c r="Y65"/>
  <c r="FX65"/>
  <c r="FZ65"/>
  <c r="GB65"/>
  <c r="P66"/>
  <c r="Q66"/>
  <c r="T66"/>
  <c r="V66"/>
  <c r="W66"/>
  <c r="X66"/>
  <c r="Y66"/>
  <c r="Z66"/>
  <c r="AA66"/>
  <c r="AB66"/>
  <c r="AC66"/>
  <c r="AN66"/>
  <c r="FX66"/>
  <c r="FZ66"/>
  <c r="GB66"/>
  <c r="P67"/>
  <c r="Q67"/>
  <c r="T67"/>
  <c r="V67"/>
  <c r="W67"/>
  <c r="X67"/>
  <c r="Y67"/>
  <c r="Z67"/>
  <c r="AA67"/>
  <c r="AB67"/>
  <c r="AC67"/>
  <c r="AN67"/>
  <c r="FX67"/>
  <c r="FZ67"/>
  <c r="GB67"/>
  <c r="P68"/>
  <c r="Q68"/>
  <c r="T68"/>
  <c r="V68"/>
  <c r="W68"/>
  <c r="X68"/>
  <c r="Y68"/>
  <c r="Z68"/>
  <c r="AA68"/>
  <c r="AB68"/>
  <c r="AC68"/>
  <c r="AN68"/>
  <c r="FX68"/>
  <c r="FZ68"/>
  <c r="GB68"/>
  <c r="P69"/>
  <c r="Q69"/>
  <c r="T69"/>
  <c r="V69"/>
  <c r="W69"/>
  <c r="X69"/>
  <c r="Y69"/>
  <c r="Z69"/>
  <c r="AA69"/>
  <c r="AB69"/>
  <c r="AC69"/>
  <c r="AN69"/>
  <c r="FX69"/>
  <c r="FZ69"/>
  <c r="GB69"/>
  <c r="P70"/>
  <c r="Q70"/>
  <c r="T70"/>
  <c r="V70"/>
  <c r="W70"/>
  <c r="X70"/>
  <c r="Y70"/>
  <c r="Z70"/>
  <c r="AA70"/>
  <c r="AB70"/>
  <c r="AC70"/>
  <c r="AN70"/>
  <c r="FX70"/>
  <c r="FZ70"/>
  <c r="GB70"/>
  <c r="P71"/>
  <c r="Q71"/>
  <c r="T71"/>
  <c r="V71"/>
  <c r="W71"/>
  <c r="X71"/>
  <c r="Y71"/>
  <c r="Z71"/>
  <c r="AA71"/>
  <c r="AB71"/>
  <c r="AC71"/>
  <c r="AN71"/>
  <c r="FX71"/>
  <c r="FZ71"/>
  <c r="GB71"/>
  <c r="P72"/>
  <c r="Q72"/>
  <c r="T72"/>
  <c r="V72"/>
  <c r="W72"/>
  <c r="X72"/>
  <c r="Y72"/>
  <c r="FX72"/>
  <c r="FZ72"/>
  <c r="GB72"/>
  <c r="P73"/>
  <c r="Q73"/>
  <c r="T73"/>
  <c r="V73"/>
  <c r="W73"/>
  <c r="X73"/>
  <c r="Y73"/>
  <c r="Z73"/>
  <c r="AA73"/>
  <c r="AB73"/>
  <c r="AC73"/>
  <c r="AN73"/>
  <c r="FX73"/>
  <c r="FZ73"/>
  <c r="GB73"/>
  <c r="P74"/>
  <c r="Q74"/>
  <c r="T74"/>
  <c r="V74"/>
  <c r="W74"/>
  <c r="X74"/>
  <c r="Y74"/>
  <c r="Z74"/>
  <c r="AA74"/>
  <c r="AB74"/>
  <c r="AC74"/>
  <c r="AN74"/>
  <c r="FZ74"/>
  <c r="GB74"/>
  <c r="T75"/>
  <c r="AN75"/>
  <c r="AN76"/>
  <c r="T77"/>
  <c r="V77"/>
  <c r="W77"/>
  <c r="X77"/>
  <c r="Y77"/>
  <c r="Z77"/>
  <c r="AA77"/>
  <c r="AB77"/>
  <c r="AC77"/>
  <c r="AN77"/>
  <c r="BK404" i="19"/>
  <c r="BK425"/>
  <c r="BK406" s="1"/>
  <c r="BK440" s="1"/>
  <c r="BJ683"/>
  <c r="BL639"/>
  <c r="BL642"/>
  <c r="BE453"/>
  <c r="BE449"/>
  <c r="BA453"/>
  <c r="BA426"/>
  <c r="BA436" s="1"/>
  <c r="BA438" s="1"/>
  <c r="BA271" s="1"/>
  <c r="BO71"/>
  <c r="BL404"/>
  <c r="BB285"/>
  <c r="AX285"/>
  <c r="AW285"/>
  <c r="BH32"/>
  <c r="BD32"/>
  <c r="AZ32"/>
  <c r="BE32"/>
  <c r="BA32"/>
  <c r="BP71"/>
  <c r="BQ71"/>
  <c r="BR71" s="1"/>
  <c r="BS71" s="1"/>
  <c r="BT71" s="1"/>
  <c r="BU71" s="1"/>
  <c r="BV71" s="1"/>
  <c r="BW71" s="1"/>
  <c r="BX71" s="1"/>
  <c r="BY71" s="1"/>
  <c r="BZ71" s="1"/>
  <c r="CA71" s="1"/>
  <c r="CB71" s="1"/>
  <c r="CC71" s="1"/>
  <c r="CD71" s="1"/>
  <c r="AX268"/>
  <c r="AX267" s="1"/>
  <c r="BM683"/>
  <c r="BH639"/>
  <c r="CM332"/>
  <c r="CM284" s="1"/>
  <c r="CM281" s="1"/>
  <c r="CM279" s="1"/>
  <c r="CM276" s="1"/>
  <c r="BK96"/>
  <c r="BH349" i="20"/>
  <c r="BL349"/>
  <c r="BJ349"/>
  <c r="CM731" i="19"/>
  <c r="BI711"/>
  <c r="BI707" s="1"/>
  <c r="BI703"/>
  <c r="BE271" i="20"/>
  <c r="BC271"/>
  <c r="BA271"/>
  <c r="BE230"/>
  <c r="BA230"/>
  <c r="BH258"/>
  <c r="BD181"/>
  <c r="BJ96" i="19"/>
  <c r="BJ94" s="1"/>
  <c r="BH802"/>
  <c r="BJ308" i="20"/>
  <c r="BI633" i="19"/>
  <c r="BI634"/>
  <c r="BI234" i="20"/>
  <c r="BG234"/>
  <c r="BE234"/>
  <c r="AW234"/>
  <c r="R41" i="23"/>
  <c r="BD390" i="19"/>
  <c r="BD313" s="1"/>
  <c r="BB389"/>
  <c r="BE96"/>
  <c r="BE44" i="20" s="1"/>
  <c r="BF332" i="19"/>
  <c r="BF284" s="1"/>
  <c r="BI228" i="20"/>
  <c r="BI449" i="19"/>
  <c r="BE228" i="20"/>
  <c r="BH227"/>
  <c r="BD227"/>
  <c r="BD226"/>
  <c r="BF226"/>
  <c r="BL425" i="19"/>
  <c r="BL406"/>
  <c r="CF40" i="23"/>
  <c r="BG228" i="20"/>
  <c r="BH226"/>
  <c r="BD453" i="19"/>
  <c r="BD426" s="1"/>
  <c r="AK41" i="23"/>
  <c r="AG41"/>
  <c r="BK349" i="20"/>
  <c r="BG349"/>
  <c r="BF32" i="19"/>
  <c r="A78" i="28"/>
  <c r="BK711" i="19"/>
  <c r="BK707" s="1"/>
  <c r="BM707"/>
  <c r="AZ107"/>
  <c r="AZ268"/>
  <c r="AZ267" s="1"/>
  <c r="BJ639"/>
  <c r="BJ642"/>
  <c r="BH332"/>
  <c r="BH284"/>
  <c r="BG711"/>
  <c r="BG673"/>
  <c r="AX698"/>
  <c r="AX701" s="1"/>
  <c r="AX464"/>
  <c r="AX314" s="1"/>
  <c r="BF389"/>
  <c r="BG347"/>
  <c r="BG381" s="1"/>
  <c r="BI332"/>
  <c r="BI284" s="1"/>
  <c r="AV268"/>
  <c r="AV267" s="1"/>
  <c r="CM711"/>
  <c r="CM707" s="1"/>
  <c r="BG633"/>
  <c r="BG634" s="1"/>
  <c r="BC522"/>
  <c r="AY285"/>
  <c r="CI379" i="20"/>
  <c r="BE272" i="19"/>
  <c r="BC272"/>
  <c r="BA272"/>
  <c r="BG453"/>
  <c r="BG449" s="1"/>
  <c r="BI91"/>
  <c r="BI96"/>
  <c r="BI44" i="20" s="1"/>
  <c r="BD347" i="19"/>
  <c r="BD381" s="1"/>
  <c r="BJ633"/>
  <c r="BJ634" s="1"/>
  <c r="BE390"/>
  <c r="BE313" s="1"/>
  <c r="BC285"/>
  <c r="BC252" i="20" s="1"/>
  <c r="BC341" i="19"/>
  <c r="BG32"/>
  <c r="BC32"/>
  <c r="BI731"/>
  <c r="BA486"/>
  <c r="BJ406"/>
  <c r="BJ440" s="1"/>
  <c r="BF390"/>
  <c r="BF313" s="1"/>
  <c r="BA390"/>
  <c r="BA313" s="1"/>
  <c r="BU68"/>
  <c r="BV68" s="1"/>
  <c r="BW68" s="1"/>
  <c r="BX68" s="1"/>
  <c r="BY68" s="1"/>
  <c r="BZ68" s="1"/>
  <c r="CA68" s="1"/>
  <c r="CB68" s="1"/>
  <c r="CC68" s="1"/>
  <c r="CD68" s="1"/>
  <c r="BO57"/>
  <c r="BH288"/>
  <c r="AY268"/>
  <c r="AY267" s="1"/>
  <c r="BQ88"/>
  <c r="BR88"/>
  <c r="BS88"/>
  <c r="BT88" s="1"/>
  <c r="BU88" s="1"/>
  <c r="BV88" s="1"/>
  <c r="BW88" s="1"/>
  <c r="BX88" s="1"/>
  <c r="BY88" s="1"/>
  <c r="BZ88" s="1"/>
  <c r="CA88" s="1"/>
  <c r="CB88" s="1"/>
  <c r="CC88" s="1"/>
  <c r="CD88" s="1"/>
  <c r="BM8" i="20"/>
  <c r="BL8" s="1"/>
  <c r="BK8" s="1"/>
  <c r="BJ8" s="1"/>
  <c r="BI8" s="1"/>
  <c r="BH8" s="1"/>
  <c r="BN1114" i="19"/>
  <c r="T41" i="23"/>
  <c r="BS1105" i="19"/>
  <c r="BO1054"/>
  <c r="BO1056"/>
  <c r="BN1105"/>
  <c r="BK639"/>
  <c r="BK642" s="1"/>
  <c r="BG639"/>
  <c r="AC41" i="23"/>
  <c r="BA337" i="19"/>
  <c r="BA285" s="1"/>
  <c r="BP1105"/>
  <c r="BN1087"/>
  <c r="AT6" i="20"/>
  <c r="AT386" s="1"/>
  <c r="AT438" s="1"/>
  <c r="AU386"/>
  <c r="AU438"/>
  <c r="BO65" i="19"/>
  <c r="BP65" s="1"/>
  <c r="BQ65" s="1"/>
  <c r="BR65" s="1"/>
  <c r="BS65" s="1"/>
  <c r="BT65" s="1"/>
  <c r="BU65" s="1"/>
  <c r="BV65" s="1"/>
  <c r="BW65" s="1"/>
  <c r="BX65" s="1"/>
  <c r="BY65" s="1"/>
  <c r="BZ65" s="1"/>
  <c r="CA65" s="1"/>
  <c r="CB65" s="1"/>
  <c r="CC65" s="1"/>
  <c r="CD65" s="1"/>
  <c r="AY6"/>
  <c r="AY7" s="1"/>
  <c r="AY370" i="20" s="1"/>
  <c r="BP1101" i="19"/>
  <c r="BS1104"/>
  <c r="BS1054"/>
  <c r="BS1056" s="1"/>
  <c r="BF228" i="20"/>
  <c r="BS53" i="19"/>
  <c r="BS835" s="1"/>
  <c r="BR835"/>
  <c r="BN1160"/>
  <c r="BL32"/>
  <c r="BJ32"/>
  <c r="BN1054"/>
  <c r="BU1102"/>
  <c r="BV1102" s="1"/>
  <c r="BW1102" s="1"/>
  <c r="BX1102" s="1"/>
  <c r="BY1102" s="1"/>
  <c r="BZ1102" s="1"/>
  <c r="CA1102" s="1"/>
  <c r="CB1102" s="1"/>
  <c r="CC1102" s="1"/>
  <c r="CD1102" s="1"/>
  <c r="AV112" i="20"/>
  <c r="BO101" i="19"/>
  <c r="BP101" s="1"/>
  <c r="BQ101" s="1"/>
  <c r="BR101" s="1"/>
  <c r="BS101" s="1"/>
  <c r="BT101" s="1"/>
  <c r="BU101" s="1"/>
  <c r="BV101" s="1"/>
  <c r="BW101" s="1"/>
  <c r="BX101" s="1"/>
  <c r="BY101" s="1"/>
  <c r="BZ101" s="1"/>
  <c r="CA101" s="1"/>
  <c r="CB101" s="1"/>
  <c r="CC101" s="1"/>
  <c r="CD101" s="1"/>
  <c r="BU102"/>
  <c r="BV102"/>
  <c r="BW102" s="1"/>
  <c r="BX102" s="1"/>
  <c r="BY102" s="1"/>
  <c r="BZ102" s="1"/>
  <c r="CA102" s="1"/>
  <c r="CB102" s="1"/>
  <c r="CC102" s="1"/>
  <c r="CD102" s="1"/>
  <c r="BP1103"/>
  <c r="BO1104"/>
  <c r="BQ1104"/>
  <c r="BS836"/>
  <c r="BF247" i="20"/>
  <c r="AV234"/>
  <c r="BJ228"/>
  <c r="BJ219"/>
  <c r="BJ218" s="1"/>
  <c r="BJ348"/>
  <c r="AW268" i="19"/>
  <c r="AW267" s="1"/>
  <c r="BO1105"/>
  <c r="BL694"/>
  <c r="BH694"/>
  <c r="CI6" i="20"/>
  <c r="CJ6" s="1"/>
  <c r="B449"/>
  <c r="BI502"/>
  <c r="BM540" i="19"/>
  <c r="BM568"/>
  <c r="BG78" i="23"/>
  <c r="BJ449" i="19"/>
  <c r="BA389"/>
  <c r="BA347"/>
  <c r="BA381" s="1"/>
  <c r="AD41" i="23"/>
  <c r="BB505" i="19"/>
  <c r="BB525" s="1"/>
  <c r="BA505"/>
  <c r="BA525" s="1"/>
  <c r="BE464"/>
  <c r="BE314" s="1"/>
  <c r="BE312" s="1"/>
  <c r="CI421" i="20"/>
  <c r="BL45" i="28"/>
  <c r="BL105" s="1"/>
  <c r="CG105" s="1"/>
  <c r="B453" i="20"/>
  <c r="B452"/>
  <c r="B451"/>
  <c r="B448"/>
  <c r="BB35" i="23"/>
  <c r="BB36" s="1"/>
  <c r="BG502" i="20"/>
  <c r="N41" i="23"/>
  <c r="O41"/>
  <c r="AZ388" i="20"/>
  <c r="AZ440" s="1"/>
  <c r="AY234"/>
  <c r="BG519" i="19"/>
  <c r="BC228" i="20"/>
  <c r="BC227"/>
  <c r="BC453" i="19"/>
  <c r="BC449" s="1"/>
  <c r="BC464"/>
  <c r="BC314" s="1"/>
  <c r="BC390"/>
  <c r="BC313" s="1"/>
  <c r="BC312" s="1"/>
  <c r="AY464"/>
  <c r="AY314" s="1"/>
  <c r="BG390"/>
  <c r="BE389"/>
  <c r="BE219" i="20"/>
  <c r="BE218" s="1"/>
  <c r="BE359" i="19"/>
  <c r="BE347" s="1"/>
  <c r="BE381" s="1"/>
  <c r="BO100"/>
  <c r="BP100" s="1"/>
  <c r="BQ100" s="1"/>
  <c r="BR100" s="1"/>
  <c r="BS100" s="1"/>
  <c r="BT100" s="1"/>
  <c r="BU100" s="1"/>
  <c r="BV100" s="1"/>
  <c r="BW100" s="1"/>
  <c r="BX100" s="1"/>
  <c r="BY100" s="1"/>
  <c r="BZ100" s="1"/>
  <c r="CA100" s="1"/>
  <c r="CB100" s="1"/>
  <c r="CC100" s="1"/>
  <c r="CD100" s="1"/>
  <c r="BA513"/>
  <c r="BA522" s="1"/>
  <c r="BB522"/>
  <c r="BB523"/>
  <c r="CI453"/>
  <c r="CI426" s="1"/>
  <c r="CK76" i="23"/>
  <c r="BE4" i="28"/>
  <c r="BC389" i="19"/>
  <c r="BD698"/>
  <c r="AV698"/>
  <c r="AV700" s="1"/>
  <c r="BG247" i="20"/>
  <c r="BH257"/>
  <c r="BP1102" i="19"/>
  <c r="BN1161"/>
  <c r="BE392"/>
  <c r="A457" i="20"/>
  <c r="A447"/>
  <c r="BE33" i="28"/>
  <c r="BH31" i="23"/>
  <c r="CF31" s="1"/>
  <c r="BF31"/>
  <c r="BC4" i="28"/>
  <c r="CI224" i="20"/>
  <c r="BQ1105" i="19"/>
  <c r="U41" i="23"/>
  <c r="BB321" i="19"/>
  <c r="M41" i="23"/>
  <c r="BR1104" i="19"/>
  <c r="BT1054"/>
  <c r="BT1056" s="1"/>
  <c r="BC231" i="20"/>
  <c r="I41" i="23"/>
  <c r="BI440" i="19"/>
  <c r="BJ332"/>
  <c r="BJ284" s="1"/>
  <c r="BF321"/>
  <c r="BB190" i="20"/>
  <c r="H78" i="23"/>
  <c r="G41"/>
  <c r="BK673" i="19"/>
  <c r="AW321"/>
  <c r="AZ321"/>
  <c r="BC321"/>
  <c r="AY321"/>
  <c r="AX321"/>
  <c r="AV321"/>
  <c r="BA321"/>
  <c r="BD321"/>
  <c r="BE321"/>
  <c r="A415" i="20"/>
  <c r="AO258"/>
  <c r="AO256" s="1"/>
  <c r="BC187"/>
  <c r="BF147"/>
  <c r="T363"/>
  <c r="T413" s="1"/>
  <c r="T463" s="1"/>
  <c r="BK392" i="19"/>
  <c r="BK350"/>
  <c r="BJ696"/>
  <c r="AX194" i="20"/>
  <c r="AU41" i="23"/>
  <c r="BC199" i="20"/>
  <c r="CH228"/>
  <c r="BA8" i="23"/>
  <c r="BH388" i="20"/>
  <c r="BM148"/>
  <c r="BM45" i="28"/>
  <c r="CG363" i="20"/>
  <c r="BE194"/>
  <c r="BC184"/>
  <c r="BC189"/>
  <c r="BA207"/>
  <c r="AY153"/>
  <c r="AW153"/>
  <c r="AW413"/>
  <c r="AW463" s="1"/>
  <c r="BL505"/>
  <c r="CH505" s="1"/>
  <c r="AV41" i="28"/>
  <c r="AV58" s="1"/>
  <c r="AV112" s="1"/>
  <c r="BF388" i="20"/>
  <c r="BK502"/>
  <c r="BI147"/>
  <c r="CI26"/>
  <c r="BM31" i="23"/>
  <c r="CK31" s="1"/>
  <c r="BM150" i="20"/>
  <c r="CI363"/>
  <c r="CH28"/>
  <c r="CH372"/>
  <c r="BJ31" i="23"/>
  <c r="CH31" s="1"/>
  <c r="BD159" i="20"/>
  <c r="AX201"/>
  <c r="AX270" s="1"/>
  <c r="AP78" i="23"/>
  <c r="Z78"/>
  <c r="N78"/>
  <c r="CG48" i="20"/>
  <c r="CI25"/>
  <c r="BU1103" i="19"/>
  <c r="BV1103" s="1"/>
  <c r="BW1103" s="1"/>
  <c r="BX1103" s="1"/>
  <c r="BY1103" s="1"/>
  <c r="BZ1103" s="1"/>
  <c r="BT53"/>
  <c r="BO39"/>
  <c r="BP39"/>
  <c r="BQ39" s="1"/>
  <c r="BS1107"/>
  <c r="BF219" i="20"/>
  <c r="BF218" s="1"/>
  <c r="CI27"/>
  <c r="CH48"/>
  <c r="CI49"/>
  <c r="CI373"/>
  <c r="K68"/>
  <c r="BL659" i="19"/>
  <c r="BC642"/>
  <c r="BC698"/>
  <c r="BG96"/>
  <c r="BG44" i="20" s="1"/>
  <c r="BR271" i="19"/>
  <c r="BR401"/>
  <c r="BC426"/>
  <c r="BC436" s="1"/>
  <c r="BC438" s="1"/>
  <c r="BC271" s="1"/>
  <c r="BI349" i="20"/>
  <c r="BV860" i="19"/>
  <c r="BW860" s="1"/>
  <c r="BV795"/>
  <c r="BF523"/>
  <c r="BH659"/>
  <c r="BC229" i="20"/>
  <c r="BF665" i="19"/>
  <c r="BP1104"/>
  <c r="BV796"/>
  <c r="BW796" s="1"/>
  <c r="BO465" i="20"/>
  <c r="CK465" s="1"/>
  <c r="Q41" i="23"/>
  <c r="BK694" i="19"/>
  <c r="BI694"/>
  <c r="AZ7"/>
  <c r="AZ370" i="20" s="1"/>
  <c r="BV809" i="19"/>
  <c r="BV808"/>
  <c r="BT1007"/>
  <c r="BG694"/>
  <c r="BF694"/>
  <c r="BL665"/>
  <c r="BK665"/>
  <c r="BI665"/>
  <c r="BH665"/>
  <c r="BH703"/>
  <c r="BH162" i="20" s="1"/>
  <c r="BG703" i="19"/>
  <c r="BG162" i="20" s="1"/>
  <c r="AZ118" i="19"/>
  <c r="AY118" s="1"/>
  <c r="BV828"/>
  <c r="BW828" s="1"/>
  <c r="BX828" s="1"/>
  <c r="BY828" s="1"/>
  <c r="BZ828" s="1"/>
  <c r="CA828" s="1"/>
  <c r="CB828" s="1"/>
  <c r="CC828" s="1"/>
  <c r="CD828" s="1"/>
  <c r="BV1062"/>
  <c r="BW1062" s="1"/>
  <c r="BX1062" s="1"/>
  <c r="BY1062" s="1"/>
  <c r="BZ1062" s="1"/>
  <c r="CA1062" s="1"/>
  <c r="CB1062" s="1"/>
  <c r="CC1062" s="1"/>
  <c r="CD1062" s="1"/>
  <c r="BM96"/>
  <c r="BM44" i="20"/>
  <c r="BI105" i="19"/>
  <c r="BI53" i="20"/>
  <c r="BJ105" i="19"/>
  <c r="BL104"/>
  <c r="BV1137"/>
  <c r="BV1136"/>
  <c r="BW1136"/>
  <c r="BV1134"/>
  <c r="BW1134"/>
  <c r="BV1133"/>
  <c r="BU89"/>
  <c r="BJ694"/>
  <c r="BG659"/>
  <c r="BF96"/>
  <c r="BF44" i="20" s="1"/>
  <c r="BT1105" i="19"/>
  <c r="BU1105" s="1"/>
  <c r="BB32"/>
  <c r="BV798"/>
  <c r="BN38" i="23"/>
  <c r="CL38" s="1"/>
  <c r="BF659" i="19"/>
  <c r="BI673"/>
  <c r="BI659"/>
  <c r="BJ271" i="20"/>
  <c r="BI271"/>
  <c r="BF655" i="19"/>
  <c r="BF189" i="20" s="1"/>
  <c r="BF703" i="19"/>
  <c r="BF162" i="20" s="1"/>
  <c r="BV806" i="19"/>
  <c r="BW806"/>
  <c r="BV797"/>
  <c r="BW797" s="1"/>
  <c r="BG184" i="20"/>
  <c r="BF40" i="28" s="1"/>
  <c r="BV807" i="19"/>
  <c r="BL187" i="20"/>
  <c r="BL189"/>
  <c r="BN47" i="19"/>
  <c r="BN42" s="1"/>
  <c r="BF196" i="20"/>
  <c r="BI186"/>
  <c r="BF183"/>
  <c r="BA383"/>
  <c r="BK45" i="28"/>
  <c r="CG245" i="20"/>
  <c r="I271"/>
  <c r="BP1054" i="19"/>
  <c r="BQ1054"/>
  <c r="BQ1056"/>
  <c r="CG372" i="20"/>
  <c r="BJ409"/>
  <c r="AU323"/>
  <c r="AU401" s="1"/>
  <c r="AU450" s="1"/>
  <c r="Z271"/>
  <c r="AH238"/>
  <c r="AU271"/>
  <c r="BT1108" i="19"/>
  <c r="BU1108" s="1"/>
  <c r="BV1108" s="1"/>
  <c r="BW1108" s="1"/>
  <c r="BX1108" s="1"/>
  <c r="BY1108" s="1"/>
  <c r="BZ1108" s="1"/>
  <c r="CA1108" s="1"/>
  <c r="CB1108" s="1"/>
  <c r="CC1108" s="1"/>
  <c r="CD1108" s="1"/>
  <c r="CF76" i="23"/>
  <c r="BF41"/>
  <c r="BG41"/>
  <c r="BC41"/>
  <c r="BB41"/>
  <c r="AW41"/>
  <c r="AX41"/>
  <c r="AT41"/>
  <c r="BU1004" i="19"/>
  <c r="BV1004"/>
  <c r="BW1004" s="1"/>
  <c r="BX1004" s="1"/>
  <c r="BY1004" s="1"/>
  <c r="BZ1004" s="1"/>
  <c r="CA1004" s="1"/>
  <c r="CB1004" s="1"/>
  <c r="CC1004" s="1"/>
  <c r="CD1004" s="1"/>
  <c r="BB272"/>
  <c r="BD449"/>
  <c r="Q78" i="23"/>
  <c r="J233" i="20"/>
  <c r="O233"/>
  <c r="BD272" i="19"/>
  <c r="BH234" i="20"/>
  <c r="AZ234"/>
  <c r="AX234"/>
  <c r="BC523" i="19"/>
  <c r="BC232" i="20" s="1"/>
  <c r="BH228"/>
  <c r="BD464" i="19"/>
  <c r="BD314"/>
  <c r="BI247" i="20"/>
  <c r="B450"/>
  <c r="BN1056" i="19"/>
  <c r="BA78" i="23"/>
  <c r="BI639" i="19"/>
  <c r="BI642" s="1"/>
  <c r="BB271" i="20"/>
  <c r="BE227"/>
  <c r="AZ464" i="19"/>
  <c r="AZ314" s="1"/>
  <c r="BV805"/>
  <c r="BL801"/>
  <c r="BK348" i="20"/>
  <c r="CG348" s="1"/>
  <c r="BE62" i="28"/>
  <c r="BA642" i="19"/>
  <c r="BA698"/>
  <c r="BA700" s="1"/>
  <c r="BF359"/>
  <c r="BJ257" i="20"/>
  <c r="BH453" i="19"/>
  <c r="BD389"/>
  <c r="BO79"/>
  <c r="BP79" s="1"/>
  <c r="BQ79" s="1"/>
  <c r="BR79" s="1"/>
  <c r="BS79" s="1"/>
  <c r="BT79" s="1"/>
  <c r="BU79" s="1"/>
  <c r="BV79" s="1"/>
  <c r="BW79" s="1"/>
  <c r="BX79" s="1"/>
  <c r="BY79" s="1"/>
  <c r="BZ79" s="1"/>
  <c r="CA79" s="1"/>
  <c r="CB79" s="1"/>
  <c r="CC79" s="1"/>
  <c r="CD79" s="1"/>
  <c r="BV799"/>
  <c r="BN665"/>
  <c r="AP41" i="23"/>
  <c r="AL41"/>
  <c r="H41"/>
  <c r="BU10" i="28"/>
  <c r="BN673" i="19"/>
  <c r="Z223" i="20"/>
  <c r="AS2" i="28"/>
  <c r="AT24"/>
  <c r="AT62"/>
  <c r="BN659" i="19"/>
  <c r="Y33" i="28"/>
  <c r="U33"/>
  <c r="Z33"/>
  <c r="R33"/>
  <c r="L33"/>
  <c r="G33"/>
  <c r="BD153" i="20"/>
  <c r="BD427"/>
  <c r="BC151"/>
  <c r="BC427"/>
  <c r="BA357"/>
  <c r="BA426" s="1"/>
  <c r="BA427"/>
  <c r="AZ198"/>
  <c r="AZ427"/>
  <c r="AY198"/>
  <c r="AY427"/>
  <c r="AY462" s="1"/>
  <c r="AX151"/>
  <c r="AX427"/>
  <c r="AX462" s="1"/>
  <c r="AW196"/>
  <c r="AW250" s="1"/>
  <c r="AW427"/>
  <c r="AW462" s="1"/>
  <c r="AV427"/>
  <c r="AV462" s="1"/>
  <c r="B467"/>
  <c r="BH460"/>
  <c r="Y247"/>
  <c r="AY246"/>
  <c r="BH465"/>
  <c r="CH354"/>
  <c r="BA41" i="28"/>
  <c r="BA58" s="1"/>
  <c r="BE41"/>
  <c r="BE101" s="1"/>
  <c r="BG41"/>
  <c r="BG101" s="1"/>
  <c r="BD4"/>
  <c r="BA33"/>
  <c r="BG507" i="20"/>
  <c r="BL495"/>
  <c r="CH495" s="1"/>
  <c r="AZ33" i="28"/>
  <c r="AW237" i="20"/>
  <c r="AW200" s="1"/>
  <c r="AM258"/>
  <c r="AM256" s="1"/>
  <c r="AL34" i="28" s="1"/>
  <c r="L258" i="20"/>
  <c r="L256" s="1"/>
  <c r="K34" i="28" s="1"/>
  <c r="Z258" i="20"/>
  <c r="Z256" s="1"/>
  <c r="Y34" i="28" s="1"/>
  <c r="BN45"/>
  <c r="BN105" s="1"/>
  <c r="CI105" s="1"/>
  <c r="CI252" i="20"/>
  <c r="BM200"/>
  <c r="CI200" s="1"/>
  <c r="CI237"/>
  <c r="CH237"/>
  <c r="CI17"/>
  <c r="CH47"/>
  <c r="BM157"/>
  <c r="CI157" s="1"/>
  <c r="BM156"/>
  <c r="BM146"/>
  <c r="CI146" s="1"/>
  <c r="BM35" i="23"/>
  <c r="BM36" s="1"/>
  <c r="CK36" s="1"/>
  <c r="BM561" i="20"/>
  <c r="BM149"/>
  <c r="I242"/>
  <c r="H41" i="28" s="1"/>
  <c r="AO242" i="20"/>
  <c r="K242"/>
  <c r="K354"/>
  <c r="K423" s="1"/>
  <c r="K466" s="1"/>
  <c r="AT388"/>
  <c r="AT440" s="1"/>
  <c r="AC33" i="28"/>
  <c r="AF233" i="20"/>
  <c r="AA233"/>
  <c r="S269"/>
  <c r="AC161"/>
  <c r="BM356"/>
  <c r="CH230"/>
  <c r="AV33" i="28"/>
  <c r="BM153" i="20"/>
  <c r="CI153" s="1"/>
  <c r="BM147"/>
  <c r="AW8" i="23"/>
  <c r="AN258" i="20"/>
  <c r="AN256" s="1"/>
  <c r="CG31"/>
  <c r="Q242"/>
  <c r="Q285" s="1"/>
  <c r="AB57"/>
  <c r="CI230"/>
  <c r="CH25"/>
  <c r="AD33" i="28"/>
  <c r="N33"/>
  <c r="CG25" i="20"/>
  <c r="CH46"/>
  <c r="CI47"/>
  <c r="AH69"/>
  <c r="AL68"/>
  <c r="AJ68"/>
  <c r="Z68"/>
  <c r="AX217"/>
  <c r="M271"/>
  <c r="AP271"/>
  <c r="AF271"/>
  <c r="O271"/>
  <c r="BL196"/>
  <c r="CH196" s="1"/>
  <c r="CI19"/>
  <c r="CI18"/>
  <c r="BM8" i="23"/>
  <c r="CK8" s="1"/>
  <c r="CI13" i="20"/>
  <c r="BN12"/>
  <c r="BO69" i="19"/>
  <c r="BP69" s="1"/>
  <c r="BQ69" s="1"/>
  <c r="BR69" s="1"/>
  <c r="BS69" s="1"/>
  <c r="BT69" s="1"/>
  <c r="BU69" s="1"/>
  <c r="BV69" s="1"/>
  <c r="BW69" s="1"/>
  <c r="BX69" s="1"/>
  <c r="BY69" s="1"/>
  <c r="BZ69" s="1"/>
  <c r="CA69" s="1"/>
  <c r="CB69" s="1"/>
  <c r="CC69" s="1"/>
  <c r="CD69" s="1"/>
  <c r="AL78" i="23"/>
  <c r="BB390" i="19"/>
  <c r="BB313" s="1"/>
  <c r="BV1047"/>
  <c r="BW1047" s="1"/>
  <c r="BX1047" s="1"/>
  <c r="BY1047" s="1"/>
  <c r="BZ1047" s="1"/>
  <c r="CA1047" s="1"/>
  <c r="CB1047" s="1"/>
  <c r="CC1047" s="1"/>
  <c r="CD1047" s="1"/>
  <c r="BV1046"/>
  <c r="BW1046" s="1"/>
  <c r="BX1046" s="1"/>
  <c r="BY1046" s="1"/>
  <c r="BZ1046" s="1"/>
  <c r="CA1046" s="1"/>
  <c r="CB1046" s="1"/>
  <c r="CC1046" s="1"/>
  <c r="CD1046" s="1"/>
  <c r="BV1045"/>
  <c r="BW1045" s="1"/>
  <c r="BX1045" s="1"/>
  <c r="BY1045" s="1"/>
  <c r="BZ1045" s="1"/>
  <c r="CA1045" s="1"/>
  <c r="CB1045" s="1"/>
  <c r="CC1045" s="1"/>
  <c r="CD1045" s="1"/>
  <c r="BV1043"/>
  <c r="BW1043" s="1"/>
  <c r="BX1043" s="1"/>
  <c r="BY1043" s="1"/>
  <c r="BZ1043" s="1"/>
  <c r="CA1043" s="1"/>
  <c r="CB1043" s="1"/>
  <c r="CC1043" s="1"/>
  <c r="CD1043" s="1"/>
  <c r="BV1035"/>
  <c r="BW1035"/>
  <c r="BX1035" s="1"/>
  <c r="BY1035" s="1"/>
  <c r="BZ1035" s="1"/>
  <c r="CA1035" s="1"/>
  <c r="CB1035" s="1"/>
  <c r="CC1035" s="1"/>
  <c r="CD1035" s="1"/>
  <c r="BU1039"/>
  <c r="BU1054" s="1"/>
  <c r="BW986"/>
  <c r="BJ2"/>
  <c r="BQ401"/>
  <c r="BO401"/>
  <c r="BN401"/>
  <c r="AO69" i="20"/>
  <c r="AX237"/>
  <c r="AX200" s="1"/>
  <c r="AO68"/>
  <c r="AJ69"/>
  <c r="BK189"/>
  <c r="AW313"/>
  <c r="AX313" s="1"/>
  <c r="BE383"/>
  <c r="BG183"/>
  <c r="BL413"/>
  <c r="BL463" s="1"/>
  <c r="CH463" s="1"/>
  <c r="BL201"/>
  <c r="BG196"/>
  <c r="BG250" s="1"/>
  <c r="BG195"/>
  <c r="BF153"/>
  <c r="AW388"/>
  <c r="AW440" s="1"/>
  <c r="BA388"/>
  <c r="AZ170"/>
  <c r="AZ163"/>
  <c r="AS271"/>
  <c r="AO271"/>
  <c r="AI271"/>
  <c r="BG477"/>
  <c r="AW198"/>
  <c r="AY158"/>
  <c r="AY187"/>
  <c r="BA186"/>
  <c r="BA201"/>
  <c r="BA270" s="1"/>
  <c r="BE199"/>
  <c r="BE236" s="1"/>
  <c r="BE152"/>
  <c r="AY237"/>
  <c r="BE356"/>
  <c r="AY31" i="23"/>
  <c r="BD35"/>
  <c r="BD36" s="1"/>
  <c r="BL148" i="20"/>
  <c r="AZ193"/>
  <c r="BL162"/>
  <c r="BM507"/>
  <c r="CI507" s="1"/>
  <c r="BF146"/>
  <c r="AV170"/>
  <c r="W271"/>
  <c r="AB271"/>
  <c r="L271"/>
  <c r="AN271"/>
  <c r="AE271"/>
  <c r="S271"/>
  <c r="X271"/>
  <c r="AQ271"/>
  <c r="R271"/>
  <c r="AK271"/>
  <c r="N271"/>
  <c r="AC271"/>
  <c r="L233"/>
  <c r="W233"/>
  <c r="AG233"/>
  <c r="AS233"/>
  <c r="V233"/>
  <c r="AO233"/>
  <c r="Z233"/>
  <c r="Z220"/>
  <c r="Z217" s="1"/>
  <c r="Z354"/>
  <c r="Z423" s="1"/>
  <c r="Z466" s="1"/>
  <c r="AS354"/>
  <c r="AS423" s="1"/>
  <c r="G354"/>
  <c r="J354"/>
  <c r="J423" s="1"/>
  <c r="J466" s="1"/>
  <c r="O354"/>
  <c r="O423" s="1"/>
  <c r="O466" s="1"/>
  <c r="V354"/>
  <c r="V423" s="1"/>
  <c r="V466" s="1"/>
  <c r="BH278"/>
  <c r="CH226"/>
  <c r="AZ237"/>
  <c r="AW33" i="28"/>
  <c r="Y258" i="20"/>
  <c r="Y256" s="1"/>
  <c r="R258"/>
  <c r="R256" s="1"/>
  <c r="J258"/>
  <c r="J256" s="1"/>
  <c r="I34" i="28" s="1"/>
  <c r="AB258" i="20"/>
  <c r="AB256" s="1"/>
  <c r="CH259"/>
  <c r="BM496"/>
  <c r="CI496" s="1"/>
  <c r="BM423"/>
  <c r="BL423"/>
  <c r="CH423" s="1"/>
  <c r="BF409"/>
  <c r="BK38" i="23"/>
  <c r="CI38" s="1"/>
  <c r="CG365" i="20"/>
  <c r="CI302"/>
  <c r="BM465"/>
  <c r="CI465" s="1"/>
  <c r="BG33" i="23"/>
  <c r="CI365" i="20"/>
  <c r="CG16"/>
  <c r="AV105"/>
  <c r="CH13"/>
  <c r="BM159"/>
  <c r="CI159" s="1"/>
  <c r="BM151"/>
  <c r="BM162"/>
  <c r="CI162" s="1"/>
  <c r="AX41" i="28"/>
  <c r="AZ41"/>
  <c r="AZ101" s="1"/>
  <c r="AZ31" i="23"/>
  <c r="AX31"/>
  <c r="BJ388" i="20"/>
  <c r="BG4" i="28"/>
  <c r="BH482" i="20"/>
  <c r="BI482" s="1"/>
  <c r="BJ482" s="1"/>
  <c r="BB388"/>
  <c r="BB440" s="1"/>
  <c r="CI247"/>
  <c r="X247"/>
  <c r="X246" s="1"/>
  <c r="L247"/>
  <c r="L246" s="1"/>
  <c r="AI247"/>
  <c r="AI246" s="1"/>
  <c r="CH277"/>
  <c r="CH242"/>
  <c r="CG354"/>
  <c r="BG409"/>
  <c r="BG460" s="1"/>
  <c r="BH502"/>
  <c r="BF8" i="23"/>
  <c r="BD8"/>
  <c r="AX10"/>
  <c r="AY170" i="20"/>
  <c r="AY164" s="1"/>
  <c r="AW170"/>
  <c r="BL150"/>
  <c r="BL159"/>
  <c r="BK276"/>
  <c r="BK147"/>
  <c r="BK146"/>
  <c r="BK153"/>
  <c r="CG153" s="1"/>
  <c r="BK157"/>
  <c r="BI188"/>
  <c r="BI193"/>
  <c r="BI152"/>
  <c r="BI35" i="23"/>
  <c r="BI36" s="1"/>
  <c r="CG36" s="1"/>
  <c r="BH188" i="20"/>
  <c r="BH193"/>
  <c r="BH356"/>
  <c r="BH146"/>
  <c r="BH157"/>
  <c r="BG193"/>
  <c r="BG35" i="23"/>
  <c r="BG36" s="1"/>
  <c r="BG150" i="20"/>
  <c r="BG146"/>
  <c r="BE157"/>
  <c r="BE184"/>
  <c r="BE193"/>
  <c r="BE195"/>
  <c r="BE201"/>
  <c r="BE187"/>
  <c r="BD357"/>
  <c r="BD148"/>
  <c r="BD184"/>
  <c r="BD149"/>
  <c r="BD276"/>
  <c r="BD186"/>
  <c r="BD147"/>
  <c r="BD152"/>
  <c r="BD146"/>
  <c r="BC159"/>
  <c r="BC413"/>
  <c r="BC157"/>
  <c r="BC202"/>
  <c r="BC269" s="1"/>
  <c r="BC156"/>
  <c r="BC148"/>
  <c r="BB201"/>
  <c r="BB270" s="1"/>
  <c r="BB153"/>
  <c r="BB187"/>
  <c r="BA156"/>
  <c r="BA153"/>
  <c r="BA187"/>
  <c r="BA194"/>
  <c r="BA189"/>
  <c r="BA195"/>
  <c r="BA159"/>
  <c r="BA199"/>
  <c r="BA236" s="1"/>
  <c r="BA202"/>
  <c r="BA269" s="1"/>
  <c r="BA198"/>
  <c r="BA151"/>
  <c r="BA149"/>
  <c r="AZ186"/>
  <c r="AZ188"/>
  <c r="AZ202"/>
  <c r="AZ269" s="1"/>
  <c r="AZ307"/>
  <c r="AZ206"/>
  <c r="AY189"/>
  <c r="AY276"/>
  <c r="AZ281" s="1"/>
  <c r="AY156"/>
  <c r="AY206"/>
  <c r="AY186"/>
  <c r="AY188"/>
  <c r="AY193"/>
  <c r="AX152"/>
  <c r="AX187"/>
  <c r="AX157"/>
  <c r="AX189"/>
  <c r="AX156"/>
  <c r="AX148"/>
  <c r="AW202"/>
  <c r="AW269" s="1"/>
  <c r="AW148"/>
  <c r="AW159"/>
  <c r="AW206"/>
  <c r="AW190"/>
  <c r="AW156"/>
  <c r="AW188"/>
  <c r="AW307"/>
  <c r="AH363"/>
  <c r="AH427" s="1"/>
  <c r="AH462" s="1"/>
  <c r="S363"/>
  <c r="S170" s="1"/>
  <c r="AA363"/>
  <c r="U363"/>
  <c r="U170" s="1"/>
  <c r="AV153"/>
  <c r="BI31" i="23"/>
  <c r="CG31" s="1"/>
  <c r="BI388" i="20"/>
  <c r="BI440" s="1"/>
  <c r="AJ242"/>
  <c r="AC242"/>
  <c r="AB41" i="28" s="1"/>
  <c r="AB58" s="1"/>
  <c r="AI242" i="20"/>
  <c r="AH41" i="28" s="1"/>
  <c r="AH101" s="1"/>
  <c r="AH242" i="20"/>
  <c r="AG41" i="28" s="1"/>
  <c r="O242" i="20"/>
  <c r="O285" s="1"/>
  <c r="F242"/>
  <c r="E41" i="28" s="1"/>
  <c r="E101" s="1"/>
  <c r="J242" i="20"/>
  <c r="J285" s="1"/>
  <c r="AR242"/>
  <c r="AR285" s="1"/>
  <c r="AV237"/>
  <c r="AV200" s="1"/>
  <c r="BB409"/>
  <c r="BF184"/>
  <c r="BE40" i="28" s="1"/>
  <c r="BK186" i="20"/>
  <c r="CG186" s="1"/>
  <c r="BK196"/>
  <c r="BI189"/>
  <c r="BF187"/>
  <c r="BI413"/>
  <c r="BC383"/>
  <c r="BE357"/>
  <c r="BE424" s="1"/>
  <c r="BL356"/>
  <c r="BL183"/>
  <c r="CH183" s="1"/>
  <c r="BL195"/>
  <c r="BL184"/>
  <c r="BG413"/>
  <c r="BG186"/>
  <c r="BG201"/>
  <c r="BG187"/>
  <c r="BF190"/>
  <c r="BI276"/>
  <c r="AV8" i="23"/>
  <c r="BH8"/>
  <c r="CF8" s="1"/>
  <c r="AV276" i="20"/>
  <c r="AZ201"/>
  <c r="AZ270" s="1"/>
  <c r="BB154"/>
  <c r="BD170"/>
  <c r="BH152"/>
  <c r="AW31" i="23"/>
  <c r="BE31"/>
  <c r="BF4" i="28"/>
  <c r="BK4"/>
  <c r="CH421" i="20"/>
  <c r="BL465"/>
  <c r="CH465" s="1"/>
  <c r="BB8" i="23"/>
  <c r="P242" i="20"/>
  <c r="P285" s="1"/>
  <c r="P247"/>
  <c r="P246" s="1"/>
  <c r="AZ149"/>
  <c r="BD201"/>
  <c r="BD270" s="1"/>
  <c r="BL507"/>
  <c r="CH507" s="1"/>
  <c r="BK423"/>
  <c r="AW195"/>
  <c r="AW276"/>
  <c r="AX281" s="1"/>
  <c r="AW155"/>
  <c r="AY307"/>
  <c r="AY413"/>
  <c r="AY463" s="1"/>
  <c r="AY157"/>
  <c r="BB307"/>
  <c r="BC155"/>
  <c r="BC276"/>
  <c r="BC162"/>
  <c r="BE150"/>
  <c r="BE190"/>
  <c r="BG149"/>
  <c r="BG157"/>
  <c r="BK150"/>
  <c r="BK156"/>
  <c r="CG156" s="1"/>
  <c r="BH156"/>
  <c r="BA276"/>
  <c r="BB281" s="1"/>
  <c r="BE198"/>
  <c r="BD202"/>
  <c r="AX155"/>
  <c r="AV31" i="23"/>
  <c r="BC195" i="20"/>
  <c r="BC238" s="1"/>
  <c r="AP363"/>
  <c r="BC186"/>
  <c r="BA190"/>
  <c r="AV202"/>
  <c r="AV269" s="1"/>
  <c r="CI258"/>
  <c r="BL41" i="28"/>
  <c r="BA413" i="20"/>
  <c r="BA463" s="1"/>
  <c r="BE151"/>
  <c r="AZ150"/>
  <c r="AZ190"/>
  <c r="BD162"/>
  <c r="BH276"/>
  <c r="M242"/>
  <c r="W242"/>
  <c r="AJ363"/>
  <c r="AX199"/>
  <c r="BD187"/>
  <c r="AX196"/>
  <c r="V363"/>
  <c r="V427" s="1"/>
  <c r="V462" s="1"/>
  <c r="AK363"/>
  <c r="AK413" s="1"/>
  <c r="AK463" s="1"/>
  <c r="BB157"/>
  <c r="W247"/>
  <c r="W246" s="1"/>
  <c r="BK207"/>
  <c r="BI207"/>
  <c r="BG207"/>
  <c r="BK202"/>
  <c r="BG202"/>
  <c r="BL194"/>
  <c r="BH194"/>
  <c r="BG194"/>
  <c r="BL193"/>
  <c r="BK190"/>
  <c r="BI190"/>
  <c r="BG190"/>
  <c r="BK188"/>
  <c r="BI496"/>
  <c r="BG239"/>
  <c r="O205"/>
  <c r="O269"/>
  <c r="AL238"/>
  <c r="BF33" i="28"/>
  <c r="BI409" i="20"/>
  <c r="CG374"/>
  <c r="CH365"/>
  <c r="BL38" i="23"/>
  <c r="CJ38" s="1"/>
  <c r="BL388" i="20"/>
  <c r="BL633" s="1"/>
  <c r="CH302"/>
  <c r="CI245"/>
  <c r="CI259"/>
  <c r="CH31"/>
  <c r="CG29"/>
  <c r="CG27"/>
  <c r="BK8" i="23"/>
  <c r="CI8" s="1"/>
  <c r="BJ8"/>
  <c r="CH8" s="1"/>
  <c r="BG8"/>
  <c r="BD103" i="20"/>
  <c r="AZ8" i="23"/>
  <c r="AV120" i="20"/>
  <c r="BI12"/>
  <c r="BL10" i="23"/>
  <c r="CJ10" s="1"/>
  <c r="CG45" i="20"/>
  <c r="BC170"/>
  <c r="BC163" s="1"/>
  <c r="BA170"/>
  <c r="BL149"/>
  <c r="CH363"/>
  <c r="BL156"/>
  <c r="CH156" s="1"/>
  <c r="BL561"/>
  <c r="BL146"/>
  <c r="BL151"/>
  <c r="BL147"/>
  <c r="CH147" s="1"/>
  <c r="BL153"/>
  <c r="CH153" s="1"/>
  <c r="BK201"/>
  <c r="BK151"/>
  <c r="BK356"/>
  <c r="BK425" s="1"/>
  <c r="BK159"/>
  <c r="BK152"/>
  <c r="BK149"/>
  <c r="BK162"/>
  <c r="CG162" s="1"/>
  <c r="BK561"/>
  <c r="BK35" i="23"/>
  <c r="BK36" s="1"/>
  <c r="CI36" s="1"/>
  <c r="BI182" i="20"/>
  <c r="BI149"/>
  <c r="BI153"/>
  <c r="BI159"/>
  <c r="BI148"/>
  <c r="BI561"/>
  <c r="BI541" s="1"/>
  <c r="BI356"/>
  <c r="BI156"/>
  <c r="BH196"/>
  <c r="BH186"/>
  <c r="BH561"/>
  <c r="BH159"/>
  <c r="BH149"/>
  <c r="BH144"/>
  <c r="BH35" i="23"/>
  <c r="BH36" s="1"/>
  <c r="CF36" s="1"/>
  <c r="BH153" i="20"/>
  <c r="BH148"/>
  <c r="BH147"/>
  <c r="BH151"/>
  <c r="BG188"/>
  <c r="BG159"/>
  <c r="BG153"/>
  <c r="BG147"/>
  <c r="BG561"/>
  <c r="BG536" s="1"/>
  <c r="BG148"/>
  <c r="BG158"/>
  <c r="BG156"/>
  <c r="BG276"/>
  <c r="BH281" s="1"/>
  <c r="BG151"/>
  <c r="BE162"/>
  <c r="BE307"/>
  <c r="BE159"/>
  <c r="BE189"/>
  <c r="BE147"/>
  <c r="BE183"/>
  <c r="BE202"/>
  <c r="BE269" s="1"/>
  <c r="BE146"/>
  <c r="BE148"/>
  <c r="BE276"/>
  <c r="BE186"/>
  <c r="BE196"/>
  <c r="BE153"/>
  <c r="BE413"/>
  <c r="BE207"/>
  <c r="BE188"/>
  <c r="BE156"/>
  <c r="BD194"/>
  <c r="BD183"/>
  <c r="BD189"/>
  <c r="BD193"/>
  <c r="BD188"/>
  <c r="BD154"/>
  <c r="BD307"/>
  <c r="BD207"/>
  <c r="BD155"/>
  <c r="BD151"/>
  <c r="BD413"/>
  <c r="BD199"/>
  <c r="BD157"/>
  <c r="BD190"/>
  <c r="BD158"/>
  <c r="BD198"/>
  <c r="BD156"/>
  <c r="BD150"/>
  <c r="BC153"/>
  <c r="BC188"/>
  <c r="BC158"/>
  <c r="BC196"/>
  <c r="BC183"/>
  <c r="BC207"/>
  <c r="BC149"/>
  <c r="BC198"/>
  <c r="BC201"/>
  <c r="BC270" s="1"/>
  <c r="BC194"/>
  <c r="BC35" i="23"/>
  <c r="BC36" s="1"/>
  <c r="BC154" i="20"/>
  <c r="BC190"/>
  <c r="BC357"/>
  <c r="BC206"/>
  <c r="BC307"/>
  <c r="BC147"/>
  <c r="BB151"/>
  <c r="BB195"/>
  <c r="BB238" s="1"/>
  <c r="BB199"/>
  <c r="BB149"/>
  <c r="BB207"/>
  <c r="BB188"/>
  <c r="BB357"/>
  <c r="BB426" s="1"/>
  <c r="BB202"/>
  <c r="BB269" s="1"/>
  <c r="BB196"/>
  <c r="BB194"/>
  <c r="BB148"/>
  <c r="BB206"/>
  <c r="BA147"/>
  <c r="BA148"/>
  <c r="BA162"/>
  <c r="BA146"/>
  <c r="BA196"/>
  <c r="BA154"/>
  <c r="BA193"/>
  <c r="BA155"/>
  <c r="BA35" i="23"/>
  <c r="BA36" s="1"/>
  <c r="BA307" i="20"/>
  <c r="BA188"/>
  <c r="BA206"/>
  <c r="BA150"/>
  <c r="AZ148"/>
  <c r="AZ199"/>
  <c r="AZ196"/>
  <c r="AZ157"/>
  <c r="AZ155"/>
  <c r="AZ153"/>
  <c r="AZ187"/>
  <c r="AZ154"/>
  <c r="AZ152"/>
  <c r="AZ413"/>
  <c r="AZ463" s="1"/>
  <c r="AZ158"/>
  <c r="AZ189"/>
  <c r="AZ207"/>
  <c r="AZ195"/>
  <c r="AZ156"/>
  <c r="AZ147"/>
  <c r="AZ35" i="23"/>
  <c r="AZ36" s="1"/>
  <c r="AZ151" i="20"/>
  <c r="AZ194"/>
  <c r="AZ146"/>
  <c r="AZ162"/>
  <c r="AZ357"/>
  <c r="AZ159"/>
  <c r="AY199"/>
  <c r="AY236" s="1"/>
  <c r="AY196"/>
  <c r="AY250" s="1"/>
  <c r="AY147"/>
  <c r="AY150"/>
  <c r="AY201"/>
  <c r="AY270" s="1"/>
  <c r="AY146"/>
  <c r="AY152"/>
  <c r="AY357"/>
  <c r="AY424" s="1"/>
  <c r="AY415" s="1"/>
  <c r="AY149"/>
  <c r="AY151"/>
  <c r="AY155"/>
  <c r="AY159"/>
  <c r="AY148"/>
  <c r="AY207"/>
  <c r="AY154"/>
  <c r="AY195"/>
  <c r="AY238" s="1"/>
  <c r="AY202"/>
  <c r="AY269" s="1"/>
  <c r="AX202"/>
  <c r="AX186"/>
  <c r="AX357"/>
  <c r="AX206"/>
  <c r="AX158"/>
  <c r="AX150"/>
  <c r="AX188"/>
  <c r="AX153"/>
  <c r="AX195"/>
  <c r="AX154"/>
  <c r="AX413"/>
  <c r="AX463" s="1"/>
  <c r="AX147"/>
  <c r="AX190"/>
  <c r="AX35" i="23"/>
  <c r="AX36" s="1"/>
  <c r="AX146" i="20"/>
  <c r="AX149"/>
  <c r="AX276"/>
  <c r="AY281" s="1"/>
  <c r="AX159"/>
  <c r="AX193"/>
  <c r="AX307"/>
  <c r="AW186"/>
  <c r="AW154"/>
  <c r="AW357"/>
  <c r="AW426" s="1"/>
  <c r="AW152"/>
  <c r="AW193"/>
  <c r="AW147"/>
  <c r="AW150"/>
  <c r="AW146"/>
  <c r="AW157"/>
  <c r="AW149"/>
  <c r="AW158"/>
  <c r="AW207"/>
  <c r="AW151"/>
  <c r="AW194"/>
  <c r="AW201"/>
  <c r="AW270" s="1"/>
  <c r="AW199"/>
  <c r="AW35" i="23"/>
  <c r="AW36" s="1"/>
  <c r="AW187" i="20"/>
  <c r="J363"/>
  <c r="J413" s="1"/>
  <c r="J463" s="1"/>
  <c r="K363"/>
  <c r="K170" s="1"/>
  <c r="K169" s="1"/>
  <c r="K191" s="1"/>
  <c r="L363"/>
  <c r="L427" s="1"/>
  <c r="L462" s="1"/>
  <c r="M363"/>
  <c r="N363"/>
  <c r="N413" s="1"/>
  <c r="N463" s="1"/>
  <c r="O363"/>
  <c r="P363"/>
  <c r="P170" s="1"/>
  <c r="AQ363"/>
  <c r="AV194"/>
  <c r="AV150"/>
  <c r="AV190"/>
  <c r="AV187"/>
  <c r="AV189"/>
  <c r="AI363"/>
  <c r="Y363"/>
  <c r="Y413" s="1"/>
  <c r="Y463" s="1"/>
  <c r="AO363"/>
  <c r="AO427" s="1"/>
  <c r="AO462" s="1"/>
  <c r="AV155"/>
  <c r="AV186"/>
  <c r="AV157"/>
  <c r="AV154"/>
  <c r="Z363"/>
  <c r="W363"/>
  <c r="AL363"/>
  <c r="AL427" s="1"/>
  <c r="AL462" s="1"/>
  <c r="AM363"/>
  <c r="AV152"/>
  <c r="F363"/>
  <c r="F427" s="1"/>
  <c r="F462" s="1"/>
  <c r="AF363"/>
  <c r="I363"/>
  <c r="AE363"/>
  <c r="AC363"/>
  <c r="AC413" s="1"/>
  <c r="AC463" s="1"/>
  <c r="AV195"/>
  <c r="AV207"/>
  <c r="AV149"/>
  <c r="AN363"/>
  <c r="AN413" s="1"/>
  <c r="AN463" s="1"/>
  <c r="AD363"/>
  <c r="AD413" s="1"/>
  <c r="AD463" s="1"/>
  <c r="AV206"/>
  <c r="AV35" i="23"/>
  <c r="AV36" s="1"/>
  <c r="AV198" i="20"/>
  <c r="AV199"/>
  <c r="BF150"/>
  <c r="BF148"/>
  <c r="BF149"/>
  <c r="BF159"/>
  <c r="BF151"/>
  <c r="BF201"/>
  <c r="BF270" s="1"/>
  <c r="BF156"/>
  <c r="BF157"/>
  <c r="BF356"/>
  <c r="BF427" s="1"/>
  <c r="BF35" i="23"/>
  <c r="BF36" s="1"/>
  <c r="BF152" i="20"/>
  <c r="CI45"/>
  <c r="CI31"/>
  <c r="AX285"/>
  <c r="AW41" i="28"/>
  <c r="AW69" s="1"/>
  <c r="AY41"/>
  <c r="BH241" i="20"/>
  <c r="BI41" i="28"/>
  <c r="AY285" i="20"/>
  <c r="CG373"/>
  <c r="AV388"/>
  <c r="AV440" s="1"/>
  <c r="AU313"/>
  <c r="AY388"/>
  <c r="AY440" s="1"/>
  <c r="BK31" i="23"/>
  <c r="CI31" s="1"/>
  <c r="BF482" i="20"/>
  <c r="BE482" s="1"/>
  <c r="BD482" s="1"/>
  <c r="BC482" s="1"/>
  <c r="BB482" s="1"/>
  <c r="BA482" s="1"/>
  <c r="AZ482" s="1"/>
  <c r="AY482" s="1"/>
  <c r="AX482" s="1"/>
  <c r="AW482" s="1"/>
  <c r="AV482" s="1"/>
  <c r="AU482" s="1"/>
  <c r="AT482" s="1"/>
  <c r="BE388"/>
  <c r="BB4" i="28"/>
  <c r="BA31" i="23"/>
  <c r="AB242" i="20"/>
  <c r="AQ242"/>
  <c r="AA242"/>
  <c r="AL242"/>
  <c r="AK41" i="28" s="1"/>
  <c r="H242" i="20"/>
  <c r="AT242"/>
  <c r="AE242"/>
  <c r="AG242"/>
  <c r="AN242"/>
  <c r="AM242"/>
  <c r="G242"/>
  <c r="F41" i="28" s="1"/>
  <c r="Z242" i="20"/>
  <c r="AF242"/>
  <c r="AP242"/>
  <c r="AO41" i="28" s="1"/>
  <c r="V242" i="20"/>
  <c r="U41" i="28" s="1"/>
  <c r="R242" i="20"/>
  <c r="R285" s="1"/>
  <c r="N242"/>
  <c r="T242"/>
  <c r="S41" i="28" s="1"/>
  <c r="AS242" i="20"/>
  <c r="AU242"/>
  <c r="L242"/>
  <c r="S242"/>
  <c r="R41" i="28" s="1"/>
  <c r="AD242" i="20"/>
  <c r="AK242"/>
  <c r="AV423"/>
  <c r="Q354"/>
  <c r="Q423" s="1"/>
  <c r="Q466" s="1"/>
  <c r="M354"/>
  <c r="M423" s="1"/>
  <c r="M466" s="1"/>
  <c r="AQ354"/>
  <c r="AN354"/>
  <c r="U354"/>
  <c r="U423" s="1"/>
  <c r="U466" s="1"/>
  <c r="AT354"/>
  <c r="X354"/>
  <c r="AF354"/>
  <c r="AF423" s="1"/>
  <c r="AI354"/>
  <c r="AI423" s="1"/>
  <c r="AI466" s="1"/>
  <c r="Y354"/>
  <c r="Y423" s="1"/>
  <c r="Y466" s="1"/>
  <c r="BF10" i="23"/>
  <c r="W269" i="20"/>
  <c r="AT161"/>
  <c r="AD247"/>
  <c r="AD246" s="1"/>
  <c r="AB247"/>
  <c r="AB246" s="1"/>
  <c r="AP247"/>
  <c r="AP246" s="1"/>
  <c r="BH182"/>
  <c r="BL182"/>
  <c r="T69"/>
  <c r="AT223"/>
  <c r="AO57"/>
  <c r="P233"/>
  <c r="V220"/>
  <c r="H220"/>
  <c r="H217" s="1"/>
  <c r="X220"/>
  <c r="P220"/>
  <c r="P217" s="1"/>
  <c r="BH505"/>
  <c r="AD271"/>
  <c r="Q271"/>
  <c r="AL271"/>
  <c r="AH271"/>
  <c r="P271"/>
  <c r="V271"/>
  <c r="Y271"/>
  <c r="G271"/>
  <c r="AG271"/>
  <c r="AJ271"/>
  <c r="H271"/>
  <c r="U271"/>
  <c r="X233"/>
  <c r="Q233"/>
  <c r="AE233"/>
  <c r="S233"/>
  <c r="K220"/>
  <c r="K217" s="1"/>
  <c r="AD220"/>
  <c r="AM271"/>
  <c r="AX409"/>
  <c r="AX460" s="1"/>
  <c r="T220"/>
  <c r="T217" s="1"/>
  <c r="T271"/>
  <c r="AR271"/>
  <c r="AA271"/>
  <c r="F271"/>
  <c r="AT271"/>
  <c r="K271"/>
  <c r="K233"/>
  <c r="AQ233"/>
  <c r="AK233"/>
  <c r="AE205"/>
  <c r="AB220"/>
  <c r="AB217" s="1"/>
  <c r="BC33" i="28"/>
  <c r="AM220" i="20"/>
  <c r="AM217" s="1"/>
  <c r="AU269"/>
  <c r="AO238"/>
  <c r="AS205"/>
  <c r="BM276"/>
  <c r="CI188"/>
  <c r="F354"/>
  <c r="F353" s="1"/>
  <c r="Q205"/>
  <c r="AV390"/>
  <c r="AV442" s="1"/>
  <c r="AB269"/>
  <c r="AJ57"/>
  <c r="AF57"/>
  <c r="T57"/>
  <c r="BF188"/>
  <c r="BF207"/>
  <c r="H233"/>
  <c r="Y233"/>
  <c r="F233"/>
  <c r="AR233"/>
  <c r="AM205"/>
  <c r="AM269"/>
  <c r="AG269"/>
  <c r="V269"/>
  <c r="V205"/>
  <c r="W238"/>
  <c r="CI242"/>
  <c r="BL501"/>
  <c r="CH501" s="1"/>
  <c r="BM505"/>
  <c r="CI505" s="1"/>
  <c r="CH26"/>
  <c r="BH103"/>
  <c r="BF103"/>
  <c r="AY8" i="23"/>
  <c r="CI21" i="20"/>
  <c r="BL186"/>
  <c r="BL35" i="23"/>
  <c r="CJ35" s="1"/>
  <c r="BK183" i="20"/>
  <c r="BK187"/>
  <c r="BI187"/>
  <c r="BI162"/>
  <c r="BI150"/>
  <c r="BI157"/>
  <c r="BI146"/>
  <c r="BI151"/>
  <c r="BH183"/>
  <c r="BH189"/>
  <c r="BH413"/>
  <c r="BG189"/>
  <c r="BE35" i="23"/>
  <c r="BE36" s="1"/>
  <c r="BD195" i="20"/>
  <c r="BD196"/>
  <c r="BC150"/>
  <c r="BC193"/>
  <c r="BB162"/>
  <c r="BB276"/>
  <c r="BB156"/>
  <c r="BB155"/>
  <c r="BB158"/>
  <c r="BB186"/>
  <c r="BB198"/>
  <c r="BB150"/>
  <c r="BB147"/>
  <c r="BB146"/>
  <c r="BB413"/>
  <c r="BB193"/>
  <c r="BB189"/>
  <c r="BB159"/>
  <c r="BB152"/>
  <c r="BA158"/>
  <c r="BA157"/>
  <c r="BA152"/>
  <c r="AZ276"/>
  <c r="AY35" i="23"/>
  <c r="AY36" s="1"/>
  <c r="AY194" i="20"/>
  <c r="AY190"/>
  <c r="AX207"/>
  <c r="AX198"/>
  <c r="AW189"/>
  <c r="J182"/>
  <c r="I38" i="28" s="1"/>
  <c r="G363" i="20"/>
  <c r="G413" s="1"/>
  <c r="G463" s="1"/>
  <c r="H363"/>
  <c r="H413" s="1"/>
  <c r="H463" s="1"/>
  <c r="Q363"/>
  <c r="Q413" s="1"/>
  <c r="Q463" s="1"/>
  <c r="AR363"/>
  <c r="AS363"/>
  <c r="AS413" s="1"/>
  <c r="AS463" s="1"/>
  <c r="AT363"/>
  <c r="AU363"/>
  <c r="AU427" s="1"/>
  <c r="AU462" s="1"/>
  <c r="AV193"/>
  <c r="AB363"/>
  <c r="AB413" s="1"/>
  <c r="AB463" s="1"/>
  <c r="AV156"/>
  <c r="AV159"/>
  <c r="AV413"/>
  <c r="AV463" s="1"/>
  <c r="AV147"/>
  <c r="R363"/>
  <c r="AV151"/>
  <c r="AG363"/>
  <c r="X363"/>
  <c r="AV357"/>
  <c r="AV188"/>
  <c r="AV196"/>
  <c r="AV148"/>
  <c r="AV146"/>
  <c r="AV158"/>
  <c r="AV201"/>
  <c r="AV270"/>
  <c r="BF186"/>
  <c r="BF276"/>
  <c r="BC41" i="28"/>
  <c r="BH501" i="20"/>
  <c r="BJ501"/>
  <c r="BH4" i="28"/>
  <c r="AU41"/>
  <c r="AU58" s="1"/>
  <c r="Y242" i="20"/>
  <c r="X41" i="28" s="1"/>
  <c r="U242" i="20"/>
  <c r="X242"/>
  <c r="W41" i="28" s="1"/>
  <c r="BH423" i="20"/>
  <c r="CI23"/>
  <c r="BG182"/>
  <c r="BK182"/>
  <c r="AP223"/>
  <c r="AL223"/>
  <c r="AH223"/>
  <c r="AF223"/>
  <c r="AD223"/>
  <c r="R223"/>
  <c r="J223"/>
  <c r="H223"/>
  <c r="F223"/>
  <c r="Q68"/>
  <c r="G68"/>
  <c r="BL207"/>
  <c r="BH207"/>
  <c r="BK194"/>
  <c r="BI194"/>
  <c r="BL190"/>
  <c r="BH190"/>
  <c r="BL188"/>
  <c r="BL276"/>
  <c r="BF194"/>
  <c r="BF202"/>
  <c r="BF269" s="1"/>
  <c r="BR1105" i="19"/>
  <c r="BN1122"/>
  <c r="BN639"/>
  <c r="BN642" s="1"/>
  <c r="BE409" i="20"/>
  <c r="Y367"/>
  <c r="AW350"/>
  <c r="AR388"/>
  <c r="AR440" s="1"/>
  <c r="X388"/>
  <c r="X440" s="1"/>
  <c r="P388"/>
  <c r="P440" s="1"/>
  <c r="H388"/>
  <c r="H440" s="1"/>
  <c r="AS323"/>
  <c r="AS401" s="1"/>
  <c r="AS450" s="1"/>
  <c r="AM323"/>
  <c r="AM401" s="1"/>
  <c r="AM450" s="1"/>
  <c r="AL33" i="28"/>
  <c r="CH279" i="20"/>
  <c r="BL278"/>
  <c r="CH278" s="1"/>
  <c r="BJ278"/>
  <c r="BF278"/>
  <c r="CH271"/>
  <c r="BD237"/>
  <c r="BB200"/>
  <c r="BH251"/>
  <c r="BH504" s="1"/>
  <c r="BI200"/>
  <c r="AT269"/>
  <c r="AR269"/>
  <c r="AD269"/>
  <c r="Z269"/>
  <c r="Z205"/>
  <c r="U269"/>
  <c r="U205"/>
  <c r="R205"/>
  <c r="R269"/>
  <c r="N269"/>
  <c r="N205"/>
  <c r="AM238"/>
  <c r="AC238"/>
  <c r="AA238"/>
  <c r="Y238"/>
  <c r="N238"/>
  <c r="I238"/>
  <c r="AS161"/>
  <c r="AQ161"/>
  <c r="AO161"/>
  <c r="AO56"/>
  <c r="AJ56"/>
  <c r="Z79"/>
  <c r="Z176" s="1"/>
  <c r="Z161"/>
  <c r="V161"/>
  <c r="AM161"/>
  <c r="A107" i="28"/>
  <c r="A75"/>
  <c r="J232" i="20"/>
  <c r="U232"/>
  <c r="AQ323"/>
  <c r="AQ401" s="1"/>
  <c r="AQ450" s="1"/>
  <c r="AI323"/>
  <c r="AI401" s="1"/>
  <c r="AI450" s="1"/>
  <c r="K79"/>
  <c r="K176" s="1"/>
  <c r="L304" s="1"/>
  <c r="L389" s="1"/>
  <c r="L441" s="1"/>
  <c r="I285"/>
  <c r="CH157"/>
  <c r="BH184"/>
  <c r="BG40" i="28" s="1"/>
  <c r="BD278" i="20"/>
  <c r="AF205"/>
  <c r="CG46"/>
  <c r="BL502"/>
  <c r="CH502" s="1"/>
  <c r="BM502"/>
  <c r="CI502" s="1"/>
  <c r="V223"/>
  <c r="T223"/>
  <c r="M68"/>
  <c r="BC423"/>
  <c r="BK507"/>
  <c r="CG507" s="1"/>
  <c r="CG258"/>
  <c r="CG247"/>
  <c r="AP233"/>
  <c r="AI233"/>
  <c r="I233"/>
  <c r="AH233"/>
  <c r="M233"/>
  <c r="AB233"/>
  <c r="AT220"/>
  <c r="AT217" s="1"/>
  <c r="G220"/>
  <c r="AG220"/>
  <c r="AG217" s="1"/>
  <c r="AO220"/>
  <c r="AO217" s="1"/>
  <c r="AU220"/>
  <c r="AU217" s="1"/>
  <c r="O220"/>
  <c r="BA218"/>
  <c r="BA285"/>
  <c r="AQ205"/>
  <c r="AQ269"/>
  <c r="AI269"/>
  <c r="AA269"/>
  <c r="H205"/>
  <c r="H269"/>
  <c r="AP238"/>
  <c r="X269"/>
  <c r="H238"/>
  <c r="AI161"/>
  <c r="AI79"/>
  <c r="AI176" s="1"/>
  <c r="Y161"/>
  <c r="M161"/>
  <c r="M79"/>
  <c r="M176" s="1"/>
  <c r="G161"/>
  <c r="A69" i="28"/>
  <c r="CI228" i="20"/>
  <c r="AN323"/>
  <c r="AN401" s="1"/>
  <c r="AN450" s="1"/>
  <c r="BK413"/>
  <c r="CG413" s="1"/>
  <c r="BF195"/>
  <c r="BH195"/>
  <c r="BH238" s="1"/>
  <c r="BH187"/>
  <c r="BK195"/>
  <c r="CG195" s="1"/>
  <c r="BK184"/>
  <c r="BJ40" i="28" s="1"/>
  <c r="CE40" s="1"/>
  <c r="BU290" i="19"/>
  <c r="BV290"/>
  <c r="BW290" s="1"/>
  <c r="BX290" s="1"/>
  <c r="BY290" s="1"/>
  <c r="BZ290" s="1"/>
  <c r="CA290" s="1"/>
  <c r="CB290" s="1"/>
  <c r="CC290" s="1"/>
  <c r="CD290" s="1"/>
  <c r="O69" i="20"/>
  <c r="K69"/>
  <c r="G69"/>
  <c r="AL56"/>
  <c r="AZ423"/>
  <c r="AM354"/>
  <c r="N354"/>
  <c r="P354"/>
  <c r="T354"/>
  <c r="AC354"/>
  <c r="AO354"/>
  <c r="AO423" s="1"/>
  <c r="AO466" s="1"/>
  <c r="I354"/>
  <c r="AL354"/>
  <c r="AL423" s="1"/>
  <c r="AU354"/>
  <c r="AU423" s="1"/>
  <c r="AU466" s="1"/>
  <c r="AJ354"/>
  <c r="AJ423" s="1"/>
  <c r="AJ466" s="1"/>
  <c r="AA354"/>
  <c r="AE354"/>
  <c r="R354"/>
  <c r="AP354"/>
  <c r="AP423" s="1"/>
  <c r="AK354"/>
  <c r="L354"/>
  <c r="W354"/>
  <c r="W423" s="1"/>
  <c r="W466" s="1"/>
  <c r="H354"/>
  <c r="H423" s="1"/>
  <c r="H466" s="1"/>
  <c r="S354"/>
  <c r="S423" s="1"/>
  <c r="AB354"/>
  <c r="AB423" s="1"/>
  <c r="AB466" s="1"/>
  <c r="X238"/>
  <c r="V238"/>
  <c r="R238"/>
  <c r="A73" i="28"/>
  <c r="AL233" i="20"/>
  <c r="AU233"/>
  <c r="U233"/>
  <c r="AT233"/>
  <c r="AD233"/>
  <c r="N233"/>
  <c r="AN233"/>
  <c r="T233"/>
  <c r="AM233"/>
  <c r="AC233"/>
  <c r="R233"/>
  <c r="G233"/>
  <c r="AJ220"/>
  <c r="AJ217" s="1"/>
  <c r="I220"/>
  <c r="N220"/>
  <c r="N217" s="1"/>
  <c r="T205"/>
  <c r="AD238"/>
  <c r="Z238"/>
  <c r="AR161"/>
  <c r="AP161"/>
  <c r="U161"/>
  <c r="S161"/>
  <c r="Q247"/>
  <c r="Q246" s="1"/>
  <c r="J247"/>
  <c r="J246" s="1"/>
  <c r="X182"/>
  <c r="W38" i="28" s="1"/>
  <c r="BM501" i="20"/>
  <c r="CI501" s="1"/>
  <c r="BK41" i="28"/>
  <c r="BL8" i="23"/>
  <c r="CJ8" s="1"/>
  <c r="BI8"/>
  <c r="CG8" s="1"/>
  <c r="BA103" i="20"/>
  <c r="AV121"/>
  <c r="BE8" i="23"/>
  <c r="AX388" i="20"/>
  <c r="AX440" s="1"/>
  <c r="BI4" i="28"/>
  <c r="CI35" i="20"/>
  <c r="BI77" i="23"/>
  <c r="CG77" s="1"/>
  <c r="CF77"/>
  <c r="CG49" i="20"/>
  <c r="BB252"/>
  <c r="BM78" i="23"/>
  <c r="CK78" s="1"/>
  <c r="BE78"/>
  <c r="BD41"/>
  <c r="BA41"/>
  <c r="AV41"/>
  <c r="AB41"/>
  <c r="X41"/>
  <c r="K41"/>
  <c r="J41"/>
  <c r="BU1132" i="19"/>
  <c r="BU1138"/>
  <c r="BI348" i="20"/>
  <c r="BL96" i="19"/>
  <c r="BL44" i="20" s="1"/>
  <c r="BV800" i="19"/>
  <c r="BW800" s="1"/>
  <c r="CI37" i="20"/>
  <c r="BS54" i="19"/>
  <c r="BW1137"/>
  <c r="BU1007"/>
  <c r="BV1007" s="1"/>
  <c r="BW1007" s="1"/>
  <c r="BX1007" s="1"/>
  <c r="BY1007" s="1"/>
  <c r="BZ1007" s="1"/>
  <c r="CA1007" s="1"/>
  <c r="CB1007" s="1"/>
  <c r="CC1007" s="1"/>
  <c r="CD1007" s="1"/>
  <c r="BJ10" i="23"/>
  <c r="CH10" s="1"/>
  <c r="AO33" i="28"/>
  <c r="AK33"/>
  <c r="BW803" i="19"/>
  <c r="BX803" s="1"/>
  <c r="BL219" i="20"/>
  <c r="AJ41" i="23"/>
  <c r="Y41"/>
  <c r="BE41"/>
  <c r="AZ78"/>
  <c r="AN33" i="28"/>
  <c r="BM387" i="19"/>
  <c r="BH642"/>
  <c r="AY698"/>
  <c r="AY701" s="1"/>
  <c r="AT33" i="28"/>
  <c r="BH449" i="19"/>
  <c r="BN708"/>
  <c r="BN718"/>
  <c r="BN740"/>
  <c r="CH349" i="20"/>
  <c r="BT836" i="19"/>
  <c r="BI195" i="20"/>
  <c r="BI184"/>
  <c r="BD256"/>
  <c r="BK257"/>
  <c r="BK506" s="1"/>
  <c r="CG506" s="1"/>
  <c r="CG244"/>
  <c r="BD10" i="23"/>
  <c r="BK103" i="20"/>
  <c r="CG103" s="1"/>
  <c r="CG14"/>
  <c r="CI34"/>
  <c r="BG699" i="19"/>
  <c r="CH247" i="20"/>
  <c r="BB36" i="28"/>
  <c r="BB35" s="1"/>
  <c r="BA10" i="23"/>
  <c r="CG30" i="20"/>
  <c r="BN633" i="19"/>
  <c r="BN634" s="1"/>
  <c r="BN715"/>
  <c r="BN711" s="1"/>
  <c r="BN707" s="1"/>
  <c r="BN721"/>
  <c r="BN744"/>
  <c r="BN731" s="1"/>
  <c r="CH371" i="20"/>
  <c r="BN8" i="23"/>
  <c r="CL8" s="1"/>
  <c r="BI183" i="20"/>
  <c r="BG256"/>
  <c r="BK10" i="23"/>
  <c r="CI10" s="1"/>
  <c r="CH187" i="20"/>
  <c r="BU48" i="19"/>
  <c r="BV48" s="1"/>
  <c r="BM413" i="20"/>
  <c r="BM463" s="1"/>
  <c r="CI463" s="1"/>
  <c r="BB383"/>
  <c r="AH57"/>
  <c r="R57"/>
  <c r="BB40" i="28"/>
  <c r="AY163" i="20"/>
  <c r="CG149"/>
  <c r="BD383"/>
  <c r="K205"/>
  <c r="AI70"/>
  <c r="AE70"/>
  <c r="S70"/>
  <c r="BF256"/>
  <c r="AZ383"/>
  <c r="AH232"/>
  <c r="CG188"/>
  <c r="BM530"/>
  <c r="CI530" s="1"/>
  <c r="AL232"/>
  <c r="W232"/>
  <c r="BO1161" i="19"/>
  <c r="BO1184"/>
  <c r="W427" i="20"/>
  <c r="W462" s="1"/>
  <c r="AQ427"/>
  <c r="AQ462" s="1"/>
  <c r="BI460"/>
  <c r="AW164"/>
  <c r="BM554"/>
  <c r="CI554" s="1"/>
  <c r="BM550"/>
  <c r="CI550" s="1"/>
  <c r="CI561"/>
  <c r="BG58" i="28"/>
  <c r="BG112" s="1"/>
  <c r="K353" i="20"/>
  <c r="BF347" i="19"/>
  <c r="BF381" s="1"/>
  <c r="BF392"/>
  <c r="AR2" i="28"/>
  <c r="AQ2"/>
  <c r="AS62"/>
  <c r="AS24"/>
  <c r="BA701" i="19"/>
  <c r="BG2" i="28"/>
  <c r="BG24" s="1"/>
  <c r="BF24"/>
  <c r="BF62"/>
  <c r="AM232" i="20"/>
  <c r="N232"/>
  <c r="G232"/>
  <c r="K232"/>
  <c r="BV10" i="28"/>
  <c r="BW799" i="19"/>
  <c r="BX799"/>
  <c r="BW805"/>
  <c r="BD462" i="20"/>
  <c r="BI463"/>
  <c r="Z193"/>
  <c r="BB280"/>
  <c r="BL427"/>
  <c r="BA440"/>
  <c r="I41" i="28"/>
  <c r="N41"/>
  <c r="N101" s="1"/>
  <c r="AZ58"/>
  <c r="BC58"/>
  <c r="BC112" s="1"/>
  <c r="Z41"/>
  <c r="AI285" i="20"/>
  <c r="BN311"/>
  <c r="BQ271" i="19"/>
  <c r="BK2"/>
  <c r="BX986"/>
  <c r="BY986"/>
  <c r="BZ986" s="1"/>
  <c r="BV1039"/>
  <c r="BW1039" s="1"/>
  <c r="BX1039" s="1"/>
  <c r="BY1039" s="1"/>
  <c r="BZ1039" s="1"/>
  <c r="CA1039" s="1"/>
  <c r="CB1039" s="1"/>
  <c r="CC1039" s="1"/>
  <c r="CD1039" s="1"/>
  <c r="BK530" i="20"/>
  <c r="CG530" s="1"/>
  <c r="BH269"/>
  <c r="M193"/>
  <c r="I182"/>
  <c r="H38" i="28" s="1"/>
  <c r="J193" i="20"/>
  <c r="BA361"/>
  <c r="BG549"/>
  <c r="AA413"/>
  <c r="AA463" s="1"/>
  <c r="AH413"/>
  <c r="AH463" s="1"/>
  <c r="AW280"/>
  <c r="CH150"/>
  <c r="CG147"/>
  <c r="AY280"/>
  <c r="CG276"/>
  <c r="BK38" i="28"/>
  <c r="CF38" s="1"/>
  <c r="AF189" i="20"/>
  <c r="M413"/>
  <c r="M463" s="1"/>
  <c r="BL36" i="23"/>
  <c r="CJ36" s="1"/>
  <c r="BC152" i="20"/>
  <c r="CI371"/>
  <c r="AU413"/>
  <c r="AU463" s="1"/>
  <c r="BL280"/>
  <c r="P357"/>
  <c r="P424" s="1"/>
  <c r="AH357"/>
  <c r="K357"/>
  <c r="AC357"/>
  <c r="AS193"/>
  <c r="AQ193"/>
  <c r="AH193"/>
  <c r="T193"/>
  <c r="AD193"/>
  <c r="AK193"/>
  <c r="AR413"/>
  <c r="AR463" s="1"/>
  <c r="K182"/>
  <c r="J38" i="28" s="1"/>
  <c r="L182" i="20"/>
  <c r="AM182"/>
  <c r="AL38" i="28" s="1"/>
  <c r="AU38"/>
  <c r="Q182" i="20"/>
  <c r="P38" i="28" s="1"/>
  <c r="Z182" i="20"/>
  <c r="Y38" i="28" s="1"/>
  <c r="H182" i="20"/>
  <c r="G38" i="28" s="1"/>
  <c r="M182" i="20"/>
  <c r="F182"/>
  <c r="E38" i="28" s="1"/>
  <c r="V182" i="20"/>
  <c r="N182"/>
  <c r="M38" i="28" s="1"/>
  <c r="M37" s="1"/>
  <c r="M100" s="1"/>
  <c r="T182" i="20"/>
  <c r="AE182"/>
  <c r="AD182"/>
  <c r="AC38" i="28" s="1"/>
  <c r="AA182" i="20"/>
  <c r="AB182"/>
  <c r="AA38" i="28" s="1"/>
  <c r="R182" i="20"/>
  <c r="Q38" i="28" s="1"/>
  <c r="AH182" i="20"/>
  <c r="AG38" i="28" s="1"/>
  <c r="AJ182" i="20"/>
  <c r="S182"/>
  <c r="R38" i="28" s="1"/>
  <c r="AL182" i="20"/>
  <c r="AF182"/>
  <c r="AE38" i="28" s="1"/>
  <c r="AI182" i="20"/>
  <c r="AH38" i="28" s="1"/>
  <c r="P182" i="20"/>
  <c r="O38" i="28" s="1"/>
  <c r="O182" i="20"/>
  <c r="U182"/>
  <c r="T38" i="28" s="1"/>
  <c r="Y182" i="20"/>
  <c r="W182"/>
  <c r="V38" i="28" s="1"/>
  <c r="AC182" i="20"/>
  <c r="AK182"/>
  <c r="AJ38" i="28" s="1"/>
  <c r="AG182" i="20"/>
  <c r="AN182"/>
  <c r="AM38" i="28" s="1"/>
  <c r="G182" i="20"/>
  <c r="F38" i="28" s="1"/>
  <c r="AW36"/>
  <c r="AW35" s="1"/>
  <c r="AX39"/>
  <c r="AY36"/>
  <c r="AY35" s="1"/>
  <c r="AZ39"/>
  <c r="CG187" i="20"/>
  <c r="BO1159" i="19"/>
  <c r="BO1182" s="1"/>
  <c r="N423" i="20"/>
  <c r="N466" s="1"/>
  <c r="BL94" i="19"/>
  <c r="BX1137"/>
  <c r="BO12" i="20"/>
  <c r="CI30"/>
  <c r="BU836" i="19"/>
  <c r="AX410" i="20"/>
  <c r="AX461" s="1"/>
  <c r="CH244"/>
  <c r="BN257"/>
  <c r="CJ257" s="1"/>
  <c r="BL257"/>
  <c r="BO38" i="23"/>
  <c r="CM38" s="1"/>
  <c r="BM238" i="20"/>
  <c r="CI238" s="1"/>
  <c r="CI195"/>
  <c r="BM536"/>
  <c r="CI536" s="1"/>
  <c r="BO505"/>
  <c r="CK505" s="1"/>
  <c r="BO1162" i="19"/>
  <c r="BW10" i="28"/>
  <c r="BH2"/>
  <c r="BI2" s="1"/>
  <c r="AR24"/>
  <c r="BU286" i="19"/>
  <c r="BV286" s="1"/>
  <c r="BW286" s="1"/>
  <c r="BX286" s="1"/>
  <c r="BY286" s="1"/>
  <c r="BZ286" s="1"/>
  <c r="CA286" s="1"/>
  <c r="CB286" s="1"/>
  <c r="CC286" s="1"/>
  <c r="CD286" s="1"/>
  <c r="BO1171"/>
  <c r="BO1160"/>
  <c r="BO1183" s="1"/>
  <c r="BO1177"/>
  <c r="BO1179" s="1"/>
  <c r="BO1176"/>
  <c r="BO1163"/>
  <c r="BO1186" s="1"/>
  <c r="BO1172"/>
  <c r="BM257" i="20"/>
  <c r="CI244"/>
  <c r="BX10" i="28"/>
  <c r="BY10"/>
  <c r="BZ10"/>
  <c r="BN10" i="23"/>
  <c r="CL10" s="1"/>
  <c r="CA10" i="28"/>
  <c r="CC10"/>
  <c r="CB10"/>
  <c r="BO423" i="20"/>
  <c r="BM4" i="28"/>
  <c r="BM41"/>
  <c r="CH41" s="1"/>
  <c r="BN31" i="23"/>
  <c r="CL31" s="1"/>
  <c r="BO45" i="28"/>
  <c r="BP465" i="20"/>
  <c r="CL465" s="1"/>
  <c r="CG370"/>
  <c r="CH370"/>
  <c r="CI370"/>
  <c r="BJ405"/>
  <c r="BK405"/>
  <c r="BL405"/>
  <c r="BM405"/>
  <c r="BN405"/>
  <c r="CJ405" s="1"/>
  <c r="CH374"/>
  <c r="BL409"/>
  <c r="CI374"/>
  <c r="BM409"/>
  <c r="CI409" s="1"/>
  <c r="BN409"/>
  <c r="CJ409" s="1"/>
  <c r="BP45" i="28"/>
  <c r="BQ465" i="20"/>
  <c r="CM465" s="1"/>
  <c r="BN41" i="28"/>
  <c r="CI41" s="1"/>
  <c r="BO496" i="20"/>
  <c r="CK496" s="1"/>
  <c r="BO501"/>
  <c r="CK501" s="1"/>
  <c r="BO502"/>
  <c r="CK502" s="1"/>
  <c r="BO507"/>
  <c r="CK507" s="1"/>
  <c r="AR379"/>
  <c r="AJ379"/>
  <c r="AB379"/>
  <c r="T379"/>
  <c r="L379"/>
  <c r="BV133"/>
  <c r="CR133" s="1"/>
  <c r="AS258"/>
  <c r="AS256" s="1"/>
  <c r="AR34" i="28" s="1"/>
  <c r="AS182" i="20"/>
  <c r="AR38" i="28" s="1"/>
  <c r="AR258" i="20"/>
  <c r="AR256" s="1"/>
  <c r="AQ34" i="28" s="1"/>
  <c r="AR182" i="20"/>
  <c r="AQ258"/>
  <c r="AQ256" s="1"/>
  <c r="AQ182"/>
  <c r="AO182"/>
  <c r="AN38" i="28" s="1"/>
  <c r="AV56" i="20"/>
  <c r="AW102" s="1"/>
  <c r="BO278"/>
  <c r="CK278" s="1"/>
  <c r="CH190"/>
  <c r="AV250"/>
  <c r="X170"/>
  <c r="X163" s="1"/>
  <c r="AG427"/>
  <c r="AG462" s="1"/>
  <c r="R427"/>
  <c r="R462" s="1"/>
  <c r="K193"/>
  <c r="AP193"/>
  <c r="AT170"/>
  <c r="AT164" s="1"/>
  <c r="H170"/>
  <c r="H163" s="1"/>
  <c r="H427"/>
  <c r="H462" s="1"/>
  <c r="AL285"/>
  <c r="AP41" i="28"/>
  <c r="AP101" s="1"/>
  <c r="AQ285" i="20"/>
  <c r="I413"/>
  <c r="I463" s="1"/>
  <c r="AM170"/>
  <c r="AO170"/>
  <c r="AO164" s="1"/>
  <c r="AO165" s="1"/>
  <c r="AO413"/>
  <c r="AO463" s="1"/>
  <c r="O170"/>
  <c r="O164" s="1"/>
  <c r="AW424"/>
  <c r="AX359"/>
  <c r="AX424"/>
  <c r="AZ250"/>
  <c r="BI550"/>
  <c r="BL549"/>
  <c r="CH549" s="1"/>
  <c r="AQ41" i="28"/>
  <c r="F285" i="20"/>
  <c r="U427"/>
  <c r="U462" s="1"/>
  <c r="U413"/>
  <c r="U463" s="1"/>
  <c r="BM466"/>
  <c r="CI466" s="1"/>
  <c r="CI423"/>
  <c r="P41" i="28"/>
  <c r="BM427" i="20"/>
  <c r="CI156"/>
  <c r="AF276"/>
  <c r="AG281" s="1"/>
  <c r="AV230"/>
  <c r="H193"/>
  <c r="BK383"/>
  <c r="CG383" s="1"/>
  <c r="BI376"/>
  <c r="BI375" s="1"/>
  <c r="AT379"/>
  <c r="AP379"/>
  <c r="AL379"/>
  <c r="AH379"/>
  <c r="AD379"/>
  <c r="Z379"/>
  <c r="V379"/>
  <c r="R379"/>
  <c r="N379"/>
  <c r="J379"/>
  <c r="AP73" i="28"/>
  <c r="AB73"/>
  <c r="BM376" i="20"/>
  <c r="CI376" s="1"/>
  <c r="BK376"/>
  <c r="CG376" s="1"/>
  <c r="BN376"/>
  <c r="CJ376" s="1"/>
  <c r="BI383"/>
  <c r="BG383"/>
  <c r="AU379"/>
  <c r="AS379"/>
  <c r="AQ379"/>
  <c r="AO379"/>
  <c r="AM379"/>
  <c r="AK379"/>
  <c r="AI379"/>
  <c r="AG379"/>
  <c r="AE379"/>
  <c r="AC379"/>
  <c r="AA379"/>
  <c r="Y379"/>
  <c r="W379"/>
  <c r="U379"/>
  <c r="S379"/>
  <c r="Q379"/>
  <c r="O379"/>
  <c r="M379"/>
  <c r="K379"/>
  <c r="H379"/>
  <c r="AZ81"/>
  <c r="AZ256"/>
  <c r="AQ69"/>
  <c r="AQ137" s="1"/>
  <c r="AQ56"/>
  <c r="AQ124" s="1"/>
  <c r="AP71"/>
  <c r="AP139" s="1"/>
  <c r="AP69"/>
  <c r="AP137" s="1"/>
  <c r="BI536"/>
  <c r="V285"/>
  <c r="BL537"/>
  <c r="CH537" s="1"/>
  <c r="O217"/>
  <c r="G217"/>
  <c r="BC466"/>
  <c r="BD353"/>
  <c r="AJ353"/>
  <c r="X423"/>
  <c r="X466" s="1"/>
  <c r="Y353"/>
  <c r="V353"/>
  <c r="AQ423"/>
  <c r="AQ466" s="1"/>
  <c r="AQ353"/>
  <c r="AJ41" i="28"/>
  <c r="AJ58"/>
  <c r="AR41"/>
  <c r="AS285" i="20"/>
  <c r="M41" i="28"/>
  <c r="N69" s="1"/>
  <c r="N285" i="20"/>
  <c r="Z285"/>
  <c r="Y41" i="28"/>
  <c r="Y58" s="1"/>
  <c r="AL41"/>
  <c r="AL101" s="1"/>
  <c r="AM285" i="20"/>
  <c r="AM41" i="28"/>
  <c r="AM58" s="1"/>
  <c r="AM112" s="1"/>
  <c r="AN285" i="20"/>
  <c r="AE285"/>
  <c r="AD41" i="28"/>
  <c r="AD58" s="1"/>
  <c r="AD112" s="1"/>
  <c r="H285" i="20"/>
  <c r="G41" i="28"/>
  <c r="AA285" i="20"/>
  <c r="AB285"/>
  <c r="AA41" i="28"/>
  <c r="AA58" s="1"/>
  <c r="AA112" s="1"/>
  <c r="BE440" i="20"/>
  <c r="AW101" i="28"/>
  <c r="AV205" i="20"/>
  <c r="AV236"/>
  <c r="AN170"/>
  <c r="AN169" s="1"/>
  <c r="AN191" s="1"/>
  <c r="AN427"/>
  <c r="AN462" s="1"/>
  <c r="AE413"/>
  <c r="AE463" s="1"/>
  <c r="AE170"/>
  <c r="AE163" s="1"/>
  <c r="AE427"/>
  <c r="AE462" s="1"/>
  <c r="AF427"/>
  <c r="AF462" s="1"/>
  <c r="AF170"/>
  <c r="AF163" s="1"/>
  <c r="AF413"/>
  <c r="AF463"/>
  <c r="AL170"/>
  <c r="AL164" s="1"/>
  <c r="AL165" s="1"/>
  <c r="Y170"/>
  <c r="Y169" s="1"/>
  <c r="Y191" s="1"/>
  <c r="I194"/>
  <c r="R194"/>
  <c r="AF194"/>
  <c r="Z194"/>
  <c r="AB194"/>
  <c r="AA194"/>
  <c r="V194"/>
  <c r="N194"/>
  <c r="AK194"/>
  <c r="G194"/>
  <c r="AG194"/>
  <c r="AH194"/>
  <c r="AP194"/>
  <c r="AT194"/>
  <c r="AR194"/>
  <c r="M194"/>
  <c r="AI194"/>
  <c r="P413"/>
  <c r="P463" s="1"/>
  <c r="L170"/>
  <c r="L169" s="1"/>
  <c r="L191" s="1"/>
  <c r="J427"/>
  <c r="J462" s="1"/>
  <c r="AX238"/>
  <c r="AY351"/>
  <c r="AZ424"/>
  <c r="BB250"/>
  <c r="BB424"/>
  <c r="BB145"/>
  <c r="BC426"/>
  <c r="BC424"/>
  <c r="BC351"/>
  <c r="BC205"/>
  <c r="BC182"/>
  <c r="BE158"/>
  <c r="BD463"/>
  <c r="BE155"/>
  <c r="BD182"/>
  <c r="BE351"/>
  <c r="BE250"/>
  <c r="BF281"/>
  <c r="BE280"/>
  <c r="BD39" i="28"/>
  <c r="BH542" i="20"/>
  <c r="BH528"/>
  <c r="BH534"/>
  <c r="BH554"/>
  <c r="BH535"/>
  <c r="BH550"/>
  <c r="BH549"/>
  <c r="BH524"/>
  <c r="BH525"/>
  <c r="BH531"/>
  <c r="BH555"/>
  <c r="BH537"/>
  <c r="BH250"/>
  <c r="BI555"/>
  <c r="BI529"/>
  <c r="BI532"/>
  <c r="BI530"/>
  <c r="BI549"/>
  <c r="BI523"/>
  <c r="CI35" i="23"/>
  <c r="CG152" i="20"/>
  <c r="CG159"/>
  <c r="CG151"/>
  <c r="CH151"/>
  <c r="BL525"/>
  <c r="CH525" s="1"/>
  <c r="BL529"/>
  <c r="CH529" s="1"/>
  <c r="BL550"/>
  <c r="CH550" s="1"/>
  <c r="BL555"/>
  <c r="CH555" s="1"/>
  <c r="BL523"/>
  <c r="CH523" s="1"/>
  <c r="BL554"/>
  <c r="CH554" s="1"/>
  <c r="CH561"/>
  <c r="BL541"/>
  <c r="CH541" s="1"/>
  <c r="BL534"/>
  <c r="CH534" s="1"/>
  <c r="BL530"/>
  <c r="CH530" s="1"/>
  <c r="BG532"/>
  <c r="BG535"/>
  <c r="V413"/>
  <c r="V463" s="1"/>
  <c r="V170"/>
  <c r="V169" s="1"/>
  <c r="V191" s="1"/>
  <c r="AX250"/>
  <c r="AX236"/>
  <c r="V41" i="28"/>
  <c r="W285" i="20"/>
  <c r="AP427"/>
  <c r="AP462" s="1"/>
  <c r="AP170"/>
  <c r="AP163" s="1"/>
  <c r="AP413"/>
  <c r="AP463" s="1"/>
  <c r="BA280"/>
  <c r="CG150"/>
  <c r="AW238"/>
  <c r="Y276"/>
  <c r="F276"/>
  <c r="L276"/>
  <c r="AD276"/>
  <c r="S276"/>
  <c r="T281" s="1"/>
  <c r="J276"/>
  <c r="AP276"/>
  <c r="AQ281" s="1"/>
  <c r="K276"/>
  <c r="L281" s="1"/>
  <c r="AK276"/>
  <c r="AH276"/>
  <c r="T276"/>
  <c r="U281" s="1"/>
  <c r="AM276"/>
  <c r="AS276"/>
  <c r="I276"/>
  <c r="AU276"/>
  <c r="AV281" s="1"/>
  <c r="AJ276"/>
  <c r="AK281" s="1"/>
  <c r="G276"/>
  <c r="AQ276"/>
  <c r="AR281" s="1"/>
  <c r="O276"/>
  <c r="P276"/>
  <c r="Q281" s="1"/>
  <c r="H276"/>
  <c r="I281" s="1"/>
  <c r="Q276"/>
  <c r="R281" s="1"/>
  <c r="AB276"/>
  <c r="AC276"/>
  <c r="AO276"/>
  <c r="AP281" s="1"/>
  <c r="Z276"/>
  <c r="AA281" s="1"/>
  <c r="N276"/>
  <c r="O281" s="1"/>
  <c r="AE276"/>
  <c r="AF281" s="1"/>
  <c r="AW281"/>
  <c r="AG276"/>
  <c r="AR276"/>
  <c r="AI276"/>
  <c r="AJ281" s="1"/>
  <c r="X276"/>
  <c r="AN276"/>
  <c r="AO281" s="1"/>
  <c r="M276"/>
  <c r="N281" s="1"/>
  <c r="BG270"/>
  <c r="BG541"/>
  <c r="BG463"/>
  <c r="CH195"/>
  <c r="BL238"/>
  <c r="CH238" s="1"/>
  <c r="CH356"/>
  <c r="BL410"/>
  <c r="CG196"/>
  <c r="BK250"/>
  <c r="CG250" s="1"/>
  <c r="BK537"/>
  <c r="CG537" s="1"/>
  <c r="CH162"/>
  <c r="BE425"/>
  <c r="BE427"/>
  <c r="BE462" s="1"/>
  <c r="AY200"/>
  <c r="AW205"/>
  <c r="CH413"/>
  <c r="BL250"/>
  <c r="BA351"/>
  <c r="BA424"/>
  <c r="BJ460"/>
  <c r="BI528"/>
  <c r="BL531"/>
  <c r="CH531" s="1"/>
  <c r="BV89" i="19"/>
  <c r="CI150" i="20"/>
  <c r="CG502"/>
  <c r="AV101" i="28"/>
  <c r="AV69"/>
  <c r="CG45"/>
  <c r="CG349" i="20"/>
  <c r="BK549"/>
  <c r="CG549" s="1"/>
  <c r="BH440"/>
  <c r="BO87" i="19"/>
  <c r="BO37" i="20" s="1"/>
  <c r="CK37" s="1"/>
  <c r="BH536"/>
  <c r="BM73" i="28"/>
  <c r="CH73" s="1"/>
  <c r="BJ383" i="20"/>
  <c r="BH383"/>
  <c r="AU71"/>
  <c r="AV117" s="1"/>
  <c r="AU70"/>
  <c r="AV116" s="1"/>
  <c r="AS56"/>
  <c r="AT102"/>
  <c r="AQ71"/>
  <c r="AR117" s="1"/>
  <c r="AQ70"/>
  <c r="AR116" s="1"/>
  <c r="AO79"/>
  <c r="AO176" s="1"/>
  <c r="AP70"/>
  <c r="AP68"/>
  <c r="AQ114" s="1"/>
  <c r="BI535"/>
  <c r="AL69"/>
  <c r="AD69"/>
  <c r="Z56"/>
  <c r="Y56"/>
  <c r="BN501"/>
  <c r="CJ501" s="1"/>
  <c r="AN105" i="28"/>
  <c r="G73"/>
  <c r="N73"/>
  <c r="BA45"/>
  <c r="X73"/>
  <c r="S73"/>
  <c r="L73"/>
  <c r="I73"/>
  <c r="BJ81" i="20"/>
  <c r="BI81"/>
  <c r="AP58"/>
  <c r="AP126" s="1"/>
  <c r="AP56"/>
  <c r="AP124" s="1"/>
  <c r="BS133"/>
  <c r="CO133" s="1"/>
  <c r="BR89"/>
  <c r="CN89" s="1"/>
  <c r="AU285"/>
  <c r="AT41" i="28"/>
  <c r="AU69" s="1"/>
  <c r="S427" i="20"/>
  <c r="S462" s="1"/>
  <c r="S413"/>
  <c r="S463" s="1"/>
  <c r="BD280"/>
  <c r="BC40" i="28"/>
  <c r="BF280" i="20"/>
  <c r="AZ426"/>
  <c r="AZ238"/>
  <c r="BB39" i="28"/>
  <c r="BC39"/>
  <c r="CH149" i="20"/>
  <c r="CG207"/>
  <c r="BL425"/>
  <c r="CH148"/>
  <c r="N79"/>
  <c r="N176" s="1"/>
  <c r="AT238"/>
  <c r="AR223"/>
  <c r="BE45" i="28"/>
  <c r="BD45"/>
  <c r="J105"/>
  <c r="Z105"/>
  <c r="AQ73"/>
  <c r="AC73"/>
  <c r="H73"/>
  <c r="AF73"/>
  <c r="AN73"/>
  <c r="AU58" i="20"/>
  <c r="AU126" s="1"/>
  <c r="AU57"/>
  <c r="AU125" s="1"/>
  <c r="AS58"/>
  <c r="AS126" s="1"/>
  <c r="AS57"/>
  <c r="AT103" s="1"/>
  <c r="AQ58"/>
  <c r="AQ126" s="1"/>
  <c r="AQ57"/>
  <c r="AQ125" s="1"/>
  <c r="BT89"/>
  <c r="CP89" s="1"/>
  <c r="BR133"/>
  <c r="CN133" s="1"/>
  <c r="BQ89"/>
  <c r="CM89" s="1"/>
  <c r="BQ133"/>
  <c r="CM133" s="1"/>
  <c r="BP89"/>
  <c r="CL89" s="1"/>
  <c r="BP133"/>
  <c r="CL133" s="1"/>
  <c r="BO89"/>
  <c r="CK89" s="1"/>
  <c r="AV74"/>
  <c r="AV71"/>
  <c r="AV95" s="1"/>
  <c r="AV70"/>
  <c r="AV69"/>
  <c r="AV93" s="1"/>
  <c r="AV68"/>
  <c r="AV59"/>
  <c r="AV83" s="1"/>
  <c r="BF81"/>
  <c r="BE81"/>
  <c r="BB256"/>
  <c r="BA256"/>
  <c r="AZ34" i="28" s="1"/>
  <c r="BW795" i="19"/>
  <c r="BB231" i="20"/>
  <c r="BG642" i="19"/>
  <c r="BF426"/>
  <c r="BF436" s="1"/>
  <c r="BF438" s="1"/>
  <c r="BF449"/>
  <c r="BK44" i="20"/>
  <c r="BK94" i="19"/>
  <c r="CG76" i="23"/>
  <c r="BI78"/>
  <c r="CG78"/>
  <c r="AW78"/>
  <c r="AX78"/>
  <c r="AS78"/>
  <c r="AT78"/>
  <c r="AI78"/>
  <c r="AJ78"/>
  <c r="AE78"/>
  <c r="AF78"/>
  <c r="AC78"/>
  <c r="AD78"/>
  <c r="BW808" i="19"/>
  <c r="BW807"/>
  <c r="BX807" s="1"/>
  <c r="BI15" i="20"/>
  <c r="BJ70" i="19"/>
  <c r="BJ15" i="20" s="1"/>
  <c r="BE395" i="19"/>
  <c r="BE269" s="1"/>
  <c r="BE397"/>
  <c r="BN45"/>
  <c r="CJ76" i="23"/>
  <c r="BL78"/>
  <c r="CJ78" s="1"/>
  <c r="CH76"/>
  <c r="BK78"/>
  <c r="CI78"/>
  <c r="BJ78"/>
  <c r="CH78" s="1"/>
  <c r="BB226" i="20"/>
  <c r="BB453" i="19"/>
  <c r="BG332"/>
  <c r="BG284"/>
  <c r="BB462" i="20"/>
  <c r="BM348"/>
  <c r="BH78" i="23"/>
  <c r="CF78"/>
  <c r="AR78"/>
  <c r="I78"/>
  <c r="BF464" i="19"/>
  <c r="BF314" s="1"/>
  <c r="BF312" s="1"/>
  <c r="AY281"/>
  <c r="AY279" s="1"/>
  <c r="AW281"/>
  <c r="AW279" s="1"/>
  <c r="AH41" i="23"/>
  <c r="AB68" i="20"/>
  <c r="X68"/>
  <c r="AF56"/>
  <c r="BN507"/>
  <c r="CJ507" s="1"/>
  <c r="BM665" i="19"/>
  <c r="BM634"/>
  <c r="BM181" i="20" s="1"/>
  <c r="BM1089" i="19"/>
  <c r="BO1099"/>
  <c r="I379" i="20"/>
  <c r="AX256"/>
  <c r="AW225"/>
  <c r="AW223" s="1"/>
  <c r="AW256"/>
  <c r="AV225"/>
  <c r="AU68"/>
  <c r="AV114" s="1"/>
  <c r="AS68"/>
  <c r="AS136" s="1"/>
  <c r="AQ68"/>
  <c r="AR114" s="1"/>
  <c r="BG389" i="19"/>
  <c r="AZ281"/>
  <c r="AZ279"/>
  <c r="AX281"/>
  <c r="AX293"/>
  <c r="BF673"/>
  <c r="BF699" s="1"/>
  <c r="BF198" i="20"/>
  <c r="AT106" i="19"/>
  <c r="AR106"/>
  <c r="BM639"/>
  <c r="BM182" i="20" s="1"/>
  <c r="BT1120" i="19"/>
  <c r="BU1120"/>
  <c r="BV1120" s="1"/>
  <c r="BW1120" s="1"/>
  <c r="BX1120" s="1"/>
  <c r="BY1120" s="1"/>
  <c r="BZ1120" s="1"/>
  <c r="CA1120" s="1"/>
  <c r="CB1120" s="1"/>
  <c r="CC1120" s="1"/>
  <c r="CD1120" s="1"/>
  <c r="BM332"/>
  <c r="BM284" s="1"/>
  <c r="BL332"/>
  <c r="BL284" s="1"/>
  <c r="BS45"/>
  <c r="BO225" i="20"/>
  <c r="BO218"/>
  <c r="BR281" i="19"/>
  <c r="BR279" s="1"/>
  <c r="BC81" i="20"/>
  <c r="BL376"/>
  <c r="CH376" s="1"/>
  <c r="BJ376"/>
  <c r="BO282"/>
  <c r="AY256"/>
  <c r="AX34" i="28" s="1"/>
  <c r="AX32" s="1"/>
  <c r="AT71" i="20"/>
  <c r="AU117" s="1"/>
  <c r="AT70"/>
  <c r="AT69"/>
  <c r="AT137" s="1"/>
  <c r="AT68"/>
  <c r="AU114" s="1"/>
  <c r="AT58"/>
  <c r="AU104" s="1"/>
  <c r="AT57"/>
  <c r="AT56"/>
  <c r="AT124" s="1"/>
  <c r="AR71"/>
  <c r="AS117" s="1"/>
  <c r="AR70"/>
  <c r="AS116" s="1"/>
  <c r="AR69"/>
  <c r="AR68"/>
  <c r="AR136" s="1"/>
  <c r="AR58"/>
  <c r="AS104" s="1"/>
  <c r="AR57"/>
  <c r="AS103" s="1"/>
  <c r="AR56"/>
  <c r="BJ377"/>
  <c r="BK377" s="1"/>
  <c r="BN460"/>
  <c r="CJ460" s="1"/>
  <c r="AR58" i="28"/>
  <c r="BR39" i="19"/>
  <c r="BS39"/>
  <c r="BT39" s="1"/>
  <c r="BU39" s="1"/>
  <c r="BV39" s="1"/>
  <c r="BW39" s="1"/>
  <c r="BX39" s="1"/>
  <c r="BY39" s="1"/>
  <c r="BZ39" s="1"/>
  <c r="CA39" s="1"/>
  <c r="CB39" s="1"/>
  <c r="CC39" s="1"/>
  <c r="CD39" s="1"/>
  <c r="BM729"/>
  <c r="BF249" i="20"/>
  <c r="BF281" i="19"/>
  <c r="AR99" i="28"/>
  <c r="T99"/>
  <c r="BI219" i="20"/>
  <c r="BI364" i="19"/>
  <c r="BI388" s="1"/>
  <c r="CM395"/>
  <c r="CM398"/>
  <c r="CM392"/>
  <c r="CM269" s="1"/>
  <c r="BG392"/>
  <c r="BG397" s="1"/>
  <c r="BG395"/>
  <c r="BG269" s="1"/>
  <c r="BE252" i="20"/>
  <c r="BE281" i="19"/>
  <c r="BE279"/>
  <c r="BE249" i="20"/>
  <c r="BC249"/>
  <c r="BC281" i="19"/>
  <c r="BC279"/>
  <c r="BA249" i="20"/>
  <c r="BJ495"/>
  <c r="BA231"/>
  <c r="BK729" i="19"/>
  <c r="BK750"/>
  <c r="BK752" s="1"/>
  <c r="BK206" i="20" s="1"/>
  <c r="BL401" i="19"/>
  <c r="BL440"/>
  <c r="AX265"/>
  <c r="AK99" i="28"/>
  <c r="J99"/>
  <c r="BH219" i="20"/>
  <c r="BH218" s="1"/>
  <c r="BH364" i="19"/>
  <c r="BH395" s="1"/>
  <c r="BH269" s="1"/>
  <c r="BD252" i="20"/>
  <c r="BD281" i="19"/>
  <c r="BD279"/>
  <c r="BB281"/>
  <c r="BB279" s="1"/>
  <c r="BB249" i="20"/>
  <c r="AP232"/>
  <c r="AP332" s="1"/>
  <c r="AO31" i="28" s="1"/>
  <c r="AQ232" i="20"/>
  <c r="AQ230" s="1"/>
  <c r="AS232"/>
  <c r="AS230" s="1"/>
  <c r="AU232"/>
  <c r="AR232"/>
  <c r="AR332" s="1"/>
  <c r="AT232"/>
  <c r="BJ45" i="19"/>
  <c r="BI45"/>
  <c r="BA421" i="20"/>
  <c r="AZ421"/>
  <c r="AZ465" s="1"/>
  <c r="BH44" i="19"/>
  <c r="BH308" i="20" s="1"/>
  <c r="BH42" i="19"/>
  <c r="BI35"/>
  <c r="BI38"/>
  <c r="BG35"/>
  <c r="BG38"/>
  <c r="BE35"/>
  <c r="BE38"/>
  <c r="BC35"/>
  <c r="BC38"/>
  <c r="BA35"/>
  <c r="BA38"/>
  <c r="BK35"/>
  <c r="BK38"/>
  <c r="AW50"/>
  <c r="AW51" s="1"/>
  <c r="BI42"/>
  <c r="BJ42"/>
  <c r="BH35"/>
  <c r="BH38"/>
  <c r="BF35"/>
  <c r="BF38"/>
  <c r="BD35"/>
  <c r="BD38"/>
  <c r="BB35"/>
  <c r="BB38"/>
  <c r="AZ38"/>
  <c r="AZ35"/>
  <c r="BL35"/>
  <c r="BL38"/>
  <c r="BJ35"/>
  <c r="BJ38"/>
  <c r="AX50"/>
  <c r="BI32"/>
  <c r="BO13" i="20"/>
  <c r="CK13" s="1"/>
  <c r="BO26"/>
  <c r="BO27"/>
  <c r="BO31"/>
  <c r="CK31" s="1"/>
  <c r="AU106" i="19"/>
  <c r="AS106"/>
  <c r="AP106"/>
  <c r="BM35"/>
  <c r="BM38"/>
  <c r="BN363" i="20"/>
  <c r="BN61" s="1"/>
  <c r="BL125"/>
  <c r="CH125" s="1"/>
  <c r="BK81"/>
  <c r="CG81" s="1"/>
  <c r="BU397"/>
  <c r="BN1089" i="19"/>
  <c r="BN1112" s="1"/>
  <c r="BT1011"/>
  <c r="BO45"/>
  <c r="BR45"/>
  <c r="BT45"/>
  <c r="BU45" s="1"/>
  <c r="BV45" s="1"/>
  <c r="BW45" s="1"/>
  <c r="BX45" s="1"/>
  <c r="BY45" s="1"/>
  <c r="BZ45" s="1"/>
  <c r="CA45" s="1"/>
  <c r="CB45" s="1"/>
  <c r="CC45" s="1"/>
  <c r="CD45" s="1"/>
  <c r="BO30" i="20"/>
  <c r="BN38" i="19"/>
  <c r="BO38" s="1"/>
  <c r="BN35"/>
  <c r="BM357" i="20"/>
  <c r="BM349"/>
  <c r="BN96" i="19"/>
  <c r="BN44" i="20" s="1"/>
  <c r="BM103" i="19"/>
  <c r="BM102"/>
  <c r="BM50" i="20" s="1"/>
  <c r="BK103" i="19"/>
  <c r="BK51" i="20" s="1"/>
  <c r="CG51" s="1"/>
  <c r="BK102" i="19"/>
  <c r="BI103"/>
  <c r="BI51" i="20"/>
  <c r="BI102" i="19"/>
  <c r="BI50" i="20" s="1"/>
  <c r="BG103" i="19"/>
  <c r="BG51" i="20"/>
  <c r="BG102" i="19"/>
  <c r="BG106" s="1"/>
  <c r="BE103"/>
  <c r="BE51" i="20" s="1"/>
  <c r="BE102" i="19"/>
  <c r="BE106" s="1"/>
  <c r="BC103"/>
  <c r="BC51" i="20"/>
  <c r="BC102" i="19"/>
  <c r="BC50" i="20" s="1"/>
  <c r="BA103" i="19"/>
  <c r="BA51" i="20" s="1"/>
  <c r="BA102" i="19"/>
  <c r="BA50" i="20" s="1"/>
  <c r="AY103" i="19"/>
  <c r="AY51" i="20"/>
  <c r="AY102" i="19"/>
  <c r="AY50" i="20" s="1"/>
  <c r="AW103" i="19"/>
  <c r="AW51" i="20" s="1"/>
  <c r="AW102" i="19"/>
  <c r="AW106"/>
  <c r="BB81"/>
  <c r="BB24" i="20"/>
  <c r="BL60" i="19"/>
  <c r="BL14" i="20" s="1"/>
  <c r="BM125" s="1"/>
  <c r="CI125" s="1"/>
  <c r="BU379"/>
  <c r="CQ379" s="1"/>
  <c r="BG81"/>
  <c r="BO25"/>
  <c r="BO32"/>
  <c r="BO28"/>
  <c r="CK28" s="1"/>
  <c r="E58" i="28"/>
  <c r="E69"/>
  <c r="O163" i="20"/>
  <c r="AM163"/>
  <c r="AQ117"/>
  <c r="AY34" i="28"/>
  <c r="AP164" i="20"/>
  <c r="V163"/>
  <c r="BB38" i="28"/>
  <c r="Y164" i="20"/>
  <c r="Y165" s="1"/>
  <c r="AA101" i="28"/>
  <c r="I395" i="20"/>
  <c r="I446" s="1"/>
  <c r="BC410"/>
  <c r="BC461" s="1"/>
  <c r="Z281"/>
  <c r="BC38" i="28"/>
  <c r="BC37" s="1"/>
  <c r="BC100" s="1"/>
  <c r="BD410" i="20"/>
  <c r="AE164"/>
  <c r="AE165" s="1"/>
  <c r="AE169"/>
  <c r="AE191" s="1"/>
  <c r="AJ101" i="28"/>
  <c r="BB449" i="19"/>
  <c r="BB426"/>
  <c r="BB436"/>
  <c r="BB438" s="1"/>
  <c r="BB271" s="1"/>
  <c r="BX795"/>
  <c r="BX808"/>
  <c r="BY808" s="1"/>
  <c r="BZ808" s="1"/>
  <c r="CA808" s="1"/>
  <c r="CB808" s="1"/>
  <c r="CC808" s="1"/>
  <c r="CD808" s="1"/>
  <c r="BK308" i="20"/>
  <c r="CG308" s="1"/>
  <c r="BC106" i="19"/>
  <c r="BU1011"/>
  <c r="BV1011" s="1"/>
  <c r="BW1011" s="1"/>
  <c r="BX1011" s="1"/>
  <c r="BY1011" s="1"/>
  <c r="BZ1011" s="1"/>
  <c r="CA1011" s="1"/>
  <c r="CB1011" s="1"/>
  <c r="CC1011" s="1"/>
  <c r="CD1011" s="1"/>
  <c r="BV397" i="20"/>
  <c r="BV836" i="19"/>
  <c r="BF279"/>
  <c r="BL307" i="20"/>
  <c r="CH307" s="1"/>
  <c r="BL308"/>
  <c r="BW836" i="19"/>
  <c r="BM307" i="20"/>
  <c r="CI307" s="1"/>
  <c r="BM308"/>
  <c r="BN308"/>
  <c r="BO308"/>
  <c r="BP308"/>
  <c r="BQ308"/>
  <c r="CM308" s="1"/>
  <c r="BR308"/>
  <c r="CN308" s="1"/>
  <c r="BS308"/>
  <c r="CO308" s="1"/>
  <c r="BT308"/>
  <c r="CP308" s="1"/>
  <c r="BU308"/>
  <c r="CQ308" s="1"/>
  <c r="BV308"/>
  <c r="CR308" s="1"/>
  <c r="BO1086" i="19"/>
  <c r="BO1157"/>
  <c r="BO1175"/>
  <c r="BV111" i="20"/>
  <c r="CR111" s="1"/>
  <c r="BW133"/>
  <c r="CS133" s="1"/>
  <c r="AD73" i="28"/>
  <c r="R73"/>
  <c r="BN423" i="20"/>
  <c r="BN225"/>
  <c r="CJ225" s="1"/>
  <c r="BN388"/>
  <c r="AD105" i="28"/>
  <c r="Y223" i="20"/>
  <c r="G99" i="28"/>
  <c r="AF379" i="20"/>
  <c r="BG804" i="19"/>
  <c r="BF809"/>
  <c r="BR802"/>
  <c r="BN272"/>
  <c r="BN568"/>
  <c r="BN540"/>
  <c r="BQ1099"/>
  <c r="BN1069"/>
  <c r="BN1099" s="1"/>
  <c r="BS1120"/>
  <c r="AN379" i="20"/>
  <c r="X379"/>
  <c r="BO1121" i="19"/>
  <c r="BD78" i="23"/>
  <c r="AN78"/>
  <c r="AG78"/>
  <c r="X78"/>
  <c r="M78"/>
  <c r="K78"/>
  <c r="BM173" i="20"/>
  <c r="CI173" s="1"/>
  <c r="BL731" i="19"/>
  <c r="BH673"/>
  <c r="BH699" s="1"/>
  <c r="BD513"/>
  <c r="BD522"/>
  <c r="AX255" i="20"/>
  <c r="P379"/>
  <c r="AZ351"/>
  <c r="BC359"/>
  <c r="AE323"/>
  <c r="AE401" s="1"/>
  <c r="AE450" s="1"/>
  <c r="BE350"/>
  <c r="J70"/>
  <c r="AL57"/>
  <c r="Q73" i="28"/>
  <c r="AS71" i="20"/>
  <c r="AT117" s="1"/>
  <c r="AS70"/>
  <c r="AS138" s="1"/>
  <c r="AS69"/>
  <c r="AT115" s="1"/>
  <c r="AW353"/>
  <c r="I193"/>
  <c r="AC193"/>
  <c r="AN193"/>
  <c r="Q193"/>
  <c r="S193"/>
  <c r="X193"/>
  <c r="P193"/>
  <c r="AO193"/>
  <c r="F193"/>
  <c r="Y193"/>
  <c r="U193"/>
  <c r="AU193"/>
  <c r="BC146"/>
  <c r="AV238"/>
  <c r="Z170"/>
  <c r="Z169" s="1"/>
  <c r="Z191" s="1"/>
  <c r="Z427"/>
  <c r="Z462" s="1"/>
  <c r="Z413"/>
  <c r="Z463" s="1"/>
  <c r="AQ194"/>
  <c r="AQ335" s="1"/>
  <c r="AQ284" s="1"/>
  <c r="AQ378" s="1"/>
  <c r="AQ414" s="1"/>
  <c r="AQ467" s="1"/>
  <c r="AD194"/>
  <c r="U194"/>
  <c r="AJ194"/>
  <c r="Q194"/>
  <c r="BE154"/>
  <c r="BD269"/>
  <c r="BD205"/>
  <c r="AL276"/>
  <c r="U276"/>
  <c r="R276"/>
  <c r="S281" s="1"/>
  <c r="V276"/>
  <c r="CH184"/>
  <c r="K285"/>
  <c r="J41" i="28"/>
  <c r="CI149" i="20"/>
  <c r="AZ462"/>
  <c r="BC462"/>
  <c r="BJ506"/>
  <c r="AD427"/>
  <c r="AD462" s="1"/>
  <c r="AD170"/>
  <c r="AD169" s="1"/>
  <c r="AD191" s="1"/>
  <c r="O41" i="28"/>
  <c r="CH189" i="20"/>
  <c r="BA409"/>
  <c r="AW409"/>
  <c r="AW460" s="1"/>
  <c r="AO388"/>
  <c r="AO440" s="1"/>
  <c r="AK388"/>
  <c r="AK440" s="1"/>
  <c r="AC388"/>
  <c r="AC440" s="1"/>
  <c r="G388"/>
  <c r="G440" s="1"/>
  <c r="BB33" i="28"/>
  <c r="AA33"/>
  <c r="AC323" i="20"/>
  <c r="AC401" s="1"/>
  <c r="AC450" s="1"/>
  <c r="W33" i="28"/>
  <c r="Y323" i="20"/>
  <c r="Y401" s="1"/>
  <c r="Y450" s="1"/>
  <c r="V323"/>
  <c r="V401" s="1"/>
  <c r="V450" s="1"/>
  <c r="W323"/>
  <c r="W401" s="1"/>
  <c r="W450" s="1"/>
  <c r="O323"/>
  <c r="O401" s="1"/>
  <c r="O450" s="1"/>
  <c r="BE278"/>
  <c r="BK278"/>
  <c r="CG278" s="1"/>
  <c r="BB278"/>
  <c r="AZ278"/>
  <c r="G277"/>
  <c r="G280" s="1"/>
  <c r="AC277"/>
  <c r="CH234"/>
  <c r="AZ217"/>
  <c r="AN269"/>
  <c r="G269"/>
  <c r="G205"/>
  <c r="AU238"/>
  <c r="AS238"/>
  <c r="AJ238"/>
  <c r="BH530"/>
  <c r="AL323"/>
  <c r="AL401" s="1"/>
  <c r="AL450" s="1"/>
  <c r="AF323"/>
  <c r="AF401" s="1"/>
  <c r="AF450" s="1"/>
  <c r="Z323"/>
  <c r="Z401" s="1"/>
  <c r="Z450" s="1"/>
  <c r="U332"/>
  <c r="T31" i="28" s="1"/>
  <c r="BB423" i="20"/>
  <c r="BB466" s="1"/>
  <c r="AZ350"/>
  <c r="AZ353" s="1"/>
  <c r="CG350"/>
  <c r="BK353"/>
  <c r="CG353" s="1"/>
  <c r="BI45" i="28"/>
  <c r="BI105"/>
  <c r="T68" i="20"/>
  <c r="BN278"/>
  <c r="CJ278" s="1"/>
  <c r="BN200"/>
  <c r="CJ200" s="1"/>
  <c r="BN502"/>
  <c r="CJ502" s="1"/>
  <c r="BN292"/>
  <c r="BN361" s="1"/>
  <c r="O73" i="28"/>
  <c r="BD81" i="20"/>
  <c r="BV1105" i="19"/>
  <c r="BW1105" s="1"/>
  <c r="BX1105" s="1"/>
  <c r="BY1105" s="1"/>
  <c r="BZ1105" s="1"/>
  <c r="CA1105" s="1"/>
  <c r="CB1105" s="1"/>
  <c r="CC1105" s="1"/>
  <c r="CD1105" s="1"/>
  <c r="CH173" i="20"/>
  <c r="BS401" i="19"/>
  <c r="BN230" i="20"/>
  <c r="CJ230" s="1"/>
  <c r="BH804" i="19"/>
  <c r="BG809"/>
  <c r="BI804"/>
  <c r="BI809" s="1"/>
  <c r="BH809"/>
  <c r="BU271"/>
  <c r="BV271"/>
  <c r="BW271" s="1"/>
  <c r="BX271" s="1"/>
  <c r="BY271" s="1"/>
  <c r="BZ271" s="1"/>
  <c r="CA271" s="1"/>
  <c r="CB271" s="1"/>
  <c r="CC271" s="1"/>
  <c r="CD271" s="1"/>
  <c r="CH410" i="20"/>
  <c r="AO327"/>
  <c r="AO404" s="1"/>
  <c r="AO453" s="1"/>
  <c r="AS327"/>
  <c r="AS404" s="1"/>
  <c r="AS453" s="1"/>
  <c r="BL256"/>
  <c r="CH257"/>
  <c r="BL506"/>
  <c r="CH506" s="1"/>
  <c r="BN506"/>
  <c r="CJ506" s="1"/>
  <c r="BN256"/>
  <c r="I217"/>
  <c r="BH237"/>
  <c r="BH506"/>
  <c r="BH256"/>
  <c r="BH253"/>
  <c r="BH225"/>
  <c r="BH229"/>
  <c r="BD225"/>
  <c r="AW335"/>
  <c r="AW284" s="1"/>
  <c r="BC36" i="28"/>
  <c r="BC35" s="1"/>
  <c r="CG421" i="20"/>
  <c r="BK465"/>
  <c r="CG465" s="1"/>
  <c r="BH45" i="28"/>
  <c r="BH105" s="1"/>
  <c r="BI465" i="20"/>
  <c r="BF45" i="28"/>
  <c r="BG465" i="20"/>
  <c r="AH372"/>
  <c r="AM372"/>
  <c r="AU372"/>
  <c r="S372"/>
  <c r="AG372"/>
  <c r="AE372"/>
  <c r="Y372"/>
  <c r="AW383"/>
  <c r="AF372"/>
  <c r="U372"/>
  <c r="AA372"/>
  <c r="V372"/>
  <c r="L372"/>
  <c r="AI372"/>
  <c r="W372"/>
  <c r="AQ372"/>
  <c r="AN372"/>
  <c r="AR372"/>
  <c r="J372"/>
  <c r="R372"/>
  <c r="AK372"/>
  <c r="AD372"/>
  <c r="X372"/>
  <c r="X428" s="1"/>
  <c r="AO372"/>
  <c r="AO428" s="1"/>
  <c r="N372"/>
  <c r="P372"/>
  <c r="AB372"/>
  <c r="AL372"/>
  <c r="AS372"/>
  <c r="AJ372"/>
  <c r="AP372"/>
  <c r="Q372"/>
  <c r="T372"/>
  <c r="M372"/>
  <c r="Z372"/>
  <c r="Z383" s="1"/>
  <c r="G372"/>
  <c r="O372"/>
  <c r="K372"/>
  <c r="AT372"/>
  <c r="I372"/>
  <c r="F372"/>
  <c r="AT367"/>
  <c r="S367"/>
  <c r="N367"/>
  <c r="L367"/>
  <c r="AA367"/>
  <c r="AI367"/>
  <c r="AG367"/>
  <c r="AD367"/>
  <c r="AO367"/>
  <c r="J367"/>
  <c r="U367"/>
  <c r="R367"/>
  <c r="AK367"/>
  <c r="I367"/>
  <c r="K367"/>
  <c r="AF367"/>
  <c r="M367"/>
  <c r="W367"/>
  <c r="AM367"/>
  <c r="V367"/>
  <c r="H367"/>
  <c r="AS367"/>
  <c r="AE367"/>
  <c r="AR367"/>
  <c r="AQ367"/>
  <c r="T367"/>
  <c r="P367"/>
  <c r="Z367"/>
  <c r="AH367"/>
  <c r="AJ367"/>
  <c r="AB367"/>
  <c r="Q367"/>
  <c r="AC367"/>
  <c r="AL367"/>
  <c r="AP367"/>
  <c r="X367"/>
  <c r="AN367"/>
  <c r="F367"/>
  <c r="G367"/>
  <c r="AJ365"/>
  <c r="G365"/>
  <c r="Y365"/>
  <c r="W365"/>
  <c r="N365"/>
  <c r="AS365"/>
  <c r="AH365"/>
  <c r="H365"/>
  <c r="AL365"/>
  <c r="S365"/>
  <c r="AQ365"/>
  <c r="AI365"/>
  <c r="AF365"/>
  <c r="AT365"/>
  <c r="F365"/>
  <c r="M365"/>
  <c r="J365"/>
  <c r="AK365"/>
  <c r="X365"/>
  <c r="AN365"/>
  <c r="Q365"/>
  <c r="AO365"/>
  <c r="AE365"/>
  <c r="AR365"/>
  <c r="U365"/>
  <c r="K365"/>
  <c r="I365"/>
  <c r="R365"/>
  <c r="AA365"/>
  <c r="AG365"/>
  <c r="T365"/>
  <c r="AD365"/>
  <c r="AM365"/>
  <c r="V365"/>
  <c r="O365"/>
  <c r="AC365"/>
  <c r="AB365"/>
  <c r="P365"/>
  <c r="Z365"/>
  <c r="AP365"/>
  <c r="CI355"/>
  <c r="CG355"/>
  <c r="BK555"/>
  <c r="CG555" s="1"/>
  <c r="BG555"/>
  <c r="BI423"/>
  <c r="BJ353"/>
  <c r="BI554"/>
  <c r="BI353"/>
  <c r="BI553" s="1"/>
  <c r="BG423"/>
  <c r="BH353"/>
  <c r="BH553" s="1"/>
  <c r="BG554"/>
  <c r="BE423"/>
  <c r="AH388"/>
  <c r="AH440" s="1"/>
  <c r="AF388"/>
  <c r="AF440" s="1"/>
  <c r="AD388"/>
  <c r="AD440" s="1"/>
  <c r="AB388"/>
  <c r="AB440" s="1"/>
  <c r="Y388"/>
  <c r="Y440" s="1"/>
  <c r="W388"/>
  <c r="W440" s="1"/>
  <c r="U388"/>
  <c r="U440" s="1"/>
  <c r="S388"/>
  <c r="S440" s="1"/>
  <c r="M388"/>
  <c r="M440" s="1"/>
  <c r="J388"/>
  <c r="J440" s="1"/>
  <c r="S33" i="28"/>
  <c r="U323" i="20"/>
  <c r="U401" s="1"/>
  <c r="U450" s="1"/>
  <c r="T323"/>
  <c r="T401"/>
  <c r="T450" s="1"/>
  <c r="Q33" i="28"/>
  <c r="R323" i="20"/>
  <c r="R401" s="1"/>
  <c r="R450" s="1"/>
  <c r="S323"/>
  <c r="S401" s="1"/>
  <c r="S450" s="1"/>
  <c r="P323"/>
  <c r="P401" s="1"/>
  <c r="P450" s="1"/>
  <c r="O33" i="28"/>
  <c r="Q323" i="20"/>
  <c r="Q401" s="1"/>
  <c r="Q450" s="1"/>
  <c r="M33" i="28"/>
  <c r="N323" i="20"/>
  <c r="N401" s="1"/>
  <c r="N450" s="1"/>
  <c r="M323"/>
  <c r="M401" s="1"/>
  <c r="M450" s="1"/>
  <c r="L323"/>
  <c r="L401" s="1"/>
  <c r="L450" s="1"/>
  <c r="K33" i="28"/>
  <c r="K32" s="1"/>
  <c r="K98" s="1"/>
  <c r="I33"/>
  <c r="K323" i="20"/>
  <c r="K401" s="1"/>
  <c r="K450" s="1"/>
  <c r="H33" i="28"/>
  <c r="I323" i="20"/>
  <c r="I401" s="1"/>
  <c r="I450" s="1"/>
  <c r="F33" i="28"/>
  <c r="G323" i="20"/>
  <c r="G401" s="1"/>
  <c r="G450" s="1"/>
  <c r="H323"/>
  <c r="H401" s="1"/>
  <c r="H450" s="1"/>
  <c r="CI279"/>
  <c r="BM278"/>
  <c r="CI278" s="1"/>
  <c r="CG279"/>
  <c r="BA278"/>
  <c r="AY278"/>
  <c r="BK280"/>
  <c r="CG277"/>
  <c r="BG278"/>
  <c r="BG280"/>
  <c r="BC280"/>
  <c r="BC278"/>
  <c r="AX278"/>
  <c r="AX280"/>
  <c r="AK277"/>
  <c r="AK278" s="1"/>
  <c r="T277"/>
  <c r="Z277"/>
  <c r="H277"/>
  <c r="H280" s="1"/>
  <c r="AT277"/>
  <c r="AH277"/>
  <c r="S277"/>
  <c r="I277"/>
  <c r="AG277"/>
  <c r="M277"/>
  <c r="M280" s="1"/>
  <c r="Y277"/>
  <c r="X277"/>
  <c r="Q277"/>
  <c r="Q278" s="1"/>
  <c r="AE277"/>
  <c r="AQ277"/>
  <c r="J277"/>
  <c r="J280" s="1"/>
  <c r="AL277"/>
  <c r="AL278" s="1"/>
  <c r="AV280"/>
  <c r="AN277"/>
  <c r="K277"/>
  <c r="AM277"/>
  <c r="AI277"/>
  <c r="AI278" s="1"/>
  <c r="U277"/>
  <c r="AF277"/>
  <c r="AF280" s="1"/>
  <c r="AA277"/>
  <c r="AD277"/>
  <c r="W277"/>
  <c r="AV278"/>
  <c r="P277"/>
  <c r="N277"/>
  <c r="AU277"/>
  <c r="O277"/>
  <c r="O278" s="1"/>
  <c r="AR277"/>
  <c r="AO277"/>
  <c r="AJ277"/>
  <c r="AJ278" s="1"/>
  <c r="V277"/>
  <c r="V280" s="1"/>
  <c r="F277"/>
  <c r="AP277"/>
  <c r="AS277"/>
  <c r="BK505"/>
  <c r="CG505" s="1"/>
  <c r="CG259"/>
  <c r="BI505"/>
  <c r="BG505"/>
  <c r="BJ256"/>
  <c r="BJ507"/>
  <c r="BE256"/>
  <c r="BC237"/>
  <c r="BC256"/>
  <c r="BC240" s="1"/>
  <c r="CG252"/>
  <c r="BI251"/>
  <c r="F252"/>
  <c r="AJ252"/>
  <c r="AH252"/>
  <c r="AK252"/>
  <c r="AL252"/>
  <c r="AS252"/>
  <c r="N252"/>
  <c r="V252"/>
  <c r="AD252"/>
  <c r="O252"/>
  <c r="AB252"/>
  <c r="AP252"/>
  <c r="AM252"/>
  <c r="R252"/>
  <c r="AO252"/>
  <c r="AG252"/>
  <c r="Q252"/>
  <c r="I252"/>
  <c r="K252"/>
  <c r="M252"/>
  <c r="AN252"/>
  <c r="AT252"/>
  <c r="AC252"/>
  <c r="J252"/>
  <c r="J240" s="1"/>
  <c r="L252"/>
  <c r="Z252"/>
  <c r="AE252"/>
  <c r="S252"/>
  <c r="AR252"/>
  <c r="AQ252"/>
  <c r="AU252"/>
  <c r="Y252"/>
  <c r="X252"/>
  <c r="T252"/>
  <c r="P252"/>
  <c r="AF252"/>
  <c r="U252"/>
  <c r="W252"/>
  <c r="AA252"/>
  <c r="G252"/>
  <c r="H252"/>
  <c r="AZ246"/>
  <c r="AZ335"/>
  <c r="AX246"/>
  <c r="AX335"/>
  <c r="AX284" s="1"/>
  <c r="AV246"/>
  <c r="AV335"/>
  <c r="AV284" s="1"/>
  <c r="AV378" s="1"/>
  <c r="BD249"/>
  <c r="BJ496"/>
  <c r="BJ200"/>
  <c r="AM230"/>
  <c r="AM332"/>
  <c r="W332"/>
  <c r="V31" i="28" s="1"/>
  <c r="U230" i="20"/>
  <c r="K230"/>
  <c r="G230"/>
  <c r="CG230"/>
  <c r="BK495"/>
  <c r="CG495" s="1"/>
  <c r="CG228"/>
  <c r="CG227"/>
  <c r="BI225"/>
  <c r="BK225"/>
  <c r="CG225" s="1"/>
  <c r="CG226"/>
  <c r="AS223"/>
  <c r="AQ223"/>
  <c r="AM223"/>
  <c r="AK223"/>
  <c r="AI223"/>
  <c r="AG223"/>
  <c r="AE223"/>
  <c r="AC223"/>
  <c r="AA223"/>
  <c r="W223"/>
  <c r="S223"/>
  <c r="O223"/>
  <c r="M223"/>
  <c r="I223"/>
  <c r="G223"/>
  <c r="CG219"/>
  <c r="BK218"/>
  <c r="BB285"/>
  <c r="BB218"/>
  <c r="AZ285"/>
  <c r="AY217"/>
  <c r="AW217"/>
  <c r="AP205"/>
  <c r="AP269"/>
  <c r="AL205"/>
  <c r="AL269"/>
  <c r="AJ269"/>
  <c r="AJ205"/>
  <c r="O238"/>
  <c r="M238"/>
  <c r="J269"/>
  <c r="J205"/>
  <c r="I269"/>
  <c r="I205"/>
  <c r="F238"/>
  <c r="AL39" i="28"/>
  <c r="AJ39"/>
  <c r="AK327" i="20"/>
  <c r="AK404" s="1"/>
  <c r="AK453" s="1"/>
  <c r="AH39" i="28"/>
  <c r="AI327" i="20"/>
  <c r="AI404" s="1"/>
  <c r="AI453" s="1"/>
  <c r="AJ327"/>
  <c r="AJ404" s="1"/>
  <c r="AJ453" s="1"/>
  <c r="AD39" i="28"/>
  <c r="AB39"/>
  <c r="AC327" i="20"/>
  <c r="AC404" s="1"/>
  <c r="AC453" s="1"/>
  <c r="Z39" i="28"/>
  <c r="X39"/>
  <c r="Y327" i="20"/>
  <c r="Y404" s="1"/>
  <c r="Y453" s="1"/>
  <c r="V39" i="28"/>
  <c r="X327" i="20"/>
  <c r="X404" s="1"/>
  <c r="X453" s="1"/>
  <c r="T39" i="28"/>
  <c r="U327" i="20"/>
  <c r="U404" s="1"/>
  <c r="U453" s="1"/>
  <c r="R39" i="28"/>
  <c r="P39"/>
  <c r="Q327" i="20"/>
  <c r="Q404" s="1"/>
  <c r="Q453" s="1"/>
  <c r="L39" i="28"/>
  <c r="N327" i="20"/>
  <c r="N404" s="1"/>
  <c r="N453" s="1"/>
  <c r="J39" i="28"/>
  <c r="K327" i="20"/>
  <c r="K404" s="1"/>
  <c r="K453" s="1"/>
  <c r="H39" i="28"/>
  <c r="F39"/>
  <c r="H327" i="20"/>
  <c r="H404"/>
  <c r="H453" s="1"/>
  <c r="BD36" i="28"/>
  <c r="BD35" s="1"/>
  <c r="AS67"/>
  <c r="AQ99"/>
  <c r="AO99"/>
  <c r="AG36"/>
  <c r="AG35" s="1"/>
  <c r="AD36"/>
  <c r="AD35" s="1"/>
  <c r="Y36"/>
  <c r="Y35" s="1"/>
  <c r="V36"/>
  <c r="V35" s="1"/>
  <c r="Q36"/>
  <c r="Q35" s="1"/>
  <c r="O99"/>
  <c r="AQ116" i="20"/>
  <c r="AP138"/>
  <c r="G353"/>
  <c r="AD217"/>
  <c r="BG38" i="28"/>
  <c r="BH523" i="20"/>
  <c r="BH410"/>
  <c r="U223"/>
  <c r="Q223"/>
  <c r="K223"/>
  <c r="AK335"/>
  <c r="AK284" s="1"/>
  <c r="AK378" s="1"/>
  <c r="AK414" s="1"/>
  <c r="AK467" s="1"/>
  <c r="I335"/>
  <c r="I284" s="1"/>
  <c r="I378" s="1"/>
  <c r="I414" s="1"/>
  <c r="I467" s="1"/>
  <c r="R277"/>
  <c r="AB277"/>
  <c r="BI278"/>
  <c r="J323"/>
  <c r="J401" s="1"/>
  <c r="J450" s="1"/>
  <c r="AO223"/>
  <c r="BL461"/>
  <c r="CH461" s="1"/>
  <c r="AZ240"/>
  <c r="AQ38" i="28"/>
  <c r="L277" i="20"/>
  <c r="L278" s="1"/>
  <c r="BM555"/>
  <c r="CI555" s="1"/>
  <c r="BE225"/>
  <c r="AI252"/>
  <c r="L365"/>
  <c r="H372"/>
  <c r="BJ45" i="28"/>
  <c r="BE237" i="20"/>
  <c r="AV38" i="23"/>
  <c r="O367" i="20"/>
  <c r="N36" i="28"/>
  <c r="N35" s="1"/>
  <c r="H67"/>
  <c r="F36"/>
  <c r="F35" s="1"/>
  <c r="AB161" i="20"/>
  <c r="AB56"/>
  <c r="AB79"/>
  <c r="AB176" s="1"/>
  <c r="X161"/>
  <c r="X79"/>
  <c r="X176" s="1"/>
  <c r="X56"/>
  <c r="T161"/>
  <c r="T79"/>
  <c r="T176" s="1"/>
  <c r="T178" s="1"/>
  <c r="T56"/>
  <c r="R161"/>
  <c r="R79"/>
  <c r="R176" s="1"/>
  <c r="R56"/>
  <c r="P79"/>
  <c r="P176" s="1"/>
  <c r="P161"/>
  <c r="J161"/>
  <c r="J79"/>
  <c r="J176" s="1"/>
  <c r="CH35"/>
  <c r="A76" i="28"/>
  <c r="A109"/>
  <c r="D105"/>
  <c r="BJ359" i="20"/>
  <c r="BH424"/>
  <c r="BH415" s="1"/>
  <c r="BF351"/>
  <c r="CI271"/>
  <c r="CI234"/>
  <c r="AY332"/>
  <c r="AY230"/>
  <c r="AZ230"/>
  <c r="AZ332"/>
  <c r="AV332"/>
  <c r="AU31" i="28" s="1"/>
  <c r="BI239" i="20"/>
  <c r="BI495"/>
  <c r="BG10" i="23"/>
  <c r="BB10"/>
  <c r="BL10" i="20"/>
  <c r="BF170"/>
  <c r="BF164" s="1"/>
  <c r="CH16"/>
  <c r="BG405"/>
  <c r="BB405"/>
  <c r="BB310"/>
  <c r="BB391" s="1"/>
  <c r="AV164"/>
  <c r="CG221"/>
  <c r="CG23"/>
  <c r="BK170"/>
  <c r="CG170" s="1"/>
  <c r="CG52"/>
  <c r="BN218"/>
  <c r="CJ218" s="1"/>
  <c r="BM495"/>
  <c r="CI495" s="1"/>
  <c r="CG148"/>
  <c r="BF463"/>
  <c r="BB311"/>
  <c r="BB41" i="28"/>
  <c r="BC311" i="20"/>
  <c r="BE311"/>
  <c r="BF311"/>
  <c r="BD41" i="28"/>
  <c r="BF41"/>
  <c r="BF58" s="1"/>
  <c r="BF112" s="1"/>
  <c r="BG501" i="20"/>
  <c r="BG311"/>
  <c r="BF483" s="1"/>
  <c r="BI501"/>
  <c r="BI311"/>
  <c r="BJ311"/>
  <c r="BH41" i="28"/>
  <c r="CG242" i="20"/>
  <c r="BJ41" i="28"/>
  <c r="BL311" i="20"/>
  <c r="CH311" s="1"/>
  <c r="BK311"/>
  <c r="CG311" s="1"/>
  <c r="BK501"/>
  <c r="CG501" s="1"/>
  <c r="BQ45" i="19"/>
  <c r="BP1094"/>
  <c r="BP87"/>
  <c r="BO47" i="20"/>
  <c r="CK47" s="1"/>
  <c r="BO46"/>
  <c r="BO34"/>
  <c r="CK34" s="1"/>
  <c r="AR112" i="28"/>
  <c r="AS102" i="20"/>
  <c r="AR124"/>
  <c r="AR137"/>
  <c r="AS115"/>
  <c r="AU103"/>
  <c r="AU116"/>
  <c r="AT125"/>
  <c r="AT138"/>
  <c r="AV223"/>
  <c r="AW68"/>
  <c r="AX114" s="1"/>
  <c r="AW116"/>
  <c r="AV138"/>
  <c r="AW70"/>
  <c r="AW138" s="1"/>
  <c r="AV94"/>
  <c r="AW120"/>
  <c r="J281"/>
  <c r="AN281"/>
  <c r="AI281"/>
  <c r="K281"/>
  <c r="AE281"/>
  <c r="AF169"/>
  <c r="AF191" s="1"/>
  <c r="AD101" i="28"/>
  <c r="CI427" i="20"/>
  <c r="BM462"/>
  <c r="CI462" s="1"/>
  <c r="F430"/>
  <c r="F395"/>
  <c r="F446" s="1"/>
  <c r="BL454"/>
  <c r="BL637" s="1"/>
  <c r="CH454"/>
  <c r="CH405"/>
  <c r="BJ454"/>
  <c r="AH332"/>
  <c r="AH230"/>
  <c r="BC34" i="28"/>
  <c r="BC32" s="1"/>
  <c r="BC98" s="1"/>
  <c r="W353" i="20"/>
  <c r="X353"/>
  <c r="AK353"/>
  <c r="AL353"/>
  <c r="AK423"/>
  <c r="AK466" s="1"/>
  <c r="R423"/>
  <c r="R466"/>
  <c r="R353"/>
  <c r="S353"/>
  <c r="AA423"/>
  <c r="AA353"/>
  <c r="AV353"/>
  <c r="AU353"/>
  <c r="J353"/>
  <c r="I423"/>
  <c r="AC353"/>
  <c r="AC423"/>
  <c r="AC466" s="1"/>
  <c r="P423"/>
  <c r="P353"/>
  <c r="Q353"/>
  <c r="AM353"/>
  <c r="AN353"/>
  <c r="AM423"/>
  <c r="CG184"/>
  <c r="BK525"/>
  <c r="CG525" s="1"/>
  <c r="BF238"/>
  <c r="X217"/>
  <c r="V217"/>
  <c r="BI280"/>
  <c r="AW230"/>
  <c r="AF383"/>
  <c r="BP45" i="19"/>
  <c r="AY225" i="20"/>
  <c r="AW332"/>
  <c r="AV31" i="28" s="1"/>
  <c r="I99"/>
  <c r="M335" i="20"/>
  <c r="M284" s="1"/>
  <c r="M378" s="1"/>
  <c r="M414" s="1"/>
  <c r="M467" s="1"/>
  <c r="BM39"/>
  <c r="BF424"/>
  <c r="BE405"/>
  <c r="H79"/>
  <c r="H176" s="1"/>
  <c r="L79"/>
  <c r="L176" s="1"/>
  <c r="L178" s="1"/>
  <c r="BH311"/>
  <c r="BD311"/>
  <c r="BG474"/>
  <c r="BP31"/>
  <c r="BP26"/>
  <c r="CL26" s="1"/>
  <c r="AT332"/>
  <c r="AS31" i="28" s="1"/>
  <c r="BA34"/>
  <c r="BA32" s="1"/>
  <c r="BA98" s="1"/>
  <c r="BD105"/>
  <c r="CH250" i="20"/>
  <c r="BF158"/>
  <c r="AO163"/>
  <c r="AM164"/>
  <c r="AM165" s="1"/>
  <c r="AM169"/>
  <c r="AM191" s="1"/>
  <c r="G327"/>
  <c r="G404" s="1"/>
  <c r="G453" s="1"/>
  <c r="AF38" i="28"/>
  <c r="AH327" i="20"/>
  <c r="AH404" s="1"/>
  <c r="AH453" s="1"/>
  <c r="AG327"/>
  <c r="AG404" s="1"/>
  <c r="AG453" s="1"/>
  <c r="X38" i="28"/>
  <c r="N38"/>
  <c r="AL327" i="20"/>
  <c r="AL404" s="1"/>
  <c r="AL453" s="1"/>
  <c r="AK38" i="28"/>
  <c r="AI38"/>
  <c r="Z38"/>
  <c r="AB327" i="20"/>
  <c r="AB404" s="1"/>
  <c r="AB453" s="1"/>
  <c r="AD38" i="28"/>
  <c r="T327" i="20"/>
  <c r="T404" s="1"/>
  <c r="T453" s="1"/>
  <c r="S38" i="28"/>
  <c r="U38"/>
  <c r="U37" s="1"/>
  <c r="U100" s="1"/>
  <c r="L38"/>
  <c r="M327" i="20"/>
  <c r="M404" s="1"/>
  <c r="M453" s="1"/>
  <c r="K38" i="28"/>
  <c r="AC424" i="20"/>
  <c r="AC426"/>
  <c r="P426"/>
  <c r="Z101" i="28"/>
  <c r="Z58"/>
  <c r="AA69"/>
  <c r="BG476" i="20"/>
  <c r="BH39" i="28"/>
  <c r="BK256" i="20"/>
  <c r="CG257"/>
  <c r="AY145"/>
  <c r="BC463"/>
  <c r="BD145"/>
  <c r="BE270"/>
  <c r="BE205"/>
  <c r="CG35" i="23"/>
  <c r="BI534" i="20"/>
  <c r="CG157"/>
  <c r="CH159"/>
  <c r="AN41" i="28"/>
  <c r="AO285" i="20"/>
  <c r="AO395" s="1"/>
  <c r="AO446" s="1"/>
  <c r="Y246"/>
  <c r="AX145"/>
  <c r="AZ205"/>
  <c r="BB359"/>
  <c r="BA359"/>
  <c r="X280"/>
  <c r="Z327"/>
  <c r="Z404" s="1"/>
  <c r="Z453" s="1"/>
  <c r="CH409"/>
  <c r="CH280"/>
  <c r="N332"/>
  <c r="BG523"/>
  <c r="BG479"/>
  <c r="BG410"/>
  <c r="BH466"/>
  <c r="X285"/>
  <c r="AB427"/>
  <c r="AB462" s="1"/>
  <c r="AU170"/>
  <c r="AU164" s="1"/>
  <c r="AV307"/>
  <c r="AS427"/>
  <c r="AS462" s="1"/>
  <c r="AS170"/>
  <c r="Q427"/>
  <c r="Q462" s="1"/>
  <c r="Q170"/>
  <c r="G427"/>
  <c r="G462" s="1"/>
  <c r="G170"/>
  <c r="G164" s="1"/>
  <c r="G165" s="1"/>
  <c r="AX351"/>
  <c r="BA281"/>
  <c r="BG531"/>
  <c r="BK524"/>
  <c r="CG524" s="1"/>
  <c r="BJ39" i="28"/>
  <c r="CE39" s="1"/>
  <c r="CG183" i="20"/>
  <c r="CI276"/>
  <c r="I170"/>
  <c r="I164" s="1"/>
  <c r="I165" s="1"/>
  <c r="I427"/>
  <c r="I462" s="1"/>
  <c r="L189"/>
  <c r="AL189"/>
  <c r="AU189"/>
  <c r="G189"/>
  <c r="AJ189"/>
  <c r="AP189"/>
  <c r="F189"/>
  <c r="O189"/>
  <c r="Q189"/>
  <c r="AM189"/>
  <c r="W189"/>
  <c r="AN189"/>
  <c r="AT189"/>
  <c r="AR189"/>
  <c r="X189"/>
  <c r="J189"/>
  <c r="T189"/>
  <c r="AO189"/>
  <c r="AA189"/>
  <c r="AC189"/>
  <c r="R189"/>
  <c r="AM427"/>
  <c r="AM462" s="1"/>
  <c r="AM413"/>
  <c r="AM463" s="1"/>
  <c r="K427"/>
  <c r="K462" s="1"/>
  <c r="K413"/>
  <c r="K463" s="1"/>
  <c r="AW351"/>
  <c r="AY426"/>
  <c r="BA145"/>
  <c r="CF35" i="23"/>
  <c r="BI427" i="20"/>
  <c r="BI410"/>
  <c r="BK542"/>
  <c r="CG542" s="1"/>
  <c r="BK554"/>
  <c r="CG554" s="1"/>
  <c r="BK550"/>
  <c r="CG550" s="1"/>
  <c r="BK535"/>
  <c r="CG535" s="1"/>
  <c r="BK523"/>
  <c r="CG523" s="1"/>
  <c r="BK536"/>
  <c r="CG536" s="1"/>
  <c r="BK427"/>
  <c r="CG201"/>
  <c r="BK270"/>
  <c r="CH146"/>
  <c r="AK427"/>
  <c r="AK462" s="1"/>
  <c r="AK170"/>
  <c r="AK164" s="1"/>
  <c r="AK165" s="1"/>
  <c r="AJ427"/>
  <c r="AJ462" s="1"/>
  <c r="AJ413"/>
  <c r="AJ463" s="1"/>
  <c r="AJ170"/>
  <c r="BI281"/>
  <c r="BH280"/>
  <c r="BE426"/>
  <c r="G423"/>
  <c r="G466" s="1"/>
  <c r="H353"/>
  <c r="BK531"/>
  <c r="CG531" s="1"/>
  <c r="BA37" i="19"/>
  <c r="BB50" s="1"/>
  <c r="BE37"/>
  <c r="BF50" s="1"/>
  <c r="BI37"/>
  <c r="BJ50" s="1"/>
  <c r="N383" i="20"/>
  <c r="G332"/>
  <c r="BC164"/>
  <c r="BD163"/>
  <c r="AV163"/>
  <c r="CI148"/>
  <c r="Y383"/>
  <c r="K332"/>
  <c r="R388"/>
  <c r="R440" s="1"/>
  <c r="U238"/>
  <c r="CH224"/>
  <c r="BL31" i="23"/>
  <c r="CJ31" s="1"/>
  <c r="BF383" i="20"/>
  <c r="AY383"/>
  <c r="AX383"/>
  <c r="BC388"/>
  <c r="BC31" i="23"/>
  <c r="AY359" i="20"/>
  <c r="AZ164"/>
  <c r="BB351"/>
  <c r="AG323"/>
  <c r="AG401" s="1"/>
  <c r="AG450" s="1"/>
  <c r="AL79"/>
  <c r="AL176" s="1"/>
  <c r="AE56"/>
  <c r="AC79"/>
  <c r="AC176" s="1"/>
  <c r="AD325" s="1"/>
  <c r="BN111"/>
  <c r="CJ111" s="1"/>
  <c r="BM202"/>
  <c r="BM269" s="1"/>
  <c r="BM201"/>
  <c r="CI201" s="1"/>
  <c r="BM187"/>
  <c r="BB181"/>
  <c r="BA181"/>
  <c r="AZ184"/>
  <c r="AY40" i="28" s="1"/>
  <c r="AY181" i="20"/>
  <c r="AX36" i="28" s="1"/>
  <c r="AX35" s="1"/>
  <c r="AX184" i="20"/>
  <c r="AW40" i="28" s="1"/>
  <c r="AW184" i="20"/>
  <c r="AV40" i="28" s="1"/>
  <c r="AV183" i="20"/>
  <c r="AU39" i="28" s="1"/>
  <c r="AU56" i="20"/>
  <c r="AU124" s="1"/>
  <c r="AV75"/>
  <c r="AV99" s="1"/>
  <c r="BP32"/>
  <c r="CI357"/>
  <c r="BO166"/>
  <c r="CK166" s="1"/>
  <c r="BA465"/>
  <c r="AZ45" i="28"/>
  <c r="AZ105" s="1"/>
  <c r="BJ413" i="20"/>
  <c r="BJ195"/>
  <c r="BJ193"/>
  <c r="BJ150"/>
  <c r="BJ196"/>
  <c r="BJ148"/>
  <c r="BJ276"/>
  <c r="BJ280" s="1"/>
  <c r="BJ146"/>
  <c r="BJ356"/>
  <c r="BJ156"/>
  <c r="BJ281"/>
  <c r="BJ183"/>
  <c r="BJ187"/>
  <c r="BJ207"/>
  <c r="BJ351" s="1"/>
  <c r="BJ182"/>
  <c r="BJ188"/>
  <c r="BJ151"/>
  <c r="BJ157"/>
  <c r="BJ189"/>
  <c r="BJ190"/>
  <c r="BJ153"/>
  <c r="BJ149"/>
  <c r="BJ147"/>
  <c r="BJ201"/>
  <c r="AQ332"/>
  <c r="BB246"/>
  <c r="BH392" i="19"/>
  <c r="BH397" s="1"/>
  <c r="BH388"/>
  <c r="BC246" i="20"/>
  <c r="BE246"/>
  <c r="AN34" i="28"/>
  <c r="AN32" s="1"/>
  <c r="BK699" i="19"/>
  <c r="BN29" i="20"/>
  <c r="CJ29" s="1"/>
  <c r="BN102" i="19"/>
  <c r="BL29" i="20"/>
  <c r="CH29" s="1"/>
  <c r="BL102" i="19"/>
  <c r="BJ29" i="20"/>
  <c r="BJ102" i="19"/>
  <c r="BH29" i="20"/>
  <c r="BH102" i="19"/>
  <c r="BF29" i="20"/>
  <c r="BF102" i="19"/>
  <c r="BD29" i="20"/>
  <c r="BD102" i="19"/>
  <c r="BB29" i="20"/>
  <c r="BB102" i="19"/>
  <c r="AZ29" i="20"/>
  <c r="AZ102" i="19"/>
  <c r="AX29" i="20"/>
  <c r="AX102" i="19"/>
  <c r="AX50" i="20"/>
  <c r="BM427" i="19"/>
  <c r="BL227" i="20"/>
  <c r="BK125"/>
  <c r="CG125" s="1"/>
  <c r="BJ103"/>
  <c r="BG125"/>
  <c r="BC125"/>
  <c r="BB81"/>
  <c r="BQ355" i="19"/>
  <c r="BP387"/>
  <c r="BQ353"/>
  <c r="BR353" s="1"/>
  <c r="BP952"/>
  <c r="BE698"/>
  <c r="BL30" i="20"/>
  <c r="BL103" i="19"/>
  <c r="BL51" i="20"/>
  <c r="BJ30"/>
  <c r="BJ103" i="19"/>
  <c r="BJ51" i="20"/>
  <c r="BH30"/>
  <c r="BH103" i="19"/>
  <c r="BH51" i="20" s="1"/>
  <c r="BF30"/>
  <c r="BF103" i="19"/>
  <c r="BF51" i="20" s="1"/>
  <c r="BD30"/>
  <c r="BD103" i="19"/>
  <c r="BD51" i="20"/>
  <c r="BB30"/>
  <c r="BB103" i="19"/>
  <c r="BB51" i="20" s="1"/>
  <c r="AZ30"/>
  <c r="AZ103" i="19"/>
  <c r="AZ51" i="20" s="1"/>
  <c r="AX30"/>
  <c r="AX103" i="19"/>
  <c r="AX51" i="20"/>
  <c r="BM193"/>
  <c r="BM659" i="19"/>
  <c r="BM698"/>
  <c r="BN698" s="1"/>
  <c r="BF307" i="20"/>
  <c r="BF308"/>
  <c r="BP553" i="19"/>
  <c r="BO545"/>
  <c r="BO568" s="1"/>
  <c r="BP568" s="1"/>
  <c r="BX796"/>
  <c r="BW809"/>
  <c r="BI199" i="20"/>
  <c r="BJ711" i="19"/>
  <c r="BJ707"/>
  <c r="BI202" i="20"/>
  <c r="BI542" s="1"/>
  <c r="BD523" i="19"/>
  <c r="BD232" i="20" s="1"/>
  <c r="BE232" s="1"/>
  <c r="BN383"/>
  <c r="CJ383" s="1"/>
  <c r="BM383"/>
  <c r="BM673" i="19"/>
  <c r="BM699" s="1"/>
  <c r="BD172" i="20"/>
  <c r="BP406" i="19"/>
  <c r="BP271"/>
  <c r="BP364"/>
  <c r="BH229"/>
  <c r="BH227"/>
  <c r="BH225"/>
  <c r="BH223"/>
  <c r="BH221"/>
  <c r="BH219"/>
  <c r="BH217"/>
  <c r="CA1103"/>
  <c r="CB1103" s="1"/>
  <c r="CC1103" s="1"/>
  <c r="CD1103" s="1"/>
  <c r="BH281"/>
  <c r="BH279" s="1"/>
  <c r="BH249" i="20"/>
  <c r="BH10" i="23"/>
  <c r="CF10" s="1"/>
  <c r="BI10"/>
  <c r="CG10" s="1"/>
  <c r="BH541" i="19"/>
  <c r="BH546" s="1"/>
  <c r="BK449"/>
  <c r="BF233"/>
  <c r="BJ224"/>
  <c r="AV103"/>
  <c r="BD139"/>
  <c r="BD118" s="1"/>
  <c r="BC139"/>
  <c r="BC118" s="1"/>
  <c r="BO84"/>
  <c r="BP84" s="1"/>
  <c r="BQ84" s="1"/>
  <c r="BR84" s="1"/>
  <c r="BS84" s="1"/>
  <c r="BK332"/>
  <c r="BK284" s="1"/>
  <c r="BK249" i="20" s="1"/>
  <c r="BM196"/>
  <c r="CI196" s="1"/>
  <c r="BM189"/>
  <c r="BM186"/>
  <c r="BB184"/>
  <c r="BA184"/>
  <c r="AZ183"/>
  <c r="AY184"/>
  <c r="AX40" i="28" s="1"/>
  <c r="AX183" i="20"/>
  <c r="AW183"/>
  <c r="AV184"/>
  <c r="AV181"/>
  <c r="AT182"/>
  <c r="BO332" i="19"/>
  <c r="BO284" s="1"/>
  <c r="BP332"/>
  <c r="BP284"/>
  <c r="BP281" s="1"/>
  <c r="BP279" s="1"/>
  <c r="BN364"/>
  <c r="BN395" s="1"/>
  <c r="BN221" i="20"/>
  <c r="CJ221" s="1"/>
  <c r="BO364" i="19"/>
  <c r="BF831"/>
  <c r="BS332"/>
  <c r="BS284" s="1"/>
  <c r="BH231"/>
  <c r="BI219"/>
  <c r="Z232" i="20"/>
  <c r="AF232"/>
  <c r="AF332" s="1"/>
  <c r="AE31" i="28" s="1"/>
  <c r="AE232" i="20"/>
  <c r="AZ10" i="23"/>
  <c r="AY312" i="19"/>
  <c r="BX806"/>
  <c r="BC405" i="20"/>
  <c r="BC454" s="1"/>
  <c r="BD405"/>
  <c r="BM454"/>
  <c r="CI454" s="1"/>
  <c r="BO105" i="28"/>
  <c r="CJ105" s="1"/>
  <c r="AZ312" i="19"/>
  <c r="BW308" i="20"/>
  <c r="CS308" s="1"/>
  <c r="BX44" i="19"/>
  <c r="BX308" i="20" s="1"/>
  <c r="CT308" s="1"/>
  <c r="BB292"/>
  <c r="BU111"/>
  <c r="CQ111" s="1"/>
  <c r="BU89"/>
  <c r="CQ89"/>
  <c r="BH201"/>
  <c r="BH541" s="1"/>
  <c r="BI307"/>
  <c r="AS105" i="28"/>
  <c r="BL364" i="19"/>
  <c r="BM359"/>
  <c r="BM219" i="20" s="1"/>
  <c r="G379"/>
  <c r="F379"/>
  <c r="BI125"/>
  <c r="BH81"/>
  <c r="BT111"/>
  <c r="CP111" s="1"/>
  <c r="BU133"/>
  <c r="CQ133" s="1"/>
  <c r="BX120" i="19"/>
  <c r="BX836"/>
  <c r="BW397" i="20"/>
  <c r="BV1074" i="19"/>
  <c r="BV21" i="20" s="1"/>
  <c r="CR21" s="1"/>
  <c r="BB125"/>
  <c r="BA81"/>
  <c r="AP258"/>
  <c r="AP256" s="1"/>
  <c r="AT258"/>
  <c r="AT256" s="1"/>
  <c r="AU258"/>
  <c r="AU256" s="1"/>
  <c r="BS111"/>
  <c r="CO111" s="1"/>
  <c r="BS89"/>
  <c r="CO89" s="1"/>
  <c r="CY89"/>
  <c r="CZ133"/>
  <c r="CW111"/>
  <c r="CU89"/>
  <c r="CU111"/>
  <c r="CV133"/>
  <c r="BW89"/>
  <c r="CS89" s="1"/>
  <c r="BW111"/>
  <c r="CS111" s="1"/>
  <c r="BX133"/>
  <c r="CT133" s="1"/>
  <c r="BR1099" i="19"/>
  <c r="BK395"/>
  <c r="BK269"/>
  <c r="BK220" i="20"/>
  <c r="AX177"/>
  <c r="BB34" i="23"/>
  <c r="AX31" i="28"/>
  <c r="AB278" i="20"/>
  <c r="AB280"/>
  <c r="K235"/>
  <c r="AZ284"/>
  <c r="BB34" i="28"/>
  <c r="BB32" s="1"/>
  <c r="AS280" i="20"/>
  <c r="AS278"/>
  <c r="N278"/>
  <c r="N280"/>
  <c r="AD278"/>
  <c r="AF278"/>
  <c r="AL280"/>
  <c r="AG278"/>
  <c r="AG280"/>
  <c r="S278"/>
  <c r="S280"/>
  <c r="AT278"/>
  <c r="Z280"/>
  <c r="Z278"/>
  <c r="AK280"/>
  <c r="BG466"/>
  <c r="AV383"/>
  <c r="AU383"/>
  <c r="BF105" i="28"/>
  <c r="BG34"/>
  <c r="AY177" i="20"/>
  <c r="P466"/>
  <c r="AA466"/>
  <c r="AX70"/>
  <c r="AY70" s="1"/>
  <c r="BQ87" i="19"/>
  <c r="BR87" s="1"/>
  <c r="BP37" i="20"/>
  <c r="CE41" i="28"/>
  <c r="BJ69"/>
  <c r="CE69" s="1"/>
  <c r="BJ101"/>
  <c r="CE101" s="1"/>
  <c r="BJ58"/>
  <c r="BH69"/>
  <c r="BG454" i="20"/>
  <c r="AY31" i="28"/>
  <c r="AZ322" i="20"/>
  <c r="AZ400" s="1"/>
  <c r="CE45" i="28"/>
  <c r="R280" i="20"/>
  <c r="R278"/>
  <c r="L240"/>
  <c r="BC200"/>
  <c r="AP278"/>
  <c r="AP280"/>
  <c r="V278"/>
  <c r="AO278"/>
  <c r="AO280"/>
  <c r="AU280"/>
  <c r="AU278"/>
  <c r="W278"/>
  <c r="AA278"/>
  <c r="U278"/>
  <c r="AI280"/>
  <c r="K278"/>
  <c r="J278"/>
  <c r="AE278"/>
  <c r="AE280"/>
  <c r="X278"/>
  <c r="T278"/>
  <c r="T280"/>
  <c r="CG280"/>
  <c r="BE466"/>
  <c r="BI466"/>
  <c r="AJ428"/>
  <c r="AJ383"/>
  <c r="AD383"/>
  <c r="AD428"/>
  <c r="R428"/>
  <c r="R383"/>
  <c r="AI428"/>
  <c r="S383"/>
  <c r="AM383"/>
  <c r="BH496"/>
  <c r="BF239"/>
  <c r="BH200"/>
  <c r="BM34" i="28"/>
  <c r="CH34" s="1"/>
  <c r="CH256" i="20"/>
  <c r="BK163"/>
  <c r="CG163" s="1"/>
  <c r="Y428"/>
  <c r="AH428"/>
  <c r="AS383"/>
  <c r="U383"/>
  <c r="M383"/>
  <c r="AT383"/>
  <c r="W383"/>
  <c r="X383"/>
  <c r="AC415"/>
  <c r="BK164"/>
  <c r="CG164" s="1"/>
  <c r="T383"/>
  <c r="K428"/>
  <c r="P428"/>
  <c r="U428"/>
  <c r="AE428"/>
  <c r="BP401" i="19"/>
  <c r="BO311" i="20"/>
  <c r="CK311" s="1"/>
  <c r="BJ729" i="19"/>
  <c r="BO540"/>
  <c r="AX106"/>
  <c r="AZ50" i="20"/>
  <c r="AZ106" i="19"/>
  <c r="BD50" i="20"/>
  <c r="BD106" i="19"/>
  <c r="BF50" i="20"/>
  <c r="BH50"/>
  <c r="BJ50"/>
  <c r="BL50"/>
  <c r="BL106" i="19"/>
  <c r="BN50" i="20"/>
  <c r="BK540"/>
  <c r="CG540" s="1"/>
  <c r="CG199"/>
  <c r="BP392" i="19"/>
  <c r="BP350" s="1"/>
  <c r="BP395"/>
  <c r="BX809"/>
  <c r="BY809" s="1"/>
  <c r="BZ809" s="1"/>
  <c r="CA809" s="1"/>
  <c r="CB809" s="1"/>
  <c r="CC809" s="1"/>
  <c r="CD809" s="1"/>
  <c r="BQ553"/>
  <c r="BP545"/>
  <c r="BF260" i="20"/>
  <c r="BQ364" i="19"/>
  <c r="BQ392" s="1"/>
  <c r="BR355"/>
  <c r="BQ387"/>
  <c r="BM425"/>
  <c r="BM406" s="1"/>
  <c r="BM404"/>
  <c r="BM227" i="20"/>
  <c r="BJ270"/>
  <c r="BO392" i="19"/>
  <c r="BO388" s="1"/>
  <c r="BO395"/>
  <c r="BN392"/>
  <c r="BM528" i="20"/>
  <c r="CI528" s="1"/>
  <c r="BE233" i="19"/>
  <c r="BI231"/>
  <c r="BF174" i="20"/>
  <c r="BF172" s="1"/>
  <c r="BG831" i="19"/>
  <c r="BH831" s="1"/>
  <c r="AY39" i="28"/>
  <c r="AV51" i="20"/>
  <c r="BL392" i="19"/>
  <c r="BL388" s="1"/>
  <c r="BL395"/>
  <c r="BL398"/>
  <c r="BY44"/>
  <c r="BZ44" s="1"/>
  <c r="CV308" i="20" s="1"/>
  <c r="BK268" i="19"/>
  <c r="BK267"/>
  <c r="BK265" s="1"/>
  <c r="BY120"/>
  <c r="BX397" i="20"/>
  <c r="BM364" i="19"/>
  <c r="BS355"/>
  <c r="BT355"/>
  <c r="BR387"/>
  <c r="BR553"/>
  <c r="BS553"/>
  <c r="BT553"/>
  <c r="BQ545"/>
  <c r="BQ540" s="1"/>
  <c r="BP269"/>
  <c r="BP268" s="1"/>
  <c r="BG174" i="20"/>
  <c r="BG172" s="1"/>
  <c r="BD233" i="19"/>
  <c r="BN350"/>
  <c r="BO350"/>
  <c r="BO269"/>
  <c r="BO220" i="20" s="1"/>
  <c r="CK220" s="1"/>
  <c r="BL269" i="19"/>
  <c r="CU308" i="20"/>
  <c r="BL350" i="19"/>
  <c r="BR545"/>
  <c r="BR272" s="1"/>
  <c r="BC460" i="20"/>
  <c r="BE460"/>
  <c r="V193"/>
  <c r="V335" s="1"/>
  <c r="V284" s="1"/>
  <c r="V378" s="1"/>
  <c r="V414" s="1"/>
  <c r="V467" s="1"/>
  <c r="AG193"/>
  <c r="AG335"/>
  <c r="AG284" s="1"/>
  <c r="AG378" s="1"/>
  <c r="AG414" s="1"/>
  <c r="AG467" s="1"/>
  <c r="W193"/>
  <c r="AR193"/>
  <c r="N193"/>
  <c r="N335"/>
  <c r="N284" s="1"/>
  <c r="N378" s="1"/>
  <c r="N414" s="1"/>
  <c r="N467" s="1"/>
  <c r="L193"/>
  <c r="AT423"/>
  <c r="AT466" s="1"/>
  <c r="AT353"/>
  <c r="AN423"/>
  <c r="AN466" s="1"/>
  <c r="AO353"/>
  <c r="AF285"/>
  <c r="AE41" i="28"/>
  <c r="AC170" i="20"/>
  <c r="AC163" s="1"/>
  <c r="AC427"/>
  <c r="AC462" s="1"/>
  <c r="AE189"/>
  <c r="Y189"/>
  <c r="Z189"/>
  <c r="Z204" s="1"/>
  <c r="Z208" s="1"/>
  <c r="AI189"/>
  <c r="AG189"/>
  <c r="AW145"/>
  <c r="BE463"/>
  <c r="BD281"/>
  <c r="BK40" i="28"/>
  <c r="CG146" i="20"/>
  <c r="BJ440"/>
  <c r="AZ200"/>
  <c r="BX1134" i="19"/>
  <c r="BY1134" s="1"/>
  <c r="BZ1134" s="1"/>
  <c r="CA1134" s="1"/>
  <c r="CB1134" s="1"/>
  <c r="CC1134" s="1"/>
  <c r="CD1134" s="1"/>
  <c r="BF440" i="20"/>
  <c r="T427"/>
  <c r="T462" s="1"/>
  <c r="T170"/>
  <c r="T169" s="1"/>
  <c r="T191" s="1"/>
  <c r="BH507"/>
  <c r="BH254"/>
  <c r="BV1132" i="19"/>
  <c r="CG182" i="20"/>
  <c r="BJ38" i="28"/>
  <c r="AU101"/>
  <c r="BM280" i="20"/>
  <c r="AZ236"/>
  <c r="BA250"/>
  <c r="BI425"/>
  <c r="BK528"/>
  <c r="CG528" s="1"/>
  <c r="CG561"/>
  <c r="BK529"/>
  <c r="CG529" s="1"/>
  <c r="BG269"/>
  <c r="BG542"/>
  <c r="BB460"/>
  <c r="BG238"/>
  <c r="BE39" i="28"/>
  <c r="BF250" i="20"/>
  <c r="BW1133" i="19"/>
  <c r="BX1133" s="1"/>
  <c r="AN327" i="20"/>
  <c r="AN404" s="1"/>
  <c r="AN453" s="1"/>
  <c r="I353"/>
  <c r="BK410"/>
  <c r="BK541"/>
  <c r="CG541" s="1"/>
  <c r="U169"/>
  <c r="U191" s="1"/>
  <c r="U164"/>
  <c r="U165" s="1"/>
  <c r="U163"/>
  <c r="BO1185" i="19"/>
  <c r="BO1158"/>
  <c r="K163" i="20"/>
  <c r="K164"/>
  <c r="K165" s="1"/>
  <c r="BF395" i="19"/>
  <c r="BF269" s="1"/>
  <c r="BF397"/>
  <c r="BH40" i="28"/>
  <c r="AE423" i="20"/>
  <c r="AF353"/>
  <c r="BK238"/>
  <c r="CG238" s="1"/>
  <c r="BK463"/>
  <c r="CG463" s="1"/>
  <c r="CH188"/>
  <c r="T41" i="28"/>
  <c r="U285" i="20"/>
  <c r="AI193"/>
  <c r="AI335" s="1"/>
  <c r="AI284" s="1"/>
  <c r="AI378" s="1"/>
  <c r="AI414" s="1"/>
  <c r="AI467" s="1"/>
  <c r="G193"/>
  <c r="G335" s="1"/>
  <c r="G284" s="1"/>
  <c r="G378" s="1"/>
  <c r="G414" s="1"/>
  <c r="G467" s="1"/>
  <c r="R193"/>
  <c r="R335" s="1"/>
  <c r="R284" s="1"/>
  <c r="R378" s="1"/>
  <c r="R414" s="1"/>
  <c r="R467" s="1"/>
  <c r="AJ193"/>
  <c r="AJ204" s="1"/>
  <c r="AJ208" s="1"/>
  <c r="AE193"/>
  <c r="AT193"/>
  <c r="AT335" s="1"/>
  <c r="AT284" s="1"/>
  <c r="AT378" s="1"/>
  <c r="AT414" s="1"/>
  <c r="AT467" s="1"/>
  <c r="AB193"/>
  <c r="AM193"/>
  <c r="AL193"/>
  <c r="AA193"/>
  <c r="AA335" s="1"/>
  <c r="AA284" s="1"/>
  <c r="AA378" s="1"/>
  <c r="AA414" s="1"/>
  <c r="AA467" s="1"/>
  <c r="O193"/>
  <c r="AF193"/>
  <c r="AR427"/>
  <c r="AR462" s="1"/>
  <c r="AR170"/>
  <c r="AR169" s="1"/>
  <c r="BC281"/>
  <c r="BH463"/>
  <c r="BG39" i="28"/>
  <c r="CH186" i="20"/>
  <c r="AF41" i="28"/>
  <c r="AG285" i="20"/>
  <c r="AT285"/>
  <c r="AT395" s="1"/>
  <c r="AT446" s="1"/>
  <c r="AS41" i="28"/>
  <c r="AS69" s="1"/>
  <c r="U189" i="20"/>
  <c r="U204" s="1"/>
  <c r="U208" s="1"/>
  <c r="U352" s="1"/>
  <c r="AK189"/>
  <c r="AS189"/>
  <c r="AQ189"/>
  <c r="AQ204" s="1"/>
  <c r="AQ208" s="1"/>
  <c r="P189"/>
  <c r="S189"/>
  <c r="M189"/>
  <c r="N189"/>
  <c r="AD189"/>
  <c r="AD204" s="1"/>
  <c r="AD208" s="1"/>
  <c r="AD352" s="1"/>
  <c r="AH189"/>
  <c r="AH204" s="1"/>
  <c r="AH208" s="1"/>
  <c r="S194"/>
  <c r="AE194"/>
  <c r="BK269"/>
  <c r="CG202"/>
  <c r="BK466"/>
  <c r="CG466" s="1"/>
  <c r="CG423"/>
  <c r="BA238"/>
  <c r="BL466"/>
  <c r="CH466" s="1"/>
  <c r="CH201"/>
  <c r="BL270"/>
  <c r="BG524"/>
  <c r="BF39" i="28"/>
  <c r="CI356" i="20"/>
  <c r="BM425"/>
  <c r="BJ53"/>
  <c r="BK105" i="19"/>
  <c r="BP1056"/>
  <c r="CF45" i="28"/>
  <c r="BT835" i="19"/>
  <c r="BU53"/>
  <c r="BV53" s="1"/>
  <c r="M232" i="20"/>
  <c r="AG232"/>
  <c r="AG230" s="1"/>
  <c r="H232"/>
  <c r="H332" s="1"/>
  <c r="S232"/>
  <c r="S230" s="1"/>
  <c r="AA232"/>
  <c r="AA332" s="1"/>
  <c r="Z31" i="28" s="1"/>
  <c r="P232" i="20"/>
  <c r="V232"/>
  <c r="V230" s="1"/>
  <c r="T232"/>
  <c r="AK232"/>
  <c r="AK230" s="1"/>
  <c r="L232"/>
  <c r="L332" s="1"/>
  <c r="K31" i="28" s="1"/>
  <c r="R232" i="20"/>
  <c r="R230" s="1"/>
  <c r="AD232"/>
  <c r="AD332" s="1"/>
  <c r="AC232"/>
  <c r="AC230" s="1"/>
  <c r="Y232"/>
  <c r="Y332" s="1"/>
  <c r="X31" i="28" s="1"/>
  <c r="F232" i="20"/>
  <c r="F332" s="1"/>
  <c r="E31" i="28" s="1"/>
  <c r="AO232" i="20"/>
  <c r="AO230" s="1"/>
  <c r="BE10" i="23"/>
  <c r="BH36" i="20"/>
  <c r="BI86" i="19"/>
  <c r="CI16" i="20"/>
  <c r="N428"/>
  <c r="BO49"/>
  <c r="BJ37" i="19"/>
  <c r="BK50" s="1"/>
  <c r="AZ359" i="20"/>
  <c r="AY205"/>
  <c r="AB38" i="28"/>
  <c r="AC410" i="20"/>
  <c r="AC461" s="1"/>
  <c r="BF34" i="28"/>
  <c r="BF32" s="1"/>
  <c r="BF98" s="1"/>
  <c r="BF38"/>
  <c r="CH182" i="20"/>
  <c r="BG550"/>
  <c r="BG530"/>
  <c r="BH38" i="28"/>
  <c r="BH37" s="1"/>
  <c r="CH388" i="20"/>
  <c r="L41" i="28"/>
  <c r="L101" s="1"/>
  <c r="M285" i="20"/>
  <c r="BG529"/>
  <c r="BG528"/>
  <c r="AI41" i="28"/>
  <c r="AI58" s="1"/>
  <c r="AJ285" i="20"/>
  <c r="AJ395" s="1"/>
  <c r="AJ446" s="1"/>
  <c r="BL281"/>
  <c r="CH281" s="1"/>
  <c r="BL152"/>
  <c r="BM801" i="19"/>
  <c r="BM152" i="20" s="1"/>
  <c r="BL52"/>
  <c r="CH52" s="1"/>
  <c r="BM104" i="19"/>
  <c r="BN104" s="1"/>
  <c r="BE36" i="28"/>
  <c r="BE35" s="1"/>
  <c r="BE99" s="1"/>
  <c r="AZ27"/>
  <c r="BA419" i="20"/>
  <c r="BA605" s="1"/>
  <c r="Z428"/>
  <c r="J428"/>
  <c r="CM38" i="19"/>
  <c r="CM35" s="1"/>
  <c r="CM37" s="1"/>
  <c r="BF231"/>
  <c r="I163" i="20"/>
  <c r="I169"/>
  <c r="I191" s="1"/>
  <c r="CI383"/>
  <c r="BI269"/>
  <c r="CH30"/>
  <c r="BJ463"/>
  <c r="AW75"/>
  <c r="AW99" s="1"/>
  <c r="BM541"/>
  <c r="CI541" s="1"/>
  <c r="BL225"/>
  <c r="CH225" s="1"/>
  <c r="BK198"/>
  <c r="BK236"/>
  <c r="Q164"/>
  <c r="Q165" s="1"/>
  <c r="Q169"/>
  <c r="Q191" s="1"/>
  <c r="Q163"/>
  <c r="Z112" i="28"/>
  <c r="BP105"/>
  <c r="CK105" s="1"/>
  <c r="AS466" i="20"/>
  <c r="AL230"/>
  <c r="AL332"/>
  <c r="AK31" i="28" s="1"/>
  <c r="BK454" i="20"/>
  <c r="CG454" s="1"/>
  <c r="K426"/>
  <c r="K424"/>
  <c r="K415" s="1"/>
  <c r="CH219"/>
  <c r="BL218"/>
  <c r="Z335"/>
  <c r="Z284" s="1"/>
  <c r="Z378" s="1"/>
  <c r="Z414" s="1"/>
  <c r="Z467" s="1"/>
  <c r="AY409"/>
  <c r="AY460" s="1"/>
  <c r="BH351"/>
  <c r="BH551" s="1"/>
  <c r="BW1132" i="19"/>
  <c r="BM52" i="20"/>
  <c r="BN801" i="19"/>
  <c r="BU835"/>
  <c r="BO801"/>
  <c r="N325" i="20"/>
  <c r="N304"/>
  <c r="N389" s="1"/>
  <c r="N441" s="1"/>
  <c r="M178"/>
  <c r="H101" i="28"/>
  <c r="I69"/>
  <c r="AG56" i="20"/>
  <c r="AA56"/>
  <c r="BQ363"/>
  <c r="BO31" i="23"/>
  <c r="CM31" s="1"/>
  <c r="BO388" i="20"/>
  <c r="BY1133" i="19"/>
  <c r="BZ1133" s="1"/>
  <c r="CA1133" s="1"/>
  <c r="CB1133" s="1"/>
  <c r="CC1133" s="1"/>
  <c r="BJ231"/>
  <c r="BQ32" i="20"/>
  <c r="BR32" s="1"/>
  <c r="BP46"/>
  <c r="CL46" s="1"/>
  <c r="BB101" i="28"/>
  <c r="BB58"/>
  <c r="BB112" s="1"/>
  <c r="BF163" i="20"/>
  <c r="BI225" i="19"/>
  <c r="BJ225" s="1"/>
  <c r="BI461" i="20"/>
  <c r="AN58" i="28"/>
  <c r="AN79" s="1"/>
  <c r="BD58"/>
  <c r="BB395" i="20"/>
  <c r="BB446" s="1"/>
  <c r="BG249"/>
  <c r="BJ34" i="28"/>
  <c r="CE34" s="1"/>
  <c r="U304" i="20"/>
  <c r="U389" s="1"/>
  <c r="U441" s="1"/>
  <c r="AM331"/>
  <c r="AL31" i="28"/>
  <c r="BI221" i="19"/>
  <c r="BI217"/>
  <c r="M31" i="28"/>
  <c r="Q383" i="20"/>
  <c r="BE145"/>
  <c r="BM424"/>
  <c r="CI424" s="1"/>
  <c r="W281"/>
  <c r="AS139"/>
  <c r="CM388" i="19"/>
  <c r="AS332" i="20"/>
  <c r="BN189"/>
  <c r="BN162"/>
  <c r="CJ162" s="1"/>
  <c r="BN194"/>
  <c r="CJ194" s="1"/>
  <c r="BN356"/>
  <c r="CJ356" s="1"/>
  <c r="BN561"/>
  <c r="BN555" s="1"/>
  <c r="CJ555" s="1"/>
  <c r="BN147"/>
  <c r="BN1094" i="19"/>
  <c r="BN40" i="20"/>
  <c r="AR138"/>
  <c r="AR125"/>
  <c r="AW240"/>
  <c r="AQ136"/>
  <c r="AW69"/>
  <c r="AA395"/>
  <c r="AA446" s="1"/>
  <c r="AN164"/>
  <c r="AN165" s="1"/>
  <c r="AT163"/>
  <c r="BI106" i="19"/>
  <c r="BM37"/>
  <c r="BN50" s="1"/>
  <c r="BH307" i="20"/>
  <c r="CM350" i="19"/>
  <c r="AL58" i="28"/>
  <c r="AR101"/>
  <c r="AM101"/>
  <c r="AQ102" i="20"/>
  <c r="CG405"/>
  <c r="BY1137" i="19"/>
  <c r="BZ1137" s="1"/>
  <c r="AH424" i="20"/>
  <c r="BX805" i="19"/>
  <c r="T423" i="20"/>
  <c r="T466" s="1"/>
  <c r="U353"/>
  <c r="J230"/>
  <c r="J332"/>
  <c r="I31" i="28" s="1"/>
  <c r="BM51" i="20"/>
  <c r="BN199"/>
  <c r="CJ199" s="1"/>
  <c r="AW306"/>
  <c r="AW305" s="1"/>
  <c r="X164"/>
  <c r="X165" s="1"/>
  <c r="BL460"/>
  <c r="CH460" s="1"/>
  <c r="BL2" i="19"/>
  <c r="BX1136"/>
  <c r="BY1136" s="1"/>
  <c r="BZ1136" s="1"/>
  <c r="CA1136" s="1"/>
  <c r="CB1136" s="1"/>
  <c r="CC1136" s="1"/>
  <c r="CD1136" s="1"/>
  <c r="BK364" i="20"/>
  <c r="BL364" s="1"/>
  <c r="BK224" i="19"/>
  <c r="CI308" i="20"/>
  <c r="BN190"/>
  <c r="BN151"/>
  <c r="BN35" i="23"/>
  <c r="BN36" s="1"/>
  <c r="CL36" s="1"/>
  <c r="BN276" i="20"/>
  <c r="CJ276" s="1"/>
  <c r="BN184"/>
  <c r="CJ184" s="1"/>
  <c r="BN187"/>
  <c r="BN157"/>
  <c r="CJ157" s="1"/>
  <c r="BN201"/>
  <c r="CJ201" s="1"/>
  <c r="AV137"/>
  <c r="AQ69" i="28"/>
  <c r="CH427" i="20"/>
  <c r="AP353"/>
  <c r="BH236"/>
  <c r="H61" i="23"/>
  <c r="I61"/>
  <c r="I62" s="1"/>
  <c r="AX231" i="20"/>
  <c r="AS6"/>
  <c r="AS386" s="1"/>
  <c r="AS438" s="1"/>
  <c r="BJ44"/>
  <c r="BM281"/>
  <c r="CI281" s="1"/>
  <c r="O78" i="23"/>
  <c r="BT1003" i="19"/>
  <c r="BU1003" s="1"/>
  <c r="BV1003" s="1"/>
  <c r="BT1119"/>
  <c r="BU1119" s="1"/>
  <c r="BV1119" s="1"/>
  <c r="BW1119" s="1"/>
  <c r="BX1119" s="1"/>
  <c r="BY1119" s="1"/>
  <c r="BZ1119" s="1"/>
  <c r="CA1119" s="1"/>
  <c r="CB1119" s="1"/>
  <c r="CC1119" s="1"/>
  <c r="CD1119" s="1"/>
  <c r="AP182" i="20"/>
  <c r="AU182"/>
  <c r="AV327" s="1"/>
  <c r="AV404" s="1"/>
  <c r="AV453" s="1"/>
  <c r="AZ182"/>
  <c r="AY38" i="28" s="1"/>
  <c r="AY37" s="1"/>
  <c r="BU289" i="19"/>
  <c r="BT288"/>
  <c r="BU288"/>
  <c r="BV288" s="1"/>
  <c r="BW288" s="1"/>
  <c r="BX288" s="1"/>
  <c r="BY288" s="1"/>
  <c r="BZ288" s="1"/>
  <c r="CA288" s="1"/>
  <c r="CB288" s="1"/>
  <c r="CC288" s="1"/>
  <c r="CD288" s="1"/>
  <c r="BC227"/>
  <c r="BB227" s="1"/>
  <c r="BI218"/>
  <c r="BI233"/>
  <c r="BJ233" s="1"/>
  <c r="BT397" i="20"/>
  <c r="CV111"/>
  <c r="CW133"/>
  <c r="BO1138" i="19"/>
  <c r="BP1138" s="1"/>
  <c r="BF219"/>
  <c r="BG232"/>
  <c r="BG234"/>
  <c r="BV1140"/>
  <c r="BW1140"/>
  <c r="BX1140" s="1"/>
  <c r="BV1135"/>
  <c r="BV1138"/>
  <c r="CA1137"/>
  <c r="CB1137" s="1"/>
  <c r="CC1137" s="1"/>
  <c r="CD1137" s="1"/>
  <c r="BV289"/>
  <c r="BW289" s="1"/>
  <c r="BU265" i="20"/>
  <c r="H62" i="23"/>
  <c r="H63"/>
  <c r="H65" s="1"/>
  <c r="H66" s="1"/>
  <c r="BY805" i="19"/>
  <c r="BZ805"/>
  <c r="CA805" s="1"/>
  <c r="CB805" s="1"/>
  <c r="CC805" s="1"/>
  <c r="CD805" s="1"/>
  <c r="BJ217"/>
  <c r="BW1135"/>
  <c r="BX1135"/>
  <c r="BY1135" s="1"/>
  <c r="BZ1135" s="1"/>
  <c r="CA1135" s="1"/>
  <c r="BT1107"/>
  <c r="BU1107"/>
  <c r="BV1107" s="1"/>
  <c r="BW1107" s="1"/>
  <c r="BX1107" s="1"/>
  <c r="BY1107" s="1"/>
  <c r="BZ1107" s="1"/>
  <c r="CA1107" s="1"/>
  <c r="CB1107" s="1"/>
  <c r="CC1107" s="1"/>
  <c r="CD1107" s="1"/>
  <c r="BW1003"/>
  <c r="BX1003" s="1"/>
  <c r="BY1003" s="1"/>
  <c r="BZ1003" s="1"/>
  <c r="CA1003" s="1"/>
  <c r="CB1003" s="1"/>
  <c r="CC1003" s="1"/>
  <c r="CD1003" s="1"/>
  <c r="BN1163"/>
  <c r="BJ221"/>
  <c r="CD1133"/>
  <c r="BO440" i="20"/>
  <c r="CK440" s="1"/>
  <c r="CG256"/>
  <c r="BD101" i="28"/>
  <c r="BK205" i="20"/>
  <c r="BK545" s="1"/>
  <c r="CG545" s="1"/>
  <c r="AV73"/>
  <c r="AW119" s="1"/>
  <c r="AR191"/>
  <c r="X395"/>
  <c r="X446" s="1"/>
  <c r="BG461"/>
  <c r="I280"/>
  <c r="I278"/>
  <c r="G383"/>
  <c r="G380"/>
  <c r="H380" s="1"/>
  <c r="I380" s="1"/>
  <c r="J380" s="1"/>
  <c r="K380" s="1"/>
  <c r="L380" s="1"/>
  <c r="M380" s="1"/>
  <c r="N380" s="1"/>
  <c r="O380" s="1"/>
  <c r="P380" s="1"/>
  <c r="Q380" s="1"/>
  <c r="R380" s="1"/>
  <c r="S380" s="1"/>
  <c r="T380" s="1"/>
  <c r="U380" s="1"/>
  <c r="V380" s="1"/>
  <c r="W380" s="1"/>
  <c r="X380" s="1"/>
  <c r="Y380" s="1"/>
  <c r="Z380" s="1"/>
  <c r="AA380" s="1"/>
  <c r="AB380" s="1"/>
  <c r="AC380" s="1"/>
  <c r="AD380" s="1"/>
  <c r="AE380" s="1"/>
  <c r="AF380" s="1"/>
  <c r="AG380" s="1"/>
  <c r="AH380" s="1"/>
  <c r="AI380" s="1"/>
  <c r="AJ380" s="1"/>
  <c r="AK380" s="1"/>
  <c r="AL380" s="1"/>
  <c r="AM380" s="1"/>
  <c r="AN380" s="1"/>
  <c r="AO380" s="1"/>
  <c r="AP380" s="1"/>
  <c r="AQ380" s="1"/>
  <c r="AR380" s="1"/>
  <c r="AS380" s="1"/>
  <c r="AT380" s="1"/>
  <c r="AU380" s="1"/>
  <c r="AV380" s="1"/>
  <c r="AW380" s="1"/>
  <c r="AX380" s="1"/>
  <c r="AY380" s="1"/>
  <c r="AZ380" s="1"/>
  <c r="BA380" s="1"/>
  <c r="BB380" s="1"/>
  <c r="BC380" s="1"/>
  <c r="BD380" s="1"/>
  <c r="BE380" s="1"/>
  <c r="BF380" s="1"/>
  <c r="BG380" s="1"/>
  <c r="BH380" s="1"/>
  <c r="BI380" s="1"/>
  <c r="BJ380" s="1"/>
  <c r="BK380" s="1"/>
  <c r="BI236"/>
  <c r="AE230"/>
  <c r="AE332"/>
  <c r="AD31" i="28" s="1"/>
  <c r="AS169" i="20"/>
  <c r="AS191" s="1"/>
  <c r="AS163"/>
  <c r="AS164"/>
  <c r="AU163"/>
  <c r="AU169"/>
  <c r="AU191" s="1"/>
  <c r="BD177"/>
  <c r="AJ164"/>
  <c r="AJ165" s="1"/>
  <c r="AZ36" i="28"/>
  <c r="AZ35" s="1"/>
  <c r="BA177" i="20"/>
  <c r="BB430"/>
  <c r="AN278"/>
  <c r="AN280"/>
  <c r="AQ278"/>
  <c r="AQ280"/>
  <c r="Y278"/>
  <c r="Y280"/>
  <c r="M325"/>
  <c r="M304"/>
  <c r="M389" s="1"/>
  <c r="M441" s="1"/>
  <c r="CI39"/>
  <c r="BM61"/>
  <c r="BN107" s="1"/>
  <c r="CJ107" s="1"/>
  <c r="AG31" i="28"/>
  <c r="BP34" i="20"/>
  <c r="CL34" s="1"/>
  <c r="R178"/>
  <c r="AM235"/>
  <c r="BI229"/>
  <c r="P383"/>
  <c r="O428"/>
  <c r="AC278"/>
  <c r="AC280"/>
  <c r="F31" i="28"/>
  <c r="BE454" i="20"/>
  <c r="CG218"/>
  <c r="BI504"/>
  <c r="H383"/>
  <c r="BD240"/>
  <c r="BD246"/>
  <c r="V383"/>
  <c r="BN202"/>
  <c r="CJ202" s="1"/>
  <c r="BJ375"/>
  <c r="BK375" s="1"/>
  <c r="BN101" i="28"/>
  <c r="CI101" s="1"/>
  <c r="AP58"/>
  <c r="AP112" s="1"/>
  <c r="AT169" i="20"/>
  <c r="AT191" s="1"/>
  <c r="AV67"/>
  <c r="AV135" s="1"/>
  <c r="BP561"/>
  <c r="CL561" s="1"/>
  <c r="AE466"/>
  <c r="W99" i="28"/>
  <c r="BA598" i="20"/>
  <c r="AY410"/>
  <c r="AY461" s="1"/>
  <c r="AX38" i="28"/>
  <c r="AY204" i="20"/>
  <c r="AR383"/>
  <c r="AR115"/>
  <c r="AR395"/>
  <c r="AR446" s="1"/>
  <c r="R68"/>
  <c r="BH540"/>
  <c r="AZ225"/>
  <c r="AZ223" s="1"/>
  <c r="CU133"/>
  <c r="BA225"/>
  <c r="BO50"/>
  <c r="CK50" s="1"/>
  <c r="BN419"/>
  <c r="CJ419" s="1"/>
  <c r="BN281"/>
  <c r="CJ281" s="1"/>
  <c r="BN413"/>
  <c r="CJ413" s="1"/>
  <c r="BN183"/>
  <c r="BN148"/>
  <c r="CJ148" s="1"/>
  <c r="BO8" i="23"/>
  <c r="CM8" s="1"/>
  <c r="AT139" i="20"/>
  <c r="AT114"/>
  <c r="AV104"/>
  <c r="BN63"/>
  <c r="BN87" s="1"/>
  <c r="BH37" i="19"/>
  <c r="BI50"/>
  <c r="AM395" i="20"/>
  <c r="AM446" s="1"/>
  <c r="AB353"/>
  <c r="T70"/>
  <c r="O70"/>
  <c r="K70"/>
  <c r="G70"/>
  <c r="F69"/>
  <c r="AC68"/>
  <c r="Y68"/>
  <c r="U68"/>
  <c r="AM57"/>
  <c r="AN56"/>
  <c r="R70"/>
  <c r="AX225"/>
  <c r="BX111"/>
  <c r="CT111" s="1"/>
  <c r="BK281" i="19"/>
  <c r="BK279" s="1"/>
  <c r="BK295" s="1"/>
  <c r="BK297" s="1"/>
  <c r="BC292" i="20"/>
  <c r="BC421"/>
  <c r="BS545" i="19"/>
  <c r="BS272"/>
  <c r="BU1056"/>
  <c r="BV1056" s="1"/>
  <c r="BW1056" s="1"/>
  <c r="BX1056" s="1"/>
  <c r="BY1056" s="1"/>
  <c r="BZ1056" s="1"/>
  <c r="CA1056" s="1"/>
  <c r="CB1056" s="1"/>
  <c r="CC1056" s="1"/>
  <c r="CD1056" s="1"/>
  <c r="BV1054"/>
  <c r="BW1054"/>
  <c r="BX1054" s="1"/>
  <c r="BY1054" s="1"/>
  <c r="BZ1054" s="1"/>
  <c r="CA1054" s="1"/>
  <c r="CB1054" s="1"/>
  <c r="CC1054" s="1"/>
  <c r="CD1054" s="1"/>
  <c r="BX797"/>
  <c r="BX860"/>
  <c r="BG170" i="20"/>
  <c r="BG164" s="1"/>
  <c r="BI170"/>
  <c r="BI164" s="1"/>
  <c r="CM729" i="19"/>
  <c r="CM750"/>
  <c r="CM752" s="1"/>
  <c r="BI249" i="20"/>
  <c r="BI281" i="19"/>
  <c r="BD401"/>
  <c r="BD436"/>
  <c r="BD438" s="1"/>
  <c r="BD271" s="1"/>
  <c r="BI181" i="20"/>
  <c r="BI698" i="19"/>
  <c r="BK424" i="20"/>
  <c r="BK557"/>
  <c r="CG557" s="1"/>
  <c r="BK351"/>
  <c r="BK551" s="1"/>
  <c r="CG551" s="1"/>
  <c r="BK359"/>
  <c r="CG359" s="1"/>
  <c r="BK426"/>
  <c r="CG357"/>
  <c r="BG426"/>
  <c r="BG359"/>
  <c r="BG424"/>
  <c r="BG557"/>
  <c r="BG351"/>
  <c r="BG551" s="1"/>
  <c r="BL269"/>
  <c r="BL542"/>
  <c r="CH542" s="1"/>
  <c r="CH202"/>
  <c r="BD701" i="19"/>
  <c r="BD700"/>
  <c r="BL568"/>
  <c r="BL540"/>
  <c r="BD395"/>
  <c r="BD269" s="1"/>
  <c r="BD397"/>
  <c r="AZ397"/>
  <c r="AZ395"/>
  <c r="BI10" i="20"/>
  <c r="CG198"/>
  <c r="BA587"/>
  <c r="BN729" i="19"/>
  <c r="BL170" i="20"/>
  <c r="CI44"/>
  <c r="BM170"/>
  <c r="BM164" s="1"/>
  <c r="CI164" s="1"/>
  <c r="BJ281" i="19"/>
  <c r="BJ279" s="1"/>
  <c r="BJ249" i="20"/>
  <c r="BA252"/>
  <c r="BA601" s="1"/>
  <c r="BA281" i="19"/>
  <c r="BA279" s="1"/>
  <c r="AV265"/>
  <c r="BI750"/>
  <c r="BI752" s="1"/>
  <c r="BI206" i="20" s="1"/>
  <c r="BI729" i="19"/>
  <c r="BJ307" i="20"/>
  <c r="BK307"/>
  <c r="CG307" s="1"/>
  <c r="BJ181"/>
  <c r="BJ202"/>
  <c r="BJ561"/>
  <c r="BJ534" s="1"/>
  <c r="BJ152"/>
  <c r="BJ184"/>
  <c r="BJ186"/>
  <c r="BJ159"/>
  <c r="BJ194"/>
  <c r="BJ35" i="23"/>
  <c r="CH35" s="1"/>
  <c r="BK698" i="19"/>
  <c r="BK701" s="1"/>
  <c r="BK181" i="20"/>
  <c r="BH426"/>
  <c r="BH359"/>
  <c r="BH557"/>
  <c r="BC234"/>
  <c r="BA395" i="19"/>
  <c r="BA269" s="1"/>
  <c r="BA397"/>
  <c r="BJ10" i="20"/>
  <c r="AX312" i="19"/>
  <c r="AQ24" i="28"/>
  <c r="AP2"/>
  <c r="AO2" s="1"/>
  <c r="AQ62"/>
  <c r="BB234" i="20"/>
  <c r="BB335" s="1"/>
  <c r="BB284" s="1"/>
  <c r="AW293" i="19"/>
  <c r="AW265"/>
  <c r="AW295" s="1"/>
  <c r="BG181" i="20"/>
  <c r="BG698" i="19"/>
  <c r="BI351" i="20"/>
  <c r="BI551" s="1"/>
  <c r="BI557"/>
  <c r="BI424"/>
  <c r="BI415" s="1"/>
  <c r="BI359"/>
  <c r="BI426"/>
  <c r="BK568" i="19"/>
  <c r="BK540"/>
  <c r="BI568"/>
  <c r="CM271"/>
  <c r="CM440"/>
  <c r="BB395"/>
  <c r="BB269" s="1"/>
  <c r="BB220" i="20" s="1"/>
  <c r="BB397" i="19"/>
  <c r="CG37" i="20"/>
  <c r="BH10"/>
  <c r="BI227" i="19"/>
  <c r="BA234" i="20"/>
  <c r="AY293" i="19"/>
  <c r="AY265"/>
  <c r="AY295" s="1"/>
  <c r="AZ293"/>
  <c r="AZ265"/>
  <c r="AZ295"/>
  <c r="BE170" i="20"/>
  <c r="BE163" s="1"/>
  <c r="BJ199"/>
  <c r="BJ236" s="1"/>
  <c r="BG236"/>
  <c r="BG540"/>
  <c r="BJ424"/>
  <c r="BJ426"/>
  <c r="BF359"/>
  <c r="BF426"/>
  <c r="CM540" i="19"/>
  <c r="CM568"/>
  <c r="CM272"/>
  <c r="BG225" i="20"/>
  <c r="BC397" i="19"/>
  <c r="BC395"/>
  <c r="BC269" s="1"/>
  <c r="CH37" i="20"/>
  <c r="BE172"/>
  <c r="BF236"/>
  <c r="BJ162"/>
  <c r="W428"/>
  <c r="BM522"/>
  <c r="CI522" s="1"/>
  <c r="BM27" i="28"/>
  <c r="CH27" s="1"/>
  <c r="BJ804" i="19"/>
  <c r="BJ809"/>
  <c r="AD163" i="20"/>
  <c r="BG220"/>
  <c r="AP230"/>
  <c r="AW50"/>
  <c r="AY106" i="19"/>
  <c r="AS114" i="20"/>
  <c r="AR126"/>
  <c r="AV34" i="28"/>
  <c r="AR104" i="20"/>
  <c r="AT58" i="28"/>
  <c r="AU79" s="1"/>
  <c r="BW89" i="19"/>
  <c r="BB177" i="20"/>
  <c r="AQ139"/>
  <c r="BD37" i="19"/>
  <c r="BE50" s="1"/>
  <c r="BE306" i="20" s="1"/>
  <c r="BE305" s="1"/>
  <c r="AX279" i="19"/>
  <c r="AX295" s="1"/>
  <c r="AV80" i="20"/>
  <c r="AW56"/>
  <c r="AW124" s="1"/>
  <c r="AW165" s="1"/>
  <c r="BX800" i="19"/>
  <c r="AR62" i="28"/>
  <c r="AY700" i="19"/>
  <c r="K410" i="20"/>
  <c r="K461" s="1"/>
  <c r="BD238"/>
  <c r="Y285"/>
  <c r="AL70"/>
  <c r="AH70"/>
  <c r="Z70"/>
  <c r="R69"/>
  <c r="N69"/>
  <c r="J69"/>
  <c r="V57"/>
  <c r="S57"/>
  <c r="AN428"/>
  <c r="AF428"/>
  <c r="G278"/>
  <c r="O69" i="28"/>
  <c r="BA460" i="20"/>
  <c r="AT116"/>
  <c r="BP27"/>
  <c r="CL27" s="1"/>
  <c r="BC81" i="19"/>
  <c r="BO47"/>
  <c r="BP47"/>
  <c r="BB232" i="20"/>
  <c r="BK970" i="19"/>
  <c r="P69" i="20"/>
  <c r="L69"/>
  <c r="P68"/>
  <c r="Q57"/>
  <c r="BM523"/>
  <c r="CI523" s="1"/>
  <c r="BB225"/>
  <c r="BB224" s="1"/>
  <c r="BB223" s="1"/>
  <c r="CB85" i="19"/>
  <c r="CX35" i="20" s="1"/>
  <c r="CW35"/>
  <c r="AU69"/>
  <c r="AV115" s="1"/>
  <c r="BA182"/>
  <c r="BG307"/>
  <c r="BG260" s="1"/>
  <c r="AV58"/>
  <c r="AV82" s="1"/>
  <c r="CZ111"/>
  <c r="CV35"/>
  <c r="BW1072" i="19"/>
  <c r="BO1141"/>
  <c r="BP1140"/>
  <c r="BQ1141" s="1"/>
  <c r="AT38" i="28"/>
  <c r="AU327" i="20"/>
  <c r="AU404" s="1"/>
  <c r="AU453" s="1"/>
  <c r="BM415"/>
  <c r="CI415" s="1"/>
  <c r="BN236"/>
  <c r="BP12"/>
  <c r="AA204"/>
  <c r="AA208" s="1"/>
  <c r="AP383"/>
  <c r="BD461"/>
  <c r="CI349"/>
  <c r="BM549"/>
  <c r="CI549" s="1"/>
  <c r="AX306"/>
  <c r="AX305" s="1"/>
  <c r="AX51" i="19"/>
  <c r="L67" i="28"/>
  <c r="Q428" i="20"/>
  <c r="AL383"/>
  <c r="CH308"/>
  <c r="BF37" i="28"/>
  <c r="BF100" s="1"/>
  <c r="G215" i="20"/>
  <c r="AN395"/>
  <c r="AN446" s="1"/>
  <c r="AF70"/>
  <c r="AB70"/>
  <c r="X70"/>
  <c r="AI57"/>
  <c r="AE57"/>
  <c r="AA57"/>
  <c r="W57"/>
  <c r="AI56"/>
  <c r="W56"/>
  <c r="S56"/>
  <c r="AM56"/>
  <c r="AR139"/>
  <c r="AP136"/>
  <c r="AM69" i="28"/>
  <c r="O169" i="20"/>
  <c r="O191" s="1"/>
  <c r="V58" i="28"/>
  <c r="V112" s="1"/>
  <c r="AV92" i="20"/>
  <c r="AV124"/>
  <c r="AV165" s="1"/>
  <c r="CI405"/>
  <c r="BL462"/>
  <c r="CH462" s="1"/>
  <c r="BI238"/>
  <c r="AZ466"/>
  <c r="AV145"/>
  <c r="O145" s="1"/>
  <c r="O177" s="1"/>
  <c r="Z353"/>
  <c r="AN70"/>
  <c r="AJ70"/>
  <c r="AC70"/>
  <c r="W69"/>
  <c r="AK68"/>
  <c r="AD68"/>
  <c r="X57"/>
  <c r="AP57"/>
  <c r="AQ103" s="1"/>
  <c r="T353"/>
  <c r="AK161"/>
  <c r="AY116"/>
  <c r="AX94"/>
  <c r="N204"/>
  <c r="N208" s="1"/>
  <c r="AY94"/>
  <c r="BD454"/>
  <c r="G169"/>
  <c r="G191" s="1"/>
  <c r="BQ26"/>
  <c r="AS38" i="28"/>
  <c r="AS37" s="1"/>
  <c r="AT327" i="20"/>
  <c r="AT404" s="1"/>
  <c r="AT453" s="1"/>
  <c r="AW39" i="28"/>
  <c r="BA40"/>
  <c r="BL236" i="20"/>
  <c r="BL540"/>
  <c r="CH540" s="1"/>
  <c r="BL198"/>
  <c r="CH199"/>
  <c r="BK281"/>
  <c r="CG281" s="1"/>
  <c r="AJ169"/>
  <c r="AJ191" s="1"/>
  <c r="AJ163"/>
  <c r="AY223"/>
  <c r="BM426"/>
  <c r="BM557"/>
  <c r="CI557" s="1"/>
  <c r="AW92"/>
  <c r="AW4" i="23" s="1"/>
  <c r="AW43" s="1"/>
  <c r="AX116" i="20"/>
  <c r="BA7" i="28"/>
  <c r="V428" i="20"/>
  <c r="AE383"/>
  <c r="O101" i="28"/>
  <c r="CI182" i="20"/>
  <c r="AZ37" i="19"/>
  <c r="BA50" s="1"/>
  <c r="BA51" s="1"/>
  <c r="AY38"/>
  <c r="AX38" s="1"/>
  <c r="AX68" i="20"/>
  <c r="AX92" s="1"/>
  <c r="AX4" i="23" s="1"/>
  <c r="AW94" i="20"/>
  <c r="BB309"/>
  <c r="AB428"/>
  <c r="Q335"/>
  <c r="Q284" s="1"/>
  <c r="Q378" s="1"/>
  <c r="Q414" s="1"/>
  <c r="Q467" s="1"/>
  <c r="BO45"/>
  <c r="BP13"/>
  <c r="AT136"/>
  <c r="AQ115"/>
  <c r="X169"/>
  <c r="X191" s="1"/>
  <c r="BM460"/>
  <c r="CI460" s="1"/>
  <c r="AH410"/>
  <c r="AH461" s="1"/>
  <c r="AI413"/>
  <c r="AI463" s="1"/>
  <c r="BL37" i="19"/>
  <c r="BL536" i="20"/>
  <c r="CH536" s="1"/>
  <c r="CM50" i="19"/>
  <c r="BA164" i="20"/>
  <c r="AW278"/>
  <c r="AD70"/>
  <c r="Q70"/>
  <c r="AK69"/>
  <c r="AE69"/>
  <c r="U69"/>
  <c r="H69"/>
  <c r="AN68"/>
  <c r="N68"/>
  <c r="H68"/>
  <c r="W161"/>
  <c r="BK51" i="19"/>
  <c r="BK306" i="20"/>
  <c r="BK305" s="1"/>
  <c r="M332"/>
  <c r="M230"/>
  <c r="CI52"/>
  <c r="G31" i="28"/>
  <c r="CH218" i="20"/>
  <c r="AB335"/>
  <c r="AB284" s="1"/>
  <c r="AB378" s="1"/>
  <c r="AB414" s="1"/>
  <c r="AB467" s="1"/>
  <c r="CG249"/>
  <c r="T230"/>
  <c r="T332"/>
  <c r="AE58" i="28"/>
  <c r="AE101"/>
  <c r="I466" i="20"/>
  <c r="AM466"/>
  <c r="BI36" i="28"/>
  <c r="BI35" s="1"/>
  <c r="BI99" s="1"/>
  <c r="J73"/>
  <c r="BN463" i="20"/>
  <c r="CJ463" s="1"/>
  <c r="BN606"/>
  <c r="CJ606" s="1"/>
  <c r="BN601"/>
  <c r="CJ601" s="1"/>
  <c r="BN577"/>
  <c r="CJ577" s="1"/>
  <c r="BN597"/>
  <c r="CJ597" s="1"/>
  <c r="BN625"/>
  <c r="CJ625" s="1"/>
  <c r="BN621"/>
  <c r="CJ621" s="1"/>
  <c r="BN575"/>
  <c r="CJ575" s="1"/>
  <c r="BN596"/>
  <c r="CJ596" s="1"/>
  <c r="BN567"/>
  <c r="CJ567" s="1"/>
  <c r="BM25" i="28"/>
  <c r="BN617" i="20"/>
  <c r="CJ617" s="1"/>
  <c r="BN623"/>
  <c r="CJ623" s="1"/>
  <c r="BO109"/>
  <c r="BM39" i="28"/>
  <c r="CH39" s="1"/>
  <c r="BA574" i="20"/>
  <c r="BN627"/>
  <c r="CJ627" s="1"/>
  <c r="BK804" i="19"/>
  <c r="BJ555" i="20"/>
  <c r="BJ541"/>
  <c r="BJ529"/>
  <c r="CG351"/>
  <c r="BY860" i="19"/>
  <c r="BZ860" s="1"/>
  <c r="BK700"/>
  <c r="CH269" i="20"/>
  <c r="BK559"/>
  <c r="CG559" s="1"/>
  <c r="BI248"/>
  <c r="BI246"/>
  <c r="BY797" i="19"/>
  <c r="BZ797"/>
  <c r="CA797" s="1"/>
  <c r="CB797" s="1"/>
  <c r="CC797" s="1"/>
  <c r="CD797" s="1"/>
  <c r="BS540"/>
  <c r="BT272"/>
  <c r="BU272" s="1"/>
  <c r="BV272" s="1"/>
  <c r="BW272" s="1"/>
  <c r="BX272" s="1"/>
  <c r="BY272" s="1"/>
  <c r="BZ272" s="1"/>
  <c r="CA272" s="1"/>
  <c r="CB272" s="1"/>
  <c r="CC272" s="1"/>
  <c r="CD272" s="1"/>
  <c r="BY1140"/>
  <c r="BK246" i="20"/>
  <c r="BP1141" i="19"/>
  <c r="BW18" i="20"/>
  <c r="CS18" s="1"/>
  <c r="BX1072" i="19"/>
  <c r="CC85"/>
  <c r="CD85" s="1"/>
  <c r="CZ35" i="20" s="1"/>
  <c r="BO42" i="19"/>
  <c r="AW80" i="20"/>
  <c r="BC268" i="19"/>
  <c r="BC267" s="1"/>
  <c r="BG204" i="20"/>
  <c r="AP24" i="28"/>
  <c r="AP62"/>
  <c r="CG181" i="20"/>
  <c r="BK522"/>
  <c r="CG522" s="1"/>
  <c r="BL163"/>
  <c r="CH163" s="1"/>
  <c r="BG559"/>
  <c r="CG424"/>
  <c r="BK415"/>
  <c r="BK293" i="19"/>
  <c r="AW104" i="20"/>
  <c r="BD81" i="19"/>
  <c r="BE81" s="1"/>
  <c r="BC24" i="20"/>
  <c r="BY800" i="19"/>
  <c r="BZ800" s="1"/>
  <c r="CA800" s="1"/>
  <c r="CB800" s="1"/>
  <c r="CC800" s="1"/>
  <c r="CD800" s="1"/>
  <c r="BE164" i="20"/>
  <c r="BJ227" i="19"/>
  <c r="BK227" s="1"/>
  <c r="BG701"/>
  <c r="BG700"/>
  <c r="BJ36" i="23"/>
  <c r="CH36" s="1"/>
  <c r="BJ269" i="20"/>
  <c r="BJ240"/>
  <c r="BJ248"/>
  <c r="BI279" i="19"/>
  <c r="AV4" i="23"/>
  <c r="AV43" s="1"/>
  <c r="CH198" i="20"/>
  <c r="AY264"/>
  <c r="AS482"/>
  <c r="AR482" s="1"/>
  <c r="BD24"/>
  <c r="BL804" i="19"/>
  <c r="BX18" i="20"/>
  <c r="CT18" s="1"/>
  <c r="BY1072" i="19"/>
  <c r="BP42"/>
  <c r="BQ47"/>
  <c r="BZ1140"/>
  <c r="BZ1141" s="1"/>
  <c r="CY35" i="20"/>
  <c r="BY1141" i="19"/>
  <c r="BM804"/>
  <c r="CU18" i="20"/>
  <c r="BZ1072" i="19"/>
  <c r="CA1140"/>
  <c r="CB1140" s="1"/>
  <c r="CA1141"/>
  <c r="BQ42"/>
  <c r="BR47"/>
  <c r="BS47" s="1"/>
  <c r="BR42"/>
  <c r="CV18" i="20"/>
  <c r="CA1072" i="19"/>
  <c r="BN804"/>
  <c r="BO804"/>
  <c r="CW18" i="20"/>
  <c r="CB1072" i="19"/>
  <c r="BP804"/>
  <c r="CX18" i="20"/>
  <c r="CC1072" i="19"/>
  <c r="CD1072"/>
  <c r="CZ18" i="20"/>
  <c r="BD229"/>
  <c r="BQ350" i="19"/>
  <c r="BQ388"/>
  <c r="BQ269"/>
  <c r="BO249" i="20"/>
  <c r="BO281" i="19"/>
  <c r="J61" i="23"/>
  <c r="J62" s="1"/>
  <c r="J63" s="1"/>
  <c r="BU355" i="19"/>
  <c r="BV355" s="1"/>
  <c r="BW355" s="1"/>
  <c r="BX355" s="1"/>
  <c r="BY355" s="1"/>
  <c r="BZ355" s="1"/>
  <c r="CA355" s="1"/>
  <c r="CB355" s="1"/>
  <c r="CC355" s="1"/>
  <c r="CD355" s="1"/>
  <c r="BT387"/>
  <c r="BU387"/>
  <c r="BV387" s="1"/>
  <c r="BW387" s="1"/>
  <c r="BX387" s="1"/>
  <c r="BY387" s="1"/>
  <c r="BZ387" s="1"/>
  <c r="CA387" s="1"/>
  <c r="CB387" s="1"/>
  <c r="CC387" s="1"/>
  <c r="CD387" s="1"/>
  <c r="BF268"/>
  <c r="BF267" s="1"/>
  <c r="BF220" i="20"/>
  <c r="AZ449"/>
  <c r="CB1135" i="19"/>
  <c r="BM401"/>
  <c r="BM271"/>
  <c r="BD292" i="20"/>
  <c r="BD421"/>
  <c r="BI44" i="28"/>
  <c r="BI104" s="1"/>
  <c r="BI62"/>
  <c r="BJ2"/>
  <c r="AA325" i="20"/>
  <c r="Z178"/>
  <c r="AA304"/>
  <c r="AA389" s="1"/>
  <c r="AA441" s="1"/>
  <c r="X69" i="28"/>
  <c r="W101"/>
  <c r="W58"/>
  <c r="BF462" i="20"/>
  <c r="CA44" i="19"/>
  <c r="BW48"/>
  <c r="BD231" i="20"/>
  <c r="BD332" s="1"/>
  <c r="BL38" i="28"/>
  <c r="CG38" s="1"/>
  <c r="AG101"/>
  <c r="AG58"/>
  <c r="BV265" i="20"/>
  <c r="AR6"/>
  <c r="AG235"/>
  <c r="CG220"/>
  <c r="CG425"/>
  <c r="AZ310"/>
  <c r="AZ395" s="1"/>
  <c r="AZ405"/>
  <c r="BM2" i="19"/>
  <c r="BL224"/>
  <c r="BN554" i="20"/>
  <c r="CJ554" s="1"/>
  <c r="BC233" i="19"/>
  <c r="BI223"/>
  <c r="P415" i="20"/>
  <c r="BN37" i="19"/>
  <c r="BB415" i="20"/>
  <c r="BN156"/>
  <c r="CJ156" s="1"/>
  <c r="BN1093" i="19"/>
  <c r="BN42" i="20" s="1"/>
  <c r="CI50"/>
  <c r="BK50"/>
  <c r="AT126"/>
  <c r="BK70" i="19"/>
  <c r="AT101" i="28"/>
  <c r="L163" i="20"/>
  <c r="AQ138"/>
  <c r="AU115"/>
  <c r="BM642" i="19"/>
  <c r="AU136" i="20"/>
  <c r="AR103"/>
  <c r="AS125"/>
  <c r="AS124"/>
  <c r="AS165" s="1"/>
  <c r="AU139"/>
  <c r="AN163"/>
  <c r="BH62" i="28"/>
  <c r="BJ77" i="23"/>
  <c r="N353" i="20"/>
  <c r="M353"/>
  <c r="AI357"/>
  <c r="AI424" s="1"/>
  <c r="AI415" s="1"/>
  <c r="G357"/>
  <c r="G424" s="1"/>
  <c r="G415" s="1"/>
  <c r="Y357"/>
  <c r="W357"/>
  <c r="W424" s="1"/>
  <c r="W415" s="1"/>
  <c r="AU357"/>
  <c r="AV351" s="1"/>
  <c r="AQ357"/>
  <c r="R357"/>
  <c r="R424" s="1"/>
  <c r="R415" s="1"/>
  <c r="M357"/>
  <c r="U357"/>
  <c r="U424" s="1"/>
  <c r="U415" s="1"/>
  <c r="V357"/>
  <c r="AL357"/>
  <c r="AL410" s="1"/>
  <c r="AL461" s="1"/>
  <c r="AS357"/>
  <c r="AS426" s="1"/>
  <c r="BB205"/>
  <c r="CH207"/>
  <c r="CH193"/>
  <c r="BI531"/>
  <c r="BG62" i="28"/>
  <c r="BG281" i="20"/>
  <c r="AN357"/>
  <c r="AN410" s="1"/>
  <c r="AN461" s="1"/>
  <c r="AV466"/>
  <c r="Q41" i="28"/>
  <c r="Q58" s="1"/>
  <c r="AP285" i="20"/>
  <c r="AP395" s="1"/>
  <c r="AP446" s="1"/>
  <c r="BW798" i="19"/>
  <c r="AZ292" i="20"/>
  <c r="BC700" i="19"/>
  <c r="BH24" i="28"/>
  <c r="I357" i="20"/>
  <c r="AO357"/>
  <c r="N357"/>
  <c r="N424" s="1"/>
  <c r="N415" s="1"/>
  <c r="AG357"/>
  <c r="AH351" s="1"/>
  <c r="J357"/>
  <c r="J359" s="1"/>
  <c r="X357"/>
  <c r="X359" s="1"/>
  <c r="T357"/>
  <c r="T410" s="1"/>
  <c r="T461" s="1"/>
  <c r="AV424"/>
  <c r="AV415" s="1"/>
  <c r="AA357"/>
  <c r="AA426" s="1"/>
  <c r="O357"/>
  <c r="O426" s="1"/>
  <c r="BG534"/>
  <c r="AW359"/>
  <c r="AY371"/>
  <c r="AZ311" s="1"/>
  <c r="G65" i="23"/>
  <c r="G66" s="1"/>
  <c r="G67" s="1"/>
  <c r="H67" s="1"/>
  <c r="L164" i="20"/>
  <c r="L165" s="1"/>
  <c r="L357"/>
  <c r="L424" s="1"/>
  <c r="AJ357"/>
  <c r="AJ410" s="1"/>
  <c r="AJ461" s="1"/>
  <c r="AK357"/>
  <c r="AK424" s="1"/>
  <c r="AK415" s="1"/>
  <c r="AM357"/>
  <c r="AM359" s="1"/>
  <c r="AT357"/>
  <c r="AT424"/>
  <c r="AT415" s="1"/>
  <c r="H357"/>
  <c r="AD357"/>
  <c r="AD358" s="1"/>
  <c r="AB357"/>
  <c r="AE357"/>
  <c r="Z357"/>
  <c r="AV410"/>
  <c r="AV461" s="1"/>
  <c r="Q357"/>
  <c r="Q424" s="1"/>
  <c r="Q415" s="1"/>
  <c r="AX6" i="19"/>
  <c r="BJ698"/>
  <c r="BB642"/>
  <c r="BP1099"/>
  <c r="BS1119"/>
  <c r="BW1075"/>
  <c r="BX1075" s="1"/>
  <c r="BV19" i="20"/>
  <c r="CR19" s="1"/>
  <c r="BB182"/>
  <c r="BA38" i="28" s="1"/>
  <c r="BB183" i="20"/>
  <c r="BA39" i="28" s="1"/>
  <c r="AV29" i="20"/>
  <c r="AT29" s="1"/>
  <c r="AV102" i="19"/>
  <c r="AV50" i="20" s="1"/>
  <c r="BQ6" i="19"/>
  <c r="BN1162"/>
  <c r="BJ62" i="28"/>
  <c r="CE62" s="1"/>
  <c r="BK2"/>
  <c r="BK62" s="1"/>
  <c r="CF62" s="1"/>
  <c r="BJ24"/>
  <c r="BJ94" s="1"/>
  <c r="CE94" s="1"/>
  <c r="BJ72"/>
  <c r="CE72" s="1"/>
  <c r="BJ44"/>
  <c r="CH77" i="23"/>
  <c r="BK77"/>
  <c r="BL77" s="1"/>
  <c r="BJ223" i="19"/>
  <c r="BB233"/>
  <c r="BN2"/>
  <c r="AV106"/>
  <c r="BX798"/>
  <c r="AW6"/>
  <c r="AW7" s="1"/>
  <c r="AW370" i="20" s="1"/>
  <c r="AX371"/>
  <c r="AX7" i="19"/>
  <c r="AX370" i="20" s="1"/>
  <c r="BW19"/>
  <c r="CS19" s="1"/>
  <c r="BL70" i="19"/>
  <c r="BM70" s="1"/>
  <c r="BK15" i="20"/>
  <c r="BM224" i="19"/>
  <c r="BX48"/>
  <c r="CC1135"/>
  <c r="BF217" i="20"/>
  <c r="K61" i="23"/>
  <c r="L61" s="1"/>
  <c r="BQ371" i="20"/>
  <c r="CM371" s="1"/>
  <c r="BR6" i="19"/>
  <c r="BS6" s="1"/>
  <c r="BS371" i="20" s="1"/>
  <c r="AK410"/>
  <c r="AK461" s="1"/>
  <c r="AR386"/>
  <c r="AR438"/>
  <c r="AQ6"/>
  <c r="AQ386" s="1"/>
  <c r="AQ438" s="1"/>
  <c r="CB44" i="19"/>
  <c r="CC44" s="1"/>
  <c r="CW308" i="20"/>
  <c r="BO279" i="19"/>
  <c r="BO276" s="1"/>
  <c r="BQ268"/>
  <c r="BO239" i="20"/>
  <c r="CK239" s="1"/>
  <c r="CX308"/>
  <c r="BR371"/>
  <c r="CN371" s="1"/>
  <c r="K62" i="23"/>
  <c r="AV6" i="19"/>
  <c r="AV371" i="20" s="1"/>
  <c r="AW371"/>
  <c r="BJ104" i="28"/>
  <c r="CE104" s="1"/>
  <c r="CE44"/>
  <c r="BY798" i="19"/>
  <c r="BZ798" s="1"/>
  <c r="CA798" s="1"/>
  <c r="CB798" s="1"/>
  <c r="CC798" s="1"/>
  <c r="CD798" s="1"/>
  <c r="CI77" i="23"/>
  <c r="BK72" i="28"/>
  <c r="CF72"/>
  <c r="BL2"/>
  <c r="BL44" s="1"/>
  <c r="BK24"/>
  <c r="CF24" s="1"/>
  <c r="BK44"/>
  <c r="BK104" s="1"/>
  <c r="CF104" s="1"/>
  <c r="BY48" i="19"/>
  <c r="BZ48" s="1"/>
  <c r="BN224"/>
  <c r="BK223"/>
  <c r="CE24" i="28"/>
  <c r="CD1135" i="19"/>
  <c r="BA233"/>
  <c r="CF44" i="28"/>
  <c r="BM2"/>
  <c r="BM24" s="1"/>
  <c r="BL62"/>
  <c r="CG62" s="1"/>
  <c r="BL72"/>
  <c r="CG72" s="1"/>
  <c r="BL24"/>
  <c r="CG24" s="1"/>
  <c r="AZ233" i="19"/>
  <c r="AV7"/>
  <c r="AV370" i="20"/>
  <c r="AF370" s="1"/>
  <c r="BN2" i="28"/>
  <c r="BN72" s="1"/>
  <c r="CI72" s="1"/>
  <c r="BM72"/>
  <c r="CH72" s="1"/>
  <c r="BM62"/>
  <c r="CH62" s="1"/>
  <c r="AY233" i="19"/>
  <c r="BN24" i="28"/>
  <c r="CI24" s="1"/>
  <c r="J383" i="20"/>
  <c r="AM428"/>
  <c r="BB37" i="19"/>
  <c r="BC50" s="1"/>
  <c r="BF37"/>
  <c r="BG50" s="1"/>
  <c r="W112" i="28"/>
  <c r="BE51" i="19"/>
  <c r="AK145" i="20"/>
  <c r="AK177" s="1"/>
  <c r="BF36" i="28"/>
  <c r="BF35" s="1"/>
  <c r="BJ550" i="20"/>
  <c r="BN574"/>
  <c r="CJ574" s="1"/>
  <c r="BN573"/>
  <c r="CJ573" s="1"/>
  <c r="BN591"/>
  <c r="CJ591" s="1"/>
  <c r="BN594"/>
  <c r="CJ594" s="1"/>
  <c r="BN593"/>
  <c r="CJ593" s="1"/>
  <c r="AJ335"/>
  <c r="AJ284" s="1"/>
  <c r="AJ378" s="1"/>
  <c r="AJ414" s="1"/>
  <c r="AJ467" s="1"/>
  <c r="AB395"/>
  <c r="AB446" s="1"/>
  <c r="AR327"/>
  <c r="AR404" s="1"/>
  <c r="AR453" s="1"/>
  <c r="AD327"/>
  <c r="AD404" s="1"/>
  <c r="AD453" s="1"/>
  <c r="O327"/>
  <c r="O404" s="1"/>
  <c r="O453" s="1"/>
  <c r="AM327"/>
  <c r="AM404" s="1"/>
  <c r="AM453" s="1"/>
  <c r="AF327"/>
  <c r="AF404" s="1"/>
  <c r="AF453" s="1"/>
  <c r="W327"/>
  <c r="W404" s="1"/>
  <c r="W453" s="1"/>
  <c r="L327"/>
  <c r="L404" s="1"/>
  <c r="L453" s="1"/>
  <c r="BA350"/>
  <c r="BA353" s="1"/>
  <c r="BF350"/>
  <c r="BF353" s="1"/>
  <c r="BB350"/>
  <c r="AD323"/>
  <c r="AD401" s="1"/>
  <c r="AD450" s="1"/>
  <c r="AG70"/>
  <c r="Y70"/>
  <c r="L70"/>
  <c r="AH68"/>
  <c r="CL379"/>
  <c r="V79"/>
  <c r="V176" s="1"/>
  <c r="Q79"/>
  <c r="Q176" s="1"/>
  <c r="BN182"/>
  <c r="AD280"/>
  <c r="BE231"/>
  <c r="AD145"/>
  <c r="AD177" s="1"/>
  <c r="BG229"/>
  <c r="BG223" s="1"/>
  <c r="BJ36" i="28"/>
  <c r="BJ35" s="1"/>
  <c r="AX56" i="20"/>
  <c r="AX80" s="1"/>
  <c r="BI163"/>
  <c r="BA583"/>
  <c r="AI69" i="28"/>
  <c r="CG44" i="20"/>
  <c r="AV127"/>
  <c r="W395"/>
  <c r="W446" s="1"/>
  <c r="N230"/>
  <c r="AT230"/>
  <c r="AY335"/>
  <c r="AY284" s="1"/>
  <c r="BK37" i="19"/>
  <c r="BL50" s="1"/>
  <c r="BL306" i="20" s="1"/>
  <c r="BC37" i="19"/>
  <c r="BD50"/>
  <c r="BD306" i="20" s="1"/>
  <c r="BD305" s="1"/>
  <c r="BG37" i="19"/>
  <c r="BH50" s="1"/>
  <c r="BL535" i="20"/>
  <c r="CH535" s="1"/>
  <c r="BD164"/>
  <c r="BC440"/>
  <c r="J31" i="28"/>
  <c r="BE240" i="20"/>
  <c r="BD34" i="28"/>
  <c r="BI34"/>
  <c r="F278" i="20"/>
  <c r="F280"/>
  <c r="AR278"/>
  <c r="AR280"/>
  <c r="P280"/>
  <c r="P278"/>
  <c r="AH280"/>
  <c r="AH278"/>
  <c r="CL308"/>
  <c r="BP47"/>
  <c r="CL47" s="1"/>
  <c r="CJ308"/>
  <c r="BA246"/>
  <c r="BF246"/>
  <c r="BF240"/>
  <c r="AK101" i="28"/>
  <c r="BP1163" i="19"/>
  <c r="BP1186" s="1"/>
  <c r="BQ1094"/>
  <c r="BQ40" i="20" s="1"/>
  <c r="CM40" s="1"/>
  <c r="V281"/>
  <c r="U280"/>
  <c r="Z230"/>
  <c r="Z332"/>
  <c r="BI540"/>
  <c r="CH227"/>
  <c r="BE200"/>
  <c r="CJ256"/>
  <c r="BK34" i="28"/>
  <c r="CF34" s="1"/>
  <c r="S428" i="20"/>
  <c r="AV39" i="28"/>
  <c r="BM537" i="20"/>
  <c r="CI537" s="1"/>
  <c r="BH246"/>
  <c r="BH240"/>
  <c r="BP25"/>
  <c r="AU332"/>
  <c r="AT31" i="28" s="1"/>
  <c r="AU230" i="20"/>
  <c r="AX240"/>
  <c r="AW34" i="28"/>
  <c r="AW32" s="1"/>
  <c r="AV136" i="20"/>
  <c r="AW114"/>
  <c r="AW74"/>
  <c r="AV142"/>
  <c r="AV98"/>
  <c r="BE105" i="28"/>
  <c r="BE73"/>
  <c r="H164" i="20"/>
  <c r="H165" s="1"/>
  <c r="AL169"/>
  <c r="AL191" s="1"/>
  <c r="BN69" i="28"/>
  <c r="CI69" s="1"/>
  <c r="J327" i="20"/>
  <c r="J404" s="1"/>
  <c r="J453" s="1"/>
  <c r="AZ280"/>
  <c r="CH425"/>
  <c r="K178"/>
  <c r="AD335"/>
  <c r="AD284" s="1"/>
  <c r="AD378" s="1"/>
  <c r="AD414" s="1"/>
  <c r="AD467" s="1"/>
  <c r="BF425"/>
  <c r="Y163"/>
  <c r="AO169"/>
  <c r="AO191" s="1"/>
  <c r="AP38" i="28"/>
  <c r="AP37" s="1"/>
  <c r="AP100" s="1"/>
  <c r="BF182" i="20"/>
  <c r="CG190"/>
  <c r="BE281"/>
  <c r="BA205"/>
  <c r="Y281"/>
  <c r="AT281"/>
  <c r="AL281"/>
  <c r="BK532"/>
  <c r="CG532" s="1"/>
  <c r="BL524"/>
  <c r="CH524" s="1"/>
  <c r="BI525"/>
  <c r="L413"/>
  <c r="L463" s="1"/>
  <c r="Y427"/>
  <c r="Y462" s="1"/>
  <c r="AL413"/>
  <c r="AL463" s="1"/>
  <c r="AH285"/>
  <c r="AH395" s="1"/>
  <c r="AH446" s="1"/>
  <c r="AP69" i="28"/>
  <c r="T285" i="20"/>
  <c r="CG41" i="28"/>
  <c r="AH170" i="20"/>
  <c r="F170"/>
  <c r="F163" s="1"/>
  <c r="BC250"/>
  <c r="AF238"/>
  <c r="M205"/>
  <c r="AW423"/>
  <c r="AW466" s="1"/>
  <c r="BJ465"/>
  <c r="AJ323"/>
  <c r="AJ401" s="1"/>
  <c r="AJ450" s="1"/>
  <c r="V68"/>
  <c r="F205"/>
  <c r="N388"/>
  <c r="N440" s="1"/>
  <c r="AL388"/>
  <c r="AL440" s="1"/>
  <c r="K280"/>
  <c r="AJ280"/>
  <c r="P410"/>
  <c r="P461" s="1"/>
  <c r="V327"/>
  <c r="V404" s="1"/>
  <c r="V453" s="1"/>
  <c r="AE327"/>
  <c r="AE404" s="1"/>
  <c r="AE453" s="1"/>
  <c r="P327"/>
  <c r="P404" s="1"/>
  <c r="P453" s="1"/>
  <c r="H169"/>
  <c r="H191" s="1"/>
  <c r="AL163"/>
  <c r="BM101" i="28"/>
  <c r="CH101" s="1"/>
  <c r="BM256" i="20"/>
  <c r="I327"/>
  <c r="I404" s="1"/>
  <c r="I453" s="1"/>
  <c r="R327"/>
  <c r="R404" s="1"/>
  <c r="R453" s="1"/>
  <c r="AA327"/>
  <c r="AA404" s="1"/>
  <c r="AA453" s="1"/>
  <c r="CI257"/>
  <c r="BM506"/>
  <c r="CI506" s="1"/>
  <c r="L325"/>
  <c r="BK39" i="28"/>
  <c r="CF39" s="1"/>
  <c r="M58"/>
  <c r="M112" s="1"/>
  <c r="BJ837" i="19"/>
  <c r="BH532" i="20"/>
  <c r="AH281"/>
  <c r="G281"/>
  <c r="CH194"/>
  <c r="BD359"/>
  <c r="F413"/>
  <c r="F463" s="1"/>
  <c r="BG525"/>
  <c r="BE359"/>
  <c r="AH426"/>
  <c r="F423"/>
  <c r="F466" s="1"/>
  <c r="AB170"/>
  <c r="BL101" i="28"/>
  <c r="CG101" s="1"/>
  <c r="BH425" i="20"/>
  <c r="BD40" i="28"/>
  <c r="G285" i="20"/>
  <c r="G395" s="1"/>
  <c r="G446" s="1"/>
  <c r="BE238"/>
  <c r="AX350"/>
  <c r="AK285"/>
  <c r="AR238"/>
  <c r="AR204" s="1"/>
  <c r="AR208" s="1"/>
  <c r="AH269"/>
  <c r="BJ505"/>
  <c r="AN238"/>
  <c r="F388"/>
  <c r="F440" s="1"/>
  <c r="BO29"/>
  <c r="BC415"/>
  <c r="BI524"/>
  <c r="BM58" i="28"/>
  <c r="BN454" i="20"/>
  <c r="CJ454" s="1"/>
  <c r="AF164"/>
  <c r="AF165" s="1"/>
  <c r="S327"/>
  <c r="S404" s="1"/>
  <c r="S453" s="1"/>
  <c r="AM280"/>
  <c r="BD204"/>
  <c r="AM281"/>
  <c r="BC145"/>
  <c r="H281"/>
  <c r="BG537"/>
  <c r="AS281"/>
  <c r="AC281"/>
  <c r="P281"/>
  <c r="M281"/>
  <c r="BE182"/>
  <c r="AZ145"/>
  <c r="P427"/>
  <c r="P462" s="1"/>
  <c r="AH335"/>
  <c r="AH284" s="1"/>
  <c r="AH378" s="1"/>
  <c r="AH414" s="1"/>
  <c r="AH467" s="1"/>
  <c r="BD424"/>
  <c r="BH427"/>
  <c r="BD236"/>
  <c r="CG237"/>
  <c r="BL353"/>
  <c r="BD409"/>
  <c r="BD33" i="28"/>
  <c r="AI426" i="20"/>
  <c r="L426"/>
  <c r="AX75"/>
  <c r="AX143" s="1"/>
  <c r="BA621"/>
  <c r="BA580"/>
  <c r="AZ40" i="28"/>
  <c r="CI187" i="20"/>
  <c r="BN186"/>
  <c r="AV103"/>
  <c r="BJ499"/>
  <c r="BN307"/>
  <c r="CJ307" s="1"/>
  <c r="BN153"/>
  <c r="CI51"/>
  <c r="BC79" i="28"/>
  <c r="AZ204" i="20"/>
  <c r="AU359"/>
  <c r="AU351"/>
  <c r="AO426"/>
  <c r="W410"/>
  <c r="W461" s="1"/>
  <c r="AE112" i="28"/>
  <c r="CG306" i="20"/>
  <c r="BL205"/>
  <c r="CH205" s="1"/>
  <c r="BM364"/>
  <c r="AT145"/>
  <c r="AT177" s="1"/>
  <c r="BC419"/>
  <c r="BC600" s="1"/>
  <c r="BI559"/>
  <c r="BJ532"/>
  <c r="BN605"/>
  <c r="CJ605" s="1"/>
  <c r="BN579"/>
  <c r="CJ579" s="1"/>
  <c r="BN568"/>
  <c r="CJ568" s="1"/>
  <c r="BN586"/>
  <c r="CJ586" s="1"/>
  <c r="BN608"/>
  <c r="CJ608" s="1"/>
  <c r="BN464"/>
  <c r="CJ464" s="1"/>
  <c r="BN576"/>
  <c r="CJ576" s="1"/>
  <c r="AD230"/>
  <c r="AD215" s="1"/>
  <c r="L58" i="28"/>
  <c r="BN532" i="20"/>
  <c r="CJ532" s="1"/>
  <c r="AK163"/>
  <c r="CI202"/>
  <c r="BK553"/>
  <c r="CG553" s="1"/>
  <c r="AU138"/>
  <c r="BN58" i="28"/>
  <c r="AP335" i="20"/>
  <c r="AP284" s="1"/>
  <c r="AP378" s="1"/>
  <c r="AP414" s="1"/>
  <c r="AP467" s="1"/>
  <c r="H395"/>
  <c r="H446" s="1"/>
  <c r="BD419"/>
  <c r="BD587" s="1"/>
  <c r="AG112" i="28"/>
  <c r="BK526" i="20"/>
  <c r="CG526" s="1"/>
  <c r="BD465"/>
  <c r="BC45" i="28"/>
  <c r="BC105" s="1"/>
  <c r="AO424" i="20"/>
  <c r="AO415" s="1"/>
  <c r="AD351"/>
  <c r="AZ454"/>
  <c r="AY56"/>
  <c r="AZ102" s="1"/>
  <c r="BC571"/>
  <c r="CH364"/>
  <c r="AV177"/>
  <c r="AP125"/>
  <c r="AZ38" i="28"/>
  <c r="AZ37" s="1"/>
  <c r="BX89" i="19"/>
  <c r="BB45" i="28"/>
  <c r="BJ553" i="20"/>
  <c r="BN622"/>
  <c r="CJ622" s="1"/>
  <c r="BN131"/>
  <c r="BN408"/>
  <c r="CJ408" s="1"/>
  <c r="BN583"/>
  <c r="CJ583" s="1"/>
  <c r="BN417"/>
  <c r="BN418"/>
  <c r="BN607"/>
  <c r="CJ607" s="1"/>
  <c r="BN600"/>
  <c r="CJ600" s="1"/>
  <c r="BN511"/>
  <c r="CJ511" s="1"/>
  <c r="BN570"/>
  <c r="CJ570" s="1"/>
  <c r="BN431"/>
  <c r="BN624"/>
  <c r="CJ624" s="1"/>
  <c r="BN425"/>
  <c r="BK461"/>
  <c r="CG461" s="1"/>
  <c r="AY100" i="28"/>
  <c r="BH483" i="20"/>
  <c r="BI483" s="1"/>
  <c r="BJ483" s="1"/>
  <c r="BC204"/>
  <c r="V164"/>
  <c r="V165" s="1"/>
  <c r="AQ104"/>
  <c r="BB240"/>
  <c r="BL532"/>
  <c r="CH532" s="1"/>
  <c r="BP1092" i="19"/>
  <c r="BP1090"/>
  <c r="BP1091"/>
  <c r="BP1095"/>
  <c r="BN348" i="20"/>
  <c r="CJ348" s="1"/>
  <c r="BO348"/>
  <c r="BO357"/>
  <c r="BN357"/>
  <c r="BN694" i="19"/>
  <c r="CH357" i="20"/>
  <c r="BL351"/>
  <c r="BL557"/>
  <c r="CH557" s="1"/>
  <c r="BL424"/>
  <c r="BL359"/>
  <c r="BM359"/>
  <c r="BL426"/>
  <c r="BL348"/>
  <c r="CH348" s="1"/>
  <c r="BG353"/>
  <c r="BG553" s="1"/>
  <c r="W79" i="28"/>
  <c r="AU410" i="20"/>
  <c r="AU461" s="1"/>
  <c r="AS424"/>
  <c r="AS415" s="1"/>
  <c r="AD424"/>
  <c r="N351"/>
  <c r="T424"/>
  <c r="T415" s="1"/>
  <c r="BC601"/>
  <c r="AX102"/>
  <c r="BH559"/>
  <c r="BJ536"/>
  <c r="BJ537"/>
  <c r="AK169"/>
  <c r="AK191" s="1"/>
  <c r="AW161"/>
  <c r="BG544"/>
  <c r="AS29"/>
  <c r="AI410"/>
  <c r="AI461" s="1"/>
  <c r="AV359"/>
  <c r="AS410"/>
  <c r="AS461" s="1"/>
  <c r="J410"/>
  <c r="J461" s="1"/>
  <c r="AY45" i="28"/>
  <c r="AW59" i="20"/>
  <c r="BQ34"/>
  <c r="BD223"/>
  <c r="Q359"/>
  <c r="BF231"/>
  <c r="CG15"/>
  <c r="AO359"/>
  <c r="BB410"/>
  <c r="Q410"/>
  <c r="Q461" s="1"/>
  <c r="BD577"/>
  <c r="BD593"/>
  <c r="AZ419"/>
  <c r="AZ418" s="1"/>
  <c r="AY27" i="28"/>
  <c r="Y424" i="20"/>
  <c r="Y415" s="1"/>
  <c r="Z351"/>
  <c r="Z215"/>
  <c r="BB204"/>
  <c r="AN424"/>
  <c r="AN415"/>
  <c r="AO410"/>
  <c r="AO461" s="1"/>
  <c r="M426"/>
  <c r="M424"/>
  <c r="M415" s="1"/>
  <c r="BC586"/>
  <c r="BC570"/>
  <c r="BC607"/>
  <c r="BC599"/>
  <c r="CG415"/>
  <c r="BN188"/>
  <c r="AI351"/>
  <c r="AU426"/>
  <c r="N426"/>
  <c r="L410"/>
  <c r="L461" s="1"/>
  <c r="BC605"/>
  <c r="BC578"/>
  <c r="BC417"/>
  <c r="BK503"/>
  <c r="AY235"/>
  <c r="AY215"/>
  <c r="AR145"/>
  <c r="AR177" s="1"/>
  <c r="F145"/>
  <c r="F177" s="1"/>
  <c r="BJ246"/>
  <c r="BG478"/>
  <c r="AV161"/>
  <c r="BC465"/>
  <c r="CG426"/>
  <c r="AV91"/>
  <c r="AX121"/>
  <c r="AW143"/>
  <c r="AO332"/>
  <c r="AN31" i="28" s="1"/>
  <c r="AP31"/>
  <c r="AU165" i="20"/>
  <c r="BE34" i="28"/>
  <c r="BE32" s="1"/>
  <c r="G370" i="20"/>
  <c r="BD580"/>
  <c r="BD418"/>
  <c r="BD617"/>
  <c r="AY311"/>
  <c r="AY430" s="1"/>
  <c r="AD426"/>
  <c r="AD359"/>
  <c r="AK426"/>
  <c r="AK351"/>
  <c r="AA424"/>
  <c r="AA415" s="1"/>
  <c r="AA359"/>
  <c r="J426"/>
  <c r="J424"/>
  <c r="I410"/>
  <c r="I461" s="1"/>
  <c r="I426"/>
  <c r="BA420"/>
  <c r="AZ570"/>
  <c r="Q426"/>
  <c r="Q351"/>
  <c r="AB370"/>
  <c r="BD568"/>
  <c r="BD570"/>
  <c r="J351"/>
  <c r="AA410"/>
  <c r="AA461" s="1"/>
  <c r="AK359"/>
  <c r="R359"/>
  <c r="G426"/>
  <c r="AT359"/>
  <c r="AT426"/>
  <c r="J370"/>
  <c r="AE359"/>
  <c r="BG415"/>
  <c r="AW73"/>
  <c r="AW97" s="1"/>
  <c r="BA594"/>
  <c r="BA625"/>
  <c r="AI359"/>
  <c r="AU424"/>
  <c r="AU415" s="1"/>
  <c r="BD361"/>
  <c r="T426"/>
  <c r="AL351"/>
  <c r="BI503"/>
  <c r="BI500" s="1"/>
  <c r="S31" i="28"/>
  <c r="AX136" i="20"/>
  <c r="BB233"/>
  <c r="BA626"/>
  <c r="BA586"/>
  <c r="BA591"/>
  <c r="BA576"/>
  <c r="BA609"/>
  <c r="CG236"/>
  <c r="BA597"/>
  <c r="R332"/>
  <c r="BM529"/>
  <c r="CI529" s="1"/>
  <c r="BN207"/>
  <c r="AW105"/>
  <c r="N58" i="28"/>
  <c r="AY80" i="20"/>
  <c r="AY161" s="1"/>
  <c r="G235"/>
  <c r="AO383"/>
  <c r="AR230"/>
  <c r="AB69"/>
  <c r="AE424"/>
  <c r="AE415" s="1"/>
  <c r="AE410"/>
  <c r="AE461" s="1"/>
  <c r="AX124"/>
  <c r="AY102"/>
  <c r="BB461"/>
  <c r="AR29"/>
  <c r="L359"/>
  <c r="AT410"/>
  <c r="AT461" s="1"/>
  <c r="BC594"/>
  <c r="BC597"/>
  <c r="BC565"/>
  <c r="BC596"/>
  <c r="CI364"/>
  <c r="BC623"/>
  <c r="BC595"/>
  <c r="BC625"/>
  <c r="BC408"/>
  <c r="BC627"/>
  <c r="BC626"/>
  <c r="CE36" i="28"/>
  <c r="BY89" i="19"/>
  <c r="AQ395" i="20"/>
  <c r="AQ446" s="1"/>
  <c r="L351"/>
  <c r="AE351"/>
  <c r="AE426"/>
  <c r="AW113"/>
  <c r="AC56"/>
  <c r="Q56"/>
  <c r="T235"/>
  <c r="AY266"/>
  <c r="AY114"/>
  <c r="Y145"/>
  <c r="Y177" s="1"/>
  <c r="BH36" i="28"/>
  <c r="BH35" s="1"/>
  <c r="BJ525" i="20"/>
  <c r="BA240"/>
  <c r="BA589" s="1"/>
  <c r="BJ549"/>
  <c r="BJ530"/>
  <c r="BP50"/>
  <c r="BN410"/>
  <c r="J331"/>
  <c r="AW141"/>
  <c r="AW67"/>
  <c r="AV141"/>
  <c r="AR164"/>
  <c r="AR165" s="1"/>
  <c r="BP49"/>
  <c r="CH152"/>
  <c r="V332"/>
  <c r="BM250"/>
  <c r="CI250" s="1"/>
  <c r="BP8" i="23"/>
  <c r="BJ250" i="20"/>
  <c r="BP30"/>
  <c r="BN837" i="19"/>
  <c r="AW117" i="20"/>
  <c r="AP169"/>
  <c r="AP191" s="1"/>
  <c r="M101" i="28"/>
  <c r="CI413" i="20"/>
  <c r="CG194"/>
  <c r="Y32" i="28"/>
  <c r="AK70" i="20"/>
  <c r="P70"/>
  <c r="H70"/>
  <c r="J68"/>
  <c r="F68"/>
  <c r="AN57"/>
  <c r="BN495"/>
  <c r="CJ495" s="1"/>
  <c r="BC567"/>
  <c r="BC608"/>
  <c r="BC576"/>
  <c r="BC624"/>
  <c r="BC575"/>
  <c r="BC621"/>
  <c r="BB25" i="28"/>
  <c r="BC616" i="20"/>
  <c r="BC598"/>
  <c r="BC580"/>
  <c r="BN459"/>
  <c r="CJ459" s="1"/>
  <c r="AI99" i="28"/>
  <c r="AJ67"/>
  <c r="T67"/>
  <c r="S67"/>
  <c r="S99"/>
  <c r="AJ112"/>
  <c r="BB99"/>
  <c r="S163" i="20"/>
  <c r="S169"/>
  <c r="S191" s="1"/>
  <c r="S164"/>
  <c r="S165" s="1"/>
  <c r="AG67" i="28"/>
  <c r="AF99"/>
  <c r="AF67"/>
  <c r="P99"/>
  <c r="P67"/>
  <c r="AC370" i="20"/>
  <c r="L370"/>
  <c r="G371"/>
  <c r="BD615"/>
  <c r="BD576"/>
  <c r="BD431"/>
  <c r="BD417"/>
  <c r="BE332"/>
  <c r="AQ29"/>
  <c r="AY124"/>
  <c r="BB266"/>
  <c r="BB267" s="1"/>
  <c r="CI426"/>
  <c r="AC67" i="28"/>
  <c r="AD67"/>
  <c r="AC99"/>
  <c r="CJ410" i="20"/>
  <c r="V235"/>
  <c r="BA112" i="28"/>
  <c r="AM67"/>
  <c r="AL67"/>
  <c r="AL99"/>
  <c r="W370" i="20"/>
  <c r="P370"/>
  <c r="AI371"/>
  <c r="O371"/>
  <c r="AJ371"/>
  <c r="AT165"/>
  <c r="Y230"/>
  <c r="Q67" i="28"/>
  <c r="P395" i="20"/>
  <c r="P446" s="1"/>
  <c r="AV66"/>
  <c r="AN112" i="28"/>
  <c r="L230" i="20"/>
  <c r="AY68"/>
  <c r="AY92" s="1"/>
  <c r="AY4" i="23" s="1"/>
  <c r="AY43" s="1"/>
  <c r="BA410" i="20"/>
  <c r="BJ535"/>
  <c r="BJ531"/>
  <c r="BJ557"/>
  <c r="BJ554"/>
  <c r="BQ27"/>
  <c r="BJ524"/>
  <c r="BJ559"/>
  <c r="AV97"/>
  <c r="BN525"/>
  <c r="CJ525" s="1"/>
  <c r="AW316"/>
  <c r="BB79" i="28"/>
  <c r="BA570" i="20"/>
  <c r="BA575"/>
  <c r="CI425"/>
  <c r="AG332"/>
  <c r="AF31" i="28" s="1"/>
  <c r="BI38"/>
  <c r="AT215" i="20"/>
  <c r="X37" i="28"/>
  <c r="BE353" i="20"/>
  <c r="O58" i="28"/>
  <c r="BN150" i="20"/>
  <c r="BN196"/>
  <c r="AV139"/>
  <c r="AA68"/>
  <c r="AP370"/>
  <c r="AL370"/>
  <c r="AK370"/>
  <c r="AT370"/>
  <c r="K370"/>
  <c r="K381"/>
  <c r="AD370"/>
  <c r="I370"/>
  <c r="AE370"/>
  <c r="F370"/>
  <c r="G381" s="1"/>
  <c r="X370"/>
  <c r="R370"/>
  <c r="AU370"/>
  <c r="M370"/>
  <c r="AA370"/>
  <c r="AB381" s="1"/>
  <c r="AN370"/>
  <c r="AW310"/>
  <c r="AW34" i="23" s="1"/>
  <c r="H370" i="20"/>
  <c r="H405" s="1"/>
  <c r="H454" s="1"/>
  <c r="AO370"/>
  <c r="AI370"/>
  <c r="V370"/>
  <c r="AG370"/>
  <c r="AG405" s="1"/>
  <c r="AG454" s="1"/>
  <c r="AM370"/>
  <c r="AJ370"/>
  <c r="T370"/>
  <c r="Q370"/>
  <c r="BG231"/>
  <c r="M371"/>
  <c r="AL371"/>
  <c r="AQ371"/>
  <c r="AW311"/>
  <c r="CK249"/>
  <c r="CE35" i="28"/>
  <c r="AZ114" i="20"/>
  <c r="BD589"/>
  <c r="BD600"/>
  <c r="BD622"/>
  <c r="BC25" i="28"/>
  <c r="BD595" i="20"/>
  <c r="BD565"/>
  <c r="BD621"/>
  <c r="AP29"/>
  <c r="AN426"/>
  <c r="AY310"/>
  <c r="H410"/>
  <c r="H461" s="1"/>
  <c r="H359"/>
  <c r="AG410"/>
  <c r="AG461" s="1"/>
  <c r="AG426"/>
  <c r="AH359"/>
  <c r="U426"/>
  <c r="U359"/>
  <c r="V359"/>
  <c r="U410"/>
  <c r="U461" s="1"/>
  <c r="AQ424"/>
  <c r="AQ415" s="1"/>
  <c r="G410"/>
  <c r="G461" s="1"/>
  <c r="L31" i="28"/>
  <c r="BP166" i="20"/>
  <c r="BQ13"/>
  <c r="AM410"/>
  <c r="AM461" s="1"/>
  <c r="BD574"/>
  <c r="BD594"/>
  <c r="BD606"/>
  <c r="BD567"/>
  <c r="BD575"/>
  <c r="BD586"/>
  <c r="BD608"/>
  <c r="BD597"/>
  <c r="BD596"/>
  <c r="BK500"/>
  <c r="CG500" s="1"/>
  <c r="CG503"/>
  <c r="BA306"/>
  <c r="BA305" s="1"/>
  <c r="CG246"/>
  <c r="CJ417"/>
  <c r="CJ418"/>
  <c r="CJ431"/>
  <c r="CK45"/>
  <c r="BP45"/>
  <c r="CM26"/>
  <c r="BR26"/>
  <c r="AU29"/>
  <c r="AB410"/>
  <c r="AB461" s="1"/>
  <c r="AB359"/>
  <c r="O359"/>
  <c r="O351"/>
  <c r="X426"/>
  <c r="X351"/>
  <c r="AL426"/>
  <c r="AL359"/>
  <c r="AL424"/>
  <c r="M351"/>
  <c r="N359"/>
  <c r="M410"/>
  <c r="M461" s="1"/>
  <c r="M359"/>
  <c r="W351"/>
  <c r="W426"/>
  <c r="CL50"/>
  <c r="W145"/>
  <c r="W177" s="1"/>
  <c r="S145"/>
  <c r="S177" s="1"/>
  <c r="AS145"/>
  <c r="AS177" s="1"/>
  <c r="AI145"/>
  <c r="AI177" s="1"/>
  <c r="I145"/>
  <c r="I177" s="1"/>
  <c r="H145"/>
  <c r="H177" s="1"/>
  <c r="AA145"/>
  <c r="AA177" s="1"/>
  <c r="M145"/>
  <c r="M177" s="1"/>
  <c r="AF145"/>
  <c r="AF177" s="1"/>
  <c r="AC145"/>
  <c r="AC177" s="1"/>
  <c r="AU145"/>
  <c r="AU177" s="1"/>
  <c r="U145"/>
  <c r="U177" s="1"/>
  <c r="K145"/>
  <c r="K177" s="1"/>
  <c r="P145"/>
  <c r="P177" s="1"/>
  <c r="AM145"/>
  <c r="AM177" s="1"/>
  <c r="AO145"/>
  <c r="AO177" s="1"/>
  <c r="AJ145"/>
  <c r="AJ177" s="1"/>
  <c r="AL145"/>
  <c r="AL177" s="1"/>
  <c r="AQ145"/>
  <c r="AQ177" s="1"/>
  <c r="N145"/>
  <c r="N177" s="1"/>
  <c r="G145"/>
  <c r="G177" s="1"/>
  <c r="V145"/>
  <c r="V177" s="1"/>
  <c r="Z145"/>
  <c r="Z177" s="1"/>
  <c r="L145"/>
  <c r="L177" s="1"/>
  <c r="T145"/>
  <c r="T177" s="1"/>
  <c r="AN145"/>
  <c r="AN177" s="1"/>
  <c r="AP145"/>
  <c r="AP177" s="1"/>
  <c r="X145"/>
  <c r="X177" s="1"/>
  <c r="AE145"/>
  <c r="AE177" s="1"/>
  <c r="AH145"/>
  <c r="AH177" s="1"/>
  <c r="AB145"/>
  <c r="AB177" s="1"/>
  <c r="AG145"/>
  <c r="AG177" s="1"/>
  <c r="R145"/>
  <c r="R177" s="1"/>
  <c r="J145"/>
  <c r="J177" s="1"/>
  <c r="Q145"/>
  <c r="Q177" s="1"/>
  <c r="AW98" i="28"/>
  <c r="BA616" i="20"/>
  <c r="BL366"/>
  <c r="CG366"/>
  <c r="K359"/>
  <c r="K351"/>
  <c r="AD410"/>
  <c r="AD461" s="1"/>
  <c r="AZ298"/>
  <c r="AZ475" s="1"/>
  <c r="Y426"/>
  <c r="AT351"/>
  <c r="AZ56"/>
  <c r="BE32" i="23"/>
  <c r="CJ236" i="20"/>
  <c r="BN585"/>
  <c r="CJ585" s="1"/>
  <c r="BC51" i="19"/>
  <c r="BC306" i="20"/>
  <c r="BC305" s="1"/>
  <c r="BC327" s="1"/>
  <c r="BN129"/>
  <c r="CJ129" s="1"/>
  <c r="BN85"/>
  <c r="CJ85" s="1"/>
  <c r="BF200"/>
  <c r="BL539"/>
  <c r="CH539" s="1"/>
  <c r="I351"/>
  <c r="W359"/>
  <c r="BO50" i="19"/>
  <c r="L37" i="28"/>
  <c r="K215" i="20"/>
  <c r="BM43"/>
  <c r="CI43" s="1"/>
  <c r="AU137"/>
  <c r="BJ523"/>
  <c r="BM40" i="28"/>
  <c r="CH40" s="1"/>
  <c r="BQ49" i="20"/>
  <c r="BO837" i="19"/>
  <c r="BP10" i="23"/>
  <c r="BE177" i="20"/>
  <c r="AR335"/>
  <c r="AR284" s="1"/>
  <c r="AR378" s="1"/>
  <c r="AR414" s="1"/>
  <c r="AR467" s="1"/>
  <c r="H230"/>
  <c r="BQ37"/>
  <c r="S37" i="28"/>
  <c r="S100" s="1"/>
  <c r="AN383" i="20"/>
  <c r="Z164"/>
  <c r="AD164"/>
  <c r="AS137"/>
  <c r="BN159"/>
  <c r="BN149"/>
  <c r="AW71"/>
  <c r="BN193"/>
  <c r="AS395"/>
  <c r="AS446" s="1"/>
  <c r="W70"/>
  <c r="F70"/>
  <c r="AG69"/>
  <c r="AC69"/>
  <c r="BN269"/>
  <c r="BN280"/>
  <c r="E37" i="28"/>
  <c r="BD351" i="20"/>
  <c r="BD426"/>
  <c r="AY25" i="28"/>
  <c r="AZ607" i="20"/>
  <c r="AZ578"/>
  <c r="AZ567"/>
  <c r="AZ408"/>
  <c r="AZ625"/>
  <c r="AZ627"/>
  <c r="AZ464"/>
  <c r="AZ582"/>
  <c r="AZ606"/>
  <c r="AZ622"/>
  <c r="AZ579"/>
  <c r="AZ617"/>
  <c r="AZ589"/>
  <c r="AZ574"/>
  <c r="AZ597"/>
  <c r="AZ591"/>
  <c r="AZ581"/>
  <c r="AZ575"/>
  <c r="AZ593"/>
  <c r="AZ565"/>
  <c r="AZ595"/>
  <c r="AZ417"/>
  <c r="AZ431"/>
  <c r="AZ609"/>
  <c r="AZ599"/>
  <c r="AZ623"/>
  <c r="AZ576"/>
  <c r="AZ573"/>
  <c r="AZ568"/>
  <c r="AZ596"/>
  <c r="AZ566"/>
  <c r="AZ605"/>
  <c r="AZ621"/>
  <c r="AZ587"/>
  <c r="AZ571"/>
  <c r="AZ601"/>
  <c r="AZ577"/>
  <c r="AZ580"/>
  <c r="Z370"/>
  <c r="AA405" s="1"/>
  <c r="AA454" s="1"/>
  <c r="Y370"/>
  <c r="AQ370"/>
  <c r="AQ405" s="1"/>
  <c r="AQ454" s="1"/>
  <c r="AR370"/>
  <c r="O370"/>
  <c r="P381" s="1"/>
  <c r="U370"/>
  <c r="V381" s="1"/>
  <c r="AH370"/>
  <c r="AI405" s="1"/>
  <c r="AI454" s="1"/>
  <c r="S370"/>
  <c r="S405" s="1"/>
  <c r="S454" s="1"/>
  <c r="AS370"/>
  <c r="N370"/>
  <c r="AA371"/>
  <c r="X371"/>
  <c r="AK371"/>
  <c r="AK311" s="1"/>
  <c r="AK430" s="1"/>
  <c r="AC371"/>
  <c r="AH371"/>
  <c r="L371"/>
  <c r="AF405"/>
  <c r="AF454" s="1"/>
  <c r="AW309"/>
  <c r="AX32" i="23"/>
  <c r="AX316" i="20"/>
  <c r="AX390"/>
  <c r="AX442" s="1"/>
  <c r="AQ352"/>
  <c r="AX230"/>
  <c r="AX332"/>
  <c r="CJ190"/>
  <c r="BB306"/>
  <c r="BB305" s="1"/>
  <c r="BB51" i="19"/>
  <c r="AG353" i="20"/>
  <c r="AG423"/>
  <c r="AG466" s="1"/>
  <c r="AZ410"/>
  <c r="CJ151"/>
  <c r="AI101" i="28"/>
  <c r="AJ69"/>
  <c r="I424" i="20"/>
  <c r="I415" s="1"/>
  <c r="AG424"/>
  <c r="AZ336"/>
  <c r="R351"/>
  <c r="R410"/>
  <c r="R461" s="1"/>
  <c r="X410"/>
  <c r="X461" s="1"/>
  <c r="AO331"/>
  <c r="CJ50"/>
  <c r="AA34" i="28"/>
  <c r="AA32" s="1"/>
  <c r="AA67"/>
  <c r="AA99"/>
  <c r="AB67"/>
  <c r="AJ351" i="20"/>
  <c r="H424"/>
  <c r="H415" s="1"/>
  <c r="AZ361"/>
  <c r="Y351"/>
  <c r="Q101" i="28"/>
  <c r="CJ147" i="20"/>
  <c r="BA568"/>
  <c r="BA417"/>
  <c r="K99" i="28"/>
  <c r="K67"/>
  <c r="AX311" i="20"/>
  <c r="AN351"/>
  <c r="AZ296"/>
  <c r="AB426"/>
  <c r="X424"/>
  <c r="X415" s="1"/>
  <c r="BJ542"/>
  <c r="Z235"/>
  <c r="AK332"/>
  <c r="AJ31" i="28" s="1"/>
  <c r="AW177" i="20"/>
  <c r="BM270"/>
  <c r="AX138"/>
  <c r="AW136"/>
  <c r="AO69" i="28"/>
  <c r="BI462" i="20"/>
  <c r="Q204"/>
  <c r="Q208" s="1"/>
  <c r="AB240"/>
  <c r="G428"/>
  <c r="K383"/>
  <c r="AY255"/>
  <c r="BC208"/>
  <c r="CI348"/>
  <c r="AT104"/>
  <c r="AW115"/>
  <c r="AJ37" i="28"/>
  <c r="AJ100" s="1"/>
  <c r="AA323" i="20"/>
  <c r="AA401" s="1"/>
  <c r="AA450" s="1"/>
  <c r="AK57"/>
  <c r="AG57"/>
  <c r="U57"/>
  <c r="H428"/>
  <c r="AQ383"/>
  <c r="BP1113" i="19"/>
  <c r="P37" i="28"/>
  <c r="F37"/>
  <c r="F100" s="1"/>
  <c r="AF37"/>
  <c r="T428" i="20"/>
  <c r="Z163"/>
  <c r="BN229"/>
  <c r="BB37" i="28"/>
  <c r="AT34"/>
  <c r="AT32" s="1"/>
  <c r="AT98" s="1"/>
  <c r="AU331" i="20"/>
  <c r="AU473" s="1"/>
  <c r="BD99" i="28"/>
  <c r="BD67"/>
  <c r="BE67"/>
  <c r="BC177" i="20"/>
  <c r="G37" i="28"/>
  <c r="BC615" i="20"/>
  <c r="R325"/>
  <c r="R304"/>
  <c r="R389" s="1"/>
  <c r="R441" s="1"/>
  <c r="Q178"/>
  <c r="AM34" i="28"/>
  <c r="AN67"/>
  <c r="AN99"/>
  <c r="AO67"/>
  <c r="U67"/>
  <c r="V67"/>
  <c r="U99"/>
  <c r="E67"/>
  <c r="F67"/>
  <c r="E99"/>
  <c r="AJ352" i="20"/>
  <c r="AJ358"/>
  <c r="Q304"/>
  <c r="Q389" s="1"/>
  <c r="Q441" s="1"/>
  <c r="P178"/>
  <c r="Q325"/>
  <c r="O165"/>
  <c r="Y37" i="28"/>
  <c r="AL466" i="20"/>
  <c r="AL415"/>
  <c r="J395"/>
  <c r="J446" s="1"/>
  <c r="K395"/>
  <c r="K446" s="1"/>
  <c r="X34" i="28"/>
  <c r="X32" s="1"/>
  <c r="Y240" i="20"/>
  <c r="Y331"/>
  <c r="Z37" i="28"/>
  <c r="Y67"/>
  <c r="X99"/>
  <c r="X67"/>
  <c r="BL367" i="20"/>
  <c r="CG367"/>
  <c r="CL13"/>
  <c r="CM49"/>
  <c r="CM34"/>
  <c r="CJ187"/>
  <c r="BN62"/>
  <c r="CJ40"/>
  <c r="CK49"/>
  <c r="CL37"/>
  <c r="CK46"/>
  <c r="CK308"/>
  <c r="CJ182"/>
  <c r="CJ159"/>
  <c r="CJ207"/>
  <c r="CK25"/>
  <c r="BN195"/>
  <c r="CJ363"/>
  <c r="CK26"/>
  <c r="CK218"/>
  <c r="BO466"/>
  <c r="CK466" s="1"/>
  <c r="CK423"/>
  <c r="CK421"/>
  <c r="CK354"/>
  <c r="CJ355"/>
  <c r="CJ302"/>
  <c r="CJ258"/>
  <c r="CJ245"/>
  <c r="CJ46"/>
  <c r="CP373"/>
  <c r="BR111"/>
  <c r="CN111" s="1"/>
  <c r="CN22"/>
  <c r="BP271"/>
  <c r="CK271"/>
  <c r="CZ89"/>
  <c r="CZ22"/>
  <c r="CX22"/>
  <c r="CV89"/>
  <c r="CV22"/>
  <c r="BX89"/>
  <c r="CT89" s="1"/>
  <c r="CT22"/>
  <c r="W405"/>
  <c r="W454" s="1"/>
  <c r="AN381"/>
  <c r="AC381"/>
  <c r="AO381"/>
  <c r="AD381"/>
  <c r="AG381"/>
  <c r="G405"/>
  <c r="G454" s="1"/>
  <c r="R381"/>
  <c r="AL381"/>
  <c r="J415"/>
  <c r="AK395"/>
  <c r="AK446" s="1"/>
  <c r="N37" i="28"/>
  <c r="V37"/>
  <c r="V68" s="1"/>
  <c r="AL37"/>
  <c r="U335" i="20"/>
  <c r="U284" s="1"/>
  <c r="U378" s="1"/>
  <c r="U414" s="1"/>
  <c r="U467" s="1"/>
  <c r="BI218"/>
  <c r="AH37" i="28"/>
  <c r="AH100" s="1"/>
  <c r="W69"/>
  <c r="BC225" i="20"/>
  <c r="W79"/>
  <c r="W176" s="1"/>
  <c r="CJ425"/>
  <c r="CJ183"/>
  <c r="CJ561"/>
  <c r="CJ189"/>
  <c r="CM363"/>
  <c r="CM37"/>
  <c r="CK29"/>
  <c r="CL31"/>
  <c r="CJ292"/>
  <c r="BN440"/>
  <c r="CJ440" s="1"/>
  <c r="CJ388"/>
  <c r="BN466"/>
  <c r="CJ466" s="1"/>
  <c r="CJ423"/>
  <c r="CJ150"/>
  <c r="BO107"/>
  <c r="CK107" s="1"/>
  <c r="CJ61"/>
  <c r="CK27"/>
  <c r="BP282"/>
  <c r="CL282" s="1"/>
  <c r="CK282"/>
  <c r="BO229"/>
  <c r="CK229" s="1"/>
  <c r="CK225"/>
  <c r="CJ311"/>
  <c r="CK35"/>
  <c r="CK277"/>
  <c r="CK355"/>
  <c r="BN465"/>
  <c r="CJ465" s="1"/>
  <c r="CJ421"/>
  <c r="CJ354"/>
  <c r="BN505"/>
  <c r="CJ505" s="1"/>
  <c r="CJ259"/>
  <c r="CJ252"/>
  <c r="BN496"/>
  <c r="CJ496" s="1"/>
  <c r="CJ237"/>
  <c r="CL421"/>
  <c r="CJ30"/>
  <c r="CJ34"/>
  <c r="BO200"/>
  <c r="CK200" s="1"/>
  <c r="CK237"/>
  <c r="CQ35"/>
  <c r="BV89"/>
  <c r="CR89" s="1"/>
  <c r="CR22"/>
  <c r="BN4" i="28"/>
  <c r="CK302" i="20"/>
  <c r="BP279"/>
  <c r="CK279"/>
  <c r="BT133"/>
  <c r="CP133" s="1"/>
  <c r="CO22"/>
  <c r="BO133"/>
  <c r="CK133" s="1"/>
  <c r="CJ22"/>
  <c r="BO111"/>
  <c r="CK111" s="1"/>
  <c r="CK22"/>
  <c r="CJ372"/>
  <c r="BN110"/>
  <c r="CJ110" s="1"/>
  <c r="CJ21"/>
  <c r="Y381"/>
  <c r="AY165"/>
  <c r="BJ551"/>
  <c r="R204"/>
  <c r="R208" s="1"/>
  <c r="AD37" i="28"/>
  <c r="AK37"/>
  <c r="AK428" i="20"/>
  <c r="M428"/>
  <c r="AG383"/>
  <c r="AI383"/>
  <c r="AL395"/>
  <c r="AL446" s="1"/>
  <c r="W37" i="28"/>
  <c r="W100" s="1"/>
  <c r="O79" i="20"/>
  <c r="O176" s="1"/>
  <c r="I79"/>
  <c r="I176" s="1"/>
  <c r="I178" s="1"/>
  <c r="AG68"/>
  <c r="BF293" i="19"/>
  <c r="BF265"/>
  <c r="BF295"/>
  <c r="BN62" i="28"/>
  <c r="CI62"/>
  <c r="AC405" i="20"/>
  <c r="AC454" s="1"/>
  <c r="AF381"/>
  <c r="AN405"/>
  <c r="AN454" s="1"/>
  <c r="K405"/>
  <c r="K454" s="1"/>
  <c r="M61" i="23"/>
  <c r="AH381" i="20"/>
  <c r="AD405"/>
  <c r="AD454" s="1"/>
  <c r="M311"/>
  <c r="BO2" i="28"/>
  <c r="R405" i="20"/>
  <c r="R454" s="1"/>
  <c r="V405"/>
  <c r="V454" s="1"/>
  <c r="Y405"/>
  <c r="Y454" s="1"/>
  <c r="H381"/>
  <c r="AL405"/>
  <c r="AL454" s="1"/>
  <c r="AM371"/>
  <c r="F371"/>
  <c r="G311" s="1"/>
  <c r="G430" s="1"/>
  <c r="N371"/>
  <c r="O311" s="1"/>
  <c r="O430" s="1"/>
  <c r="P371"/>
  <c r="P311" s="1"/>
  <c r="P430" s="1"/>
  <c r="T371"/>
  <c r="J371"/>
  <c r="AT371"/>
  <c r="Z371"/>
  <c r="AA311" s="1"/>
  <c r="AA430" s="1"/>
  <c r="I371"/>
  <c r="AE371"/>
  <c r="AX405"/>
  <c r="AX454" s="1"/>
  <c r="AX310"/>
  <c r="BM42"/>
  <c r="CI42" s="1"/>
  <c r="BO306"/>
  <c r="CK306" s="1"/>
  <c r="AP405"/>
  <c r="AP454" s="1"/>
  <c r="S381"/>
  <c r="AH405"/>
  <c r="AH454" s="1"/>
  <c r="BN44" i="28"/>
  <c r="W381" i="20"/>
  <c r="Q371"/>
  <c r="AD371"/>
  <c r="AD311" s="1"/>
  <c r="Y371"/>
  <c r="Y311" s="1"/>
  <c r="Y430" s="1"/>
  <c r="K371"/>
  <c r="AR371"/>
  <c r="AR311" s="1"/>
  <c r="AR430" s="1"/>
  <c r="R371"/>
  <c r="S371"/>
  <c r="H371"/>
  <c r="H311" s="1"/>
  <c r="H430" s="1"/>
  <c r="U371"/>
  <c r="Q112" i="28"/>
  <c r="V351" i="20"/>
  <c r="R69" i="28"/>
  <c r="AC351" i="20"/>
  <c r="AQ426"/>
  <c r="AQ410"/>
  <c r="AQ461" s="1"/>
  <c r="AM351"/>
  <c r="BQ804" i="19"/>
  <c r="AW58" i="20"/>
  <c r="AV126"/>
  <c r="BJ540"/>
  <c r="BB268" i="19"/>
  <c r="BB267"/>
  <c r="BA268"/>
  <c r="BA267"/>
  <c r="BA220" i="20"/>
  <c r="BL559"/>
  <c r="CH559" s="1"/>
  <c r="CH359"/>
  <c r="BJ528"/>
  <c r="BJ204"/>
  <c r="AD235"/>
  <c r="BJ218" i="19"/>
  <c r="BN52" i="20"/>
  <c r="CJ52" s="1"/>
  <c r="BO104" i="19"/>
  <c r="BP104"/>
  <c r="BQ104" s="1"/>
  <c r="BR104" s="1"/>
  <c r="BS104" s="1"/>
  <c r="BT104" s="1"/>
  <c r="BU104" s="1"/>
  <c r="BV104" s="1"/>
  <c r="BW104" s="1"/>
  <c r="BX104" s="1"/>
  <c r="BY104" s="1"/>
  <c r="BZ104" s="1"/>
  <c r="CA104" s="1"/>
  <c r="CB104" s="1"/>
  <c r="CC104" s="1"/>
  <c r="CD104" s="1"/>
  <c r="BJ86"/>
  <c r="BI36" i="20"/>
  <c r="AC332"/>
  <c r="P230"/>
  <c r="P332"/>
  <c r="AG215"/>
  <c r="BK53"/>
  <c r="BL105" i="19"/>
  <c r="AF101" i="28"/>
  <c r="AF69"/>
  <c r="AG69"/>
  <c r="AF58"/>
  <c r="AG79" s="1"/>
  <c r="CI280" i="20"/>
  <c r="BN388" i="19"/>
  <c r="BN269"/>
  <c r="BM225" i="20"/>
  <c r="CI227"/>
  <c r="BS353" i="19"/>
  <c r="BR364"/>
  <c r="BR392" s="1"/>
  <c r="BH220" i="20"/>
  <c r="BH217" s="1"/>
  <c r="BH268" i="19"/>
  <c r="BF205" i="20"/>
  <c r="BE220"/>
  <c r="AY99" i="28"/>
  <c r="CA986" i="19"/>
  <c r="S466" i="20"/>
  <c r="AT112" i="28"/>
  <c r="BG217" i="20"/>
  <c r="BI223"/>
  <c r="BA227" i="19"/>
  <c r="AX115" i="20"/>
  <c r="AX69"/>
  <c r="AW93"/>
  <c r="AW137"/>
  <c r="AR31" i="28"/>
  <c r="AS331" i="20"/>
  <c r="H235"/>
  <c r="R331"/>
  <c r="Q31" i="28"/>
  <c r="BW1138" i="19"/>
  <c r="BX1132"/>
  <c r="S335" i="20"/>
  <c r="S284" s="1"/>
  <c r="S378" s="1"/>
  <c r="S414" s="1"/>
  <c r="S467" s="1"/>
  <c r="AT69" i="28"/>
  <c r="AS101"/>
  <c r="AS58"/>
  <c r="BA204" i="20"/>
  <c r="BL268" i="19"/>
  <c r="BL267"/>
  <c r="BL220" i="20"/>
  <c r="BY836" i="19"/>
  <c r="BZ120"/>
  <c r="BK217" i="20"/>
  <c r="BP276" i="19"/>
  <c r="BP239" i="20"/>
  <c r="CL239" s="1"/>
  <c r="BO223"/>
  <c r="CK223" s="1"/>
  <c r="BH700" i="19"/>
  <c r="BH701"/>
  <c r="H215" i="20"/>
  <c r="BB332"/>
  <c r="AB112" i="28"/>
  <c r="AB79"/>
  <c r="BC220" i="20"/>
  <c r="CI170"/>
  <c r="BM163"/>
  <c r="CI163" s="1"/>
  <c r="AX223"/>
  <c r="AY208"/>
  <c r="CI61"/>
  <c r="AY121"/>
  <c r="AY75"/>
  <c r="AX99"/>
  <c r="BE219" i="19"/>
  <c r="AP327" i="20"/>
  <c r="AP404" s="1"/>
  <c r="AP453" s="1"/>
  <c r="AQ327"/>
  <c r="AQ404" s="1"/>
  <c r="AQ453" s="1"/>
  <c r="AO38" i="28"/>
  <c r="AO37" s="1"/>
  <c r="AP204" i="20"/>
  <c r="AP208" s="1"/>
  <c r="N395"/>
  <c r="N446" s="1"/>
  <c r="AF204"/>
  <c r="AF208" s="1"/>
  <c r="AF335"/>
  <c r="AF284" s="1"/>
  <c r="AF378" s="1"/>
  <c r="AF414" s="1"/>
  <c r="AF467" s="1"/>
  <c r="BJ37" i="28"/>
  <c r="CE38"/>
  <c r="BU553" i="19"/>
  <c r="BV553"/>
  <c r="BW553" s="1"/>
  <c r="BX553" s="1"/>
  <c r="BY553" s="1"/>
  <c r="BZ553" s="1"/>
  <c r="CA553" s="1"/>
  <c r="CB553" s="1"/>
  <c r="CC553" s="1"/>
  <c r="CD553" s="1"/>
  <c r="BT545"/>
  <c r="BU545"/>
  <c r="BV545" s="1"/>
  <c r="BW545" s="1"/>
  <c r="BX545" s="1"/>
  <c r="BY545" s="1"/>
  <c r="BZ545" s="1"/>
  <c r="CA545" s="1"/>
  <c r="CB545" s="1"/>
  <c r="CC545" s="1"/>
  <c r="CD545" s="1"/>
  <c r="AS34" i="28"/>
  <c r="N100"/>
  <c r="N68"/>
  <c r="BG79"/>
  <c r="Y304" i="20"/>
  <c r="Y389" s="1"/>
  <c r="Y441" s="1"/>
  <c r="Y325"/>
  <c r="X178"/>
  <c r="AW378"/>
  <c r="AX378"/>
  <c r="CM268" i="19"/>
  <c r="CM267" s="1"/>
  <c r="CK348" i="20"/>
  <c r="AP466"/>
  <c r="Z395"/>
  <c r="Z446" s="1"/>
  <c r="Y395"/>
  <c r="Y446" s="1"/>
  <c r="CH170"/>
  <c r="BL164"/>
  <c r="CH164" s="1"/>
  <c r="BR34"/>
  <c r="CN34" s="1"/>
  <c r="CG205"/>
  <c r="BX1141" i="19"/>
  <c r="BK233"/>
  <c r="BN529" i="20"/>
  <c r="CJ529" s="1"/>
  <c r="BN306"/>
  <c r="CJ306" s="1"/>
  <c r="BN51" i="19"/>
  <c r="BN130" i="20"/>
  <c r="CJ130" s="1"/>
  <c r="BN86"/>
  <c r="CJ86" s="1"/>
  <c r="BO108"/>
  <c r="CK108" s="1"/>
  <c r="BG240"/>
  <c r="BG246"/>
  <c r="BQ46"/>
  <c r="CM46" s="1"/>
  <c r="T69" i="28"/>
  <c r="T58"/>
  <c r="T101"/>
  <c r="AF395" i="20"/>
  <c r="AF446" s="1"/>
  <c r="AG395"/>
  <c r="AG446" s="1"/>
  <c r="BM395" i="19"/>
  <c r="BM398" s="1"/>
  <c r="BM392"/>
  <c r="BP540"/>
  <c r="BP272"/>
  <c r="BP267" s="1"/>
  <c r="BM218" i="20"/>
  <c r="CI219"/>
  <c r="BK240"/>
  <c r="BK248"/>
  <c r="CG248" s="1"/>
  <c r="BM700" i="19"/>
  <c r="BN700" s="1"/>
  <c r="BN699"/>
  <c r="BM701"/>
  <c r="BN701"/>
  <c r="X100" i="28"/>
  <c r="X68"/>
  <c r="V100"/>
  <c r="W68"/>
  <c r="BL103" i="20"/>
  <c r="CH103" s="1"/>
  <c r="BL81"/>
  <c r="CH81" s="1"/>
  <c r="CH14"/>
  <c r="BQ282"/>
  <c r="CM282" s="1"/>
  <c r="BL249"/>
  <c r="BL281" i="19"/>
  <c r="BL279"/>
  <c r="BG281"/>
  <c r="BG279"/>
  <c r="BY807"/>
  <c r="BZ807" s="1"/>
  <c r="CA807" s="1"/>
  <c r="CB807" s="1"/>
  <c r="CC807" s="1"/>
  <c r="CD807" s="1"/>
  <c r="AX74" i="20"/>
  <c r="AX98" s="1"/>
  <c r="AW98"/>
  <c r="AW99" i="28"/>
  <c r="BY799" i="19"/>
  <c r="BZ799"/>
  <c r="CA799" s="1"/>
  <c r="CB799" s="1"/>
  <c r="CC799" s="1"/>
  <c r="CD799" s="1"/>
  <c r="CH44" i="20"/>
  <c r="BM60" i="19"/>
  <c r="BK106"/>
  <c r="BH181" i="20"/>
  <c r="J37" i="28"/>
  <c r="AU78" i="23"/>
  <c r="AW246" i="20"/>
  <c r="AF220"/>
  <c r="AL220"/>
  <c r="AL235" s="1"/>
  <c r="AQ220"/>
  <c r="F220"/>
  <c r="Q220"/>
  <c r="AE220"/>
  <c r="S220"/>
  <c r="AK220"/>
  <c r="AI220"/>
  <c r="AP220"/>
  <c r="L220"/>
  <c r="W220"/>
  <c r="R220"/>
  <c r="AA220"/>
  <c r="U220"/>
  <c r="AS220"/>
  <c r="AH220"/>
  <c r="Y220"/>
  <c r="AN220"/>
  <c r="AR220"/>
  <c r="J220"/>
  <c r="M220"/>
  <c r="AC220"/>
  <c r="AI69"/>
  <c r="L68"/>
  <c r="BI39" i="28"/>
  <c r="BG163" i="20"/>
  <c r="BW1141" i="19"/>
  <c r="I63" i="23"/>
  <c r="AV102" i="20"/>
  <c r="AX73"/>
  <c r="BN542"/>
  <c r="CJ542" s="1"/>
  <c r="L112" i="28"/>
  <c r="AV235" i="20"/>
  <c r="AW331"/>
  <c r="BV1141" i="19"/>
  <c r="BN534" i="20"/>
  <c r="CJ534" s="1"/>
  <c r="BJ170"/>
  <c r="U325"/>
  <c r="BJ219" i="19"/>
  <c r="BR540"/>
  <c r="Y99" i="28"/>
  <c r="AT204" i="20"/>
  <c r="AT208" s="1"/>
  <c r="AU395"/>
  <c r="AU446" s="1"/>
  <c r="AC169"/>
  <c r="AC191" s="1"/>
  <c r="CI193"/>
  <c r="CG269"/>
  <c r="M204"/>
  <c r="M208" s="1"/>
  <c r="AG204"/>
  <c r="AG208" s="1"/>
  <c r="AG352" s="1"/>
  <c r="AC164"/>
  <c r="AV414"/>
  <c r="AV467" s="1"/>
  <c r="BD51" i="19"/>
  <c r="BS387"/>
  <c r="BI474" i="20"/>
  <c r="BO268" i="19"/>
  <c r="BQ1163"/>
  <c r="BQ1186" s="1"/>
  <c r="BA27" i="28"/>
  <c r="BK398" i="19"/>
  <c r="BY806"/>
  <c r="BZ806" s="1"/>
  <c r="CA806" s="1"/>
  <c r="CB806" s="1"/>
  <c r="CC806" s="1"/>
  <c r="CD806" s="1"/>
  <c r="CI186" i="20"/>
  <c r="BJ427"/>
  <c r="BJ425"/>
  <c r="I428"/>
  <c r="AH383"/>
  <c r="AG428"/>
  <c r="M278"/>
  <c r="BH461"/>
  <c r="L280"/>
  <c r="BG69" i="28"/>
  <c r="AK383" i="20"/>
  <c r="O280"/>
  <c r="BK229"/>
  <c r="AG99" i="28"/>
  <c r="BP40" i="20"/>
  <c r="BQ31"/>
  <c r="CM31" s="1"/>
  <c r="BI229" i="19"/>
  <c r="O383" i="20"/>
  <c r="BY795" i="19"/>
  <c r="BZ795" s="1"/>
  <c r="CA795" s="1"/>
  <c r="CB795" s="1"/>
  <c r="CC795" s="1"/>
  <c r="CD795" s="1"/>
  <c r="BN1090"/>
  <c r="BP28" i="20"/>
  <c r="CL28" s="1"/>
  <c r="CI438"/>
  <c r="BG348"/>
  <c r="BH348"/>
  <c r="BD312" i="19"/>
  <c r="AA78" i="23"/>
  <c r="AB78"/>
  <c r="AR41"/>
  <c r="AS41"/>
  <c r="AB238" i="20"/>
  <c r="F161"/>
  <c r="F79"/>
  <c r="F176" s="1"/>
  <c r="AZ701" i="19"/>
  <c r="AZ700"/>
  <c r="AX119" i="20"/>
  <c r="AW322"/>
  <c r="AW400" s="1"/>
  <c r="AW449" s="1"/>
  <c r="CG270"/>
  <c r="BM534"/>
  <c r="CI534" s="1"/>
  <c r="BA36" i="28"/>
  <c r="BA35" s="1"/>
  <c r="CH51" i="20"/>
  <c r="BL51" i="19"/>
  <c r="BH474" i="20"/>
  <c r="BB419"/>
  <c r="BB581" s="1"/>
  <c r="BW1074" i="19"/>
  <c r="AY331" i="20"/>
  <c r="AY473" s="1"/>
  <c r="BJ106" i="19"/>
  <c r="BF106"/>
  <c r="BY796"/>
  <c r="BZ796"/>
  <c r="CA796" s="1"/>
  <c r="CB796" s="1"/>
  <c r="CC796" s="1"/>
  <c r="CD796" s="1"/>
  <c r="AC428" i="20"/>
  <c r="AL428"/>
  <c r="I383"/>
  <c r="L383"/>
  <c r="AC383"/>
  <c r="BB454"/>
  <c r="G163"/>
  <c r="BM542"/>
  <c r="CI542" s="1"/>
  <c r="Q280"/>
  <c r="AM278"/>
  <c r="Q99" i="28"/>
  <c r="BO48" i="20"/>
  <c r="CK48" s="1"/>
  <c r="BO35" i="19"/>
  <c r="V101" i="28"/>
  <c r="AZ409" i="20"/>
  <c r="BD423"/>
  <c r="BA423"/>
  <c r="AJ79"/>
  <c r="AJ176" s="1"/>
  <c r="AJ178" s="1"/>
  <c r="BF634" i="19"/>
  <c r="BI522" i="20"/>
  <c r="BI526" s="1"/>
  <c r="BI40" i="28"/>
  <c r="BJ410" i="20"/>
  <c r="AX322"/>
  <c r="AX400" s="1"/>
  <c r="AX449" s="1"/>
  <c r="BH260"/>
  <c r="BI260" s="1"/>
  <c r="BJ260" s="1"/>
  <c r="BK260" s="1"/>
  <c r="CG260" s="1"/>
  <c r="AM215"/>
  <c r="BH270"/>
  <c r="S332"/>
  <c r="M69" i="28"/>
  <c r="BK539" i="20"/>
  <c r="CG539" s="1"/>
  <c r="AZ208"/>
  <c r="BO10" i="23"/>
  <c r="CM10" s="1"/>
  <c r="BK462" i="20"/>
  <c r="CG462" s="1"/>
  <c r="CF40" i="28"/>
  <c r="AX204" i="20"/>
  <c r="L428"/>
  <c r="AE335"/>
  <c r="AE284" s="1"/>
  <c r="AE378" s="1"/>
  <c r="AE414" s="1"/>
  <c r="AE467" s="1"/>
  <c r="BP388" i="19"/>
  <c r="BR1094"/>
  <c r="AA428" i="20"/>
  <c r="H278"/>
  <c r="BF101" i="28"/>
  <c r="BH223" i="20"/>
  <c r="R67" i="28"/>
  <c r="AA383" i="20"/>
  <c r="R37" i="28"/>
  <c r="H37"/>
  <c r="BN198" i="20"/>
  <c r="CJ198" s="1"/>
  <c r="V78" i="23"/>
  <c r="U78"/>
  <c r="CH355" i="20"/>
  <c r="AH323"/>
  <c r="AH401" s="1"/>
  <c r="AH450" s="1"/>
  <c r="AF33" i="28"/>
  <c r="AK238" i="20"/>
  <c r="AE68"/>
  <c r="AE79"/>
  <c r="AE176" s="1"/>
  <c r="AF304" s="1"/>
  <c r="AD161"/>
  <c r="AD56"/>
  <c r="AC285"/>
  <c r="BE24" i="28"/>
  <c r="BA449" i="19"/>
  <c r="T78" i="23"/>
  <c r="AM41"/>
  <c r="BI41"/>
  <c r="CG41"/>
  <c r="BG766" i="19"/>
  <c r="BH766"/>
  <c r="BI766" s="1"/>
  <c r="BJ766" s="1"/>
  <c r="BC347"/>
  <c r="BC381"/>
  <c r="AX700"/>
  <c r="BB464"/>
  <c r="BB314" s="1"/>
  <c r="BB312" s="1"/>
  <c r="BF711"/>
  <c r="BF707"/>
  <c r="BH96"/>
  <c r="BH44" i="20"/>
  <c r="BC230"/>
  <c r="AZ642" i="19"/>
  <c r="S69" i="20"/>
  <c r="AL32" i="28"/>
  <c r="BK193" i="20"/>
  <c r="A110" i="28"/>
  <c r="BE426" i="19"/>
  <c r="BH440"/>
  <c r="BJ364"/>
  <c r="BF227" i="20"/>
  <c r="Y69"/>
  <c r="AI68"/>
  <c r="S68"/>
  <c r="Y57"/>
  <c r="U56"/>
  <c r="BM731" i="19"/>
  <c r="BM750" s="1"/>
  <c r="BM752" s="1"/>
  <c r="BM206" i="20" s="1"/>
  <c r="BL673" i="19"/>
  <c r="BL699" s="1"/>
  <c r="BB698"/>
  <c r="BD505"/>
  <c r="BD525"/>
  <c r="BE523"/>
  <c r="AW312"/>
  <c r="AV281"/>
  <c r="BL711"/>
  <c r="BL707" s="1"/>
  <c r="BH711"/>
  <c r="BH707" s="1"/>
  <c r="BH91"/>
  <c r="BF639"/>
  <c r="BF642" s="1"/>
  <c r="BN103"/>
  <c r="BO665"/>
  <c r="AW182" i="20"/>
  <c r="AW327" s="1"/>
  <c r="AW404" s="1"/>
  <c r="AW453" s="1"/>
  <c r="AV256"/>
  <c r="AV264" s="1"/>
  <c r="BO637" i="19"/>
  <c r="BU19" i="20"/>
  <c r="CQ19" s="1"/>
  <c r="BH230" i="19"/>
  <c r="BH220"/>
  <c r="BF228"/>
  <c r="BO660"/>
  <c r="BO721"/>
  <c r="BO708"/>
  <c r="BO732"/>
  <c r="BO636"/>
  <c r="BO671"/>
  <c r="BO673"/>
  <c r="BO735"/>
  <c r="BO725"/>
  <c r="BO675" s="1"/>
  <c r="CI207" i="20"/>
  <c r="BM351"/>
  <c r="BN750" i="19"/>
  <c r="BN752" s="1"/>
  <c r="BN206" i="20" s="1"/>
  <c r="CG206"/>
  <c r="BK546"/>
  <c r="CG546" s="1"/>
  <c r="BM532"/>
  <c r="CI532" s="1"/>
  <c r="CI190"/>
  <c r="AU405"/>
  <c r="AU454" s="1"/>
  <c r="AV405"/>
  <c r="AV454" s="1"/>
  <c r="J405"/>
  <c r="J454" s="1"/>
  <c r="J381"/>
  <c r="X405"/>
  <c r="X454" s="1"/>
  <c r="S311"/>
  <c r="U311"/>
  <c r="U430" s="1"/>
  <c r="AW391"/>
  <c r="AW443" s="1"/>
  <c r="AB405"/>
  <c r="AB454" s="1"/>
  <c r="AA381"/>
  <c r="AJ405"/>
  <c r="AJ454" s="1"/>
  <c r="AJ381"/>
  <c r="AK405"/>
  <c r="AK454" s="1"/>
  <c r="AK381"/>
  <c r="AM405"/>
  <c r="AM454" s="1"/>
  <c r="AM381"/>
  <c r="M405"/>
  <c r="M454" s="1"/>
  <c r="M381"/>
  <c r="N405"/>
  <c r="N454" s="1"/>
  <c r="N381"/>
  <c r="AI311"/>
  <c r="AI430" s="1"/>
  <c r="AJ311"/>
  <c r="AJ430" s="1"/>
  <c r="L405"/>
  <c r="L454" s="1"/>
  <c r="L311"/>
  <c r="AZ34" i="23"/>
  <c r="AZ309" i="20"/>
  <c r="AZ391"/>
  <c r="BC27" i="28"/>
  <c r="AM424" i="20"/>
  <c r="AM415" s="1"/>
  <c r="Z424"/>
  <c r="Z415" s="1"/>
  <c r="Z410"/>
  <c r="Z461" s="1"/>
  <c r="Z359"/>
  <c r="Z426"/>
  <c r="AC359"/>
  <c r="AB424"/>
  <c r="AB415" s="1"/>
  <c r="AB351"/>
  <c r="H351"/>
  <c r="H426"/>
  <c r="I359"/>
  <c r="AM426"/>
  <c r="AN359"/>
  <c r="AJ424"/>
  <c r="AJ415" s="1"/>
  <c r="AJ359"/>
  <c r="AJ426"/>
  <c r="P351"/>
  <c r="O424"/>
  <c r="O415"/>
  <c r="P359"/>
  <c r="O410"/>
  <c r="O461" s="1"/>
  <c r="U358"/>
  <c r="U351"/>
  <c r="V426"/>
  <c r="V410"/>
  <c r="V461" s="1"/>
  <c r="V424"/>
  <c r="V415" s="1"/>
  <c r="R426"/>
  <c r="Y359"/>
  <c r="Y410"/>
  <c r="Y461" s="1"/>
  <c r="BO246"/>
  <c r="CK246" s="1"/>
  <c r="BB422"/>
  <c r="BB273"/>
  <c r="BB235"/>
  <c r="BB572"/>
  <c r="BF99" i="28"/>
  <c r="BF67"/>
  <c r="N352" i="20"/>
  <c r="N358"/>
  <c r="BI306"/>
  <c r="BI305" s="1"/>
  <c r="BI51" i="19"/>
  <c r="CG375" i="20"/>
  <c r="AZ67" i="28"/>
  <c r="AZ99"/>
  <c r="CG380" i="20"/>
  <c r="BL380"/>
  <c r="AS100" i="28"/>
  <c r="BS32" i="20"/>
  <c r="BN270"/>
  <c r="CJ270" s="1"/>
  <c r="BN541"/>
  <c r="CJ541" s="1"/>
  <c r="AL112" i="28"/>
  <c r="AM79"/>
  <c r="BM40" i="20"/>
  <c r="BN427"/>
  <c r="CJ427" s="1"/>
  <c r="BN531"/>
  <c r="CJ531" s="1"/>
  <c r="AY74"/>
  <c r="AX142"/>
  <c r="AY120"/>
  <c r="BO217"/>
  <c r="CK217" s="1"/>
  <c r="BQ561"/>
  <c r="CM561" s="1"/>
  <c r="BQ149"/>
  <c r="CM149" s="1"/>
  <c r="BQ35" i="23"/>
  <c r="BQ36" s="1"/>
  <c r="T112" i="28"/>
  <c r="CI270" i="20"/>
  <c r="F230"/>
  <c r="CH270"/>
  <c r="U395"/>
  <c r="U446" s="1"/>
  <c r="V395"/>
  <c r="V446" s="1"/>
  <c r="BA599"/>
  <c r="AT331"/>
  <c r="BH503"/>
  <c r="BH500" s="1"/>
  <c r="BB361"/>
  <c r="AU40" i="28"/>
  <c r="AU37" s="1"/>
  <c r="CI189" i="20"/>
  <c r="BM531"/>
  <c r="CI531" s="1"/>
  <c r="BA595"/>
  <c r="BJ238"/>
  <c r="L331"/>
  <c r="BN537"/>
  <c r="CJ537" s="1"/>
  <c r="BN540"/>
  <c r="CJ540" s="1"/>
  <c r="BN530"/>
  <c r="CJ530" s="1"/>
  <c r="BN523"/>
  <c r="CJ523" s="1"/>
  <c r="BN536"/>
  <c r="CJ536" s="1"/>
  <c r="BN535"/>
  <c r="CJ535" s="1"/>
  <c r="BD112" i="28"/>
  <c r="BD79"/>
  <c r="BO52" i="20"/>
  <c r="CK52" s="1"/>
  <c r="P215"/>
  <c r="P235"/>
  <c r="L266"/>
  <c r="CI152"/>
  <c r="V215"/>
  <c r="AO34" i="28"/>
  <c r="AP240" i="20"/>
  <c r="BA418"/>
  <c r="BA464"/>
  <c r="BA608"/>
  <c r="BA431"/>
  <c r="BA571"/>
  <c r="BA565"/>
  <c r="BA622"/>
  <c r="BA623"/>
  <c r="BA627"/>
  <c r="BA585"/>
  <c r="BA408"/>
  <c r="BA606"/>
  <c r="BA577"/>
  <c r="BA593"/>
  <c r="BA624"/>
  <c r="AA230"/>
  <c r="CG410"/>
  <c r="T164"/>
  <c r="T163"/>
  <c r="BB567"/>
  <c r="BB418"/>
  <c r="BB605"/>
  <c r="BB579"/>
  <c r="BA25" i="28"/>
  <c r="BB601" i="20"/>
  <c r="BB624"/>
  <c r="BB625"/>
  <c r="BB609"/>
  <c r="BB587"/>
  <c r="BB589"/>
  <c r="BB565"/>
  <c r="BB431"/>
  <c r="BB598"/>
  <c r="BB596"/>
  <c r="BB571"/>
  <c r="BB580"/>
  <c r="BB420"/>
  <c r="BP29"/>
  <c r="CL29" s="1"/>
  <c r="BJ112" i="28"/>
  <c r="CE112" s="1"/>
  <c r="CE58"/>
  <c r="BS87" i="19"/>
  <c r="BR37" i="20"/>
  <c r="CN37" s="1"/>
  <c r="CI269"/>
  <c r="BB98" i="28"/>
  <c r="BB66"/>
  <c r="BH494" i="20"/>
  <c r="BQ47"/>
  <c r="CM47" s="1"/>
  <c r="AV204"/>
  <c r="AU36" i="28"/>
  <c r="BQ25" i="20"/>
  <c r="CM25" s="1"/>
  <c r="AC178"/>
  <c r="AD304"/>
  <c r="AD389" s="1"/>
  <c r="AD441" s="1"/>
  <c r="O395"/>
  <c r="O446" s="1"/>
  <c r="R395"/>
  <c r="R446" s="1"/>
  <c r="AC395"/>
  <c r="AC446" s="1"/>
  <c r="V70"/>
  <c r="M70"/>
  <c r="AM69"/>
  <c r="AA69"/>
  <c r="AM68"/>
  <c r="W68"/>
  <c r="AC57"/>
  <c r="AK56"/>
  <c r="BJ125"/>
  <c r="BI103"/>
  <c r="BH125"/>
  <c r="BG103"/>
  <c r="BM183"/>
  <c r="BM184"/>
  <c r="BM199"/>
  <c r="BM194"/>
  <c r="BI196"/>
  <c r="AT235"/>
  <c r="BM38" i="28"/>
  <c r="CH38" s="1"/>
  <c r="BL34"/>
  <c r="CG34" s="1"/>
  <c r="CI256" i="20"/>
  <c r="BF410"/>
  <c r="BE38" i="28"/>
  <c r="BE37" s="1"/>
  <c r="BF204" i="20"/>
  <c r="AX120"/>
  <c r="AW142"/>
  <c r="Y31" i="28"/>
  <c r="Z331" i="20"/>
  <c r="BK37" i="28"/>
  <c r="BH462" i="20"/>
  <c r="F164"/>
  <c r="F165" s="1"/>
  <c r="F169"/>
  <c r="F191" s="1"/>
  <c r="AU215"/>
  <c r="AU235"/>
  <c r="CL25"/>
  <c r="BH499"/>
  <c r="AW415"/>
  <c r="BD38" i="28"/>
  <c r="BD37" s="1"/>
  <c r="BE204" i="20"/>
  <c r="BE327"/>
  <c r="BE410"/>
  <c r="AH169"/>
  <c r="AH191" s="1"/>
  <c r="AH164"/>
  <c r="AH163"/>
  <c r="BD460"/>
  <c r="CH353"/>
  <c r="BL553"/>
  <c r="CH553" s="1"/>
  <c r="AZ177"/>
  <c r="BD208"/>
  <c r="BM112" i="28"/>
  <c r="CH112" s="1"/>
  <c r="CH58"/>
  <c r="AX353" i="20"/>
  <c r="AB169"/>
  <c r="AB191" s="1"/>
  <c r="AB164"/>
  <c r="AB165" s="1"/>
  <c r="AB163"/>
  <c r="BD32" i="28"/>
  <c r="CJ186" i="20"/>
  <c r="BN528"/>
  <c r="CJ528" s="1"/>
  <c r="AV331"/>
  <c r="CJ153"/>
  <c r="BN112" i="28"/>
  <c r="CI112" s="1"/>
  <c r="BN79"/>
  <c r="CI79" s="1"/>
  <c r="CI58"/>
  <c r="BC609" i="20"/>
  <c r="BC591"/>
  <c r="BC568"/>
  <c r="BC464"/>
  <c r="BC431"/>
  <c r="BC589"/>
  <c r="BC622"/>
  <c r="BQ1090" i="19"/>
  <c r="BP1089"/>
  <c r="BP1112" s="1"/>
  <c r="BP1093"/>
  <c r="BP1177" s="1"/>
  <c r="BP38" i="20"/>
  <c r="CL38" s="1"/>
  <c r="BP1080" i="19"/>
  <c r="BP1159"/>
  <c r="BQ1091"/>
  <c r="BP39" i="20"/>
  <c r="CL39" s="1"/>
  <c r="BP1160" i="19"/>
  <c r="BP1114"/>
  <c r="BB73" i="28"/>
  <c r="BB105"/>
  <c r="BQ1095" i="19"/>
  <c r="BP41" i="20"/>
  <c r="BP63" s="1"/>
  <c r="BP1098" i="19"/>
  <c r="BP1118"/>
  <c r="BQ1092"/>
  <c r="BP1115"/>
  <c r="BP1171" s="1"/>
  <c r="BP1161"/>
  <c r="BP1184" s="1"/>
  <c r="BJ474" i="20"/>
  <c r="BK483"/>
  <c r="BD598"/>
  <c r="BD626"/>
  <c r="BD573"/>
  <c r="P100" i="28"/>
  <c r="P405" i="20"/>
  <c r="P454" s="1"/>
  <c r="X381"/>
  <c r="CK357"/>
  <c r="BO424"/>
  <c r="CJ357"/>
  <c r="BN557"/>
  <c r="CJ557" s="1"/>
  <c r="BN426"/>
  <c r="BN424"/>
  <c r="BN359"/>
  <c r="CH426"/>
  <c r="CI359"/>
  <c r="BM559"/>
  <c r="CI559" s="1"/>
  <c r="CH424"/>
  <c r="BL415"/>
  <c r="BL551"/>
  <c r="CH551" s="1"/>
  <c r="CH351"/>
  <c r="AY105" i="28"/>
  <c r="AF100"/>
  <c r="AX59" i="20"/>
  <c r="AW127"/>
  <c r="AW83"/>
  <c r="AX105"/>
  <c r="AZ73" i="28"/>
  <c r="BB208" i="20"/>
  <c r="BJ503"/>
  <c r="CJ188"/>
  <c r="AZ569"/>
  <c r="AZ626"/>
  <c r="AZ572"/>
  <c r="AZ583"/>
  <c r="AZ594"/>
  <c r="AZ615"/>
  <c r="AZ624"/>
  <c r="AZ598"/>
  <c r="AZ600"/>
  <c r="AZ608"/>
  <c r="AZ616"/>
  <c r="AZ586"/>
  <c r="BD572"/>
  <c r="BE98" i="28"/>
  <c r="BF66"/>
  <c r="BE66"/>
  <c r="BN539" i="20"/>
  <c r="CJ539" s="1"/>
  <c r="L381"/>
  <c r="BB336"/>
  <c r="AS405"/>
  <c r="AS454" s="1"/>
  <c r="N112" i="28"/>
  <c r="N79"/>
  <c r="F68"/>
  <c r="BH100"/>
  <c r="Y98"/>
  <c r="CL49" i="20"/>
  <c r="AY273"/>
  <c r="AY422"/>
  <c r="AY458" s="1"/>
  <c r="AY267"/>
  <c r="BB584"/>
  <c r="AI381"/>
  <c r="AZ68"/>
  <c r="AZ136" s="1"/>
  <c r="AL311"/>
  <c r="AL430" s="1"/>
  <c r="AY136"/>
  <c r="CL30"/>
  <c r="BQ30"/>
  <c r="U31" i="28"/>
  <c r="AX113" i="20"/>
  <c r="AW91"/>
  <c r="AW135"/>
  <c r="AX67"/>
  <c r="BN461"/>
  <c r="CJ461" s="1"/>
  <c r="BQ50"/>
  <c r="BC459"/>
  <c r="K311"/>
  <c r="K430" s="1"/>
  <c r="BE322"/>
  <c r="BD31" i="28"/>
  <c r="CM27" i="20"/>
  <c r="BR27"/>
  <c r="AV134"/>
  <c r="AW66"/>
  <c r="AV90"/>
  <c r="AW112"/>
  <c r="O112" i="28"/>
  <c r="O79"/>
  <c r="CJ196" i="20"/>
  <c r="BN250"/>
  <c r="BA461"/>
  <c r="CJ280"/>
  <c r="BN626"/>
  <c r="CJ626" s="1"/>
  <c r="AX71"/>
  <c r="AW139"/>
  <c r="AW95"/>
  <c r="AX117"/>
  <c r="Z165"/>
  <c r="L100" i="28"/>
  <c r="M68"/>
  <c r="CL45" i="20"/>
  <c r="BQ45"/>
  <c r="AY395"/>
  <c r="AY446"/>
  <c r="AY309"/>
  <c r="AY34" i="23"/>
  <c r="AY391" i="20"/>
  <c r="AY443" s="1"/>
  <c r="I381"/>
  <c r="I405"/>
  <c r="I454" s="1"/>
  <c r="BM37" i="28"/>
  <c r="CJ149" i="20"/>
  <c r="AD165"/>
  <c r="BR49"/>
  <c r="BC390"/>
  <c r="BC32" i="23"/>
  <c r="BB8" i="28"/>
  <c r="AZ80" i="20"/>
  <c r="BA102"/>
  <c r="AZ124"/>
  <c r="AZ165" s="1"/>
  <c r="BA56"/>
  <c r="CL166"/>
  <c r="BQ166"/>
  <c r="AE381"/>
  <c r="AE405"/>
  <c r="AE454" s="1"/>
  <c r="E100" i="28"/>
  <c r="E68"/>
  <c r="CJ269" i="20"/>
  <c r="BN615"/>
  <c r="CJ615"/>
  <c r="CJ193"/>
  <c r="AZ286"/>
  <c r="AZ37" i="23" s="1"/>
  <c r="AY30" i="28"/>
  <c r="AY29" s="1"/>
  <c r="CN26" i="20"/>
  <c r="BS26"/>
  <c r="CM13"/>
  <c r="BR13"/>
  <c r="BA68"/>
  <c r="BH231"/>
  <c r="Q311"/>
  <c r="Q430" s="1"/>
  <c r="CH366"/>
  <c r="BM366"/>
  <c r="AO405"/>
  <c r="AO454" s="1"/>
  <c r="BB100" i="28"/>
  <c r="BC68"/>
  <c r="BC358" i="20"/>
  <c r="BC352"/>
  <c r="AW317"/>
  <c r="T405"/>
  <c r="T454" s="1"/>
  <c r="AT405"/>
  <c r="AT454" s="1"/>
  <c r="CJ229"/>
  <c r="BN223"/>
  <c r="BN578"/>
  <c r="CJ578" s="1"/>
  <c r="AZ459"/>
  <c r="AR405"/>
  <c r="AR454" s="1"/>
  <c r="T381"/>
  <c r="Q352"/>
  <c r="Q358"/>
  <c r="O405"/>
  <c r="O454" s="1"/>
  <c r="O381"/>
  <c r="Z405"/>
  <c r="Z454" s="1"/>
  <c r="Z381"/>
  <c r="AZ255"/>
  <c r="AZ461"/>
  <c r="AY322"/>
  <c r="AY400" s="1"/>
  <c r="AY449" s="1"/>
  <c r="AX331"/>
  <c r="AW31" i="28"/>
  <c r="U405" i="20"/>
  <c r="U454" s="1"/>
  <c r="U381"/>
  <c r="R311"/>
  <c r="R430" s="1"/>
  <c r="Y66" i="28"/>
  <c r="X98"/>
  <c r="CL40" i="20"/>
  <c r="AD100" i="28"/>
  <c r="W178" i="20"/>
  <c r="X304"/>
  <c r="X389" s="1"/>
  <c r="X441" s="1"/>
  <c r="X325"/>
  <c r="AL100" i="28"/>
  <c r="AL68"/>
  <c r="Z100"/>
  <c r="Z68"/>
  <c r="AK204" i="20"/>
  <c r="AK68" i="28"/>
  <c r="AK100"/>
  <c r="CL279" i="20"/>
  <c r="BQ279"/>
  <c r="BC224"/>
  <c r="BC574"/>
  <c r="AR352"/>
  <c r="BQ271"/>
  <c r="CL271"/>
  <c r="CJ195"/>
  <c r="BN238"/>
  <c r="CJ62"/>
  <c r="BM367"/>
  <c r="CH367"/>
  <c r="Y100" i="28"/>
  <c r="Y68"/>
  <c r="G100"/>
  <c r="G68"/>
  <c r="BI230" i="19"/>
  <c r="BN51" i="20"/>
  <c r="CJ51" s="1"/>
  <c r="BN106" i="19"/>
  <c r="BD234" i="20"/>
  <c r="CG193"/>
  <c r="BK204"/>
  <c r="BK534"/>
  <c r="CG534" s="1"/>
  <c r="BF729" i="19"/>
  <c r="BS1094"/>
  <c r="BR1163"/>
  <c r="BR1186" s="1"/>
  <c r="BR40" i="20"/>
  <c r="CN40" s="1"/>
  <c r="BJ461"/>
  <c r="G325"/>
  <c r="F178"/>
  <c r="G304"/>
  <c r="G389" s="1"/>
  <c r="G441" s="1"/>
  <c r="CG229"/>
  <c r="BJ164"/>
  <c r="BJ163"/>
  <c r="BI37" i="28"/>
  <c r="AR217" i="20"/>
  <c r="AR235"/>
  <c r="AS217"/>
  <c r="AS235"/>
  <c r="W217"/>
  <c r="AK217"/>
  <c r="AK235"/>
  <c r="F217"/>
  <c r="CH249"/>
  <c r="BL246"/>
  <c r="BL240"/>
  <c r="BL248"/>
  <c r="CH248" s="1"/>
  <c r="CI218"/>
  <c r="AW414"/>
  <c r="AW467" s="1"/>
  <c r="CE37" i="28"/>
  <c r="BJ100"/>
  <c r="CE100" s="1"/>
  <c r="BD219" i="19"/>
  <c r="AX266" i="20"/>
  <c r="AX215"/>
  <c r="AX235"/>
  <c r="AX264"/>
  <c r="BL293" i="19"/>
  <c r="BL265"/>
  <c r="BL295" s="1"/>
  <c r="BL297" s="1"/>
  <c r="CB986"/>
  <c r="BE217" i="20"/>
  <c r="BF208"/>
  <c r="BN268" i="19"/>
  <c r="BN267" s="1"/>
  <c r="BN220" i="20"/>
  <c r="CJ220" s="1"/>
  <c r="BM105" i="19"/>
  <c r="BL53" i="20"/>
  <c r="O31" i="28"/>
  <c r="BA293" i="19"/>
  <c r="BA265"/>
  <c r="BA295" s="1"/>
  <c r="CI44" i="28"/>
  <c r="BN104"/>
  <c r="CI104"/>
  <c r="BO24"/>
  <c r="BO62"/>
  <c r="CJ62"/>
  <c r="BP2"/>
  <c r="BO72"/>
  <c r="CJ72"/>
  <c r="BO44"/>
  <c r="BO639" i="19"/>
  <c r="BO659"/>
  <c r="AV279"/>
  <c r="AV295" s="1"/>
  <c r="AV293"/>
  <c r="BB701"/>
  <c r="BB700"/>
  <c r="BF225" i="20"/>
  <c r="BF698" i="19"/>
  <c r="BD466" i="20"/>
  <c r="BD415"/>
  <c r="AZ460"/>
  <c r="BP48"/>
  <c r="CL48" s="1"/>
  <c r="BW21"/>
  <c r="CS21" s="1"/>
  <c r="BX1074" i="19"/>
  <c r="BJ229"/>
  <c r="BJ462" i="20"/>
  <c r="BK223"/>
  <c r="AX97"/>
  <c r="AY73"/>
  <c r="AY119"/>
  <c r="AX141"/>
  <c r="AC217"/>
  <c r="AC235"/>
  <c r="AN217"/>
  <c r="U217"/>
  <c r="U235"/>
  <c r="L217"/>
  <c r="L235"/>
  <c r="L264"/>
  <c r="S235"/>
  <c r="S217"/>
  <c r="AQ217"/>
  <c r="BN60" i="19"/>
  <c r="BM14" i="20"/>
  <c r="BQ10" i="23"/>
  <c r="BR46" i="20"/>
  <c r="CN46" s="1"/>
  <c r="BG499"/>
  <c r="BN305"/>
  <c r="CJ305" s="1"/>
  <c r="BC217"/>
  <c r="BC569"/>
  <c r="BA31" i="28"/>
  <c r="BB298" i="20"/>
  <c r="BO222"/>
  <c r="BO494"/>
  <c r="CK494" s="1"/>
  <c r="CA120" i="19"/>
  <c r="BZ836"/>
  <c r="BA208" i="20"/>
  <c r="AZ227" i="19"/>
  <c r="CG53" i="20"/>
  <c r="BB265" i="19"/>
  <c r="BB295" s="1"/>
  <c r="BB293"/>
  <c r="AX104" i="20"/>
  <c r="AW126"/>
  <c r="AX58"/>
  <c r="AW82"/>
  <c r="BR804" i="19"/>
  <c r="AX391" i="20"/>
  <c r="AX443" s="1"/>
  <c r="AX34" i="23"/>
  <c r="AX309" i="20"/>
  <c r="AE311"/>
  <c r="J311"/>
  <c r="J430" s="1"/>
  <c r="BE228" i="19"/>
  <c r="AU34" i="28"/>
  <c r="AV240" i="20"/>
  <c r="AV266"/>
  <c r="BJ395" i="19"/>
  <c r="BJ392"/>
  <c r="BE436"/>
  <c r="BE438" s="1"/>
  <c r="BE271" s="1"/>
  <c r="BE401"/>
  <c r="AL98" i="28"/>
  <c r="BC233" i="20"/>
  <c r="BC579"/>
  <c r="H100" i="28"/>
  <c r="H68"/>
  <c r="AZ358" i="20"/>
  <c r="AZ352"/>
  <c r="R31" i="28"/>
  <c r="AK304" i="20"/>
  <c r="AK389" s="1"/>
  <c r="AK441" s="1"/>
  <c r="AK325"/>
  <c r="BO37" i="19"/>
  <c r="BP50" s="1"/>
  <c r="BB593" i="20"/>
  <c r="BB626"/>
  <c r="BB608"/>
  <c r="BB464"/>
  <c r="BC432" s="1"/>
  <c r="BB616"/>
  <c r="BB600"/>
  <c r="BB597"/>
  <c r="BB417"/>
  <c r="BB578"/>
  <c r="BB599"/>
  <c r="BB622"/>
  <c r="BB408"/>
  <c r="BB591"/>
  <c r="BB607"/>
  <c r="BB623"/>
  <c r="BB577"/>
  <c r="BB615"/>
  <c r="BB568"/>
  <c r="BB570"/>
  <c r="BB583"/>
  <c r="BB617"/>
  <c r="BB627"/>
  <c r="BB595"/>
  <c r="BB575"/>
  <c r="BB621"/>
  <c r="BB586"/>
  <c r="BB576"/>
  <c r="BB569"/>
  <c r="BB606"/>
  <c r="BC420"/>
  <c r="BB582"/>
  <c r="BB573"/>
  <c r="BB612"/>
  <c r="BB594"/>
  <c r="BB67" i="28"/>
  <c r="BQ28" i="20"/>
  <c r="CM28" s="1"/>
  <c r="AC165"/>
  <c r="AW473"/>
  <c r="I65" i="23"/>
  <c r="I66"/>
  <c r="I67" s="1"/>
  <c r="M217" i="20"/>
  <c r="M235"/>
  <c r="Y264"/>
  <c r="Y266"/>
  <c r="Y217"/>
  <c r="Y235"/>
  <c r="AA217"/>
  <c r="AP217"/>
  <c r="AP264"/>
  <c r="AP235"/>
  <c r="AP266"/>
  <c r="AE217"/>
  <c r="AE235"/>
  <c r="AL217"/>
  <c r="J100" i="28"/>
  <c r="BR282" i="20"/>
  <c r="CN282"/>
  <c r="BP348"/>
  <c r="CL348" s="1"/>
  <c r="AF352"/>
  <c r="AY99"/>
  <c r="AZ121"/>
  <c r="AZ75"/>
  <c r="AY143"/>
  <c r="AY358"/>
  <c r="AY352"/>
  <c r="CG217"/>
  <c r="BK493"/>
  <c r="BK216"/>
  <c r="CG216" s="1"/>
  <c r="BX1138" i="19"/>
  <c r="BY1132"/>
  <c r="BG493" i="20"/>
  <c r="CI225"/>
  <c r="BM229"/>
  <c r="BM223" s="1"/>
  <c r="BK218" i="19"/>
  <c r="I311" i="20"/>
  <c r="I430" s="1"/>
  <c r="T311"/>
  <c r="AM311"/>
  <c r="AM430" s="1"/>
  <c r="BI220" i="19"/>
  <c r="AV38" i="28"/>
  <c r="AV37" s="1"/>
  <c r="AV68" s="1"/>
  <c r="AW410" i="20"/>
  <c r="AW461" s="1"/>
  <c r="AW204"/>
  <c r="AX327"/>
  <c r="AX404" s="1"/>
  <c r="AX453" s="1"/>
  <c r="BH170"/>
  <c r="AE178"/>
  <c r="AF389"/>
  <c r="AF441" s="1"/>
  <c r="AF325"/>
  <c r="R100" i="28"/>
  <c r="S68"/>
  <c r="BH222" i="20"/>
  <c r="BL260"/>
  <c r="BA415"/>
  <c r="BA466"/>
  <c r="BN1159" i="19"/>
  <c r="BN1113"/>
  <c r="BN1172"/>
  <c r="BN38" i="20"/>
  <c r="CJ38" s="1"/>
  <c r="BR31"/>
  <c r="CN31" s="1"/>
  <c r="BK219" i="19"/>
  <c r="J217" i="20"/>
  <c r="J235"/>
  <c r="J266"/>
  <c r="J264"/>
  <c r="AH235"/>
  <c r="AH217"/>
  <c r="R217"/>
  <c r="R235"/>
  <c r="AI217"/>
  <c r="Q217"/>
  <c r="AF217"/>
  <c r="BG36" i="28"/>
  <c r="BG35" s="1"/>
  <c r="BH522" i="20"/>
  <c r="BH526" s="1"/>
  <c r="BH204"/>
  <c r="CG240"/>
  <c r="BK499"/>
  <c r="CG499" s="1"/>
  <c r="BM269" i="19"/>
  <c r="BM388"/>
  <c r="BM350"/>
  <c r="BG503" i="20"/>
  <c r="BG500" s="1"/>
  <c r="BL233" i="19"/>
  <c r="BS34" i="20"/>
  <c r="CO34" s="1"/>
  <c r="BB574"/>
  <c r="BH216"/>
  <c r="AX414"/>
  <c r="AX467" s="1"/>
  <c r="AS32" i="28"/>
  <c r="AP352" i="20"/>
  <c r="BL217"/>
  <c r="CH220"/>
  <c r="AS79" i="28"/>
  <c r="AS112"/>
  <c r="AS473" i="20"/>
  <c r="AX93"/>
  <c r="AY69"/>
  <c r="AX137"/>
  <c r="AY115"/>
  <c r="BI494"/>
  <c r="AT79" i="28"/>
  <c r="BS364" i="19"/>
  <c r="BS392" s="1"/>
  <c r="BT353"/>
  <c r="AF112" i="28"/>
  <c r="AF79"/>
  <c r="AB31"/>
  <c r="BK86" i="19"/>
  <c r="BJ36" i="20"/>
  <c r="BJ544"/>
  <c r="BA217"/>
  <c r="BA569"/>
  <c r="Z311"/>
  <c r="Z430" s="1"/>
  <c r="N61" i="23"/>
  <c r="N62" s="1"/>
  <c r="M62"/>
  <c r="N311" i="20"/>
  <c r="N430" s="1"/>
  <c r="CI351"/>
  <c r="BM551"/>
  <c r="CI551" s="1"/>
  <c r="CI199"/>
  <c r="BM540"/>
  <c r="CI540" s="1"/>
  <c r="BM236"/>
  <c r="BM198"/>
  <c r="BL39" i="28"/>
  <c r="CI183" i="20"/>
  <c r="BM524"/>
  <c r="BM204"/>
  <c r="BR25"/>
  <c r="CN25" s="1"/>
  <c r="BQ8" i="23"/>
  <c r="AV208" i="20"/>
  <c r="BA432"/>
  <c r="L422"/>
  <c r="L267"/>
  <c r="F215"/>
  <c r="F235"/>
  <c r="AY142"/>
  <c r="AZ120"/>
  <c r="AZ74"/>
  <c r="AY98"/>
  <c r="CI40"/>
  <c r="BM62"/>
  <c r="BN616"/>
  <c r="CJ616" s="1"/>
  <c r="BT32"/>
  <c r="BM380"/>
  <c r="CH380"/>
  <c r="BB619"/>
  <c r="BB274"/>
  <c r="BB620" s="1"/>
  <c r="BO503"/>
  <c r="CK503" s="1"/>
  <c r="AZ443"/>
  <c r="BI250"/>
  <c r="BI537"/>
  <c r="BI204"/>
  <c r="BM535"/>
  <c r="CI535" s="1"/>
  <c r="CI194"/>
  <c r="BM525"/>
  <c r="CI525" s="1"/>
  <c r="BL40" i="28"/>
  <c r="CI184" i="20"/>
  <c r="AU35" i="28"/>
  <c r="BR47" i="20"/>
  <c r="CN47" s="1"/>
  <c r="BT87" i="19"/>
  <c r="BS37" i="20"/>
  <c r="CO37" s="1"/>
  <c r="BQ29"/>
  <c r="CM29" s="1"/>
  <c r="T165"/>
  <c r="AA235"/>
  <c r="BA459"/>
  <c r="AO32" i="28"/>
  <c r="BP52" i="20"/>
  <c r="CL52" s="1"/>
  <c r="AV473"/>
  <c r="AT473"/>
  <c r="BO493"/>
  <c r="CK493" s="1"/>
  <c r="BO216"/>
  <c r="CK216" s="1"/>
  <c r="BN462"/>
  <c r="CJ462" s="1"/>
  <c r="BB407"/>
  <c r="BB458"/>
  <c r="BE208"/>
  <c r="BK100" i="28"/>
  <c r="CF100" s="1"/>
  <c r="CF37"/>
  <c r="BK68"/>
  <c r="CF68" s="1"/>
  <c r="BE100"/>
  <c r="BF68"/>
  <c r="BE404" i="20"/>
  <c r="BF461"/>
  <c r="AH165"/>
  <c r="BE461"/>
  <c r="BD98" i="28"/>
  <c r="BD66"/>
  <c r="BD358" i="20"/>
  <c r="BD352"/>
  <c r="BP1176" i="19"/>
  <c r="BP1183"/>
  <c r="BR1090"/>
  <c r="BQ1080"/>
  <c r="BQ1078" s="1"/>
  <c r="BQ1113"/>
  <c r="BQ38" i="20"/>
  <c r="BQ1159" i="19"/>
  <c r="BQ1093"/>
  <c r="BQ1176"/>
  <c r="BQ1089"/>
  <c r="BQ1112" s="1"/>
  <c r="BP1172"/>
  <c r="BR1095"/>
  <c r="BQ41" i="20"/>
  <c r="BQ1118" i="19"/>
  <c r="BQ1098"/>
  <c r="BR1091"/>
  <c r="BQ1160"/>
  <c r="BQ1183" s="1"/>
  <c r="BQ39" i="20"/>
  <c r="CM39" s="1"/>
  <c r="BQ1114" i="19"/>
  <c r="BP1078"/>
  <c r="BP1182"/>
  <c r="BP42" i="20"/>
  <c r="BP1162" i="19"/>
  <c r="BP1185" s="1"/>
  <c r="BK474" i="20"/>
  <c r="CG483"/>
  <c r="BL483"/>
  <c r="BR1092" i="19"/>
  <c r="BQ1115"/>
  <c r="BQ1161"/>
  <c r="BQ1184" s="1"/>
  <c r="CK424" i="20"/>
  <c r="BO415"/>
  <c r="CJ426"/>
  <c r="CJ359"/>
  <c r="BN559"/>
  <c r="CJ559" s="1"/>
  <c r="BN415"/>
  <c r="CJ424"/>
  <c r="CH415"/>
  <c r="AA215"/>
  <c r="AX83"/>
  <c r="AY105"/>
  <c r="AY59"/>
  <c r="AX127"/>
  <c r="BB358"/>
  <c r="BB352"/>
  <c r="AY274"/>
  <c r="CM50"/>
  <c r="BR50"/>
  <c r="AY113"/>
  <c r="AY67"/>
  <c r="AX91"/>
  <c r="AX135"/>
  <c r="CM30"/>
  <c r="BR30"/>
  <c r="BE400"/>
  <c r="CJ250"/>
  <c r="BN599"/>
  <c r="CJ599" s="1"/>
  <c r="AX66"/>
  <c r="AW90"/>
  <c r="AX112"/>
  <c r="AW134"/>
  <c r="AV168"/>
  <c r="AV171" s="1"/>
  <c r="AV169" s="1"/>
  <c r="AV191" s="1"/>
  <c r="CN27"/>
  <c r="BS27"/>
  <c r="BB68"/>
  <c r="BA92"/>
  <c r="BB114"/>
  <c r="BA136"/>
  <c r="BA80"/>
  <c r="BA124"/>
  <c r="BA165" s="1"/>
  <c r="BB56"/>
  <c r="BB102"/>
  <c r="CN49"/>
  <c r="BS49"/>
  <c r="BI231"/>
  <c r="AY97" i="28"/>
  <c r="AZ161" i="20"/>
  <c r="CN13"/>
  <c r="BS13"/>
  <c r="CM166"/>
  <c r="BR166"/>
  <c r="BC442"/>
  <c r="CH37" i="28"/>
  <c r="BM100"/>
  <c r="CH100" s="1"/>
  <c r="BN366" i="20"/>
  <c r="CI366"/>
  <c r="CO26"/>
  <c r="BT26"/>
  <c r="CM45"/>
  <c r="BR45"/>
  <c r="AX139"/>
  <c r="AX95"/>
  <c r="AY71"/>
  <c r="AY117"/>
  <c r="AX473"/>
  <c r="CJ223"/>
  <c r="BN494"/>
  <c r="CJ494" s="1"/>
  <c r="BN572"/>
  <c r="CJ572" s="1"/>
  <c r="BN222"/>
  <c r="BN571" s="1"/>
  <c r="CJ571" s="1"/>
  <c r="BA255"/>
  <c r="AZ604"/>
  <c r="AZ331"/>
  <c r="BN367"/>
  <c r="CI367"/>
  <c r="BR271"/>
  <c r="CM271"/>
  <c r="BC223"/>
  <c r="BC573"/>
  <c r="CJ238"/>
  <c r="BN587"/>
  <c r="CJ587" s="1"/>
  <c r="CM279"/>
  <c r="BR279"/>
  <c r="AY137"/>
  <c r="AZ69"/>
  <c r="AY93"/>
  <c r="AZ115"/>
  <c r="BL219" i="19"/>
  <c r="BM38" i="20"/>
  <c r="BN60"/>
  <c r="CJ60" s="1"/>
  <c r="BJ220" i="19"/>
  <c r="BM494" i="20"/>
  <c r="CI494" s="1"/>
  <c r="BM222"/>
  <c r="CI222" s="1"/>
  <c r="CI223"/>
  <c r="AL215"/>
  <c r="Y267"/>
  <c r="Y422"/>
  <c r="BU1097" i="19"/>
  <c r="BV1097" s="1"/>
  <c r="BW1097" s="1"/>
  <c r="BX1097" s="1"/>
  <c r="BY1097" s="1"/>
  <c r="BZ1097" s="1"/>
  <c r="CA1097" s="1"/>
  <c r="CB1097" s="1"/>
  <c r="CC1097" s="1"/>
  <c r="CD1097" s="1"/>
  <c r="BP306" i="20"/>
  <c r="CL306" s="1"/>
  <c r="BC582"/>
  <c r="AX82"/>
  <c r="AY104"/>
  <c r="AY58"/>
  <c r="AX126"/>
  <c r="CA836" i="19"/>
  <c r="CB120"/>
  <c r="BA30" i="28"/>
  <c r="BA29" s="1"/>
  <c r="BB475" i="20"/>
  <c r="BN32" i="23"/>
  <c r="CL32" s="1"/>
  <c r="BN390" i="20"/>
  <c r="CJ390" s="1"/>
  <c r="BM8" i="28"/>
  <c r="S215" i="20"/>
  <c r="BO642" i="19"/>
  <c r="BQ2" i="28"/>
  <c r="BP62"/>
  <c r="CK62"/>
  <c r="BP44"/>
  <c r="BP72"/>
  <c r="CK72" s="1"/>
  <c r="BP24"/>
  <c r="CH53" i="20"/>
  <c r="BC219" i="19"/>
  <c r="BH544" i="20"/>
  <c r="O61" i="23"/>
  <c r="BA566" i="20"/>
  <c r="BU353" i="19"/>
  <c r="BV353"/>
  <c r="BW353" s="1"/>
  <c r="BX353" s="1"/>
  <c r="BY353" s="1"/>
  <c r="BZ353" s="1"/>
  <c r="CA353" s="1"/>
  <c r="CB353" s="1"/>
  <c r="CC353" s="1"/>
  <c r="CD353" s="1"/>
  <c r="BT364"/>
  <c r="BU364" s="1"/>
  <c r="BV364" s="1"/>
  <c r="BW364" s="1"/>
  <c r="BX364" s="1"/>
  <c r="BY364" s="1"/>
  <c r="BZ364" s="1"/>
  <c r="CA364" s="1"/>
  <c r="CB364" s="1"/>
  <c r="CC364" s="1"/>
  <c r="CD364" s="1"/>
  <c r="R215" i="20"/>
  <c r="J273"/>
  <c r="J422"/>
  <c r="J267"/>
  <c r="BS31"/>
  <c r="CO31" s="1"/>
  <c r="CH260"/>
  <c r="BM260"/>
  <c r="AV100" i="28"/>
  <c r="BZ1132" i="19"/>
  <c r="BY1138"/>
  <c r="BQ348" i="20"/>
  <c r="CM348" s="1"/>
  <c r="J65" i="23"/>
  <c r="J66" s="1"/>
  <c r="J67" s="1"/>
  <c r="K63"/>
  <c r="BE229" i="20"/>
  <c r="BE268" i="19"/>
  <c r="BE267" s="1"/>
  <c r="BS804"/>
  <c r="AY227"/>
  <c r="AY97" i="20"/>
  <c r="AY141"/>
  <c r="AZ73"/>
  <c r="AZ119"/>
  <c r="BK494"/>
  <c r="CG494" s="1"/>
  <c r="CG223"/>
  <c r="BK266"/>
  <c r="BK264"/>
  <c r="CG264" s="1"/>
  <c r="BK235"/>
  <c r="CG235" s="1"/>
  <c r="BN105" i="19"/>
  <c r="BM53" i="20"/>
  <c r="BF358"/>
  <c r="BF352"/>
  <c r="CC986" i="19"/>
  <c r="BJ230"/>
  <c r="BB432" i="20"/>
  <c r="BK36"/>
  <c r="BL86" i="19"/>
  <c r="AS98" i="28"/>
  <c r="AT66"/>
  <c r="BT34" i="20"/>
  <c r="CP34" s="1"/>
  <c r="BM233" i="19"/>
  <c r="AW208" i="20"/>
  <c r="CG493"/>
  <c r="AZ143"/>
  <c r="AZ99"/>
  <c r="BA121"/>
  <c r="BA75"/>
  <c r="BS282"/>
  <c r="CO282" s="1"/>
  <c r="AP215"/>
  <c r="BD228" i="19"/>
  <c r="BA358" i="20"/>
  <c r="BA352"/>
  <c r="BB296"/>
  <c r="BN125"/>
  <c r="CJ125" s="1"/>
  <c r="BM103"/>
  <c r="CI103" s="1"/>
  <c r="BM81"/>
  <c r="CI81" s="1"/>
  <c r="CI14"/>
  <c r="U215"/>
  <c r="BK229" i="19"/>
  <c r="BF701"/>
  <c r="BF700"/>
  <c r="BO104" i="28"/>
  <c r="CJ104" s="1"/>
  <c r="CJ44"/>
  <c r="CJ24"/>
  <c r="BO94"/>
  <c r="CJ94" s="1"/>
  <c r="BN569" i="20"/>
  <c r="CJ569" s="1"/>
  <c r="BN217"/>
  <c r="CJ217" s="1"/>
  <c r="BN235"/>
  <c r="CJ235" s="1"/>
  <c r="AX267"/>
  <c r="AX422"/>
  <c r="CH240"/>
  <c r="BL499"/>
  <c r="CH499" s="1"/>
  <c r="BJ68" i="28"/>
  <c r="CE68" s="1"/>
  <c r="BI100"/>
  <c r="BI68"/>
  <c r="BT1094" i="19"/>
  <c r="BS40" i="20"/>
  <c r="CO40" s="1"/>
  <c r="BS1163" i="19"/>
  <c r="BO51" i="20"/>
  <c r="CK51" s="1"/>
  <c r="BN327"/>
  <c r="CJ327" s="1"/>
  <c r="O62" i="23"/>
  <c r="BL493" i="20"/>
  <c r="CH217"/>
  <c r="BL216"/>
  <c r="CH216" s="1"/>
  <c r="BM220"/>
  <c r="BM268" i="19"/>
  <c r="BM267" s="1"/>
  <c r="AH215" i="20"/>
  <c r="J215"/>
  <c r="BH163"/>
  <c r="BH164"/>
  <c r="BL218" i="19"/>
  <c r="CI229" i="20"/>
  <c r="AE215"/>
  <c r="AP267"/>
  <c r="AP273"/>
  <c r="AP422"/>
  <c r="Y215"/>
  <c r="M215"/>
  <c r="BR28"/>
  <c r="CN28" s="1"/>
  <c r="BB459"/>
  <c r="BJ398" i="19"/>
  <c r="BJ269"/>
  <c r="AV273" i="20"/>
  <c r="AV422"/>
  <c r="AV267"/>
  <c r="AX317"/>
  <c r="AY317" s="1"/>
  <c r="AZ317" s="1"/>
  <c r="BB286"/>
  <c r="BC566"/>
  <c r="BC215"/>
  <c r="BC564" s="1"/>
  <c r="BR10" i="23"/>
  <c r="BS46" i="20"/>
  <c r="CO46" s="1"/>
  <c r="BN14"/>
  <c r="CJ14" s="1"/>
  <c r="BO60" i="19"/>
  <c r="BP60" s="1"/>
  <c r="BQ60" s="1"/>
  <c r="BR60" s="1"/>
  <c r="BS60" s="1"/>
  <c r="BT60" s="1"/>
  <c r="BU60" s="1"/>
  <c r="BV60" s="1"/>
  <c r="BW60" s="1"/>
  <c r="BX60" s="1"/>
  <c r="BY60" s="1"/>
  <c r="BZ60" s="1"/>
  <c r="CA60" s="1"/>
  <c r="CB60" s="1"/>
  <c r="CC60" s="1"/>
  <c r="CD60" s="1"/>
  <c r="L215" i="20"/>
  <c r="AC215"/>
  <c r="BY1074" i="19"/>
  <c r="BX21" i="20"/>
  <c r="CT21" s="1"/>
  <c r="BQ48"/>
  <c r="CM48" s="1"/>
  <c r="BF229"/>
  <c r="BF223" s="1"/>
  <c r="BN265" i="19"/>
  <c r="CH246" i="20"/>
  <c r="BL503"/>
  <c r="AK215"/>
  <c r="AS215"/>
  <c r="AR215"/>
  <c r="BK544"/>
  <c r="CG544" s="1"/>
  <c r="CG204"/>
  <c r="BK208"/>
  <c r="BD233"/>
  <c r="BD583"/>
  <c r="AO98" i="28"/>
  <c r="BI544" i="20"/>
  <c r="BO500"/>
  <c r="CK500" s="1"/>
  <c r="BU32"/>
  <c r="BN108"/>
  <c r="CJ108" s="1"/>
  <c r="CI62"/>
  <c r="L458"/>
  <c r="AV352"/>
  <c r="AV358"/>
  <c r="BR8" i="23"/>
  <c r="BS25" i="20"/>
  <c r="CO25" s="1"/>
  <c r="BN404"/>
  <c r="CJ404" s="1"/>
  <c r="BM544"/>
  <c r="CI544" s="1"/>
  <c r="CI204"/>
  <c r="CI524"/>
  <c r="BM526"/>
  <c r="CI526" s="1"/>
  <c r="CG39" i="28"/>
  <c r="BL37"/>
  <c r="CI236" i="20"/>
  <c r="BB457"/>
  <c r="BQ52"/>
  <c r="CM52" s="1"/>
  <c r="BR29"/>
  <c r="CN29" s="1"/>
  <c r="BU87" i="19"/>
  <c r="BT37" i="20"/>
  <c r="CP37" s="1"/>
  <c r="BS47"/>
  <c r="CO47" s="1"/>
  <c r="AU99" i="28"/>
  <c r="AU67"/>
  <c r="CG40"/>
  <c r="CI380" i="20"/>
  <c r="BN380"/>
  <c r="CJ380" s="1"/>
  <c r="AZ98"/>
  <c r="BA74"/>
  <c r="AZ142"/>
  <c r="BA120"/>
  <c r="BM539"/>
  <c r="CI539" s="1"/>
  <c r="BM205"/>
  <c r="CI198"/>
  <c r="BE358"/>
  <c r="BE352"/>
  <c r="BE453"/>
  <c r="BQ1182" i="19"/>
  <c r="BS1092"/>
  <c r="BR1115"/>
  <c r="BR1161"/>
  <c r="BR1184" s="1"/>
  <c r="BQ1171"/>
  <c r="BQ1172"/>
  <c r="BP1158"/>
  <c r="CG474" i="20"/>
  <c r="CL42"/>
  <c r="BQ1162" i="19"/>
  <c r="BQ42" i="20"/>
  <c r="CM38"/>
  <c r="BS1090" i="19"/>
  <c r="BR1080"/>
  <c r="BR1113"/>
  <c r="BR38" i="20"/>
  <c r="BR1089" i="19"/>
  <c r="BR1112"/>
  <c r="BR1093"/>
  <c r="BR1176" s="1"/>
  <c r="BR1159"/>
  <c r="BL474" i="20"/>
  <c r="CH483"/>
  <c r="BP1157" i="19"/>
  <c r="BP1086"/>
  <c r="BP1087" s="1"/>
  <c r="BP1077"/>
  <c r="BP1128" s="1"/>
  <c r="BP1175"/>
  <c r="BS1091"/>
  <c r="BR39" i="20"/>
  <c r="CN39" s="1"/>
  <c r="BR1160" i="19"/>
  <c r="BR1183" s="1"/>
  <c r="BR1114"/>
  <c r="BS1095"/>
  <c r="BR1098"/>
  <c r="BR41" i="20"/>
  <c r="BR1118" i="19"/>
  <c r="BQ1157"/>
  <c r="BQ1086"/>
  <c r="BQ1087" s="1"/>
  <c r="BQ1175"/>
  <c r="BQ1077"/>
  <c r="BQ1128" s="1"/>
  <c r="BQ1177"/>
  <c r="BQ1179" s="1"/>
  <c r="CK415" i="20"/>
  <c r="CJ415"/>
  <c r="AY127"/>
  <c r="AZ105"/>
  <c r="AZ59"/>
  <c r="AY83"/>
  <c r="AZ113"/>
  <c r="AY91"/>
  <c r="AZ67"/>
  <c r="AY135"/>
  <c r="CN30"/>
  <c r="BS30"/>
  <c r="CN50"/>
  <c r="BS50"/>
  <c r="BT27"/>
  <c r="CO27"/>
  <c r="AY112"/>
  <c r="AY66"/>
  <c r="AX90"/>
  <c r="AX134"/>
  <c r="AW168"/>
  <c r="AW171" s="1"/>
  <c r="AW169" s="1"/>
  <c r="AW191" s="1"/>
  <c r="BE449"/>
  <c r="CO13"/>
  <c r="BT13"/>
  <c r="AZ117"/>
  <c r="AY95"/>
  <c r="AY139"/>
  <c r="AZ71"/>
  <c r="CN45"/>
  <c r="BS45"/>
  <c r="CJ366"/>
  <c r="BO366"/>
  <c r="CN166"/>
  <c r="BS166"/>
  <c r="BJ231"/>
  <c r="CO49"/>
  <c r="BT49"/>
  <c r="BC56"/>
  <c r="BB80"/>
  <c r="BB124"/>
  <c r="BC102"/>
  <c r="BC68"/>
  <c r="BC114"/>
  <c r="BB136"/>
  <c r="BB92"/>
  <c r="CP26"/>
  <c r="BU26"/>
  <c r="BA4" i="23"/>
  <c r="BA43" s="1"/>
  <c r="BA161" i="20"/>
  <c r="AZ473"/>
  <c r="AZ340"/>
  <c r="BA604"/>
  <c r="BB255"/>
  <c r="BC572"/>
  <c r="BC235"/>
  <c r="BC584" s="1"/>
  <c r="BC264"/>
  <c r="BC611" s="1"/>
  <c r="BC266"/>
  <c r="BO367"/>
  <c r="CJ367"/>
  <c r="BS279"/>
  <c r="CN279"/>
  <c r="BS271"/>
  <c r="CN271"/>
  <c r="CU21"/>
  <c r="BZ1074" i="19"/>
  <c r="BS10" i="23"/>
  <c r="BT46" i="20"/>
  <c r="CP46" s="1"/>
  <c r="BJ220"/>
  <c r="BJ268" i="19"/>
  <c r="BJ267"/>
  <c r="BN215" i="20"/>
  <c r="CJ215" s="1"/>
  <c r="BN566"/>
  <c r="CJ566" s="1"/>
  <c r="BN493"/>
  <c r="CJ493" s="1"/>
  <c r="BN216"/>
  <c r="CJ216" s="1"/>
  <c r="BT282"/>
  <c r="CP282" s="1"/>
  <c r="K65" i="23"/>
  <c r="K66" s="1"/>
  <c r="BR348" i="20"/>
  <c r="CN348" s="1"/>
  <c r="BD582"/>
  <c r="BN214"/>
  <c r="CJ214" s="1"/>
  <c r="BB37" i="23"/>
  <c r="AV458" i="20"/>
  <c r="AX458"/>
  <c r="BC228" i="19"/>
  <c r="BB121" i="20"/>
  <c r="BA99"/>
  <c r="BB75"/>
  <c r="BA143"/>
  <c r="BU34"/>
  <c r="CQ34" s="1"/>
  <c r="BL36"/>
  <c r="BM86" i="19"/>
  <c r="BK230"/>
  <c r="J458" i="20"/>
  <c r="P61" i="23"/>
  <c r="P62"/>
  <c r="P42" s="1"/>
  <c r="BP94" i="28"/>
  <c r="CK94" s="1"/>
  <c r="CK24"/>
  <c r="BR2"/>
  <c r="BQ24"/>
  <c r="BQ62"/>
  <c r="CL62" s="1"/>
  <c r="BQ72"/>
  <c r="CL72" s="1"/>
  <c r="BQ44"/>
  <c r="Y458" i="20"/>
  <c r="BM219" i="19"/>
  <c r="BR48" i="20"/>
  <c r="CN48" s="1"/>
  <c r="BO125"/>
  <c r="CK125" s="1"/>
  <c r="BN81"/>
  <c r="CJ81" s="1"/>
  <c r="BO14"/>
  <c r="CK14" s="1"/>
  <c r="BN103"/>
  <c r="CJ103" s="1"/>
  <c r="AV274"/>
  <c r="BP51"/>
  <c r="CL51" s="1"/>
  <c r="BS1186" i="19"/>
  <c r="BN233"/>
  <c r="CG36" i="20"/>
  <c r="BK273"/>
  <c r="BK510"/>
  <c r="CG510" s="1"/>
  <c r="BK422"/>
  <c r="CG266"/>
  <c r="BK267"/>
  <c r="CG267" s="1"/>
  <c r="BT804" i="19"/>
  <c r="BE223" i="20"/>
  <c r="BT31"/>
  <c r="CP31" s="1"/>
  <c r="J274"/>
  <c r="BN442"/>
  <c r="CJ442" s="1"/>
  <c r="BK220" i="19"/>
  <c r="BA115" i="20"/>
  <c r="BA69"/>
  <c r="AZ137"/>
  <c r="AZ93"/>
  <c r="BK547"/>
  <c r="CG547" s="1"/>
  <c r="CG208"/>
  <c r="BK358"/>
  <c r="BK352"/>
  <c r="BL500"/>
  <c r="CH500" s="1"/>
  <c r="CH503"/>
  <c r="BS28"/>
  <c r="CO28" s="1"/>
  <c r="AP458"/>
  <c r="CI220"/>
  <c r="BM217"/>
  <c r="BM235"/>
  <c r="CI235" s="1"/>
  <c r="CH493"/>
  <c r="BN584"/>
  <c r="CJ584" s="1"/>
  <c r="BL229" i="19"/>
  <c r="AW352" i="20"/>
  <c r="AW358"/>
  <c r="CD986" i="19"/>
  <c r="CI53" i="20"/>
  <c r="BA119"/>
  <c r="AZ141"/>
  <c r="BA73"/>
  <c r="AZ97"/>
  <c r="AX227" i="19"/>
  <c r="BZ1138"/>
  <c r="CA1132"/>
  <c r="BP104" i="28"/>
  <c r="CK104"/>
  <c r="CK44"/>
  <c r="AY82" i="20"/>
  <c r="AZ104"/>
  <c r="AZ58"/>
  <c r="AY126"/>
  <c r="BN128"/>
  <c r="CJ128" s="1"/>
  <c r="BO106"/>
  <c r="CK106" s="1"/>
  <c r="BN84"/>
  <c r="CJ84" s="1"/>
  <c r="CI38"/>
  <c r="BM60"/>
  <c r="AP274"/>
  <c r="BM218" i="19"/>
  <c r="BT40" i="20"/>
  <c r="CP40" s="1"/>
  <c r="BU1094" i="19"/>
  <c r="BT1163"/>
  <c r="BN53" i="20"/>
  <c r="CJ53" s="1"/>
  <c r="BO105" i="19"/>
  <c r="BP105"/>
  <c r="BQ105" s="1"/>
  <c r="BR105" s="1"/>
  <c r="BS105" s="1"/>
  <c r="BT105" s="1"/>
  <c r="BU105" s="1"/>
  <c r="BV105" s="1"/>
  <c r="BW105" s="1"/>
  <c r="BX105" s="1"/>
  <c r="BY105" s="1"/>
  <c r="BZ105" s="1"/>
  <c r="CA105" s="1"/>
  <c r="CB105" s="1"/>
  <c r="CC105" s="1"/>
  <c r="CD105" s="1"/>
  <c r="CI260" i="20"/>
  <c r="BN260"/>
  <c r="CJ260" s="1"/>
  <c r="BB219" i="19"/>
  <c r="CC120"/>
  <c r="CB836"/>
  <c r="BA98" i="20"/>
  <c r="BB74"/>
  <c r="BB120"/>
  <c r="BA142"/>
  <c r="BO380"/>
  <c r="CK380" s="1"/>
  <c r="BV87" i="19"/>
  <c r="BU37" i="20"/>
  <c r="CQ37" s="1"/>
  <c r="BR52"/>
  <c r="CN52" s="1"/>
  <c r="BL68" i="28"/>
  <c r="CG68" s="1"/>
  <c r="BL100"/>
  <c r="CG100" s="1"/>
  <c r="BM68"/>
  <c r="CH68" s="1"/>
  <c r="CG37"/>
  <c r="BN453" i="20"/>
  <c r="CJ453" s="1"/>
  <c r="BS8" i="23"/>
  <c r="BT25" i="20"/>
  <c r="CP25" s="1"/>
  <c r="BV32"/>
  <c r="BM545"/>
  <c r="CI545" s="1"/>
  <c r="CI205"/>
  <c r="BT47"/>
  <c r="CP47" s="1"/>
  <c r="BS29"/>
  <c r="CO29" s="1"/>
  <c r="BM208"/>
  <c r="BR1177" i="19"/>
  <c r="CH474" i="20"/>
  <c r="CN38"/>
  <c r="BT1092" i="19"/>
  <c r="BU1092" s="1"/>
  <c r="BS1161"/>
  <c r="BS1184" s="1"/>
  <c r="BS1115"/>
  <c r="BT1090"/>
  <c r="BS1080"/>
  <c r="BS1089"/>
  <c r="BS1112" s="1"/>
  <c r="BS38" i="20"/>
  <c r="BS1093" i="19"/>
  <c r="BR1121"/>
  <c r="BT1095"/>
  <c r="BS1098"/>
  <c r="BS41" i="20"/>
  <c r="BT1091" i="19"/>
  <c r="BU1091" s="1"/>
  <c r="BS39" i="20"/>
  <c r="CO39" s="1"/>
  <c r="BS1114" i="19"/>
  <c r="BS1160"/>
  <c r="BS1183" s="1"/>
  <c r="BR42" i="20"/>
  <c r="BR1162" i="19"/>
  <c r="BR1078"/>
  <c r="BR1182"/>
  <c r="BQ1185"/>
  <c r="BQ1158"/>
  <c r="BQ64" i="20"/>
  <c r="BR110" s="1"/>
  <c r="CN110" s="1"/>
  <c r="CM42"/>
  <c r="BR1172" i="19"/>
  <c r="BA105" i="20"/>
  <c r="AZ83"/>
  <c r="BA59"/>
  <c r="BA127" s="1"/>
  <c r="AZ127"/>
  <c r="BA67"/>
  <c r="BA113"/>
  <c r="AZ135"/>
  <c r="AZ91"/>
  <c r="BT50"/>
  <c r="CO50"/>
  <c r="BT30"/>
  <c r="CO30"/>
  <c r="AZ112"/>
  <c r="AZ66"/>
  <c r="AY134"/>
  <c r="AY90"/>
  <c r="AX168"/>
  <c r="AX171" s="1"/>
  <c r="BU27"/>
  <c r="CP27"/>
  <c r="BD114"/>
  <c r="BD68"/>
  <c r="BC92"/>
  <c r="BC136"/>
  <c r="CO45"/>
  <c r="BT45"/>
  <c r="CP49"/>
  <c r="BU49"/>
  <c r="BK231"/>
  <c r="CK366"/>
  <c r="BP366"/>
  <c r="BU13"/>
  <c r="CP13"/>
  <c r="BD102"/>
  <c r="BC80"/>
  <c r="BD56"/>
  <c r="BC124"/>
  <c r="BC165" s="1"/>
  <c r="BA117"/>
  <c r="BA71"/>
  <c r="AZ139"/>
  <c r="AZ95"/>
  <c r="CQ26"/>
  <c r="BV26"/>
  <c r="BB4" i="23"/>
  <c r="BB43" s="1"/>
  <c r="BB161" i="20"/>
  <c r="CO166"/>
  <c r="BT166"/>
  <c r="AZ341"/>
  <c r="BC255"/>
  <c r="BB331"/>
  <c r="BB604"/>
  <c r="BP367"/>
  <c r="CK367"/>
  <c r="BT271"/>
  <c r="CO271"/>
  <c r="CO279"/>
  <c r="BT279"/>
  <c r="BC422"/>
  <c r="BC267"/>
  <c r="BC613" s="1"/>
  <c r="BC273"/>
  <c r="BC612"/>
  <c r="AZ82"/>
  <c r="BA58"/>
  <c r="BA104"/>
  <c r="AZ126"/>
  <c r="BA137"/>
  <c r="BB69"/>
  <c r="BB115"/>
  <c r="BA93"/>
  <c r="BU31"/>
  <c r="CQ31" s="1"/>
  <c r="BO233" i="19"/>
  <c r="BP233"/>
  <c r="BQ233" s="1"/>
  <c r="BR233" s="1"/>
  <c r="BS233" s="1"/>
  <c r="BO81" i="20"/>
  <c r="CK81" s="1"/>
  <c r="BP125"/>
  <c r="CL125" s="1"/>
  <c r="BO103"/>
  <c r="CK103" s="1"/>
  <c r="BP14"/>
  <c r="CL14" s="1"/>
  <c r="BN219" i="19"/>
  <c r="BQ104" i="28"/>
  <c r="CL104" s="1"/>
  <c r="CL44"/>
  <c r="BR44"/>
  <c r="BR24"/>
  <c r="BR72"/>
  <c r="CM72"/>
  <c r="BR62"/>
  <c r="CM62" s="1"/>
  <c r="BS2"/>
  <c r="CH36" i="20"/>
  <c r="BV34"/>
  <c r="CR34" s="1"/>
  <c r="BJ265" i="19"/>
  <c r="BJ295" s="1"/>
  <c r="BJ297" s="1"/>
  <c r="BJ293"/>
  <c r="CC836"/>
  <c r="CD120"/>
  <c r="BO53" i="20"/>
  <c r="CK53" s="1"/>
  <c r="BN218" i="19"/>
  <c r="BA141" i="20"/>
  <c r="BA97"/>
  <c r="BB73"/>
  <c r="BB119"/>
  <c r="BM229" i="19"/>
  <c r="BT28" i="20"/>
  <c r="CP28" s="1"/>
  <c r="BK558"/>
  <c r="CG558" s="1"/>
  <c r="CG358"/>
  <c r="BQ51"/>
  <c r="CM51" s="1"/>
  <c r="Q61" i="23"/>
  <c r="BU282" i="20"/>
  <c r="CQ282" s="1"/>
  <c r="BJ217"/>
  <c r="BN609"/>
  <c r="CJ609" s="1"/>
  <c r="BT1186" i="19"/>
  <c r="BN106" i="20"/>
  <c r="CJ106" s="1"/>
  <c r="CI60"/>
  <c r="CG352"/>
  <c r="BK552"/>
  <c r="CG552" s="1"/>
  <c r="BE235"/>
  <c r="BE266"/>
  <c r="BE273" s="1"/>
  <c r="BE264"/>
  <c r="BE215"/>
  <c r="BK458"/>
  <c r="CG458" s="1"/>
  <c r="CG422"/>
  <c r="BK274"/>
  <c r="CG274" s="1"/>
  <c r="CG273"/>
  <c r="BS48"/>
  <c r="CO48" s="1"/>
  <c r="BB228" i="19"/>
  <c r="BS348" i="20"/>
  <c r="CO348" s="1"/>
  <c r="BN565"/>
  <c r="CJ565" s="1"/>
  <c r="BA219" i="19"/>
  <c r="BU40" i="20"/>
  <c r="CQ40" s="1"/>
  <c r="BV1094" i="19"/>
  <c r="BV40" i="20" s="1"/>
  <c r="CR40" s="1"/>
  <c r="BU1163" i="19"/>
  <c r="BU1186" s="1"/>
  <c r="CB1132"/>
  <c r="CA1138"/>
  <c r="AW227"/>
  <c r="CI217" i="20"/>
  <c r="BM493"/>
  <c r="CI493" s="1"/>
  <c r="BM215"/>
  <c r="BM216"/>
  <c r="CI216" s="1"/>
  <c r="BL220" i="19"/>
  <c r="BM220" s="1"/>
  <c r="BU804"/>
  <c r="BQ94" i="28"/>
  <c r="CL94" s="1"/>
  <c r="CL24"/>
  <c r="BL230" i="19"/>
  <c r="BN86"/>
  <c r="BM36" i="20"/>
  <c r="CI36" s="1"/>
  <c r="BC121"/>
  <c r="BB99"/>
  <c r="BC75"/>
  <c r="BD121" s="1"/>
  <c r="BB143"/>
  <c r="BN492"/>
  <c r="CJ492" s="1"/>
  <c r="BN491"/>
  <c r="CJ491" s="1"/>
  <c r="BN564"/>
  <c r="CJ564" s="1"/>
  <c r="BU46"/>
  <c r="CQ46" s="1"/>
  <c r="BT10" i="23"/>
  <c r="CA1074" i="19"/>
  <c r="BW87"/>
  <c r="BV37" i="20"/>
  <c r="CR37" s="1"/>
  <c r="CI208"/>
  <c r="BM358"/>
  <c r="BM547"/>
  <c r="CI547" s="1"/>
  <c r="BM352"/>
  <c r="CI352" s="1"/>
  <c r="BU47"/>
  <c r="CQ47" s="1"/>
  <c r="BW32"/>
  <c r="BT8" i="23"/>
  <c r="BU25" i="20"/>
  <c r="CQ25" s="1"/>
  <c r="BP380"/>
  <c r="CL380" s="1"/>
  <c r="BB142"/>
  <c r="BC120"/>
  <c r="BB98"/>
  <c r="BC74"/>
  <c r="BQ132"/>
  <c r="CM132" s="1"/>
  <c r="CM64"/>
  <c r="BS1078" i="19"/>
  <c r="BT1161"/>
  <c r="BT1184" s="1"/>
  <c r="BT1115"/>
  <c r="BU1115" s="1"/>
  <c r="BV1115" s="1"/>
  <c r="BW1115" s="1"/>
  <c r="BX1115" s="1"/>
  <c r="BY1115" s="1"/>
  <c r="BZ1115" s="1"/>
  <c r="CA1115" s="1"/>
  <c r="CB1115" s="1"/>
  <c r="CC1115" s="1"/>
  <c r="CD1115" s="1"/>
  <c r="CN42" i="20"/>
  <c r="BT39"/>
  <c r="CP39" s="1"/>
  <c r="BT1160" i="19"/>
  <c r="BT1183" s="1"/>
  <c r="BT1114"/>
  <c r="BU1114" s="1"/>
  <c r="BV1114" s="1"/>
  <c r="BW1114" s="1"/>
  <c r="BX1114" s="1"/>
  <c r="BY1114" s="1"/>
  <c r="BZ1114" s="1"/>
  <c r="CA1114" s="1"/>
  <c r="CB1114" s="1"/>
  <c r="CC1114" s="1"/>
  <c r="CD1114" s="1"/>
  <c r="BT41" i="20"/>
  <c r="BU1095" i="19"/>
  <c r="BT1098"/>
  <c r="BU1098" s="1"/>
  <c r="BV1098" s="1"/>
  <c r="BW1098" s="1"/>
  <c r="BX1098" s="1"/>
  <c r="BY1098" s="1"/>
  <c r="BZ1098" s="1"/>
  <c r="CA1098" s="1"/>
  <c r="CB1098" s="1"/>
  <c r="CC1098" s="1"/>
  <c r="CD1098" s="1"/>
  <c r="BS42" i="20"/>
  <c r="BS1162" i="19"/>
  <c r="BS1185" s="1"/>
  <c r="BR1185"/>
  <c r="BR1158"/>
  <c r="BR1157"/>
  <c r="BR1175"/>
  <c r="BR1086"/>
  <c r="CO38" i="20"/>
  <c r="BT38"/>
  <c r="BU1090" i="19"/>
  <c r="BV1090" s="1"/>
  <c r="BT1093"/>
  <c r="BT1089"/>
  <c r="BS1176"/>
  <c r="BB59" i="20"/>
  <c r="BB127" s="1"/>
  <c r="BA83"/>
  <c r="BB105"/>
  <c r="CP50"/>
  <c r="BA91"/>
  <c r="BB67"/>
  <c r="BC67" s="1"/>
  <c r="BA135"/>
  <c r="BB113"/>
  <c r="CP30"/>
  <c r="BU30"/>
  <c r="BV30" s="1"/>
  <c r="BA112"/>
  <c r="AZ134"/>
  <c r="BA66"/>
  <c r="BB112" s="1"/>
  <c r="AZ90"/>
  <c r="AY168"/>
  <c r="AY171" s="1"/>
  <c r="CQ27"/>
  <c r="BV27"/>
  <c r="BB117"/>
  <c r="BB71"/>
  <c r="BA139"/>
  <c r="BA95"/>
  <c r="BV13"/>
  <c r="CQ13"/>
  <c r="BD136"/>
  <c r="BE68"/>
  <c r="BE114"/>
  <c r="BD92"/>
  <c r="CR26"/>
  <c r="BW26"/>
  <c r="CP45"/>
  <c r="BU45"/>
  <c r="BC4" i="23"/>
  <c r="BC161" i="20"/>
  <c r="CQ49"/>
  <c r="BV49"/>
  <c r="BW49" s="1"/>
  <c r="CP166"/>
  <c r="BU166"/>
  <c r="BE102"/>
  <c r="BD80"/>
  <c r="BD161" s="1"/>
  <c r="BD124"/>
  <c r="BD165" s="1"/>
  <c r="BE56"/>
  <c r="BQ366"/>
  <c r="CM366" s="1"/>
  <c r="CL366"/>
  <c r="CG231"/>
  <c r="BL231"/>
  <c r="BB473"/>
  <c r="BB340"/>
  <c r="BC604"/>
  <c r="BD255"/>
  <c r="BE255" s="1"/>
  <c r="BC274"/>
  <c r="BC620" s="1"/>
  <c r="BC619"/>
  <c r="BC458"/>
  <c r="BC407"/>
  <c r="BC457" s="1"/>
  <c r="CP279"/>
  <c r="BU279"/>
  <c r="CQ279" s="1"/>
  <c r="CP271"/>
  <c r="BU271"/>
  <c r="BQ367"/>
  <c r="CM367" s="1"/>
  <c r="CL367"/>
  <c r="BC99"/>
  <c r="AV227" i="19"/>
  <c r="BB93" i="20"/>
  <c r="BC115"/>
  <c r="BC69"/>
  <c r="BB137"/>
  <c r="BV46"/>
  <c r="CR46" s="1"/>
  <c r="BM230" i="19"/>
  <c r="BE267" i="20"/>
  <c r="BJ493"/>
  <c r="BJ216"/>
  <c r="BC119"/>
  <c r="BB97"/>
  <c r="BB141"/>
  <c r="BC73"/>
  <c r="BO218" i="19"/>
  <c r="BW34" i="20"/>
  <c r="CS34" s="1"/>
  <c r="BS72" i="28"/>
  <c r="CN72" s="1"/>
  <c r="BS62"/>
  <c r="CN62" s="1"/>
  <c r="BT2"/>
  <c r="BT72" s="1"/>
  <c r="CO72" s="1"/>
  <c r="BS44"/>
  <c r="BS24"/>
  <c r="BR104"/>
  <c r="CM104"/>
  <c r="CM44"/>
  <c r="BV31" i="20"/>
  <c r="CR31" s="1"/>
  <c r="R61" i="23"/>
  <c r="Q62"/>
  <c r="Q42"/>
  <c r="BP53" i="20"/>
  <c r="CL53" s="1"/>
  <c r="BQ125"/>
  <c r="CM125" s="1"/>
  <c r="BQ14"/>
  <c r="CM14" s="1"/>
  <c r="BP81"/>
  <c r="CL81" s="1"/>
  <c r="BP103"/>
  <c r="CL103" s="1"/>
  <c r="BB104"/>
  <c r="BA82"/>
  <c r="BB58"/>
  <c r="BA126"/>
  <c r="BW1094" i="19"/>
  <c r="BV1163"/>
  <c r="BV1186" s="1"/>
  <c r="BT348" i="20"/>
  <c r="CP348" s="1"/>
  <c r="BT48"/>
  <c r="CP48" s="1"/>
  <c r="CB1074" i="19"/>
  <c r="CC1074" s="1"/>
  <c r="CW21" i="20"/>
  <c r="BV804" i="19"/>
  <c r="CI215" i="20"/>
  <c r="BM491"/>
  <c r="CI491" s="1"/>
  <c r="AZ219" i="19"/>
  <c r="BA228"/>
  <c r="BV282" i="20"/>
  <c r="CR282" s="1"/>
  <c r="BR51"/>
  <c r="CN51" s="1"/>
  <c r="BU28"/>
  <c r="CQ28" s="1"/>
  <c r="BN229" i="19"/>
  <c r="CD836"/>
  <c r="BN36" i="20"/>
  <c r="CJ36" s="1"/>
  <c r="BO86" i="19"/>
  <c r="BO36" i="20" s="1"/>
  <c r="CC1132" i="19"/>
  <c r="CB1138"/>
  <c r="CM24" i="28"/>
  <c r="BR94"/>
  <c r="CM94"/>
  <c r="BO219" i="19"/>
  <c r="BP219" s="1"/>
  <c r="BQ219" s="1"/>
  <c r="BR219" s="1"/>
  <c r="BS219" s="1"/>
  <c r="BV25" i="20"/>
  <c r="CR25" s="1"/>
  <c r="BU8" i="23"/>
  <c r="BX32" i="20"/>
  <c r="BY32" s="1"/>
  <c r="BC98"/>
  <c r="BD74"/>
  <c r="BD98" s="1"/>
  <c r="BC142"/>
  <c r="BD120"/>
  <c r="BQ380"/>
  <c r="CM380" s="1"/>
  <c r="BV47"/>
  <c r="CR47" s="1"/>
  <c r="BM552"/>
  <c r="CI552" s="1"/>
  <c r="BM558"/>
  <c r="CI558" s="1"/>
  <c r="CI358"/>
  <c r="BX87" i="19"/>
  <c r="BY87" s="1"/>
  <c r="BW37" i="20"/>
  <c r="CS37" s="1"/>
  <c r="BT42"/>
  <c r="BT1162" i="19"/>
  <c r="BU1093"/>
  <c r="BU42" i="20" s="1"/>
  <c r="BU41"/>
  <c r="BV1095" i="19"/>
  <c r="BV41" i="20" s="1"/>
  <c r="BU1089" i="19"/>
  <c r="BV1089" s="1"/>
  <c r="BW1089" s="1"/>
  <c r="BX1089" s="1"/>
  <c r="BY1089" s="1"/>
  <c r="BZ1089" s="1"/>
  <c r="CA1089" s="1"/>
  <c r="CB1089" s="1"/>
  <c r="CC1089" s="1"/>
  <c r="CD1089" s="1"/>
  <c r="BT1112"/>
  <c r="BS1175"/>
  <c r="BS1157"/>
  <c r="BS1086"/>
  <c r="CO42" i="20"/>
  <c r="BC105"/>
  <c r="BC113"/>
  <c r="BW27"/>
  <c r="BX27" s="1"/>
  <c r="CR27"/>
  <c r="AZ168"/>
  <c r="AZ171" s="1"/>
  <c r="BD4" i="23"/>
  <c r="BD43" s="1"/>
  <c r="BE80" i="20"/>
  <c r="BE124"/>
  <c r="BE165" s="1"/>
  <c r="BF56"/>
  <c r="BG102" s="1"/>
  <c r="BF102"/>
  <c r="CQ45"/>
  <c r="BV45"/>
  <c r="CS26"/>
  <c r="BX26"/>
  <c r="BY26" s="1"/>
  <c r="BE136"/>
  <c r="BF68"/>
  <c r="BG114" s="1"/>
  <c r="BE92"/>
  <c r="BE4" i="23" s="1"/>
  <c r="BE43" s="1"/>
  <c r="BF114" i="20"/>
  <c r="BM231"/>
  <c r="CI231" s="1"/>
  <c r="CQ166"/>
  <c r="BV166"/>
  <c r="CR166" s="1"/>
  <c r="BC71"/>
  <c r="BD117" s="1"/>
  <c r="BB95"/>
  <c r="BC117"/>
  <c r="BB139"/>
  <c r="BD604"/>
  <c r="BD331"/>
  <c r="BB341"/>
  <c r="CQ271"/>
  <c r="BV271"/>
  <c r="BW271" s="1"/>
  <c r="BV279"/>
  <c r="BW279" s="1"/>
  <c r="BX279" s="1"/>
  <c r="BY279" s="1"/>
  <c r="BZ279" s="1"/>
  <c r="CA279" s="1"/>
  <c r="CB279" s="1"/>
  <c r="CC279" s="1"/>
  <c r="CD279" s="1"/>
  <c r="BO229" i="19"/>
  <c r="BP229" s="1"/>
  <c r="BQ229" s="1"/>
  <c r="BR229" s="1"/>
  <c r="BS229" s="1"/>
  <c r="BX1094"/>
  <c r="BY1094" s="1"/>
  <c r="BW1163"/>
  <c r="BW40" i="20"/>
  <c r="CS40" s="1"/>
  <c r="BB126"/>
  <c r="BC58"/>
  <c r="BC82" s="1"/>
  <c r="BC104"/>
  <c r="BB82"/>
  <c r="BW31"/>
  <c r="CS31" s="1"/>
  <c r="CN44" i="28"/>
  <c r="BS104"/>
  <c r="CN104" s="1"/>
  <c r="BN230" i="19"/>
  <c r="AZ228"/>
  <c r="BT44" i="28"/>
  <c r="BT24"/>
  <c r="BU2"/>
  <c r="BP218" i="19"/>
  <c r="AU227"/>
  <c r="CC1138"/>
  <c r="CD1132"/>
  <c r="CD1138" s="1"/>
  <c r="BS51" i="20"/>
  <c r="CO51" s="1"/>
  <c r="BQ53"/>
  <c r="CM53" s="1"/>
  <c r="S61" i="23"/>
  <c r="R62"/>
  <c r="R42" s="1"/>
  <c r="BD73" i="20"/>
  <c r="BD97" s="1"/>
  <c r="BC97"/>
  <c r="BC141"/>
  <c r="BD119"/>
  <c r="BP86" i="19"/>
  <c r="BP36" i="20" s="1"/>
  <c r="BV28"/>
  <c r="CR28" s="1"/>
  <c r="AY219" i="19"/>
  <c r="BW804"/>
  <c r="BX804" s="1"/>
  <c r="BU348" i="20"/>
  <c r="BV348" s="1"/>
  <c r="CN24" i="28"/>
  <c r="BS94"/>
  <c r="CN94" s="1"/>
  <c r="BX34" i="20"/>
  <c r="BD69"/>
  <c r="BE69" s="1"/>
  <c r="BC93"/>
  <c r="BD115"/>
  <c r="BC137"/>
  <c r="BR380"/>
  <c r="CN380" s="1"/>
  <c r="BE120"/>
  <c r="BD142"/>
  <c r="BE74"/>
  <c r="BF74" s="1"/>
  <c r="BW47"/>
  <c r="CS47" s="1"/>
  <c r="BV8" i="23"/>
  <c r="CP42" i="20"/>
  <c r="BT1185" i="19"/>
  <c r="BU1112"/>
  <c r="BV1112" s="1"/>
  <c r="BW1112" s="1"/>
  <c r="BX1112" s="1"/>
  <c r="BY1112" s="1"/>
  <c r="BZ1112" s="1"/>
  <c r="CA1112" s="1"/>
  <c r="CB1112" s="1"/>
  <c r="CC1112" s="1"/>
  <c r="CD1112" s="1"/>
  <c r="BU1162"/>
  <c r="BU1185" s="1"/>
  <c r="BG68" i="20"/>
  <c r="BH114" s="1"/>
  <c r="CT26"/>
  <c r="CR45"/>
  <c r="BW45"/>
  <c r="BX45" s="1"/>
  <c r="CT45" s="1"/>
  <c r="BC95"/>
  <c r="BG56"/>
  <c r="BG80" s="1"/>
  <c r="BD473"/>
  <c r="CR279"/>
  <c r="BD93"/>
  <c r="AX219" i="19"/>
  <c r="AW219" s="1"/>
  <c r="T61" i="23"/>
  <c r="CO44" i="28"/>
  <c r="BT104"/>
  <c r="CO104" s="1"/>
  <c r="BO230" i="19"/>
  <c r="BP230"/>
  <c r="BQ230" s="1"/>
  <c r="BR230" s="1"/>
  <c r="BS230" s="1"/>
  <c r="BU24" i="28"/>
  <c r="BV2"/>
  <c r="BU44"/>
  <c r="BU72"/>
  <c r="CP72" s="1"/>
  <c r="BU62"/>
  <c r="CP62" s="1"/>
  <c r="BW1186" i="19"/>
  <c r="BW28" i="20"/>
  <c r="CS28" s="1"/>
  <c r="AT227" i="19"/>
  <c r="CO24" i="28"/>
  <c r="BT94"/>
  <c r="CO94"/>
  <c r="BX1163" i="19"/>
  <c r="BX1186" s="1"/>
  <c r="BX40" i="20"/>
  <c r="CT40" s="1"/>
  <c r="S62" i="23"/>
  <c r="S42"/>
  <c r="BQ218" i="19"/>
  <c r="BR218" s="1"/>
  <c r="BS218" s="1"/>
  <c r="AY228"/>
  <c r="BC126" i="20"/>
  <c r="BD104"/>
  <c r="BD58"/>
  <c r="BD126" s="1"/>
  <c r="BE98"/>
  <c r="BH68"/>
  <c r="BI68" s="1"/>
  <c r="BG92"/>
  <c r="BH56"/>
  <c r="BH124" s="1"/>
  <c r="CS45"/>
  <c r="AS227" i="19"/>
  <c r="BU94" i="28"/>
  <c r="CP94" s="1"/>
  <c r="CP24"/>
  <c r="U61" i="23"/>
  <c r="U62" s="1"/>
  <c r="U42" s="1"/>
  <c r="T62"/>
  <c r="T42"/>
  <c r="AX228" i="19"/>
  <c r="AW228" s="1"/>
  <c r="BV44" i="28"/>
  <c r="CQ44" s="1"/>
  <c r="BW2"/>
  <c r="BV62"/>
  <c r="CQ62" s="1"/>
  <c r="BV72"/>
  <c r="CQ72" s="1"/>
  <c r="BV24"/>
  <c r="BV94" s="1"/>
  <c r="CQ94" s="1"/>
  <c r="BD82" i="20"/>
  <c r="CP44" i="28"/>
  <c r="BU104"/>
  <c r="CP104"/>
  <c r="BV104"/>
  <c r="CQ104" s="1"/>
  <c r="AR227" i="19"/>
  <c r="BX2" i="28"/>
  <c r="BW44"/>
  <c r="CR44" s="1"/>
  <c r="BW72"/>
  <c r="CR72"/>
  <c r="BW62"/>
  <c r="CR62"/>
  <c r="BW24"/>
  <c r="V61" i="23"/>
  <c r="W61"/>
  <c r="W62" s="1"/>
  <c r="CR24" i="28"/>
  <c r="BW94"/>
  <c r="CR94"/>
  <c r="BX24"/>
  <c r="BX62"/>
  <c r="CS62" s="1"/>
  <c r="BY2"/>
  <c r="BY72" s="1"/>
  <c r="CT72" s="1"/>
  <c r="BX44"/>
  <c r="BX72"/>
  <c r="CS72" s="1"/>
  <c r="AQ227" i="19"/>
  <c r="AP227" s="1"/>
  <c r="CS24" i="28"/>
  <c r="BX94"/>
  <c r="CS94" s="1"/>
  <c r="BX104"/>
  <c r="CS104" s="1"/>
  <c r="CS44"/>
  <c r="BY62"/>
  <c r="CT62" s="1"/>
  <c r="BY24"/>
  <c r="CT24" s="1"/>
  <c r="BY94"/>
  <c r="CT94" s="1"/>
  <c r="CJ347" i="20"/>
  <c r="CK347"/>
  <c r="CJ350"/>
  <c r="CK350"/>
  <c r="BN353"/>
  <c r="BN553" s="1"/>
  <c r="CJ553" s="1"/>
  <c r="BO353"/>
  <c r="CK353" s="1"/>
  <c r="BN550"/>
  <c r="CJ550" s="1"/>
  <c r="BM637" l="1"/>
  <c r="AO70"/>
  <c r="BN637"/>
  <c r="K73" i="28"/>
  <c r="BD68"/>
  <c r="BD100"/>
  <c r="BE68"/>
  <c r="AO235" i="20"/>
  <c r="AO215"/>
  <c r="AX99" i="28"/>
  <c r="AY67"/>
  <c r="AH99"/>
  <c r="AI67"/>
  <c r="BH6" i="20"/>
  <c r="BG386"/>
  <c r="BG438" s="1"/>
  <c r="BG489"/>
  <c r="BH92"/>
  <c r="AH67" i="28"/>
  <c r="AX67"/>
  <c r="AK69"/>
  <c r="AB323" i="20"/>
  <c r="AB401" s="1"/>
  <c r="AB450" s="1"/>
  <c r="X323"/>
  <c r="X401" s="1"/>
  <c r="X450" s="1"/>
  <c r="AQ67" i="28"/>
  <c r="J67"/>
  <c r="AP323" i="20"/>
  <c r="AP401" s="1"/>
  <c r="AP450" s="1"/>
  <c r="AB37" i="28"/>
  <c r="AB100" s="1"/>
  <c r="BF73"/>
  <c r="BC350" i="20"/>
  <c r="AK79"/>
  <c r="AK176" s="1"/>
  <c r="AG79"/>
  <c r="AG176" s="1"/>
  <c r="Y79"/>
  <c r="Y176" s="1"/>
  <c r="U79"/>
  <c r="U176" s="1"/>
  <c r="AA70"/>
  <c r="N70"/>
  <c r="Z69"/>
  <c r="V69"/>
  <c r="Q69"/>
  <c r="M69"/>
  <c r="AF68"/>
  <c r="AD57"/>
  <c r="Z57"/>
  <c r="AH56"/>
  <c r="V56"/>
  <c r="BJ73" i="28"/>
  <c r="CE73" s="1"/>
  <c r="BJ105"/>
  <c r="CE105" s="1"/>
  <c r="Z79"/>
  <c r="Y112"/>
  <c r="P58"/>
  <c r="Q69"/>
  <c r="P101"/>
  <c r="AQ101"/>
  <c r="AQ58"/>
  <c r="AR69"/>
  <c r="CJ45"/>
  <c r="BO73"/>
  <c r="CJ73" s="1"/>
  <c r="AV79"/>
  <c r="AU112"/>
  <c r="H69"/>
  <c r="BK73"/>
  <c r="CF73" s="1"/>
  <c r="AZ100"/>
  <c r="AZ68"/>
  <c r="BJ67"/>
  <c r="CE67" s="1"/>
  <c r="BJ99"/>
  <c r="CE99" s="1"/>
  <c r="E112"/>
  <c r="E79"/>
  <c r="AZ112"/>
  <c r="BA79"/>
  <c r="I58"/>
  <c r="I101"/>
  <c r="CF41"/>
  <c r="BK69"/>
  <c r="CF69" s="1"/>
  <c r="BK101"/>
  <c r="CF101" s="1"/>
  <c r="BK58"/>
  <c r="CF58" s="1"/>
  <c r="M79"/>
  <c r="CK35" i="23"/>
  <c r="AZ69" i="28"/>
  <c r="AK58"/>
  <c r="AE79"/>
  <c r="AL69"/>
  <c r="AV32"/>
  <c r="BE69"/>
  <c r="H58"/>
  <c r="H112" s="1"/>
  <c r="BK105"/>
  <c r="CF105" s="1"/>
  <c r="AE69"/>
  <c r="BB69"/>
  <c r="AH58"/>
  <c r="AH112" s="1"/>
  <c r="AQ37"/>
  <c r="BA101"/>
  <c r="AZ32"/>
  <c r="AW58"/>
  <c r="CI45"/>
  <c r="AR32"/>
  <c r="BA69"/>
  <c r="BE58"/>
  <c r="A58"/>
  <c r="AH69"/>
  <c r="AV64" i="23"/>
  <c r="T37" i="28"/>
  <c r="AR67"/>
  <c r="AK67"/>
  <c r="AN69"/>
  <c r="AN101"/>
  <c r="BI69"/>
  <c r="BH101"/>
  <c r="BH58"/>
  <c r="J69"/>
  <c r="J58"/>
  <c r="J112" s="1"/>
  <c r="J101"/>
  <c r="BA105"/>
  <c r="BA73"/>
  <c r="G101"/>
  <c r="G58"/>
  <c r="Y101"/>
  <c r="Z69"/>
  <c r="CK45"/>
  <c r="BP73"/>
  <c r="CK73" s="1"/>
  <c r="BC101"/>
  <c r="BC69"/>
  <c r="BD69"/>
  <c r="AT105"/>
  <c r="AT73"/>
  <c r="AR105"/>
  <c r="AR73"/>
  <c r="AS73"/>
  <c r="AL105"/>
  <c r="AL73"/>
  <c r="AJ105"/>
  <c r="AK73"/>
  <c r="AJ73"/>
  <c r="AH105"/>
  <c r="AH73"/>
  <c r="AI73"/>
  <c r="AF105"/>
  <c r="AG73"/>
  <c r="AA73"/>
  <c r="Z73"/>
  <c r="X105"/>
  <c r="Y73"/>
  <c r="V105"/>
  <c r="W73"/>
  <c r="V73"/>
  <c r="T105"/>
  <c r="U73"/>
  <c r="T73"/>
  <c r="P105"/>
  <c r="P73"/>
  <c r="L105"/>
  <c r="M73"/>
  <c r="F73"/>
  <c r="F105"/>
  <c r="AW112"/>
  <c r="AW79"/>
  <c r="BI58"/>
  <c r="BI101"/>
  <c r="AY58"/>
  <c r="AY101"/>
  <c r="AY69"/>
  <c r="BL58"/>
  <c r="BM69"/>
  <c r="CH69" s="1"/>
  <c r="BL69"/>
  <c r="CG69" s="1"/>
  <c r="AX101"/>
  <c r="AX58"/>
  <c r="AX69"/>
  <c r="CH45"/>
  <c r="BN73"/>
  <c r="CI73" s="1"/>
  <c r="AT99"/>
  <c r="AT67"/>
  <c r="AP99"/>
  <c r="AP67"/>
  <c r="L99"/>
  <c r="M67"/>
  <c r="H99"/>
  <c r="I67"/>
  <c r="AX43" i="23"/>
  <c r="AW37" i="28"/>
  <c r="AT37"/>
  <c r="AA79"/>
  <c r="K37"/>
  <c r="Z67"/>
  <c r="P69"/>
  <c r="AN37"/>
  <c r="AN100" s="1"/>
  <c r="AQ32"/>
  <c r="AR66" s="1"/>
  <c r="AM37"/>
  <c r="AM68" s="1"/>
  <c r="O37"/>
  <c r="AE37"/>
  <c r="AG37"/>
  <c r="AA37"/>
  <c r="I37"/>
  <c r="AI79"/>
  <c r="AJ79"/>
  <c r="AI112"/>
  <c r="CR30" i="20"/>
  <c r="BW30"/>
  <c r="BY40"/>
  <c r="CU40" s="1"/>
  <c r="BZ1094" i="19"/>
  <c r="CK36" i="20"/>
  <c r="BE274"/>
  <c r="CS271"/>
  <c r="BX271"/>
  <c r="BD67"/>
  <c r="BC91"/>
  <c r="BD113"/>
  <c r="BC135"/>
  <c r="BY27"/>
  <c r="BU1160" i="19"/>
  <c r="BU1183" s="1"/>
  <c r="BU39" i="20"/>
  <c r="CQ39" s="1"/>
  <c r="BV1091" i="19"/>
  <c r="BU1161"/>
  <c r="BU1184" s="1"/>
  <c r="BV1092"/>
  <c r="BG67" i="28"/>
  <c r="BG99"/>
  <c r="AZ446" i="20"/>
  <c r="AT68" i="28"/>
  <c r="AT100"/>
  <c r="BZ87" i="19"/>
  <c r="BZ37" i="20" s="1"/>
  <c r="BY37"/>
  <c r="BZ26"/>
  <c r="BV1093" i="19"/>
  <c r="BR367" i="20"/>
  <c r="CN367" s="1"/>
  <c r="CR13"/>
  <c r="BB66"/>
  <c r="BB91"/>
  <c r="CQ30"/>
  <c r="CP38"/>
  <c r="BE422"/>
  <c r="BM492"/>
  <c r="CI492" s="1"/>
  <c r="BG306"/>
  <c r="BG305" s="1"/>
  <c r="BG51" i="19"/>
  <c r="BI114" i="20"/>
  <c r="BG136"/>
  <c r="BX31"/>
  <c r="BN231"/>
  <c r="BH136"/>
  <c r="BI102"/>
  <c r="BT51"/>
  <c r="CR271"/>
  <c r="BG261"/>
  <c r="BG262" s="1"/>
  <c r="BC139"/>
  <c r="BF92"/>
  <c r="CS27"/>
  <c r="BW1095" i="19"/>
  <c r="BX37" i="20"/>
  <c r="CH231"/>
  <c r="BW13"/>
  <c r="BR366"/>
  <c r="CR49"/>
  <c r="BA90"/>
  <c r="BB135"/>
  <c r="BU50"/>
  <c r="BT29"/>
  <c r="BS52"/>
  <c r="BZ32"/>
  <c r="W325"/>
  <c r="V178"/>
  <c r="BH80"/>
  <c r="BH161" s="1"/>
  <c r="BH261"/>
  <c r="BF124"/>
  <c r="BF165" s="1"/>
  <c r="BU48"/>
  <c r="BV48" s="1"/>
  <c r="BA134"/>
  <c r="CG50"/>
  <c r="CH236"/>
  <c r="BB443"/>
  <c r="BJ522"/>
  <c r="BJ526" s="1"/>
  <c r="BB27" i="28"/>
  <c r="BC361" i="20"/>
  <c r="BK79" i="28"/>
  <c r="CF79" s="1"/>
  <c r="BK112"/>
  <c r="CF112" s="1"/>
  <c r="BN205" i="20"/>
  <c r="AG415"/>
  <c r="BG522"/>
  <c r="BG526" s="1"/>
  <c r="BN633"/>
  <c r="H189"/>
  <c r="I189"/>
  <c r="I204" s="1"/>
  <c r="I208" s="1"/>
  <c r="AL194"/>
  <c r="W194"/>
  <c r="CG189"/>
  <c r="O232"/>
  <c r="I232"/>
  <c r="AN232"/>
  <c r="AB232"/>
  <c r="AI232"/>
  <c r="Q232"/>
  <c r="X232"/>
  <c r="AJ232"/>
  <c r="BC10" i="23"/>
  <c r="BF405" i="20"/>
  <c r="CH23"/>
  <c r="BD31" i="23"/>
  <c r="BD388" i="20"/>
  <c r="CI29"/>
  <c r="AV119"/>
  <c r="CI46"/>
  <c r="BM10" i="23"/>
  <c r="CK10" s="1"/>
  <c r="CI48" i="20"/>
  <c r="CH49"/>
  <c r="CJ48"/>
  <c r="CK234"/>
  <c r="BH405"/>
  <c r="BI405"/>
  <c r="BK409"/>
  <c r="BM311"/>
  <c r="CG371"/>
  <c r="CI372"/>
  <c r="CI28"/>
  <c r="CG26"/>
  <c r="BC8" i="23"/>
  <c r="BC43" s="1"/>
  <c r="BD125" i="20"/>
  <c r="BC103"/>
  <c r="BA4" i="28"/>
  <c r="BB31" i="23"/>
  <c r="BA125" i="20"/>
  <c r="AY33" i="28"/>
  <c r="AV285" i="20"/>
  <c r="AV395" s="1"/>
  <c r="AV446" s="1"/>
  <c r="AW285"/>
  <c r="AX430" s="1"/>
  <c r="AU247"/>
  <c r="F247"/>
  <c r="AM247"/>
  <c r="O247"/>
  <c r="K247"/>
  <c r="AJ247"/>
  <c r="AT247"/>
  <c r="S247"/>
  <c r="AR247"/>
  <c r="U247"/>
  <c r="AF247"/>
  <c r="AH247"/>
  <c r="AS247"/>
  <c r="AN247"/>
  <c r="M247"/>
  <c r="I247"/>
  <c r="I246" s="1"/>
  <c r="AA247"/>
  <c r="AC247"/>
  <c r="Z247"/>
  <c r="N247"/>
  <c r="AK247"/>
  <c r="R247"/>
  <c r="V247"/>
  <c r="AG247"/>
  <c r="T247"/>
  <c r="AE247"/>
  <c r="H247"/>
  <c r="AO247"/>
  <c r="AQ247"/>
  <c r="AQ246" s="1"/>
  <c r="AL247"/>
  <c r="AU33" i="28"/>
  <c r="AU32" s="1"/>
  <c r="W258" i="20"/>
  <c r="W256" s="1"/>
  <c r="K258"/>
  <c r="K256" s="1"/>
  <c r="V258"/>
  <c r="V256" s="1"/>
  <c r="AE258"/>
  <c r="AE256" s="1"/>
  <c r="M258"/>
  <c r="M256" s="1"/>
  <c r="M331" s="1"/>
  <c r="F258"/>
  <c r="F256" s="1"/>
  <c r="F240" s="1"/>
  <c r="AK258"/>
  <c r="AK256" s="1"/>
  <c r="AL258"/>
  <c r="AL256" s="1"/>
  <c r="AI258"/>
  <c r="AI256" s="1"/>
  <c r="AH34" i="28" s="1"/>
  <c r="AH32" s="1"/>
  <c r="AH98" s="1"/>
  <c r="X258" i="20"/>
  <c r="X256" s="1"/>
  <c r="H258"/>
  <c r="H256" s="1"/>
  <c r="AJ258"/>
  <c r="AJ256" s="1"/>
  <c r="AI34" i="28" s="1"/>
  <c r="AH258" i="20"/>
  <c r="AH256" s="1"/>
  <c r="I258"/>
  <c r="I256" s="1"/>
  <c r="H34" i="28" s="1"/>
  <c r="T258" i="20"/>
  <c r="T256" s="1"/>
  <c r="AA258"/>
  <c r="AA256" s="1"/>
  <c r="N258"/>
  <c r="N256" s="1"/>
  <c r="U258"/>
  <c r="U256" s="1"/>
  <c r="S258"/>
  <c r="S256" s="1"/>
  <c r="AG258"/>
  <c r="AG256" s="1"/>
  <c r="AC258"/>
  <c r="AC256" s="1"/>
  <c r="AF258"/>
  <c r="AF256" s="1"/>
  <c r="G258"/>
  <c r="G256" s="1"/>
  <c r="Q258"/>
  <c r="Q256" s="1"/>
  <c r="O258"/>
  <c r="O256" s="1"/>
  <c r="N34" i="28" s="1"/>
  <c r="N32" s="1"/>
  <c r="P258" i="20"/>
  <c r="P256" s="1"/>
  <c r="P240" s="1"/>
  <c r="AD258"/>
  <c r="AD256" s="1"/>
  <c r="CG47"/>
  <c r="AY10" i="23"/>
  <c r="CJ45" i="20"/>
  <c r="BB170"/>
  <c r="AX170"/>
  <c r="BM45" i="19"/>
  <c r="BM50" s="1"/>
  <c r="BL12" i="20"/>
  <c r="CG13"/>
  <c r="BJ12"/>
  <c r="CH34"/>
  <c r="CJ26"/>
  <c r="CK365"/>
  <c r="AA240"/>
  <c r="AY32" i="28"/>
  <c r="CK388" i="20"/>
  <c r="BO633"/>
  <c r="R413"/>
  <c r="R463" s="1"/>
  <c r="R170"/>
  <c r="AT413"/>
  <c r="AT463" s="1"/>
  <c r="AT427"/>
  <c r="AT462" s="1"/>
  <c r="AA427"/>
  <c r="AA462" s="1"/>
  <c r="AA170"/>
  <c r="BJ423"/>
  <c r="BF423"/>
  <c r="AX423"/>
  <c r="AX466" s="1"/>
  <c r="AY350"/>
  <c r="CI350"/>
  <c r="AN388"/>
  <c r="AN440" s="1"/>
  <c r="AJ388"/>
  <c r="AJ440" s="1"/>
  <c r="T388"/>
  <c r="T440" s="1"/>
  <c r="CI226"/>
  <c r="BA200"/>
  <c r="AY373"/>
  <c r="BE465"/>
  <c r="CJ247"/>
  <c r="CJ277"/>
  <c r="CU379"/>
  <c r="CB89"/>
  <c r="CX89" s="1"/>
  <c r="CB111"/>
  <c r="CX111" s="1"/>
  <c r="CC133"/>
  <c r="CY133" s="1"/>
  <c r="T266"/>
  <c r="BA579"/>
  <c r="BA596"/>
  <c r="BA600"/>
  <c r="CG364"/>
  <c r="AW121"/>
  <c r="BI198"/>
  <c r="AV143"/>
  <c r="AI240"/>
  <c r="V240"/>
  <c r="AY240"/>
  <c r="AR102"/>
  <c r="J170"/>
  <c r="N427"/>
  <c r="N462" s="1"/>
  <c r="J194"/>
  <c r="AC194"/>
  <c r="AC335" s="1"/>
  <c r="AC284" s="1"/>
  <c r="AC378" s="1"/>
  <c r="AC414" s="1"/>
  <c r="AC467" s="1"/>
  <c r="Y194"/>
  <c r="X194"/>
  <c r="X335" s="1"/>
  <c r="X284" s="1"/>
  <c r="X378" s="1"/>
  <c r="X414" s="1"/>
  <c r="X467" s="1"/>
  <c r="F194"/>
  <c r="AM194"/>
  <c r="AM204" s="1"/>
  <c r="AM208" s="1"/>
  <c r="L194"/>
  <c r="H194"/>
  <c r="H335" s="1"/>
  <c r="H284" s="1"/>
  <c r="H378" s="1"/>
  <c r="H414" s="1"/>
  <c r="H467" s="1"/>
  <c r="S285"/>
  <c r="S395" s="1"/>
  <c r="S446" s="1"/>
  <c r="W276"/>
  <c r="AB189"/>
  <c r="AB204" s="1"/>
  <c r="AB208" s="1"/>
  <c r="W230"/>
  <c r="CI147"/>
  <c r="Q388"/>
  <c r="Q440" s="1"/>
  <c r="AM33" i="28"/>
  <c r="AM32" s="1"/>
  <c r="AO323" i="20"/>
  <c r="AO401" s="1"/>
  <c r="AO450" s="1"/>
  <c r="AI33" i="28"/>
  <c r="AI32" s="1"/>
  <c r="AK323" i="20"/>
  <c r="AK401" s="1"/>
  <c r="AK450" s="1"/>
  <c r="BI507"/>
  <c r="BI506"/>
  <c r="BI256"/>
  <c r="BK496"/>
  <c r="CG496" s="1"/>
  <c r="BK200"/>
  <c r="CG200" s="1"/>
  <c r="BJ225"/>
  <c r="CI277"/>
  <c r="CH252"/>
  <c r="BL200"/>
  <c r="CH200" s="1"/>
  <c r="BL496"/>
  <c r="CH496" s="1"/>
  <c r="BM353"/>
  <c r="CI354"/>
  <c r="BG506"/>
  <c r="BG237"/>
  <c r="BJ38" i="23"/>
  <c r="CH38" s="1"/>
  <c r="BJ502" i="20"/>
  <c r="BJ500" s="1"/>
  <c r="CJ35"/>
  <c r="CL18"/>
  <c r="BN524"/>
  <c r="CJ524" s="1"/>
  <c r="N410"/>
  <c r="N461" s="1"/>
  <c r="T331"/>
  <c r="BL229"/>
  <c r="BA607"/>
  <c r="AF230"/>
  <c r="H240"/>
  <c r="Z240"/>
  <c r="I240"/>
  <c r="AD281"/>
  <c r="AZ415"/>
  <c r="N170"/>
  <c r="O194"/>
  <c r="O335" s="1"/>
  <c r="O284" s="1"/>
  <c r="O378" s="1"/>
  <c r="O414" s="1"/>
  <c r="O467" s="1"/>
  <c r="AO194"/>
  <c r="AO335" s="1"/>
  <c r="AO284" s="1"/>
  <c r="AO378" s="1"/>
  <c r="AO414" s="1"/>
  <c r="AO467" s="1"/>
  <c r="K194"/>
  <c r="K335" s="1"/>
  <c r="K284" s="1"/>
  <c r="K378" s="1"/>
  <c r="K414" s="1"/>
  <c r="K467" s="1"/>
  <c r="AS194"/>
  <c r="AS335" s="1"/>
  <c r="AS284" s="1"/>
  <c r="AS378" s="1"/>
  <c r="AS414" s="1"/>
  <c r="AS467" s="1"/>
  <c r="AU194"/>
  <c r="AU204" s="1"/>
  <c r="AU208" s="1"/>
  <c r="T194"/>
  <c r="AN194"/>
  <c r="AN204" s="1"/>
  <c r="AN208" s="1"/>
  <c r="P194"/>
  <c r="P335" s="1"/>
  <c r="P284" s="1"/>
  <c r="P378" s="1"/>
  <c r="P414" s="1"/>
  <c r="P467" s="1"/>
  <c r="K189"/>
  <c r="AV217"/>
  <c r="AV215" s="1"/>
  <c r="AO269"/>
  <c r="AO205"/>
  <c r="AK205"/>
  <c r="AK208" s="1"/>
  <c r="AK269"/>
  <c r="AC205"/>
  <c r="AC269"/>
  <c r="Y269"/>
  <c r="Y273" s="1"/>
  <c r="Y274" s="1"/>
  <c r="Y205"/>
  <c r="P269"/>
  <c r="P205"/>
  <c r="L269"/>
  <c r="L273" s="1"/>
  <c r="L274" s="1"/>
  <c r="L205"/>
  <c r="AI238"/>
  <c r="AI204" s="1"/>
  <c r="AI208" s="1"/>
  <c r="AE238"/>
  <c r="AE204" s="1"/>
  <c r="AE208" s="1"/>
  <c r="P238"/>
  <c r="J238"/>
  <c r="G238"/>
  <c r="G204" s="1"/>
  <c r="G208" s="1"/>
  <c r="AN69"/>
  <c r="AN79"/>
  <c r="AN176" s="1"/>
  <c r="AF79"/>
  <c r="AF176" s="1"/>
  <c r="AF161"/>
  <c r="BL4" i="28"/>
  <c r="BM388" i="20"/>
  <c r="CN379"/>
  <c r="BK388"/>
  <c r="CG302"/>
  <c r="BJ4" i="28"/>
  <c r="BG388" i="20"/>
  <c r="BG31" i="23"/>
  <c r="CM16" i="20"/>
  <c r="BA617"/>
  <c r="AO266"/>
  <c r="P204"/>
  <c r="P208" s="1"/>
  <c r="AM335"/>
  <c r="AM284" s="1"/>
  <c r="AM378" s="1"/>
  <c r="AM414" s="1"/>
  <c r="AM467" s="1"/>
  <c r="AC204"/>
  <c r="AC208" s="1"/>
  <c r="AU335"/>
  <c r="AU284" s="1"/>
  <c r="AU378" s="1"/>
  <c r="AU414" s="1"/>
  <c r="AU467" s="1"/>
  <c r="AX415"/>
  <c r="V189"/>
  <c r="V204" s="1"/>
  <c r="V208" s="1"/>
  <c r="AM79"/>
  <c r="AM176" s="1"/>
  <c r="AA79"/>
  <c r="AA176" s="1"/>
  <c r="S79"/>
  <c r="S176" s="1"/>
  <c r="G79"/>
  <c r="G176" s="1"/>
  <c r="AH79"/>
  <c r="AH176" s="1"/>
  <c r="AD79"/>
  <c r="AD176" s="1"/>
  <c r="AR37" i="28"/>
  <c r="AW163" i="20"/>
  <c r="BL73" i="28"/>
  <c r="CG73" s="1"/>
  <c r="AM70" i="20"/>
  <c r="O353"/>
  <c r="BL528"/>
  <c r="CH528" s="1"/>
  <c r="BA163"/>
  <c r="BK482"/>
  <c r="BC332"/>
  <c r="S204"/>
  <c r="S208" s="1"/>
  <c r="S352" s="1"/>
  <c r="CA26"/>
  <c r="BY34"/>
  <c r="BY45"/>
  <c r="CA32"/>
  <c r="CV372"/>
  <c r="CV21"/>
  <c r="CW379"/>
  <c r="CY22"/>
  <c r="N67" i="28"/>
  <c r="N99"/>
  <c r="O67"/>
  <c r="AQ235" i="20"/>
  <c r="AQ266"/>
  <c r="AQ264"/>
  <c r="AQ215"/>
  <c r="M358"/>
  <c r="M352"/>
  <c r="BC404"/>
  <c r="BH99" i="28"/>
  <c r="BH67"/>
  <c r="BI67"/>
  <c r="AN98"/>
  <c r="AO66"/>
  <c r="AQ31"/>
  <c r="AR331" i="20"/>
  <c r="AP331"/>
  <c r="AX37" i="28"/>
  <c r="N223" i="20"/>
  <c r="BL634"/>
  <c r="BN634"/>
  <c r="BM632"/>
  <c r="N235"/>
  <c r="BL632"/>
  <c r="BN632"/>
  <c r="BQ88"/>
  <c r="CM88" s="1"/>
  <c r="BP64"/>
  <c r="BQ63"/>
  <c r="BQ87" s="1"/>
  <c r="BQ307"/>
  <c r="BQ413"/>
  <c r="BR363"/>
  <c r="BP149"/>
  <c r="BP35" i="23"/>
  <c r="BP36" s="1"/>
  <c r="BP413" i="20"/>
  <c r="BS764" i="19"/>
  <c r="BR1077"/>
  <c r="BR1128" s="1"/>
  <c r="BS1087"/>
  <c r="BR1087"/>
  <c r="BR1122"/>
  <c r="AX161" i="20"/>
  <c r="BC31" i="28"/>
  <c r="BD298" i="20"/>
  <c r="BJ306"/>
  <c r="BJ305" s="1"/>
  <c r="BJ51" i="19"/>
  <c r="AQ100" i="28"/>
  <c r="AQ68"/>
  <c r="AR68"/>
  <c r="CJ361" i="20"/>
  <c r="AC31" i="28"/>
  <c r="AD331" i="20"/>
  <c r="AX98" i="28"/>
  <c r="AX66"/>
  <c r="AW215" i="20"/>
  <c r="AW264"/>
  <c r="AW235"/>
  <c r="AW266"/>
  <c r="BB463"/>
  <c r="BD250"/>
  <c r="BF460"/>
  <c r="BB613"/>
  <c r="CL35" i="23"/>
  <c r="BD200" i="20"/>
  <c r="AV426"/>
  <c r="F357"/>
  <c r="AR357"/>
  <c r="S357"/>
  <c r="AP357"/>
  <c r="AF357"/>
  <c r="X413"/>
  <c r="X463" s="1"/>
  <c r="X427"/>
  <c r="X462" s="1"/>
  <c r="AG170"/>
  <c r="AG413"/>
  <c r="AG463" s="1"/>
  <c r="AD285"/>
  <c r="AE430" s="1"/>
  <c r="AC41" i="28"/>
  <c r="K41"/>
  <c r="L285" i="20"/>
  <c r="M395" s="1"/>
  <c r="M446" s="1"/>
  <c r="W413"/>
  <c r="W463" s="1"/>
  <c r="W170"/>
  <c r="AI170"/>
  <c r="AI427"/>
  <c r="AI462" s="1"/>
  <c r="AQ170"/>
  <c r="AQ413"/>
  <c r="AQ463" s="1"/>
  <c r="O427"/>
  <c r="O462" s="1"/>
  <c r="O413"/>
  <c r="O463" s="1"/>
  <c r="M427"/>
  <c r="M462" s="1"/>
  <c r="M170"/>
  <c r="AW236"/>
  <c r="AX426"/>
  <c r="AX269"/>
  <c r="AX273" s="1"/>
  <c r="AX205"/>
  <c r="BB236"/>
  <c r="BL440"/>
  <c r="CH440" s="1"/>
  <c r="BL837" i="19"/>
  <c r="AA276" i="20"/>
  <c r="AT276"/>
  <c r="CI151"/>
  <c r="AV36" i="28"/>
  <c r="AV35" s="1"/>
  <c r="BA37"/>
  <c r="BA28" s="1"/>
  <c r="BL223" i="20"/>
  <c r="BA462"/>
  <c r="L353"/>
  <c r="BH529"/>
  <c r="BM105" i="28"/>
  <c r="CH105" s="1"/>
  <c r="BC236" i="20"/>
  <c r="BG45" i="28"/>
  <c r="BG73" s="1"/>
  <c r="AR354" i="20"/>
  <c r="AH354"/>
  <c r="AD354"/>
  <c r="AI37" i="28"/>
  <c r="BA311" i="20"/>
  <c r="G247"/>
  <c r="BL383"/>
  <c r="BP365"/>
  <c r="BP259"/>
  <c r="CI22"/>
  <c r="AV57"/>
  <c r="BF264"/>
  <c r="BF215"/>
  <c r="BF235"/>
  <c r="BF266"/>
  <c r="BM265" i="19"/>
  <c r="N42" i="23"/>
  <c r="O42"/>
  <c r="BS269" i="19"/>
  <c r="BS388"/>
  <c r="CJ206" i="20"/>
  <c r="BN546"/>
  <c r="CJ546" s="1"/>
  <c r="BL729" i="19"/>
  <c r="BL750"/>
  <c r="BL752" s="1"/>
  <c r="BL206" i="20" s="1"/>
  <c r="BM546"/>
  <c r="CI546" s="1"/>
  <c r="CI206"/>
  <c r="BR388" i="19"/>
  <c r="BR269"/>
  <c r="BR268" s="1"/>
  <c r="BR267" s="1"/>
  <c r="BA32" i="23"/>
  <c r="BA390" i="20"/>
  <c r="BA327"/>
  <c r="BD32" i="23"/>
  <c r="BC8" i="28"/>
  <c r="BD390" i="20"/>
  <c r="BD327"/>
  <c r="AR473"/>
  <c r="AQ482"/>
  <c r="AP482" s="1"/>
  <c r="AP473" s="1"/>
  <c r="CG305"/>
  <c r="BJ8" i="28"/>
  <c r="BK390" i="20"/>
  <c r="BK32" i="23"/>
  <c r="CI32" s="1"/>
  <c r="BK327" i="20"/>
  <c r="BH729" i="19"/>
  <c r="CM293"/>
  <c r="CM265"/>
  <c r="CM295" s="1"/>
  <c r="AA98" i="28"/>
  <c r="BH51" i="19"/>
  <c r="BH306" i="20"/>
  <c r="BH305" s="1"/>
  <c r="BT47" i="19"/>
  <c r="BS42"/>
  <c r="BD220" i="20"/>
  <c r="BD235" s="1"/>
  <c r="BD584" s="1"/>
  <c r="BD268" i="19"/>
  <c r="BD267" s="1"/>
  <c r="BQ1121"/>
  <c r="BQ1122" s="1"/>
  <c r="S304" i="20"/>
  <c r="S389" s="1"/>
  <c r="S441" s="1"/>
  <c r="S325"/>
  <c r="R101" i="28"/>
  <c r="R58"/>
  <c r="P169" i="20"/>
  <c r="P191" s="1"/>
  <c r="P164"/>
  <c r="P165" s="1"/>
  <c r="P163"/>
  <c r="AY313"/>
  <c r="BA405"/>
  <c r="BA310"/>
  <c r="BK215"/>
  <c r="AI395"/>
  <c r="AI446" s="1"/>
  <c r="BW53" i="19"/>
  <c r="BV835"/>
  <c r="AZ116" i="20"/>
  <c r="AZ70"/>
  <c r="AY138"/>
  <c r="BH568" i="19"/>
  <c r="BH272"/>
  <c r="AM304" i="20"/>
  <c r="AM389" s="1"/>
  <c r="AM441" s="1"/>
  <c r="AM325"/>
  <c r="AL178"/>
  <c r="BE483"/>
  <c r="BF474"/>
  <c r="AD99" i="28"/>
  <c r="AE67"/>
  <c r="BM281" i="19"/>
  <c r="BM279" s="1"/>
  <c r="BM239" i="20" s="1"/>
  <c r="CI239" s="1"/>
  <c r="BM249"/>
  <c r="F34" i="28"/>
  <c r="F32" s="1"/>
  <c r="G331" i="20"/>
  <c r="AY292"/>
  <c r="AY421"/>
  <c r="AX118" i="19"/>
  <c r="BP1121"/>
  <c r="BO731"/>
  <c r="BH267"/>
  <c r="Q405" i="20"/>
  <c r="Q454" s="1"/>
  <c r="BN94" i="28"/>
  <c r="CI94" s="1"/>
  <c r="BL94"/>
  <c r="CG94" s="1"/>
  <c r="BL223" i="19"/>
  <c r="K42" i="23"/>
  <c r="BE701" i="19"/>
  <c r="BS802"/>
  <c r="AO267" i="20"/>
  <c r="Q37" i="28"/>
  <c r="AQ78" i="23"/>
  <c r="AH78"/>
  <c r="W78"/>
  <c r="P78"/>
  <c r="Z41"/>
  <c r="V41"/>
  <c r="BG731" i="19"/>
  <c r="BG198" i="20" s="1"/>
  <c r="BG707" i="19"/>
  <c r="BJ673"/>
  <c r="BJ699" s="1"/>
  <c r="BJ700" s="1"/>
  <c r="AW698"/>
  <c r="BL634"/>
  <c r="BO272"/>
  <c r="BO230" i="20" s="1"/>
  <c r="BB106" i="19"/>
  <c r="BH106"/>
  <c r="BP38"/>
  <c r="BC701"/>
  <c r="O47" i="23"/>
  <c r="O46" s="1"/>
  <c r="I79"/>
  <c r="J79" s="1"/>
  <c r="K79" s="1"/>
  <c r="L79" s="1"/>
  <c r="M79" s="1"/>
  <c r="N79" s="1"/>
  <c r="O79" s="1"/>
  <c r="P79" s="1"/>
  <c r="Q79" s="1"/>
  <c r="R79" s="1"/>
  <c r="S79" s="1"/>
  <c r="T79" s="1"/>
  <c r="U79" s="1"/>
  <c r="V79" s="1"/>
  <c r="W79" s="1"/>
  <c r="X79" s="1"/>
  <c r="Y79" s="1"/>
  <c r="Z79" s="1"/>
  <c r="AA79" s="1"/>
  <c r="AB79" s="1"/>
  <c r="AC79" s="1"/>
  <c r="AD79" s="1"/>
  <c r="AE79" s="1"/>
  <c r="AF79" s="1"/>
  <c r="AG79" s="1"/>
  <c r="AH79" s="1"/>
  <c r="AI79" s="1"/>
  <c r="AJ79" s="1"/>
  <c r="AK79" s="1"/>
  <c r="AL79" s="1"/>
  <c r="AM79" s="1"/>
  <c r="AN79" s="1"/>
  <c r="AO79" s="1"/>
  <c r="AP79" s="1"/>
  <c r="AQ79" s="1"/>
  <c r="AR79" s="1"/>
  <c r="AS79" s="1"/>
  <c r="AT79" s="1"/>
  <c r="AU79" s="1"/>
  <c r="AV79" s="1"/>
  <c r="AW79" s="1"/>
  <c r="AX79" s="1"/>
  <c r="AY79" s="1"/>
  <c r="BJ731" i="19"/>
  <c r="BJ198" i="20" s="1"/>
  <c r="BH731" i="19"/>
  <c r="BH198" i="20" s="1"/>
  <c r="BF731" i="19"/>
  <c r="BF750" s="1"/>
  <c r="BF752" s="1"/>
  <c r="BI699"/>
  <c r="BJ545"/>
  <c r="BG541"/>
  <c r="BG546" s="1"/>
  <c r="BG272" s="1"/>
  <c r="BG230" i="20" s="1"/>
  <c r="BA523" i="19"/>
  <c r="BI541"/>
  <c r="BA464"/>
  <c r="BA314" s="1"/>
  <c r="BA312" s="1"/>
  <c r="BB347"/>
  <c r="BB381" s="1"/>
  <c r="AY55" i="23"/>
  <c r="BQ332" i="19"/>
  <c r="BQ284" s="1"/>
  <c r="BQ281" s="1"/>
  <c r="BQ279" s="1"/>
  <c r="BN332"/>
  <c r="BN284" s="1"/>
  <c r="BF229"/>
  <c r="BE226"/>
  <c r="BD225"/>
  <c r="BF223"/>
  <c r="BE221"/>
  <c r="BE217"/>
  <c r="BO221" i="20"/>
  <c r="BI222" i="19"/>
  <c r="BF230"/>
  <c r="BH228"/>
  <c r="BF224"/>
  <c r="BF222"/>
  <c r="BF220"/>
  <c r="BF218"/>
  <c r="BN349" i="20"/>
  <c r="BO712" i="19"/>
  <c r="CU26" i="20"/>
  <c r="CU45"/>
  <c r="CU27"/>
  <c r="BF142"/>
  <c r="BF98"/>
  <c r="BG74"/>
  <c r="BG120"/>
  <c r="BW48"/>
  <c r="CR48"/>
  <c r="CL36"/>
  <c r="BW1090" i="19"/>
  <c r="BV38" i="20"/>
  <c r="BR109"/>
  <c r="BQ86" i="19"/>
  <c r="BS367" i="20"/>
  <c r="BE161"/>
  <c r="CT37"/>
  <c r="BQ103"/>
  <c r="CM103" s="1"/>
  <c r="BR125"/>
  <c r="CN125" s="1"/>
  <c r="BB83"/>
  <c r="BU38"/>
  <c r="CJ231"/>
  <c r="CT27"/>
  <c r="CJ353"/>
  <c r="BI261"/>
  <c r="BH102"/>
  <c r="BO231"/>
  <c r="BE142"/>
  <c r="BF120"/>
  <c r="BE119"/>
  <c r="BR53"/>
  <c r="CQ48"/>
  <c r="BV10" i="23"/>
  <c r="BQ81" i="20"/>
  <c r="CM81" s="1"/>
  <c r="BI56"/>
  <c r="CS279"/>
  <c r="BS380"/>
  <c r="BE73"/>
  <c r="BH262"/>
  <c r="BI262" s="1"/>
  <c r="BC112"/>
  <c r="BW25"/>
  <c r="BW46"/>
  <c r="BE458"/>
  <c r="BR14"/>
  <c r="BC59"/>
  <c r="BA67" i="28"/>
  <c r="BA99"/>
  <c r="G352" i="20"/>
  <c r="G358"/>
  <c r="P304"/>
  <c r="P389" s="1"/>
  <c r="P441" s="1"/>
  <c r="O178"/>
  <c r="P325"/>
  <c r="AY57" i="23"/>
  <c r="AY47"/>
  <c r="BB390" i="20"/>
  <c r="BB32" i="23"/>
  <c r="BB327" i="20"/>
  <c r="BA8" i="28"/>
  <c r="BW166" i="20"/>
  <c r="BC143"/>
  <c r="BH493"/>
  <c r="BR1179" i="19"/>
  <c r="BR1171"/>
  <c r="BZ89"/>
  <c r="AW32" i="23"/>
  <c r="AW64" s="1"/>
  <c r="AX64" s="1"/>
  <c r="AW390" i="20"/>
  <c r="AW442" s="1"/>
  <c r="AH352"/>
  <c r="AH358"/>
  <c r="Z358"/>
  <c r="Z352"/>
  <c r="BF232"/>
  <c r="BE233"/>
  <c r="AC325"/>
  <c r="AC304"/>
  <c r="AC389" s="1"/>
  <c r="AC441" s="1"/>
  <c r="AB178"/>
  <c r="BC99" i="28"/>
  <c r="BC67"/>
  <c r="AP325" i="20"/>
  <c r="AO178"/>
  <c r="AZ92"/>
  <c r="F99" i="28"/>
  <c r="G67"/>
  <c r="BA114" i="20"/>
  <c r="O304"/>
  <c r="O389" s="1"/>
  <c r="O441" s="1"/>
  <c r="N178"/>
  <c r="O325"/>
  <c r="BP1179" i="19"/>
  <c r="Q381" i="20"/>
  <c r="I325"/>
  <c r="I304"/>
  <c r="I389" s="1"/>
  <c r="I441" s="1"/>
  <c r="H178"/>
  <c r="AY98" i="28"/>
  <c r="AY66"/>
  <c r="BD569" i="20"/>
  <c r="BD624"/>
  <c r="BD464"/>
  <c r="BD432" s="1"/>
  <c r="BD408"/>
  <c r="BD73" i="28"/>
  <c r="BD601" i="20"/>
  <c r="BD591"/>
  <c r="BC73" i="28"/>
  <c r="BD571" i="20"/>
  <c r="BD605"/>
  <c r="BC606"/>
  <c r="BC577"/>
  <c r="BN364"/>
  <c r="BC581"/>
  <c r="BD616"/>
  <c r="BD625"/>
  <c r="BC593"/>
  <c r="BC583"/>
  <c r="BC617"/>
  <c r="BC418"/>
  <c r="BD607"/>
  <c r="BD578"/>
  <c r="BC587"/>
  <c r="AG351"/>
  <c r="W304"/>
  <c r="W389" s="1"/>
  <c r="W441" s="1"/>
  <c r="AA351"/>
  <c r="T215"/>
  <c r="AY37" i="19"/>
  <c r="BA335" i="20"/>
  <c r="BA284" s="1"/>
  <c r="BA378" s="1"/>
  <c r="BA567"/>
  <c r="AZ25" i="28"/>
  <c r="BH248" i="20"/>
  <c r="AU102"/>
  <c r="BI382"/>
  <c r="BH33" i="23"/>
  <c r="CF33" s="1"/>
  <c r="BD420" i="20"/>
  <c r="BD609"/>
  <c r="BD581"/>
  <c r="AO351"/>
  <c r="AB383"/>
  <c r="AP165"/>
  <c r="BG427"/>
  <c r="BG425"/>
  <c r="BD585"/>
  <c r="BD579"/>
  <c r="AB69" i="28"/>
  <c r="BN181" i="20"/>
  <c r="I230"/>
  <c r="I32" i="28"/>
  <c r="AC37"/>
  <c r="J79"/>
  <c r="Q395" i="20"/>
  <c r="Q446" s="1"/>
  <c r="H32" i="28"/>
  <c r="BG37"/>
  <c r="BJ68" i="20"/>
  <c r="BI92"/>
  <c r="BJ114"/>
  <c r="BI136"/>
  <c r="CS166"/>
  <c r="CD1074" i="19"/>
  <c r="BE331" i="20"/>
  <c r="BF255"/>
  <c r="BX49"/>
  <c r="BY49" s="1"/>
  <c r="CS49"/>
  <c r="AV228" i="19"/>
  <c r="CA87"/>
  <c r="CA37" i="20" s="1"/>
  <c r="BE93"/>
  <c r="BF115"/>
  <c r="BF69"/>
  <c r="BE137"/>
  <c r="AZ169"/>
  <c r="AZ191" s="1"/>
  <c r="AZ338"/>
  <c r="AX169"/>
  <c r="AX191" s="1"/>
  <c r="CT279"/>
  <c r="AV219" i="19"/>
  <c r="BG161" i="20"/>
  <c r="CR348"/>
  <c r="BW348"/>
  <c r="BY804" i="19"/>
  <c r="BZ804" s="1"/>
  <c r="CA804" s="1"/>
  <c r="CB804" s="1"/>
  <c r="CC804" s="1"/>
  <c r="CD804" s="1"/>
  <c r="CQ42" i="20"/>
  <c r="AY169"/>
  <c r="AY191" s="1"/>
  <c r="AY338"/>
  <c r="BN220" i="19"/>
  <c r="BE293"/>
  <c r="BE265"/>
  <c r="BE295" s="1"/>
  <c r="BW104" i="28"/>
  <c r="CR104" s="1"/>
  <c r="BX48" i="20"/>
  <c r="BY48" s="1"/>
  <c r="CQ24" i="28"/>
  <c r="BG4" i="23"/>
  <c r="BG43" s="1"/>
  <c r="BU51" i="20"/>
  <c r="BE58"/>
  <c r="BG124"/>
  <c r="BX47"/>
  <c r="BY47" s="1"/>
  <c r="BD141"/>
  <c r="BE115"/>
  <c r="BF80"/>
  <c r="BF136"/>
  <c r="BC66"/>
  <c r="BT62" i="28"/>
  <c r="CO62" s="1"/>
  <c r="BU10" i="23"/>
  <c r="BD75" i="20"/>
  <c r="K67" i="23"/>
  <c r="BA97" i="28"/>
  <c r="BY44"/>
  <c r="X61" i="23"/>
  <c r="X62" s="1"/>
  <c r="X42" s="1"/>
  <c r="V62"/>
  <c r="V42" s="1"/>
  <c r="BE104" i="20"/>
  <c r="BX28"/>
  <c r="BY28" s="1"/>
  <c r="BD137"/>
  <c r="BD71"/>
  <c r="CT34"/>
  <c r="CQ348"/>
  <c r="BZ2" i="28"/>
  <c r="AU100"/>
  <c r="AU68"/>
  <c r="AM352" i="20"/>
  <c r="AM358"/>
  <c r="BK492"/>
  <c r="BP131"/>
  <c r="BP87"/>
  <c r="BQ109"/>
  <c r="BH8" i="28"/>
  <c r="BI390" i="20"/>
  <c r="BI327"/>
  <c r="BI32" i="23"/>
  <c r="CG32" s="1"/>
  <c r="AT358" i="20"/>
  <c r="AT352"/>
  <c r="AO68" i="28"/>
  <c r="AO100"/>
  <c r="AP68"/>
  <c r="V358" i="20"/>
  <c r="V352"/>
  <c r="BH293" i="19"/>
  <c r="BH265"/>
  <c r="BH295" s="1"/>
  <c r="BH297" s="1"/>
  <c r="BP265"/>
  <c r="BP293"/>
  <c r="R352" i="20"/>
  <c r="R358"/>
  <c r="AU371"/>
  <c r="W371"/>
  <c r="AP371"/>
  <c r="AO371"/>
  <c r="AN371"/>
  <c r="AN311" s="1"/>
  <c r="AN430" s="1"/>
  <c r="AS371"/>
  <c r="AB371"/>
  <c r="AG371"/>
  <c r="AF371"/>
  <c r="AF311" s="1"/>
  <c r="AF430" s="1"/>
  <c r="V371"/>
  <c r="V311" s="1"/>
  <c r="V430" s="1"/>
  <c r="AW405"/>
  <c r="AW454" s="1"/>
  <c r="AZ430"/>
  <c r="BL227" i="19"/>
  <c r="T267" i="20"/>
  <c r="T273"/>
  <c r="T422"/>
  <c r="AA352"/>
  <c r="AA358"/>
  <c r="BI546"/>
  <c r="CH306"/>
  <c r="BL305"/>
  <c r="CA48" i="19"/>
  <c r="BT371" i="20"/>
  <c r="CO371"/>
  <c r="BN64"/>
  <c r="CJ42"/>
  <c r="CC1140" i="19"/>
  <c r="CB1141"/>
  <c r="BE24" i="20"/>
  <c r="BF81" i="19"/>
  <c r="BC265"/>
  <c r="BC295" s="1"/>
  <c r="BC293"/>
  <c r="BD8" i="28"/>
  <c r="BE390" i="20"/>
  <c r="AY378"/>
  <c r="AZ378"/>
  <c r="BM94" i="28"/>
  <c r="CH94" s="1"/>
  <c r="CH24"/>
  <c r="BL104"/>
  <c r="CG104" s="1"/>
  <c r="CG44"/>
  <c r="CD44" i="19"/>
  <c r="AY405" i="20"/>
  <c r="AY454" s="1"/>
  <c r="BA414"/>
  <c r="AO24" i="28"/>
  <c r="AO62"/>
  <c r="AN2"/>
  <c r="BG235" i="20"/>
  <c r="BG264"/>
  <c r="BG494"/>
  <c r="BN70" i="19"/>
  <c r="BM15" i="20"/>
  <c r="BM77" i="23"/>
  <c r="CJ77"/>
  <c r="AV72" i="20"/>
  <c r="BX19"/>
  <c r="BY1075" i="19"/>
  <c r="CA860"/>
  <c r="AI358" i="20"/>
  <c r="AI352"/>
  <c r="BB264"/>
  <c r="BB611" s="1"/>
  <c r="BB217"/>
  <c r="AZ215"/>
  <c r="AZ564" s="1"/>
  <c r="AZ337"/>
  <c r="AZ235"/>
  <c r="AZ584" s="1"/>
  <c r="AZ266"/>
  <c r="AZ264"/>
  <c r="AZ611" s="1"/>
  <c r="BK217" i="19"/>
  <c r="BW265" i="20"/>
  <c r="BW282" s="1"/>
  <c r="CS282" s="1"/>
  <c r="BX289" i="19"/>
  <c r="CK230" i="20"/>
  <c r="BO495"/>
  <c r="BF306"/>
  <c r="BF305" s="1"/>
  <c r="BF51" i="19"/>
  <c r="W67" i="28"/>
  <c r="V99"/>
  <c r="BM410" i="20"/>
  <c r="BM634" s="1"/>
  <c r="BL36" i="28"/>
  <c r="CI181" i="20"/>
  <c r="AB304"/>
  <c r="AB389" s="1"/>
  <c r="AB441" s="1"/>
  <c r="AB325"/>
  <c r="AA178"/>
  <c r="BA615"/>
  <c r="T240"/>
  <c r="S34" i="28"/>
  <c r="S32" s="1"/>
  <c r="AZ585" i="20"/>
  <c r="BD627"/>
  <c r="BD623"/>
  <c r="BL545"/>
  <c r="CH545" s="1"/>
  <c r="BB353"/>
  <c r="AS351"/>
  <c r="AX233" i="19"/>
  <c r="BO224"/>
  <c r="BP224" s="1"/>
  <c r="BQ224" s="1"/>
  <c r="BR224" s="1"/>
  <c r="BS224" s="1"/>
  <c r="BL15" i="20"/>
  <c r="BO2" i="19"/>
  <c r="AP6" i="20"/>
  <c r="L62" i="23"/>
  <c r="AQ98" i="28"/>
  <c r="AP34"/>
  <c r="AP32" s="1"/>
  <c r="AQ331" i="20"/>
  <c r="AQ240"/>
  <c r="T304"/>
  <c r="T389" s="1"/>
  <c r="T441" s="1"/>
  <c r="S178"/>
  <c r="T325"/>
  <c r="AN304"/>
  <c r="AN389" s="1"/>
  <c r="AN441" s="1"/>
  <c r="AN325"/>
  <c r="AM178"/>
  <c r="K58" i="28"/>
  <c r="K101"/>
  <c r="L34"/>
  <c r="L32" s="1"/>
  <c r="M240" i="20"/>
  <c r="BK94" i="28"/>
  <c r="CF94" s="1"/>
  <c r="BC66"/>
  <c r="BK221" i="19"/>
  <c r="BK225"/>
  <c r="BH230" i="20"/>
  <c r="CJ44"/>
  <c r="BO44"/>
  <c r="BG268" i="19"/>
  <c r="BG267" s="1"/>
  <c r="BI72" i="28"/>
  <c r="BI24"/>
  <c r="BY803" i="19"/>
  <c r="BZ803" s="1"/>
  <c r="CA803" s="1"/>
  <c r="CB803" s="1"/>
  <c r="CC803" s="1"/>
  <c r="CD803" s="1"/>
  <c r="AF466" i="20"/>
  <c r="S101" i="28"/>
  <c r="S58"/>
  <c r="S69"/>
  <c r="AO101"/>
  <c r="AO58"/>
  <c r="AP79" s="1"/>
  <c r="F58"/>
  <c r="G69"/>
  <c r="F101"/>
  <c r="F69"/>
  <c r="AQ169" i="20"/>
  <c r="AQ191" s="1"/>
  <c r="AQ163"/>
  <c r="AQ164"/>
  <c r="AQ165" s="1"/>
  <c r="BE415"/>
  <c r="R240"/>
  <c r="Q34" i="28"/>
  <c r="Q32" s="1"/>
  <c r="BK231" i="19"/>
  <c r="BH174" i="20"/>
  <c r="BH172" s="1"/>
  <c r="BI831" i="19"/>
  <c r="BS281"/>
  <c r="BT284"/>
  <c r="K304" i="20"/>
  <c r="K389" s="1"/>
  <c r="K441" s="1"/>
  <c r="J178"/>
  <c r="K325"/>
  <c r="BL377"/>
  <c r="CG377"/>
  <c r="BR239"/>
  <c r="CN239" s="1"/>
  <c r="BR276" i="19"/>
  <c r="AM100" i="28"/>
  <c r="AN68"/>
  <c r="AJ325" i="20"/>
  <c r="AI178"/>
  <c r="AJ304"/>
  <c r="AJ389" s="1"/>
  <c r="AJ441" s="1"/>
  <c r="V304"/>
  <c r="V389" s="1"/>
  <c r="V441" s="1"/>
  <c r="V325"/>
  <c r="U178"/>
  <c r="AG304"/>
  <c r="AG389" s="1"/>
  <c r="AG441" s="1"/>
  <c r="AF178"/>
  <c r="AG325"/>
  <c r="Y69" i="28"/>
  <c r="X101"/>
  <c r="X58"/>
  <c r="V69"/>
  <c r="U58"/>
  <c r="U101"/>
  <c r="U69"/>
  <c r="CG482" i="20"/>
  <c r="BL482"/>
  <c r="BM44" i="28"/>
  <c r="AW701" i="19"/>
  <c r="AW700"/>
  <c r="CH50" i="20"/>
  <c r="BP801" i="19"/>
  <c r="AW118"/>
  <c r="BE231"/>
  <c r="AY298" i="20"/>
  <c r="AY296" s="1"/>
  <c r="AR163"/>
  <c r="BQ272" i="19"/>
  <c r="BQ267" s="1"/>
  <c r="BB50" i="20"/>
  <c r="BF69" i="28"/>
  <c r="BE50" i="20"/>
  <c r="BG50"/>
  <c r="BA106" i="19"/>
  <c r="BM106"/>
  <c r="CK30" i="20"/>
  <c r="BG313" i="19"/>
  <c r="BI392"/>
  <c r="BF401"/>
  <c r="CH276" i="20"/>
  <c r="AB101" i="28"/>
  <c r="BT54" i="19"/>
  <c r="BU54" s="1"/>
  <c r="BV54" s="1"/>
  <c r="BW54" s="1"/>
  <c r="BX54" s="1"/>
  <c r="BY54" s="1"/>
  <c r="BZ54" s="1"/>
  <c r="CA54" s="1"/>
  <c r="CB54" s="1"/>
  <c r="CC54" s="1"/>
  <c r="CD54" s="1"/>
  <c r="BI395"/>
  <c r="L423" i="20"/>
  <c r="AV312" i="19"/>
  <c r="AV701"/>
  <c r="AA41" i="23"/>
  <c r="BA229" i="20"/>
  <c r="BA578" s="1"/>
  <c r="CJ438"/>
  <c r="CK6"/>
  <c r="BO244"/>
  <c r="CJ244"/>
  <c r="BS17"/>
  <c r="BS1101" i="19"/>
  <c r="BS1069"/>
  <c r="BS1099" s="1"/>
  <c r="BT1071"/>
  <c r="BO23" i="20"/>
  <c r="BP74" i="19"/>
  <c r="BS20" i="20"/>
  <c r="BS1106" i="19"/>
  <c r="BS1118" s="1"/>
  <c r="BT1076"/>
  <c r="BN23" i="20"/>
  <c r="BN170" s="1"/>
  <c r="BO764" i="19"/>
  <c r="BH226"/>
  <c r="BO349" i="20"/>
  <c r="AK358" l="1"/>
  <c r="AK352"/>
  <c r="AG178"/>
  <c r="AH325"/>
  <c r="AH304"/>
  <c r="AH389" s="1"/>
  <c r="AH441" s="1"/>
  <c r="BC353"/>
  <c r="BH4" i="23"/>
  <c r="AE240" i="20"/>
  <c r="S266"/>
  <c r="S267" s="1"/>
  <c r="Y178"/>
  <c r="Z304"/>
  <c r="Z389" s="1"/>
  <c r="Z441" s="1"/>
  <c r="Z325"/>
  <c r="AL325"/>
  <c r="AL304"/>
  <c r="AL389" s="1"/>
  <c r="AL441" s="1"/>
  <c r="AK178"/>
  <c r="BI6"/>
  <c r="BH386"/>
  <c r="BH438" s="1"/>
  <c r="BH489"/>
  <c r="M430"/>
  <c r="O204"/>
  <c r="O208" s="1"/>
  <c r="S430"/>
  <c r="A112" i="28"/>
  <c r="A79"/>
  <c r="BE112"/>
  <c r="BF79"/>
  <c r="AR98"/>
  <c r="AS66"/>
  <c r="AZ98"/>
  <c r="BA66"/>
  <c r="AV98"/>
  <c r="AW66"/>
  <c r="AK112"/>
  <c r="AL79"/>
  <c r="AK79"/>
  <c r="T100"/>
  <c r="U68"/>
  <c r="T68"/>
  <c r="I112"/>
  <c r="I79"/>
  <c r="AQ79"/>
  <c r="AQ112"/>
  <c r="AR79"/>
  <c r="P79"/>
  <c r="Q79"/>
  <c r="P112"/>
  <c r="AH79"/>
  <c r="BE79"/>
  <c r="I100"/>
  <c r="I68"/>
  <c r="J68"/>
  <c r="AA100"/>
  <c r="AB68"/>
  <c r="AA68"/>
  <c r="AF68"/>
  <c r="AE100"/>
  <c r="AX112"/>
  <c r="AX79"/>
  <c r="CG58"/>
  <c r="BM79"/>
  <c r="CH79" s="1"/>
  <c r="BL112"/>
  <c r="CG112" s="1"/>
  <c r="BL79"/>
  <c r="CG79" s="1"/>
  <c r="BH112"/>
  <c r="BH79"/>
  <c r="AE68"/>
  <c r="AG100"/>
  <c r="AH68"/>
  <c r="O100"/>
  <c r="P68"/>
  <c r="K100"/>
  <c r="L68"/>
  <c r="K68"/>
  <c r="AW100"/>
  <c r="AW68"/>
  <c r="AY112"/>
  <c r="AY79"/>
  <c r="AZ79"/>
  <c r="BI112"/>
  <c r="BJ79"/>
  <c r="CE79" s="1"/>
  <c r="G112"/>
  <c r="H79"/>
  <c r="AG68"/>
  <c r="O68"/>
  <c r="AM66"/>
  <c r="AN66"/>
  <c r="AM98"/>
  <c r="S273" i="20"/>
  <c r="S422"/>
  <c r="AE352"/>
  <c r="AE358"/>
  <c r="BM306"/>
  <c r="BM51" i="19"/>
  <c r="AV66" i="28"/>
  <c r="AU66"/>
  <c r="AU98"/>
  <c r="AE325" i="20"/>
  <c r="AD178"/>
  <c r="AE304"/>
  <c r="AE389" s="1"/>
  <c r="AE441" s="1"/>
  <c r="AC352"/>
  <c r="AC358"/>
  <c r="AN352"/>
  <c r="AN358"/>
  <c r="F204"/>
  <c r="F208" s="1"/>
  <c r="F352" s="1"/>
  <c r="F335"/>
  <c r="F284" s="1"/>
  <c r="F378" s="1"/>
  <c r="F414" s="1"/>
  <c r="F467" s="1"/>
  <c r="J204"/>
  <c r="J208" s="1"/>
  <c r="J335"/>
  <c r="J284" s="1"/>
  <c r="J378" s="1"/>
  <c r="J414" s="1"/>
  <c r="J467" s="1"/>
  <c r="AX373"/>
  <c r="BF466"/>
  <c r="BF415"/>
  <c r="AX163"/>
  <c r="AX164"/>
  <c r="AX165" s="1"/>
  <c r="AD264"/>
  <c r="AC34" i="28"/>
  <c r="AC32" s="1"/>
  <c r="AD266" i="20"/>
  <c r="AD240"/>
  <c r="S331"/>
  <c r="R34" i="28"/>
  <c r="R32" s="1"/>
  <c r="R98" s="1"/>
  <c r="G34"/>
  <c r="G32" s="1"/>
  <c r="G98" s="1"/>
  <c r="H331" i="20"/>
  <c r="AJ34" i="28"/>
  <c r="AJ32" s="1"/>
  <c r="AK331" i="20"/>
  <c r="U34" i="28"/>
  <c r="U32" s="1"/>
  <c r="V331" i="20"/>
  <c r="H246"/>
  <c r="H264"/>
  <c r="H266"/>
  <c r="V246"/>
  <c r="V266"/>
  <c r="V264"/>
  <c r="Z246"/>
  <c r="Z266"/>
  <c r="Z264"/>
  <c r="AA246"/>
  <c r="AA264"/>
  <c r="AA266"/>
  <c r="AS246"/>
  <c r="AS240"/>
  <c r="AS264"/>
  <c r="AS266"/>
  <c r="AR246"/>
  <c r="AR266"/>
  <c r="AR240"/>
  <c r="AR264"/>
  <c r="K246"/>
  <c r="K266"/>
  <c r="K264"/>
  <c r="K240"/>
  <c r="AU246"/>
  <c r="AU264"/>
  <c r="AU266"/>
  <c r="AU240"/>
  <c r="BI454"/>
  <c r="BF454"/>
  <c r="X230"/>
  <c r="X332"/>
  <c r="W31" i="28" s="1"/>
  <c r="AN332" i="20"/>
  <c r="AM31" i="28" s="1"/>
  <c r="AN230" i="20"/>
  <c r="CP29"/>
  <c r="BU29"/>
  <c r="CS13"/>
  <c r="BX13"/>
  <c r="BX166" s="1"/>
  <c r="BW41"/>
  <c r="BX1095" i="19"/>
  <c r="BV42" i="20"/>
  <c r="CR42" s="1"/>
  <c r="BV1162" i="19"/>
  <c r="BV1185" s="1"/>
  <c r="BW1093"/>
  <c r="BY271" i="20"/>
  <c r="CT271"/>
  <c r="BD264"/>
  <c r="BD611" s="1"/>
  <c r="BQ131"/>
  <c r="BB31" i="28"/>
  <c r="BD322" i="20"/>
  <c r="AO204"/>
  <c r="AO208" s="1"/>
  <c r="H204"/>
  <c r="H208" s="1"/>
  <c r="AN335"/>
  <c r="AN284" s="1"/>
  <c r="AN378" s="1"/>
  <c r="AN414" s="1"/>
  <c r="AN467" s="1"/>
  <c r="T430"/>
  <c r="BZ28"/>
  <c r="CA28" s="1"/>
  <c r="AR100" i="28"/>
  <c r="AS68"/>
  <c r="BG440" i="20"/>
  <c r="BM633"/>
  <c r="BM837" i="19"/>
  <c r="CI388" i="20"/>
  <c r="BM440"/>
  <c r="CI440" s="1"/>
  <c r="AN178"/>
  <c r="AO325"/>
  <c r="AO304"/>
  <c r="AO389" s="1"/>
  <c r="AO441" s="1"/>
  <c r="N169"/>
  <c r="N191" s="1"/>
  <c r="N164"/>
  <c r="N165" s="1"/>
  <c r="N163"/>
  <c r="O352"/>
  <c r="O358"/>
  <c r="BG496"/>
  <c r="BG200"/>
  <c r="W266"/>
  <c r="W264"/>
  <c r="W235"/>
  <c r="W215"/>
  <c r="R163"/>
  <c r="R169"/>
  <c r="R191" s="1"/>
  <c r="R164"/>
  <c r="R165" s="1"/>
  <c r="P34" i="28"/>
  <c r="P32" s="1"/>
  <c r="Q240" i="20"/>
  <c r="AF34" i="28"/>
  <c r="AF32" s="1"/>
  <c r="AG331" i="20"/>
  <c r="Z34" i="28"/>
  <c r="Z32" s="1"/>
  <c r="AA331" i="20"/>
  <c r="AL331"/>
  <c r="AK34" i="28"/>
  <c r="AK32" s="1"/>
  <c r="AD34"/>
  <c r="AD32" s="1"/>
  <c r="AE331" i="20"/>
  <c r="AO246"/>
  <c r="AO240"/>
  <c r="AO264"/>
  <c r="AG266"/>
  <c r="AG246"/>
  <c r="AG240"/>
  <c r="AG264"/>
  <c r="N246"/>
  <c r="N240"/>
  <c r="AC246"/>
  <c r="AC240"/>
  <c r="AC264"/>
  <c r="AC266"/>
  <c r="AN246"/>
  <c r="AN240"/>
  <c r="U246"/>
  <c r="U240"/>
  <c r="U266"/>
  <c r="U264"/>
  <c r="AJ246"/>
  <c r="AJ240"/>
  <c r="F246"/>
  <c r="F266"/>
  <c r="F264"/>
  <c r="CI311"/>
  <c r="BM483"/>
  <c r="AJ332"/>
  <c r="AJ230"/>
  <c r="AB332"/>
  <c r="AA31" i="28" s="1"/>
  <c r="AB230" i="20"/>
  <c r="I352"/>
  <c r="I358"/>
  <c r="CN366"/>
  <c r="BS366"/>
  <c r="BN580"/>
  <c r="CJ580" s="1"/>
  <c r="BW1092" i="19"/>
  <c r="BV1161"/>
  <c r="BV1184" s="1"/>
  <c r="BD91" i="20"/>
  <c r="BD135"/>
  <c r="BE67"/>
  <c r="AD395"/>
  <c r="AD446" s="1"/>
  <c r="AS204"/>
  <c r="AS208" s="1"/>
  <c r="AS352" s="1"/>
  <c r="X204"/>
  <c r="X208" s="1"/>
  <c r="G178"/>
  <c r="H304"/>
  <c r="H389" s="1"/>
  <c r="H441" s="1"/>
  <c r="H325"/>
  <c r="AO422"/>
  <c r="AO458" s="1"/>
  <c r="AO273"/>
  <c r="AO274" s="1"/>
  <c r="AU358"/>
  <c r="AU352"/>
  <c r="AF264"/>
  <c r="AF235"/>
  <c r="AF266"/>
  <c r="AF215"/>
  <c r="CH229"/>
  <c r="BJ229"/>
  <c r="BH34" i="28"/>
  <c r="BI240" i="20"/>
  <c r="X281"/>
  <c r="W280"/>
  <c r="L335"/>
  <c r="L284" s="1"/>
  <c r="L378" s="1"/>
  <c r="L414" s="1"/>
  <c r="L467" s="1"/>
  <c r="L204"/>
  <c r="L208" s="1"/>
  <c r="Y335"/>
  <c r="Y284" s="1"/>
  <c r="Y378" s="1"/>
  <c r="Y414" s="1"/>
  <c r="Y467" s="1"/>
  <c r="Y204"/>
  <c r="Y208" s="1"/>
  <c r="J163"/>
  <c r="J169"/>
  <c r="J191" s="1"/>
  <c r="J164"/>
  <c r="J165" s="1"/>
  <c r="BJ466"/>
  <c r="BJ415"/>
  <c r="BB163"/>
  <c r="BB164"/>
  <c r="BB165" s="1"/>
  <c r="N98" i="28"/>
  <c r="AC331" i="20"/>
  <c r="AB34" i="28"/>
  <c r="AB32" s="1"/>
  <c r="M34"/>
  <c r="M32" s="1"/>
  <c r="M98" s="1"/>
  <c r="N331" i="20"/>
  <c r="AH331"/>
  <c r="AG34" i="28"/>
  <c r="AG32" s="1"/>
  <c r="V34"/>
  <c r="V32" s="1"/>
  <c r="W240" i="20"/>
  <c r="W331"/>
  <c r="T246"/>
  <c r="T264"/>
  <c r="AK246"/>
  <c r="AK264"/>
  <c r="AK266"/>
  <c r="AK240"/>
  <c r="M246"/>
  <c r="M266"/>
  <c r="M264"/>
  <c r="AF240"/>
  <c r="AF246"/>
  <c r="AT246"/>
  <c r="AT264"/>
  <c r="AT266"/>
  <c r="AT240"/>
  <c r="AM240"/>
  <c r="AM264"/>
  <c r="AM246"/>
  <c r="AM266"/>
  <c r="BD440"/>
  <c r="AI332"/>
  <c r="AH31" i="28" s="1"/>
  <c r="AI230" i="20"/>
  <c r="O331"/>
  <c r="O332"/>
  <c r="N31" i="28" s="1"/>
  <c r="O230" i="20"/>
  <c r="AL204"/>
  <c r="AL208" s="1"/>
  <c r="AL335"/>
  <c r="AL284" s="1"/>
  <c r="AL378" s="1"/>
  <c r="AL414" s="1"/>
  <c r="AL467" s="1"/>
  <c r="BF4" i="23"/>
  <c r="BF43" s="1"/>
  <c r="CP51" i="20"/>
  <c r="CA1094" i="19"/>
  <c r="BZ40" i="20"/>
  <c r="CV40" s="1"/>
  <c r="BX30"/>
  <c r="CS30"/>
  <c r="K204"/>
  <c r="K208" s="1"/>
  <c r="T395"/>
  <c r="T446" s="1"/>
  <c r="BC322"/>
  <c r="BC298"/>
  <c r="BC286"/>
  <c r="AI304"/>
  <c r="AI389" s="1"/>
  <c r="AI441" s="1"/>
  <c r="AI325"/>
  <c r="AH178"/>
  <c r="P352"/>
  <c r="P358"/>
  <c r="BK440"/>
  <c r="CG440" s="1"/>
  <c r="CG388"/>
  <c r="BK837" i="19"/>
  <c r="T204" i="20"/>
  <c r="T208" s="1"/>
  <c r="T352" s="1"/>
  <c r="T335"/>
  <c r="T284" s="1"/>
  <c r="T378" s="1"/>
  <c r="T414" s="1"/>
  <c r="T467" s="1"/>
  <c r="BM553"/>
  <c r="CI553" s="1"/>
  <c r="CI353"/>
  <c r="AI98" i="28"/>
  <c r="AI66"/>
  <c r="AB352" i="20"/>
  <c r="AB358"/>
  <c r="BI205"/>
  <c r="BI539"/>
  <c r="AY353"/>
  <c r="AA164"/>
  <c r="AA165" s="1"/>
  <c r="AA169"/>
  <c r="AA191" s="1"/>
  <c r="AA163"/>
  <c r="AZ66" i="28"/>
  <c r="AY28"/>
  <c r="O34"/>
  <c r="O32" s="1"/>
  <c r="P264" i="20"/>
  <c r="P331"/>
  <c r="P266"/>
  <c r="AE34" i="28"/>
  <c r="AE32" s="1"/>
  <c r="AE98" s="1"/>
  <c r="AF331" i="20"/>
  <c r="T34" i="28"/>
  <c r="T32" s="1"/>
  <c r="T98" s="1"/>
  <c r="U331" i="20"/>
  <c r="W34" i="28"/>
  <c r="W32" s="1"/>
  <c r="X240" i="20"/>
  <c r="E34" i="28"/>
  <c r="E32" s="1"/>
  <c r="F331" i="20"/>
  <c r="K331"/>
  <c r="J34" i="28"/>
  <c r="J32" s="1"/>
  <c r="AL246" i="20"/>
  <c r="AL266"/>
  <c r="AL264"/>
  <c r="AL240"/>
  <c r="AE246"/>
  <c r="AE264"/>
  <c r="AE266"/>
  <c r="R246"/>
  <c r="R266"/>
  <c r="R264"/>
  <c r="AH246"/>
  <c r="AH240"/>
  <c r="AH264"/>
  <c r="AH266"/>
  <c r="S246"/>
  <c r="S264"/>
  <c r="S240"/>
  <c r="O246"/>
  <c r="O240"/>
  <c r="AW430"/>
  <c r="AW395"/>
  <c r="AW446" s="1"/>
  <c r="AX395"/>
  <c r="AX446" s="1"/>
  <c r="BK460"/>
  <c r="CG460" s="1"/>
  <c r="CG409"/>
  <c r="BH454"/>
  <c r="Q332"/>
  <c r="Q230"/>
  <c r="I332"/>
  <c r="H31" i="28" s="1"/>
  <c r="W204" i="20"/>
  <c r="W208" s="1"/>
  <c r="W335"/>
  <c r="W284" s="1"/>
  <c r="W378" s="1"/>
  <c r="W414" s="1"/>
  <c r="W467" s="1"/>
  <c r="CJ205"/>
  <c r="BN545"/>
  <c r="CJ545" s="1"/>
  <c r="CO52"/>
  <c r="BT52"/>
  <c r="BV50"/>
  <c r="CQ50"/>
  <c r="BA168"/>
  <c r="BA171" s="1"/>
  <c r="BA169" s="1"/>
  <c r="BA191" s="1"/>
  <c r="CT31"/>
  <c r="BY31"/>
  <c r="BG390"/>
  <c r="BG32" i="23"/>
  <c r="BF8" i="28"/>
  <c r="BF486" i="20"/>
  <c r="BF479" s="1"/>
  <c r="BG327"/>
  <c r="BB90"/>
  <c r="BB134"/>
  <c r="BV1160" i="19"/>
  <c r="BV1183" s="1"/>
  <c r="BW1091"/>
  <c r="BV39" i="20"/>
  <c r="CR39" s="1"/>
  <c r="BZ27"/>
  <c r="CA27" s="1"/>
  <c r="AD267"/>
  <c r="BC331"/>
  <c r="BZ47"/>
  <c r="CA47" s="1"/>
  <c r="CB47" s="1"/>
  <c r="CC47" s="1"/>
  <c r="CD47" s="1"/>
  <c r="BZ48"/>
  <c r="CA48" s="1"/>
  <c r="CB48" s="1"/>
  <c r="CC48" s="1"/>
  <c r="CD48" s="1"/>
  <c r="BZ49"/>
  <c r="CA49" s="1"/>
  <c r="CB49" s="1"/>
  <c r="CC49" s="1"/>
  <c r="CD49" s="1"/>
  <c r="BZ34"/>
  <c r="CA34" s="1"/>
  <c r="CB34" s="1"/>
  <c r="CC34" s="1"/>
  <c r="CD34" s="1"/>
  <c r="CB28"/>
  <c r="CB32"/>
  <c r="CB26"/>
  <c r="CB27"/>
  <c r="BZ45"/>
  <c r="CA45" s="1"/>
  <c r="CB45" s="1"/>
  <c r="CC45" s="1"/>
  <c r="CD45" s="1"/>
  <c r="AX100" i="28"/>
  <c r="AX68"/>
  <c r="AY68"/>
  <c r="AQ273" i="20"/>
  <c r="AQ274" s="1"/>
  <c r="AQ267"/>
  <c r="AQ422"/>
  <c r="AQ458" s="1"/>
  <c r="N264"/>
  <c r="N266"/>
  <c r="N215"/>
  <c r="BC453"/>
  <c r="BP463"/>
  <c r="CL413"/>
  <c r="CN363"/>
  <c r="BS363"/>
  <c r="BR413"/>
  <c r="BR64"/>
  <c r="BR35" i="23"/>
  <c r="BR36" s="1"/>
  <c r="BR149" i="20"/>
  <c r="BR307"/>
  <c r="BR561"/>
  <c r="CN561" s="1"/>
  <c r="CM413"/>
  <c r="BQ463"/>
  <c r="CL64"/>
  <c r="BP88"/>
  <c r="CL88" s="1"/>
  <c r="BQ110"/>
  <c r="CM110" s="1"/>
  <c r="BP132"/>
  <c r="CL132" s="1"/>
  <c r="CL149"/>
  <c r="CM307"/>
  <c r="BR63"/>
  <c r="BR1123" i="19"/>
  <c r="BR1124" s="1"/>
  <c r="BT764"/>
  <c r="BU764" s="1"/>
  <c r="BV764" s="1"/>
  <c r="BW764" s="1"/>
  <c r="BX764" s="1"/>
  <c r="BY764" s="1"/>
  <c r="BZ764" s="1"/>
  <c r="CA764" s="1"/>
  <c r="CB764" s="1"/>
  <c r="CC764" s="1"/>
  <c r="CD764" s="1"/>
  <c r="BS1077"/>
  <c r="BS1128" s="1"/>
  <c r="AW103" i="20"/>
  <c r="AV125"/>
  <c r="AV81"/>
  <c r="AW57"/>
  <c r="CL365"/>
  <c r="BQ365"/>
  <c r="BP38" i="23"/>
  <c r="G266" i="20"/>
  <c r="G240"/>
  <c r="G264"/>
  <c r="G246"/>
  <c r="AI353"/>
  <c r="AH353"/>
  <c r="AH423"/>
  <c r="BB68" i="28"/>
  <c r="BA100"/>
  <c r="BA68"/>
  <c r="AB281" i="20"/>
  <c r="AA280"/>
  <c r="BB585"/>
  <c r="AX208"/>
  <c r="M164"/>
  <c r="M165" s="1"/>
  <c r="M169"/>
  <c r="M191" s="1"/>
  <c r="M163"/>
  <c r="W169"/>
  <c r="W191" s="1"/>
  <c r="W164"/>
  <c r="W165" s="1"/>
  <c r="W163"/>
  <c r="AC101" i="28"/>
  <c r="AD69"/>
  <c r="AC69"/>
  <c r="AC58"/>
  <c r="AF410" i="20"/>
  <c r="AF461" s="1"/>
  <c r="AF426"/>
  <c r="AF351"/>
  <c r="AG359"/>
  <c r="AF424"/>
  <c r="AF415" s="1"/>
  <c r="AF358"/>
  <c r="AG358"/>
  <c r="S424"/>
  <c r="S415" s="1"/>
  <c r="S410"/>
  <c r="S461" s="1"/>
  <c r="T359"/>
  <c r="S351"/>
  <c r="T358"/>
  <c r="S426"/>
  <c r="T351"/>
  <c r="S359"/>
  <c r="S358"/>
  <c r="F426"/>
  <c r="G351"/>
  <c r="F410"/>
  <c r="F461" s="1"/>
  <c r="F424"/>
  <c r="F415" s="1"/>
  <c r="F351"/>
  <c r="F359"/>
  <c r="G359"/>
  <c r="F358"/>
  <c r="BI8" i="28"/>
  <c r="BJ32" i="23"/>
  <c r="CH32" s="1"/>
  <c r="BJ390" i="20"/>
  <c r="BJ327"/>
  <c r="BD400"/>
  <c r="BD475"/>
  <c r="BC30" i="28"/>
  <c r="BC29" s="1"/>
  <c r="BD286" i="20"/>
  <c r="BD296"/>
  <c r="BD321"/>
  <c r="BD340"/>
  <c r="L430"/>
  <c r="CL259"/>
  <c r="BQ259"/>
  <c r="BP505"/>
  <c r="CL505" s="1"/>
  <c r="CH383"/>
  <c r="BO383"/>
  <c r="BP383" s="1"/>
  <c r="CL383" s="1"/>
  <c r="BA430"/>
  <c r="AI100" i="28"/>
  <c r="AI68"/>
  <c r="AJ68"/>
  <c r="AD423" i="20"/>
  <c r="AE353"/>
  <c r="AS353"/>
  <c r="AR353"/>
  <c r="AR423"/>
  <c r="AR466" s="1"/>
  <c r="BH73" i="28"/>
  <c r="BG105"/>
  <c r="BC585" i="20"/>
  <c r="CH223"/>
  <c r="BL494"/>
  <c r="BL235"/>
  <c r="CH235" s="1"/>
  <c r="BL264"/>
  <c r="CH264" s="1"/>
  <c r="BL266"/>
  <c r="BL215"/>
  <c r="AV99" i="28"/>
  <c r="AW67"/>
  <c r="AV67"/>
  <c r="AU281" i="20"/>
  <c r="AT280"/>
  <c r="AX274"/>
  <c r="AI164"/>
  <c r="AI165" s="1"/>
  <c r="AI163"/>
  <c r="AI169"/>
  <c r="AI191" s="1"/>
  <c r="K69" i="28"/>
  <c r="L69"/>
  <c r="AE395" i="20"/>
  <c r="AE446" s="1"/>
  <c r="AD430"/>
  <c r="AG163"/>
  <c r="AG164"/>
  <c r="AG165" s="1"/>
  <c r="AG169"/>
  <c r="AG191" s="1"/>
  <c r="AP424"/>
  <c r="AP415" s="1"/>
  <c r="AP426"/>
  <c r="AP351"/>
  <c r="AQ351"/>
  <c r="AP359"/>
  <c r="AQ358"/>
  <c r="AQ359"/>
  <c r="AP358"/>
  <c r="AR426"/>
  <c r="AR424"/>
  <c r="AR359"/>
  <c r="AR410"/>
  <c r="AR461" s="1"/>
  <c r="AS359"/>
  <c r="AR351"/>
  <c r="AR358"/>
  <c r="BD599"/>
  <c r="AW273"/>
  <c r="AW267"/>
  <c r="AW422"/>
  <c r="AW458" s="1"/>
  <c r="AG311"/>
  <c r="AG430" s="1"/>
  <c r="AO311"/>
  <c r="AO430" s="1"/>
  <c r="AD353"/>
  <c r="AF359"/>
  <c r="L395"/>
  <c r="L446" s="1"/>
  <c r="AP410"/>
  <c r="AP461" s="1"/>
  <c r="BO633" i="19"/>
  <c r="BO634" s="1"/>
  <c r="BO711"/>
  <c r="BO707" s="1"/>
  <c r="BO729" s="1"/>
  <c r="BE218"/>
  <c r="BF232"/>
  <c r="BE222"/>
  <c r="BI228"/>
  <c r="BJ222"/>
  <c r="BD221"/>
  <c r="BC225"/>
  <c r="BE229"/>
  <c r="BQ276"/>
  <c r="BQ239" i="20"/>
  <c r="CM239" s="1"/>
  <c r="BG495"/>
  <c r="BG266"/>
  <c r="BG215"/>
  <c r="BI700" i="19"/>
  <c r="BI701"/>
  <c r="BH205" i="20"/>
  <c r="BH539"/>
  <c r="BO235"/>
  <c r="CK235" s="1"/>
  <c r="BO215"/>
  <c r="BL181"/>
  <c r="BL698" i="19"/>
  <c r="BG205" i="20"/>
  <c r="BG539"/>
  <c r="BT802" i="19"/>
  <c r="AX421" i="20"/>
  <c r="AX292"/>
  <c r="AX27" i="28"/>
  <c r="AY361" i="20"/>
  <c r="AY336"/>
  <c r="AY419"/>
  <c r="AY337"/>
  <c r="AY411" s="1"/>
  <c r="F98" i="28"/>
  <c r="F66"/>
  <c r="G66"/>
  <c r="BD483" i="20"/>
  <c r="BE474"/>
  <c r="BX53" i="19"/>
  <c r="BW835"/>
  <c r="CG215" i="20"/>
  <c r="BK491"/>
  <c r="CG491" s="1"/>
  <c r="BA395"/>
  <c r="BA34" i="23"/>
  <c r="BA391" i="20"/>
  <c r="BA309"/>
  <c r="AZ313"/>
  <c r="BD293" i="19"/>
  <c r="BD265"/>
  <c r="BD295" s="1"/>
  <c r="BD266" i="20"/>
  <c r="BD217"/>
  <c r="BT42" i="19"/>
  <c r="BU42" s="1"/>
  <c r="BV42" s="1"/>
  <c r="BW42" s="1"/>
  <c r="BX42" s="1"/>
  <c r="BY42" s="1"/>
  <c r="BZ42" s="1"/>
  <c r="CA42" s="1"/>
  <c r="CB42" s="1"/>
  <c r="CC42" s="1"/>
  <c r="CD42" s="1"/>
  <c r="BU47"/>
  <c r="BV47" s="1"/>
  <c r="BW47" s="1"/>
  <c r="BX47" s="1"/>
  <c r="BY47" s="1"/>
  <c r="BZ47" s="1"/>
  <c r="CA47" s="1"/>
  <c r="CB47" s="1"/>
  <c r="CC47" s="1"/>
  <c r="CD47" s="1"/>
  <c r="BD404" i="20"/>
  <c r="BA442"/>
  <c r="BL546"/>
  <c r="CH546" s="1"/>
  <c r="CH206"/>
  <c r="BM214"/>
  <c r="CI214" s="1"/>
  <c r="BM295" i="19"/>
  <c r="BM297" s="1"/>
  <c r="BF422" i="20"/>
  <c r="BF267"/>
  <c r="BF273"/>
  <c r="BP1122" i="19"/>
  <c r="BQ1123" s="1"/>
  <c r="BH750"/>
  <c r="BH752" s="1"/>
  <c r="BH206" i="20" s="1"/>
  <c r="BN351"/>
  <c r="BN549"/>
  <c r="CJ549" s="1"/>
  <c r="CJ349"/>
  <c r="BE220" i="19"/>
  <c r="BE224"/>
  <c r="BE230"/>
  <c r="CK221" i="20"/>
  <c r="BD217" i="19"/>
  <c r="BE223"/>
  <c r="BD226"/>
  <c r="BN281"/>
  <c r="BN249" i="20"/>
  <c r="BS41" i="23"/>
  <c r="BR41"/>
  <c r="BJ41"/>
  <c r="CH41" s="1"/>
  <c r="BU41"/>
  <c r="BM41"/>
  <c r="CK41" s="1"/>
  <c r="BQ41"/>
  <c r="BO41"/>
  <c r="CM41" s="1"/>
  <c r="BZ41"/>
  <c r="CB41"/>
  <c r="CC41"/>
  <c r="BV41"/>
  <c r="BN41"/>
  <c r="CL41" s="1"/>
  <c r="BK41"/>
  <c r="CI41" s="1"/>
  <c r="BL41"/>
  <c r="CJ41" s="1"/>
  <c r="BT41"/>
  <c r="CD41"/>
  <c r="BW41"/>
  <c r="BY41"/>
  <c r="BX41"/>
  <c r="CA41"/>
  <c r="BP41"/>
  <c r="BA232" i="20"/>
  <c r="BJ568" i="19"/>
  <c r="BJ539" i="20"/>
  <c r="BJ205"/>
  <c r="BQ38" i="19"/>
  <c r="BR38" s="1"/>
  <c r="BS38" s="1"/>
  <c r="BT38" s="1"/>
  <c r="BU38" s="1"/>
  <c r="BV38" s="1"/>
  <c r="BW38" s="1"/>
  <c r="BX38" s="1"/>
  <c r="BY38" s="1"/>
  <c r="BZ38" s="1"/>
  <c r="CA38" s="1"/>
  <c r="CB38" s="1"/>
  <c r="CC38" s="1"/>
  <c r="CD38" s="1"/>
  <c r="BP35"/>
  <c r="BG729"/>
  <c r="BG750"/>
  <c r="BG752" s="1"/>
  <c r="BG206" i="20" s="1"/>
  <c r="Q100" i="28"/>
  <c r="R68"/>
  <c r="Q68"/>
  <c r="BM223" i="19"/>
  <c r="AX45" i="28"/>
  <c r="AY465" i="20"/>
  <c r="CI249"/>
  <c r="BM246"/>
  <c r="BM240"/>
  <c r="BM264"/>
  <c r="CI264" s="1"/>
  <c r="BM266"/>
  <c r="BA70"/>
  <c r="AZ138"/>
  <c r="AZ94"/>
  <c r="BA116"/>
  <c r="BA454"/>
  <c r="R112" i="28"/>
  <c r="R79"/>
  <c r="BH486" i="20"/>
  <c r="BH32" i="23"/>
  <c r="CF32" s="1"/>
  <c r="BH327" i="20"/>
  <c r="BG8" i="28"/>
  <c r="BH390" i="20"/>
  <c r="BK404"/>
  <c r="CG327"/>
  <c r="BK442"/>
  <c r="CG442" s="1"/>
  <c r="CG390"/>
  <c r="BK434"/>
  <c r="BD442"/>
  <c r="BA404"/>
  <c r="BR293" i="19"/>
  <c r="BR265"/>
  <c r="BS268"/>
  <c r="BS267" s="1"/>
  <c r="BS265" s="1"/>
  <c r="BS214" i="20" s="1"/>
  <c r="CO214" s="1"/>
  <c r="BT269" i="19"/>
  <c r="BG492" i="20"/>
  <c r="BG509" s="1"/>
  <c r="BJ750" i="19"/>
  <c r="BJ752" s="1"/>
  <c r="BJ206" i="20" s="1"/>
  <c r="BJ701" i="19"/>
  <c r="BO750"/>
  <c r="BO752" s="1"/>
  <c r="BO267"/>
  <c r="BM293"/>
  <c r="AD68" i="28"/>
  <c r="AC68"/>
  <c r="AC100"/>
  <c r="I264" i="20"/>
  <c r="I215"/>
  <c r="I266"/>
  <c r="I235"/>
  <c r="CJ364"/>
  <c r="BO364"/>
  <c r="BB442"/>
  <c r="CS25"/>
  <c r="BX25"/>
  <c r="BY25" s="1"/>
  <c r="BW8" i="23"/>
  <c r="BE97" i="20"/>
  <c r="BF73"/>
  <c r="BE141"/>
  <c r="BF119"/>
  <c r="BX1090" i="19"/>
  <c r="BW38" i="20"/>
  <c r="AZ50" i="19"/>
  <c r="AX37"/>
  <c r="AY50" s="1"/>
  <c r="CA89"/>
  <c r="BW10" i="23"/>
  <c r="CS46" i="20"/>
  <c r="BX46"/>
  <c r="BY46" s="1"/>
  <c r="BZ46" s="1"/>
  <c r="CA46" s="1"/>
  <c r="CB46" s="1"/>
  <c r="CC46" s="1"/>
  <c r="CD46" s="1"/>
  <c r="CO367"/>
  <c r="BT367"/>
  <c r="CR38"/>
  <c r="BH120"/>
  <c r="BH74"/>
  <c r="BG142"/>
  <c r="BG98"/>
  <c r="CV27"/>
  <c r="BB378"/>
  <c r="H98" i="28"/>
  <c r="H66"/>
  <c r="BJ382" i="20"/>
  <c r="BI33" i="23"/>
  <c r="CG33" s="1"/>
  <c r="BD459" i="20"/>
  <c r="BG232"/>
  <c r="BF233"/>
  <c r="BF332"/>
  <c r="AY46" i="23"/>
  <c r="AY49" s="1"/>
  <c r="AY50"/>
  <c r="AY70"/>
  <c r="AY69"/>
  <c r="AY72" s="1"/>
  <c r="CK231" i="20"/>
  <c r="CQ38"/>
  <c r="CV26"/>
  <c r="BG100" i="28"/>
  <c r="BG68"/>
  <c r="BH68"/>
  <c r="I98"/>
  <c r="J66"/>
  <c r="I66"/>
  <c r="CJ181" i="20"/>
  <c r="BM36" i="28"/>
  <c r="BN522" i="20"/>
  <c r="BN204"/>
  <c r="BG462"/>
  <c r="AZ4" i="23"/>
  <c r="AZ43" s="1"/>
  <c r="BB404" i="20"/>
  <c r="BC127"/>
  <c r="BD59"/>
  <c r="BC83"/>
  <c r="BD105"/>
  <c r="BS125"/>
  <c r="CO125" s="1"/>
  <c r="CN14"/>
  <c r="BR81"/>
  <c r="CN81" s="1"/>
  <c r="BS14"/>
  <c r="BR103"/>
  <c r="CN103" s="1"/>
  <c r="CO380"/>
  <c r="BT380"/>
  <c r="BI124"/>
  <c r="BJ56"/>
  <c r="BI80"/>
  <c r="BJ261"/>
  <c r="BJ262" s="1"/>
  <c r="BJ102"/>
  <c r="CN53"/>
  <c r="BS53"/>
  <c r="BQ36"/>
  <c r="BR86" i="19"/>
  <c r="CS48" i="20"/>
  <c r="CV45"/>
  <c r="BQ293" i="19"/>
  <c r="BQ265"/>
  <c r="AP98" i="28"/>
  <c r="AP66"/>
  <c r="CK23" i="20"/>
  <c r="BI269" i="19"/>
  <c r="BI398"/>
  <c r="X112" i="28"/>
  <c r="X79"/>
  <c r="Y79"/>
  <c r="Q66"/>
  <c r="R66"/>
  <c r="Q98"/>
  <c r="F112"/>
  <c r="F79"/>
  <c r="G79"/>
  <c r="T79"/>
  <c r="S79"/>
  <c r="S112"/>
  <c r="BH495" i="20"/>
  <c r="BH492" s="1"/>
  <c r="BH509" s="1"/>
  <c r="BH266"/>
  <c r="BH264"/>
  <c r="BH215"/>
  <c r="BH239"/>
  <c r="BH235"/>
  <c r="L42" i="23"/>
  <c r="L63"/>
  <c r="CG36" i="28"/>
  <c r="BL35"/>
  <c r="CT19" i="20"/>
  <c r="CK77" i="23"/>
  <c r="BN77"/>
  <c r="AN62" i="28"/>
  <c r="AN24"/>
  <c r="AM2"/>
  <c r="CZ308" i="20"/>
  <c r="CD1140" i="19"/>
  <c r="CD1141" s="1"/>
  <c r="CB48"/>
  <c r="BK8" i="28"/>
  <c r="CH305" i="20"/>
  <c r="BL327"/>
  <c r="BL32" i="23"/>
  <c r="CJ32" s="1"/>
  <c r="BL390" i="20"/>
  <c r="T274"/>
  <c r="AS311"/>
  <c r="AS430" s="1"/>
  <c r="AT311"/>
  <c r="AT430" s="1"/>
  <c r="X311"/>
  <c r="X430" s="1"/>
  <c r="W311"/>
  <c r="W430" s="1"/>
  <c r="S274"/>
  <c r="CT47"/>
  <c r="CQ51"/>
  <c r="BV51"/>
  <c r="BF93"/>
  <c r="BG69"/>
  <c r="BG115"/>
  <c r="BF137"/>
  <c r="CB87" i="19"/>
  <c r="CB37" i="20" s="1"/>
  <c r="CT49"/>
  <c r="AH311"/>
  <c r="AH430" s="1"/>
  <c r="BS109"/>
  <c r="BD231" i="19"/>
  <c r="BE234"/>
  <c r="BE232"/>
  <c r="BM482" i="20"/>
  <c r="CH482"/>
  <c r="U112" i="28"/>
  <c r="V79"/>
  <c r="U79"/>
  <c r="BS279" i="19"/>
  <c r="BS293"/>
  <c r="CJ170" i="20"/>
  <c r="BN163"/>
  <c r="CJ163" s="1"/>
  <c r="BN164"/>
  <c r="CJ164" s="1"/>
  <c r="AW233" i="19"/>
  <c r="BI226"/>
  <c r="BH232"/>
  <c r="BT1106"/>
  <c r="BT1118" s="1"/>
  <c r="BU1076"/>
  <c r="BT20" i="20"/>
  <c r="CO17"/>
  <c r="CK438"/>
  <c r="CL6"/>
  <c r="BQ801" i="19"/>
  <c r="CK349" i="20"/>
  <c r="CJ23"/>
  <c r="BN173"/>
  <c r="BP23"/>
  <c r="BQ74" i="19"/>
  <c r="BS1113"/>
  <c r="BS1159"/>
  <c r="BS1177"/>
  <c r="BS1179" s="1"/>
  <c r="BO257" i="20"/>
  <c r="CK244"/>
  <c r="L466"/>
  <c r="L415"/>
  <c r="AV118" i="19"/>
  <c r="AW292" i="20"/>
  <c r="AW421"/>
  <c r="BM104" i="28"/>
  <c r="CH104" s="1"/>
  <c r="CH44"/>
  <c r="CH377" i="20"/>
  <c r="BL375"/>
  <c r="BM377"/>
  <c r="BI174"/>
  <c r="BI172" s="1"/>
  <c r="BJ831" i="19"/>
  <c r="BL225"/>
  <c r="L98" i="28"/>
  <c r="L66"/>
  <c r="M66"/>
  <c r="CH15" i="20"/>
  <c r="BM461"/>
  <c r="CI461" s="1"/>
  <c r="CI410"/>
  <c r="AZ422"/>
  <c r="AZ273"/>
  <c r="AZ612"/>
  <c r="AZ267"/>
  <c r="AZ613" s="1"/>
  <c r="AZ411"/>
  <c r="BB215"/>
  <c r="BB564" s="1"/>
  <c r="BB566"/>
  <c r="BZ1075" i="19"/>
  <c r="BY1163"/>
  <c r="BY1186" s="1"/>
  <c r="AY414" i="20"/>
  <c r="AY467" s="1"/>
  <c r="BE442"/>
  <c r="BN132"/>
  <c r="CJ132" s="1"/>
  <c r="BN88"/>
  <c r="CJ88" s="1"/>
  <c r="BO110"/>
  <c r="CK110" s="1"/>
  <c r="CJ64"/>
  <c r="BU371"/>
  <c r="CP371"/>
  <c r="T458"/>
  <c r="AC311"/>
  <c r="AC430" s="1"/>
  <c r="AB311"/>
  <c r="AB430" s="1"/>
  <c r="AP311"/>
  <c r="AP430" s="1"/>
  <c r="AQ311"/>
  <c r="AQ430" s="1"/>
  <c r="BP214"/>
  <c r="CL214" s="1"/>
  <c r="BP295" i="19"/>
  <c r="S458" i="20"/>
  <c r="BD95"/>
  <c r="BE71"/>
  <c r="BE117"/>
  <c r="BD139"/>
  <c r="BY104" i="28"/>
  <c r="CT104" s="1"/>
  <c r="CT44"/>
  <c r="BA26"/>
  <c r="BA50" s="1"/>
  <c r="BA96"/>
  <c r="BA53"/>
  <c r="BQ1124" i="19"/>
  <c r="BD66" i="20"/>
  <c r="BC90"/>
  <c r="BC134"/>
  <c r="BD112"/>
  <c r="CS348"/>
  <c r="BX348"/>
  <c r="BY348" s="1"/>
  <c r="BZ348" s="1"/>
  <c r="CA348" s="1"/>
  <c r="CB348" s="1"/>
  <c r="CC348" s="1"/>
  <c r="CD348" s="1"/>
  <c r="AU219" i="19"/>
  <c r="CV37" i="20"/>
  <c r="BE473"/>
  <c r="AQ66" i="28"/>
  <c r="BA224" i="20"/>
  <c r="M42" i="23"/>
  <c r="BL231" i="19"/>
  <c r="BO70"/>
  <c r="BP70" s="1"/>
  <c r="BQ70" s="1"/>
  <c r="BR70" s="1"/>
  <c r="BS70" s="1"/>
  <c r="BT70" s="1"/>
  <c r="BU70" s="1"/>
  <c r="BV70" s="1"/>
  <c r="BW70" s="1"/>
  <c r="BX70" s="1"/>
  <c r="BY70" s="1"/>
  <c r="BZ70" s="1"/>
  <c r="CA70" s="1"/>
  <c r="CB70" s="1"/>
  <c r="CC70" s="1"/>
  <c r="CD70" s="1"/>
  <c r="BN15" i="20"/>
  <c r="AZ414"/>
  <c r="BE91"/>
  <c r="BE113"/>
  <c r="BI404"/>
  <c r="BI434"/>
  <c r="BI442"/>
  <c r="CG492"/>
  <c r="BK509"/>
  <c r="BZ24" i="28"/>
  <c r="CA2"/>
  <c r="BZ44"/>
  <c r="BZ72"/>
  <c r="CU72" s="1"/>
  <c r="BZ62"/>
  <c r="CU62" s="1"/>
  <c r="CT28" i="20"/>
  <c r="Y61" i="23"/>
  <c r="BE121" i="20"/>
  <c r="BD143"/>
  <c r="BD99"/>
  <c r="BE75"/>
  <c r="CX21"/>
  <c r="BF161"/>
  <c r="CU37"/>
  <c r="BF58"/>
  <c r="BF104"/>
  <c r="BE126"/>
  <c r="BE82"/>
  <c r="AY339"/>
  <c r="AY287" s="1"/>
  <c r="CU279"/>
  <c r="AZ339"/>
  <c r="AZ287" s="1"/>
  <c r="AU228" i="19"/>
  <c r="BG255" i="20"/>
  <c r="BF331"/>
  <c r="CY21"/>
  <c r="BK68"/>
  <c r="BJ136"/>
  <c r="BJ92"/>
  <c r="BK114"/>
  <c r="CG114" s="1"/>
  <c r="W42" i="23"/>
  <c r="BG293" i="19"/>
  <c r="BG265"/>
  <c r="BG295" s="1"/>
  <c r="BG297" s="1"/>
  <c r="BP2"/>
  <c r="BX265" i="20"/>
  <c r="BX282" s="1"/>
  <c r="BY289" i="19"/>
  <c r="AV140" i="20"/>
  <c r="AV123" s="1"/>
  <c r="AW72"/>
  <c r="AV96"/>
  <c r="AW118"/>
  <c r="AW101" s="1"/>
  <c r="BO696" i="19"/>
  <c r="BO1077"/>
  <c r="BO1128" s="1"/>
  <c r="BO1087"/>
  <c r="BO1122"/>
  <c r="BO363" i="20"/>
  <c r="BO170" s="1"/>
  <c r="BO51" i="19"/>
  <c r="BP51"/>
  <c r="BU1071"/>
  <c r="BT17" i="20"/>
  <c r="BT1101" i="19"/>
  <c r="BT1069"/>
  <c r="BT1159"/>
  <c r="BT1158" s="1"/>
  <c r="BT1176"/>
  <c r="BT1080"/>
  <c r="AY475" i="20"/>
  <c r="AX30" i="28"/>
  <c r="AZ321" i="20"/>
  <c r="AY286"/>
  <c r="AY340"/>
  <c r="BU284" i="19"/>
  <c r="BV284" s="1"/>
  <c r="BW284" s="1"/>
  <c r="BX284" s="1"/>
  <c r="BY284" s="1"/>
  <c r="BZ284" s="1"/>
  <c r="CA284" s="1"/>
  <c r="CB284" s="1"/>
  <c r="CC284" s="1"/>
  <c r="CD284" s="1"/>
  <c r="BT281"/>
  <c r="AO112" i="28"/>
  <c r="AO79"/>
  <c r="CK44" i="20"/>
  <c r="BP44"/>
  <c r="BL221" i="19"/>
  <c r="K79" i="28"/>
  <c r="L79"/>
  <c r="K112"/>
  <c r="AQ473" i="20"/>
  <c r="AO6"/>
  <c r="AP386"/>
  <c r="AP438" s="1"/>
  <c r="S98" i="28"/>
  <c r="T66"/>
  <c r="S66"/>
  <c r="BF390" i="20"/>
  <c r="BF32" i="23"/>
  <c r="BE8" i="28"/>
  <c r="BF327" i="20"/>
  <c r="BE486"/>
  <c r="CK495"/>
  <c r="BO492"/>
  <c r="BL217" i="19"/>
  <c r="CB860"/>
  <c r="CI15" i="20"/>
  <c r="BA467"/>
  <c r="CY308"/>
  <c r="BG81" i="19"/>
  <c r="BF24" i="20"/>
  <c r="BM227" i="19"/>
  <c r="AV311" i="20"/>
  <c r="AU311"/>
  <c r="AU430" s="1"/>
  <c r="CU34"/>
  <c r="BG165"/>
  <c r="BH165" s="1"/>
  <c r="BI165" s="1"/>
  <c r="BJ165" s="1"/>
  <c r="BK165" s="1"/>
  <c r="CT48"/>
  <c r="BO220" i="19"/>
  <c r="BP220" s="1"/>
  <c r="BQ220" s="1"/>
  <c r="BR220" s="1"/>
  <c r="BS220" s="1"/>
  <c r="BI4" i="23"/>
  <c r="CC1141" i="19"/>
  <c r="BH43" i="23" l="1"/>
  <c r="CF43" s="1"/>
  <c r="CF4"/>
  <c r="BJ6" i="20"/>
  <c r="BI489"/>
  <c r="BI386"/>
  <c r="BI438" s="1"/>
  <c r="AR415"/>
  <c r="AI331"/>
  <c r="CT166"/>
  <c r="CT282"/>
  <c r="BY282"/>
  <c r="BZ282" s="1"/>
  <c r="CA282" s="1"/>
  <c r="CB282" s="1"/>
  <c r="CC282" s="1"/>
  <c r="CD282" s="1"/>
  <c r="Q266"/>
  <c r="Q235"/>
  <c r="Q264"/>
  <c r="Q215"/>
  <c r="AL273"/>
  <c r="AL274" s="1"/>
  <c r="AL267"/>
  <c r="AL422"/>
  <c r="AL458" s="1"/>
  <c r="P267"/>
  <c r="P422"/>
  <c r="P458" s="1"/>
  <c r="P273"/>
  <c r="P274" s="1"/>
  <c r="AY96" i="28"/>
  <c r="AY47"/>
  <c r="AY107" s="1"/>
  <c r="AY26"/>
  <c r="AY53"/>
  <c r="AY110" s="1"/>
  <c r="AY54"/>
  <c r="AY111" s="1"/>
  <c r="BC400" i="20"/>
  <c r="AT273"/>
  <c r="AT274" s="1"/>
  <c r="AT422"/>
  <c r="AT458" s="1"/>
  <c r="W66" i="28"/>
  <c r="V66"/>
  <c r="V98"/>
  <c r="Y352" i="20"/>
  <c r="Y358"/>
  <c r="W267"/>
  <c r="X352"/>
  <c r="X358"/>
  <c r="U422"/>
  <c r="U458" s="1"/>
  <c r="U273"/>
  <c r="U274" s="1"/>
  <c r="U267"/>
  <c r="AK66" i="28"/>
  <c r="AK98"/>
  <c r="AL66"/>
  <c r="AO352" i="20"/>
  <c r="AO358"/>
  <c r="BX1093" i="19"/>
  <c r="BW42" i="20"/>
  <c r="CS42" s="1"/>
  <c r="BW1162" i="19"/>
  <c r="BW1185" s="1"/>
  <c r="AN264" i="20"/>
  <c r="AN235"/>
  <c r="AN215"/>
  <c r="AN266"/>
  <c r="X266"/>
  <c r="X235"/>
  <c r="X264"/>
  <c r="X215"/>
  <c r="AU273"/>
  <c r="AU274" s="1"/>
  <c r="AU422"/>
  <c r="AU458" s="1"/>
  <c r="H422"/>
  <c r="H458" s="1"/>
  <c r="H267"/>
  <c r="H273"/>
  <c r="H274" s="1"/>
  <c r="AJ66" i="28"/>
  <c r="AJ98"/>
  <c r="BC340" i="20"/>
  <c r="BC473"/>
  <c r="BG442"/>
  <c r="BG434"/>
  <c r="BN434"/>
  <c r="AE273"/>
  <c r="AE274" s="1"/>
  <c r="AE422"/>
  <c r="AE458" s="1"/>
  <c r="AE267"/>
  <c r="X66" i="28"/>
  <c r="W98"/>
  <c r="O66"/>
  <c r="O98"/>
  <c r="BB9"/>
  <c r="BC37" i="23"/>
  <c r="BC475" i="20"/>
  <c r="BB30" i="28"/>
  <c r="BB29" s="1"/>
  <c r="BC321" i="20"/>
  <c r="K352"/>
  <c r="K358"/>
  <c r="BY30"/>
  <c r="CT30"/>
  <c r="AM273"/>
  <c r="AM274" s="1"/>
  <c r="AM422"/>
  <c r="AM458" s="1"/>
  <c r="AM267"/>
  <c r="AB264"/>
  <c r="AB266"/>
  <c r="AB235"/>
  <c r="AB215"/>
  <c r="BN483"/>
  <c r="CI483"/>
  <c r="BM474"/>
  <c r="F267"/>
  <c r="F273"/>
  <c r="F274" s="1"/>
  <c r="F422"/>
  <c r="F458" s="1"/>
  <c r="AE66" i="28"/>
  <c r="AD98"/>
  <c r="AD66"/>
  <c r="Z98"/>
  <c r="Z66"/>
  <c r="AA66"/>
  <c r="P98"/>
  <c r="P66"/>
  <c r="BZ271" i="20"/>
  <c r="CU271"/>
  <c r="BX41"/>
  <c r="BY1095" i="19"/>
  <c r="AS267" i="20"/>
  <c r="AS422"/>
  <c r="AS458" s="1"/>
  <c r="AS273"/>
  <c r="AS274" s="1"/>
  <c r="AA273"/>
  <c r="AA274" s="1"/>
  <c r="AA422"/>
  <c r="AA458" s="1"/>
  <c r="Z267"/>
  <c r="Z422"/>
  <c r="Z458" s="1"/>
  <c r="Z273"/>
  <c r="Z274" s="1"/>
  <c r="AC66" i="28"/>
  <c r="AC98"/>
  <c r="N66"/>
  <c r="AN331" i="20"/>
  <c r="BZ25"/>
  <c r="CA25" s="1"/>
  <c r="CB25" s="1"/>
  <c r="BG404"/>
  <c r="BZ31"/>
  <c r="CU31"/>
  <c r="AH267"/>
  <c r="AH422"/>
  <c r="AH458" s="1"/>
  <c r="AH273"/>
  <c r="AH274" s="1"/>
  <c r="J98" i="28"/>
  <c r="K66"/>
  <c r="BI545" i="20"/>
  <c r="BI208"/>
  <c r="O235"/>
  <c r="O266"/>
  <c r="O264"/>
  <c r="O215"/>
  <c r="M422"/>
  <c r="M458" s="1"/>
  <c r="M273"/>
  <c r="M274" s="1"/>
  <c r="M267"/>
  <c r="L358"/>
  <c r="L352"/>
  <c r="BI499"/>
  <c r="AF273"/>
  <c r="AF274" s="1"/>
  <c r="AF422"/>
  <c r="AF458" s="1"/>
  <c r="AF267"/>
  <c r="BF67"/>
  <c r="BE135"/>
  <c r="BX1092" i="19"/>
  <c r="BW1161"/>
  <c r="BW1184" s="1"/>
  <c r="AI31" i="28"/>
  <c r="AJ331" i="20"/>
  <c r="AG422"/>
  <c r="AG458" s="1"/>
  <c r="AG267"/>
  <c r="AG273"/>
  <c r="AG274" s="1"/>
  <c r="W273"/>
  <c r="W274" s="1"/>
  <c r="W422"/>
  <c r="W458" s="1"/>
  <c r="H352"/>
  <c r="H358"/>
  <c r="CQ29"/>
  <c r="BV29"/>
  <c r="V273"/>
  <c r="V274" s="1"/>
  <c r="V422"/>
  <c r="V458" s="1"/>
  <c r="V267"/>
  <c r="U98" i="28"/>
  <c r="U66"/>
  <c r="AD273" i="20"/>
  <c r="AD274" s="1"/>
  <c r="AD422"/>
  <c r="AD458" s="1"/>
  <c r="J352"/>
  <c r="J358"/>
  <c r="BM305"/>
  <c r="CI306"/>
  <c r="I331"/>
  <c r="BC296"/>
  <c r="BJ223"/>
  <c r="AB331"/>
  <c r="X331"/>
  <c r="BW1160" i="19"/>
  <c r="BW1183" s="1"/>
  <c r="BW39" i="20"/>
  <c r="CS39" s="1"/>
  <c r="BX1091" i="19"/>
  <c r="BB168" i="20"/>
  <c r="BB171" s="1"/>
  <c r="BB169" s="1"/>
  <c r="BB191" s="1"/>
  <c r="CR50"/>
  <c r="BW50"/>
  <c r="BU52"/>
  <c r="CP52"/>
  <c r="W352"/>
  <c r="W358"/>
  <c r="Q331"/>
  <c r="P31" i="28"/>
  <c r="R422" i="20"/>
  <c r="R458" s="1"/>
  <c r="R273"/>
  <c r="R274" s="1"/>
  <c r="R267"/>
  <c r="E66" i="28"/>
  <c r="E98"/>
  <c r="CA40" i="20"/>
  <c r="CW40" s="1"/>
  <c r="CB1094" i="19"/>
  <c r="AL352" i="20"/>
  <c r="AL358"/>
  <c r="AI235"/>
  <c r="AI264"/>
  <c r="AI266"/>
  <c r="AI215"/>
  <c r="AK273"/>
  <c r="AK274" s="1"/>
  <c r="AK267"/>
  <c r="AK422"/>
  <c r="AK458" s="1"/>
  <c r="AH66" i="28"/>
  <c r="AG98"/>
  <c r="AG66"/>
  <c r="AB98"/>
  <c r="AB66"/>
  <c r="CO366" i="20"/>
  <c r="BT366"/>
  <c r="AJ266"/>
  <c r="AJ215"/>
  <c r="AJ264"/>
  <c r="AJ235"/>
  <c r="AC422"/>
  <c r="AC458" s="1"/>
  <c r="AC267"/>
  <c r="AC273"/>
  <c r="AC274" s="1"/>
  <c r="AF66" i="28"/>
  <c r="AF98"/>
  <c r="BY13" i="20"/>
  <c r="CT13"/>
  <c r="K273"/>
  <c r="K274" s="1"/>
  <c r="K422"/>
  <c r="K458" s="1"/>
  <c r="K267"/>
  <c r="AR273"/>
  <c r="AR274" s="1"/>
  <c r="AR422"/>
  <c r="AR458" s="1"/>
  <c r="AR267"/>
  <c r="AW373"/>
  <c r="AS358"/>
  <c r="CC27"/>
  <c r="CC32"/>
  <c r="CC28"/>
  <c r="CC26"/>
  <c r="CC25"/>
  <c r="N422"/>
  <c r="N458" s="1"/>
  <c r="N267"/>
  <c r="N273"/>
  <c r="N274" s="1"/>
  <c r="CM463"/>
  <c r="BQ632"/>
  <c r="CN307"/>
  <c r="CN413"/>
  <c r="BR463"/>
  <c r="CO363"/>
  <c r="BS64"/>
  <c r="BT363"/>
  <c r="BS561"/>
  <c r="CO561" s="1"/>
  <c r="BS307"/>
  <c r="BS35" i="23"/>
  <c r="BS36" s="1"/>
  <c r="BS413" i="20"/>
  <c r="BS149"/>
  <c r="BS63"/>
  <c r="CL463"/>
  <c r="BP632"/>
  <c r="BR131"/>
  <c r="BR87"/>
  <c r="CN149"/>
  <c r="BR132"/>
  <c r="CN132" s="1"/>
  <c r="BR88"/>
  <c r="CN88" s="1"/>
  <c r="CN64"/>
  <c r="BS110"/>
  <c r="CO110" s="1"/>
  <c r="AU267"/>
  <c r="AT267"/>
  <c r="CH215"/>
  <c r="BL491"/>
  <c r="CH491" s="1"/>
  <c r="CH494"/>
  <c r="BL492"/>
  <c r="AD466"/>
  <c r="AD415"/>
  <c r="CK383"/>
  <c r="BD399"/>
  <c r="BD37" i="23"/>
  <c r="BC9" i="28"/>
  <c r="BJ404" i="20"/>
  <c r="AC79" i="28"/>
  <c r="AC112"/>
  <c r="AD79"/>
  <c r="AA267" i="20"/>
  <c r="AB267"/>
  <c r="BR365"/>
  <c r="CM365"/>
  <c r="BQ38" i="23"/>
  <c r="AW274" i="20"/>
  <c r="CH266"/>
  <c r="BL273"/>
  <c r="BL510"/>
  <c r="CH510" s="1"/>
  <c r="BL267"/>
  <c r="CH267" s="1"/>
  <c r="BL422"/>
  <c r="BR259"/>
  <c r="CM259"/>
  <c r="BQ505"/>
  <c r="CM505" s="1"/>
  <c r="BD341"/>
  <c r="BD342"/>
  <c r="BC97" i="28"/>
  <c r="BC28"/>
  <c r="BD449" i="20"/>
  <c r="BJ442"/>
  <c r="BJ434"/>
  <c r="AX358"/>
  <c r="AX352"/>
  <c r="AH466"/>
  <c r="AH415"/>
  <c r="G273"/>
  <c r="G274" s="1"/>
  <c r="G267"/>
  <c r="G422"/>
  <c r="G458" s="1"/>
  <c r="AX57"/>
  <c r="AW81"/>
  <c r="AW125"/>
  <c r="AX103"/>
  <c r="BQ383"/>
  <c r="BO293" i="19"/>
  <c r="BO265"/>
  <c r="BJ546" i="20"/>
  <c r="BU269" i="19"/>
  <c r="BV269" s="1"/>
  <c r="BW269" s="1"/>
  <c r="BX269" s="1"/>
  <c r="BY269" s="1"/>
  <c r="BZ269" s="1"/>
  <c r="CA269" s="1"/>
  <c r="CB269" s="1"/>
  <c r="CC269" s="1"/>
  <c r="CD269" s="1"/>
  <c r="BT268"/>
  <c r="BR295"/>
  <c r="BR214" i="20"/>
  <c r="CN214" s="1"/>
  <c r="BA453"/>
  <c r="BK453"/>
  <c r="CG453" s="1"/>
  <c r="CG404"/>
  <c r="BB116"/>
  <c r="BA94"/>
  <c r="BA138"/>
  <c r="BB70"/>
  <c r="BN223" i="19"/>
  <c r="BG546" i="20"/>
  <c r="BP37" i="19"/>
  <c r="BQ50" s="1"/>
  <c r="BQ35"/>
  <c r="BA332" i="20"/>
  <c r="BA331" s="1"/>
  <c r="BA473" s="1"/>
  <c r="BA581"/>
  <c r="BA233"/>
  <c r="BN279" i="19"/>
  <c r="BN293"/>
  <c r="BD223"/>
  <c r="BC217"/>
  <c r="BD230"/>
  <c r="BD224"/>
  <c r="BD220"/>
  <c r="BH546" i="20"/>
  <c r="BF274"/>
  <c r="BF458"/>
  <c r="BD453"/>
  <c r="BD566"/>
  <c r="BD215"/>
  <c r="BD564" s="1"/>
  <c r="BA313"/>
  <c r="BA443"/>
  <c r="BA446"/>
  <c r="BX835" i="19"/>
  <c r="BY53"/>
  <c r="BD474" i="20"/>
  <c r="BC483"/>
  <c r="AZ299"/>
  <c r="AZ300" s="1"/>
  <c r="AX361"/>
  <c r="AW27" i="28"/>
  <c r="AX419" i="20"/>
  <c r="AX298"/>
  <c r="AX336"/>
  <c r="AY299" s="1"/>
  <c r="AY300" s="1"/>
  <c r="AX337"/>
  <c r="AX411" s="1"/>
  <c r="AX338"/>
  <c r="CH181"/>
  <c r="BL522"/>
  <c r="BK36" i="28"/>
  <c r="BL204" i="20"/>
  <c r="BG491"/>
  <c r="BG510"/>
  <c r="BG267"/>
  <c r="BG273"/>
  <c r="BG422"/>
  <c r="BB225" i="19"/>
  <c r="BC221"/>
  <c r="BJ228"/>
  <c r="BD222"/>
  <c r="BD218"/>
  <c r="BH434" i="20"/>
  <c r="BH442"/>
  <c r="BH404"/>
  <c r="BH479"/>
  <c r="BI486"/>
  <c r="BM422"/>
  <c r="CI266"/>
  <c r="BM510"/>
  <c r="CI510" s="1"/>
  <c r="BM273"/>
  <c r="BM267"/>
  <c r="CI267" s="1"/>
  <c r="CI240"/>
  <c r="BM499"/>
  <c r="CI499" s="1"/>
  <c r="CI246"/>
  <c r="BM503"/>
  <c r="AX105" i="28"/>
  <c r="AY73"/>
  <c r="BJ545" i="20"/>
  <c r="BJ208"/>
  <c r="CJ249"/>
  <c r="BN246"/>
  <c r="BN598"/>
  <c r="CJ598" s="1"/>
  <c r="BN240"/>
  <c r="BN264"/>
  <c r="BN266"/>
  <c r="BC226" i="19"/>
  <c r="CJ351" i="20"/>
  <c r="BN551"/>
  <c r="CJ551" s="1"/>
  <c r="BD422"/>
  <c r="BD267"/>
  <c r="BD613" s="1"/>
  <c r="BD273"/>
  <c r="BD612"/>
  <c r="BA317"/>
  <c r="BB317" s="1"/>
  <c r="AY616"/>
  <c r="AY615"/>
  <c r="AY408"/>
  <c r="AY459" s="1"/>
  <c r="AY582"/>
  <c r="AY576"/>
  <c r="AY598"/>
  <c r="AY565"/>
  <c r="AY418"/>
  <c r="AY567"/>
  <c r="AY627"/>
  <c r="AY623"/>
  <c r="AY596"/>
  <c r="AY585"/>
  <c r="AY626"/>
  <c r="AY417"/>
  <c r="AY593"/>
  <c r="AY569"/>
  <c r="AY622"/>
  <c r="AY601"/>
  <c r="AY621"/>
  <c r="AY584"/>
  <c r="AY589"/>
  <c r="AY577"/>
  <c r="AY572"/>
  <c r="AY431"/>
  <c r="AY607"/>
  <c r="AY586"/>
  <c r="AY604"/>
  <c r="AY581"/>
  <c r="AY574"/>
  <c r="AY612"/>
  <c r="AX25" i="28"/>
  <c r="AY613" i="20"/>
  <c r="AY573"/>
  <c r="AY594"/>
  <c r="AY624"/>
  <c r="AY420"/>
  <c r="AY583"/>
  <c r="AY609"/>
  <c r="AY580"/>
  <c r="AY599"/>
  <c r="AY579"/>
  <c r="AY605"/>
  <c r="AY575"/>
  <c r="AY591"/>
  <c r="AY587"/>
  <c r="AY570"/>
  <c r="AY568"/>
  <c r="AY597"/>
  <c r="AY464"/>
  <c r="AY608"/>
  <c r="AY564"/>
  <c r="AY578"/>
  <c r="AY625"/>
  <c r="AY617"/>
  <c r="AY566"/>
  <c r="AY595"/>
  <c r="AY611"/>
  <c r="AY600"/>
  <c r="AY606"/>
  <c r="AY619"/>
  <c r="AY571"/>
  <c r="AY407"/>
  <c r="AY457" s="1"/>
  <c r="AZ420"/>
  <c r="AY620"/>
  <c r="AX465"/>
  <c r="AW45" i="28"/>
  <c r="BU802" i="19"/>
  <c r="BG545" i="20"/>
  <c r="BG208"/>
  <c r="BL700" i="19"/>
  <c r="BL701"/>
  <c r="CK215" i="20"/>
  <c r="BO491"/>
  <c r="CK491" s="1"/>
  <c r="BH545"/>
  <c r="BH208"/>
  <c r="BD229" i="19"/>
  <c r="BK222"/>
  <c r="BF234"/>
  <c r="BH234"/>
  <c r="BS86"/>
  <c r="BR36" i="20"/>
  <c r="BI161"/>
  <c r="BB453"/>
  <c r="BH232"/>
  <c r="BG233"/>
  <c r="BG332"/>
  <c r="BI120"/>
  <c r="BH98"/>
  <c r="BI74"/>
  <c r="BH142"/>
  <c r="BX38"/>
  <c r="BY1090" i="19"/>
  <c r="BY38" i="20" s="1"/>
  <c r="CT25"/>
  <c r="BX8" i="23"/>
  <c r="BU380" i="20"/>
  <c r="CP380"/>
  <c r="BE59"/>
  <c r="BD83"/>
  <c r="BE105"/>
  <c r="BD127"/>
  <c r="CJ522"/>
  <c r="BN526"/>
  <c r="CJ526" s="1"/>
  <c r="BM35" i="28"/>
  <c r="CH36"/>
  <c r="CW26" i="20"/>
  <c r="BB414"/>
  <c r="CP367"/>
  <c r="BU367"/>
  <c r="CB89" i="19"/>
  <c r="CS38" i="20"/>
  <c r="CW45"/>
  <c r="BT53"/>
  <c r="CO53"/>
  <c r="BT14"/>
  <c r="CO14"/>
  <c r="BS81"/>
  <c r="CO81" s="1"/>
  <c r="BT125"/>
  <c r="CP125" s="1"/>
  <c r="BS103"/>
  <c r="CO103" s="1"/>
  <c r="BF322"/>
  <c r="BE31" i="28"/>
  <c r="BJ33" i="23"/>
  <c r="CH33" s="1"/>
  <c r="BK382" i="20"/>
  <c r="AZ51" i="19"/>
  <c r="AZ306" i="20"/>
  <c r="AZ305" s="1"/>
  <c r="CM36"/>
  <c r="BK56"/>
  <c r="BJ80"/>
  <c r="BJ124"/>
  <c r="BK261"/>
  <c r="CG261" s="1"/>
  <c r="BK102"/>
  <c r="CG102" s="1"/>
  <c r="AZ47" i="23"/>
  <c r="AZ79"/>
  <c r="BA79" s="1"/>
  <c r="BB79" s="1"/>
  <c r="BC79" s="1"/>
  <c r="BD79" s="1"/>
  <c r="BE79" s="1"/>
  <c r="BF79" s="1"/>
  <c r="BG79" s="1"/>
  <c r="BH79" s="1"/>
  <c r="CJ204" i="20"/>
  <c r="BN544"/>
  <c r="CJ544" s="1"/>
  <c r="BN208"/>
  <c r="CW27"/>
  <c r="BX10" i="23"/>
  <c r="CT46" i="20"/>
  <c r="AY306"/>
  <c r="AY305" s="1"/>
  <c r="AY51" i="19"/>
  <c r="BG73" i="20"/>
  <c r="BF97"/>
  <c r="BG119"/>
  <c r="BF141"/>
  <c r="CK364"/>
  <c r="BP364"/>
  <c r="I267"/>
  <c r="I422"/>
  <c r="I458" s="1"/>
  <c r="I273"/>
  <c r="I274" s="1"/>
  <c r="BA109" i="28"/>
  <c r="BF91" i="20"/>
  <c r="BF113"/>
  <c r="BT279" i="19"/>
  <c r="BU281"/>
  <c r="BV281" s="1"/>
  <c r="BW281" s="1"/>
  <c r="BX281" s="1"/>
  <c r="BY281" s="1"/>
  <c r="BZ281" s="1"/>
  <c r="CA281" s="1"/>
  <c r="CB281" s="1"/>
  <c r="CC281" s="1"/>
  <c r="CD281" s="1"/>
  <c r="CP17" i="20"/>
  <c r="BO63"/>
  <c r="BO35" i="23"/>
  <c r="BO561" i="20"/>
  <c r="BO307"/>
  <c r="BO149"/>
  <c r="BP307"/>
  <c r="BO413"/>
  <c r="BO64"/>
  <c r="BO276"/>
  <c r="BO61"/>
  <c r="BO356"/>
  <c r="BO199"/>
  <c r="BO201"/>
  <c r="BO186"/>
  <c r="BO189"/>
  <c r="BO195"/>
  <c r="BO207"/>
  <c r="BO426"/>
  <c r="BO193"/>
  <c r="BO202"/>
  <c r="BO359"/>
  <c r="BO305"/>
  <c r="BO206"/>
  <c r="BO281"/>
  <c r="CK363"/>
  <c r="BO183"/>
  <c r="BO196"/>
  <c r="BO181"/>
  <c r="BO187"/>
  <c r="BO184"/>
  <c r="BO194"/>
  <c r="BO188"/>
  <c r="BO190"/>
  <c r="BP207"/>
  <c r="CL207" s="1"/>
  <c r="BO62"/>
  <c r="BO182"/>
  <c r="BP305"/>
  <c r="BO60"/>
  <c r="Z61" i="23"/>
  <c r="CU28" i="20"/>
  <c r="CU19"/>
  <c r="CI377"/>
  <c r="BN377"/>
  <c r="AW361"/>
  <c r="AW337"/>
  <c r="AW298"/>
  <c r="AV27" i="28"/>
  <c r="AW419" i="20"/>
  <c r="AW336"/>
  <c r="AW338"/>
  <c r="BS1182" i="19"/>
  <c r="BS1158"/>
  <c r="CL438" i="20"/>
  <c r="CM6"/>
  <c r="BJ226" i="19"/>
  <c r="BI234"/>
  <c r="BI232"/>
  <c r="BO77" i="23"/>
  <c r="CL77"/>
  <c r="L65"/>
  <c r="L66" s="1"/>
  <c r="L67" s="1"/>
  <c r="M63"/>
  <c r="BA54" i="28"/>
  <c r="CU48" i="20"/>
  <c r="CG4" i="23"/>
  <c r="BI43"/>
  <c r="CZ21" i="20"/>
  <c r="CV34"/>
  <c r="AV430"/>
  <c r="BN227" i="19"/>
  <c r="BO509" i="20"/>
  <c r="CK492"/>
  <c r="BF442"/>
  <c r="BM221" i="19"/>
  <c r="AX28" i="28"/>
  <c r="AX29"/>
  <c r="BT1078" i="19"/>
  <c r="BU1080"/>
  <c r="BT1182"/>
  <c r="BU1101"/>
  <c r="BU1159" s="1"/>
  <c r="BU1158" s="1"/>
  <c r="BT1177"/>
  <c r="BT1179" s="1"/>
  <c r="BT1113"/>
  <c r="AW96" i="20"/>
  <c r="AX118"/>
  <c r="AX101" s="1"/>
  <c r="AX72"/>
  <c r="AW140"/>
  <c r="AW123" s="1"/>
  <c r="BK136"/>
  <c r="CG136" s="1"/>
  <c r="BK92"/>
  <c r="BL68"/>
  <c r="BL114"/>
  <c r="CH114" s="1"/>
  <c r="CG68"/>
  <c r="BF473"/>
  <c r="AT228" i="19"/>
  <c r="CV279" i="20"/>
  <c r="BZ94" i="28"/>
  <c r="CU94" s="1"/>
  <c r="CU24"/>
  <c r="BM231" i="19"/>
  <c r="BA223" i="20"/>
  <c r="BA573"/>
  <c r="AT219" i="19"/>
  <c r="AV45" i="28"/>
  <c r="AW465" i="20"/>
  <c r="CL23"/>
  <c r="CJ173"/>
  <c r="BO173"/>
  <c r="BV1076" i="19"/>
  <c r="BU20" i="20"/>
  <c r="CC87" i="19"/>
  <c r="CC37" i="20" s="1"/>
  <c r="CU47"/>
  <c r="BH491"/>
  <c r="BH510"/>
  <c r="BH422"/>
  <c r="BH273"/>
  <c r="BH267"/>
  <c r="BQ214"/>
  <c r="CM214" s="1"/>
  <c r="BQ295" i="19"/>
  <c r="Y62" i="23"/>
  <c r="Y42" s="1"/>
  <c r="BO172" i="20"/>
  <c r="CK172" s="1"/>
  <c r="BM217" i="19"/>
  <c r="BF404" i="20"/>
  <c r="BO163"/>
  <c r="CK163" s="1"/>
  <c r="CK170"/>
  <c r="AY341"/>
  <c r="AZ342"/>
  <c r="AZ399"/>
  <c r="BU1069" i="19"/>
  <c r="BV1069" s="1"/>
  <c r="BW1069" s="1"/>
  <c r="BX1069" s="1"/>
  <c r="BY1069" s="1"/>
  <c r="BZ1069" s="1"/>
  <c r="CA1069" s="1"/>
  <c r="CB1069" s="1"/>
  <c r="CC1069" s="1"/>
  <c r="CD1069" s="1"/>
  <c r="BT1099"/>
  <c r="BU1099" s="1"/>
  <c r="BV1099" s="1"/>
  <c r="BW1099" s="1"/>
  <c r="BX1099" s="1"/>
  <c r="BY1099" s="1"/>
  <c r="BZ1099" s="1"/>
  <c r="CA1099" s="1"/>
  <c r="CB1099" s="1"/>
  <c r="CC1099" s="1"/>
  <c r="CD1099" s="1"/>
  <c r="AU96" i="20"/>
  <c r="AP96"/>
  <c r="AV79"/>
  <c r="AV176" s="1"/>
  <c r="AV178" s="1"/>
  <c r="AT96"/>
  <c r="AS96"/>
  <c r="AR96"/>
  <c r="AQ96"/>
  <c r="BG58"/>
  <c r="BF82"/>
  <c r="BF126"/>
  <c r="BG104"/>
  <c r="CA72" i="28"/>
  <c r="CV72" s="1"/>
  <c r="CA62"/>
  <c r="CV62" s="1"/>
  <c r="CB2"/>
  <c r="CA24"/>
  <c r="CA44"/>
  <c r="CG509" i="20"/>
  <c r="AZ467"/>
  <c r="BO15"/>
  <c r="CJ15"/>
  <c r="BI79" i="23"/>
  <c r="CF79"/>
  <c r="CT348" i="20"/>
  <c r="BD134"/>
  <c r="BE112"/>
  <c r="BD90"/>
  <c r="BE66"/>
  <c r="BA110" i="28"/>
  <c r="BA46"/>
  <c r="BA95"/>
  <c r="AZ458" i="20"/>
  <c r="AZ407"/>
  <c r="BK831" i="19"/>
  <c r="BJ174" i="20"/>
  <c r="BJ172" s="1"/>
  <c r="CK257"/>
  <c r="BO506"/>
  <c r="CK506" s="1"/>
  <c r="BO256"/>
  <c r="BR74" i="19"/>
  <c r="BQ23" i="20"/>
  <c r="BR801" i="19"/>
  <c r="BT109" i="20"/>
  <c r="CI482"/>
  <c r="BN482"/>
  <c r="CU49"/>
  <c r="CW37"/>
  <c r="BH115"/>
  <c r="BG93"/>
  <c r="BH69"/>
  <c r="BG137"/>
  <c r="CR51"/>
  <c r="BW51"/>
  <c r="BL442"/>
  <c r="CH442" s="1"/>
  <c r="CH390"/>
  <c r="BL434"/>
  <c r="BL99" i="28"/>
  <c r="CG99" s="1"/>
  <c r="CG35"/>
  <c r="BM67"/>
  <c r="CH67" s="1"/>
  <c r="CG165" i="20"/>
  <c r="BL165"/>
  <c r="BG24"/>
  <c r="BH81" i="19"/>
  <c r="CC860"/>
  <c r="BE479" i="20"/>
  <c r="BD486"/>
  <c r="AN6"/>
  <c r="AO386"/>
  <c r="AO438" s="1"/>
  <c r="BP170"/>
  <c r="CL170" s="1"/>
  <c r="BQ44"/>
  <c r="CL44"/>
  <c r="AY37" i="23"/>
  <c r="AZ303" i="20"/>
  <c r="BV1071" i="19"/>
  <c r="BU17" i="20"/>
  <c r="BU1176" i="19"/>
  <c r="BO1123"/>
  <c r="BP1123"/>
  <c r="BZ289"/>
  <c r="CU282" i="20"/>
  <c r="BQ2" i="19"/>
  <c r="BJ4" i="23"/>
  <c r="BG331" i="20"/>
  <c r="BH255"/>
  <c r="BE143"/>
  <c r="BF75"/>
  <c r="BF121"/>
  <c r="BE99"/>
  <c r="CU44" i="28"/>
  <c r="BZ104"/>
  <c r="CU104" s="1"/>
  <c r="BI453" i="20"/>
  <c r="BC168"/>
  <c r="BC171" s="1"/>
  <c r="BC169" s="1"/>
  <c r="BC191" s="1"/>
  <c r="BE95"/>
  <c r="BF71"/>
  <c r="BE139"/>
  <c r="BF117"/>
  <c r="BP297" i="19"/>
  <c r="BP298"/>
  <c r="CQ371" i="20"/>
  <c r="BV371"/>
  <c r="CA1075" i="19"/>
  <c r="BZ1163"/>
  <c r="BZ1186" s="1"/>
  <c r="AZ274" i="20"/>
  <c r="AZ620" s="1"/>
  <c r="AZ619"/>
  <c r="BM225" i="19"/>
  <c r="BM375" i="20"/>
  <c r="CH375"/>
  <c r="AV292"/>
  <c r="AV421"/>
  <c r="BS1121" i="19"/>
  <c r="BS1122" s="1"/>
  <c r="BS1123" s="1"/>
  <c r="BS1172"/>
  <c r="BS1171"/>
  <c r="AV233"/>
  <c r="BS239" i="20"/>
  <c r="CO239" s="1"/>
  <c r="BS276" i="19"/>
  <c r="BS295"/>
  <c r="BS297" s="1"/>
  <c r="BC231"/>
  <c r="BD232"/>
  <c r="CH327" i="20"/>
  <c r="BL404"/>
  <c r="CC48" i="19"/>
  <c r="AM62" i="28"/>
  <c r="AL2"/>
  <c r="AM24"/>
  <c r="BI268" i="19"/>
  <c r="BI267" s="1"/>
  <c r="BI220" i="20"/>
  <c r="AW325"/>
  <c r="BA47" i="28"/>
  <c r="BK6" i="20" l="1"/>
  <c r="BJ489"/>
  <c r="BJ386"/>
  <c r="BJ438" s="1"/>
  <c r="CQ52"/>
  <c r="BV52"/>
  <c r="BX39"/>
  <c r="CT39" s="1"/>
  <c r="BX1160" i="19"/>
  <c r="BX1183" s="1"/>
  <c r="BY1091"/>
  <c r="CR29" i="20"/>
  <c r="BW29"/>
  <c r="BX1161" i="19"/>
  <c r="BX1184" s="1"/>
  <c r="BY1092"/>
  <c r="O273" i="20"/>
  <c r="O274" s="1"/>
  <c r="O422"/>
  <c r="O458" s="1"/>
  <c r="O267"/>
  <c r="CJ483"/>
  <c r="BO483"/>
  <c r="BN474"/>
  <c r="BC399"/>
  <c r="AY108" i="28"/>
  <c r="Q267" i="20"/>
  <c r="Q422"/>
  <c r="Q458" s="1"/>
  <c r="Q273"/>
  <c r="Q274" s="1"/>
  <c r="BY166"/>
  <c r="AV373"/>
  <c r="BI547"/>
  <c r="BI352"/>
  <c r="BI552" s="1"/>
  <c r="BI358"/>
  <c r="BI558" s="1"/>
  <c r="CV31"/>
  <c r="CA31"/>
  <c r="BY41"/>
  <c r="BZ1095" i="19"/>
  <c r="AB422" i="20"/>
  <c r="AB458" s="1"/>
  <c r="AB273"/>
  <c r="AB274" s="1"/>
  <c r="BC342"/>
  <c r="BC341"/>
  <c r="AN422"/>
  <c r="AN458" s="1"/>
  <c r="AN267"/>
  <c r="AN273"/>
  <c r="AN274" s="1"/>
  <c r="AY50" i="28"/>
  <c r="AY109" s="1"/>
  <c r="AY114" s="1"/>
  <c r="AY95"/>
  <c r="AY46"/>
  <c r="AY106" s="1"/>
  <c r="BZ13" i="20"/>
  <c r="CU13"/>
  <c r="BU366"/>
  <c r="CP366"/>
  <c r="CB40"/>
  <c r="CX40" s="1"/>
  <c r="CC1094" i="19"/>
  <c r="BM327" i="20"/>
  <c r="BL8" i="28"/>
  <c r="BM390" i="20"/>
  <c r="CI305"/>
  <c r="BM32" i="23"/>
  <c r="CK32" s="1"/>
  <c r="BG67" i="20"/>
  <c r="BF135"/>
  <c r="CA271"/>
  <c r="CV271"/>
  <c r="CI474"/>
  <c r="BB65" i="28"/>
  <c r="BB28"/>
  <c r="BB97"/>
  <c r="BC65"/>
  <c r="X422" i="20"/>
  <c r="X458" s="1"/>
  <c r="X273"/>
  <c r="X274" s="1"/>
  <c r="BC449"/>
  <c r="AJ273"/>
  <c r="AJ274" s="1"/>
  <c r="AJ422"/>
  <c r="AJ458" s="1"/>
  <c r="AJ267"/>
  <c r="AI267"/>
  <c r="AI422"/>
  <c r="AI458" s="1"/>
  <c r="AI273"/>
  <c r="AI274" s="1"/>
  <c r="CS50"/>
  <c r="BX50"/>
  <c r="BJ494"/>
  <c r="BJ492" s="1"/>
  <c r="BJ509" s="1"/>
  <c r="BJ264"/>
  <c r="BJ266"/>
  <c r="BJ215"/>
  <c r="BJ235"/>
  <c r="BG453"/>
  <c r="BZ30"/>
  <c r="CU30"/>
  <c r="BY1093" i="19"/>
  <c r="BX42" i="20"/>
  <c r="CT42" s="1"/>
  <c r="BX1162" i="19"/>
  <c r="BX1185" s="1"/>
  <c r="X267" i="20"/>
  <c r="CD26"/>
  <c r="CD25"/>
  <c r="CD28"/>
  <c r="CD32"/>
  <c r="CD27"/>
  <c r="CO149"/>
  <c r="BS132"/>
  <c r="CO132" s="1"/>
  <c r="BS88"/>
  <c r="CO88" s="1"/>
  <c r="CO64"/>
  <c r="BT110"/>
  <c r="CP110" s="1"/>
  <c r="BS131"/>
  <c r="BS87"/>
  <c r="CO413"/>
  <c r="BS463"/>
  <c r="CO307"/>
  <c r="CP363"/>
  <c r="BT307"/>
  <c r="BU363"/>
  <c r="BT149"/>
  <c r="BT35" i="23"/>
  <c r="BT36" s="1"/>
  <c r="BT561" i="20"/>
  <c r="CP561" s="1"/>
  <c r="BT413"/>
  <c r="BT64"/>
  <c r="BT63"/>
  <c r="CN463"/>
  <c r="BR632"/>
  <c r="BC96" i="28"/>
  <c r="BC26"/>
  <c r="BC50" s="1"/>
  <c r="CN259" i="20"/>
  <c r="BR505"/>
  <c r="CN505" s="1"/>
  <c r="BS259"/>
  <c r="CH422"/>
  <c r="BL458"/>
  <c r="CH458" s="1"/>
  <c r="BL274"/>
  <c r="CH274" s="1"/>
  <c r="CH273"/>
  <c r="CN365"/>
  <c r="BR38" i="23"/>
  <c r="BS365" i="20"/>
  <c r="BJ453"/>
  <c r="BD448"/>
  <c r="BR383"/>
  <c r="CM383"/>
  <c r="AX125"/>
  <c r="AX81"/>
  <c r="AY57"/>
  <c r="AY103"/>
  <c r="CH492"/>
  <c r="BL509"/>
  <c r="CH509" s="1"/>
  <c r="BC47" i="28"/>
  <c r="BC107" s="1"/>
  <c r="BH352" i="20"/>
  <c r="BH552" s="1"/>
  <c r="BH358"/>
  <c r="BH558" s="1"/>
  <c r="BH547"/>
  <c r="BG352"/>
  <c r="BG552" s="1"/>
  <c r="BG547"/>
  <c r="BG358"/>
  <c r="BG558" s="1"/>
  <c r="BV802" i="19"/>
  <c r="AX73" i="28"/>
  <c r="AW105"/>
  <c r="BD619" i="20"/>
  <c r="BD274"/>
  <c r="BD620" s="1"/>
  <c r="BD407"/>
  <c r="BD458"/>
  <c r="BB226" i="19"/>
  <c r="CJ264" i="20"/>
  <c r="BN611"/>
  <c r="CJ611" s="1"/>
  <c r="BN589"/>
  <c r="CJ589" s="1"/>
  <c r="BN499"/>
  <c r="CJ499" s="1"/>
  <c r="CJ240"/>
  <c r="BN503"/>
  <c r="BN595"/>
  <c r="CJ595" s="1"/>
  <c r="CJ246"/>
  <c r="BJ352"/>
  <c r="BJ552" s="1"/>
  <c r="BJ358"/>
  <c r="BJ558" s="1"/>
  <c r="BJ547"/>
  <c r="CI503"/>
  <c r="BM500"/>
  <c r="BM274"/>
  <c r="CI274" s="1"/>
  <c r="CI273"/>
  <c r="BI479"/>
  <c r="BJ486"/>
  <c r="BB221" i="19"/>
  <c r="BA225"/>
  <c r="BG274" i="20"/>
  <c r="BL544"/>
  <c r="CH544" s="1"/>
  <c r="BL208"/>
  <c r="CH204"/>
  <c r="BL526"/>
  <c r="CH526" s="1"/>
  <c r="CH522"/>
  <c r="AX339"/>
  <c r="AX287" s="1"/>
  <c r="AX286"/>
  <c r="AW30" i="28"/>
  <c r="AX475" i="20"/>
  <c r="AX340"/>
  <c r="AY321"/>
  <c r="AY399" s="1"/>
  <c r="AY448" s="1"/>
  <c r="BC220" i="19"/>
  <c r="BC224"/>
  <c r="BC230"/>
  <c r="BA582" i="20"/>
  <c r="AZ31" i="28"/>
  <c r="BA322" i="20"/>
  <c r="BA298"/>
  <c r="BA296" s="1"/>
  <c r="BB322"/>
  <c r="BQ306"/>
  <c r="BQ51" i="19"/>
  <c r="BC116" i="20"/>
  <c r="BB138"/>
  <c r="BC70"/>
  <c r="BB94"/>
  <c r="BR298" i="19"/>
  <c r="BR297"/>
  <c r="BK262" i="20"/>
  <c r="BL222" i="19"/>
  <c r="BC229"/>
  <c r="AZ432" i="20"/>
  <c r="CJ266"/>
  <c r="BN267"/>
  <c r="BN422"/>
  <c r="BN510"/>
  <c r="BN612"/>
  <c r="CJ612" s="1"/>
  <c r="BN273"/>
  <c r="CI422"/>
  <c r="BM458"/>
  <c r="CI458" s="1"/>
  <c r="BH453"/>
  <c r="BC218" i="19"/>
  <c r="BC222"/>
  <c r="BK228"/>
  <c r="BG458" i="20"/>
  <c r="CF36" i="28"/>
  <c r="BK35"/>
  <c r="AX616" i="20"/>
  <c r="AX589"/>
  <c r="AX574"/>
  <c r="AX571"/>
  <c r="AX417"/>
  <c r="AX624"/>
  <c r="AX565"/>
  <c r="AX587"/>
  <c r="AX607"/>
  <c r="AX596"/>
  <c r="AX600"/>
  <c r="AX578"/>
  <c r="AX622"/>
  <c r="AX464"/>
  <c r="AY432" s="1"/>
  <c r="AX623"/>
  <c r="AX577"/>
  <c r="AX595"/>
  <c r="AX604"/>
  <c r="AX625"/>
  <c r="AX601"/>
  <c r="AX597"/>
  <c r="AX621"/>
  <c r="AW25" i="28"/>
  <c r="AX617" i="20"/>
  <c r="AX627"/>
  <c r="AX593"/>
  <c r="AX576"/>
  <c r="AX567"/>
  <c r="AX583"/>
  <c r="AX606"/>
  <c r="AX570"/>
  <c r="AX626"/>
  <c r="AX598"/>
  <c r="AX569"/>
  <c r="AX615"/>
  <c r="AX573"/>
  <c r="AX591"/>
  <c r="AX408"/>
  <c r="AX459" s="1"/>
  <c r="AX568"/>
  <c r="AX585"/>
  <c r="AX431"/>
  <c r="AX586"/>
  <c r="AX608"/>
  <c r="AX581"/>
  <c r="AX594"/>
  <c r="AX418"/>
  <c r="AX575"/>
  <c r="AX582"/>
  <c r="AX605"/>
  <c r="AX566"/>
  <c r="AX599"/>
  <c r="AX609"/>
  <c r="AX572"/>
  <c r="AX612"/>
  <c r="AX407"/>
  <c r="AX457" s="1"/>
  <c r="AX619"/>
  <c r="AX611"/>
  <c r="AX580"/>
  <c r="AX579"/>
  <c r="AX620"/>
  <c r="AX613"/>
  <c r="AX564"/>
  <c r="AX584"/>
  <c r="BB483"/>
  <c r="BC474"/>
  <c r="BY835" i="19"/>
  <c r="BZ53"/>
  <c r="BB313" i="20"/>
  <c r="BB217" i="19"/>
  <c r="BC223"/>
  <c r="BN239" i="20"/>
  <c r="CJ239" s="1"/>
  <c r="BN295" i="19"/>
  <c r="BN297" s="1"/>
  <c r="BQ37"/>
  <c r="BR50" s="1"/>
  <c r="BR35"/>
  <c r="BO223"/>
  <c r="BP223" s="1"/>
  <c r="BQ223" s="1"/>
  <c r="BR223" s="1"/>
  <c r="BS223" s="1"/>
  <c r="BU268"/>
  <c r="BV268" s="1"/>
  <c r="BW268" s="1"/>
  <c r="BX268" s="1"/>
  <c r="BY268" s="1"/>
  <c r="BZ268" s="1"/>
  <c r="CA268" s="1"/>
  <c r="CB268" s="1"/>
  <c r="CC268" s="1"/>
  <c r="CD268" s="1"/>
  <c r="BT267"/>
  <c r="BO214" i="20"/>
  <c r="CK214" s="1"/>
  <c r="BO295" i="19"/>
  <c r="AX296" i="20"/>
  <c r="BA340"/>
  <c r="CX45"/>
  <c r="CU25"/>
  <c r="BY8" i="23"/>
  <c r="CT38" i="20"/>
  <c r="CX27"/>
  <c r="CC89" i="19"/>
  <c r="BB467" i="20"/>
  <c r="CX26"/>
  <c r="CH35" i="28"/>
  <c r="BM99"/>
  <c r="CH99" s="1"/>
  <c r="CQ380" i="20"/>
  <c r="BV380"/>
  <c r="BZ1090" i="19"/>
  <c r="BZ38" i="20" s="1"/>
  <c r="BI232"/>
  <c r="BH332"/>
  <c r="BH233"/>
  <c r="CG262"/>
  <c r="BQ364"/>
  <c r="CL364"/>
  <c r="BP252"/>
  <c r="AY327"/>
  <c r="AY404" s="1"/>
  <c r="AY453" s="1"/>
  <c r="AY316"/>
  <c r="AZ316" s="1"/>
  <c r="BA316" s="1"/>
  <c r="BB316" s="1"/>
  <c r="BC316" s="1"/>
  <c r="BD316" s="1"/>
  <c r="BE316" s="1"/>
  <c r="BF316" s="1"/>
  <c r="BG316" s="1"/>
  <c r="BH316" s="1"/>
  <c r="BI316" s="1"/>
  <c r="BJ316" s="1"/>
  <c r="BK316" s="1"/>
  <c r="AY390"/>
  <c r="AY442" s="1"/>
  <c r="AY32" i="23"/>
  <c r="AY64" s="1"/>
  <c r="BK124" i="20"/>
  <c r="CG124" s="1"/>
  <c r="BK80"/>
  <c r="BL261"/>
  <c r="CH261" s="1"/>
  <c r="BL56"/>
  <c r="CG56"/>
  <c r="BL102"/>
  <c r="CH102" s="1"/>
  <c r="BL382"/>
  <c r="CG382"/>
  <c r="BK33" i="23"/>
  <c r="CI33" s="1"/>
  <c r="BU14" i="20"/>
  <c r="BU125"/>
  <c r="CQ125" s="1"/>
  <c r="BT81"/>
  <c r="CP81" s="1"/>
  <c r="CP14"/>
  <c r="BT103"/>
  <c r="CP103" s="1"/>
  <c r="BI98"/>
  <c r="BJ74"/>
  <c r="BJ120"/>
  <c r="BI142"/>
  <c r="BS36"/>
  <c r="BT86" i="19"/>
  <c r="BH73" i="20"/>
  <c r="BH119"/>
  <c r="BG97"/>
  <c r="BG141"/>
  <c r="AZ46" i="23"/>
  <c r="AZ69"/>
  <c r="AZ72" s="1"/>
  <c r="BY10"/>
  <c r="CU46" i="20"/>
  <c r="CJ208"/>
  <c r="BN358"/>
  <c r="BN352"/>
  <c r="BN547"/>
  <c r="CJ547" s="1"/>
  <c r="BJ161"/>
  <c r="AZ390"/>
  <c r="AZ327"/>
  <c r="AZ32" i="23"/>
  <c r="BF400" i="20"/>
  <c r="BU53"/>
  <c r="CP53"/>
  <c r="BV367"/>
  <c r="CQ367"/>
  <c r="BE127"/>
  <c r="BF105"/>
  <c r="BE83"/>
  <c r="BF59"/>
  <c r="BG322"/>
  <c r="BF31" i="28"/>
  <c r="CN36" i="20"/>
  <c r="AL24" i="28"/>
  <c r="AK2"/>
  <c r="AL62"/>
  <c r="BL453" i="20"/>
  <c r="CH453" s="1"/>
  <c r="CH404"/>
  <c r="BF143"/>
  <c r="BF99"/>
  <c r="BG75"/>
  <c r="BG121"/>
  <c r="CA289" i="19"/>
  <c r="CV282" i="20"/>
  <c r="CS51"/>
  <c r="BX51"/>
  <c r="BY51" s="1"/>
  <c r="BZ51" s="1"/>
  <c r="CA51" s="1"/>
  <c r="CB51" s="1"/>
  <c r="CC51" s="1"/>
  <c r="CD51" s="1"/>
  <c r="BK174"/>
  <c r="BL831" i="19"/>
  <c r="BI265"/>
  <c r="BI295" s="1"/>
  <c r="BI297" s="1"/>
  <c r="BI293"/>
  <c r="BJ43" i="23"/>
  <c r="CH4"/>
  <c r="AN386" i="20"/>
  <c r="AN438" s="1"/>
  <c r="AM6"/>
  <c r="CH165"/>
  <c r="BM165"/>
  <c r="BS801" i="19"/>
  <c r="CK256" i="20"/>
  <c r="BN34" i="28"/>
  <c r="BO240" i="20"/>
  <c r="BO266"/>
  <c r="BO264"/>
  <c r="AZ457"/>
  <c r="BA106" i="28"/>
  <c r="BE90" i="20"/>
  <c r="BF66"/>
  <c r="BF112"/>
  <c r="BE134"/>
  <c r="CU348"/>
  <c r="AR72"/>
  <c r="AR79"/>
  <c r="AR176" s="1"/>
  <c r="AR178" s="1"/>
  <c r="AP72"/>
  <c r="AP79"/>
  <c r="AP176" s="1"/>
  <c r="AP178" s="1"/>
  <c r="BF453"/>
  <c r="BN217" i="19"/>
  <c r="BQ297"/>
  <c r="BQ298"/>
  <c r="BH458" i="20"/>
  <c r="CD87" i="19"/>
  <c r="CD37" i="20" s="1"/>
  <c r="BA336"/>
  <c r="BA572"/>
  <c r="BA235"/>
  <c r="BA584" s="1"/>
  <c r="BA266"/>
  <c r="BA264"/>
  <c r="BA611" s="1"/>
  <c r="BA286"/>
  <c r="BA215"/>
  <c r="BA564" s="1"/>
  <c r="CW279"/>
  <c r="AY72"/>
  <c r="AX140"/>
  <c r="AX123" s="1"/>
  <c r="AX96"/>
  <c r="AY118"/>
  <c r="AY101" s="1"/>
  <c r="BT1086" i="19"/>
  <c r="BT1157"/>
  <c r="BT1175"/>
  <c r="BT1077"/>
  <c r="BU1078"/>
  <c r="M65" i="23"/>
  <c r="M66" s="1"/>
  <c r="N63"/>
  <c r="CN6" i="20"/>
  <c r="CM438"/>
  <c r="AW584"/>
  <c r="AW611"/>
  <c r="AW595"/>
  <c r="AW431"/>
  <c r="AV25" i="28"/>
  <c r="AW587" i="20"/>
  <c r="AW623"/>
  <c r="AW580"/>
  <c r="AW569"/>
  <c r="AW578"/>
  <c r="AW609"/>
  <c r="AW575"/>
  <c r="AW606"/>
  <c r="AW589"/>
  <c r="AW583"/>
  <c r="AW615"/>
  <c r="AW605"/>
  <c r="AW576"/>
  <c r="AW574"/>
  <c r="AW616"/>
  <c r="AW607"/>
  <c r="AW464"/>
  <c r="AW577"/>
  <c r="AW596"/>
  <c r="AW418"/>
  <c r="AW625"/>
  <c r="AW594"/>
  <c r="AW586"/>
  <c r="AW624"/>
  <c r="AW579"/>
  <c r="AX420"/>
  <c r="AW564"/>
  <c r="AW604"/>
  <c r="AW617"/>
  <c r="AW597"/>
  <c r="AW585"/>
  <c r="AW627"/>
  <c r="AW573"/>
  <c r="AW582"/>
  <c r="AW598"/>
  <c r="AW568"/>
  <c r="AW622"/>
  <c r="AW599"/>
  <c r="AW600"/>
  <c r="AW591"/>
  <c r="AW612"/>
  <c r="AW565"/>
  <c r="AW626"/>
  <c r="AW601"/>
  <c r="AW408"/>
  <c r="AW459" s="1"/>
  <c r="AW621"/>
  <c r="AW581"/>
  <c r="AW608"/>
  <c r="AW570"/>
  <c r="AW572"/>
  <c r="AW417"/>
  <c r="AW571"/>
  <c r="AW593"/>
  <c r="AW566"/>
  <c r="AW567"/>
  <c r="AW407"/>
  <c r="AW457" s="1"/>
  <c r="AW619"/>
  <c r="AW613"/>
  <c r="AW620"/>
  <c r="AW411"/>
  <c r="CV28"/>
  <c r="CK184"/>
  <c r="BO525"/>
  <c r="CK525" s="1"/>
  <c r="BN40" i="28"/>
  <c r="CK183" i="20"/>
  <c r="BN39" i="28"/>
  <c r="BO524" i="20"/>
  <c r="CK524" s="1"/>
  <c r="CK206"/>
  <c r="BP206"/>
  <c r="BO546"/>
  <c r="CK546" s="1"/>
  <c r="CK207"/>
  <c r="BO351"/>
  <c r="CK201"/>
  <c r="BO270"/>
  <c r="BP201"/>
  <c r="BO541"/>
  <c r="CK541" s="1"/>
  <c r="CK61"/>
  <c r="BO129"/>
  <c r="CK129" s="1"/>
  <c r="BO85"/>
  <c r="CK85" s="1"/>
  <c r="BP107"/>
  <c r="CL107" s="1"/>
  <c r="BP61"/>
  <c r="BO463"/>
  <c r="BO632" s="1"/>
  <c r="CK413"/>
  <c r="BO36" i="23"/>
  <c r="CM36" s="1"/>
  <c r="CM35"/>
  <c r="BT276" i="19"/>
  <c r="BU276" s="1"/>
  <c r="BV276" s="1"/>
  <c r="BW276" s="1"/>
  <c r="BX276" s="1"/>
  <c r="BY276" s="1"/>
  <c r="BZ276" s="1"/>
  <c r="CA276" s="1"/>
  <c r="CB276" s="1"/>
  <c r="CC276" s="1"/>
  <c r="CD276" s="1"/>
  <c r="BU279"/>
  <c r="BT239" i="20"/>
  <c r="CP239" s="1"/>
  <c r="BA107" i="28"/>
  <c r="CR371" i="20"/>
  <c r="BW371"/>
  <c r="AZ324"/>
  <c r="AZ323"/>
  <c r="BH24"/>
  <c r="BI81" i="19"/>
  <c r="CJ482" i="20"/>
  <c r="BO482"/>
  <c r="BD168"/>
  <c r="BD171" s="1"/>
  <c r="BD169" s="1"/>
  <c r="BD191" s="1"/>
  <c r="BG126"/>
  <c r="BH104"/>
  <c r="BH58"/>
  <c r="BG82"/>
  <c r="AU72"/>
  <c r="AU79"/>
  <c r="AU176" s="1"/>
  <c r="AZ448"/>
  <c r="CX37"/>
  <c r="BU109"/>
  <c r="CL305"/>
  <c r="BO8" i="28"/>
  <c r="BP32" i="23"/>
  <c r="BP390" i="20"/>
  <c r="BP174"/>
  <c r="CK187"/>
  <c r="BO529"/>
  <c r="CK529" s="1"/>
  <c r="CK305"/>
  <c r="BO390"/>
  <c r="BO32" i="23"/>
  <c r="CM32" s="1"/>
  <c r="BN8" i="28"/>
  <c r="CK195" i="20"/>
  <c r="BO238"/>
  <c r="BP195"/>
  <c r="BO536"/>
  <c r="CK536" s="1"/>
  <c r="CK276"/>
  <c r="BO280"/>
  <c r="BP281"/>
  <c r="CL307"/>
  <c r="CK307"/>
  <c r="BO260"/>
  <c r="BO87"/>
  <c r="BP109"/>
  <c r="BO131"/>
  <c r="CD48" i="19"/>
  <c r="BN225"/>
  <c r="CV19" i="20"/>
  <c r="BG71"/>
  <c r="BF139"/>
  <c r="BG117"/>
  <c r="BF95"/>
  <c r="BG473"/>
  <c r="AV465"/>
  <c r="AU45" i="28"/>
  <c r="BH331" i="20"/>
  <c r="BI255"/>
  <c r="BR2" i="19"/>
  <c r="BV17" i="20"/>
  <c r="BW1071" i="19"/>
  <c r="BV1176"/>
  <c r="BR23" i="20"/>
  <c r="BS74" i="19"/>
  <c r="CG79" i="23"/>
  <c r="BJ79"/>
  <c r="CB44" i="28"/>
  <c r="CC2"/>
  <c r="CB24"/>
  <c r="CB72"/>
  <c r="CW72" s="1"/>
  <c r="CB62"/>
  <c r="CW62" s="1"/>
  <c r="BH274" i="20"/>
  <c r="CK173"/>
  <c r="BP173"/>
  <c r="BK4" i="23"/>
  <c r="CG92" i="20"/>
  <c r="BT1121" i="19"/>
  <c r="BT1172"/>
  <c r="BT1171"/>
  <c r="BU1113"/>
  <c r="BV1080"/>
  <c r="BU1182"/>
  <c r="CW34" i="20"/>
  <c r="AX299"/>
  <c r="AX300" s="1"/>
  <c r="AW286"/>
  <c r="AX321"/>
  <c r="AX399" s="1"/>
  <c r="AX448" s="1"/>
  <c r="AV30" i="28"/>
  <c r="AW475" i="20"/>
  <c r="AW340"/>
  <c r="CJ377"/>
  <c r="BO377"/>
  <c r="BP60"/>
  <c r="BO128"/>
  <c r="CK128" s="1"/>
  <c r="CK60"/>
  <c r="BO84"/>
  <c r="CK84" s="1"/>
  <c r="BP106"/>
  <c r="CL106" s="1"/>
  <c r="BP62"/>
  <c r="BO86"/>
  <c r="CK86" s="1"/>
  <c r="BP108"/>
  <c r="CL108" s="1"/>
  <c r="BO130"/>
  <c r="CK130" s="1"/>
  <c r="CK62"/>
  <c r="BO535"/>
  <c r="CK535" s="1"/>
  <c r="CK194"/>
  <c r="BO537"/>
  <c r="CK537" s="1"/>
  <c r="CK196"/>
  <c r="BO250"/>
  <c r="CK281"/>
  <c r="BO559"/>
  <c r="CK559" s="1"/>
  <c r="CK359"/>
  <c r="CK426"/>
  <c r="CK186"/>
  <c r="BP186"/>
  <c r="BO528"/>
  <c r="CK528" s="1"/>
  <c r="BO427"/>
  <c r="BO425"/>
  <c r="CK356"/>
  <c r="BO410"/>
  <c r="BO634" s="1"/>
  <c r="CK149"/>
  <c r="BO554"/>
  <c r="CK554" s="1"/>
  <c r="CK561"/>
  <c r="BO555"/>
  <c r="CK555" s="1"/>
  <c r="BO557"/>
  <c r="CK557" s="1"/>
  <c r="BO550"/>
  <c r="CK550" s="1"/>
  <c r="BO553"/>
  <c r="CK553" s="1"/>
  <c r="BO549"/>
  <c r="CK549" s="1"/>
  <c r="M67" i="23"/>
  <c r="AW304" i="20"/>
  <c r="BI266"/>
  <c r="BI217"/>
  <c r="BI264"/>
  <c r="BI235"/>
  <c r="CB1075" i="19"/>
  <c r="CA1163"/>
  <c r="CA1186" s="1"/>
  <c r="BD479" i="20"/>
  <c r="BC486"/>
  <c r="CV44" i="28"/>
  <c r="CA104"/>
  <c r="CV104" s="1"/>
  <c r="AS79" i="20"/>
  <c r="AS176" s="1"/>
  <c r="AS178" s="1"/>
  <c r="AS72"/>
  <c r="AS228" i="19"/>
  <c r="BV1101"/>
  <c r="BU1177"/>
  <c r="BU1179" s="1"/>
  <c r="AY65" i="28"/>
  <c r="AX97"/>
  <c r="CK190" i="20"/>
  <c r="BO532"/>
  <c r="CK532" s="1"/>
  <c r="BO542"/>
  <c r="CK542" s="1"/>
  <c r="BP202"/>
  <c r="BQ202" s="1"/>
  <c r="CK202"/>
  <c r="BO269"/>
  <c r="J292"/>
  <c r="AU292"/>
  <c r="W292"/>
  <c r="X292"/>
  <c r="H292"/>
  <c r="Q292"/>
  <c r="AH292"/>
  <c r="Z292"/>
  <c r="AI292"/>
  <c r="AE292"/>
  <c r="AD292"/>
  <c r="L292"/>
  <c r="G292"/>
  <c r="AU27" i="28"/>
  <c r="AO292" i="20"/>
  <c r="AC292"/>
  <c r="AJ292"/>
  <c r="N292"/>
  <c r="O292"/>
  <c r="AN292"/>
  <c r="M292"/>
  <c r="AA292"/>
  <c r="I292"/>
  <c r="AB292"/>
  <c r="P292"/>
  <c r="AV419"/>
  <c r="S292"/>
  <c r="T292"/>
  <c r="AP292"/>
  <c r="U292"/>
  <c r="AL292"/>
  <c r="AR292"/>
  <c r="AV361"/>
  <c r="AV337"/>
  <c r="AV329"/>
  <c r="Y292"/>
  <c r="K292"/>
  <c r="R292"/>
  <c r="AS292"/>
  <c r="AV336"/>
  <c r="AF292"/>
  <c r="F292"/>
  <c r="AV298"/>
  <c r="AV296" s="1"/>
  <c r="AQ292"/>
  <c r="AK292"/>
  <c r="V292"/>
  <c r="AG292"/>
  <c r="AM292"/>
  <c r="AT292"/>
  <c r="AV338"/>
  <c r="CM44"/>
  <c r="BR44"/>
  <c r="BQ170"/>
  <c r="CM170" s="1"/>
  <c r="BB231" i="19"/>
  <c r="BC232"/>
  <c r="AU233"/>
  <c r="BS1124"/>
  <c r="BN375" i="20"/>
  <c r="CI375"/>
  <c r="BP1124" i="19"/>
  <c r="CQ17" i="20"/>
  <c r="CD860" i="19"/>
  <c r="BG91" i="20"/>
  <c r="BG113"/>
  <c r="BH93"/>
  <c r="BI69"/>
  <c r="BI115"/>
  <c r="BH137"/>
  <c r="CV49"/>
  <c r="CM23"/>
  <c r="CK15"/>
  <c r="BP15"/>
  <c r="CA94" i="28"/>
  <c r="CV94" s="1"/>
  <c r="CV24"/>
  <c r="AQ79" i="20"/>
  <c r="AQ176" s="1"/>
  <c r="AQ178" s="1"/>
  <c r="AQ72"/>
  <c r="AT79"/>
  <c r="AT176" s="1"/>
  <c r="AT178" s="1"/>
  <c r="AT72"/>
  <c r="CV47"/>
  <c r="BW1076" i="19"/>
  <c r="BV20" i="20"/>
  <c r="AV105" i="28"/>
  <c r="AV73"/>
  <c r="AW73"/>
  <c r="AS219" i="19"/>
  <c r="BN231"/>
  <c r="BL136" i="20"/>
  <c r="CH136" s="1"/>
  <c r="BM114"/>
  <c r="CI114" s="1"/>
  <c r="BM68"/>
  <c r="CH68"/>
  <c r="BL92"/>
  <c r="AW79"/>
  <c r="AW176" s="1"/>
  <c r="AW178" s="1"/>
  <c r="AX26" i="28"/>
  <c r="AX50" s="1"/>
  <c r="AX96"/>
  <c r="AY64"/>
  <c r="BN221" i="19"/>
  <c r="CK509" i="20"/>
  <c r="BO227" i="19"/>
  <c r="BP227" s="1"/>
  <c r="BQ227" s="1"/>
  <c r="BR227" s="1"/>
  <c r="BS227" s="1"/>
  <c r="CG43" i="23"/>
  <c r="CV48" i="20"/>
  <c r="BA111" i="28"/>
  <c r="CM77" i="23"/>
  <c r="BP77"/>
  <c r="BQ77" s="1"/>
  <c r="BR77" s="1"/>
  <c r="BS77" s="1"/>
  <c r="BT77" s="1"/>
  <c r="BU77" s="1"/>
  <c r="BV77" s="1"/>
  <c r="BW77" s="1"/>
  <c r="BX77" s="1"/>
  <c r="BY77" s="1"/>
  <c r="BZ77" s="1"/>
  <c r="CA77" s="1"/>
  <c r="CB77" s="1"/>
  <c r="CC77" s="1"/>
  <c r="CD77" s="1"/>
  <c r="BK226" i="19"/>
  <c r="BJ232"/>
  <c r="AW339" i="20"/>
  <c r="AW287" s="1"/>
  <c r="AA61" i="23"/>
  <c r="Z62"/>
  <c r="Z42" s="1"/>
  <c r="CK182" i="20"/>
  <c r="BO523"/>
  <c r="CK523" s="1"/>
  <c r="BN38" i="28"/>
  <c r="BO327" i="20"/>
  <c r="CK188"/>
  <c r="BO530"/>
  <c r="CK530" s="1"/>
  <c r="CK181"/>
  <c r="BO204"/>
  <c r="BN36" i="28"/>
  <c r="BO522" i="20"/>
  <c r="CK193"/>
  <c r="BO534"/>
  <c r="CK534" s="1"/>
  <c r="BP193"/>
  <c r="CK189"/>
  <c r="BO531"/>
  <c r="CK531" s="1"/>
  <c r="BO540"/>
  <c r="CK540" s="1"/>
  <c r="CK199"/>
  <c r="BO236"/>
  <c r="CK64"/>
  <c r="BP110"/>
  <c r="CL110" s="1"/>
  <c r="BO88"/>
  <c r="CK88" s="1"/>
  <c r="BO132"/>
  <c r="CK132" s="1"/>
  <c r="BD234" i="19"/>
  <c r="AW296" i="20"/>
  <c r="BO198"/>
  <c r="BL6" l="1"/>
  <c r="BK386"/>
  <c r="BK438" s="1"/>
  <c r="BK489"/>
  <c r="CG489" s="1"/>
  <c r="BY42"/>
  <c r="BY1162" i="19"/>
  <c r="BY1185" s="1"/>
  <c r="BZ1093"/>
  <c r="BJ422" i="20"/>
  <c r="BJ273"/>
  <c r="BJ510"/>
  <c r="BJ267"/>
  <c r="BH67"/>
  <c r="BG135"/>
  <c r="CC40"/>
  <c r="CY40" s="1"/>
  <c r="CD1094" i="19"/>
  <c r="BO474" i="20"/>
  <c r="CK483"/>
  <c r="BZ1092" i="19"/>
  <c r="BY1161"/>
  <c r="BY1184" s="1"/>
  <c r="CV30" i="20"/>
  <c r="CA30"/>
  <c r="BJ491"/>
  <c r="CB271"/>
  <c r="CW271"/>
  <c r="BM442"/>
  <c r="CI442" s="1"/>
  <c r="CI390"/>
  <c r="BM434"/>
  <c r="CI327"/>
  <c r="BM404"/>
  <c r="CQ366"/>
  <c r="BV366"/>
  <c r="CA13"/>
  <c r="CV13"/>
  <c r="BZ41"/>
  <c r="CA1095" i="19"/>
  <c r="CW31" i="20"/>
  <c r="CB31"/>
  <c r="BZ166"/>
  <c r="CU166"/>
  <c r="CJ474"/>
  <c r="BY39"/>
  <c r="CU39" s="1"/>
  <c r="BY1160" i="19"/>
  <c r="BY1183" s="1"/>
  <c r="BZ1091"/>
  <c r="CT50" i="20"/>
  <c r="BY50"/>
  <c r="BB64" i="28"/>
  <c r="BB26"/>
  <c r="BB96"/>
  <c r="BC64"/>
  <c r="AU373" i="20"/>
  <c r="AT373" s="1"/>
  <c r="AS373" s="1"/>
  <c r="AR373" s="1"/>
  <c r="AQ373" s="1"/>
  <c r="AP373" s="1"/>
  <c r="AO373" s="1"/>
  <c r="AN373" s="1"/>
  <c r="AM373" s="1"/>
  <c r="AL373" s="1"/>
  <c r="AK373" s="1"/>
  <c r="AJ373" s="1"/>
  <c r="AI373" s="1"/>
  <c r="AH373" s="1"/>
  <c r="AG373" s="1"/>
  <c r="AF373" s="1"/>
  <c r="AE373" s="1"/>
  <c r="AD373" s="1"/>
  <c r="AC373" s="1"/>
  <c r="AB373" s="1"/>
  <c r="AA373" s="1"/>
  <c r="Z373" s="1"/>
  <c r="Y373" s="1"/>
  <c r="X373" s="1"/>
  <c r="W373" s="1"/>
  <c r="V373" s="1"/>
  <c r="U373" s="1"/>
  <c r="T373" s="1"/>
  <c r="S373" s="1"/>
  <c r="R373" s="1"/>
  <c r="Q373" s="1"/>
  <c r="P373" s="1"/>
  <c r="O373" s="1"/>
  <c r="N373" s="1"/>
  <c r="M373" s="1"/>
  <c r="L373" s="1"/>
  <c r="K373" s="1"/>
  <c r="J373" s="1"/>
  <c r="I373" s="1"/>
  <c r="H373" s="1"/>
  <c r="G373" s="1"/>
  <c r="F373" s="1"/>
  <c r="BC448"/>
  <c r="CS29"/>
  <c r="BX29"/>
  <c r="CR52"/>
  <c r="BW52"/>
  <c r="BC109" i="28"/>
  <c r="BT88" i="20"/>
  <c r="CP88" s="1"/>
  <c r="BT132"/>
  <c r="CP132" s="1"/>
  <c r="CP64"/>
  <c r="BU110"/>
  <c r="CQ110" s="1"/>
  <c r="CP413"/>
  <c r="BT463"/>
  <c r="CP307"/>
  <c r="BT131"/>
  <c r="BT87"/>
  <c r="CP149"/>
  <c r="CQ363"/>
  <c r="BU413"/>
  <c r="BV363"/>
  <c r="BU149"/>
  <c r="BU35" i="23"/>
  <c r="BU36" s="1"/>
  <c r="BU561" i="20"/>
  <c r="CQ561" s="1"/>
  <c r="BU307"/>
  <c r="BU63"/>
  <c r="BV109" s="1"/>
  <c r="BU64"/>
  <c r="CO463"/>
  <c r="BS632"/>
  <c r="BC108" i="28"/>
  <c r="AZ103" i="20"/>
  <c r="AY81"/>
  <c r="AY125"/>
  <c r="CN383"/>
  <c r="BS383"/>
  <c r="CO365"/>
  <c r="BT365"/>
  <c r="BS38" i="23"/>
  <c r="CO259" i="20"/>
  <c r="BS505"/>
  <c r="CO505" s="1"/>
  <c r="BT259"/>
  <c r="BC46" i="28"/>
  <c r="BC106" s="1"/>
  <c r="BC95"/>
  <c r="BC53"/>
  <c r="AX54"/>
  <c r="AX111" s="1"/>
  <c r="BC54"/>
  <c r="BA342" i="20"/>
  <c r="BB342"/>
  <c r="BA341"/>
  <c r="BO297" i="19"/>
  <c r="BO298"/>
  <c r="BU267"/>
  <c r="BV267" s="1"/>
  <c r="BW267" s="1"/>
  <c r="BX267" s="1"/>
  <c r="BY267" s="1"/>
  <c r="BZ267" s="1"/>
  <c r="CA267" s="1"/>
  <c r="CB267" s="1"/>
  <c r="CC267" s="1"/>
  <c r="CD267" s="1"/>
  <c r="BT265"/>
  <c r="BT293"/>
  <c r="BU293" s="1"/>
  <c r="BV293" s="1"/>
  <c r="BW293" s="1"/>
  <c r="BX293" s="1"/>
  <c r="BY293" s="1"/>
  <c r="BZ293" s="1"/>
  <c r="CA293" s="1"/>
  <c r="CB293" s="1"/>
  <c r="CC293" s="1"/>
  <c r="CD293" s="1"/>
  <c r="BS35"/>
  <c r="BR37"/>
  <c r="BS50" s="1"/>
  <c r="BC313" i="20"/>
  <c r="BA483"/>
  <c r="BB474"/>
  <c r="CF35" i="28"/>
  <c r="BK67"/>
  <c r="CF67" s="1"/>
  <c r="BK99"/>
  <c r="CF99" s="1"/>
  <c r="BL67"/>
  <c r="CG67" s="1"/>
  <c r="BB222" i="19"/>
  <c r="CJ422" i="20"/>
  <c r="BN407"/>
  <c r="BN635" s="1"/>
  <c r="BN458"/>
  <c r="CJ458" s="1"/>
  <c r="BM222" i="19"/>
  <c r="BD116" i="20"/>
  <c r="BD70"/>
  <c r="BC94"/>
  <c r="BC138"/>
  <c r="CM306"/>
  <c r="BQ305"/>
  <c r="BQ174" s="1"/>
  <c r="BB220" i="19"/>
  <c r="AW29" i="28"/>
  <c r="AW28"/>
  <c r="AX37" i="23"/>
  <c r="AY303" i="20"/>
  <c r="CH208"/>
  <c r="BL352"/>
  <c r="BL358"/>
  <c r="BL547"/>
  <c r="CH547" s="1"/>
  <c r="BK486"/>
  <c r="BJ479"/>
  <c r="BA226" i="19"/>
  <c r="BD457" i="20"/>
  <c r="BR306"/>
  <c r="BR51" i="19"/>
  <c r="BB223"/>
  <c r="BA217"/>
  <c r="BZ835"/>
  <c r="CA53"/>
  <c r="BL228"/>
  <c r="BB218"/>
  <c r="CJ273" i="20"/>
  <c r="BN619"/>
  <c r="CJ619" s="1"/>
  <c r="BN274"/>
  <c r="CJ510"/>
  <c r="BN513"/>
  <c r="CJ513" s="1"/>
  <c r="CJ267"/>
  <c r="BN613"/>
  <c r="CJ613" s="1"/>
  <c r="BB229" i="19"/>
  <c r="BB400" i="20"/>
  <c r="BA475"/>
  <c r="AZ30" i="28"/>
  <c r="AZ29" s="1"/>
  <c r="BA321" i="20"/>
  <c r="BB321"/>
  <c r="BA400"/>
  <c r="BB230" i="19"/>
  <c r="BB224"/>
  <c r="AX341" i="20"/>
  <c r="AY342"/>
  <c r="AZ225" i="19"/>
  <c r="BA221"/>
  <c r="CI500" i="20"/>
  <c r="BM509"/>
  <c r="CI509" s="1"/>
  <c r="CJ503"/>
  <c r="BN500"/>
  <c r="BW802" i="19"/>
  <c r="AZ442" i="20"/>
  <c r="BK74"/>
  <c r="BK120"/>
  <c r="CG120" s="1"/>
  <c r="BJ98"/>
  <c r="BJ142"/>
  <c r="CQ14"/>
  <c r="BV14"/>
  <c r="BU103"/>
  <c r="CQ103" s="1"/>
  <c r="BU81"/>
  <c r="CQ81" s="1"/>
  <c r="BV125"/>
  <c r="CR125" s="1"/>
  <c r="CH382"/>
  <c r="BM382"/>
  <c r="BL33" i="23"/>
  <c r="CJ33" s="1"/>
  <c r="BW380" i="20"/>
  <c r="CR380"/>
  <c r="CZ26"/>
  <c r="CY26"/>
  <c r="CV25"/>
  <c r="BZ8" i="23"/>
  <c r="AX53" i="28"/>
  <c r="AX110" s="1"/>
  <c r="AZ64" i="23"/>
  <c r="BA64" s="1"/>
  <c r="BB64" s="1"/>
  <c r="BC64" s="1"/>
  <c r="BD64" s="1"/>
  <c r="BE64" s="1"/>
  <c r="BF64" s="1"/>
  <c r="BG64" s="1"/>
  <c r="BH64" s="1"/>
  <c r="BL262" i="20"/>
  <c r="BF449"/>
  <c r="CJ352"/>
  <c r="BN552"/>
  <c r="CJ552" s="1"/>
  <c r="CV46"/>
  <c r="BZ10" i="23"/>
  <c r="CH56" i="20"/>
  <c r="BM102"/>
  <c r="CI102" s="1"/>
  <c r="BM56"/>
  <c r="BL80"/>
  <c r="BM261"/>
  <c r="CI261" s="1"/>
  <c r="BL124"/>
  <c r="CH124" s="1"/>
  <c r="CG316"/>
  <c r="BL316"/>
  <c r="CA1090" i="19"/>
  <c r="CA38" i="20" s="1"/>
  <c r="CD89" i="19"/>
  <c r="BG400" i="20"/>
  <c r="AZ404"/>
  <c r="CO36"/>
  <c r="CG80"/>
  <c r="BK161"/>
  <c r="CG161" s="1"/>
  <c r="CL252"/>
  <c r="BR364"/>
  <c r="CM364"/>
  <c r="BJ232"/>
  <c r="BI332"/>
  <c r="BI233"/>
  <c r="CU38"/>
  <c r="BG105"/>
  <c r="BF83"/>
  <c r="BG59"/>
  <c r="BF127"/>
  <c r="BW367"/>
  <c r="CR367"/>
  <c r="CQ53"/>
  <c r="BV53"/>
  <c r="CJ358"/>
  <c r="BN558"/>
  <c r="CJ558" s="1"/>
  <c r="BI73"/>
  <c r="BH141"/>
  <c r="BH97"/>
  <c r="BI119"/>
  <c r="BT36"/>
  <c r="BU86" i="19"/>
  <c r="BH322" i="20"/>
  <c r="BG31" i="28"/>
  <c r="CY27" i="20"/>
  <c r="CZ27"/>
  <c r="CY45"/>
  <c r="CZ45"/>
  <c r="AX109" i="28"/>
  <c r="AY76"/>
  <c r="CM202" i="20"/>
  <c r="BQ542"/>
  <c r="CM542" s="1"/>
  <c r="BQ269"/>
  <c r="BR202"/>
  <c r="AY77" i="28"/>
  <c r="BO231" i="19"/>
  <c r="BP231" s="1"/>
  <c r="BQ231" s="1"/>
  <c r="BR231" s="1"/>
  <c r="BS231" s="1"/>
  <c r="CK204" i="20"/>
  <c r="BO544"/>
  <c r="CK544" s="1"/>
  <c r="BL4" i="23"/>
  <c r="CH92" i="20"/>
  <c r="AR219" i="19"/>
  <c r="BQ15" i="20"/>
  <c r="CL15"/>
  <c r="CW49"/>
  <c r="AV339"/>
  <c r="AV287" s="1"/>
  <c r="AG298"/>
  <c r="AG296" s="1"/>
  <c r="AG336"/>
  <c r="AF27" i="28"/>
  <c r="AG338" i="20"/>
  <c r="AG419"/>
  <c r="AG361"/>
  <c r="AG337"/>
  <c r="AV340"/>
  <c r="AW342" s="1"/>
  <c r="AV211"/>
  <c r="AV475"/>
  <c r="AV286"/>
  <c r="AW303" s="1"/>
  <c r="AU30" i="28"/>
  <c r="AS361" i="20"/>
  <c r="AS419"/>
  <c r="AS338"/>
  <c r="AS336"/>
  <c r="AR27" i="28"/>
  <c r="AS298" i="20"/>
  <c r="AS296" s="1"/>
  <c r="AS337"/>
  <c r="AA329"/>
  <c r="AA328" s="1"/>
  <c r="AV328"/>
  <c r="AI329"/>
  <c r="AI328" s="1"/>
  <c r="AB329"/>
  <c r="AB328" s="1"/>
  <c r="AC329"/>
  <c r="AC328" s="1"/>
  <c r="AP329"/>
  <c r="AP328" s="1"/>
  <c r="T329"/>
  <c r="T328" s="1"/>
  <c r="F329"/>
  <c r="F328" s="1"/>
  <c r="AL329"/>
  <c r="AL328" s="1"/>
  <c r="O329"/>
  <c r="O328" s="1"/>
  <c r="AR329"/>
  <c r="AR328" s="1"/>
  <c r="AD329"/>
  <c r="AD328" s="1"/>
  <c r="AK329"/>
  <c r="AK328" s="1"/>
  <c r="AQ329"/>
  <c r="AQ328" s="1"/>
  <c r="AM329"/>
  <c r="AM328" s="1"/>
  <c r="H329"/>
  <c r="H328" s="1"/>
  <c r="V329"/>
  <c r="V328" s="1"/>
  <c r="AS329"/>
  <c r="AS328" s="1"/>
  <c r="K329"/>
  <c r="K328" s="1"/>
  <c r="AH329"/>
  <c r="AH328" s="1"/>
  <c r="AN329"/>
  <c r="AN328" s="1"/>
  <c r="L329"/>
  <c r="L328" s="1"/>
  <c r="S329"/>
  <c r="S328" s="1"/>
  <c r="AG329"/>
  <c r="AG328" s="1"/>
  <c r="G329"/>
  <c r="G328" s="1"/>
  <c r="AU329"/>
  <c r="AU328" s="1"/>
  <c r="U329"/>
  <c r="U328" s="1"/>
  <c r="Q329"/>
  <c r="Q328" s="1"/>
  <c r="R329"/>
  <c r="R328" s="1"/>
  <c r="AJ329"/>
  <c r="AJ328" s="1"/>
  <c r="AF329"/>
  <c r="AF328" s="1"/>
  <c r="AE329"/>
  <c r="AE328" s="1"/>
  <c r="AW329"/>
  <c r="I329"/>
  <c r="I328" s="1"/>
  <c r="X329"/>
  <c r="X328" s="1"/>
  <c r="AT329"/>
  <c r="AT328" s="1"/>
  <c r="W329"/>
  <c r="W328" s="1"/>
  <c r="J329"/>
  <c r="J328" s="1"/>
  <c r="P329"/>
  <c r="P328" s="1"/>
  <c r="M329"/>
  <c r="M328" s="1"/>
  <c r="AO329"/>
  <c r="AO328" s="1"/>
  <c r="Y329"/>
  <c r="Y328" s="1"/>
  <c r="Z329"/>
  <c r="Z328" s="1"/>
  <c r="N329"/>
  <c r="N328" s="1"/>
  <c r="AR298"/>
  <c r="AR296" s="1"/>
  <c r="AR419"/>
  <c r="AQ27" i="28"/>
  <c r="AR337" i="20"/>
  <c r="AR338"/>
  <c r="AR361"/>
  <c r="AR336"/>
  <c r="T361"/>
  <c r="T337"/>
  <c r="T298"/>
  <c r="T338"/>
  <c r="T336"/>
  <c r="S27" i="28"/>
  <c r="T296" i="20"/>
  <c r="T419"/>
  <c r="AB337"/>
  <c r="AB419"/>
  <c r="AB298"/>
  <c r="AB296" s="1"/>
  <c r="AB361"/>
  <c r="AA27" i="28"/>
  <c r="AB338" i="20"/>
  <c r="AB336"/>
  <c r="AN338"/>
  <c r="AM27" i="28"/>
  <c r="AN419" i="20"/>
  <c r="AN298"/>
  <c r="AN296" s="1"/>
  <c r="AN336"/>
  <c r="AN361"/>
  <c r="AN337"/>
  <c r="AC419"/>
  <c r="AB27" i="28"/>
  <c r="AC338" i="20"/>
  <c r="AC336"/>
  <c r="AC361"/>
  <c r="AC337"/>
  <c r="AC298"/>
  <c r="AC296" s="1"/>
  <c r="L361"/>
  <c r="L419"/>
  <c r="K27" i="28"/>
  <c r="L338" i="20"/>
  <c r="L336"/>
  <c r="L298"/>
  <c r="L296" s="1"/>
  <c r="L337"/>
  <c r="Z419"/>
  <c r="Z336"/>
  <c r="Z337"/>
  <c r="Z338"/>
  <c r="Z361"/>
  <c r="Z298"/>
  <c r="Z296" s="1"/>
  <c r="Y27" i="28"/>
  <c r="X298" i="20"/>
  <c r="X296" s="1"/>
  <c r="W27" i="28"/>
  <c r="X361" i="20"/>
  <c r="X338"/>
  <c r="X337"/>
  <c r="X336"/>
  <c r="X419"/>
  <c r="BW1101" i="19"/>
  <c r="BV1177"/>
  <c r="BV1179" s="1"/>
  <c r="CC1075"/>
  <c r="CB1163"/>
  <c r="CB1186" s="1"/>
  <c r="AW326" i="20"/>
  <c r="AW403" s="1"/>
  <c r="AW452" s="1"/>
  <c r="AW389"/>
  <c r="AW441" s="1"/>
  <c r="AW315"/>
  <c r="CK425"/>
  <c r="BP86"/>
  <c r="CL86" s="1"/>
  <c r="BQ62"/>
  <c r="CL62"/>
  <c r="BP130"/>
  <c r="CL130" s="1"/>
  <c r="BQ108"/>
  <c r="CM108" s="1"/>
  <c r="CK377"/>
  <c r="BP377"/>
  <c r="AX342"/>
  <c r="AW341"/>
  <c r="AV29" i="28"/>
  <c r="AV28"/>
  <c r="AW37" i="23"/>
  <c r="AX303" i="20"/>
  <c r="BW1080" i="19"/>
  <c r="BU1121"/>
  <c r="BV1121" s="1"/>
  <c r="BW1121" s="1"/>
  <c r="BX1121" s="1"/>
  <c r="BY1121" s="1"/>
  <c r="BZ1121" s="1"/>
  <c r="CA1121" s="1"/>
  <c r="CB1121" s="1"/>
  <c r="CC1121" s="1"/>
  <c r="CD1121" s="1"/>
  <c r="BT1122"/>
  <c r="CL173" i="20"/>
  <c r="BQ173"/>
  <c r="CC44" i="28"/>
  <c r="CC72"/>
  <c r="CX72" s="1"/>
  <c r="CC62"/>
  <c r="CX62" s="1"/>
  <c r="CC24"/>
  <c r="BI331" i="20"/>
  <c r="BJ255"/>
  <c r="CK260"/>
  <c r="BP260"/>
  <c r="CK280"/>
  <c r="BO267"/>
  <c r="BJ81" i="19"/>
  <c r="BI24" i="20"/>
  <c r="CK463"/>
  <c r="CK270"/>
  <c r="CN438"/>
  <c r="CO6"/>
  <c r="O63" i="23"/>
  <c r="N65"/>
  <c r="N66" s="1"/>
  <c r="BA37"/>
  <c r="BA303" i="20"/>
  <c r="BA9" i="28"/>
  <c r="BA6"/>
  <c r="BA5" s="1"/>
  <c r="BB303" i="20"/>
  <c r="CY37"/>
  <c r="AQ118"/>
  <c r="AQ101" s="1"/>
  <c r="AQ325" s="1"/>
  <c r="AP140"/>
  <c r="AP123" s="1"/>
  <c r="AP304" s="1"/>
  <c r="CK266"/>
  <c r="BO273"/>
  <c r="BO422"/>
  <c r="BO510"/>
  <c r="CI34" i="28"/>
  <c r="CW282" i="20"/>
  <c r="CB289" i="19"/>
  <c r="AX325" i="20"/>
  <c r="BJ234" i="19"/>
  <c r="BC234"/>
  <c r="AX304" i="20"/>
  <c r="CK236"/>
  <c r="AB61" i="23"/>
  <c r="AA62"/>
  <c r="AA42" s="1"/>
  <c r="BL226" i="19"/>
  <c r="BK232"/>
  <c r="CW48" i="20"/>
  <c r="BO221" i="19"/>
  <c r="BP221" s="1"/>
  <c r="BQ221" s="1"/>
  <c r="BR221" s="1"/>
  <c r="BS221" s="1"/>
  <c r="CW47" i="20"/>
  <c r="AQ140"/>
  <c r="AQ123" s="1"/>
  <c r="AQ304" s="1"/>
  <c r="AR118"/>
  <c r="AR101" s="1"/>
  <c r="AR325" s="1"/>
  <c r="BI137"/>
  <c r="BI93"/>
  <c r="BJ115"/>
  <c r="BJ69"/>
  <c r="AM338"/>
  <c r="AM337"/>
  <c r="AM336"/>
  <c r="AM298"/>
  <c r="AM296" s="1"/>
  <c r="AM419"/>
  <c r="AL27" i="28"/>
  <c r="AM361" i="20"/>
  <c r="AQ336"/>
  <c r="AQ298"/>
  <c r="AQ296" s="1"/>
  <c r="AQ419"/>
  <c r="AQ338"/>
  <c r="AP27" i="28"/>
  <c r="AQ337" i="20"/>
  <c r="AQ361"/>
  <c r="Y338"/>
  <c r="X27" i="28"/>
  <c r="Y361" i="20"/>
  <c r="Y336"/>
  <c r="Y337"/>
  <c r="Y298"/>
  <c r="Y419"/>
  <c r="AP298"/>
  <c r="AP296" s="1"/>
  <c r="AO27" i="28"/>
  <c r="AP338" i="20"/>
  <c r="AP419"/>
  <c r="AP337"/>
  <c r="AP361"/>
  <c r="AP336"/>
  <c r="P338"/>
  <c r="O27" i="28"/>
  <c r="P337" i="20"/>
  <c r="P336"/>
  <c r="P419"/>
  <c r="P361"/>
  <c r="P298"/>
  <c r="P296" s="1"/>
  <c r="M338"/>
  <c r="M337"/>
  <c r="M336"/>
  <c r="M419"/>
  <c r="M361"/>
  <c r="L27" i="28"/>
  <c r="M298" i="20"/>
  <c r="M296" s="1"/>
  <c r="AJ298"/>
  <c r="AJ296" s="1"/>
  <c r="AJ361"/>
  <c r="AJ336"/>
  <c r="AJ419"/>
  <c r="AJ337"/>
  <c r="AJ338"/>
  <c r="AI27" i="28"/>
  <c r="G298" i="20"/>
  <c r="G296" s="1"/>
  <c r="G361"/>
  <c r="G419"/>
  <c r="F27" i="28"/>
  <c r="G337" i="20"/>
  <c r="G338"/>
  <c r="G336"/>
  <c r="AI298"/>
  <c r="AI296" s="1"/>
  <c r="AI338"/>
  <c r="AI336"/>
  <c r="AI361"/>
  <c r="AI419"/>
  <c r="AI337"/>
  <c r="AH27" i="28"/>
  <c r="H337" i="20"/>
  <c r="H338"/>
  <c r="H336"/>
  <c r="H419"/>
  <c r="H361"/>
  <c r="G27" i="28"/>
  <c r="H298" i="20"/>
  <c r="H296" s="1"/>
  <c r="I27" i="28"/>
  <c r="J338" i="20"/>
  <c r="J298"/>
  <c r="J296"/>
  <c r="J336"/>
  <c r="J419"/>
  <c r="J361"/>
  <c r="J337"/>
  <c r="BS202"/>
  <c r="BP269"/>
  <c r="CL202"/>
  <c r="BP542"/>
  <c r="CL542" s="1"/>
  <c r="AT118"/>
  <c r="AT101" s="1"/>
  <c r="AT325" s="1"/>
  <c r="AS140"/>
  <c r="AS123" s="1"/>
  <c r="AS304" s="1"/>
  <c r="BI273"/>
  <c r="BI267"/>
  <c r="BI422"/>
  <c r="BI510"/>
  <c r="CK410"/>
  <c r="BO461"/>
  <c r="CI4" i="23"/>
  <c r="BK43"/>
  <c r="CB94" i="28"/>
  <c r="CW94" s="1"/>
  <c r="CW24"/>
  <c r="CR17" i="20"/>
  <c r="BO225" i="19"/>
  <c r="BP225" s="1"/>
  <c r="BQ225" s="1"/>
  <c r="BR225" s="1"/>
  <c r="BS225" s="1"/>
  <c r="CL281" i="20"/>
  <c r="CK238"/>
  <c r="AV118"/>
  <c r="AV101" s="1"/>
  <c r="AV325" s="1"/>
  <c r="AU140"/>
  <c r="AU123" s="1"/>
  <c r="AU304" s="1"/>
  <c r="AZ402"/>
  <c r="BX371"/>
  <c r="BY371" s="1"/>
  <c r="BZ371" s="1"/>
  <c r="CA371" s="1"/>
  <c r="CB371" s="1"/>
  <c r="CC371" s="1"/>
  <c r="CD371" s="1"/>
  <c r="CS371"/>
  <c r="BA114" i="28"/>
  <c r="BA108"/>
  <c r="BU239" i="20"/>
  <c r="CQ239" s="1"/>
  <c r="BV279" i="19"/>
  <c r="CL201" i="20"/>
  <c r="BQ201"/>
  <c r="BP541"/>
  <c r="CL541" s="1"/>
  <c r="BP270"/>
  <c r="CI39" i="28"/>
  <c r="AX79" i="20"/>
  <c r="AX176" s="1"/>
  <c r="AX178" s="1"/>
  <c r="CX279"/>
  <c r="BA273"/>
  <c r="BA422"/>
  <c r="BA267"/>
  <c r="BA613" s="1"/>
  <c r="BA612"/>
  <c r="BA299"/>
  <c r="BA300" s="1"/>
  <c r="BB299"/>
  <c r="BB300" s="1"/>
  <c r="BO217" i="19"/>
  <c r="BE168" i="20"/>
  <c r="BE171" s="1"/>
  <c r="BE169" s="1"/>
  <c r="BE191" s="1"/>
  <c r="CK264"/>
  <c r="CH43" i="23"/>
  <c r="BK172" i="20"/>
  <c r="CG172" s="1"/>
  <c r="CG174"/>
  <c r="AK24" i="28"/>
  <c r="AJ2"/>
  <c r="AK62"/>
  <c r="AW321" i="20"/>
  <c r="AW399" s="1"/>
  <c r="AW448" s="1"/>
  <c r="AW299"/>
  <c r="AW300" s="1"/>
  <c r="CL193"/>
  <c r="BP534"/>
  <c r="CL534" s="1"/>
  <c r="BN35" i="28"/>
  <c r="CI36"/>
  <c r="CK327" i="20"/>
  <c r="BO404"/>
  <c r="CI38" i="28"/>
  <c r="BN37"/>
  <c r="AY78"/>
  <c r="AY63"/>
  <c r="AX46"/>
  <c r="AX95"/>
  <c r="BM136" i="20"/>
  <c r="CI136" s="1"/>
  <c r="CI68"/>
  <c r="BN68"/>
  <c r="BN114"/>
  <c r="CJ114" s="1"/>
  <c r="BM92"/>
  <c r="BX1076" i="19"/>
  <c r="BW20" i="20"/>
  <c r="BI64" i="23"/>
  <c r="CF64"/>
  <c r="CJ375" i="20"/>
  <c r="AT233" i="19"/>
  <c r="BA231"/>
  <c r="BB232"/>
  <c r="BS44" i="20"/>
  <c r="BR170"/>
  <c r="CN170" s="1"/>
  <c r="CN44"/>
  <c r="AT338"/>
  <c r="AT419"/>
  <c r="AT298"/>
  <c r="AT296" s="1"/>
  <c r="AS27" i="28"/>
  <c r="AT337" i="20"/>
  <c r="AT361"/>
  <c r="AT336"/>
  <c r="AK298"/>
  <c r="AK296" s="1"/>
  <c r="AK338"/>
  <c r="AJ27" i="28"/>
  <c r="AK361" i="20"/>
  <c r="AK419"/>
  <c r="AK336"/>
  <c r="AK337"/>
  <c r="AF338"/>
  <c r="AF337"/>
  <c r="AF336"/>
  <c r="AF298"/>
  <c r="AE27" i="28"/>
  <c r="AF419" i="20"/>
  <c r="AF361"/>
  <c r="AF296"/>
  <c r="J27" i="28"/>
  <c r="K419" i="20"/>
  <c r="K336"/>
  <c r="K338"/>
  <c r="K337"/>
  <c r="K298"/>
  <c r="K296" s="1"/>
  <c r="K361"/>
  <c r="U336"/>
  <c r="U337"/>
  <c r="U361"/>
  <c r="U338"/>
  <c r="U419"/>
  <c r="U298"/>
  <c r="U296" s="1"/>
  <c r="T27" i="28"/>
  <c r="AV611" i="20"/>
  <c r="AV616"/>
  <c r="AV624"/>
  <c r="AV564"/>
  <c r="AV593"/>
  <c r="AV604"/>
  <c r="AV576"/>
  <c r="AV617"/>
  <c r="AV464"/>
  <c r="AV594"/>
  <c r="AV600"/>
  <c r="AV571"/>
  <c r="AV565"/>
  <c r="AV583"/>
  <c r="AV418"/>
  <c r="AV566"/>
  <c r="AV595"/>
  <c r="AV580"/>
  <c r="AV570"/>
  <c r="AV596"/>
  <c r="AV569"/>
  <c r="AV417"/>
  <c r="AV572"/>
  <c r="AV607"/>
  <c r="AV575"/>
  <c r="AV579"/>
  <c r="AV585"/>
  <c r="AV627"/>
  <c r="AV622"/>
  <c r="AV589"/>
  <c r="AV605"/>
  <c r="AV625"/>
  <c r="AV597"/>
  <c r="AV578"/>
  <c r="AV609"/>
  <c r="AV599"/>
  <c r="AV587"/>
  <c r="AV606"/>
  <c r="AV574"/>
  <c r="AV598"/>
  <c r="AV581"/>
  <c r="AV621"/>
  <c r="AU25" i="28"/>
  <c r="AV586" i="20"/>
  <c r="AV408"/>
  <c r="AV459" s="1"/>
  <c r="AV567"/>
  <c r="AV431"/>
  <c r="AV573"/>
  <c r="AV591"/>
  <c r="AV568"/>
  <c r="AV608"/>
  <c r="AV582"/>
  <c r="AV626"/>
  <c r="AV623"/>
  <c r="AV577"/>
  <c r="AV601"/>
  <c r="AV615"/>
  <c r="AV612"/>
  <c r="AV619"/>
  <c r="AV407"/>
  <c r="AV457" s="1"/>
  <c r="AV613"/>
  <c r="AV584"/>
  <c r="AV620"/>
  <c r="AA419"/>
  <c r="AA338"/>
  <c r="AA336"/>
  <c r="Z27" i="28"/>
  <c r="AA361" i="20"/>
  <c r="AA298"/>
  <c r="AA296" s="1"/>
  <c r="AA337"/>
  <c r="N337"/>
  <c r="N361"/>
  <c r="N338"/>
  <c r="N419"/>
  <c r="N298"/>
  <c r="N296" s="1"/>
  <c r="N336"/>
  <c r="M27" i="28"/>
  <c r="AE338" i="20"/>
  <c r="AE337"/>
  <c r="AE361"/>
  <c r="AE419"/>
  <c r="AE336"/>
  <c r="AD27" i="28"/>
  <c r="AE298" i="20"/>
  <c r="Q338"/>
  <c r="Q298"/>
  <c r="Q296" s="1"/>
  <c r="Q336"/>
  <c r="Q419"/>
  <c r="P27" i="28"/>
  <c r="Q337" i="20"/>
  <c r="Q361"/>
  <c r="AU338"/>
  <c r="AU337"/>
  <c r="AU419"/>
  <c r="AV420" s="1"/>
  <c r="AU361"/>
  <c r="AU336"/>
  <c r="AV299" s="1"/>
  <c r="AV300" s="1"/>
  <c r="AU298"/>
  <c r="AV321" s="1"/>
  <c r="AV399" s="1"/>
  <c r="AV448" s="1"/>
  <c r="AT27" i="28"/>
  <c r="AR228" i="19"/>
  <c r="BI215" i="20"/>
  <c r="BI493"/>
  <c r="BI492" s="1"/>
  <c r="BI509" s="1"/>
  <c r="BI216"/>
  <c r="BO462"/>
  <c r="CK427"/>
  <c r="CL186"/>
  <c r="BP528"/>
  <c r="CL528" s="1"/>
  <c r="BQ186"/>
  <c r="CH79" i="23"/>
  <c r="BK79"/>
  <c r="CN23" i="20"/>
  <c r="BX1071" i="19"/>
  <c r="BW17" i="20"/>
  <c r="BW1159" i="19"/>
  <c r="BW1158" s="1"/>
  <c r="BW1176"/>
  <c r="AU73" i="28"/>
  <c r="AU105"/>
  <c r="BO434" i="20"/>
  <c r="BO442"/>
  <c r="CK390"/>
  <c r="CL390"/>
  <c r="BP434"/>
  <c r="BP442"/>
  <c r="CL442" s="1"/>
  <c r="AU178"/>
  <c r="AV304"/>
  <c r="CK482"/>
  <c r="AZ401"/>
  <c r="CK351"/>
  <c r="BO551"/>
  <c r="CK551" s="1"/>
  <c r="BP351"/>
  <c r="BQ206"/>
  <c r="BP546"/>
  <c r="CL546" s="1"/>
  <c r="CL206"/>
  <c r="CI40" i="28"/>
  <c r="BU1077" i="19"/>
  <c r="BV1077" s="1"/>
  <c r="BW1077" s="1"/>
  <c r="BX1077" s="1"/>
  <c r="BY1077" s="1"/>
  <c r="BZ1077" s="1"/>
  <c r="CA1077" s="1"/>
  <c r="CB1077" s="1"/>
  <c r="CC1077" s="1"/>
  <c r="CD1077" s="1"/>
  <c r="BT1128"/>
  <c r="BU1128" s="1"/>
  <c r="BV1128" s="1"/>
  <c r="BW1128" s="1"/>
  <c r="BX1128" s="1"/>
  <c r="BY1128" s="1"/>
  <c r="BZ1128" s="1"/>
  <c r="CA1128" s="1"/>
  <c r="CB1128" s="1"/>
  <c r="CC1128" s="1"/>
  <c r="CD1128" s="1"/>
  <c r="AR140" i="20"/>
  <c r="AR123" s="1"/>
  <c r="AR304" s="1"/>
  <c r="AS118"/>
  <c r="AS101" s="1"/>
  <c r="AS325" s="1"/>
  <c r="CV348"/>
  <c r="BF90"/>
  <c r="BG112"/>
  <c r="BG66"/>
  <c r="BF134"/>
  <c r="BN165"/>
  <c r="CI165"/>
  <c r="AL6"/>
  <c r="AM386"/>
  <c r="AM438" s="1"/>
  <c r="BM831" i="19"/>
  <c r="BL174" i="20"/>
  <c r="BH121"/>
  <c r="BG99"/>
  <c r="BG143"/>
  <c r="BH75"/>
  <c r="AW420"/>
  <c r="AY325"/>
  <c r="BP198"/>
  <c r="BO539"/>
  <c r="CK539" s="1"/>
  <c r="BO205"/>
  <c r="BO208" s="1"/>
  <c r="CK198"/>
  <c r="CK522"/>
  <c r="BO526"/>
  <c r="CK526" s="1"/>
  <c r="AT140"/>
  <c r="AT123" s="1"/>
  <c r="AT304" s="1"/>
  <c r="AU118"/>
  <c r="AU101" s="1"/>
  <c r="AU325" s="1"/>
  <c r="V419"/>
  <c r="V361"/>
  <c r="V336"/>
  <c r="V298"/>
  <c r="V296" s="1"/>
  <c r="V338"/>
  <c r="V337"/>
  <c r="U27" i="28"/>
  <c r="F419" i="20"/>
  <c r="E27" i="28"/>
  <c r="F336" i="20"/>
  <c r="F298"/>
  <c r="F296" s="1"/>
  <c r="F338"/>
  <c r="F337"/>
  <c r="F361"/>
  <c r="R361"/>
  <c r="Q27" i="28"/>
  <c r="R337" i="20"/>
  <c r="R338"/>
  <c r="R419"/>
  <c r="R336"/>
  <c r="R298"/>
  <c r="R296" s="1"/>
  <c r="AV412"/>
  <c r="AV411"/>
  <c r="AL419"/>
  <c r="AL336"/>
  <c r="AL338"/>
  <c r="AL337"/>
  <c r="AL361"/>
  <c r="AL298"/>
  <c r="AK27" i="28"/>
  <c r="S361" i="20"/>
  <c r="S419"/>
  <c r="S336"/>
  <c r="S337"/>
  <c r="R27" i="28"/>
  <c r="S338" i="20"/>
  <c r="S298"/>
  <c r="S296" s="1"/>
  <c r="I337"/>
  <c r="H27" i="28"/>
  <c r="I338" i="20"/>
  <c r="I419"/>
  <c r="I361"/>
  <c r="I336"/>
  <c r="I298"/>
  <c r="I296" s="1"/>
  <c r="O337"/>
  <c r="O419"/>
  <c r="O336"/>
  <c r="O361"/>
  <c r="O338"/>
  <c r="O298"/>
  <c r="O296" s="1"/>
  <c r="N27" i="28"/>
  <c r="AN27"/>
  <c r="AO338" i="20"/>
  <c r="AO361"/>
  <c r="AO419"/>
  <c r="AO337"/>
  <c r="AO298"/>
  <c r="AO296" s="1"/>
  <c r="AO336"/>
  <c r="AC27" i="28"/>
  <c r="AD419" i="20"/>
  <c r="AD298"/>
  <c r="AD296" s="1"/>
  <c r="AD361"/>
  <c r="AD336"/>
  <c r="AD337"/>
  <c r="AD338"/>
  <c r="AH298"/>
  <c r="AH419"/>
  <c r="AH296"/>
  <c r="AH337"/>
  <c r="AH336"/>
  <c r="AG27" i="28"/>
  <c r="AH338" i="20"/>
  <c r="AH361"/>
  <c r="W419"/>
  <c r="W338"/>
  <c r="W298"/>
  <c r="W296" s="1"/>
  <c r="V27" i="28"/>
  <c r="W361" i="20"/>
  <c r="W337"/>
  <c r="W336"/>
  <c r="CK269"/>
  <c r="BB486"/>
  <c r="BC479"/>
  <c r="CW19"/>
  <c r="CK250"/>
  <c r="BP128"/>
  <c r="CL128" s="1"/>
  <c r="BQ106"/>
  <c r="CM106" s="1"/>
  <c r="BP84"/>
  <c r="CL84" s="1"/>
  <c r="BQ60"/>
  <c r="CL60"/>
  <c r="CX34"/>
  <c r="BU1172" i="19"/>
  <c r="BU1171"/>
  <c r="BV1113"/>
  <c r="CB104" i="28"/>
  <c r="CW104" s="1"/>
  <c r="CW44"/>
  <c r="BS23" i="20"/>
  <c r="BT74" i="19"/>
  <c r="BS2"/>
  <c r="BH473" i="20"/>
  <c r="BH71"/>
  <c r="BG95"/>
  <c r="BG139"/>
  <c r="BH117"/>
  <c r="CL195"/>
  <c r="BQ195"/>
  <c r="BP238"/>
  <c r="BP536"/>
  <c r="CL536" s="1"/>
  <c r="CL174"/>
  <c r="BP172"/>
  <c r="BI104"/>
  <c r="BI58"/>
  <c r="BH126"/>
  <c r="BH82"/>
  <c r="BH113"/>
  <c r="BH91"/>
  <c r="BQ61"/>
  <c r="BP129"/>
  <c r="CL129" s="1"/>
  <c r="BP85"/>
  <c r="CL85" s="1"/>
  <c r="BQ107"/>
  <c r="CM107" s="1"/>
  <c r="CL61"/>
  <c r="CW28"/>
  <c r="AW432"/>
  <c r="AX432"/>
  <c r="BV1078" i="19"/>
  <c r="BU1175"/>
  <c r="BU1157"/>
  <c r="BU1086"/>
  <c r="BV1086" s="1"/>
  <c r="BW1086" s="1"/>
  <c r="BX1086" s="1"/>
  <c r="BY1086" s="1"/>
  <c r="BZ1086" s="1"/>
  <c r="CA1086" s="1"/>
  <c r="CB1086" s="1"/>
  <c r="CC1086" s="1"/>
  <c r="CD1086" s="1"/>
  <c r="BT1087"/>
  <c r="BU1087" s="1"/>
  <c r="BV1087" s="1"/>
  <c r="BW1087" s="1"/>
  <c r="BX1087" s="1"/>
  <c r="BY1087" s="1"/>
  <c r="BZ1087" s="1"/>
  <c r="CA1087" s="1"/>
  <c r="CB1087" s="1"/>
  <c r="CC1087" s="1"/>
  <c r="CD1087" s="1"/>
  <c r="AZ72" i="20"/>
  <c r="AY140"/>
  <c r="AZ118"/>
  <c r="AZ101" s="1"/>
  <c r="AY96"/>
  <c r="CZ37"/>
  <c r="CK240"/>
  <c r="BO499"/>
  <c r="CK499" s="1"/>
  <c r="BT801" i="19"/>
  <c r="CT51" i="20"/>
  <c r="AX47" i="28"/>
  <c r="N67" i="23"/>
  <c r="BV1159" i="19"/>
  <c r="BV1158" s="1"/>
  <c r="BM6" i="20" l="1"/>
  <c r="BL630"/>
  <c r="BL489"/>
  <c r="CH489" s="1"/>
  <c r="BL386"/>
  <c r="BL438" s="1"/>
  <c r="CT29"/>
  <c r="BY29"/>
  <c r="BB53" i="28"/>
  <c r="BB63"/>
  <c r="BB46"/>
  <c r="BB47"/>
  <c r="BC63"/>
  <c r="BB54"/>
  <c r="BB95"/>
  <c r="CB13" i="20"/>
  <c r="CW13"/>
  <c r="BI67"/>
  <c r="BH135"/>
  <c r="BZ42"/>
  <c r="BZ1162" i="19"/>
  <c r="BZ1185" s="1"/>
  <c r="CA1093"/>
  <c r="CK474" i="20"/>
  <c r="CD40"/>
  <c r="CZ40" s="1"/>
  <c r="BJ274"/>
  <c r="BQ193"/>
  <c r="CX31"/>
  <c r="CC31"/>
  <c r="BZ39"/>
  <c r="CV39" s="1"/>
  <c r="CA1091" i="19"/>
  <c r="BZ1160"/>
  <c r="BZ1183" s="1"/>
  <c r="CA41" i="20"/>
  <c r="CB1095" i="19"/>
  <c r="BM453" i="20"/>
  <c r="CI453" s="1"/>
  <c r="CI404"/>
  <c r="CU42"/>
  <c r="CS52"/>
  <c r="BX52"/>
  <c r="BZ50"/>
  <c r="CU50"/>
  <c r="CA166"/>
  <c r="CV166"/>
  <c r="BW366"/>
  <c r="CR366"/>
  <c r="CC271"/>
  <c r="CX271"/>
  <c r="CW30"/>
  <c r="CB30"/>
  <c r="CA1092" i="19"/>
  <c r="BZ1161"/>
  <c r="BZ1184" s="1"/>
  <c r="BJ458" i="20"/>
  <c r="AY123"/>
  <c r="AY304" s="1"/>
  <c r="AY326" s="1"/>
  <c r="AY403" s="1"/>
  <c r="AY452" s="1"/>
  <c r="BB50" i="28"/>
  <c r="BV110" i="20"/>
  <c r="CR110" s="1"/>
  <c r="CQ64"/>
  <c r="BU88"/>
  <c r="CQ88" s="1"/>
  <c r="BU132"/>
  <c r="CQ132" s="1"/>
  <c r="CQ307"/>
  <c r="CQ413"/>
  <c r="BU463"/>
  <c r="CP463"/>
  <c r="BT632"/>
  <c r="BU131"/>
  <c r="BU87"/>
  <c r="CQ149"/>
  <c r="CR363"/>
  <c r="BV35" i="23"/>
  <c r="BV36" s="1"/>
  <c r="BV413" i="20"/>
  <c r="BV307"/>
  <c r="CR307" s="1"/>
  <c r="BV149"/>
  <c r="BW363"/>
  <c r="BV561"/>
  <c r="CR561" s="1"/>
  <c r="BV63"/>
  <c r="BV64"/>
  <c r="BC110" i="28"/>
  <c r="CP259" i="20"/>
  <c r="BU259"/>
  <c r="BT505"/>
  <c r="CP505" s="1"/>
  <c r="BC111" i="28"/>
  <c r="BC78"/>
  <c r="BU365" i="20"/>
  <c r="BT38" i="23"/>
  <c r="CP365" i="20"/>
  <c r="CO383"/>
  <c r="BT383"/>
  <c r="BU383"/>
  <c r="AZ221" i="19"/>
  <c r="AY225"/>
  <c r="BA449" i="20"/>
  <c r="BB399"/>
  <c r="AZ65" i="28"/>
  <c r="BA65"/>
  <c r="AZ28"/>
  <c r="AZ97"/>
  <c r="BA218" i="19"/>
  <c r="BM228"/>
  <c r="AZ217"/>
  <c r="BA223"/>
  <c r="CN306" i="20"/>
  <c r="BR305"/>
  <c r="AY323"/>
  <c r="AY401" s="1"/>
  <c r="AY450" s="1"/>
  <c r="AY324"/>
  <c r="AY402" s="1"/>
  <c r="AY451" s="1"/>
  <c r="AW96" i="28"/>
  <c r="AW26"/>
  <c r="AW50" s="1"/>
  <c r="AX64"/>
  <c r="BD138" i="20"/>
  <c r="BD94"/>
  <c r="BE116"/>
  <c r="BE70"/>
  <c r="BA474"/>
  <c r="AZ483"/>
  <c r="BD313"/>
  <c r="BS37" i="19"/>
  <c r="BT50" s="1"/>
  <c r="BT35"/>
  <c r="BU265"/>
  <c r="BT214" i="20"/>
  <c r="CP214" s="1"/>
  <c r="BT295" i="19"/>
  <c r="BX802"/>
  <c r="CJ500" i="20"/>
  <c r="BN509"/>
  <c r="BA224" i="19"/>
  <c r="BA230"/>
  <c r="BA399" i="20"/>
  <c r="BB449"/>
  <c r="BA229" i="19"/>
  <c r="BN620" i="20"/>
  <c r="CJ620" s="1"/>
  <c r="CJ274"/>
  <c r="CA835" i="19"/>
  <c r="CB53"/>
  <c r="AZ226"/>
  <c r="CG486" i="20"/>
  <c r="BK479"/>
  <c r="BL486"/>
  <c r="BL558"/>
  <c r="CH558" s="1"/>
  <c r="CH358"/>
  <c r="BL552"/>
  <c r="CH552" s="1"/>
  <c r="CH352"/>
  <c r="AW97" i="28"/>
  <c r="AX65"/>
  <c r="BA220" i="19"/>
  <c r="CM305" i="20"/>
  <c r="BQ390"/>
  <c r="BP8" i="28"/>
  <c r="BQ32" i="23"/>
  <c r="BN222" i="19"/>
  <c r="CJ407" i="20"/>
  <c r="BN457"/>
  <c r="CJ457" s="1"/>
  <c r="BA222" i="19"/>
  <c r="BS306" i="20"/>
  <c r="BS51" i="19"/>
  <c r="BV86"/>
  <c r="BU36" i="20"/>
  <c r="BW53"/>
  <c r="CR53"/>
  <c r="BJ332"/>
  <c r="BJ233"/>
  <c r="BK232"/>
  <c r="CB1090" i="19"/>
  <c r="CB38" i="20" s="1"/>
  <c r="BN102"/>
  <c r="CJ102" s="1"/>
  <c r="BM124"/>
  <c r="CI124" s="1"/>
  <c r="BN56"/>
  <c r="BM80"/>
  <c r="CI56"/>
  <c r="BN261"/>
  <c r="CJ261" s="1"/>
  <c r="CW46"/>
  <c r="CA10" i="23"/>
  <c r="BM33"/>
  <c r="CK33" s="1"/>
  <c r="BN382" i="20"/>
  <c r="CI382"/>
  <c r="BT202"/>
  <c r="CP202" s="1"/>
  <c r="CS367"/>
  <c r="BX367"/>
  <c r="BY367" s="1"/>
  <c r="BZ367" s="1"/>
  <c r="CA367" s="1"/>
  <c r="CB367" s="1"/>
  <c r="CC367" s="1"/>
  <c r="CD367" s="1"/>
  <c r="BI322"/>
  <c r="BH31" i="28"/>
  <c r="CV38" i="20"/>
  <c r="CH316"/>
  <c r="BM316"/>
  <c r="BL161"/>
  <c r="CH161" s="1"/>
  <c r="CH80"/>
  <c r="CH262"/>
  <c r="BM262"/>
  <c r="CW25"/>
  <c r="CA8" i="23"/>
  <c r="BX380" i="20"/>
  <c r="BY380" s="1"/>
  <c r="BZ380" s="1"/>
  <c r="CA380" s="1"/>
  <c r="CB380" s="1"/>
  <c r="CC380" s="1"/>
  <c r="CD380" s="1"/>
  <c r="CS380"/>
  <c r="BH400"/>
  <c r="CP36"/>
  <c r="BJ73"/>
  <c r="BI97"/>
  <c r="BJ119"/>
  <c r="BI141"/>
  <c r="BH59"/>
  <c r="BG83"/>
  <c r="BG127"/>
  <c r="BH105"/>
  <c r="BS364"/>
  <c r="CN364"/>
  <c r="AZ453"/>
  <c r="BG449"/>
  <c r="BW125"/>
  <c r="CS125" s="1"/>
  <c r="BV81"/>
  <c r="CR81" s="1"/>
  <c r="BV103"/>
  <c r="CR103" s="1"/>
  <c r="CR14"/>
  <c r="BW14"/>
  <c r="CG74"/>
  <c r="BK98"/>
  <c r="BL74"/>
  <c r="BL120"/>
  <c r="CH120" s="1"/>
  <c r="BK142"/>
  <c r="CG142" s="1"/>
  <c r="BP276"/>
  <c r="CK208"/>
  <c r="BO352"/>
  <c r="BO547"/>
  <c r="CK547" s="1"/>
  <c r="BO358"/>
  <c r="CL276"/>
  <c r="BQ281"/>
  <c r="BP189"/>
  <c r="CU51"/>
  <c r="BJ104"/>
  <c r="BI126"/>
  <c r="BI82"/>
  <c r="BJ58"/>
  <c r="AX107" i="28"/>
  <c r="AY75"/>
  <c r="BW1078" i="19"/>
  <c r="BV1175"/>
  <c r="BV1157"/>
  <c r="CM61" i="20"/>
  <c r="BQ129"/>
  <c r="CM129" s="1"/>
  <c r="BR107"/>
  <c r="CN107" s="1"/>
  <c r="BQ85"/>
  <c r="CM85" s="1"/>
  <c r="BR61"/>
  <c r="BV1172" i="19"/>
  <c r="BV1171"/>
  <c r="BW1113"/>
  <c r="BA118" i="20"/>
  <c r="BA101" s="1"/>
  <c r="BA72"/>
  <c r="AZ140"/>
  <c r="AZ123" s="1"/>
  <c r="AZ96"/>
  <c r="CX28"/>
  <c r="CM174"/>
  <c r="BR174"/>
  <c r="BT2" i="19"/>
  <c r="CO23" i="20"/>
  <c r="CY34"/>
  <c r="AH411"/>
  <c r="AH412"/>
  <c r="AD339"/>
  <c r="AD287" s="1"/>
  <c r="AO608"/>
  <c r="AO607"/>
  <c r="AO571"/>
  <c r="AO591"/>
  <c r="AO620"/>
  <c r="AO574"/>
  <c r="AO567"/>
  <c r="AO587"/>
  <c r="AO572"/>
  <c r="AO624"/>
  <c r="AO615"/>
  <c r="AO599"/>
  <c r="AO585"/>
  <c r="AO418"/>
  <c r="AO606"/>
  <c r="AO579"/>
  <c r="AO584"/>
  <c r="AO564"/>
  <c r="AO622"/>
  <c r="AO566"/>
  <c r="AO626"/>
  <c r="AO586"/>
  <c r="AO582"/>
  <c r="AO623"/>
  <c r="AO589"/>
  <c r="AO619"/>
  <c r="AO616"/>
  <c r="AO598"/>
  <c r="AO604"/>
  <c r="AO417"/>
  <c r="AO601"/>
  <c r="AO617"/>
  <c r="AO605"/>
  <c r="AO464"/>
  <c r="AO407"/>
  <c r="AO457" s="1"/>
  <c r="AO597"/>
  <c r="AO625"/>
  <c r="AO573"/>
  <c r="AO613"/>
  <c r="AO594"/>
  <c r="AO621"/>
  <c r="AO581"/>
  <c r="AO392"/>
  <c r="AO578"/>
  <c r="AO593"/>
  <c r="AO569"/>
  <c r="AO420"/>
  <c r="AO408"/>
  <c r="AO459" s="1"/>
  <c r="AO600"/>
  <c r="AO627"/>
  <c r="AO609"/>
  <c r="AO580"/>
  <c r="AO570"/>
  <c r="AO595"/>
  <c r="AO431"/>
  <c r="AO577"/>
  <c r="AO596"/>
  <c r="AO565"/>
  <c r="AO612"/>
  <c r="AO575"/>
  <c r="AO568"/>
  <c r="AO576"/>
  <c r="AO583"/>
  <c r="AO611"/>
  <c r="I321"/>
  <c r="I399" s="1"/>
  <c r="I448" s="1"/>
  <c r="I340"/>
  <c r="H30" i="28"/>
  <c r="I286" i="20"/>
  <c r="I579"/>
  <c r="I626"/>
  <c r="I600"/>
  <c r="I617"/>
  <c r="I580"/>
  <c r="I625"/>
  <c r="I609"/>
  <c r="I408"/>
  <c r="I459" s="1"/>
  <c r="I417"/>
  <c r="I611"/>
  <c r="I431"/>
  <c r="I589"/>
  <c r="I605"/>
  <c r="I420"/>
  <c r="I594"/>
  <c r="I464"/>
  <c r="I586"/>
  <c r="I569"/>
  <c r="I591"/>
  <c r="I584"/>
  <c r="I601"/>
  <c r="I566"/>
  <c r="I583"/>
  <c r="I619"/>
  <c r="I621"/>
  <c r="I392"/>
  <c r="I568"/>
  <c r="I606"/>
  <c r="I573"/>
  <c r="I574"/>
  <c r="I599"/>
  <c r="I571"/>
  <c r="I622"/>
  <c r="I418"/>
  <c r="I570"/>
  <c r="I578"/>
  <c r="I608"/>
  <c r="I572"/>
  <c r="I593"/>
  <c r="I585"/>
  <c r="I575"/>
  <c r="I613"/>
  <c r="I597"/>
  <c r="I595"/>
  <c r="I581"/>
  <c r="I607"/>
  <c r="I596"/>
  <c r="I604"/>
  <c r="I582"/>
  <c r="I407"/>
  <c r="I457" s="1"/>
  <c r="I565"/>
  <c r="I564"/>
  <c r="I623"/>
  <c r="I615"/>
  <c r="I587"/>
  <c r="I576"/>
  <c r="I624"/>
  <c r="I616"/>
  <c r="I598"/>
  <c r="I567"/>
  <c r="I627"/>
  <c r="I612"/>
  <c r="I577"/>
  <c r="I620"/>
  <c r="S286"/>
  <c r="S340"/>
  <c r="S321"/>
  <c r="S399" s="1"/>
  <c r="S448" s="1"/>
  <c r="R30" i="28"/>
  <c r="S411" i="20"/>
  <c r="S412"/>
  <c r="AL411"/>
  <c r="AL412"/>
  <c r="F339"/>
  <c r="F287" s="1"/>
  <c r="V339"/>
  <c r="V287" s="1"/>
  <c r="BO165"/>
  <c r="CJ165"/>
  <c r="BF168"/>
  <c r="BF171" s="1"/>
  <c r="BF169" s="1"/>
  <c r="BF191" s="1"/>
  <c r="BQ546"/>
  <c r="CM546" s="1"/>
  <c r="CM206"/>
  <c r="BR206"/>
  <c r="CS17"/>
  <c r="CI79" i="23"/>
  <c r="CK462" i="20"/>
  <c r="AQ228" i="19"/>
  <c r="AU339" i="20"/>
  <c r="AU287" s="1"/>
  <c r="Q339"/>
  <c r="Q287" s="1"/>
  <c r="AE597"/>
  <c r="AE576"/>
  <c r="AE575"/>
  <c r="AE615"/>
  <c r="AE582"/>
  <c r="AE608"/>
  <c r="AE609"/>
  <c r="AE568"/>
  <c r="AE593"/>
  <c r="AE583"/>
  <c r="AE622"/>
  <c r="AE604"/>
  <c r="AE572"/>
  <c r="AE420"/>
  <c r="AE611"/>
  <c r="AE569"/>
  <c r="AE408"/>
  <c r="AE459" s="1"/>
  <c r="AE580"/>
  <c r="AE574"/>
  <c r="AE617"/>
  <c r="AE571"/>
  <c r="AE625"/>
  <c r="AE581"/>
  <c r="AE594"/>
  <c r="AE626"/>
  <c r="AE606"/>
  <c r="AE623"/>
  <c r="AE570"/>
  <c r="AE607"/>
  <c r="AE392"/>
  <c r="AE587"/>
  <c r="AE591"/>
  <c r="AE464"/>
  <c r="AE601"/>
  <c r="AE599"/>
  <c r="AE586"/>
  <c r="AE567"/>
  <c r="AE579"/>
  <c r="AE565"/>
  <c r="AE431"/>
  <c r="AE598"/>
  <c r="AE585"/>
  <c r="AE595"/>
  <c r="AE596"/>
  <c r="AE605"/>
  <c r="AE624"/>
  <c r="AE616"/>
  <c r="AE578"/>
  <c r="AE621"/>
  <c r="AE573"/>
  <c r="AE600"/>
  <c r="AE627"/>
  <c r="AE577"/>
  <c r="AE589"/>
  <c r="AE417"/>
  <c r="AE418"/>
  <c r="AE407"/>
  <c r="AE457" s="1"/>
  <c r="AE612"/>
  <c r="AE566"/>
  <c r="AE619"/>
  <c r="AE564"/>
  <c r="AE613"/>
  <c r="AE584"/>
  <c r="AE620"/>
  <c r="AE339"/>
  <c r="AE287" s="1"/>
  <c r="N605"/>
  <c r="N613"/>
  <c r="N565"/>
  <c r="N581"/>
  <c r="N566"/>
  <c r="N625"/>
  <c r="N622"/>
  <c r="N568"/>
  <c r="N609"/>
  <c r="N580"/>
  <c r="N601"/>
  <c r="N607"/>
  <c r="N596"/>
  <c r="N627"/>
  <c r="N417"/>
  <c r="N392"/>
  <c r="N564"/>
  <c r="N599"/>
  <c r="N570"/>
  <c r="N617"/>
  <c r="N577"/>
  <c r="N623"/>
  <c r="N418"/>
  <c r="N408"/>
  <c r="N459" s="1"/>
  <c r="N585"/>
  <c r="N595"/>
  <c r="N574"/>
  <c r="N576"/>
  <c r="N431"/>
  <c r="N616"/>
  <c r="N612"/>
  <c r="N586"/>
  <c r="N604"/>
  <c r="N464"/>
  <c r="N579"/>
  <c r="N567"/>
  <c r="N571"/>
  <c r="N608"/>
  <c r="N615"/>
  <c r="N598"/>
  <c r="N572"/>
  <c r="N573"/>
  <c r="N600"/>
  <c r="N594"/>
  <c r="N587"/>
  <c r="N624"/>
  <c r="N597"/>
  <c r="N584"/>
  <c r="N582"/>
  <c r="N606"/>
  <c r="N569"/>
  <c r="N575"/>
  <c r="N626"/>
  <c r="N578"/>
  <c r="N593"/>
  <c r="N591"/>
  <c r="N583"/>
  <c r="N621"/>
  <c r="N420"/>
  <c r="N619"/>
  <c r="N620"/>
  <c r="N407"/>
  <c r="N457" s="1"/>
  <c r="N589"/>
  <c r="N611"/>
  <c r="N411"/>
  <c r="N412"/>
  <c r="AA584"/>
  <c r="AA564"/>
  <c r="AA599"/>
  <c r="AA586"/>
  <c r="AA392"/>
  <c r="AA417"/>
  <c r="AA464"/>
  <c r="AA591"/>
  <c r="AA420"/>
  <c r="AA578"/>
  <c r="AA572"/>
  <c r="AA596"/>
  <c r="AA617"/>
  <c r="AA623"/>
  <c r="AA431"/>
  <c r="AA611"/>
  <c r="AA566"/>
  <c r="AA609"/>
  <c r="AA574"/>
  <c r="AA587"/>
  <c r="AA565"/>
  <c r="AA616"/>
  <c r="AA577"/>
  <c r="AA567"/>
  <c r="AA575"/>
  <c r="AA615"/>
  <c r="AA597"/>
  <c r="AA606"/>
  <c r="AA570"/>
  <c r="AA589"/>
  <c r="AA569"/>
  <c r="AA579"/>
  <c r="AA601"/>
  <c r="AA625"/>
  <c r="AA594"/>
  <c r="AA626"/>
  <c r="AA595"/>
  <c r="AA621"/>
  <c r="AA607"/>
  <c r="AA580"/>
  <c r="AA408"/>
  <c r="AA459" s="1"/>
  <c r="AA605"/>
  <c r="AA582"/>
  <c r="AA622"/>
  <c r="AA608"/>
  <c r="AA418"/>
  <c r="AA568"/>
  <c r="AA571"/>
  <c r="AA585"/>
  <c r="AA407"/>
  <c r="AA457" s="1"/>
  <c r="AA619"/>
  <c r="AA583"/>
  <c r="AA581"/>
  <c r="AA576"/>
  <c r="AA598"/>
  <c r="AA627"/>
  <c r="AA600"/>
  <c r="AA593"/>
  <c r="AA573"/>
  <c r="AA604"/>
  <c r="AA624"/>
  <c r="AA612"/>
  <c r="AA613"/>
  <c r="AA620"/>
  <c r="U611"/>
  <c r="U569"/>
  <c r="U624"/>
  <c r="U591"/>
  <c r="U576"/>
  <c r="U622"/>
  <c r="U579"/>
  <c r="U599"/>
  <c r="U464"/>
  <c r="U616"/>
  <c r="U607"/>
  <c r="U617"/>
  <c r="U420"/>
  <c r="U408"/>
  <c r="U459" s="1"/>
  <c r="U593"/>
  <c r="U392"/>
  <c r="U575"/>
  <c r="U601"/>
  <c r="U625"/>
  <c r="U598"/>
  <c r="U608"/>
  <c r="U600"/>
  <c r="U585"/>
  <c r="U578"/>
  <c r="U431"/>
  <c r="U574"/>
  <c r="U582"/>
  <c r="U606"/>
  <c r="U586"/>
  <c r="U567"/>
  <c r="U621"/>
  <c r="U581"/>
  <c r="U583"/>
  <c r="U604"/>
  <c r="U568"/>
  <c r="U417"/>
  <c r="U573"/>
  <c r="U571"/>
  <c r="U627"/>
  <c r="U597"/>
  <c r="U418"/>
  <c r="U595"/>
  <c r="U565"/>
  <c r="U570"/>
  <c r="U572"/>
  <c r="U609"/>
  <c r="U596"/>
  <c r="U623"/>
  <c r="U566"/>
  <c r="U577"/>
  <c r="U580"/>
  <c r="U615"/>
  <c r="U605"/>
  <c r="U564"/>
  <c r="U407"/>
  <c r="U457" s="1"/>
  <c r="U594"/>
  <c r="U587"/>
  <c r="U626"/>
  <c r="U589"/>
  <c r="U612"/>
  <c r="U619"/>
  <c r="U620"/>
  <c r="U613"/>
  <c r="U584"/>
  <c r="U411"/>
  <c r="U412"/>
  <c r="K339"/>
  <c r="K287" s="1"/>
  <c r="AF340"/>
  <c r="AF321"/>
  <c r="AF399" s="1"/>
  <c r="AF448" s="1"/>
  <c r="AF286"/>
  <c r="AE30" i="28"/>
  <c r="AK411" i="20"/>
  <c r="AK412"/>
  <c r="BW109"/>
  <c r="BO68"/>
  <c r="BN136"/>
  <c r="CJ136" s="1"/>
  <c r="BN92"/>
  <c r="CJ68"/>
  <c r="BO114"/>
  <c r="CK114" s="1"/>
  <c r="CT371"/>
  <c r="CI43" i="23"/>
  <c r="BI274" i="20"/>
  <c r="AS389"/>
  <c r="AS441" s="1"/>
  <c r="AS326"/>
  <c r="AS403" s="1"/>
  <c r="AS452" s="1"/>
  <c r="I30" i="28"/>
  <c r="J286" i="20"/>
  <c r="J340"/>
  <c r="J321"/>
  <c r="J399" s="1"/>
  <c r="J448" s="1"/>
  <c r="G339"/>
  <c r="G287" s="1"/>
  <c r="AJ339"/>
  <c r="AJ287" s="1"/>
  <c r="P286"/>
  <c r="P321"/>
  <c r="P399" s="1"/>
  <c r="P448" s="1"/>
  <c r="O30" i="28"/>
  <c r="P340" i="20"/>
  <c r="P411"/>
  <c r="P412"/>
  <c r="Y321"/>
  <c r="Y399" s="1"/>
  <c r="Y448" s="1"/>
  <c r="X30" i="28"/>
  <c r="Y286" i="20"/>
  <c r="Y340"/>
  <c r="AQ622"/>
  <c r="AQ575"/>
  <c r="AQ417"/>
  <c r="AQ599"/>
  <c r="AQ583"/>
  <c r="AQ587"/>
  <c r="AQ579"/>
  <c r="AQ623"/>
  <c r="AQ408"/>
  <c r="AQ459" s="1"/>
  <c r="AQ571"/>
  <c r="AQ580"/>
  <c r="AQ585"/>
  <c r="AQ626"/>
  <c r="AQ594"/>
  <c r="AQ611"/>
  <c r="AQ569"/>
  <c r="AP25" i="28"/>
  <c r="AQ565" i="20"/>
  <c r="AQ591"/>
  <c r="AQ576"/>
  <c r="AQ577"/>
  <c r="AQ621"/>
  <c r="AQ609"/>
  <c r="AQ608"/>
  <c r="AQ595"/>
  <c r="AQ573"/>
  <c r="AQ605"/>
  <c r="AQ601"/>
  <c r="AQ431"/>
  <c r="AQ586"/>
  <c r="AQ600"/>
  <c r="AQ598"/>
  <c r="AQ625"/>
  <c r="AQ572"/>
  <c r="AQ615"/>
  <c r="AQ597"/>
  <c r="AQ420"/>
  <c r="AQ578"/>
  <c r="AQ617"/>
  <c r="AQ570"/>
  <c r="AQ627"/>
  <c r="AQ582"/>
  <c r="AQ568"/>
  <c r="AQ607"/>
  <c r="AQ624"/>
  <c r="AQ567"/>
  <c r="AQ581"/>
  <c r="AQ606"/>
  <c r="AQ464"/>
  <c r="AQ596"/>
  <c r="AQ616"/>
  <c r="AQ418"/>
  <c r="AQ574"/>
  <c r="AQ593"/>
  <c r="AQ604"/>
  <c r="AQ566"/>
  <c r="AQ612"/>
  <c r="AQ564"/>
  <c r="AQ407"/>
  <c r="AQ457" s="1"/>
  <c r="AQ613"/>
  <c r="AQ619"/>
  <c r="AQ584"/>
  <c r="AQ620"/>
  <c r="AQ589"/>
  <c r="CX47"/>
  <c r="BJ24"/>
  <c r="BK81" i="19"/>
  <c r="CK267" i="20"/>
  <c r="CL260"/>
  <c r="BQ260"/>
  <c r="AW323"/>
  <c r="AW401" s="1"/>
  <c r="AW450" s="1"/>
  <c r="AW314"/>
  <c r="AX314" s="1"/>
  <c r="AY314" s="1"/>
  <c r="AZ314" s="1"/>
  <c r="BA314" s="1"/>
  <c r="BB314" s="1"/>
  <c r="AW324"/>
  <c r="AW402" s="1"/>
  <c r="AW451" s="1"/>
  <c r="AW319"/>
  <c r="AW396"/>
  <c r="AW320"/>
  <c r="AV97" i="28"/>
  <c r="AW65"/>
  <c r="X411" i="20"/>
  <c r="X412"/>
  <c r="L623"/>
  <c r="L418"/>
  <c r="L600"/>
  <c r="L573"/>
  <c r="L627"/>
  <c r="L408"/>
  <c r="L459" s="1"/>
  <c r="L577"/>
  <c r="L622"/>
  <c r="L598"/>
  <c r="L624"/>
  <c r="L597"/>
  <c r="L586"/>
  <c r="L431"/>
  <c r="L576"/>
  <c r="L599"/>
  <c r="L582"/>
  <c r="L574"/>
  <c r="L621"/>
  <c r="L568"/>
  <c r="L625"/>
  <c r="L596"/>
  <c r="L607"/>
  <c r="L578"/>
  <c r="L581"/>
  <c r="L601"/>
  <c r="L417"/>
  <c r="L609"/>
  <c r="L464"/>
  <c r="L570"/>
  <c r="L608"/>
  <c r="L587"/>
  <c r="L591"/>
  <c r="L616"/>
  <c r="L606"/>
  <c r="L593"/>
  <c r="L575"/>
  <c r="L605"/>
  <c r="L595"/>
  <c r="L565"/>
  <c r="L567"/>
  <c r="L572"/>
  <c r="L585"/>
  <c r="L604"/>
  <c r="L583"/>
  <c r="L589"/>
  <c r="L617"/>
  <c r="L594"/>
  <c r="L615"/>
  <c r="L580"/>
  <c r="L571"/>
  <c r="L611"/>
  <c r="L569"/>
  <c r="L626"/>
  <c r="L613"/>
  <c r="L584"/>
  <c r="L579"/>
  <c r="L612"/>
  <c r="L566"/>
  <c r="L619"/>
  <c r="L420"/>
  <c r="L392"/>
  <c r="L564"/>
  <c r="L407"/>
  <c r="L457" s="1"/>
  <c r="L620"/>
  <c r="AC412"/>
  <c r="AC411"/>
  <c r="AB339"/>
  <c r="AB287" s="1"/>
  <c r="AB589"/>
  <c r="AB587"/>
  <c r="AB609"/>
  <c r="AB607"/>
  <c r="AB600"/>
  <c r="AB611"/>
  <c r="AB623"/>
  <c r="AB408"/>
  <c r="AB459" s="1"/>
  <c r="AB585"/>
  <c r="AB596"/>
  <c r="AB593"/>
  <c r="AB570"/>
  <c r="AB591"/>
  <c r="AB627"/>
  <c r="AB617"/>
  <c r="AB564"/>
  <c r="AB612"/>
  <c r="AB606"/>
  <c r="AB569"/>
  <c r="AB601"/>
  <c r="AB573"/>
  <c r="AB582"/>
  <c r="AB566"/>
  <c r="AB586"/>
  <c r="AB580"/>
  <c r="AB581"/>
  <c r="AB626"/>
  <c r="AB574"/>
  <c r="AB579"/>
  <c r="AB417"/>
  <c r="AB431"/>
  <c r="AB624"/>
  <c r="AB578"/>
  <c r="AB567"/>
  <c r="AB622"/>
  <c r="AB598"/>
  <c r="AB615"/>
  <c r="AB595"/>
  <c r="AB619"/>
  <c r="AB572"/>
  <c r="AB418"/>
  <c r="AB625"/>
  <c r="AB605"/>
  <c r="AB597"/>
  <c r="AB576"/>
  <c r="AB599"/>
  <c r="AB407"/>
  <c r="AB457" s="1"/>
  <c r="AB608"/>
  <c r="AB616"/>
  <c r="AB575"/>
  <c r="AB604"/>
  <c r="AB568"/>
  <c r="AB565"/>
  <c r="AB571"/>
  <c r="AB392"/>
  <c r="AB613"/>
  <c r="AB621"/>
  <c r="AB583"/>
  <c r="AB420"/>
  <c r="AB464"/>
  <c r="AB577"/>
  <c r="AB584"/>
  <c r="AB594"/>
  <c r="AB620"/>
  <c r="T412"/>
  <c r="T411"/>
  <c r="AR589"/>
  <c r="AR611"/>
  <c r="AR569"/>
  <c r="AR574"/>
  <c r="AR600"/>
  <c r="AR418"/>
  <c r="AR568"/>
  <c r="AR585"/>
  <c r="AR582"/>
  <c r="AR408"/>
  <c r="AR459" s="1"/>
  <c r="AR431"/>
  <c r="AR594"/>
  <c r="AR623"/>
  <c r="AR601"/>
  <c r="AR606"/>
  <c r="AR595"/>
  <c r="AR599"/>
  <c r="AR587"/>
  <c r="AR571"/>
  <c r="AR596"/>
  <c r="AR624"/>
  <c r="AR593"/>
  <c r="AR417"/>
  <c r="AR616"/>
  <c r="AR570"/>
  <c r="AR579"/>
  <c r="AR464"/>
  <c r="AR432" s="1"/>
  <c r="AR621"/>
  <c r="AQ25" i="28"/>
  <c r="AR565" i="20"/>
  <c r="AR622"/>
  <c r="AR604"/>
  <c r="AR617"/>
  <c r="AR575"/>
  <c r="AR567"/>
  <c r="AR627"/>
  <c r="AR581"/>
  <c r="AR580"/>
  <c r="AR612"/>
  <c r="AR566"/>
  <c r="AR619"/>
  <c r="AR591"/>
  <c r="AR420"/>
  <c r="AR576"/>
  <c r="AR626"/>
  <c r="AR607"/>
  <c r="AR578"/>
  <c r="AR598"/>
  <c r="AR577"/>
  <c r="AR608"/>
  <c r="AR625"/>
  <c r="AR583"/>
  <c r="AR609"/>
  <c r="AR613"/>
  <c r="AR586"/>
  <c r="AR573"/>
  <c r="AR605"/>
  <c r="AR597"/>
  <c r="AR572"/>
  <c r="AR615"/>
  <c r="AR407"/>
  <c r="AR457" s="1"/>
  <c r="AR584"/>
  <c r="AR564"/>
  <c r="AR620"/>
  <c r="AS340"/>
  <c r="AS286"/>
  <c r="AS475"/>
  <c r="AS321"/>
  <c r="AS399" s="1"/>
  <c r="AS448" s="1"/>
  <c r="AR30" i="28"/>
  <c r="AS320" i="20"/>
  <c r="AS396"/>
  <c r="AS392" s="1"/>
  <c r="AS319"/>
  <c r="AS584"/>
  <c r="AS569"/>
  <c r="AS418"/>
  <c r="AS573"/>
  <c r="AS586"/>
  <c r="AS595"/>
  <c r="AS565"/>
  <c r="AS571"/>
  <c r="AS431"/>
  <c r="AS601"/>
  <c r="AS572"/>
  <c r="AS420"/>
  <c r="AS594"/>
  <c r="AS617"/>
  <c r="AS608"/>
  <c r="AS579"/>
  <c r="AS576"/>
  <c r="AS622"/>
  <c r="AS623"/>
  <c r="AS604"/>
  <c r="AS575"/>
  <c r="AS593"/>
  <c r="AS417"/>
  <c r="AS589"/>
  <c r="AS596"/>
  <c r="AS607"/>
  <c r="AS599"/>
  <c r="AS597"/>
  <c r="AS585"/>
  <c r="AS625"/>
  <c r="AS598"/>
  <c r="AS616"/>
  <c r="AS464"/>
  <c r="AS606"/>
  <c r="AS621"/>
  <c r="AS587"/>
  <c r="AS407"/>
  <c r="AS457" s="1"/>
  <c r="AS408"/>
  <c r="AS459" s="1"/>
  <c r="AS624"/>
  <c r="AS583"/>
  <c r="AS615"/>
  <c r="AS582"/>
  <c r="AS577"/>
  <c r="AS609"/>
  <c r="AS568"/>
  <c r="AS626"/>
  <c r="AS627"/>
  <c r="AS578"/>
  <c r="AS600"/>
  <c r="AS567"/>
  <c r="AS605"/>
  <c r="AS619"/>
  <c r="AS581"/>
  <c r="AR25" i="28"/>
  <c r="AS591" i="20"/>
  <c r="AS570"/>
  <c r="AS580"/>
  <c r="AS574"/>
  <c r="AS612"/>
  <c r="AS566"/>
  <c r="AS620"/>
  <c r="AS564"/>
  <c r="AS611"/>
  <c r="AS613"/>
  <c r="AU28" i="28"/>
  <c r="AU29"/>
  <c r="AV65" s="1"/>
  <c r="AV341" i="20"/>
  <c r="AG611"/>
  <c r="AG619"/>
  <c r="AG613"/>
  <c r="AG627"/>
  <c r="AG587"/>
  <c r="AG585"/>
  <c r="AG571"/>
  <c r="AG431"/>
  <c r="AG617"/>
  <c r="AG599"/>
  <c r="AG596"/>
  <c r="AG589"/>
  <c r="AG570"/>
  <c r="AG565"/>
  <c r="AG624"/>
  <c r="AG598"/>
  <c r="AG578"/>
  <c r="AG566"/>
  <c r="AG564"/>
  <c r="AG579"/>
  <c r="AG625"/>
  <c r="AG604"/>
  <c r="AG593"/>
  <c r="AG622"/>
  <c r="AG420"/>
  <c r="AG573"/>
  <c r="AG607"/>
  <c r="AG605"/>
  <c r="AG408"/>
  <c r="AG459" s="1"/>
  <c r="AG581"/>
  <c r="AG576"/>
  <c r="AG621"/>
  <c r="AG580"/>
  <c r="AG615"/>
  <c r="AG600"/>
  <c r="AG392"/>
  <c r="AG582"/>
  <c r="AG612"/>
  <c r="AG569"/>
  <c r="AG597"/>
  <c r="AG609"/>
  <c r="AG595"/>
  <c r="AG407"/>
  <c r="AG457" s="1"/>
  <c r="AG586"/>
  <c r="AG574"/>
  <c r="AG567"/>
  <c r="AG584"/>
  <c r="AG583"/>
  <c r="AG606"/>
  <c r="AG591"/>
  <c r="AG601"/>
  <c r="AG572"/>
  <c r="AG575"/>
  <c r="AG594"/>
  <c r="AG577"/>
  <c r="AG626"/>
  <c r="AG417"/>
  <c r="AG568"/>
  <c r="AG464"/>
  <c r="AG623"/>
  <c r="AG608"/>
  <c r="AG616"/>
  <c r="AG418"/>
  <c r="AG620"/>
  <c r="AG340"/>
  <c r="AG321"/>
  <c r="AG399" s="1"/>
  <c r="AG448" s="1"/>
  <c r="AF30" i="28"/>
  <c r="AG286" i="20"/>
  <c r="AQ219" i="19"/>
  <c r="BL43" i="23"/>
  <c r="CJ4"/>
  <c r="AU296" i="20"/>
  <c r="Y296"/>
  <c r="BK234" i="19"/>
  <c r="AY389" i="20"/>
  <c r="AY441" s="1"/>
  <c r="AY319"/>
  <c r="CM195"/>
  <c r="BQ238"/>
  <c r="BQ536"/>
  <c r="CM536" s="1"/>
  <c r="BR195"/>
  <c r="BT23"/>
  <c r="BU74" i="19"/>
  <c r="BV74" s="1"/>
  <c r="BW74" s="1"/>
  <c r="BX74" s="1"/>
  <c r="BY74" s="1"/>
  <c r="BZ74" s="1"/>
  <c r="CA74" s="1"/>
  <c r="CB74" s="1"/>
  <c r="CC74" s="1"/>
  <c r="CD74" s="1"/>
  <c r="BR106" i="20"/>
  <c r="CN106" s="1"/>
  <c r="BQ128"/>
  <c r="CM128" s="1"/>
  <c r="CM60"/>
  <c r="BQ84"/>
  <c r="CM84" s="1"/>
  <c r="BR60"/>
  <c r="W570"/>
  <c r="W617"/>
  <c r="W568"/>
  <c r="W585"/>
  <c r="W583"/>
  <c r="W573"/>
  <c r="W596"/>
  <c r="W581"/>
  <c r="W579"/>
  <c r="W607"/>
  <c r="W586"/>
  <c r="W601"/>
  <c r="W408"/>
  <c r="W459" s="1"/>
  <c r="W611"/>
  <c r="W600"/>
  <c r="W623"/>
  <c r="W605"/>
  <c r="W589"/>
  <c r="W622"/>
  <c r="W575"/>
  <c r="W587"/>
  <c r="W580"/>
  <c r="W604"/>
  <c r="W567"/>
  <c r="W571"/>
  <c r="W578"/>
  <c r="W464"/>
  <c r="W597"/>
  <c r="W626"/>
  <c r="W608"/>
  <c r="W627"/>
  <c r="W609"/>
  <c r="W417"/>
  <c r="W572"/>
  <c r="W577"/>
  <c r="W625"/>
  <c r="W576"/>
  <c r="W582"/>
  <c r="W594"/>
  <c r="W591"/>
  <c r="W431"/>
  <c r="W584"/>
  <c r="W569"/>
  <c r="W595"/>
  <c r="W624"/>
  <c r="W616"/>
  <c r="W565"/>
  <c r="W418"/>
  <c r="W599"/>
  <c r="W574"/>
  <c r="W598"/>
  <c r="W606"/>
  <c r="W593"/>
  <c r="W621"/>
  <c r="W615"/>
  <c r="W612"/>
  <c r="W407"/>
  <c r="W457" s="1"/>
  <c r="W392"/>
  <c r="W566"/>
  <c r="W619"/>
  <c r="W420"/>
  <c r="W564"/>
  <c r="W613"/>
  <c r="W620"/>
  <c r="AG30" i="28"/>
  <c r="AH321" i="20"/>
  <c r="AH399" s="1"/>
  <c r="AH448" s="1"/>
  <c r="AH340"/>
  <c r="AH286"/>
  <c r="AO411"/>
  <c r="AO412"/>
  <c r="O411"/>
  <c r="O412"/>
  <c r="I411"/>
  <c r="I412"/>
  <c r="AL611"/>
  <c r="AL569"/>
  <c r="AL616"/>
  <c r="AL621"/>
  <c r="AL607"/>
  <c r="AL580"/>
  <c r="AL595"/>
  <c r="AL604"/>
  <c r="AL578"/>
  <c r="AL392"/>
  <c r="AL583"/>
  <c r="AL624"/>
  <c r="AL576"/>
  <c r="AL587"/>
  <c r="AL581"/>
  <c r="AL591"/>
  <c r="AL584"/>
  <c r="AL615"/>
  <c r="AL586"/>
  <c r="AL598"/>
  <c r="AL570"/>
  <c r="AL605"/>
  <c r="AL573"/>
  <c r="AL585"/>
  <c r="AL623"/>
  <c r="AL575"/>
  <c r="AL577"/>
  <c r="AL582"/>
  <c r="AL622"/>
  <c r="AL626"/>
  <c r="AL608"/>
  <c r="AL627"/>
  <c r="AL625"/>
  <c r="AL609"/>
  <c r="AL574"/>
  <c r="AL571"/>
  <c r="AL599"/>
  <c r="AL464"/>
  <c r="AL600"/>
  <c r="AL619"/>
  <c r="AL617"/>
  <c r="AL420"/>
  <c r="AL594"/>
  <c r="AL593"/>
  <c r="AL597"/>
  <c r="AL572"/>
  <c r="AL407"/>
  <c r="AL457" s="1"/>
  <c r="AL579"/>
  <c r="AL418"/>
  <c r="AL565"/>
  <c r="AL408"/>
  <c r="AL459" s="1"/>
  <c r="AL606"/>
  <c r="AL601"/>
  <c r="AL596"/>
  <c r="AL417"/>
  <c r="AL589"/>
  <c r="AL567"/>
  <c r="AL431"/>
  <c r="AL568"/>
  <c r="AL566"/>
  <c r="AL612"/>
  <c r="AL613"/>
  <c r="AL564"/>
  <c r="AL620"/>
  <c r="R321"/>
  <c r="R399" s="1"/>
  <c r="R448" s="1"/>
  <c r="Q30" i="28"/>
  <c r="R286" i="20"/>
  <c r="R340"/>
  <c r="R411"/>
  <c r="R412"/>
  <c r="F412"/>
  <c r="F411"/>
  <c r="V411"/>
  <c r="V412"/>
  <c r="AT326"/>
  <c r="AT403" s="1"/>
  <c r="AT452" s="1"/>
  <c r="AT389"/>
  <c r="AT441" s="1"/>
  <c r="CL198"/>
  <c r="BP539"/>
  <c r="CL539" s="1"/>
  <c r="BQ198"/>
  <c r="BM174"/>
  <c r="BN831" i="19"/>
  <c r="BN174" i="20" s="1"/>
  <c r="CM186"/>
  <c r="BR186"/>
  <c r="BQ528"/>
  <c r="CM528" s="1"/>
  <c r="AU411"/>
  <c r="AU412"/>
  <c r="Q340"/>
  <c r="P30" i="28"/>
  <c r="Q286" i="20"/>
  <c r="Q321"/>
  <c r="Q399" s="1"/>
  <c r="Q448" s="1"/>
  <c r="AE412"/>
  <c r="AE411"/>
  <c r="N286"/>
  <c r="M30" i="28"/>
  <c r="N340" i="20"/>
  <c r="N321"/>
  <c r="N399" s="1"/>
  <c r="N448" s="1"/>
  <c r="AA321"/>
  <c r="AA399" s="1"/>
  <c r="AA448" s="1"/>
  <c r="AA286"/>
  <c r="AA340"/>
  <c r="Z30" i="28"/>
  <c r="AA339" i="20"/>
  <c r="AA287" s="1"/>
  <c r="U286"/>
  <c r="U340"/>
  <c r="T30" i="28"/>
  <c r="U321" i="20"/>
  <c r="U399" s="1"/>
  <c r="U448" s="1"/>
  <c r="K412"/>
  <c r="K411"/>
  <c r="AF339"/>
  <c r="AF287" s="1"/>
  <c r="AK611"/>
  <c r="AK569"/>
  <c r="AK580"/>
  <c r="AK572"/>
  <c r="AK601"/>
  <c r="AK616"/>
  <c r="AK598"/>
  <c r="AK625"/>
  <c r="AK581"/>
  <c r="AK596"/>
  <c r="AK582"/>
  <c r="AK392"/>
  <c r="AK418"/>
  <c r="AK599"/>
  <c r="AK417"/>
  <c r="AK605"/>
  <c r="AK587"/>
  <c r="AK597"/>
  <c r="AK420"/>
  <c r="AK431"/>
  <c r="AK567"/>
  <c r="AK591"/>
  <c r="AK608"/>
  <c r="AK586"/>
  <c r="AK565"/>
  <c r="AK574"/>
  <c r="AK609"/>
  <c r="AK585"/>
  <c r="AK583"/>
  <c r="AK617"/>
  <c r="AK626"/>
  <c r="AK594"/>
  <c r="AK595"/>
  <c r="AK593"/>
  <c r="AK615"/>
  <c r="AK568"/>
  <c r="AK570"/>
  <c r="AK604"/>
  <c r="AK607"/>
  <c r="AK624"/>
  <c r="AK627"/>
  <c r="AK576"/>
  <c r="AK573"/>
  <c r="AK589"/>
  <c r="AK575"/>
  <c r="AK578"/>
  <c r="AK464"/>
  <c r="AK408"/>
  <c r="AK459" s="1"/>
  <c r="AK579"/>
  <c r="AK571"/>
  <c r="AK600"/>
  <c r="AK623"/>
  <c r="AK621"/>
  <c r="AK606"/>
  <c r="AK577"/>
  <c r="AK622"/>
  <c r="AK566"/>
  <c r="AK612"/>
  <c r="AK564"/>
  <c r="AK407"/>
  <c r="AK457" s="1"/>
  <c r="AK619"/>
  <c r="AK613"/>
  <c r="AK584"/>
  <c r="AK620"/>
  <c r="AK340"/>
  <c r="AJ30" i="28"/>
  <c r="AK286" i="20"/>
  <c r="AK321"/>
  <c r="AK399" s="1"/>
  <c r="AK448" s="1"/>
  <c r="AT339"/>
  <c r="AT287" s="1"/>
  <c r="BN99" i="28"/>
  <c r="CI99" s="1"/>
  <c r="CI35"/>
  <c r="BN67"/>
  <c r="CI67" s="1"/>
  <c r="CM193" i="20"/>
  <c r="BQ534"/>
  <c r="CM534" s="1"/>
  <c r="BR193"/>
  <c r="CY279"/>
  <c r="CL270"/>
  <c r="BV239"/>
  <c r="CR239" s="1"/>
  <c r="BW279" i="19"/>
  <c r="AU326" i="20"/>
  <c r="AU403" s="1"/>
  <c r="AU452" s="1"/>
  <c r="AU389"/>
  <c r="AU441" s="1"/>
  <c r="J411"/>
  <c r="J412"/>
  <c r="H340"/>
  <c r="H286"/>
  <c r="H321"/>
  <c r="H399" s="1"/>
  <c r="H448" s="1"/>
  <c r="G30" i="28"/>
  <c r="G607" i="20"/>
  <c r="G597"/>
  <c r="G575"/>
  <c r="G612"/>
  <c r="G586"/>
  <c r="G571"/>
  <c r="G572"/>
  <c r="G585"/>
  <c r="G600"/>
  <c r="G599"/>
  <c r="G464"/>
  <c r="G417"/>
  <c r="G615"/>
  <c r="G431"/>
  <c r="G619"/>
  <c r="G622"/>
  <c r="G573"/>
  <c r="G606"/>
  <c r="G579"/>
  <c r="G598"/>
  <c r="G626"/>
  <c r="G627"/>
  <c r="G564"/>
  <c r="G576"/>
  <c r="G418"/>
  <c r="G567"/>
  <c r="G605"/>
  <c r="G581"/>
  <c r="G583"/>
  <c r="G620"/>
  <c r="G584"/>
  <c r="G569"/>
  <c r="G625"/>
  <c r="G593"/>
  <c r="G578"/>
  <c r="G595"/>
  <c r="G621"/>
  <c r="G582"/>
  <c r="G601"/>
  <c r="G566"/>
  <c r="G617"/>
  <c r="G589"/>
  <c r="G623"/>
  <c r="G608"/>
  <c r="G407"/>
  <c r="G457" s="1"/>
  <c r="G596"/>
  <c r="G408"/>
  <c r="G459" s="1"/>
  <c r="G570"/>
  <c r="G580"/>
  <c r="G587"/>
  <c r="G591"/>
  <c r="G565"/>
  <c r="G594"/>
  <c r="G574"/>
  <c r="G609"/>
  <c r="G604"/>
  <c r="G616"/>
  <c r="G577"/>
  <c r="G568"/>
  <c r="G624"/>
  <c r="G392"/>
  <c r="G420"/>
  <c r="G611"/>
  <c r="G613"/>
  <c r="AJ611"/>
  <c r="AJ582"/>
  <c r="AJ464"/>
  <c r="AJ576"/>
  <c r="AJ606"/>
  <c r="AJ593"/>
  <c r="AJ566"/>
  <c r="AJ567"/>
  <c r="AJ586"/>
  <c r="AJ574"/>
  <c r="AJ608"/>
  <c r="AJ420"/>
  <c r="AJ585"/>
  <c r="AJ431"/>
  <c r="AJ627"/>
  <c r="AJ594"/>
  <c r="AJ596"/>
  <c r="AJ613"/>
  <c r="AJ572"/>
  <c r="AJ418"/>
  <c r="AJ624"/>
  <c r="AJ570"/>
  <c r="AJ565"/>
  <c r="AJ599"/>
  <c r="AJ604"/>
  <c r="AJ612"/>
  <c r="AJ620"/>
  <c r="AJ625"/>
  <c r="AJ580"/>
  <c r="AJ609"/>
  <c r="AJ600"/>
  <c r="AJ587"/>
  <c r="AJ579"/>
  <c r="AJ591"/>
  <c r="AJ578"/>
  <c r="AJ617"/>
  <c r="AJ621"/>
  <c r="AJ597"/>
  <c r="AJ605"/>
  <c r="AJ575"/>
  <c r="AJ623"/>
  <c r="AJ581"/>
  <c r="AJ589"/>
  <c r="AJ598"/>
  <c r="AJ571"/>
  <c r="AJ607"/>
  <c r="AJ626"/>
  <c r="AJ564"/>
  <c r="AJ616"/>
  <c r="AJ407"/>
  <c r="AJ457" s="1"/>
  <c r="AJ619"/>
  <c r="AJ577"/>
  <c r="AJ569"/>
  <c r="AJ601"/>
  <c r="AJ408"/>
  <c r="AJ459" s="1"/>
  <c r="AJ392"/>
  <c r="AJ595"/>
  <c r="AJ417"/>
  <c r="AJ573"/>
  <c r="AJ615"/>
  <c r="AJ583"/>
  <c r="AJ568"/>
  <c r="AJ622"/>
  <c r="AJ584"/>
  <c r="L30" i="28"/>
  <c r="M321" i="20"/>
  <c r="M399" s="1"/>
  <c r="M448" s="1"/>
  <c r="M286"/>
  <c r="M340"/>
  <c r="M624"/>
  <c r="M621"/>
  <c r="M616"/>
  <c r="M574"/>
  <c r="M578"/>
  <c r="M408"/>
  <c r="M459" s="1"/>
  <c r="M591"/>
  <c r="M577"/>
  <c r="M568"/>
  <c r="M627"/>
  <c r="M609"/>
  <c r="M464"/>
  <c r="M583"/>
  <c r="M572"/>
  <c r="M623"/>
  <c r="M569"/>
  <c r="M584"/>
  <c r="M580"/>
  <c r="M601"/>
  <c r="M579"/>
  <c r="M581"/>
  <c r="M586"/>
  <c r="M431"/>
  <c r="M570"/>
  <c r="M418"/>
  <c r="M622"/>
  <c r="M567"/>
  <c r="M594"/>
  <c r="M596"/>
  <c r="M604"/>
  <c r="M617"/>
  <c r="M392"/>
  <c r="M585"/>
  <c r="M573"/>
  <c r="M608"/>
  <c r="M605"/>
  <c r="M420"/>
  <c r="M593"/>
  <c r="M565"/>
  <c r="M598"/>
  <c r="M606"/>
  <c r="M595"/>
  <c r="M599"/>
  <c r="M576"/>
  <c r="M607"/>
  <c r="M600"/>
  <c r="M625"/>
  <c r="M417"/>
  <c r="M587"/>
  <c r="M566"/>
  <c r="M407"/>
  <c r="M457" s="1"/>
  <c r="M619"/>
  <c r="M575"/>
  <c r="M582"/>
  <c r="M571"/>
  <c r="M597"/>
  <c r="M626"/>
  <c r="M615"/>
  <c r="M612"/>
  <c r="M564"/>
  <c r="M620"/>
  <c r="M611"/>
  <c r="M613"/>
  <c r="M589"/>
  <c r="AP339"/>
  <c r="AP287" s="1"/>
  <c r="Y569"/>
  <c r="Y589"/>
  <c r="Y611"/>
  <c r="Y584"/>
  <c r="Y572"/>
  <c r="Y601"/>
  <c r="Y595"/>
  <c r="Y567"/>
  <c r="Y568"/>
  <c r="Y586"/>
  <c r="Y577"/>
  <c r="Y604"/>
  <c r="Y418"/>
  <c r="Y626"/>
  <c r="Y624"/>
  <c r="Y605"/>
  <c r="Y571"/>
  <c r="Y585"/>
  <c r="Y574"/>
  <c r="Y392"/>
  <c r="Y575"/>
  <c r="Y615"/>
  <c r="Y591"/>
  <c r="Y621"/>
  <c r="Y622"/>
  <c r="Y408"/>
  <c r="Y459" s="1"/>
  <c r="Y623"/>
  <c r="Y576"/>
  <c r="Y582"/>
  <c r="Y599"/>
  <c r="Y617"/>
  <c r="Y431"/>
  <c r="Y565"/>
  <c r="Y593"/>
  <c r="Y606"/>
  <c r="Y581"/>
  <c r="Y597"/>
  <c r="Y609"/>
  <c r="Y608"/>
  <c r="Y583"/>
  <c r="Y596"/>
  <c r="Y616"/>
  <c r="Y573"/>
  <c r="Y417"/>
  <c r="Y625"/>
  <c r="Y579"/>
  <c r="Y570"/>
  <c r="Y594"/>
  <c r="Y627"/>
  <c r="Y578"/>
  <c r="Y612"/>
  <c r="Y607"/>
  <c r="Y464"/>
  <c r="Y587"/>
  <c r="Y420"/>
  <c r="Y600"/>
  <c r="Y598"/>
  <c r="Y580"/>
  <c r="Y566"/>
  <c r="Y407"/>
  <c r="Y457" s="1"/>
  <c r="Y619"/>
  <c r="Y620"/>
  <c r="Y564"/>
  <c r="Y613"/>
  <c r="AQ339"/>
  <c r="AQ287" s="1"/>
  <c r="AM321"/>
  <c r="AM399" s="1"/>
  <c r="AM448" s="1"/>
  <c r="AL30" i="28"/>
  <c r="AM286" i="20"/>
  <c r="AM340"/>
  <c r="AQ326"/>
  <c r="AQ403" s="1"/>
  <c r="AQ452" s="1"/>
  <c r="AQ389"/>
  <c r="AQ441" s="1"/>
  <c r="CC289" i="19"/>
  <c r="CX282" i="20"/>
  <c r="AP389"/>
  <c r="AP441" s="1"/>
  <c r="AP326"/>
  <c r="AP403" s="1"/>
  <c r="AP452" s="1"/>
  <c r="BB324"/>
  <c r="BB323"/>
  <c r="BI113"/>
  <c r="BI91"/>
  <c r="BJ331"/>
  <c r="BK255"/>
  <c r="CC94" i="28"/>
  <c r="CX94" s="1"/>
  <c r="CX24"/>
  <c r="BT1123" i="19"/>
  <c r="BU1122"/>
  <c r="AW64" i="28"/>
  <c r="AV26"/>
  <c r="AV47" s="1"/>
  <c r="AV64"/>
  <c r="AV96"/>
  <c r="AX315" i="20"/>
  <c r="AW211"/>
  <c r="AW212" s="1"/>
  <c r="CX19"/>
  <c r="BX1101" i="19"/>
  <c r="BW1177"/>
  <c r="BW1179" s="1"/>
  <c r="Z340" i="20"/>
  <c r="Z321"/>
  <c r="Z399" s="1"/>
  <c r="Z448" s="1"/>
  <c r="Z286"/>
  <c r="Y30" i="28"/>
  <c r="Z411" i="20"/>
  <c r="Z412"/>
  <c r="L340"/>
  <c r="L286"/>
  <c r="K30" i="28"/>
  <c r="L321" i="20"/>
  <c r="L399" s="1"/>
  <c r="L448" s="1"/>
  <c r="AB30" i="28"/>
  <c r="AC321" i="20"/>
  <c r="AC399" s="1"/>
  <c r="AC448" s="1"/>
  <c r="AC286"/>
  <c r="AC340"/>
  <c r="AC339"/>
  <c r="AC287" s="1"/>
  <c r="AB321"/>
  <c r="AB399" s="1"/>
  <c r="AB448" s="1"/>
  <c r="AB286"/>
  <c r="AA30" i="28"/>
  <c r="AB340" i="20"/>
  <c r="S30" i="28"/>
  <c r="T286" i="20"/>
  <c r="T340"/>
  <c r="T321"/>
  <c r="T399" s="1"/>
  <c r="T448" s="1"/>
  <c r="AS339"/>
  <c r="AS287" s="1"/>
  <c r="CM269"/>
  <c r="BB234" i="19"/>
  <c r="BU801"/>
  <c r="CL172" i="20"/>
  <c r="CL238"/>
  <c r="BI71"/>
  <c r="BH139"/>
  <c r="BI117"/>
  <c r="BH95"/>
  <c r="BB479"/>
  <c r="BA486"/>
  <c r="W411"/>
  <c r="W412"/>
  <c r="W339"/>
  <c r="W287" s="1"/>
  <c r="AH571"/>
  <c r="AH626"/>
  <c r="AH585"/>
  <c r="AH418"/>
  <c r="AH596"/>
  <c r="AH615"/>
  <c r="AH622"/>
  <c r="AH565"/>
  <c r="AH431"/>
  <c r="AH600"/>
  <c r="AH597"/>
  <c r="AH464"/>
  <c r="AH586"/>
  <c r="AH575"/>
  <c r="AH604"/>
  <c r="AH576"/>
  <c r="AH621"/>
  <c r="AH568"/>
  <c r="AH583"/>
  <c r="AH580"/>
  <c r="AH574"/>
  <c r="AH572"/>
  <c r="AH625"/>
  <c r="AH624"/>
  <c r="AH570"/>
  <c r="AH595"/>
  <c r="AH593"/>
  <c r="AH584"/>
  <c r="AH611"/>
  <c r="AH567"/>
  <c r="AH581"/>
  <c r="AH591"/>
  <c r="AH573"/>
  <c r="AH598"/>
  <c r="AH582"/>
  <c r="AH594"/>
  <c r="AH607"/>
  <c r="AH577"/>
  <c r="AH579"/>
  <c r="AH605"/>
  <c r="AH578"/>
  <c r="AH417"/>
  <c r="AH589"/>
  <c r="AH627"/>
  <c r="AH617"/>
  <c r="AH587"/>
  <c r="AH408"/>
  <c r="AH459" s="1"/>
  <c r="AH608"/>
  <c r="AH601"/>
  <c r="AH609"/>
  <c r="AH599"/>
  <c r="AH606"/>
  <c r="AH623"/>
  <c r="AH616"/>
  <c r="AH569"/>
  <c r="AH420"/>
  <c r="AH392"/>
  <c r="AH619"/>
  <c r="AH407"/>
  <c r="AH457" s="1"/>
  <c r="AH566"/>
  <c r="AH620"/>
  <c r="AH612"/>
  <c r="AH564"/>
  <c r="AH613"/>
  <c r="AD611"/>
  <c r="AD607"/>
  <c r="AD625"/>
  <c r="AD599"/>
  <c r="AD572"/>
  <c r="AD595"/>
  <c r="AD608"/>
  <c r="AD626"/>
  <c r="AD568"/>
  <c r="AD597"/>
  <c r="AD621"/>
  <c r="AD609"/>
  <c r="AD624"/>
  <c r="AD593"/>
  <c r="AD570"/>
  <c r="AD612"/>
  <c r="AD581"/>
  <c r="AD587"/>
  <c r="AD580"/>
  <c r="AD571"/>
  <c r="AD601"/>
  <c r="AD583"/>
  <c r="AD582"/>
  <c r="AD591"/>
  <c r="AD623"/>
  <c r="AD606"/>
  <c r="AD392"/>
  <c r="AD575"/>
  <c r="AD417"/>
  <c r="AD574"/>
  <c r="AD584"/>
  <c r="AD589"/>
  <c r="AD420"/>
  <c r="AD564"/>
  <c r="AD585"/>
  <c r="AD565"/>
  <c r="AD431"/>
  <c r="AD578"/>
  <c r="AD594"/>
  <c r="AD615"/>
  <c r="AD579"/>
  <c r="AD616"/>
  <c r="AD622"/>
  <c r="AD418"/>
  <c r="AD569"/>
  <c r="AD464"/>
  <c r="AD567"/>
  <c r="AD566"/>
  <c r="AD604"/>
  <c r="AD600"/>
  <c r="AD577"/>
  <c r="AD573"/>
  <c r="AD596"/>
  <c r="AD586"/>
  <c r="AD576"/>
  <c r="AD617"/>
  <c r="AD598"/>
  <c r="AD627"/>
  <c r="AD605"/>
  <c r="AD408"/>
  <c r="AD459" s="1"/>
  <c r="AD619"/>
  <c r="AD407"/>
  <c r="AD457" s="1"/>
  <c r="AD620"/>
  <c r="AD613"/>
  <c r="AO339"/>
  <c r="AO287" s="1"/>
  <c r="O339"/>
  <c r="O287" s="1"/>
  <c r="O616"/>
  <c r="O621"/>
  <c r="O607"/>
  <c r="O585"/>
  <c r="O464"/>
  <c r="O432" s="1"/>
  <c r="O578"/>
  <c r="O625"/>
  <c r="O583"/>
  <c r="O564"/>
  <c r="O579"/>
  <c r="O569"/>
  <c r="O575"/>
  <c r="O605"/>
  <c r="O595"/>
  <c r="O599"/>
  <c r="O431"/>
  <c r="O587"/>
  <c r="O418"/>
  <c r="O591"/>
  <c r="O392"/>
  <c r="O627"/>
  <c r="O615"/>
  <c r="O611"/>
  <c r="O594"/>
  <c r="O574"/>
  <c r="O589"/>
  <c r="O600"/>
  <c r="O417"/>
  <c r="O573"/>
  <c r="O623"/>
  <c r="O408"/>
  <c r="O459" s="1"/>
  <c r="O604"/>
  <c r="O584"/>
  <c r="O420"/>
  <c r="O626"/>
  <c r="O566"/>
  <c r="O586"/>
  <c r="O581"/>
  <c r="O568"/>
  <c r="O577"/>
  <c r="O608"/>
  <c r="O567"/>
  <c r="O580"/>
  <c r="O617"/>
  <c r="O576"/>
  <c r="O601"/>
  <c r="O613"/>
  <c r="O622"/>
  <c r="O606"/>
  <c r="O598"/>
  <c r="O596"/>
  <c r="O571"/>
  <c r="O582"/>
  <c r="O597"/>
  <c r="O609"/>
  <c r="O570"/>
  <c r="O624"/>
  <c r="O565"/>
  <c r="O572"/>
  <c r="O593"/>
  <c r="O612"/>
  <c r="O619"/>
  <c r="O407"/>
  <c r="O457" s="1"/>
  <c r="O620"/>
  <c r="S626"/>
  <c r="S597"/>
  <c r="S585"/>
  <c r="S420"/>
  <c r="S574"/>
  <c r="S624"/>
  <c r="S565"/>
  <c r="S578"/>
  <c r="S582"/>
  <c r="S616"/>
  <c r="S615"/>
  <c r="S567"/>
  <c r="S606"/>
  <c r="S584"/>
  <c r="S608"/>
  <c r="S604"/>
  <c r="S617"/>
  <c r="S572"/>
  <c r="S418"/>
  <c r="S591"/>
  <c r="S607"/>
  <c r="S593"/>
  <c r="S571"/>
  <c r="S431"/>
  <c r="S622"/>
  <c r="S408"/>
  <c r="S459" s="1"/>
  <c r="S589"/>
  <c r="S569"/>
  <c r="S599"/>
  <c r="S573"/>
  <c r="S627"/>
  <c r="S586"/>
  <c r="S625"/>
  <c r="S623"/>
  <c r="S598"/>
  <c r="S577"/>
  <c r="S576"/>
  <c r="S392"/>
  <c r="S621"/>
  <c r="S600"/>
  <c r="S570"/>
  <c r="S605"/>
  <c r="S417"/>
  <c r="S575"/>
  <c r="S580"/>
  <c r="S464"/>
  <c r="S581"/>
  <c r="S579"/>
  <c r="S596"/>
  <c r="S566"/>
  <c r="S595"/>
  <c r="S609"/>
  <c r="S601"/>
  <c r="S564"/>
  <c r="S594"/>
  <c r="S583"/>
  <c r="S587"/>
  <c r="S568"/>
  <c r="S612"/>
  <c r="S611"/>
  <c r="S619"/>
  <c r="S407"/>
  <c r="S457" s="1"/>
  <c r="S613"/>
  <c r="S620"/>
  <c r="AK30" i="28"/>
  <c r="AL321" i="20"/>
  <c r="AL399" s="1"/>
  <c r="AL448" s="1"/>
  <c r="AL286"/>
  <c r="AL340"/>
  <c r="R339"/>
  <c r="R287" s="1"/>
  <c r="CK205"/>
  <c r="BO545"/>
  <c r="CK545" s="1"/>
  <c r="BI121"/>
  <c r="BI75"/>
  <c r="BH143"/>
  <c r="BH99"/>
  <c r="CH174"/>
  <c r="BL172"/>
  <c r="CH172" s="1"/>
  <c r="BH112"/>
  <c r="BG90"/>
  <c r="BH66"/>
  <c r="BG134"/>
  <c r="AR326"/>
  <c r="AR403" s="1"/>
  <c r="AR452" s="1"/>
  <c r="AR389"/>
  <c r="AR441" s="1"/>
  <c r="AV389"/>
  <c r="AV441" s="1"/>
  <c r="AV326"/>
  <c r="AV403" s="1"/>
  <c r="AV452" s="1"/>
  <c r="BI491"/>
  <c r="AU321"/>
  <c r="AU399" s="1"/>
  <c r="AU448" s="1"/>
  <c r="AU340"/>
  <c r="AT30" i="28"/>
  <c r="AU475" i="20"/>
  <c r="AU286"/>
  <c r="AU319"/>
  <c r="AU396"/>
  <c r="AU320"/>
  <c r="AU605"/>
  <c r="AU613"/>
  <c r="AU576"/>
  <c r="AU574"/>
  <c r="AU601"/>
  <c r="AU591"/>
  <c r="AU580"/>
  <c r="AU570"/>
  <c r="AU464"/>
  <c r="AU577"/>
  <c r="AU572"/>
  <c r="AU596"/>
  <c r="AU599"/>
  <c r="AU566"/>
  <c r="AU616"/>
  <c r="AU627"/>
  <c r="AU612"/>
  <c r="AU608"/>
  <c r="AU417"/>
  <c r="AU565"/>
  <c r="AU431"/>
  <c r="AU607"/>
  <c r="AU582"/>
  <c r="AU604"/>
  <c r="AU418"/>
  <c r="AU593"/>
  <c r="AU567"/>
  <c r="AU609"/>
  <c r="AU578"/>
  <c r="AU569"/>
  <c r="AU598"/>
  <c r="AU611"/>
  <c r="AU584"/>
  <c r="AU583"/>
  <c r="AU600"/>
  <c r="AU597"/>
  <c r="AU564"/>
  <c r="AU571"/>
  <c r="AU595"/>
  <c r="AU617"/>
  <c r="AU626"/>
  <c r="AU587"/>
  <c r="AU575"/>
  <c r="AU623"/>
  <c r="AU573"/>
  <c r="AU420"/>
  <c r="AU408"/>
  <c r="AU459" s="1"/>
  <c r="AU615"/>
  <c r="AU625"/>
  <c r="AU624"/>
  <c r="AU579"/>
  <c r="AT25" i="28"/>
  <c r="AU568" i="20"/>
  <c r="AU586"/>
  <c r="AU594"/>
  <c r="AU621"/>
  <c r="AU622"/>
  <c r="AU581"/>
  <c r="AU606"/>
  <c r="AU585"/>
  <c r="AU407"/>
  <c r="AU457" s="1"/>
  <c r="AU619"/>
  <c r="AU392"/>
  <c r="AU620"/>
  <c r="AU589"/>
  <c r="Q412"/>
  <c r="Q411"/>
  <c r="N339"/>
  <c r="N287" s="1"/>
  <c r="AA411"/>
  <c r="AA412"/>
  <c r="K619"/>
  <c r="K579"/>
  <c r="K605"/>
  <c r="K577"/>
  <c r="K572"/>
  <c r="K593"/>
  <c r="K581"/>
  <c r="K571"/>
  <c r="K595"/>
  <c r="K565"/>
  <c r="K589"/>
  <c r="K570"/>
  <c r="K431"/>
  <c r="K564"/>
  <c r="K420"/>
  <c r="K594"/>
  <c r="K580"/>
  <c r="K598"/>
  <c r="K568"/>
  <c r="K596"/>
  <c r="K623"/>
  <c r="K573"/>
  <c r="K606"/>
  <c r="K566"/>
  <c r="K575"/>
  <c r="K617"/>
  <c r="K587"/>
  <c r="K609"/>
  <c r="K584"/>
  <c r="K418"/>
  <c r="K626"/>
  <c r="K578"/>
  <c r="K616"/>
  <c r="K576"/>
  <c r="K624"/>
  <c r="K597"/>
  <c r="K608"/>
  <c r="K621"/>
  <c r="K615"/>
  <c r="K613"/>
  <c r="K627"/>
  <c r="K408"/>
  <c r="K459" s="1"/>
  <c r="K585"/>
  <c r="K417"/>
  <c r="K582"/>
  <c r="K586"/>
  <c r="K407"/>
  <c r="K457" s="1"/>
  <c r="K583"/>
  <c r="K604"/>
  <c r="K574"/>
  <c r="K620"/>
  <c r="K591"/>
  <c r="K392"/>
  <c r="K607"/>
  <c r="K612"/>
  <c r="K611"/>
  <c r="K625"/>
  <c r="K464"/>
  <c r="K569"/>
  <c r="K567"/>
  <c r="K601"/>
  <c r="K599"/>
  <c r="K600"/>
  <c r="K622"/>
  <c r="AF611"/>
  <c r="AF617"/>
  <c r="AF596"/>
  <c r="AF418"/>
  <c r="AF572"/>
  <c r="AF575"/>
  <c r="AF573"/>
  <c r="AF593"/>
  <c r="AF464"/>
  <c r="AF581"/>
  <c r="AF594"/>
  <c r="AF579"/>
  <c r="AF622"/>
  <c r="AF392"/>
  <c r="AF587"/>
  <c r="AF621"/>
  <c r="AF580"/>
  <c r="AF605"/>
  <c r="AF627"/>
  <c r="AF570"/>
  <c r="AF408"/>
  <c r="AF459" s="1"/>
  <c r="AF623"/>
  <c r="AF431"/>
  <c r="AF567"/>
  <c r="AF591"/>
  <c r="AF597"/>
  <c r="AF565"/>
  <c r="AF574"/>
  <c r="AF586"/>
  <c r="AF569"/>
  <c r="AF576"/>
  <c r="AF582"/>
  <c r="AF607"/>
  <c r="AF625"/>
  <c r="AF595"/>
  <c r="AF417"/>
  <c r="AF599"/>
  <c r="AF624"/>
  <c r="AF606"/>
  <c r="AF589"/>
  <c r="AF598"/>
  <c r="AF577"/>
  <c r="AF609"/>
  <c r="AF616"/>
  <c r="AF568"/>
  <c r="AF608"/>
  <c r="AF601"/>
  <c r="AF619"/>
  <c r="AF571"/>
  <c r="AF615"/>
  <c r="AF420"/>
  <c r="AF584"/>
  <c r="AF566"/>
  <c r="AF604"/>
  <c r="AF600"/>
  <c r="AF585"/>
  <c r="AF564"/>
  <c r="AF612"/>
  <c r="AF407"/>
  <c r="AF457" s="1"/>
  <c r="AF578"/>
  <c r="AF583"/>
  <c r="AF626"/>
  <c r="AF620"/>
  <c r="AF613"/>
  <c r="AF412"/>
  <c r="AF411"/>
  <c r="AK339"/>
  <c r="AK287" s="1"/>
  <c r="AT411"/>
  <c r="AT412"/>
  <c r="AT582"/>
  <c r="AT564"/>
  <c r="AT574"/>
  <c r="AT407"/>
  <c r="AT457" s="1"/>
  <c r="AT617"/>
  <c r="AT606"/>
  <c r="AT593"/>
  <c r="AT616"/>
  <c r="AT623"/>
  <c r="AT608"/>
  <c r="AT565"/>
  <c r="AT619"/>
  <c r="AT598"/>
  <c r="AT581"/>
  <c r="AT609"/>
  <c r="AT589"/>
  <c r="AT597"/>
  <c r="AT570"/>
  <c r="AT605"/>
  <c r="AT420"/>
  <c r="AT586"/>
  <c r="AT417"/>
  <c r="AT464"/>
  <c r="AT432" s="1"/>
  <c r="AT622"/>
  <c r="AT587"/>
  <c r="AT615"/>
  <c r="AT596"/>
  <c r="AS25" i="28"/>
  <c r="AT576" i="20"/>
  <c r="AT626"/>
  <c r="AT627"/>
  <c r="AT612"/>
  <c r="AT591"/>
  <c r="AT600"/>
  <c r="AT625"/>
  <c r="AT431"/>
  <c r="AT584"/>
  <c r="AT418"/>
  <c r="AT566"/>
  <c r="AT572"/>
  <c r="AT594"/>
  <c r="AT567"/>
  <c r="AT571"/>
  <c r="AT577"/>
  <c r="AT580"/>
  <c r="AT585"/>
  <c r="AT579"/>
  <c r="AT611"/>
  <c r="AT575"/>
  <c r="AT569"/>
  <c r="AT568"/>
  <c r="AT604"/>
  <c r="AT578"/>
  <c r="AT573"/>
  <c r="AT408"/>
  <c r="AT459" s="1"/>
  <c r="AT601"/>
  <c r="AT624"/>
  <c r="AT595"/>
  <c r="AT599"/>
  <c r="AT607"/>
  <c r="AT583"/>
  <c r="AT621"/>
  <c r="AT613"/>
  <c r="AT620"/>
  <c r="CO44"/>
  <c r="BT44"/>
  <c r="BS170"/>
  <c r="CO170" s="1"/>
  <c r="AS233" i="19"/>
  <c r="CI92" i="20"/>
  <c r="BM4" i="23"/>
  <c r="CI37" i="28"/>
  <c r="BN68"/>
  <c r="CI68" s="1"/>
  <c r="BN100"/>
  <c r="CI100" s="1"/>
  <c r="BA274" i="20"/>
  <c r="BA620" s="1"/>
  <c r="BA619"/>
  <c r="AZ451"/>
  <c r="CK461"/>
  <c r="BS542"/>
  <c r="CO542" s="1"/>
  <c r="CO202"/>
  <c r="BS269"/>
  <c r="H611"/>
  <c r="H579"/>
  <c r="H417"/>
  <c r="H577"/>
  <c r="H568"/>
  <c r="H576"/>
  <c r="H464"/>
  <c r="H594"/>
  <c r="H581"/>
  <c r="H573"/>
  <c r="H580"/>
  <c r="H587"/>
  <c r="H585"/>
  <c r="H600"/>
  <c r="H591"/>
  <c r="H408"/>
  <c r="H459" s="1"/>
  <c r="H616"/>
  <c r="H570"/>
  <c r="H595"/>
  <c r="H575"/>
  <c r="H593"/>
  <c r="H569"/>
  <c r="H596"/>
  <c r="H607"/>
  <c r="H565"/>
  <c r="H606"/>
  <c r="H589"/>
  <c r="H567"/>
  <c r="H609"/>
  <c r="H623"/>
  <c r="H615"/>
  <c r="H392"/>
  <c r="H582"/>
  <c r="H418"/>
  <c r="H601"/>
  <c r="H599"/>
  <c r="H566"/>
  <c r="H571"/>
  <c r="H625"/>
  <c r="H431"/>
  <c r="H598"/>
  <c r="H605"/>
  <c r="H627"/>
  <c r="H578"/>
  <c r="H612"/>
  <c r="H613"/>
  <c r="H584"/>
  <c r="H624"/>
  <c r="H597"/>
  <c r="H586"/>
  <c r="H420"/>
  <c r="H608"/>
  <c r="H583"/>
  <c r="H626"/>
  <c r="H572"/>
  <c r="H617"/>
  <c r="H604"/>
  <c r="H621"/>
  <c r="H574"/>
  <c r="H622"/>
  <c r="H564"/>
  <c r="H407"/>
  <c r="H457" s="1"/>
  <c r="H619"/>
  <c r="H620"/>
  <c r="H411"/>
  <c r="H412"/>
  <c r="AI601"/>
  <c r="AI565"/>
  <c r="AI615"/>
  <c r="AI418"/>
  <c r="AI605"/>
  <c r="AI579"/>
  <c r="AI623"/>
  <c r="AI585"/>
  <c r="AI606"/>
  <c r="AI586"/>
  <c r="AI617"/>
  <c r="AI464"/>
  <c r="AI432" s="1"/>
  <c r="AI593"/>
  <c r="AI581"/>
  <c r="AI392"/>
  <c r="AI611"/>
  <c r="AI569"/>
  <c r="AI599"/>
  <c r="AI596"/>
  <c r="AI627"/>
  <c r="AI622"/>
  <c r="AI589"/>
  <c r="AI587"/>
  <c r="AI578"/>
  <c r="AI600"/>
  <c r="AI604"/>
  <c r="AI609"/>
  <c r="AI591"/>
  <c r="AI580"/>
  <c r="AI624"/>
  <c r="AI608"/>
  <c r="AI571"/>
  <c r="AI567"/>
  <c r="AI598"/>
  <c r="AI577"/>
  <c r="AI570"/>
  <c r="AI583"/>
  <c r="AI408"/>
  <c r="AI459" s="1"/>
  <c r="AI616"/>
  <c r="AI420"/>
  <c r="AI574"/>
  <c r="AI597"/>
  <c r="AI625"/>
  <c r="AI626"/>
  <c r="AI572"/>
  <c r="AI595"/>
  <c r="AI573"/>
  <c r="AI575"/>
  <c r="AI582"/>
  <c r="AI621"/>
  <c r="AI568"/>
  <c r="AI576"/>
  <c r="AI607"/>
  <c r="AI431"/>
  <c r="AI594"/>
  <c r="AI417"/>
  <c r="AI612"/>
  <c r="AI407"/>
  <c r="AI457" s="1"/>
  <c r="AI566"/>
  <c r="AI619"/>
  <c r="AI584"/>
  <c r="AI613"/>
  <c r="AI564"/>
  <c r="AI620"/>
  <c r="AI286"/>
  <c r="AI340"/>
  <c r="AI321"/>
  <c r="AI399" s="1"/>
  <c r="AI448" s="1"/>
  <c r="AH30" i="28"/>
  <c r="G286" i="20"/>
  <c r="G340"/>
  <c r="F30" i="28"/>
  <c r="G321" i="20"/>
  <c r="G399" s="1"/>
  <c r="G448" s="1"/>
  <c r="AJ411"/>
  <c r="AJ412"/>
  <c r="AI30" i="28"/>
  <c r="AJ340" i="20"/>
  <c r="AJ286"/>
  <c r="AJ321"/>
  <c r="AJ399" s="1"/>
  <c r="AJ448" s="1"/>
  <c r="M339"/>
  <c r="M287" s="1"/>
  <c r="P613"/>
  <c r="P564"/>
  <c r="P584"/>
  <c r="P579"/>
  <c r="P611"/>
  <c r="P591"/>
  <c r="P604"/>
  <c r="P627"/>
  <c r="P565"/>
  <c r="P597"/>
  <c r="P572"/>
  <c r="P594"/>
  <c r="P571"/>
  <c r="P601"/>
  <c r="P616"/>
  <c r="P615"/>
  <c r="P566"/>
  <c r="P578"/>
  <c r="P417"/>
  <c r="P583"/>
  <c r="P605"/>
  <c r="P621"/>
  <c r="P577"/>
  <c r="P418"/>
  <c r="P408"/>
  <c r="P459" s="1"/>
  <c r="P593"/>
  <c r="P464"/>
  <c r="P432" s="1"/>
  <c r="P609"/>
  <c r="P573"/>
  <c r="P626"/>
  <c r="P598"/>
  <c r="P570"/>
  <c r="P575"/>
  <c r="P567"/>
  <c r="P569"/>
  <c r="P625"/>
  <c r="P586"/>
  <c r="P600"/>
  <c r="P617"/>
  <c r="P581"/>
  <c r="P595"/>
  <c r="P574"/>
  <c r="P623"/>
  <c r="P622"/>
  <c r="P585"/>
  <c r="P624"/>
  <c r="P607"/>
  <c r="P392"/>
  <c r="P612"/>
  <c r="P596"/>
  <c r="P568"/>
  <c r="P589"/>
  <c r="P606"/>
  <c r="P608"/>
  <c r="P576"/>
  <c r="P599"/>
  <c r="P580"/>
  <c r="P587"/>
  <c r="P582"/>
  <c r="P431"/>
  <c r="P420"/>
  <c r="P619"/>
  <c r="P407"/>
  <c r="P457" s="1"/>
  <c r="P620"/>
  <c r="P339"/>
  <c r="P287" s="1"/>
  <c r="AP584"/>
  <c r="AP569"/>
  <c r="AP611"/>
  <c r="AP589"/>
  <c r="AP601"/>
  <c r="AP568"/>
  <c r="AP572"/>
  <c r="AP578"/>
  <c r="AP595"/>
  <c r="AP599"/>
  <c r="AP587"/>
  <c r="AP586"/>
  <c r="AP581"/>
  <c r="AP627"/>
  <c r="AP593"/>
  <c r="AP606"/>
  <c r="AP621"/>
  <c r="AP600"/>
  <c r="AP577"/>
  <c r="AP591"/>
  <c r="AP580"/>
  <c r="AP609"/>
  <c r="AP616"/>
  <c r="AP617"/>
  <c r="AP464"/>
  <c r="AP605"/>
  <c r="AP607"/>
  <c r="AP582"/>
  <c r="AP596"/>
  <c r="AP431"/>
  <c r="AP420"/>
  <c r="AP583"/>
  <c r="AP571"/>
  <c r="AP570"/>
  <c r="AP622"/>
  <c r="AP579"/>
  <c r="AP625"/>
  <c r="AP576"/>
  <c r="AP604"/>
  <c r="AP573"/>
  <c r="AP417"/>
  <c r="AP615"/>
  <c r="AP408"/>
  <c r="AP459" s="1"/>
  <c r="AP566"/>
  <c r="AP612"/>
  <c r="AP624"/>
  <c r="AP594"/>
  <c r="AP418"/>
  <c r="AP585"/>
  <c r="AP626"/>
  <c r="AP567"/>
  <c r="AP597"/>
  <c r="AP565"/>
  <c r="AP598"/>
  <c r="AP574"/>
  <c r="AP623"/>
  <c r="AP575"/>
  <c r="AP608"/>
  <c r="AP564"/>
  <c r="AP407"/>
  <c r="AP457" s="1"/>
  <c r="AP619"/>
  <c r="AP613"/>
  <c r="AP620"/>
  <c r="Y339"/>
  <c r="Y287" s="1"/>
  <c r="AM619"/>
  <c r="AM564"/>
  <c r="AM620"/>
  <c r="AM573"/>
  <c r="AM583"/>
  <c r="AM565"/>
  <c r="AM418"/>
  <c r="AM612"/>
  <c r="AM577"/>
  <c r="AM587"/>
  <c r="AM622"/>
  <c r="AM586"/>
  <c r="AM623"/>
  <c r="AM625"/>
  <c r="AM566"/>
  <c r="AM572"/>
  <c r="AM464"/>
  <c r="AM432" s="1"/>
  <c r="AM611"/>
  <c r="AM584"/>
  <c r="AM589"/>
  <c r="AM582"/>
  <c r="AM596"/>
  <c r="AM576"/>
  <c r="AM600"/>
  <c r="AM627"/>
  <c r="AM593"/>
  <c r="AM392"/>
  <c r="AM607"/>
  <c r="AM579"/>
  <c r="AM617"/>
  <c r="AM615"/>
  <c r="AM578"/>
  <c r="AM407"/>
  <c r="AM457" s="1"/>
  <c r="AM585"/>
  <c r="AM594"/>
  <c r="AM570"/>
  <c r="AM571"/>
  <c r="AM580"/>
  <c r="AM591"/>
  <c r="AM575"/>
  <c r="AM609"/>
  <c r="AM599"/>
  <c r="AM621"/>
  <c r="AM598"/>
  <c r="AM604"/>
  <c r="AM601"/>
  <c r="AM605"/>
  <c r="AM616"/>
  <c r="AM574"/>
  <c r="AM595"/>
  <c r="AM568"/>
  <c r="AM597"/>
  <c r="AM417"/>
  <c r="AM608"/>
  <c r="AM581"/>
  <c r="AM624"/>
  <c r="AM567"/>
  <c r="AM431"/>
  <c r="AM408"/>
  <c r="AM459" s="1"/>
  <c r="AM626"/>
  <c r="AM569"/>
  <c r="AM420"/>
  <c r="AM606"/>
  <c r="AM613"/>
  <c r="AM339"/>
  <c r="AM287" s="1"/>
  <c r="BK69"/>
  <c r="BJ137"/>
  <c r="BJ93"/>
  <c r="BK115"/>
  <c r="CG115" s="1"/>
  <c r="CX48"/>
  <c r="BM226" i="19"/>
  <c r="BL232"/>
  <c r="BL234"/>
  <c r="AC61" i="23"/>
  <c r="CK510" i="20"/>
  <c r="CK273"/>
  <c r="BO274"/>
  <c r="BA323"/>
  <c r="BA324"/>
  <c r="CO438"/>
  <c r="CP6"/>
  <c r="BI473"/>
  <c r="CX44" i="28"/>
  <c r="CC104"/>
  <c r="CX104" s="1"/>
  <c r="BX1080" i="19"/>
  <c r="BW1182"/>
  <c r="CM62" i="20"/>
  <c r="BR108"/>
  <c r="CN108" s="1"/>
  <c r="BQ130"/>
  <c r="CM130" s="1"/>
  <c r="BQ86"/>
  <c r="CM86" s="1"/>
  <c r="BR62"/>
  <c r="CD1075" i="19"/>
  <c r="CC1163"/>
  <c r="CC1186" s="1"/>
  <c r="X407" i="20"/>
  <c r="X457" s="1"/>
  <c r="X392"/>
  <c r="X584"/>
  <c r="X601"/>
  <c r="X597"/>
  <c r="X615"/>
  <c r="X582"/>
  <c r="X625"/>
  <c r="X581"/>
  <c r="X573"/>
  <c r="X608"/>
  <c r="X464"/>
  <c r="X432" s="1"/>
  <c r="X576"/>
  <c r="X591"/>
  <c r="X616"/>
  <c r="X564"/>
  <c r="X620"/>
  <c r="X578"/>
  <c r="X622"/>
  <c r="X571"/>
  <c r="X565"/>
  <c r="X567"/>
  <c r="X569"/>
  <c r="X566"/>
  <c r="X574"/>
  <c r="X606"/>
  <c r="X408"/>
  <c r="X459" s="1"/>
  <c r="X624"/>
  <c r="X594"/>
  <c r="X593"/>
  <c r="X596"/>
  <c r="X611"/>
  <c r="X607"/>
  <c r="X604"/>
  <c r="X599"/>
  <c r="X623"/>
  <c r="X595"/>
  <c r="X612"/>
  <c r="X600"/>
  <c r="X583"/>
  <c r="X418"/>
  <c r="X586"/>
  <c r="X587"/>
  <c r="X431"/>
  <c r="X617"/>
  <c r="X570"/>
  <c r="X621"/>
  <c r="X420"/>
  <c r="X619"/>
  <c r="X613"/>
  <c r="X577"/>
  <c r="X598"/>
  <c r="X579"/>
  <c r="X585"/>
  <c r="X417"/>
  <c r="X568"/>
  <c r="X627"/>
  <c r="X575"/>
  <c r="X572"/>
  <c r="X605"/>
  <c r="X626"/>
  <c r="X580"/>
  <c r="X609"/>
  <c r="X589"/>
  <c r="Z339"/>
  <c r="Z287" s="1"/>
  <c r="L412"/>
  <c r="L411"/>
  <c r="L339"/>
  <c r="L287" s="1"/>
  <c r="AN412"/>
  <c r="AN411"/>
  <c r="AN587"/>
  <c r="AN586"/>
  <c r="AN575"/>
  <c r="AN604"/>
  <c r="AN573"/>
  <c r="AN595"/>
  <c r="AN568"/>
  <c r="AN571"/>
  <c r="AN578"/>
  <c r="AN464"/>
  <c r="AN594"/>
  <c r="AN418"/>
  <c r="AN408"/>
  <c r="AN459" s="1"/>
  <c r="AN611"/>
  <c r="AN605"/>
  <c r="AN621"/>
  <c r="AN417"/>
  <c r="AN585"/>
  <c r="AN607"/>
  <c r="AN596"/>
  <c r="AN431"/>
  <c r="AN600"/>
  <c r="AN582"/>
  <c r="AN581"/>
  <c r="AN574"/>
  <c r="AN576"/>
  <c r="AN591"/>
  <c r="AN617"/>
  <c r="AN569"/>
  <c r="AN597"/>
  <c r="AN572"/>
  <c r="AN625"/>
  <c r="AN567"/>
  <c r="AN626"/>
  <c r="AN580"/>
  <c r="AN599"/>
  <c r="AN606"/>
  <c r="AN565"/>
  <c r="AN615"/>
  <c r="AN598"/>
  <c r="AN624"/>
  <c r="AN616"/>
  <c r="AN593"/>
  <c r="AN622"/>
  <c r="AN570"/>
  <c r="AN577"/>
  <c r="AN583"/>
  <c r="AN609"/>
  <c r="AN608"/>
  <c r="AN627"/>
  <c r="AN623"/>
  <c r="AN579"/>
  <c r="AN601"/>
  <c r="AN612"/>
  <c r="AN619"/>
  <c r="AN392"/>
  <c r="AN420"/>
  <c r="AN566"/>
  <c r="AN407"/>
  <c r="AN457" s="1"/>
  <c r="AN613"/>
  <c r="AN620"/>
  <c r="AN589"/>
  <c r="AN564"/>
  <c r="AN584"/>
  <c r="T583"/>
  <c r="T572"/>
  <c r="T408"/>
  <c r="T459" s="1"/>
  <c r="T567"/>
  <c r="T587"/>
  <c r="T566"/>
  <c r="T617"/>
  <c r="T612"/>
  <c r="T585"/>
  <c r="T464"/>
  <c r="T432" s="1"/>
  <c r="T605"/>
  <c r="T565"/>
  <c r="T623"/>
  <c r="T571"/>
  <c r="T586"/>
  <c r="T573"/>
  <c r="T627"/>
  <c r="T625"/>
  <c r="T616"/>
  <c r="T608"/>
  <c r="T607"/>
  <c r="T580"/>
  <c r="T569"/>
  <c r="T604"/>
  <c r="T599"/>
  <c r="T593"/>
  <c r="T606"/>
  <c r="T600"/>
  <c r="T575"/>
  <c r="T576"/>
  <c r="T591"/>
  <c r="T597"/>
  <c r="T582"/>
  <c r="T596"/>
  <c r="T574"/>
  <c r="T621"/>
  <c r="T595"/>
  <c r="T418"/>
  <c r="T570"/>
  <c r="T564"/>
  <c r="T594"/>
  <c r="T626"/>
  <c r="T581"/>
  <c r="T624"/>
  <c r="T420"/>
  <c r="T392"/>
  <c r="T568"/>
  <c r="T579"/>
  <c r="T578"/>
  <c r="T601"/>
  <c r="T615"/>
  <c r="T598"/>
  <c r="T609"/>
  <c r="T431"/>
  <c r="T577"/>
  <c r="T417"/>
  <c r="T622"/>
  <c r="T611"/>
  <c r="T584"/>
  <c r="T619"/>
  <c r="T407"/>
  <c r="T457" s="1"/>
  <c r="T613"/>
  <c r="T589"/>
  <c r="T620"/>
  <c r="T339"/>
  <c r="T287" s="1"/>
  <c r="AR412"/>
  <c r="AR411"/>
  <c r="AS412"/>
  <c r="AS411"/>
  <c r="AV37" i="23"/>
  <c r="AV303" i="20"/>
  <c r="AG411"/>
  <c r="AG412"/>
  <c r="CX49"/>
  <c r="CM15"/>
  <c r="BR15"/>
  <c r="AY79"/>
  <c r="AY176" s="1"/>
  <c r="AY178" s="1"/>
  <c r="W340"/>
  <c r="W286"/>
  <c r="V30" i="28"/>
  <c r="W321" i="20"/>
  <c r="W399" s="1"/>
  <c r="W448" s="1"/>
  <c r="AH339"/>
  <c r="AH287" s="1"/>
  <c r="AD411"/>
  <c r="AD412"/>
  <c r="AD340"/>
  <c r="AC30" i="28"/>
  <c r="AD286" i="20"/>
  <c r="AD321"/>
  <c r="AD399" s="1"/>
  <c r="AD448" s="1"/>
  <c r="AO340"/>
  <c r="AN30" i="28"/>
  <c r="AO286" i="20"/>
  <c r="AO321"/>
  <c r="AO399" s="1"/>
  <c r="AO448" s="1"/>
  <c r="O321"/>
  <c r="O399" s="1"/>
  <c r="O448" s="1"/>
  <c r="N30" i="28"/>
  <c r="O286" i="20"/>
  <c r="O340"/>
  <c r="I339"/>
  <c r="I287" s="1"/>
  <c r="S339"/>
  <c r="S287" s="1"/>
  <c r="AL339"/>
  <c r="AL287" s="1"/>
  <c r="R611"/>
  <c r="R584"/>
  <c r="R568"/>
  <c r="R576"/>
  <c r="R597"/>
  <c r="R567"/>
  <c r="R607"/>
  <c r="R604"/>
  <c r="R578"/>
  <c r="R606"/>
  <c r="R417"/>
  <c r="R565"/>
  <c r="R595"/>
  <c r="R623"/>
  <c r="R601"/>
  <c r="R600"/>
  <c r="R569"/>
  <c r="R571"/>
  <c r="R574"/>
  <c r="R624"/>
  <c r="R622"/>
  <c r="R587"/>
  <c r="R585"/>
  <c r="R599"/>
  <c r="R596"/>
  <c r="R577"/>
  <c r="R431"/>
  <c r="R627"/>
  <c r="R625"/>
  <c r="R626"/>
  <c r="R605"/>
  <c r="R418"/>
  <c r="R572"/>
  <c r="R575"/>
  <c r="R617"/>
  <c r="R582"/>
  <c r="R583"/>
  <c r="R609"/>
  <c r="R593"/>
  <c r="R616"/>
  <c r="R608"/>
  <c r="R420"/>
  <c r="R570"/>
  <c r="R615"/>
  <c r="R612"/>
  <c r="R586"/>
  <c r="R579"/>
  <c r="R573"/>
  <c r="R621"/>
  <c r="R392"/>
  <c r="R613"/>
  <c r="R619"/>
  <c r="R407"/>
  <c r="R457" s="1"/>
  <c r="R594"/>
  <c r="R598"/>
  <c r="R408"/>
  <c r="R459" s="1"/>
  <c r="R464"/>
  <c r="R581"/>
  <c r="R580"/>
  <c r="R591"/>
  <c r="R566"/>
  <c r="R620"/>
  <c r="R564"/>
  <c r="R589"/>
  <c r="F340"/>
  <c r="F341" s="1"/>
  <c r="F286"/>
  <c r="E30" i="28"/>
  <c r="F564" i="20"/>
  <c r="F579"/>
  <c r="F584"/>
  <c r="F566"/>
  <c r="F569"/>
  <c r="F585"/>
  <c r="F576"/>
  <c r="F418"/>
  <c r="F464"/>
  <c r="F432" s="1"/>
  <c r="F608"/>
  <c r="F605"/>
  <c r="F417"/>
  <c r="F581"/>
  <c r="F565"/>
  <c r="F595"/>
  <c r="F601"/>
  <c r="F567"/>
  <c r="F582"/>
  <c r="F407"/>
  <c r="F457" s="1"/>
  <c r="F619"/>
  <c r="F578"/>
  <c r="F591"/>
  <c r="F587"/>
  <c r="F586"/>
  <c r="F615"/>
  <c r="F589"/>
  <c r="F596"/>
  <c r="F570"/>
  <c r="F431"/>
  <c r="F600"/>
  <c r="F624"/>
  <c r="F597"/>
  <c r="F575"/>
  <c r="F580"/>
  <c r="F568"/>
  <c r="F623"/>
  <c r="F609"/>
  <c r="F621"/>
  <c r="F594"/>
  <c r="F606"/>
  <c r="F625"/>
  <c r="F599"/>
  <c r="F627"/>
  <c r="F626"/>
  <c r="F607"/>
  <c r="F613"/>
  <c r="F572"/>
  <c r="F574"/>
  <c r="F622"/>
  <c r="F408"/>
  <c r="F459" s="1"/>
  <c r="F577"/>
  <c r="F617"/>
  <c r="F598"/>
  <c r="F583"/>
  <c r="F573"/>
  <c r="F604"/>
  <c r="F593"/>
  <c r="F571"/>
  <c r="F616"/>
  <c r="F612"/>
  <c r="F620"/>
  <c r="F611"/>
  <c r="V321"/>
  <c r="V399" s="1"/>
  <c r="V448" s="1"/>
  <c r="U30" i="28"/>
  <c r="V340" i="20"/>
  <c r="V286"/>
  <c r="V564"/>
  <c r="V613"/>
  <c r="V407"/>
  <c r="V457" s="1"/>
  <c r="V611"/>
  <c r="V576"/>
  <c r="V392"/>
  <c r="V619"/>
  <c r="V623"/>
  <c r="V604"/>
  <c r="V464"/>
  <c r="V600"/>
  <c r="V620"/>
  <c r="V595"/>
  <c r="V598"/>
  <c r="V617"/>
  <c r="V625"/>
  <c r="V626"/>
  <c r="V612"/>
  <c r="V431"/>
  <c r="V586"/>
  <c r="V607"/>
  <c r="V572"/>
  <c r="V581"/>
  <c r="V570"/>
  <c r="V599"/>
  <c r="V605"/>
  <c r="V582"/>
  <c r="V587"/>
  <c r="V566"/>
  <c r="V579"/>
  <c r="V596"/>
  <c r="V606"/>
  <c r="V624"/>
  <c r="V577"/>
  <c r="V622"/>
  <c r="V571"/>
  <c r="V627"/>
  <c r="V597"/>
  <c r="V568"/>
  <c r="V601"/>
  <c r="V580"/>
  <c r="V578"/>
  <c r="V417"/>
  <c r="V585"/>
  <c r="V615"/>
  <c r="V621"/>
  <c r="V609"/>
  <c r="V420"/>
  <c r="V573"/>
  <c r="V569"/>
  <c r="V408"/>
  <c r="V459" s="1"/>
  <c r="V575"/>
  <c r="V616"/>
  <c r="V608"/>
  <c r="V418"/>
  <c r="V594"/>
  <c r="V591"/>
  <c r="V565"/>
  <c r="V589"/>
  <c r="V574"/>
  <c r="V567"/>
  <c r="V593"/>
  <c r="V583"/>
  <c r="V584"/>
  <c r="AL386"/>
  <c r="AL438" s="1"/>
  <c r="AK6"/>
  <c r="CW348"/>
  <c r="CL351"/>
  <c r="BP551"/>
  <c r="CL551" s="1"/>
  <c r="BQ351"/>
  <c r="AZ450"/>
  <c r="CK442"/>
  <c r="BY1071" i="19"/>
  <c r="BX17" i="20"/>
  <c r="BX1159" i="19"/>
  <c r="BX1158" s="1"/>
  <c r="BX1176"/>
  <c r="Q606" i="20"/>
  <c r="Q607"/>
  <c r="Q627"/>
  <c r="Q580"/>
  <c r="Q574"/>
  <c r="Q578"/>
  <c r="Q567"/>
  <c r="Q605"/>
  <c r="Q576"/>
  <c r="Q617"/>
  <c r="Q594"/>
  <c r="Q623"/>
  <c r="Q577"/>
  <c r="Q621"/>
  <c r="Q600"/>
  <c r="Q593"/>
  <c r="Q408"/>
  <c r="Q459" s="1"/>
  <c r="Q418"/>
  <c r="Q571"/>
  <c r="Q583"/>
  <c r="Q611"/>
  <c r="Q579"/>
  <c r="Q589"/>
  <c r="Q572"/>
  <c r="Q599"/>
  <c r="Q585"/>
  <c r="Q565"/>
  <c r="Q573"/>
  <c r="Q596"/>
  <c r="Q622"/>
  <c r="Q608"/>
  <c r="Q569"/>
  <c r="Q591"/>
  <c r="Q624"/>
  <c r="Q568"/>
  <c r="Q625"/>
  <c r="Q616"/>
  <c r="Q575"/>
  <c r="Q464"/>
  <c r="Q417"/>
  <c r="Q601"/>
  <c r="Q615"/>
  <c r="Q598"/>
  <c r="Q584"/>
  <c r="Q587"/>
  <c r="Q431"/>
  <c r="Q586"/>
  <c r="Q570"/>
  <c r="Q581"/>
  <c r="Q597"/>
  <c r="Q609"/>
  <c r="Q582"/>
  <c r="Q604"/>
  <c r="Q595"/>
  <c r="Q626"/>
  <c r="Q420"/>
  <c r="Q612"/>
  <c r="Q566"/>
  <c r="Q407"/>
  <c r="Q457" s="1"/>
  <c r="Q392"/>
  <c r="Q564"/>
  <c r="Q619"/>
  <c r="Q620"/>
  <c r="Q613"/>
  <c r="AD30" i="28"/>
  <c r="AE321" i="20"/>
  <c r="AE399" s="1"/>
  <c r="AE448" s="1"/>
  <c r="AE340"/>
  <c r="AE286"/>
  <c r="U339"/>
  <c r="U287" s="1"/>
  <c r="K340"/>
  <c r="K321"/>
  <c r="K399" s="1"/>
  <c r="K448" s="1"/>
  <c r="K286"/>
  <c r="J30" i="28"/>
  <c r="AT286" i="20"/>
  <c r="AS30" i="28"/>
  <c r="AT340" i="20"/>
  <c r="AT475"/>
  <c r="AT321"/>
  <c r="AT399" s="1"/>
  <c r="AT448" s="1"/>
  <c r="AT319"/>
  <c r="AT320"/>
  <c r="AT396"/>
  <c r="AZ231" i="19"/>
  <c r="BA232"/>
  <c r="CG64" i="23"/>
  <c r="BJ64"/>
  <c r="BY1076" i="19"/>
  <c r="BX20" i="20"/>
  <c r="AX106" i="28"/>
  <c r="AY74"/>
  <c r="CK404" i="20"/>
  <c r="BO453"/>
  <c r="AI2" i="28"/>
  <c r="AJ62"/>
  <c r="AJ24"/>
  <c r="BP217" i="19"/>
  <c r="BA407" i="20"/>
  <c r="BA458"/>
  <c r="BR201"/>
  <c r="BQ270"/>
  <c r="BQ541"/>
  <c r="CM541" s="1"/>
  <c r="CM201"/>
  <c r="BI458"/>
  <c r="CL269"/>
  <c r="J580"/>
  <c r="J583"/>
  <c r="J594"/>
  <c r="J570"/>
  <c r="J615"/>
  <c r="J572"/>
  <c r="J607"/>
  <c r="J578"/>
  <c r="J623"/>
  <c r="J597"/>
  <c r="J606"/>
  <c r="J589"/>
  <c r="J595"/>
  <c r="J591"/>
  <c r="J605"/>
  <c r="J565"/>
  <c r="J418"/>
  <c r="J625"/>
  <c r="J408"/>
  <c r="J459" s="1"/>
  <c r="J585"/>
  <c r="J577"/>
  <c r="J582"/>
  <c r="J464"/>
  <c r="J432" s="1"/>
  <c r="J586"/>
  <c r="J576"/>
  <c r="J431"/>
  <c r="J604"/>
  <c r="J417"/>
  <c r="J616"/>
  <c r="J624"/>
  <c r="J392"/>
  <c r="J617"/>
  <c r="J579"/>
  <c r="J593"/>
  <c r="J600"/>
  <c r="J571"/>
  <c r="J621"/>
  <c r="J601"/>
  <c r="J622"/>
  <c r="J598"/>
  <c r="J587"/>
  <c r="J609"/>
  <c r="J627"/>
  <c r="J584"/>
  <c r="J569"/>
  <c r="J599"/>
  <c r="J574"/>
  <c r="J581"/>
  <c r="J568"/>
  <c r="J573"/>
  <c r="J596"/>
  <c r="J567"/>
  <c r="J626"/>
  <c r="J608"/>
  <c r="J575"/>
  <c r="J420"/>
  <c r="J619"/>
  <c r="J612"/>
  <c r="J407"/>
  <c r="J457" s="1"/>
  <c r="J566"/>
  <c r="J620"/>
  <c r="J564"/>
  <c r="J613"/>
  <c r="J611"/>
  <c r="J339"/>
  <c r="J287" s="1"/>
  <c r="H339"/>
  <c r="H287" s="1"/>
  <c r="AI412"/>
  <c r="AI411"/>
  <c r="AI339"/>
  <c r="AI287" s="1"/>
  <c r="G411"/>
  <c r="G412"/>
  <c r="M412"/>
  <c r="M411"/>
  <c r="AP412"/>
  <c r="AP411"/>
  <c r="AP340"/>
  <c r="AP475"/>
  <c r="AP286"/>
  <c r="AO30" i="28"/>
  <c r="AP321" i="20"/>
  <c r="AP399" s="1"/>
  <c r="AP448" s="1"/>
  <c r="AP319"/>
  <c r="AP396"/>
  <c r="AP320"/>
  <c r="Y412"/>
  <c r="Y411"/>
  <c r="AQ411"/>
  <c r="AQ412"/>
  <c r="AQ475"/>
  <c r="AP30" i="28"/>
  <c r="AQ286" i="20"/>
  <c r="AQ321"/>
  <c r="AQ399" s="1"/>
  <c r="AQ448" s="1"/>
  <c r="AQ396"/>
  <c r="AQ320"/>
  <c r="AQ319"/>
  <c r="AQ340"/>
  <c r="AM411"/>
  <c r="AM412"/>
  <c r="AX326"/>
  <c r="AX403" s="1"/>
  <c r="AX452" s="1"/>
  <c r="AX389"/>
  <c r="AX441" s="1"/>
  <c r="CK422"/>
  <c r="BO458"/>
  <c r="P63" i="23"/>
  <c r="O65"/>
  <c r="O66" s="1"/>
  <c r="O67" s="1"/>
  <c r="CM173" i="20"/>
  <c r="BR173"/>
  <c r="AX319"/>
  <c r="AX396"/>
  <c r="AX323"/>
  <c r="AX401" s="1"/>
  <c r="AX450" s="1"/>
  <c r="AX324"/>
  <c r="AX402" s="1"/>
  <c r="AX451" s="1"/>
  <c r="AX320"/>
  <c r="CL377"/>
  <c r="BQ377"/>
  <c r="X339"/>
  <c r="X287" s="1"/>
  <c r="X340"/>
  <c r="X321"/>
  <c r="X399" s="1"/>
  <c r="X448" s="1"/>
  <c r="X286"/>
  <c r="W30" i="28"/>
  <c r="Z625" i="20"/>
  <c r="Z574"/>
  <c r="Z567"/>
  <c r="Z582"/>
  <c r="Z583"/>
  <c r="Z598"/>
  <c r="Z585"/>
  <c r="Z568"/>
  <c r="Z597"/>
  <c r="Z624"/>
  <c r="Z594"/>
  <c r="Z626"/>
  <c r="Z565"/>
  <c r="Z572"/>
  <c r="Z617"/>
  <c r="Z600"/>
  <c r="Z606"/>
  <c r="Z569"/>
  <c r="Z431"/>
  <c r="Z571"/>
  <c r="Z609"/>
  <c r="Z608"/>
  <c r="Z621"/>
  <c r="Z613"/>
  <c r="Z591"/>
  <c r="Z616"/>
  <c r="Z407"/>
  <c r="Z457" s="1"/>
  <c r="Z586"/>
  <c r="Z619"/>
  <c r="Z584"/>
  <c r="Z595"/>
  <c r="Z611"/>
  <c r="Z417"/>
  <c r="Z622"/>
  <c r="Z599"/>
  <c r="Z607"/>
  <c r="Z589"/>
  <c r="Z581"/>
  <c r="Z577"/>
  <c r="Z573"/>
  <c r="Z566"/>
  <c r="Z593"/>
  <c r="Z596"/>
  <c r="Z418"/>
  <c r="Z605"/>
  <c r="Z612"/>
  <c r="Z392"/>
  <c r="Z420"/>
  <c r="Z564"/>
  <c r="Z615"/>
  <c r="Z570"/>
  <c r="Z579"/>
  <c r="Z601"/>
  <c r="Z627"/>
  <c r="Z575"/>
  <c r="Z576"/>
  <c r="Z604"/>
  <c r="Z580"/>
  <c r="Z408"/>
  <c r="Z459" s="1"/>
  <c r="Z464"/>
  <c r="Z587"/>
  <c r="Z578"/>
  <c r="Z623"/>
  <c r="Z620"/>
  <c r="AC417"/>
  <c r="AC572"/>
  <c r="AC617"/>
  <c r="AC616"/>
  <c r="AC624"/>
  <c r="AC574"/>
  <c r="AC582"/>
  <c r="AC581"/>
  <c r="AC565"/>
  <c r="AC608"/>
  <c r="AC596"/>
  <c r="AC591"/>
  <c r="AC611"/>
  <c r="AC569"/>
  <c r="AC615"/>
  <c r="AC571"/>
  <c r="AC600"/>
  <c r="AC408"/>
  <c r="AC459" s="1"/>
  <c r="AC464"/>
  <c r="AC432" s="1"/>
  <c r="AC595"/>
  <c r="AC585"/>
  <c r="AC579"/>
  <c r="AC577"/>
  <c r="AC573"/>
  <c r="AC587"/>
  <c r="AC622"/>
  <c r="AC597"/>
  <c r="AC623"/>
  <c r="AC626"/>
  <c r="AC605"/>
  <c r="AC580"/>
  <c r="AC609"/>
  <c r="AC576"/>
  <c r="AC594"/>
  <c r="AC418"/>
  <c r="AC601"/>
  <c r="AC570"/>
  <c r="AC583"/>
  <c r="AC598"/>
  <c r="AC567"/>
  <c r="AC392"/>
  <c r="AC420"/>
  <c r="AC589"/>
  <c r="AC568"/>
  <c r="AC578"/>
  <c r="AC593"/>
  <c r="AC599"/>
  <c r="AC621"/>
  <c r="AC431"/>
  <c r="AC575"/>
  <c r="AC586"/>
  <c r="AC604"/>
  <c r="AC607"/>
  <c r="AC606"/>
  <c r="AC627"/>
  <c r="AC625"/>
  <c r="AC407"/>
  <c r="AC457" s="1"/>
  <c r="AC612"/>
  <c r="AC566"/>
  <c r="AC619"/>
  <c r="AC564"/>
  <c r="AC620"/>
  <c r="AC613"/>
  <c r="AC584"/>
  <c r="AN286"/>
  <c r="AN321"/>
  <c r="AN399" s="1"/>
  <c r="AN448" s="1"/>
  <c r="AN340"/>
  <c r="AM30" i="28"/>
  <c r="AN339" i="20"/>
  <c r="AN287" s="1"/>
  <c r="AB411"/>
  <c r="AB412"/>
  <c r="AR339"/>
  <c r="AR287" s="1"/>
  <c r="AR340"/>
  <c r="AR475"/>
  <c r="AQ30" i="28"/>
  <c r="AR321" i="20"/>
  <c r="AR399" s="1"/>
  <c r="AR448" s="1"/>
  <c r="AR286"/>
  <c r="AR396"/>
  <c r="AR392" s="1"/>
  <c r="AR320"/>
  <c r="AR319"/>
  <c r="AW328"/>
  <c r="AX329"/>
  <c r="AW412"/>
  <c r="T211"/>
  <c r="P211"/>
  <c r="S211"/>
  <c r="F211"/>
  <c r="K211"/>
  <c r="G211"/>
  <c r="Q211"/>
  <c r="AR211"/>
  <c r="W211"/>
  <c r="AE211"/>
  <c r="AS211"/>
  <c r="H211"/>
  <c r="H212" s="1"/>
  <c r="Z211"/>
  <c r="AP211"/>
  <c r="AG211"/>
  <c r="X211"/>
  <c r="J211"/>
  <c r="Y211"/>
  <c r="AI211"/>
  <c r="M211"/>
  <c r="AC211"/>
  <c r="AB211"/>
  <c r="N211"/>
  <c r="AK211"/>
  <c r="AD211"/>
  <c r="AD212" s="1"/>
  <c r="U211"/>
  <c r="AA211"/>
  <c r="AU211"/>
  <c r="I211"/>
  <c r="AO211"/>
  <c r="V211"/>
  <c r="L211"/>
  <c r="R211"/>
  <c r="O211"/>
  <c r="AJ211"/>
  <c r="AJ212" s="1"/>
  <c r="AQ211"/>
  <c r="AQ212" s="1"/>
  <c r="AT211"/>
  <c r="AN211"/>
  <c r="AF211"/>
  <c r="AM211"/>
  <c r="AL211"/>
  <c r="AH211"/>
  <c r="AG339"/>
  <c r="AG287" s="1"/>
  <c r="BR542"/>
  <c r="CN542" s="1"/>
  <c r="CN202"/>
  <c r="BR269"/>
  <c r="AZ325"/>
  <c r="AL296"/>
  <c r="AE296"/>
  <c r="AV432"/>
  <c r="BV1182" i="19"/>
  <c r="AB62" i="23"/>
  <c r="AB42" s="1"/>
  <c r="BN6" i="20" l="1"/>
  <c r="BM630"/>
  <c r="BM489"/>
  <c r="CI489" s="1"/>
  <c r="BM386"/>
  <c r="BM438" s="1"/>
  <c r="AB432"/>
  <c r="AW54" i="28"/>
  <c r="AW53"/>
  <c r="BB76"/>
  <c r="BB109"/>
  <c r="BC76"/>
  <c r="BX366" i="20"/>
  <c r="CS366"/>
  <c r="BY52"/>
  <c r="CT52"/>
  <c r="CA39"/>
  <c r="CW39" s="1"/>
  <c r="CB1091" i="19"/>
  <c r="CA1160"/>
  <c r="CA1183" s="1"/>
  <c r="CY31" i="20"/>
  <c r="CD31"/>
  <c r="CZ31" s="1"/>
  <c r="CV42"/>
  <c r="BJ67"/>
  <c r="BI135"/>
  <c r="BB77" i="28"/>
  <c r="BB110"/>
  <c r="CC30" i="20"/>
  <c r="CX30"/>
  <c r="CA50"/>
  <c r="CV50"/>
  <c r="BB78" i="28"/>
  <c r="BB111"/>
  <c r="BZ29" i="20"/>
  <c r="CU29"/>
  <c r="I212"/>
  <c r="AY320"/>
  <c r="CD271"/>
  <c r="CZ271" s="1"/>
  <c r="CY271"/>
  <c r="CA42"/>
  <c r="CB1093" i="19"/>
  <c r="CA1162"/>
  <c r="CA1185" s="1"/>
  <c r="BB74" i="28"/>
  <c r="BC74"/>
  <c r="BB106"/>
  <c r="AT212" i="20"/>
  <c r="R212"/>
  <c r="AY396"/>
  <c r="CQ383"/>
  <c r="CA1161" i="19"/>
  <c r="CA1184" s="1"/>
  <c r="CB1092"/>
  <c r="CB166" i="20"/>
  <c r="CW166"/>
  <c r="CB41"/>
  <c r="CC1095" i="19"/>
  <c r="CC13" i="20"/>
  <c r="CX13"/>
  <c r="BB75" i="28"/>
  <c r="BC75"/>
  <c r="BB107"/>
  <c r="BC77"/>
  <c r="BW110" i="20"/>
  <c r="CS110" s="1"/>
  <c r="CR64"/>
  <c r="BV88"/>
  <c r="CR88" s="1"/>
  <c r="BV132"/>
  <c r="CR132" s="1"/>
  <c r="CR149"/>
  <c r="BV131"/>
  <c r="BV87"/>
  <c r="CS363"/>
  <c r="BX363"/>
  <c r="BY363" s="1"/>
  <c r="BW35" i="23"/>
  <c r="BW36" s="1"/>
  <c r="BW307" i="20"/>
  <c r="CS307" s="1"/>
  <c r="BW149"/>
  <c r="BW413"/>
  <c r="BW561"/>
  <c r="CS561" s="1"/>
  <c r="BW63"/>
  <c r="BW64"/>
  <c r="CR413"/>
  <c r="BV463"/>
  <c r="CQ463"/>
  <c r="BU632"/>
  <c r="CP383"/>
  <c r="BV383"/>
  <c r="CQ259"/>
  <c r="BU505"/>
  <c r="CQ505" s="1"/>
  <c r="BV259"/>
  <c r="CQ365"/>
  <c r="BU38" i="23"/>
  <c r="BV365" i="20"/>
  <c r="BC114" i="28"/>
  <c r="CO306" i="20"/>
  <c r="BS305"/>
  <c r="BS174" s="1"/>
  <c r="AZ222" i="19"/>
  <c r="CM390" i="20"/>
  <c r="BQ434"/>
  <c r="BQ442"/>
  <c r="CM442" s="1"/>
  <c r="AZ220" i="19"/>
  <c r="CH486" i="20"/>
  <c r="BM486"/>
  <c r="BL479"/>
  <c r="AY226" i="19"/>
  <c r="AZ230"/>
  <c r="CJ509" i="20"/>
  <c r="BN512"/>
  <c r="CJ512" s="1"/>
  <c r="BY802" i="19"/>
  <c r="BZ802" s="1"/>
  <c r="CA802" s="1"/>
  <c r="CB802" s="1"/>
  <c r="CC802" s="1"/>
  <c r="CD802" s="1"/>
  <c r="BT297"/>
  <c r="BU297" s="1"/>
  <c r="BV297" s="1"/>
  <c r="BW297" s="1"/>
  <c r="BX297" s="1"/>
  <c r="BY297" s="1"/>
  <c r="BZ297" s="1"/>
  <c r="CA297" s="1"/>
  <c r="CB297" s="1"/>
  <c r="CC297" s="1"/>
  <c r="CD297" s="1"/>
  <c r="BU295"/>
  <c r="BV295" s="1"/>
  <c r="BW295" s="1"/>
  <c r="BX295" s="1"/>
  <c r="BY295" s="1"/>
  <c r="BZ295" s="1"/>
  <c r="CA295" s="1"/>
  <c r="CB295" s="1"/>
  <c r="CC295" s="1"/>
  <c r="CD295" s="1"/>
  <c r="BV265"/>
  <c r="BU214" i="20"/>
  <c r="CQ214" s="1"/>
  <c r="BT51" i="19"/>
  <c r="BU51" s="1"/>
  <c r="BV51" s="1"/>
  <c r="BW51" s="1"/>
  <c r="BX51" s="1"/>
  <c r="BY51" s="1"/>
  <c r="BZ51" s="1"/>
  <c r="CA51" s="1"/>
  <c r="CB51" s="1"/>
  <c r="CC51" s="1"/>
  <c r="CD51" s="1"/>
  <c r="BU50"/>
  <c r="BT306" i="20"/>
  <c r="AW110" i="28"/>
  <c r="AX77"/>
  <c r="AW109"/>
  <c r="AX76"/>
  <c r="CN305" i="20"/>
  <c r="BR390"/>
  <c r="BQ8" i="28"/>
  <c r="BR32" i="23"/>
  <c r="AZ223" i="19"/>
  <c r="AY217"/>
  <c r="AZ218"/>
  <c r="AC212" i="20"/>
  <c r="Z212"/>
  <c r="W212"/>
  <c r="T212"/>
  <c r="BO222" i="19"/>
  <c r="BP222" s="1"/>
  <c r="BQ222" s="1"/>
  <c r="BR222" s="1"/>
  <c r="BS222" s="1"/>
  <c r="CG479" i="20"/>
  <c r="CB835" i="19"/>
  <c r="CC53"/>
  <c r="AZ229"/>
  <c r="BA448" i="20"/>
  <c r="AZ224" i="19"/>
  <c r="BT37"/>
  <c r="BU37" s="1"/>
  <c r="BV37" s="1"/>
  <c r="BW37" s="1"/>
  <c r="BX37" s="1"/>
  <c r="BY37" s="1"/>
  <c r="BZ37" s="1"/>
  <c r="CA37" s="1"/>
  <c r="CB37" s="1"/>
  <c r="CC37" s="1"/>
  <c r="CD37" s="1"/>
  <c r="BU35"/>
  <c r="BV35" s="1"/>
  <c r="BW35" s="1"/>
  <c r="BX35" s="1"/>
  <c r="BY35" s="1"/>
  <c r="BZ35" s="1"/>
  <c r="CA35" s="1"/>
  <c r="CB35" s="1"/>
  <c r="CC35" s="1"/>
  <c r="CD35" s="1"/>
  <c r="BE313" i="20"/>
  <c r="AY483"/>
  <c r="AZ474"/>
  <c r="BE138"/>
  <c r="BF70"/>
  <c r="BF116"/>
  <c r="BE94"/>
  <c r="AW111" i="28"/>
  <c r="AX78"/>
  <c r="AW47"/>
  <c r="AW95"/>
  <c r="AW46"/>
  <c r="AX63"/>
  <c r="BN228" i="19"/>
  <c r="AZ26" i="28"/>
  <c r="AZ54" s="1"/>
  <c r="BA64"/>
  <c r="AZ96"/>
  <c r="AZ64"/>
  <c r="AZ50"/>
  <c r="BB448" i="20"/>
  <c r="AX225" i="19"/>
  <c r="AY221"/>
  <c r="AK212" i="20"/>
  <c r="BL98"/>
  <c r="BM74"/>
  <c r="CH74"/>
  <c r="BL142"/>
  <c r="CH142" s="1"/>
  <c r="BM120"/>
  <c r="CI120" s="1"/>
  <c r="BX125"/>
  <c r="CT125" s="1"/>
  <c r="BW103"/>
  <c r="CS103" s="1"/>
  <c r="BW81"/>
  <c r="CS81" s="1"/>
  <c r="CS14"/>
  <c r="BX14"/>
  <c r="CO364"/>
  <c r="BT364"/>
  <c r="CB8" i="23"/>
  <c r="CX25" i="20"/>
  <c r="CT367"/>
  <c r="BL232"/>
  <c r="BK233"/>
  <c r="CG232"/>
  <c r="BK332"/>
  <c r="BI31" i="28"/>
  <c r="BJ322" i="20"/>
  <c r="BW86" i="19"/>
  <c r="BV36" i="20"/>
  <c r="BU202"/>
  <c r="CQ202" s="1"/>
  <c r="AH432"/>
  <c r="AV53" i="28"/>
  <c r="BT269" i="20"/>
  <c r="CP269" s="1"/>
  <c r="BI400"/>
  <c r="CB10" i="23"/>
  <c r="CX46" i="20"/>
  <c r="CI80"/>
  <c r="BM161"/>
  <c r="CI161" s="1"/>
  <c r="CC1090" i="19"/>
  <c r="CC38" i="20" s="1"/>
  <c r="CG98"/>
  <c r="BN316"/>
  <c r="CI316"/>
  <c r="BO382"/>
  <c r="BN33" i="23"/>
  <c r="CL33" s="1"/>
  <c r="CJ382" i="20"/>
  <c r="BN80"/>
  <c r="BN124"/>
  <c r="CJ124" s="1"/>
  <c r="BO102"/>
  <c r="CK102" s="1"/>
  <c r="CJ56"/>
  <c r="BO261"/>
  <c r="BO56"/>
  <c r="CW38"/>
  <c r="CQ36"/>
  <c r="AM212"/>
  <c r="L212"/>
  <c r="AU212"/>
  <c r="X212"/>
  <c r="Q432"/>
  <c r="AP432"/>
  <c r="H432"/>
  <c r="AF432"/>
  <c r="BT542"/>
  <c r="CP542" s="1"/>
  <c r="BX53"/>
  <c r="BY53" s="1"/>
  <c r="BZ53" s="1"/>
  <c r="CA53" s="1"/>
  <c r="CB53" s="1"/>
  <c r="CC53" s="1"/>
  <c r="CD53" s="1"/>
  <c r="CS53"/>
  <c r="BI105"/>
  <c r="BH127"/>
  <c r="BH83"/>
  <c r="BI59"/>
  <c r="BK73"/>
  <c r="BJ141"/>
  <c r="BK119"/>
  <c r="CG119" s="1"/>
  <c r="BJ97"/>
  <c r="BH449"/>
  <c r="CT380"/>
  <c r="BN262"/>
  <c r="CI262"/>
  <c r="AH212"/>
  <c r="O212"/>
  <c r="AB212"/>
  <c r="Z432"/>
  <c r="V432"/>
  <c r="AN432"/>
  <c r="M432"/>
  <c r="AV107" i="28"/>
  <c r="AV108" s="1"/>
  <c r="AW75"/>
  <c r="AR381" i="20"/>
  <c r="AR398"/>
  <c r="X341"/>
  <c r="X342"/>
  <c r="CK458"/>
  <c r="BU269"/>
  <c r="BU542"/>
  <c r="CQ542" s="1"/>
  <c r="AX447"/>
  <c r="AX428"/>
  <c r="AX392"/>
  <c r="AP342"/>
  <c r="AP341"/>
  <c r="CM270"/>
  <c r="BA457"/>
  <c r="CK453"/>
  <c r="BZ1076" i="19"/>
  <c r="AR342" i="20"/>
  <c r="AR341"/>
  <c r="AN341"/>
  <c r="AN342"/>
  <c r="CM377"/>
  <c r="BR377"/>
  <c r="AQ398"/>
  <c r="AQ381"/>
  <c r="AP29" i="28"/>
  <c r="AP28"/>
  <c r="BX109" i="20"/>
  <c r="AT398"/>
  <c r="AT381"/>
  <c r="AT342"/>
  <c r="AT341"/>
  <c r="AD29" i="28"/>
  <c r="AD28"/>
  <c r="AK438" i="20"/>
  <c r="AJ6"/>
  <c r="V28" i="28"/>
  <c r="V29"/>
  <c r="CY19" i="20"/>
  <c r="BA401"/>
  <c r="CG69"/>
  <c r="BK137"/>
  <c r="CG137" s="1"/>
  <c r="BL69"/>
  <c r="BK93"/>
  <c r="BL115"/>
  <c r="CH115" s="1"/>
  <c r="AI28" i="28"/>
  <c r="AI29"/>
  <c r="F29"/>
  <c r="F28"/>
  <c r="BM43" i="23"/>
  <c r="CK4"/>
  <c r="BG168" i="20"/>
  <c r="BG171" s="1"/>
  <c r="BG169" s="1"/>
  <c r="BG191" s="1"/>
  <c r="AL341"/>
  <c r="AL342"/>
  <c r="BI139"/>
  <c r="BJ117"/>
  <c r="BI95"/>
  <c r="BJ71"/>
  <c r="S29" i="28"/>
  <c r="S28"/>
  <c r="K28"/>
  <c r="K29"/>
  <c r="Z341" i="20"/>
  <c r="Z342"/>
  <c r="BT1124" i="19"/>
  <c r="BU1124" s="1"/>
  <c r="BV1124" s="1"/>
  <c r="BW1124" s="1"/>
  <c r="BX1124" s="1"/>
  <c r="BY1124" s="1"/>
  <c r="BZ1124" s="1"/>
  <c r="CA1124" s="1"/>
  <c r="CB1124" s="1"/>
  <c r="CC1124" s="1"/>
  <c r="CD1124" s="1"/>
  <c r="BJ473" i="20"/>
  <c r="BB401"/>
  <c r="L28" i="28"/>
  <c r="L29"/>
  <c r="H342" i="20"/>
  <c r="H341"/>
  <c r="AJ29" i="28"/>
  <c r="AJ28"/>
  <c r="U342" i="20"/>
  <c r="U341"/>
  <c r="Z28" i="28"/>
  <c r="Z29"/>
  <c r="P28"/>
  <c r="P29"/>
  <c r="CN186" i="20"/>
  <c r="BS186"/>
  <c r="BR528"/>
  <c r="CN528" s="1"/>
  <c r="CI174"/>
  <c r="BM172"/>
  <c r="CI172" s="1"/>
  <c r="BQ539"/>
  <c r="CM539" s="1"/>
  <c r="CM198"/>
  <c r="BR198"/>
  <c r="AH342"/>
  <c r="AH341"/>
  <c r="AY392"/>
  <c r="AY428"/>
  <c r="AY447"/>
  <c r="CJ43" i="23"/>
  <c r="AP219" i="19"/>
  <c r="AG341" i="20"/>
  <c r="AG342"/>
  <c r="AR29" i="28"/>
  <c r="AR28"/>
  <c r="AS342" i="20"/>
  <c r="AS341"/>
  <c r="AW398"/>
  <c r="AW381"/>
  <c r="BR260"/>
  <c r="CM260"/>
  <c r="BL81" i="19"/>
  <c r="BK24" i="20"/>
  <c r="I29" i="28"/>
  <c r="I28"/>
  <c r="AE29"/>
  <c r="AE28"/>
  <c r="CK165" i="20"/>
  <c r="BP165"/>
  <c r="BB72"/>
  <c r="BA140"/>
  <c r="BA123" s="1"/>
  <c r="BA96"/>
  <c r="BB118"/>
  <c r="BB101" s="1"/>
  <c r="BR85"/>
  <c r="CN85" s="1"/>
  <c r="BR129"/>
  <c r="CN129" s="1"/>
  <c r="BS61"/>
  <c r="BS107"/>
  <c r="CO107" s="1"/>
  <c r="CN61"/>
  <c r="BP531"/>
  <c r="CL531" s="1"/>
  <c r="CL189"/>
  <c r="AL212"/>
  <c r="AN212"/>
  <c r="AO212"/>
  <c r="U212"/>
  <c r="AP212"/>
  <c r="AE212"/>
  <c r="G212"/>
  <c r="AV212"/>
  <c r="AF212"/>
  <c r="V212"/>
  <c r="AA212"/>
  <c r="N212"/>
  <c r="AI212"/>
  <c r="AG212"/>
  <c r="AS212"/>
  <c r="Q212"/>
  <c r="S212"/>
  <c r="R432"/>
  <c r="AU432"/>
  <c r="AV54" i="28"/>
  <c r="AV50"/>
  <c r="W432" i="20"/>
  <c r="AS432"/>
  <c r="L432"/>
  <c r="N432"/>
  <c r="AX412"/>
  <c r="AY329"/>
  <c r="AX328"/>
  <c r="AR447"/>
  <c r="AR428"/>
  <c r="AM28" i="28"/>
  <c r="AM29"/>
  <c r="W29"/>
  <c r="W28"/>
  <c r="Q63" i="23"/>
  <c r="P65"/>
  <c r="P66" s="1"/>
  <c r="P67" s="1"/>
  <c r="AP447" i="20"/>
  <c r="AP428"/>
  <c r="AH2" i="28"/>
  <c r="AI62"/>
  <c r="AI24"/>
  <c r="CH64" i="23"/>
  <c r="BK64"/>
  <c r="AY231" i="19"/>
  <c r="AZ232"/>
  <c r="AT428" i="20"/>
  <c r="AT447"/>
  <c r="J28" i="28"/>
  <c r="J29"/>
  <c r="BZ1071" i="19"/>
  <c r="BY1176"/>
  <c r="O341" i="20"/>
  <c r="O342"/>
  <c r="BS15"/>
  <c r="CN15"/>
  <c r="CY49"/>
  <c r="CZ49"/>
  <c r="AV323"/>
  <c r="AV401" s="1"/>
  <c r="AV450" s="1"/>
  <c r="AV320"/>
  <c r="AV396"/>
  <c r="AV319"/>
  <c r="CP438"/>
  <c r="CQ6"/>
  <c r="BA402"/>
  <c r="CK274"/>
  <c r="BP274"/>
  <c r="CZ48"/>
  <c r="CY48"/>
  <c r="AJ342"/>
  <c r="AJ341"/>
  <c r="AH28" i="28"/>
  <c r="AH29"/>
  <c r="BU44" i="20"/>
  <c r="CP44"/>
  <c r="BT170"/>
  <c r="CP170" s="1"/>
  <c r="AU341"/>
  <c r="AU342"/>
  <c r="BH90"/>
  <c r="BI66"/>
  <c r="BH134"/>
  <c r="BI112"/>
  <c r="AK28" i="28"/>
  <c r="AK29"/>
  <c r="AZ486" i="20"/>
  <c r="BA479"/>
  <c r="AC341"/>
  <c r="AC342"/>
  <c r="AY315"/>
  <c r="AX211"/>
  <c r="AX212" s="1"/>
  <c r="BV1122" i="19"/>
  <c r="BU1123"/>
  <c r="CY282" i="20"/>
  <c r="CD289" i="19"/>
  <c r="AL29" i="28"/>
  <c r="AL28"/>
  <c r="BX279" i="19"/>
  <c r="BW239" i="20"/>
  <c r="CS239" s="1"/>
  <c r="T28" i="28"/>
  <c r="T29"/>
  <c r="CJ174" i="20"/>
  <c r="BN172"/>
  <c r="CJ172" s="1"/>
  <c r="Q28" i="28"/>
  <c r="Q29"/>
  <c r="CN60" i="20"/>
  <c r="BR128"/>
  <c r="CN128" s="1"/>
  <c r="BR84"/>
  <c r="CN84" s="1"/>
  <c r="BS60"/>
  <c r="BS106"/>
  <c r="CO106" s="1"/>
  <c r="CM238"/>
  <c r="AU96" i="28"/>
  <c r="AU26"/>
  <c r="AU54" s="1"/>
  <c r="AS381" i="20"/>
  <c r="AS398"/>
  <c r="Y342"/>
  <c r="Y341"/>
  <c r="CJ92"/>
  <c r="BN4" i="23"/>
  <c r="AF341" i="20"/>
  <c r="AF342"/>
  <c r="S342"/>
  <c r="S341"/>
  <c r="I341"/>
  <c r="I342"/>
  <c r="BX1078" i="19"/>
  <c r="BW1175"/>
  <c r="BW1157"/>
  <c r="BK104" i="20"/>
  <c r="BJ126"/>
  <c r="BJ82"/>
  <c r="BK58"/>
  <c r="CV51"/>
  <c r="CM281"/>
  <c r="BO552"/>
  <c r="CK552" s="1"/>
  <c r="CK352"/>
  <c r="M212"/>
  <c r="AR212"/>
  <c r="AP392"/>
  <c r="AK432"/>
  <c r="AL432"/>
  <c r="U432"/>
  <c r="AE432"/>
  <c r="AO432"/>
  <c r="AZ304"/>
  <c r="AQ341"/>
  <c r="AQ342"/>
  <c r="AP381"/>
  <c r="AP398"/>
  <c r="AO28" i="28"/>
  <c r="AO29"/>
  <c r="CN201" i="20"/>
  <c r="BR541"/>
  <c r="CN541" s="1"/>
  <c r="BR270"/>
  <c r="BS201"/>
  <c r="BQ217" i="19"/>
  <c r="K342" i="20"/>
  <c r="K341"/>
  <c r="AE341"/>
  <c r="AE342"/>
  <c r="CT17"/>
  <c r="CX348"/>
  <c r="U28" i="28"/>
  <c r="U29"/>
  <c r="E29"/>
  <c r="E28"/>
  <c r="AO342" i="20"/>
  <c r="AO341"/>
  <c r="AD341"/>
  <c r="AD342"/>
  <c r="W341"/>
  <c r="W342"/>
  <c r="CN62"/>
  <c r="BS62"/>
  <c r="BR86"/>
  <c r="CN86" s="1"/>
  <c r="BS108"/>
  <c r="CO108" s="1"/>
  <c r="BR130"/>
  <c r="CN130" s="1"/>
  <c r="BY1080" i="19"/>
  <c r="BX1182"/>
  <c r="AD61" i="23"/>
  <c r="CO269" i="20"/>
  <c r="AR233" i="19"/>
  <c r="AU447" i="20"/>
  <c r="AU428"/>
  <c r="AT28" i="28"/>
  <c r="AU64" s="1"/>
  <c r="AT29"/>
  <c r="AU65" s="1"/>
  <c r="BI143" i="20"/>
  <c r="BJ75"/>
  <c r="BI99"/>
  <c r="BJ121"/>
  <c r="T342"/>
  <c r="T341"/>
  <c r="AA28" i="28"/>
  <c r="AA29"/>
  <c r="AB29"/>
  <c r="AB28"/>
  <c r="L341" i="20"/>
  <c r="L342"/>
  <c r="BL255"/>
  <c r="CG255"/>
  <c r="BK331"/>
  <c r="CZ279"/>
  <c r="BR534"/>
  <c r="CN534" s="1"/>
  <c r="CN193"/>
  <c r="BS193"/>
  <c r="M28" i="28"/>
  <c r="M29"/>
  <c r="AG28"/>
  <c r="AG29"/>
  <c r="AF29"/>
  <c r="AF28"/>
  <c r="AU97"/>
  <c r="AS428" i="20"/>
  <c r="AS447"/>
  <c r="CY47"/>
  <c r="CZ47"/>
  <c r="O29" i="28"/>
  <c r="O28"/>
  <c r="J341" i="20"/>
  <c r="J342"/>
  <c r="H29" i="28"/>
  <c r="H28"/>
  <c r="CN174" i="20"/>
  <c r="AZ79"/>
  <c r="AZ176" s="1"/>
  <c r="AZ178" s="1"/>
  <c r="AX108" i="28"/>
  <c r="AX114"/>
  <c r="AT392" i="20"/>
  <c r="S432"/>
  <c r="AD432"/>
  <c r="Y432"/>
  <c r="AJ432"/>
  <c r="G432"/>
  <c r="AG432"/>
  <c r="AV342"/>
  <c r="AQ432"/>
  <c r="BL79" i="23"/>
  <c r="CN269" i="20"/>
  <c r="AQ29" i="28"/>
  <c r="AQ28"/>
  <c r="AX381" i="20"/>
  <c r="AX398"/>
  <c r="BS173"/>
  <c r="CN173"/>
  <c r="AQ428"/>
  <c r="AQ447"/>
  <c r="AS28" i="28"/>
  <c r="AS29"/>
  <c r="CM351" i="20"/>
  <c r="BQ551"/>
  <c r="CM551" s="1"/>
  <c r="BR351"/>
  <c r="V342"/>
  <c r="V341"/>
  <c r="N29" i="28"/>
  <c r="N28"/>
  <c r="AN28"/>
  <c r="AN29"/>
  <c r="AC29"/>
  <c r="AC28"/>
  <c r="CD1163" i="19"/>
  <c r="CD1186" s="1"/>
  <c r="BN226"/>
  <c r="BM232"/>
  <c r="G341" i="20"/>
  <c r="G342"/>
  <c r="AI341"/>
  <c r="AI342"/>
  <c r="AU398"/>
  <c r="AU381"/>
  <c r="BV801" i="19"/>
  <c r="AB342" i="20"/>
  <c r="AB341"/>
  <c r="Y28" i="28"/>
  <c r="Y29"/>
  <c r="BY1101" i="19"/>
  <c r="BX1177"/>
  <c r="BX1179" s="1"/>
  <c r="AV110" i="28"/>
  <c r="AW77"/>
  <c r="AV95"/>
  <c r="AW63"/>
  <c r="AV46"/>
  <c r="BB402" i="20"/>
  <c r="AM341"/>
  <c r="AM342"/>
  <c r="M342"/>
  <c r="M341"/>
  <c r="G28" i="28"/>
  <c r="G29"/>
  <c r="AK341" i="20"/>
  <c r="AK342"/>
  <c r="AA341"/>
  <c r="AA342"/>
  <c r="N342"/>
  <c r="N341"/>
  <c r="Q341"/>
  <c r="Q342"/>
  <c r="R341"/>
  <c r="R342"/>
  <c r="CP23"/>
  <c r="BU23"/>
  <c r="CN195"/>
  <c r="BR238"/>
  <c r="BR536"/>
  <c r="CN536" s="1"/>
  <c r="BS195"/>
  <c r="AY398"/>
  <c r="AY381"/>
  <c r="AW447"/>
  <c r="AW428"/>
  <c r="AW392"/>
  <c r="BJ113"/>
  <c r="BJ91"/>
  <c r="X29" i="28"/>
  <c r="X28"/>
  <c r="P341" i="20"/>
  <c r="P342"/>
  <c r="CU371"/>
  <c r="CK68"/>
  <c r="BP114"/>
  <c r="CL114" s="1"/>
  <c r="BP68"/>
  <c r="BO136"/>
  <c r="CK136" s="1"/>
  <c r="BO92"/>
  <c r="AP228" i="19"/>
  <c r="CN206" i="20"/>
  <c r="BR546"/>
  <c r="CN546" s="1"/>
  <c r="BS206"/>
  <c r="R28" i="28"/>
  <c r="R29"/>
  <c r="CZ34" i="20"/>
  <c r="BU2" i="19"/>
  <c r="CY28" i="20"/>
  <c r="BW1172" i="19"/>
  <c r="BW1171"/>
  <c r="BX1113"/>
  <c r="CK358" i="20"/>
  <c r="BO558"/>
  <c r="CK558" s="1"/>
  <c r="BP358"/>
  <c r="J212"/>
  <c r="K212"/>
  <c r="Y212"/>
  <c r="P212"/>
  <c r="BA234" i="19"/>
  <c r="K432" i="20"/>
  <c r="AQ392"/>
  <c r="AA432"/>
  <c r="I432"/>
  <c r="BA325"/>
  <c r="AC62" i="23"/>
  <c r="AC42" s="1"/>
  <c r="BQ276" i="20"/>
  <c r="BO6" l="1"/>
  <c r="BN386"/>
  <c r="BN438" s="1"/>
  <c r="BN630"/>
  <c r="BN489"/>
  <c r="CJ489" s="1"/>
  <c r="BY413"/>
  <c r="BY463" s="1"/>
  <c r="BY632" s="1"/>
  <c r="BY561"/>
  <c r="BY149"/>
  <c r="BZ363"/>
  <c r="BY307"/>
  <c r="BY63"/>
  <c r="BY64"/>
  <c r="CD13"/>
  <c r="CY13"/>
  <c r="CC166"/>
  <c r="CX166"/>
  <c r="CW42"/>
  <c r="CA29"/>
  <c r="CV29"/>
  <c r="CB50"/>
  <c r="CW50"/>
  <c r="BY366"/>
  <c r="CT366"/>
  <c r="BY14"/>
  <c r="BY125"/>
  <c r="CB42"/>
  <c r="CB1162" i="19"/>
  <c r="CB1185" s="1"/>
  <c r="CC1093"/>
  <c r="CY30" i="20"/>
  <c r="CD30"/>
  <c r="CB39"/>
  <c r="CX39" s="1"/>
  <c r="CC1091" i="19"/>
  <c r="CB1160"/>
  <c r="CB1183" s="1"/>
  <c r="AV63" i="28"/>
  <c r="BB114"/>
  <c r="BB108"/>
  <c r="BZ52" i="20"/>
  <c r="CU52"/>
  <c r="AU47" i="28"/>
  <c r="CC41" i="20"/>
  <c r="CD1095" i="19"/>
  <c r="CD41" i="20" s="1"/>
  <c r="CC1092" i="19"/>
  <c r="CB1161"/>
  <c r="CB1184" s="1"/>
  <c r="BK67" i="20"/>
  <c r="BJ135"/>
  <c r="CR463"/>
  <c r="BV632"/>
  <c r="CS64"/>
  <c r="BW88"/>
  <c r="CS88" s="1"/>
  <c r="BW132"/>
  <c r="CS132" s="1"/>
  <c r="BX110"/>
  <c r="CT110" s="1"/>
  <c r="CS149"/>
  <c r="BX561"/>
  <c r="CT561" s="1"/>
  <c r="BX413"/>
  <c r="BX35" i="23"/>
  <c r="BX36" s="1"/>
  <c r="BX307" i="20"/>
  <c r="CT307" s="1"/>
  <c r="CT363"/>
  <c r="BX63"/>
  <c r="BY109" s="1"/>
  <c r="BX149"/>
  <c r="BX64"/>
  <c r="BY110" s="1"/>
  <c r="BW131"/>
  <c r="BW87"/>
  <c r="CS413"/>
  <c r="BW463"/>
  <c r="BV202"/>
  <c r="BV38" i="23"/>
  <c r="BW365" i="20"/>
  <c r="CR365"/>
  <c r="BV505"/>
  <c r="CR505" s="1"/>
  <c r="BW259"/>
  <c r="CR259"/>
  <c r="CR383"/>
  <c r="BW383"/>
  <c r="AU50" i="28"/>
  <c r="AZ78"/>
  <c r="BA78"/>
  <c r="AZ111"/>
  <c r="BO228" i="19"/>
  <c r="BP228" s="1"/>
  <c r="BQ228" s="1"/>
  <c r="BR228" s="1"/>
  <c r="BS228" s="1"/>
  <c r="BG70" i="20"/>
  <c r="BF94"/>
  <c r="BG116"/>
  <c r="BF138"/>
  <c r="BF313"/>
  <c r="AY224" i="19"/>
  <c r="CC835"/>
  <c r="CD53"/>
  <c r="CD835" s="1"/>
  <c r="AX217"/>
  <c r="AY223"/>
  <c r="BV50"/>
  <c r="BU306" i="20"/>
  <c r="AY230" i="19"/>
  <c r="AX226"/>
  <c r="CH479" i="20"/>
  <c r="AY222" i="19"/>
  <c r="AX221"/>
  <c r="AW225"/>
  <c r="BA76" i="28"/>
  <c r="AZ76"/>
  <c r="AZ109"/>
  <c r="AZ53"/>
  <c r="AZ46"/>
  <c r="AZ95"/>
  <c r="AZ63"/>
  <c r="BA63"/>
  <c r="AZ47"/>
  <c r="AW106"/>
  <c r="AX74"/>
  <c r="AW107"/>
  <c r="AW108" s="1"/>
  <c r="AX75"/>
  <c r="AY474" i="20"/>
  <c r="AX483"/>
  <c r="AY229" i="19"/>
  <c r="AY218"/>
  <c r="CN390" i="20"/>
  <c r="BR442"/>
  <c r="CN442" s="1"/>
  <c r="BR434"/>
  <c r="CP306"/>
  <c r="BT305"/>
  <c r="BT193" s="1"/>
  <c r="BW265" i="19"/>
  <c r="BV214" i="20"/>
  <c r="CR214" s="1"/>
  <c r="BM479"/>
  <c r="CI486"/>
  <c r="BN486"/>
  <c r="AY220" i="19"/>
  <c r="CO305" i="20"/>
  <c r="BS32" i="23"/>
  <c r="BS390" i="20"/>
  <c r="BR8" i="28"/>
  <c r="AZ234" i="19"/>
  <c r="CJ262" i="20"/>
  <c r="BO262"/>
  <c r="BK141"/>
  <c r="CG141" s="1"/>
  <c r="BK97"/>
  <c r="CG97" s="1"/>
  <c r="BL73"/>
  <c r="BL119"/>
  <c r="CH119" s="1"/>
  <c r="CG73"/>
  <c r="CT53"/>
  <c r="CD1090" i="19"/>
  <c r="CD38" i="20" s="1"/>
  <c r="BX86" i="19"/>
  <c r="BW36" i="20"/>
  <c r="CU367"/>
  <c r="CY25"/>
  <c r="CC8" i="23"/>
  <c r="CH98" i="20"/>
  <c r="BN161"/>
  <c r="CJ161" s="1"/>
  <c r="CJ80"/>
  <c r="CK382"/>
  <c r="BO33" i="23"/>
  <c r="CM33" s="1"/>
  <c r="BP382" i="20"/>
  <c r="CR36"/>
  <c r="BJ31" i="28"/>
  <c r="CE31" s="1"/>
  <c r="CG332" i="20"/>
  <c r="BK322"/>
  <c r="CH232"/>
  <c r="BM232"/>
  <c r="BL332"/>
  <c r="BL233"/>
  <c r="CP364"/>
  <c r="BU364"/>
  <c r="CI74"/>
  <c r="BN120"/>
  <c r="CJ120" s="1"/>
  <c r="BN74"/>
  <c r="BM142"/>
  <c r="CI142" s="1"/>
  <c r="BM98"/>
  <c r="CU380"/>
  <c r="CK261"/>
  <c r="CJ316"/>
  <c r="BO316"/>
  <c r="CC10" i="23"/>
  <c r="CY46" i="20"/>
  <c r="BI449"/>
  <c r="CG233"/>
  <c r="BX81"/>
  <c r="CT81" s="1"/>
  <c r="CT14"/>
  <c r="CU125"/>
  <c r="BX103"/>
  <c r="CT103" s="1"/>
  <c r="AU53" i="28"/>
  <c r="AV77" s="1"/>
  <c r="BI83" i="20"/>
  <c r="BJ105"/>
  <c r="BJ59"/>
  <c r="BI127"/>
  <c r="BP261"/>
  <c r="BO80"/>
  <c r="CK56"/>
  <c r="BO124"/>
  <c r="CK124" s="1"/>
  <c r="BP102"/>
  <c r="CL102" s="1"/>
  <c r="BP56"/>
  <c r="CX38"/>
  <c r="BJ400"/>
  <c r="BQ358"/>
  <c r="BP558"/>
  <c r="CL558" s="1"/>
  <c r="CL358"/>
  <c r="CZ28"/>
  <c r="CM276"/>
  <c r="BR281"/>
  <c r="BR276" s="1"/>
  <c r="BQ189"/>
  <c r="X96" i="28"/>
  <c r="X26"/>
  <c r="X54" s="1"/>
  <c r="X64"/>
  <c r="BS536" i="20"/>
  <c r="CO536" s="1"/>
  <c r="CO195"/>
  <c r="BT195"/>
  <c r="BS238"/>
  <c r="G64" i="28"/>
  <c r="G96"/>
  <c r="G26"/>
  <c r="G53" s="1"/>
  <c r="Y64"/>
  <c r="Y26"/>
  <c r="Y53" s="1"/>
  <c r="Y96"/>
  <c r="BO226" i="19"/>
  <c r="BN232"/>
  <c r="AC96" i="28"/>
  <c r="AC64"/>
  <c r="AC26"/>
  <c r="AC53" s="1"/>
  <c r="N64"/>
  <c r="N26"/>
  <c r="N54" s="1"/>
  <c r="N96"/>
  <c r="AS65"/>
  <c r="AS97"/>
  <c r="O64"/>
  <c r="O26"/>
  <c r="O50" s="1"/>
  <c r="O96"/>
  <c r="AU107"/>
  <c r="AU108" s="1"/>
  <c r="AF97"/>
  <c r="AF65"/>
  <c r="AG97"/>
  <c r="AG65"/>
  <c r="CG331" i="20"/>
  <c r="BK473"/>
  <c r="AA26" i="28"/>
  <c r="AA50" s="1"/>
  <c r="AA96"/>
  <c r="AA64"/>
  <c r="AT64"/>
  <c r="AT26"/>
  <c r="AT53" s="1"/>
  <c r="AT96"/>
  <c r="AT54"/>
  <c r="AU78" s="1"/>
  <c r="U65"/>
  <c r="U97"/>
  <c r="BR217" i="19"/>
  <c r="CG58" i="20"/>
  <c r="BK82"/>
  <c r="BK126"/>
  <c r="BL58"/>
  <c r="BL104"/>
  <c r="BN43" i="23"/>
  <c r="CL4"/>
  <c r="AU95" i="28"/>
  <c r="AU46"/>
  <c r="AV74" s="1"/>
  <c r="Q97"/>
  <c r="Q65"/>
  <c r="T65"/>
  <c r="T97"/>
  <c r="AK65"/>
  <c r="AK97"/>
  <c r="BI90" i="20"/>
  <c r="BJ112"/>
  <c r="BJ66"/>
  <c r="BI134"/>
  <c r="AH97" i="28"/>
  <c r="AH65"/>
  <c r="J96"/>
  <c r="J64"/>
  <c r="J26"/>
  <c r="J53" s="1"/>
  <c r="AX231" i="19"/>
  <c r="AY232"/>
  <c r="AM26" i="28"/>
  <c r="AM54" s="1"/>
  <c r="AM64"/>
  <c r="AM96"/>
  <c r="AE64"/>
  <c r="AE26"/>
  <c r="AE53" s="1"/>
  <c r="AE96"/>
  <c r="AR97"/>
  <c r="AR65"/>
  <c r="Z26"/>
  <c r="Z53" s="1"/>
  <c r="Z64"/>
  <c r="Z96"/>
  <c r="AJ97"/>
  <c r="AJ65"/>
  <c r="L65"/>
  <c r="L97"/>
  <c r="S96"/>
  <c r="S26"/>
  <c r="S64"/>
  <c r="AI65"/>
  <c r="AI97"/>
  <c r="CH69" i="20"/>
  <c r="BL137"/>
  <c r="CH137" s="1"/>
  <c r="BM69"/>
  <c r="BM115"/>
  <c r="CI115" s="1"/>
  <c r="BL93"/>
  <c r="BA450"/>
  <c r="V96" i="28"/>
  <c r="V64"/>
  <c r="V26"/>
  <c r="V53" s="1"/>
  <c r="AP26"/>
  <c r="AP54" s="1"/>
  <c r="AP64"/>
  <c r="AP96"/>
  <c r="CQ269" i="20"/>
  <c r="CZ282"/>
  <c r="BA304"/>
  <c r="BV2" i="19"/>
  <c r="BT206" i="20"/>
  <c r="CO206"/>
  <c r="BS546"/>
  <c r="CO546" s="1"/>
  <c r="BP92"/>
  <c r="BQ68"/>
  <c r="BQ114"/>
  <c r="CM114" s="1"/>
  <c r="BP136"/>
  <c r="CL136" s="1"/>
  <c r="CL68"/>
  <c r="CV371"/>
  <c r="G97" i="28"/>
  <c r="G65"/>
  <c r="G47"/>
  <c r="AV106"/>
  <c r="AW74"/>
  <c r="BZ1101" i="19"/>
  <c r="BY1177"/>
  <c r="BY1179" s="1"/>
  <c r="Y65" i="28"/>
  <c r="Y97"/>
  <c r="BW801" i="19"/>
  <c r="AN96" i="28"/>
  <c r="AN26"/>
  <c r="AN50" s="1"/>
  <c r="AN64"/>
  <c r="BT173" i="20"/>
  <c r="CO173"/>
  <c r="AQ65" i="28"/>
  <c r="AQ97"/>
  <c r="CO174" i="20"/>
  <c r="BT174"/>
  <c r="AF64" i="28"/>
  <c r="AF96"/>
  <c r="AF26"/>
  <c r="AF54" s="1"/>
  <c r="M64"/>
  <c r="M96"/>
  <c r="M26"/>
  <c r="M54" s="1"/>
  <c r="BL331" i="20"/>
  <c r="CH255"/>
  <c r="BM255"/>
  <c r="AA97" i="28"/>
  <c r="AA65"/>
  <c r="BK75" i="20"/>
  <c r="BJ99"/>
  <c r="BJ143"/>
  <c r="BK121"/>
  <c r="CG121" s="1"/>
  <c r="AT47" i="28"/>
  <c r="AT97"/>
  <c r="AT65"/>
  <c r="E65"/>
  <c r="E97"/>
  <c r="CN270" i="20"/>
  <c r="AO96" i="28"/>
  <c r="AO26"/>
  <c r="AO50" s="1"/>
  <c r="AO64"/>
  <c r="AO54"/>
  <c r="CG104" i="20"/>
  <c r="AU109" i="28"/>
  <c r="BX239" i="20"/>
  <c r="CT239" s="1"/>
  <c r="BY279" i="19"/>
  <c r="AL65" i="28"/>
  <c r="AL97"/>
  <c r="BV1123" i="19"/>
  <c r="BW1122"/>
  <c r="AZ479" i="20"/>
  <c r="AY486"/>
  <c r="CL274"/>
  <c r="BQ274"/>
  <c r="CR6"/>
  <c r="CQ438"/>
  <c r="AV398"/>
  <c r="AV381"/>
  <c r="J47" i="28"/>
  <c r="J97"/>
  <c r="J65"/>
  <c r="AM65"/>
  <c r="AM47"/>
  <c r="AM97"/>
  <c r="AV111"/>
  <c r="AV78"/>
  <c r="AW78"/>
  <c r="BA79" i="20"/>
  <c r="BA176" s="1"/>
  <c r="BA178" s="1"/>
  <c r="I97" i="28"/>
  <c r="I65"/>
  <c r="BM81" i="19"/>
  <c r="BL24" i="20"/>
  <c r="AR96" i="28"/>
  <c r="AR64"/>
  <c r="AR26"/>
  <c r="AR53" s="1"/>
  <c r="CO186" i="20"/>
  <c r="BS528"/>
  <c r="CO528" s="1"/>
  <c r="BT186"/>
  <c r="Z65" i="28"/>
  <c r="Z97"/>
  <c r="Z47"/>
  <c r="AJ26"/>
  <c r="AJ47" s="1"/>
  <c r="AJ96"/>
  <c r="AJ64"/>
  <c r="AJ54"/>
  <c r="BB450" i="20"/>
  <c r="K26" i="28"/>
  <c r="K53" s="1"/>
  <c r="K96"/>
  <c r="K64"/>
  <c r="CK43" i="23"/>
  <c r="F97" i="28"/>
  <c r="F65"/>
  <c r="CG93" i="20"/>
  <c r="V97" i="28"/>
  <c r="V65"/>
  <c r="BM234" i="19"/>
  <c r="BY1159"/>
  <c r="BY1158" s="1"/>
  <c r="AV75" i="28"/>
  <c r="BV269" i="20"/>
  <c r="CR202"/>
  <c r="BV542"/>
  <c r="CR542" s="1"/>
  <c r="CN238"/>
  <c r="AN97" i="28"/>
  <c r="AN65"/>
  <c r="AN47"/>
  <c r="AQ96"/>
  <c r="AQ64"/>
  <c r="AQ26"/>
  <c r="BM79" i="23"/>
  <c r="CJ79"/>
  <c r="H65" i="28"/>
  <c r="H97"/>
  <c r="M65"/>
  <c r="M97"/>
  <c r="BS534" i="20"/>
  <c r="CO534" s="1"/>
  <c r="CO193"/>
  <c r="AB97" i="28"/>
  <c r="AB65"/>
  <c r="AE61" i="23"/>
  <c r="BY1182" i="19"/>
  <c r="BZ1080"/>
  <c r="CO62" i="20"/>
  <c r="BT62"/>
  <c r="BS130"/>
  <c r="CO130" s="1"/>
  <c r="BS86"/>
  <c r="CO86" s="1"/>
  <c r="BT108"/>
  <c r="CP108" s="1"/>
  <c r="E26" i="28"/>
  <c r="E50" s="1"/>
  <c r="E96"/>
  <c r="E64"/>
  <c r="CO201" i="20"/>
  <c r="BS270"/>
  <c r="BS541"/>
  <c r="CO541" s="1"/>
  <c r="BT201"/>
  <c r="AO65" i="28"/>
  <c r="AO97"/>
  <c r="AZ326" i="20"/>
  <c r="AZ389"/>
  <c r="AZ319"/>
  <c r="AZ320"/>
  <c r="AZ396"/>
  <c r="CW51"/>
  <c r="BX1157" i="19"/>
  <c r="BY1078"/>
  <c r="BX1175"/>
  <c r="CO60" i="20"/>
  <c r="BT60"/>
  <c r="BS128"/>
  <c r="CO128" s="1"/>
  <c r="BS84"/>
  <c r="CO84" s="1"/>
  <c r="BT106"/>
  <c r="CP106" s="1"/>
  <c r="AL96" i="28"/>
  <c r="AL64"/>
  <c r="AL26"/>
  <c r="AL54" s="1"/>
  <c r="BA451" i="20"/>
  <c r="AV428"/>
  <c r="AV447"/>
  <c r="AV392"/>
  <c r="BT15"/>
  <c r="CO15"/>
  <c r="CA1071" i="19"/>
  <c r="BZ1176"/>
  <c r="BZ1159"/>
  <c r="BZ1158" s="1"/>
  <c r="CI64" i="23"/>
  <c r="BL64"/>
  <c r="AG2" i="28"/>
  <c r="AH24"/>
  <c r="AH62"/>
  <c r="Q65" i="23"/>
  <c r="Q66" s="1"/>
  <c r="Q67" s="1"/>
  <c r="R63"/>
  <c r="W97" i="28"/>
  <c r="W65"/>
  <c r="AY412" i="20"/>
  <c r="AZ329"/>
  <c r="AY328"/>
  <c r="AV76" i="28"/>
  <c r="AV109"/>
  <c r="AW76"/>
  <c r="CL165" i="20"/>
  <c r="BQ165"/>
  <c r="I96" i="28"/>
  <c r="I26"/>
  <c r="I50" s="1"/>
  <c r="I64"/>
  <c r="CG24" i="20"/>
  <c r="BK113"/>
  <c r="CG113" s="1"/>
  <c r="BK91"/>
  <c r="CN260"/>
  <c r="BS260"/>
  <c r="P26" i="28"/>
  <c r="P53" s="1"/>
  <c r="P96"/>
  <c r="P64"/>
  <c r="K97"/>
  <c r="K65"/>
  <c r="BJ139" i="20"/>
  <c r="BJ95"/>
  <c r="BK117"/>
  <c r="CG117" s="1"/>
  <c r="BK71"/>
  <c r="F26" i="28"/>
  <c r="F64"/>
  <c r="F96"/>
  <c r="AD65"/>
  <c r="AD97"/>
  <c r="CN377" i="20"/>
  <c r="BS377"/>
  <c r="CA1076" i="19"/>
  <c r="BB325" i="20"/>
  <c r="AD62" i="23"/>
  <c r="AD42" s="1"/>
  <c r="R96" i="28"/>
  <c r="R64"/>
  <c r="R26"/>
  <c r="R54" s="1"/>
  <c r="BX1172" i="19"/>
  <c r="BY1113"/>
  <c r="BX1171"/>
  <c r="R65" i="28"/>
  <c r="R97"/>
  <c r="BO4" i="23"/>
  <c r="CK92" i="20"/>
  <c r="X65" i="28"/>
  <c r="X47"/>
  <c r="X97"/>
  <c r="BV23" i="20"/>
  <c r="CQ23"/>
  <c r="BB451"/>
  <c r="CZ19"/>
  <c r="AC97" i="28"/>
  <c r="AC65"/>
  <c r="AC47"/>
  <c r="N65"/>
  <c r="N97"/>
  <c r="BS351" i="20"/>
  <c r="CN351"/>
  <c r="BR551"/>
  <c r="CN551" s="1"/>
  <c r="AS96" i="28"/>
  <c r="AS64"/>
  <c r="AS26"/>
  <c r="AS54" s="1"/>
  <c r="AS53"/>
  <c r="AS50"/>
  <c r="H64"/>
  <c r="H96"/>
  <c r="H26"/>
  <c r="H47" s="1"/>
  <c r="O47"/>
  <c r="O65"/>
  <c r="O97"/>
  <c r="AG96"/>
  <c r="AG64"/>
  <c r="AG26"/>
  <c r="AG47" s="1"/>
  <c r="AB96"/>
  <c r="AB26"/>
  <c r="AB53" s="1"/>
  <c r="AB64"/>
  <c r="AQ233" i="19"/>
  <c r="U64" i="28"/>
  <c r="U96"/>
  <c r="U26"/>
  <c r="CY348" i="20"/>
  <c r="CZ348"/>
  <c r="AU110" i="28"/>
  <c r="AU111"/>
  <c r="Q96"/>
  <c r="Q64"/>
  <c r="Q26"/>
  <c r="Q50" s="1"/>
  <c r="T64"/>
  <c r="T26"/>
  <c r="T54" s="1"/>
  <c r="T96"/>
  <c r="AY211" i="20"/>
  <c r="AY212" s="1"/>
  <c r="AZ315"/>
  <c r="AK26" i="28"/>
  <c r="AK54" s="1"/>
  <c r="AK64"/>
  <c r="AK96"/>
  <c r="BH168" i="20"/>
  <c r="BH171" s="1"/>
  <c r="BH169" s="1"/>
  <c r="BH191" s="1"/>
  <c r="BU170"/>
  <c r="CQ170" s="1"/>
  <c r="CQ44"/>
  <c r="BV44"/>
  <c r="AH64" i="28"/>
  <c r="AH26"/>
  <c r="AH47" s="1"/>
  <c r="AH96"/>
  <c r="AH54"/>
  <c r="CU17" i="20"/>
  <c r="W96" i="28"/>
  <c r="W64"/>
  <c r="W26"/>
  <c r="W50" s="1"/>
  <c r="BT107" i="20"/>
  <c r="CP107" s="1"/>
  <c r="BS85"/>
  <c r="CO85" s="1"/>
  <c r="CO61"/>
  <c r="BS129"/>
  <c r="CO129" s="1"/>
  <c r="BT61"/>
  <c r="BC72"/>
  <c r="BB96"/>
  <c r="BB140"/>
  <c r="BB123" s="1"/>
  <c r="BB304" s="1"/>
  <c r="BC118"/>
  <c r="BC101" s="1"/>
  <c r="AE65" i="28"/>
  <c r="AE97"/>
  <c r="AE47"/>
  <c r="CN198" i="20"/>
  <c r="BR539"/>
  <c r="CN539" s="1"/>
  <c r="BS198"/>
  <c r="P47" i="28"/>
  <c r="P97"/>
  <c r="P65"/>
  <c r="L96"/>
  <c r="L26"/>
  <c r="L47" s="1"/>
  <c r="L64"/>
  <c r="S65"/>
  <c r="S97"/>
  <c r="S47"/>
  <c r="AI26"/>
  <c r="AI47" s="1"/>
  <c r="AI96"/>
  <c r="AI64"/>
  <c r="AI6" i="20"/>
  <c r="AJ438"/>
  <c r="AD26" i="28"/>
  <c r="AD54" s="1"/>
  <c r="AD64"/>
  <c r="AD96"/>
  <c r="AP65"/>
  <c r="AP97"/>
  <c r="AP47"/>
  <c r="AI53" l="1"/>
  <c r="N47"/>
  <c r="AO47"/>
  <c r="AJ53"/>
  <c r="AJ110" s="1"/>
  <c r="BP6" i="20"/>
  <c r="BO630"/>
  <c r="BO489"/>
  <c r="CK489" s="1"/>
  <c r="BO386"/>
  <c r="R47" i="28"/>
  <c r="R53"/>
  <c r="R110" s="1"/>
  <c r="CG67" i="20"/>
  <c r="BL67"/>
  <c r="BK135"/>
  <c r="CG135" s="1"/>
  <c r="CZ30"/>
  <c r="CX42"/>
  <c r="CB29"/>
  <c r="CW29"/>
  <c r="CZ13"/>
  <c r="CA363"/>
  <c r="BZ307"/>
  <c r="BZ149"/>
  <c r="BZ413"/>
  <c r="BZ463" s="1"/>
  <c r="BZ632" s="1"/>
  <c r="BZ561"/>
  <c r="BZ63"/>
  <c r="BZ64"/>
  <c r="AA54" i="28"/>
  <c r="AA47"/>
  <c r="AA107" s="1"/>
  <c r="AA108" s="1"/>
  <c r="Y50"/>
  <c r="CC50" i="20"/>
  <c r="CX50"/>
  <c r="CD1092" i="19"/>
  <c r="CD1161" s="1"/>
  <c r="CD1184" s="1"/>
  <c r="CC1161"/>
  <c r="CC1184" s="1"/>
  <c r="CA52" i="20"/>
  <c r="CV52"/>
  <c r="CC42"/>
  <c r="CD1093" i="19"/>
  <c r="CC1162"/>
  <c r="CC1185" s="1"/>
  <c r="BZ14" i="20"/>
  <c r="BY81"/>
  <c r="BY103"/>
  <c r="BZ125"/>
  <c r="CV125" s="1"/>
  <c r="CD166"/>
  <c r="CZ166" s="1"/>
  <c r="CY166"/>
  <c r="BY87"/>
  <c r="BZ109"/>
  <c r="BY131"/>
  <c r="AI54" i="28"/>
  <c r="AJ78" s="1"/>
  <c r="L54"/>
  <c r="P50"/>
  <c r="Q76" s="1"/>
  <c r="E54"/>
  <c r="M47"/>
  <c r="M75" s="1"/>
  <c r="V47"/>
  <c r="Y47"/>
  <c r="Z75" s="1"/>
  <c r="AU63"/>
  <c r="N50"/>
  <c r="N109" s="1"/>
  <c r="BW202" i="20"/>
  <c r="CC39"/>
  <c r="CY39" s="1"/>
  <c r="CC1160" i="19"/>
  <c r="CC1183" s="1"/>
  <c r="CD1091"/>
  <c r="BZ366" i="20"/>
  <c r="CU366"/>
  <c r="BY132"/>
  <c r="BY88"/>
  <c r="BZ110"/>
  <c r="K47" i="28"/>
  <c r="K107" s="1"/>
  <c r="K108" s="1"/>
  <c r="AU77"/>
  <c r="AA53"/>
  <c r="AA110" s="1"/>
  <c r="Y54"/>
  <c r="AD50"/>
  <c r="AD109" s="1"/>
  <c r="W54"/>
  <c r="CS463" i="20"/>
  <c r="BW632"/>
  <c r="CT64"/>
  <c r="BX132"/>
  <c r="CT132" s="1"/>
  <c r="BX88"/>
  <c r="CT88" s="1"/>
  <c r="CU110"/>
  <c r="BX131"/>
  <c r="BX87"/>
  <c r="CT413"/>
  <c r="BX463"/>
  <c r="CT149"/>
  <c r="CU307"/>
  <c r="CU363"/>
  <c r="CU561"/>
  <c r="BY35" i="23"/>
  <c r="BY36" s="1"/>
  <c r="CS259" i="20"/>
  <c r="BW505"/>
  <c r="CS505" s="1"/>
  <c r="BX259"/>
  <c r="BY259" s="1"/>
  <c r="AH53" i="28"/>
  <c r="AG50"/>
  <c r="CS383" i="20"/>
  <c r="BX383"/>
  <c r="BY383" s="1"/>
  <c r="BZ383" s="1"/>
  <c r="CA383" s="1"/>
  <c r="CB383" s="1"/>
  <c r="BX365"/>
  <c r="BY365" s="1"/>
  <c r="BZ365" s="1"/>
  <c r="CA365" s="1"/>
  <c r="CB365" s="1"/>
  <c r="CC365" s="1"/>
  <c r="CD365" s="1"/>
  <c r="CS365"/>
  <c r="BW38" i="23"/>
  <c r="BO486" i="20"/>
  <c r="BN479"/>
  <c r="CJ486"/>
  <c r="CI479"/>
  <c r="BX265" i="19"/>
  <c r="BW214" i="20"/>
  <c r="CS214" s="1"/>
  <c r="AX218" i="19"/>
  <c r="AX474" i="20"/>
  <c r="AW483"/>
  <c r="AZ107" i="28"/>
  <c r="BA75"/>
  <c r="AZ75"/>
  <c r="AZ106"/>
  <c r="BA74"/>
  <c r="AZ74"/>
  <c r="AV225" i="19"/>
  <c r="AW221"/>
  <c r="AX222"/>
  <c r="AW226"/>
  <c r="CQ306" i="20"/>
  <c r="BU305"/>
  <c r="BG313"/>
  <c r="AI50" i="28"/>
  <c r="AI109" s="1"/>
  <c r="AH50"/>
  <c r="H53"/>
  <c r="H77" s="1"/>
  <c r="AL50"/>
  <c r="AP50"/>
  <c r="AP109" s="1"/>
  <c r="AP53"/>
  <c r="AP110" s="1"/>
  <c r="Z50"/>
  <c r="Z109" s="1"/>
  <c r="J54"/>
  <c r="AT50"/>
  <c r="AU76" s="1"/>
  <c r="BS434" i="20"/>
  <c r="BS442"/>
  <c r="CO442" s="1"/>
  <c r="CO390"/>
  <c r="AX220" i="19"/>
  <c r="BT32" i="23"/>
  <c r="CP305" i="20"/>
  <c r="BS8" i="28"/>
  <c r="BT390" i="20"/>
  <c r="AX229" i="19"/>
  <c r="AZ110" i="28"/>
  <c r="AZ77"/>
  <c r="BA77"/>
  <c r="AX230" i="19"/>
  <c r="BV306" i="20"/>
  <c r="BW50" i="19"/>
  <c r="AX223"/>
  <c r="AW217"/>
  <c r="AX224"/>
  <c r="BH70" i="20"/>
  <c r="BG94"/>
  <c r="BH116"/>
  <c r="BG138"/>
  <c r="J50" i="28"/>
  <c r="BJ83" i="20"/>
  <c r="BJ127"/>
  <c r="BK59"/>
  <c r="BK105"/>
  <c r="CG105" s="1"/>
  <c r="CK316"/>
  <c r="BP316"/>
  <c r="BV364"/>
  <c r="CQ364"/>
  <c r="BN232"/>
  <c r="CI232"/>
  <c r="BM332"/>
  <c r="BM331" s="1"/>
  <c r="BM233"/>
  <c r="CV367"/>
  <c r="L50" i="28"/>
  <c r="L109" s="1"/>
  <c r="Q53"/>
  <c r="R77" s="1"/>
  <c r="AG53"/>
  <c r="AG110" s="1"/>
  <c r="H54"/>
  <c r="H111" s="1"/>
  <c r="I53"/>
  <c r="I110" s="1"/>
  <c r="AJ50"/>
  <c r="AJ76" s="1"/>
  <c r="V50"/>
  <c r="W76" s="1"/>
  <c r="Z54"/>
  <c r="Z111" s="1"/>
  <c r="AE50"/>
  <c r="G54"/>
  <c r="H78" s="1"/>
  <c r="CV380" i="20"/>
  <c r="CJ74"/>
  <c r="BO74"/>
  <c r="BN142"/>
  <c r="CJ142" s="1"/>
  <c r="BN98"/>
  <c r="BO120"/>
  <c r="CK120" s="1"/>
  <c r="BL322"/>
  <c r="CH332"/>
  <c r="BK31" i="28"/>
  <c r="CF31" s="1"/>
  <c r="CG322" i="20"/>
  <c r="BK400"/>
  <c r="BY86" i="19"/>
  <c r="BY36" i="20" s="1"/>
  <c r="BX36"/>
  <c r="CU53"/>
  <c r="BL97"/>
  <c r="CH97" s="1"/>
  <c r="BM73"/>
  <c r="BM119"/>
  <c r="CI119" s="1"/>
  <c r="BL141"/>
  <c r="CH141" s="1"/>
  <c r="CH73"/>
  <c r="AG54" i="28"/>
  <c r="AG111" s="1"/>
  <c r="P54"/>
  <c r="P111" s="1"/>
  <c r="AR54"/>
  <c r="AS78" s="1"/>
  <c r="AM50"/>
  <c r="AN76" s="1"/>
  <c r="X50"/>
  <c r="Y76" s="1"/>
  <c r="BJ449" i="20"/>
  <c r="CL261"/>
  <c r="CU81"/>
  <c r="CU14"/>
  <c r="CU103"/>
  <c r="CD10" i="23"/>
  <c r="CZ46" i="20"/>
  <c r="CH233"/>
  <c r="BQ382"/>
  <c r="BP33" i="23"/>
  <c r="CL382" i="20"/>
  <c r="CS36"/>
  <c r="CZ38"/>
  <c r="CK262"/>
  <c r="BP262"/>
  <c r="BQ56"/>
  <c r="BP124"/>
  <c r="CL124" s="1"/>
  <c r="BP80"/>
  <c r="CL56"/>
  <c r="BQ102"/>
  <c r="CM102" s="1"/>
  <c r="BQ261"/>
  <c r="BO161"/>
  <c r="CK161" s="1"/>
  <c r="CK80"/>
  <c r="BO162"/>
  <c r="CI98"/>
  <c r="CZ25"/>
  <c r="CD8" i="23"/>
  <c r="CY38" i="20"/>
  <c r="AI75" i="28"/>
  <c r="AI107"/>
  <c r="AI108" s="1"/>
  <c r="L107"/>
  <c r="L108" s="1"/>
  <c r="L75"/>
  <c r="P110"/>
  <c r="AG107"/>
  <c r="AG108" s="1"/>
  <c r="H107"/>
  <c r="H108" s="1"/>
  <c r="H75"/>
  <c r="K110"/>
  <c r="K77"/>
  <c r="AJ107"/>
  <c r="AJ108" s="1"/>
  <c r="AJ75"/>
  <c r="AH75"/>
  <c r="AH107"/>
  <c r="AH108" s="1"/>
  <c r="Y110"/>
  <c r="AE110"/>
  <c r="X111"/>
  <c r="X78"/>
  <c r="AR110"/>
  <c r="N111"/>
  <c r="N78"/>
  <c r="BS539" i="20"/>
  <c r="CO539" s="1"/>
  <c r="CO198"/>
  <c r="BT198"/>
  <c r="BD118"/>
  <c r="BD101" s="1"/>
  <c r="BC96"/>
  <c r="BC140"/>
  <c r="BC123" s="1"/>
  <c r="BD72"/>
  <c r="W111" i="28"/>
  <c r="W109"/>
  <c r="AH78"/>
  <c r="AH111"/>
  <c r="AK78"/>
  <c r="AK111"/>
  <c r="AK46"/>
  <c r="AK63"/>
  <c r="AK95"/>
  <c r="T111"/>
  <c r="Q110"/>
  <c r="U46"/>
  <c r="U63"/>
  <c r="U95"/>
  <c r="AB110"/>
  <c r="AS111"/>
  <c r="N107"/>
  <c r="N108" s="1"/>
  <c r="R107"/>
  <c r="R108" s="1"/>
  <c r="R111"/>
  <c r="F95"/>
  <c r="F63"/>
  <c r="F46"/>
  <c r="CM165" i="20"/>
  <c r="BR165"/>
  <c r="CP15"/>
  <c r="BU15"/>
  <c r="AL109" i="28"/>
  <c r="BY1175" i="19"/>
  <c r="BY1157"/>
  <c r="BZ1078"/>
  <c r="AZ447" i="20"/>
  <c r="AZ392"/>
  <c r="AZ428"/>
  <c r="CO270"/>
  <c r="E78" i="28"/>
  <c r="E111"/>
  <c r="BN79" i="23"/>
  <c r="CK79"/>
  <c r="AQ63" i="28"/>
  <c r="AQ95"/>
  <c r="AQ46"/>
  <c r="CR269" i="20"/>
  <c r="V107" i="28"/>
  <c r="V108" s="1"/>
  <c r="CH24" i="20"/>
  <c r="BL91"/>
  <c r="BL113"/>
  <c r="CH113" s="1"/>
  <c r="AM107" i="28"/>
  <c r="AM108" s="1"/>
  <c r="CM274" i="20"/>
  <c r="BR274"/>
  <c r="BZ279" i="19"/>
  <c r="CU239" i="20"/>
  <c r="AO111" i="28"/>
  <c r="AO63"/>
  <c r="AO95"/>
  <c r="AO46"/>
  <c r="M46"/>
  <c r="M95"/>
  <c r="M63"/>
  <c r="AF63"/>
  <c r="AF95"/>
  <c r="AF46"/>
  <c r="AN109"/>
  <c r="AN95"/>
  <c r="AN63"/>
  <c r="AN46"/>
  <c r="CA1101" i="19"/>
  <c r="BZ1177"/>
  <c r="BZ1179" s="1"/>
  <c r="G107" i="28"/>
  <c r="G108" s="1"/>
  <c r="BW2" i="19"/>
  <c r="AP78" i="28"/>
  <c r="AP111"/>
  <c r="V109"/>
  <c r="S63"/>
  <c r="S46"/>
  <c r="S95"/>
  <c r="AE109"/>
  <c r="J110"/>
  <c r="CG126" i="20"/>
  <c r="AT110" i="28"/>
  <c r="AT77"/>
  <c r="CG473" i="20"/>
  <c r="O95" i="28"/>
  <c r="O63"/>
  <c r="O46"/>
  <c r="AC46"/>
  <c r="AC63"/>
  <c r="AC95"/>
  <c r="G46"/>
  <c r="G95"/>
  <c r="G63"/>
  <c r="BR358" i="20"/>
  <c r="BQ558"/>
  <c r="CM558" s="1"/>
  <c r="CM358"/>
  <c r="U50" i="28"/>
  <c r="V76" s="1"/>
  <c r="BN234" i="19"/>
  <c r="AP107" i="28"/>
  <c r="AP108" s="1"/>
  <c r="AP75"/>
  <c r="AD111"/>
  <c r="S107"/>
  <c r="S108" s="1"/>
  <c r="S75"/>
  <c r="L111"/>
  <c r="BB79" i="20"/>
  <c r="BB176" s="1"/>
  <c r="BB178" s="1"/>
  <c r="AH109" i="28"/>
  <c r="BV170" i="20"/>
  <c r="CR170" s="1"/>
  <c r="CR44"/>
  <c r="BW44"/>
  <c r="BA315"/>
  <c r="AZ211"/>
  <c r="AZ212" s="1"/>
  <c r="T46" i="28"/>
  <c r="T63"/>
  <c r="T95"/>
  <c r="Q109"/>
  <c r="AB46"/>
  <c r="AB63"/>
  <c r="AB95"/>
  <c r="AG78"/>
  <c r="O107"/>
  <c r="O108" s="1"/>
  <c r="O75"/>
  <c r="AS110"/>
  <c r="AS77"/>
  <c r="CO351" i="20"/>
  <c r="BS551"/>
  <c r="CO551" s="1"/>
  <c r="BT351"/>
  <c r="AC107" i="28"/>
  <c r="AC108" s="1"/>
  <c r="BW23" i="20"/>
  <c r="CR23"/>
  <c r="BZ1113" i="19"/>
  <c r="BY1171"/>
  <c r="BY1172"/>
  <c r="CO377" i="20"/>
  <c r="BT377"/>
  <c r="BK95"/>
  <c r="BK139"/>
  <c r="CG139" s="1"/>
  <c r="BL117"/>
  <c r="CH117" s="1"/>
  <c r="CG71"/>
  <c r="BL71"/>
  <c r="CO260"/>
  <c r="BT260"/>
  <c r="I46" i="28"/>
  <c r="I95"/>
  <c r="I63"/>
  <c r="R65" i="23"/>
  <c r="R66" s="1"/>
  <c r="R67" s="1"/>
  <c r="S63"/>
  <c r="AF2" i="28"/>
  <c r="AG24"/>
  <c r="AG62"/>
  <c r="AL46"/>
  <c r="AL63"/>
  <c r="AL95"/>
  <c r="AO75"/>
  <c r="AO107"/>
  <c r="AO108" s="1"/>
  <c r="E76"/>
  <c r="E109"/>
  <c r="E63"/>
  <c r="E46"/>
  <c r="E95"/>
  <c r="BU62" i="20"/>
  <c r="BT130"/>
  <c r="CP130" s="1"/>
  <c r="BT86"/>
  <c r="CP86" s="1"/>
  <c r="BU108"/>
  <c r="CQ108" s="1"/>
  <c r="CP62"/>
  <c r="AF61" i="23"/>
  <c r="AF62"/>
  <c r="AN75" i="28"/>
  <c r="AN107"/>
  <c r="AN108" s="1"/>
  <c r="K46"/>
  <c r="K95"/>
  <c r="K63"/>
  <c r="AR111"/>
  <c r="BW1123" i="19"/>
  <c r="BX1122"/>
  <c r="AO109" i="28"/>
  <c r="AO76"/>
  <c r="M78"/>
  <c r="M111"/>
  <c r="AF111"/>
  <c r="CP174" i="20"/>
  <c r="BU174"/>
  <c r="BP4" i="23"/>
  <c r="BP43" s="1"/>
  <c r="CL92" i="20"/>
  <c r="BU206"/>
  <c r="BT546"/>
  <c r="CP546" s="1"/>
  <c r="CP206"/>
  <c r="V110" i="28"/>
  <c r="CH93" i="20"/>
  <c r="Z78" i="28"/>
  <c r="AE95"/>
  <c r="AE63"/>
  <c r="AE46"/>
  <c r="AM78"/>
  <c r="AM111"/>
  <c r="J76"/>
  <c r="J109"/>
  <c r="BJ134" i="20"/>
  <c r="BJ90"/>
  <c r="BK66"/>
  <c r="BK112"/>
  <c r="BL126"/>
  <c r="CH58"/>
  <c r="BM58"/>
  <c r="BL82"/>
  <c r="BM104"/>
  <c r="AT111" i="28"/>
  <c r="AT78"/>
  <c r="AT109"/>
  <c r="O109"/>
  <c r="N63"/>
  <c r="N95"/>
  <c r="N46"/>
  <c r="AC77"/>
  <c r="AC110"/>
  <c r="Y78"/>
  <c r="Y111"/>
  <c r="Y109"/>
  <c r="G110"/>
  <c r="BR189" i="20"/>
  <c r="CN276"/>
  <c r="BS281"/>
  <c r="BS276" s="1"/>
  <c r="U53" i="28"/>
  <c r="V77" s="1"/>
  <c r="F54"/>
  <c r="F50"/>
  <c r="AQ54"/>
  <c r="I47"/>
  <c r="J75" s="1"/>
  <c r="T47"/>
  <c r="AH6" i="20"/>
  <c r="AI438"/>
  <c r="AH77" i="28"/>
  <c r="AH110"/>
  <c r="Q95"/>
  <c r="Q63"/>
  <c r="Q46"/>
  <c r="AP233" i="19"/>
  <c r="AG109" i="28"/>
  <c r="H95"/>
  <c r="H46"/>
  <c r="H63"/>
  <c r="AS109"/>
  <c r="R63"/>
  <c r="R95"/>
  <c r="R46"/>
  <c r="P76"/>
  <c r="P46"/>
  <c r="P95"/>
  <c r="P63"/>
  <c r="CG91" i="20"/>
  <c r="I109" i="28"/>
  <c r="BA329" i="20"/>
  <c r="AZ328"/>
  <c r="AZ412"/>
  <c r="CB1071" i="19"/>
  <c r="CA1159"/>
  <c r="CA1158" s="1"/>
  <c r="CA1176"/>
  <c r="AL78" i="28"/>
  <c r="AL111"/>
  <c r="CX51" i="20"/>
  <c r="AZ403"/>
  <c r="BT270"/>
  <c r="BT541"/>
  <c r="CP541" s="1"/>
  <c r="CP201"/>
  <c r="BU201"/>
  <c r="BU193"/>
  <c r="CP193"/>
  <c r="BT534"/>
  <c r="CP534" s="1"/>
  <c r="M107" i="28"/>
  <c r="M108" s="1"/>
  <c r="AJ77"/>
  <c r="Z107"/>
  <c r="Z108" s="1"/>
  <c r="AR46"/>
  <c r="AR63"/>
  <c r="AR95"/>
  <c r="J107"/>
  <c r="J108" s="1"/>
  <c r="CR438" i="20"/>
  <c r="CS6"/>
  <c r="AY479"/>
  <c r="AX486"/>
  <c r="CI255"/>
  <c r="BN255"/>
  <c r="CH331"/>
  <c r="BL473"/>
  <c r="BX801" i="19"/>
  <c r="Y75" i="28"/>
  <c r="BQ92" i="20"/>
  <c r="CM68"/>
  <c r="BR114"/>
  <c r="CN114" s="1"/>
  <c r="BR68"/>
  <c r="BQ136"/>
  <c r="CM136" s="1"/>
  <c r="BA389"/>
  <c r="BA326"/>
  <c r="BA320"/>
  <c r="BA396"/>
  <c r="BA319"/>
  <c r="V46" i="28"/>
  <c r="V63"/>
  <c r="V95"/>
  <c r="Z77"/>
  <c r="Z110"/>
  <c r="AM76"/>
  <c r="AM95"/>
  <c r="AM46"/>
  <c r="AM63"/>
  <c r="AW231" i="19"/>
  <c r="J111" i="28"/>
  <c r="CH104" i="20"/>
  <c r="AA109" i="28"/>
  <c r="Y63"/>
  <c r="Y46"/>
  <c r="Y95"/>
  <c r="BU195" i="20"/>
  <c r="CP195"/>
  <c r="BT536"/>
  <c r="CP536" s="1"/>
  <c r="BT238"/>
  <c r="X95" i="28"/>
  <c r="X46"/>
  <c r="X63"/>
  <c r="CM189" i="20"/>
  <c r="BQ531"/>
  <c r="CM531" s="1"/>
  <c r="CN281"/>
  <c r="AK50" i="28"/>
  <c r="T50"/>
  <c r="U54"/>
  <c r="F53"/>
  <c r="E53"/>
  <c r="AQ50"/>
  <c r="F47"/>
  <c r="G75" s="1"/>
  <c r="K50"/>
  <c r="AL47"/>
  <c r="AO53"/>
  <c r="AP77" s="1"/>
  <c r="E47"/>
  <c r="M50"/>
  <c r="AF53"/>
  <c r="AG77" s="1"/>
  <c r="AN53"/>
  <c r="S54"/>
  <c r="S53"/>
  <c r="AE54"/>
  <c r="AK47"/>
  <c r="Q47"/>
  <c r="R75" s="1"/>
  <c r="U47"/>
  <c r="O54"/>
  <c r="AC54"/>
  <c r="AD78" s="1"/>
  <c r="X53"/>
  <c r="Y77" s="1"/>
  <c r="AE62" i="23"/>
  <c r="AE42" s="1"/>
  <c r="AE107" i="28"/>
  <c r="AE108" s="1"/>
  <c r="AI78"/>
  <c r="AD63"/>
  <c r="AD95"/>
  <c r="AD46"/>
  <c r="AI76"/>
  <c r="L46"/>
  <c r="L95"/>
  <c r="L63"/>
  <c r="P107"/>
  <c r="P108" s="1"/>
  <c r="P75"/>
  <c r="BB326" i="20"/>
  <c r="BB389"/>
  <c r="BB319"/>
  <c r="BB396"/>
  <c r="BB320"/>
  <c r="W46" i="28"/>
  <c r="W95"/>
  <c r="W63"/>
  <c r="AH63"/>
  <c r="AH46"/>
  <c r="AH95"/>
  <c r="AI110"/>
  <c r="AI77"/>
  <c r="AI63"/>
  <c r="AI95"/>
  <c r="AI46"/>
  <c r="CP61" i="20"/>
  <c r="BT129"/>
  <c r="CP129" s="1"/>
  <c r="BU61"/>
  <c r="BU107"/>
  <c r="CQ107" s="1"/>
  <c r="BT85"/>
  <c r="CP85" s="1"/>
  <c r="AG46" i="28"/>
  <c r="AG63"/>
  <c r="AG95"/>
  <c r="AS46"/>
  <c r="AS95"/>
  <c r="AS63"/>
  <c r="X107"/>
  <c r="X108" s="1"/>
  <c r="BO43" i="23"/>
  <c r="CM4"/>
  <c r="CB1076" i="19"/>
  <c r="K75" i="28"/>
  <c r="CJ64" i="23"/>
  <c r="BM64"/>
  <c r="CV17" i="20"/>
  <c r="CP60"/>
  <c r="BU60"/>
  <c r="BT128"/>
  <c r="CP128" s="1"/>
  <c r="BT84"/>
  <c r="CP84" s="1"/>
  <c r="BU106"/>
  <c r="CQ106" s="1"/>
  <c r="AZ398"/>
  <c r="AZ381"/>
  <c r="AZ441"/>
  <c r="BZ1182" i="19"/>
  <c r="CA1080"/>
  <c r="AJ111" i="28"/>
  <c r="AJ95"/>
  <c r="AJ63"/>
  <c r="AJ46"/>
  <c r="CP186" i="20"/>
  <c r="BT528"/>
  <c r="CP528" s="1"/>
  <c r="BU186"/>
  <c r="BM24"/>
  <c r="BN81" i="19"/>
  <c r="AT107" i="28"/>
  <c r="AT108" s="1"/>
  <c r="BL121" i="20"/>
  <c r="CH121" s="1"/>
  <c r="CG75"/>
  <c r="BK99"/>
  <c r="CG99" s="1"/>
  <c r="BL75"/>
  <c r="BK143"/>
  <c r="CG143" s="1"/>
  <c r="CP173"/>
  <c r="BU173"/>
  <c r="CW371"/>
  <c r="AP76" i="28"/>
  <c r="AP95"/>
  <c r="AP46"/>
  <c r="AP63"/>
  <c r="BM137" i="20"/>
  <c r="CI137" s="1"/>
  <c r="BN69"/>
  <c r="BN115"/>
  <c r="CJ115" s="1"/>
  <c r="CI69"/>
  <c r="BM93"/>
  <c r="Z63" i="28"/>
  <c r="Z95"/>
  <c r="Z46"/>
  <c r="J95"/>
  <c r="J46"/>
  <c r="J63"/>
  <c r="BI168" i="20"/>
  <c r="BI171" s="1"/>
  <c r="BI169" s="1"/>
  <c r="BI191" s="1"/>
  <c r="AU106" i="28"/>
  <c r="CL43" i="23"/>
  <c r="CG82" i="20"/>
  <c r="BS217" i="19"/>
  <c r="AT95" i="28"/>
  <c r="AT63"/>
  <c r="AT46"/>
  <c r="AU74" s="1"/>
  <c r="AA78"/>
  <c r="AA111"/>
  <c r="AA95"/>
  <c r="AA46"/>
  <c r="AA63"/>
  <c r="BP226" i="19"/>
  <c r="BO232"/>
  <c r="BO234" s="1"/>
  <c r="CO238" i="20"/>
  <c r="AD53" i="28"/>
  <c r="AE77" s="1"/>
  <c r="L53"/>
  <c r="W53"/>
  <c r="AK53"/>
  <c r="T53"/>
  <c r="Q54"/>
  <c r="R78" s="1"/>
  <c r="AB50"/>
  <c r="AB54"/>
  <c r="H50"/>
  <c r="I76" s="1"/>
  <c r="R50"/>
  <c r="AD47"/>
  <c r="AE75" s="1"/>
  <c r="I54"/>
  <c r="J78" s="1"/>
  <c r="W47"/>
  <c r="X75" s="1"/>
  <c r="AL53"/>
  <c r="AB47"/>
  <c r="AQ53"/>
  <c r="AR77" s="1"/>
  <c r="K54"/>
  <c r="L78" s="1"/>
  <c r="AR50"/>
  <c r="M53"/>
  <c r="AF50"/>
  <c r="AQ47"/>
  <c r="AN54"/>
  <c r="AO78" s="1"/>
  <c r="V54"/>
  <c r="W78" s="1"/>
  <c r="S50"/>
  <c r="AR47"/>
  <c r="AM53"/>
  <c r="AY234" i="19"/>
  <c r="AF47" i="28"/>
  <c r="AU75"/>
  <c r="O53"/>
  <c r="P77" s="1"/>
  <c r="AS47"/>
  <c r="N53"/>
  <c r="AC50"/>
  <c r="G50"/>
  <c r="N75" l="1"/>
  <c r="AG76"/>
  <c r="Y107"/>
  <c r="Y108" s="1"/>
  <c r="P109"/>
  <c r="G111"/>
  <c r="AT76"/>
  <c r="AA75"/>
  <c r="AH76"/>
  <c r="BO438" i="20"/>
  <c r="BQ6"/>
  <c r="BP386"/>
  <c r="BP630"/>
  <c r="BP489"/>
  <c r="CL489" s="1"/>
  <c r="I77" i="28"/>
  <c r="BZ259" i="20"/>
  <c r="BY505"/>
  <c r="CD39"/>
  <c r="CD1160" i="19"/>
  <c r="CD1183" s="1"/>
  <c r="BW542" i="20"/>
  <c r="CS542" s="1"/>
  <c r="BX202"/>
  <c r="BY202" s="1"/>
  <c r="CS202"/>
  <c r="BW269"/>
  <c r="CS269" s="1"/>
  <c r="CB52"/>
  <c r="CW52"/>
  <c r="CA149"/>
  <c r="CB363"/>
  <c r="CA307"/>
  <c r="CA561"/>
  <c r="CA413"/>
  <c r="CA463" s="1"/>
  <c r="CA632" s="1"/>
  <c r="CA63"/>
  <c r="CA64"/>
  <c r="CC29"/>
  <c r="CX29"/>
  <c r="CA366"/>
  <c r="CV366"/>
  <c r="CA14"/>
  <c r="BZ81"/>
  <c r="CV81" s="1"/>
  <c r="CA125"/>
  <c r="BZ103"/>
  <c r="CD50"/>
  <c r="CZ50" s="1"/>
  <c r="CY50"/>
  <c r="BZ131"/>
  <c r="BZ87"/>
  <c r="CA109"/>
  <c r="CC383"/>
  <c r="CD383" s="1"/>
  <c r="AI111" i="28"/>
  <c r="AA76"/>
  <c r="O76"/>
  <c r="H110"/>
  <c r="AB77"/>
  <c r="Q77"/>
  <c r="CY42" i="20"/>
  <c r="CA110"/>
  <c r="BZ132"/>
  <c r="BZ88"/>
  <c r="BM67"/>
  <c r="CH67"/>
  <c r="BL135"/>
  <c r="CH135" s="1"/>
  <c r="X76" i="28"/>
  <c r="AA77"/>
  <c r="AJ109"/>
  <c r="CD42" i="20"/>
  <c r="CD1162" i="19"/>
  <c r="CD1185" s="1"/>
  <c r="Z76" i="28"/>
  <c r="G78"/>
  <c r="X109"/>
  <c r="AE76"/>
  <c r="CU132" i="20"/>
  <c r="CU64"/>
  <c r="CV110"/>
  <c r="CU88"/>
  <c r="CV363"/>
  <c r="CV307"/>
  <c r="BZ35" i="23"/>
  <c r="BZ36" s="1"/>
  <c r="CV561" i="20"/>
  <c r="CU149"/>
  <c r="CU413"/>
  <c r="CT463"/>
  <c r="BX632"/>
  <c r="CT365"/>
  <c r="BX38" i="23"/>
  <c r="CT383" i="20"/>
  <c r="CT259"/>
  <c r="BX505"/>
  <c r="CT505" s="1"/>
  <c r="BH313"/>
  <c r="AW222" i="19"/>
  <c r="AV221"/>
  <c r="AU225"/>
  <c r="AZ108" i="28"/>
  <c r="AZ114"/>
  <c r="AW218" i="19"/>
  <c r="BY265"/>
  <c r="BX214" i="20"/>
  <c r="CT214" s="1"/>
  <c r="CJ479"/>
  <c r="AW224" i="19"/>
  <c r="BW306" i="20"/>
  <c r="BX50" i="19"/>
  <c r="AW230"/>
  <c r="AW229"/>
  <c r="AW220"/>
  <c r="BH94" i="20"/>
  <c r="BI70"/>
  <c r="BH138"/>
  <c r="BI116"/>
  <c r="AV217" i="19"/>
  <c r="AW223"/>
  <c r="CR306" i="20"/>
  <c r="BV305"/>
  <c r="BT442"/>
  <c r="CP390"/>
  <c r="BT434"/>
  <c r="BU390"/>
  <c r="BT8" i="28"/>
  <c r="CQ305" i="20"/>
  <c r="BU32" i="23"/>
  <c r="AV226" i="19"/>
  <c r="AW474" i="20"/>
  <c r="AV483"/>
  <c r="CK486"/>
  <c r="BO479"/>
  <c r="BP486"/>
  <c r="BC325"/>
  <c r="P78" i="28"/>
  <c r="AX232" i="19"/>
  <c r="AM109" i="28"/>
  <c r="J77"/>
  <c r="CM261" i="20"/>
  <c r="BP161"/>
  <c r="CL161" s="1"/>
  <c r="CL80"/>
  <c r="BP221"/>
  <c r="BP162"/>
  <c r="CL262"/>
  <c r="BQ262"/>
  <c r="CM382"/>
  <c r="BR382"/>
  <c r="BQ33" i="23"/>
  <c r="CV53" i="20"/>
  <c r="CU36"/>
  <c r="BZ86" i="19"/>
  <c r="BZ36" i="20" s="1"/>
  <c r="BL400"/>
  <c r="CH322"/>
  <c r="CJ98"/>
  <c r="CR364"/>
  <c r="BW364"/>
  <c r="BO164"/>
  <c r="CK164" s="1"/>
  <c r="CK162"/>
  <c r="CT36"/>
  <c r="BR56"/>
  <c r="BR102"/>
  <c r="CN102" s="1"/>
  <c r="CM56"/>
  <c r="BR261"/>
  <c r="BQ80"/>
  <c r="BQ124"/>
  <c r="CM124" s="1"/>
  <c r="CK74"/>
  <c r="BO142"/>
  <c r="CK142" s="1"/>
  <c r="BP120"/>
  <c r="CL120" s="1"/>
  <c r="BO98"/>
  <c r="BP74"/>
  <c r="CW367"/>
  <c r="BL31" i="28"/>
  <c r="CG31" s="1"/>
  <c r="CI332" i="20"/>
  <c r="BM322"/>
  <c r="BL105"/>
  <c r="CH105" s="1"/>
  <c r="CG59"/>
  <c r="BK127"/>
  <c r="CG127" s="1"/>
  <c r="BK83"/>
  <c r="BL59"/>
  <c r="CW125"/>
  <c r="CV14"/>
  <c r="CV103"/>
  <c r="BN73"/>
  <c r="BN119"/>
  <c r="CJ119" s="1"/>
  <c r="BM141"/>
  <c r="CI141" s="1"/>
  <c r="CI73"/>
  <c r="BM97"/>
  <c r="CI97" s="1"/>
  <c r="BK449"/>
  <c r="CG449" s="1"/>
  <c r="CG400"/>
  <c r="CW380"/>
  <c r="CI233"/>
  <c r="CJ232"/>
  <c r="BO232"/>
  <c r="BN581"/>
  <c r="CJ581" s="1"/>
  <c r="BN332"/>
  <c r="BN233"/>
  <c r="BQ316"/>
  <c r="CL316"/>
  <c r="BV60"/>
  <c r="CQ60"/>
  <c r="BU128"/>
  <c r="CQ128" s="1"/>
  <c r="BU84"/>
  <c r="CQ84" s="1"/>
  <c r="BV106"/>
  <c r="CR106" s="1"/>
  <c r="AG106" i="28"/>
  <c r="AG74"/>
  <c r="BU129" i="20"/>
  <c r="CQ129" s="1"/>
  <c r="BV107"/>
  <c r="CR107" s="1"/>
  <c r="BV61"/>
  <c r="CQ61"/>
  <c r="BU85"/>
  <c r="CQ85" s="1"/>
  <c r="AH74" i="28"/>
  <c r="AH106"/>
  <c r="W74"/>
  <c r="W106"/>
  <c r="BB441" i="20"/>
  <c r="L106" i="28"/>
  <c r="L74"/>
  <c r="U107"/>
  <c r="U108" s="1"/>
  <c r="U75"/>
  <c r="AE78"/>
  <c r="AE111"/>
  <c r="K109"/>
  <c r="K76"/>
  <c r="F110"/>
  <c r="F77"/>
  <c r="T109"/>
  <c r="T76"/>
  <c r="X106"/>
  <c r="X74"/>
  <c r="AV231" i="19"/>
  <c r="AW232"/>
  <c r="BQ4" i="23"/>
  <c r="BQ43" s="1"/>
  <c r="CM92" i="20"/>
  <c r="BY801" i="19"/>
  <c r="BZ801" s="1"/>
  <c r="CA801" s="1"/>
  <c r="CB801" s="1"/>
  <c r="CC801" s="1"/>
  <c r="CD801" s="1"/>
  <c r="CH473" i="20"/>
  <c r="CI331"/>
  <c r="BM473"/>
  <c r="CY51"/>
  <c r="CZ51"/>
  <c r="R74" i="28"/>
  <c r="R106"/>
  <c r="H106"/>
  <c r="H74"/>
  <c r="AH438" i="20"/>
  <c r="AG6"/>
  <c r="F109" i="28"/>
  <c r="F76"/>
  <c r="CI104" i="20"/>
  <c r="CH126"/>
  <c r="CQ174"/>
  <c r="BV174"/>
  <c r="I106" i="28"/>
  <c r="I74"/>
  <c r="BU377" i="20"/>
  <c r="CP377"/>
  <c r="BX44"/>
  <c r="BY44" s="1"/>
  <c r="BW170"/>
  <c r="CS170" s="1"/>
  <c r="CS44"/>
  <c r="BS358"/>
  <c r="CN358"/>
  <c r="BR558"/>
  <c r="CN558" s="1"/>
  <c r="AC74" i="28"/>
  <c r="AC106"/>
  <c r="BX2" i="19"/>
  <c r="M74" i="28"/>
  <c r="M106"/>
  <c r="BC79" i="20"/>
  <c r="BC176" s="1"/>
  <c r="BC178" s="1"/>
  <c r="AF42" i="23"/>
  <c r="G109" i="28"/>
  <c r="G76"/>
  <c r="AN111"/>
  <c r="AN78"/>
  <c r="W107"/>
  <c r="W108" s="1"/>
  <c r="W75"/>
  <c r="BQ226" i="19"/>
  <c r="BP232"/>
  <c r="BP234" s="1"/>
  <c r="Z74" i="28"/>
  <c r="Z106"/>
  <c r="V78"/>
  <c r="V111"/>
  <c r="AP74"/>
  <c r="AP106"/>
  <c r="AI106"/>
  <c r="AI74"/>
  <c r="O111"/>
  <c r="O78"/>
  <c r="M76"/>
  <c r="M109"/>
  <c r="AL75"/>
  <c r="AL107"/>
  <c r="AL108" s="1"/>
  <c r="E77"/>
  <c r="E110"/>
  <c r="Y106"/>
  <c r="Y74"/>
  <c r="BA381" i="20"/>
  <c r="BA398"/>
  <c r="BA441"/>
  <c r="CC1071" i="19"/>
  <c r="CB1176"/>
  <c r="T107" i="28"/>
  <c r="T108" s="1"/>
  <c r="T75"/>
  <c r="CO281" i="20"/>
  <c r="BR531"/>
  <c r="CN531" s="1"/>
  <c r="CN189"/>
  <c r="BJ168"/>
  <c r="BJ171" s="1"/>
  <c r="BJ169" s="1"/>
  <c r="BJ191" s="1"/>
  <c r="AE74" i="28"/>
  <c r="AE106"/>
  <c r="BV206" i="20"/>
  <c r="BU546"/>
  <c r="CQ546" s="1"/>
  <c r="CQ206"/>
  <c r="BV62"/>
  <c r="BV108"/>
  <c r="CR108" s="1"/>
  <c r="BU130"/>
  <c r="CQ130" s="1"/>
  <c r="BU86"/>
  <c r="CQ86" s="1"/>
  <c r="CQ62"/>
  <c r="AL74" i="28"/>
  <c r="AL106"/>
  <c r="S65" i="23"/>
  <c r="S66" s="1"/>
  <c r="S67" s="1"/>
  <c r="T63"/>
  <c r="T106" i="28"/>
  <c r="T74"/>
  <c r="S106"/>
  <c r="S74"/>
  <c r="AF74"/>
  <c r="AF106"/>
  <c r="CV239" i="20"/>
  <c r="CA279" i="19"/>
  <c r="CH91" i="20"/>
  <c r="AQ74" i="28"/>
  <c r="AQ106"/>
  <c r="CL79" i="23"/>
  <c r="BO79"/>
  <c r="U106" i="28"/>
  <c r="U74"/>
  <c r="CP198" i="20"/>
  <c r="BU198"/>
  <c r="BT539"/>
  <c r="CP539" s="1"/>
  <c r="G77" i="28"/>
  <c r="AF78"/>
  <c r="AM75"/>
  <c r="BC304" i="20"/>
  <c r="O110" i="28"/>
  <c r="O77"/>
  <c r="L77"/>
  <c r="L110"/>
  <c r="J74"/>
  <c r="J106"/>
  <c r="M110"/>
  <c r="M77"/>
  <c r="AB109"/>
  <c r="AB76"/>
  <c r="CQ173" i="20"/>
  <c r="BV173"/>
  <c r="AB107" i="28"/>
  <c r="AB108" s="1"/>
  <c r="AB75"/>
  <c r="AT106"/>
  <c r="AT74"/>
  <c r="BL143" i="20"/>
  <c r="CH143" s="1"/>
  <c r="CH75"/>
  <c r="BL99"/>
  <c r="CH99" s="1"/>
  <c r="BM121"/>
  <c r="CI121" s="1"/>
  <c r="BM75"/>
  <c r="CM43" i="23"/>
  <c r="S78" i="28"/>
  <c r="S111"/>
  <c r="AQ76"/>
  <c r="AQ109"/>
  <c r="U78"/>
  <c r="U111"/>
  <c r="CP238" i="20"/>
  <c r="AM106" i="28"/>
  <c r="AM74"/>
  <c r="V74"/>
  <c r="V106"/>
  <c r="BA428" i="20"/>
  <c r="BA447"/>
  <c r="BA392"/>
  <c r="AW486"/>
  <c r="AX479"/>
  <c r="CS438"/>
  <c r="CT6"/>
  <c r="AR106" i="28"/>
  <c r="AR74"/>
  <c r="CQ201" i="20"/>
  <c r="BV201"/>
  <c r="BU541"/>
  <c r="CQ541" s="1"/>
  <c r="BU270"/>
  <c r="AZ452"/>
  <c r="CW17"/>
  <c r="BA328"/>
  <c r="BB329"/>
  <c r="BA295"/>
  <c r="P106" i="28"/>
  <c r="P74"/>
  <c r="Q74"/>
  <c r="Q106"/>
  <c r="AQ111"/>
  <c r="AQ78"/>
  <c r="U110"/>
  <c r="U77"/>
  <c r="BT281" i="20"/>
  <c r="BS189"/>
  <c r="CO276"/>
  <c r="BT276"/>
  <c r="BN58"/>
  <c r="CI58"/>
  <c r="BM82"/>
  <c r="BM126"/>
  <c r="BN104"/>
  <c r="BK90"/>
  <c r="BL66"/>
  <c r="BK134"/>
  <c r="BL112"/>
  <c r="CG66"/>
  <c r="BX1123" i="19"/>
  <c r="BY1122"/>
  <c r="AG61" i="23"/>
  <c r="AG62"/>
  <c r="AG42" s="1"/>
  <c r="AE2" i="28"/>
  <c r="AF62"/>
  <c r="AF24"/>
  <c r="CP260" i="20"/>
  <c r="BU260"/>
  <c r="BM71"/>
  <c r="CH71"/>
  <c r="BL139"/>
  <c r="CH139" s="1"/>
  <c r="BM117"/>
  <c r="CI117" s="1"/>
  <c r="BL95"/>
  <c r="CG95"/>
  <c r="BZ1172" i="19"/>
  <c r="CA1113"/>
  <c r="BZ1171"/>
  <c r="AB74" i="28"/>
  <c r="AB106"/>
  <c r="AN106"/>
  <c r="AN74"/>
  <c r="BD140" i="20"/>
  <c r="BD123" s="1"/>
  <c r="BD304" s="1"/>
  <c r="BE118"/>
  <c r="BE101" s="1"/>
  <c r="BD96"/>
  <c r="BE72"/>
  <c r="AC75" i="28"/>
  <c r="AM110"/>
  <c r="AM77"/>
  <c r="R76"/>
  <c r="R109"/>
  <c r="AK110"/>
  <c r="AK77"/>
  <c r="CJ69" i="20"/>
  <c r="BN137"/>
  <c r="CJ137" s="1"/>
  <c r="BO69"/>
  <c r="BN93"/>
  <c r="BO115"/>
  <c r="CK115" s="1"/>
  <c r="BO81" i="19"/>
  <c r="BP81" s="1"/>
  <c r="BQ81" s="1"/>
  <c r="BR81" s="1"/>
  <c r="BS81" s="1"/>
  <c r="BT81" s="1"/>
  <c r="BU81" s="1"/>
  <c r="BV81" s="1"/>
  <c r="BW81" s="1"/>
  <c r="BX81" s="1"/>
  <c r="BY81" s="1"/>
  <c r="BZ81" s="1"/>
  <c r="CA81" s="1"/>
  <c r="CB81" s="1"/>
  <c r="CC81" s="1"/>
  <c r="CD81" s="1"/>
  <c r="BN24" i="20"/>
  <c r="AS107" i="28"/>
  <c r="AS108" s="1"/>
  <c r="AS75"/>
  <c r="AL110"/>
  <c r="AL77"/>
  <c r="AD107"/>
  <c r="AD108" s="1"/>
  <c r="AD75"/>
  <c r="T77"/>
  <c r="T110"/>
  <c r="N77"/>
  <c r="N110"/>
  <c r="AF75"/>
  <c r="AF107"/>
  <c r="AF108" s="1"/>
  <c r="S76"/>
  <c r="S109"/>
  <c r="AF109"/>
  <c r="AF76"/>
  <c r="K111"/>
  <c r="K78"/>
  <c r="AB78"/>
  <c r="AB111"/>
  <c r="Q111"/>
  <c r="Q78"/>
  <c r="W110"/>
  <c r="W77"/>
  <c r="AA106"/>
  <c r="AA74"/>
  <c r="CX371" i="20"/>
  <c r="BV186"/>
  <c r="CQ186"/>
  <c r="BU528"/>
  <c r="CQ528" s="1"/>
  <c r="CC1076" i="19"/>
  <c r="BB447" i="20"/>
  <c r="BB428"/>
  <c r="BB392"/>
  <c r="BB403"/>
  <c r="AC78" i="28"/>
  <c r="AC111"/>
  <c r="AK75"/>
  <c r="AK107"/>
  <c r="AK108" s="1"/>
  <c r="AF77"/>
  <c r="AF110"/>
  <c r="AO110"/>
  <c r="AO77"/>
  <c r="AC109"/>
  <c r="AC76"/>
  <c r="AR75"/>
  <c r="AR107"/>
  <c r="AR108" s="1"/>
  <c r="AQ107"/>
  <c r="AQ108" s="1"/>
  <c r="AQ75"/>
  <c r="AR109"/>
  <c r="AR76"/>
  <c r="AQ110"/>
  <c r="AQ77"/>
  <c r="I111"/>
  <c r="I78"/>
  <c r="H76"/>
  <c r="H109"/>
  <c r="AD110"/>
  <c r="AD77"/>
  <c r="CI93" i="20"/>
  <c r="CI24"/>
  <c r="BM113"/>
  <c r="CI113" s="1"/>
  <c r="BM91"/>
  <c r="AJ74" i="28"/>
  <c r="AJ106"/>
  <c r="CB1080" i="19"/>
  <c r="CA1182"/>
  <c r="BN64" i="23"/>
  <c r="CK64"/>
  <c r="AS106" i="28"/>
  <c r="AS74"/>
  <c r="BB381" i="20"/>
  <c r="BB398"/>
  <c r="AD74" i="28"/>
  <c r="AD106"/>
  <c r="X110"/>
  <c r="X77"/>
  <c r="Q107"/>
  <c r="Q108" s="1"/>
  <c r="Q75"/>
  <c r="S77"/>
  <c r="S110"/>
  <c r="AN77"/>
  <c r="AN110"/>
  <c r="E75"/>
  <c r="E107"/>
  <c r="E108" s="1"/>
  <c r="F107"/>
  <c r="F108" s="1"/>
  <c r="F75"/>
  <c r="AK76"/>
  <c r="AK109"/>
  <c r="BV195" i="20"/>
  <c r="CQ195"/>
  <c r="BU536"/>
  <c r="CQ536" s="1"/>
  <c r="BU238"/>
  <c r="BA403"/>
  <c r="BS68"/>
  <c r="BS114"/>
  <c r="CO114" s="1"/>
  <c r="BR136"/>
  <c r="CN136" s="1"/>
  <c r="BR92"/>
  <c r="CN68"/>
  <c r="BO255"/>
  <c r="BN604"/>
  <c r="CJ604" s="1"/>
  <c r="CJ255"/>
  <c r="BN331"/>
  <c r="BV193"/>
  <c r="BU534"/>
  <c r="CQ534" s="1"/>
  <c r="CQ193"/>
  <c r="CP270"/>
  <c r="I107" i="28"/>
  <c r="I108" s="1"/>
  <c r="I75"/>
  <c r="F111"/>
  <c r="F78"/>
  <c r="N106"/>
  <c r="N74"/>
  <c r="CH82" i="20"/>
  <c r="CG112"/>
  <c r="K106" i="28"/>
  <c r="K74"/>
  <c r="E74"/>
  <c r="E106"/>
  <c r="BX23" i="20"/>
  <c r="CS23"/>
  <c r="BT551"/>
  <c r="CP551" s="1"/>
  <c r="CP351"/>
  <c r="BU351"/>
  <c r="BA211"/>
  <c r="BA212" s="1"/>
  <c r="BB315"/>
  <c r="U109" i="28"/>
  <c r="U76"/>
  <c r="G106"/>
  <c r="G74"/>
  <c r="O74"/>
  <c r="O106"/>
  <c r="CB1101" i="19"/>
  <c r="CB1159" s="1"/>
  <c r="CB1158" s="1"/>
  <c r="CA1177"/>
  <c r="CA1179" s="1"/>
  <c r="AO106" i="28"/>
  <c r="AO74"/>
  <c r="BS274" i="20"/>
  <c r="CN274"/>
  <c r="BZ1175" i="19"/>
  <c r="BZ1157"/>
  <c r="CA1078"/>
  <c r="BV15" i="20"/>
  <c r="CQ15"/>
  <c r="BS165"/>
  <c r="CN165"/>
  <c r="F106" i="28"/>
  <c r="F74"/>
  <c r="AK74"/>
  <c r="AK106"/>
  <c r="AT75"/>
  <c r="L76"/>
  <c r="AD76"/>
  <c r="AS76"/>
  <c r="N76"/>
  <c r="AR78"/>
  <c r="V75"/>
  <c r="AL76"/>
  <c r="T78"/>
  <c r="BD325" i="20"/>
  <c r="AG75" i="28"/>
  <c r="BR6" i="20" l="1"/>
  <c r="BQ630"/>
  <c r="BQ386"/>
  <c r="BQ489"/>
  <c r="CM489" s="1"/>
  <c r="BP438"/>
  <c r="BY542"/>
  <c r="CU542" s="1"/>
  <c r="BY269"/>
  <c r="CU202"/>
  <c r="BZ44"/>
  <c r="CA131"/>
  <c r="CA87"/>
  <c r="CB109"/>
  <c r="CB413"/>
  <c r="CB463" s="1"/>
  <c r="CB632" s="1"/>
  <c r="CB307"/>
  <c r="CB561"/>
  <c r="CB149"/>
  <c r="CC363"/>
  <c r="CB63"/>
  <c r="CB64"/>
  <c r="CA259"/>
  <c r="BZ505"/>
  <c r="BZ202"/>
  <c r="BY23"/>
  <c r="BY170" s="1"/>
  <c r="CA81"/>
  <c r="CB125"/>
  <c r="CA103"/>
  <c r="CB14"/>
  <c r="CB110"/>
  <c r="CA132"/>
  <c r="CA88"/>
  <c r="CC52"/>
  <c r="CX52"/>
  <c r="CZ42"/>
  <c r="CD29"/>
  <c r="CY29"/>
  <c r="CT202"/>
  <c r="BX269"/>
  <c r="CT269" s="1"/>
  <c r="BX542"/>
  <c r="CT542" s="1"/>
  <c r="CZ39"/>
  <c r="CI67"/>
  <c r="BN67"/>
  <c r="BM135"/>
  <c r="CI135" s="1"/>
  <c r="CB366"/>
  <c r="CW366"/>
  <c r="CV413"/>
  <c r="CU463"/>
  <c r="CV132"/>
  <c r="CW110"/>
  <c r="CV64"/>
  <c r="CV88"/>
  <c r="CV149"/>
  <c r="CW307"/>
  <c r="CW561"/>
  <c r="CW363"/>
  <c r="CA35" i="23"/>
  <c r="CA36" s="1"/>
  <c r="CV383" i="20"/>
  <c r="CW383"/>
  <c r="CU259"/>
  <c r="CU505"/>
  <c r="CU383"/>
  <c r="CX383"/>
  <c r="CU365"/>
  <c r="BY38" i="23"/>
  <c r="AX234" i="19"/>
  <c r="CK479" i="20"/>
  <c r="AV474"/>
  <c r="AU483"/>
  <c r="CP442"/>
  <c r="AV223" i="19"/>
  <c r="AU217"/>
  <c r="AV220"/>
  <c r="AV230"/>
  <c r="CS306" i="20"/>
  <c r="BW305"/>
  <c r="AV224" i="19"/>
  <c r="AV218"/>
  <c r="BQ486" i="20"/>
  <c r="CL486"/>
  <c r="AU226" i="19"/>
  <c r="BU442" i="20"/>
  <c r="CQ442" s="1"/>
  <c r="CQ390"/>
  <c r="BU434"/>
  <c r="BU8" i="28"/>
  <c r="BV390" i="20"/>
  <c r="BV32" i="23"/>
  <c r="CR305" i="20"/>
  <c r="BJ116"/>
  <c r="BI138"/>
  <c r="BI94"/>
  <c r="BJ70"/>
  <c r="AV229" i="19"/>
  <c r="BY50"/>
  <c r="BY306" i="20" s="1"/>
  <c r="BY305" s="1"/>
  <c r="BY390" s="1"/>
  <c r="BX306"/>
  <c r="BZ265" i="19"/>
  <c r="CU214" i="20"/>
  <c r="AT225" i="19"/>
  <c r="AU221"/>
  <c r="AV222"/>
  <c r="BI313" i="20"/>
  <c r="CJ233"/>
  <c r="BN582"/>
  <c r="CJ582" s="1"/>
  <c r="CK98"/>
  <c r="CH400"/>
  <c r="BL449"/>
  <c r="CH449" s="1"/>
  <c r="CM262"/>
  <c r="BR262"/>
  <c r="CM316"/>
  <c r="BR316"/>
  <c r="CK232"/>
  <c r="BO332"/>
  <c r="BO233"/>
  <c r="BM400"/>
  <c r="CI322"/>
  <c r="BP98"/>
  <c r="BQ74"/>
  <c r="BQ120"/>
  <c r="CM120" s="1"/>
  <c r="CL74"/>
  <c r="BP142"/>
  <c r="CL142" s="1"/>
  <c r="CN261"/>
  <c r="CW53"/>
  <c r="BP163"/>
  <c r="CL163" s="1"/>
  <c r="CL221"/>
  <c r="CX380"/>
  <c r="BK78"/>
  <c r="CG83"/>
  <c r="BS102"/>
  <c r="CO102" s="1"/>
  <c r="BS56"/>
  <c r="BR124"/>
  <c r="CN124" s="1"/>
  <c r="BR80"/>
  <c r="CN56"/>
  <c r="BS261"/>
  <c r="CO261" s="1"/>
  <c r="CS364"/>
  <c r="BX364"/>
  <c r="BY364" s="1"/>
  <c r="BZ364" s="1"/>
  <c r="CA364" s="1"/>
  <c r="CB364" s="1"/>
  <c r="CC364" s="1"/>
  <c r="CD364" s="1"/>
  <c r="CL162"/>
  <c r="BP164"/>
  <c r="CL164" s="1"/>
  <c r="CJ332"/>
  <c r="BM31" i="28"/>
  <c r="CH31" s="1"/>
  <c r="BN322" i="20"/>
  <c r="BO119"/>
  <c r="CK119" s="1"/>
  <c r="CJ73"/>
  <c r="BN97"/>
  <c r="CJ97" s="1"/>
  <c r="BN141"/>
  <c r="CJ141" s="1"/>
  <c r="BO73"/>
  <c r="CX125"/>
  <c r="CW14"/>
  <c r="CW81"/>
  <c r="CW103"/>
  <c r="BL83"/>
  <c r="BM59"/>
  <c r="CH59"/>
  <c r="BM105"/>
  <c r="CI105" s="1"/>
  <c r="BL127"/>
  <c r="CH127" s="1"/>
  <c r="CX367"/>
  <c r="BQ161"/>
  <c r="CM161" s="1"/>
  <c r="CM80"/>
  <c r="BQ221"/>
  <c r="BQ162"/>
  <c r="CV36"/>
  <c r="CA86" i="19"/>
  <c r="CA36" i="20" s="1"/>
  <c r="BS382"/>
  <c r="BR33" i="23"/>
  <c r="CN382" i="20"/>
  <c r="CI91"/>
  <c r="CJ93"/>
  <c r="CH95"/>
  <c r="BN117"/>
  <c r="CJ117" s="1"/>
  <c r="BM95"/>
  <c r="BM139"/>
  <c r="CI139" s="1"/>
  <c r="BN71"/>
  <c r="CI71"/>
  <c r="BZ1122" i="19"/>
  <c r="BY1123"/>
  <c r="BK168" i="20"/>
  <c r="CG90"/>
  <c r="CP276"/>
  <c r="BT189"/>
  <c r="BU281"/>
  <c r="BU276" s="1"/>
  <c r="BC329"/>
  <c r="BB295"/>
  <c r="BB328"/>
  <c r="CQ270"/>
  <c r="BC389"/>
  <c r="BC326"/>
  <c r="CM79" i="23"/>
  <c r="BP79"/>
  <c r="BQ79" s="1"/>
  <c r="BR226" i="19"/>
  <c r="BQ232"/>
  <c r="BQ234" s="1"/>
  <c r="AU231"/>
  <c r="AV232"/>
  <c r="BT165" i="20"/>
  <c r="CO165"/>
  <c r="BO64" i="23"/>
  <c r="CL64"/>
  <c r="CD1076" i="19"/>
  <c r="CV202" i="20"/>
  <c r="BD79"/>
  <c r="BD176" s="1"/>
  <c r="BD178" s="1"/>
  <c r="CB1113" i="19"/>
  <c r="CA1172"/>
  <c r="CA1171"/>
  <c r="BL134" i="20"/>
  <c r="CH66"/>
  <c r="BM112"/>
  <c r="BL90"/>
  <c r="BM66"/>
  <c r="CI82"/>
  <c r="BA338"/>
  <c r="BA337"/>
  <c r="CT438"/>
  <c r="CU6"/>
  <c r="CQ198"/>
  <c r="BV198"/>
  <c r="BU539"/>
  <c r="CQ539" s="1"/>
  <c r="CW239"/>
  <c r="CB279" i="19"/>
  <c r="U63" i="23"/>
  <c r="T65"/>
  <c r="T66" s="1"/>
  <c r="T67" s="1"/>
  <c r="BV130" i="20"/>
  <c r="CR130" s="1"/>
  <c r="BW108"/>
  <c r="CS108" s="1"/>
  <c r="CR62"/>
  <c r="BV86"/>
  <c r="CR86" s="1"/>
  <c r="BW62"/>
  <c r="CX17"/>
  <c r="CR174"/>
  <c r="BW174"/>
  <c r="AF6"/>
  <c r="AG438"/>
  <c r="CI473"/>
  <c r="CQ351"/>
  <c r="BV351"/>
  <c r="BU551"/>
  <c r="CQ551" s="1"/>
  <c r="CQ238"/>
  <c r="CB1078" i="19"/>
  <c r="CA1157"/>
  <c r="CA1175"/>
  <c r="CK255" i="20"/>
  <c r="BP255"/>
  <c r="BO331"/>
  <c r="BW15"/>
  <c r="CR15"/>
  <c r="CC1101" i="19"/>
  <c r="CB1177"/>
  <c r="CB1179" s="1"/>
  <c r="BA452" i="20"/>
  <c r="AH61" i="23"/>
  <c r="CG134" i="20"/>
  <c r="CP281"/>
  <c r="CR201"/>
  <c r="BV270"/>
  <c r="BV541"/>
  <c r="CR541" s="1"/>
  <c r="BW201"/>
  <c r="AW479"/>
  <c r="AV486"/>
  <c r="BW173"/>
  <c r="CR173"/>
  <c r="BT358"/>
  <c r="BS558"/>
  <c r="CO558" s="1"/>
  <c r="CO358"/>
  <c r="BX170"/>
  <c r="CT170" s="1"/>
  <c r="CT44"/>
  <c r="CR61"/>
  <c r="BW107"/>
  <c r="CS107" s="1"/>
  <c r="BW61"/>
  <c r="BV85"/>
  <c r="CR85" s="1"/>
  <c r="BV129"/>
  <c r="CR129" s="1"/>
  <c r="CT23"/>
  <c r="BN473"/>
  <c r="CJ331"/>
  <c r="CR195"/>
  <c r="BV238"/>
  <c r="BV536"/>
  <c r="CR536" s="1"/>
  <c r="BW195"/>
  <c r="BT274"/>
  <c r="CO274"/>
  <c r="BR4" i="23"/>
  <c r="BR43" s="1"/>
  <c r="CN92" i="20"/>
  <c r="BB452"/>
  <c r="CY371"/>
  <c r="BF118"/>
  <c r="BF101" s="1"/>
  <c r="BE96"/>
  <c r="BF72"/>
  <c r="BE140"/>
  <c r="BE123" s="1"/>
  <c r="CQ260"/>
  <c r="BV260"/>
  <c r="AE24" i="28"/>
  <c r="AD2"/>
  <c r="AE62"/>
  <c r="CI126" i="20"/>
  <c r="BC315"/>
  <c r="BB211"/>
  <c r="BB212" s="1"/>
  <c r="BW193"/>
  <c r="BV534"/>
  <c r="CR534" s="1"/>
  <c r="CR193"/>
  <c r="CO68"/>
  <c r="BS136"/>
  <c r="CO136" s="1"/>
  <c r="BT114"/>
  <c r="CP114" s="1"/>
  <c r="BT68"/>
  <c r="BS92"/>
  <c r="CC1080" i="19"/>
  <c r="CB1182"/>
  <c r="CR186" i="20"/>
  <c r="BW186"/>
  <c r="BV528"/>
  <c r="CR528" s="1"/>
  <c r="BO24"/>
  <c r="CJ24"/>
  <c r="BN113"/>
  <c r="CJ113" s="1"/>
  <c r="BN91"/>
  <c r="BP69"/>
  <c r="BO93"/>
  <c r="BO137"/>
  <c r="CK137" s="1"/>
  <c r="BP115"/>
  <c r="CL115" s="1"/>
  <c r="CK69"/>
  <c r="BD389"/>
  <c r="BD326"/>
  <c r="CH112"/>
  <c r="CJ104"/>
  <c r="CJ58"/>
  <c r="BO58"/>
  <c r="BN126"/>
  <c r="BN82"/>
  <c r="BO104"/>
  <c r="CO189"/>
  <c r="BS531"/>
  <c r="CO531" s="1"/>
  <c r="BM143"/>
  <c r="CI143" s="1"/>
  <c r="CI75"/>
  <c r="BN75"/>
  <c r="BM99"/>
  <c r="CI99" s="1"/>
  <c r="BN121"/>
  <c r="CJ121" s="1"/>
  <c r="CU269"/>
  <c r="BV546"/>
  <c r="CR546" s="1"/>
  <c r="BW206"/>
  <c r="CR206"/>
  <c r="CD1071" i="19"/>
  <c r="CC1159"/>
  <c r="CC1158" s="1"/>
  <c r="CC1176"/>
  <c r="BY2"/>
  <c r="BZ2" s="1"/>
  <c r="CA2" s="1"/>
  <c r="CB2" s="1"/>
  <c r="CC2" s="1"/>
  <c r="CD2" s="1"/>
  <c r="CQ377" i="20"/>
  <c r="BV377"/>
  <c r="BW60"/>
  <c r="CR60"/>
  <c r="BV128"/>
  <c r="CR128" s="1"/>
  <c r="BV84"/>
  <c r="CR84" s="1"/>
  <c r="BW106"/>
  <c r="CS106" s="1"/>
  <c r="AW234" i="19"/>
  <c r="BS6" i="20" l="1"/>
  <c r="BR386"/>
  <c r="BR630"/>
  <c r="BR489"/>
  <c r="CN489" s="1"/>
  <c r="BQ438"/>
  <c r="CZ29"/>
  <c r="CD52"/>
  <c r="CZ52" s="1"/>
  <c r="CY52"/>
  <c r="CB81"/>
  <c r="CC125"/>
  <c r="CB103"/>
  <c r="CC14"/>
  <c r="CB259"/>
  <c r="CA505"/>
  <c r="CC413"/>
  <c r="CC463" s="1"/>
  <c r="CC632" s="1"/>
  <c r="CC307"/>
  <c r="CC149"/>
  <c r="CD363"/>
  <c r="CC561"/>
  <c r="CC63"/>
  <c r="CC64"/>
  <c r="CA44"/>
  <c r="BY434"/>
  <c r="BY442"/>
  <c r="CA202"/>
  <c r="BZ542"/>
  <c r="CV542" s="1"/>
  <c r="BZ269"/>
  <c r="CV269" s="1"/>
  <c r="CB131"/>
  <c r="CB87"/>
  <c r="CC109"/>
  <c r="CB202"/>
  <c r="CC366"/>
  <c r="CX366"/>
  <c r="CJ67"/>
  <c r="BO67"/>
  <c r="BN135"/>
  <c r="CJ135" s="1"/>
  <c r="BZ23"/>
  <c r="CB132"/>
  <c r="CB88"/>
  <c r="CC110"/>
  <c r="BE304"/>
  <c r="CW132"/>
  <c r="CX110"/>
  <c r="CW64"/>
  <c r="CW88"/>
  <c r="CW149"/>
  <c r="CB35" i="23"/>
  <c r="CB36" s="1"/>
  <c r="CX307" i="20"/>
  <c r="CX363"/>
  <c r="CX561"/>
  <c r="CV463"/>
  <c r="CW413"/>
  <c r="BZ38" i="23"/>
  <c r="CV365" i="20"/>
  <c r="CV505"/>
  <c r="CV259"/>
  <c r="CY383"/>
  <c r="BJ313"/>
  <c r="AU222" i="19"/>
  <c r="AT221"/>
  <c r="AS225"/>
  <c r="CA265"/>
  <c r="CV214" i="20"/>
  <c r="BZ50" i="19"/>
  <c r="BZ306" i="20" s="1"/>
  <c r="BZ305" s="1"/>
  <c r="BZ390" s="1"/>
  <c r="AT226" i="19"/>
  <c r="CM486" i="20"/>
  <c r="BR486"/>
  <c r="AU224" i="19"/>
  <c r="AU230"/>
  <c r="AT217"/>
  <c r="AU223"/>
  <c r="CT306" i="20"/>
  <c r="BX305"/>
  <c r="BX174" s="1"/>
  <c r="BY174" s="1"/>
  <c r="BZ174" s="1"/>
  <c r="AU229" i="19"/>
  <c r="BK70" i="20"/>
  <c r="BK116"/>
  <c r="CG116" s="1"/>
  <c r="BJ94"/>
  <c r="BJ138"/>
  <c r="BV434"/>
  <c r="CR390"/>
  <c r="BV442"/>
  <c r="CR442" s="1"/>
  <c r="AU218" i="19"/>
  <c r="CS305" i="20"/>
  <c r="BW390"/>
  <c r="BW32" i="23"/>
  <c r="BV8" i="28"/>
  <c r="AU220" i="19"/>
  <c r="AT483" i="20"/>
  <c r="AU474"/>
  <c r="BM127"/>
  <c r="CI127" s="1"/>
  <c r="CI59"/>
  <c r="BN105"/>
  <c r="CJ105" s="1"/>
  <c r="BM83"/>
  <c r="BN59"/>
  <c r="BR161"/>
  <c r="CN161" s="1"/>
  <c r="CN80"/>
  <c r="BR221"/>
  <c r="BR162"/>
  <c r="CL98"/>
  <c r="BP233"/>
  <c r="CL233" s="1"/>
  <c r="CK233"/>
  <c r="CN316"/>
  <c r="BS316"/>
  <c r="CB86" i="19"/>
  <c r="CB36" i="20" s="1"/>
  <c r="CW36"/>
  <c r="BQ163"/>
  <c r="CM163" s="1"/>
  <c r="CM221"/>
  <c r="BO141"/>
  <c r="CK141" s="1"/>
  <c r="BO97"/>
  <c r="CK97" s="1"/>
  <c r="CK73"/>
  <c r="BP73"/>
  <c r="BP119"/>
  <c r="CL119" s="1"/>
  <c r="CT364"/>
  <c r="CZ380"/>
  <c r="CY380"/>
  <c r="BQ142"/>
  <c r="CM142" s="1"/>
  <c r="BR120"/>
  <c r="CN120" s="1"/>
  <c r="CM74"/>
  <c r="BQ98"/>
  <c r="BR74"/>
  <c r="CI400"/>
  <c r="BM449"/>
  <c r="CI449" s="1"/>
  <c r="BT382"/>
  <c r="BS33" i="23"/>
  <c r="CO382" i="20"/>
  <c r="CM162"/>
  <c r="BQ164"/>
  <c r="CM164" s="1"/>
  <c r="CX81"/>
  <c r="CX103"/>
  <c r="CX14"/>
  <c r="CY125"/>
  <c r="BS80"/>
  <c r="BT102"/>
  <c r="CP102" s="1"/>
  <c r="BT56"/>
  <c r="BT261"/>
  <c r="BS124"/>
  <c r="CO124" s="1"/>
  <c r="CO56"/>
  <c r="CN262"/>
  <c r="BS262"/>
  <c r="CZ367"/>
  <c r="CY367"/>
  <c r="CH83"/>
  <c r="BL78"/>
  <c r="BN400"/>
  <c r="CJ322"/>
  <c r="BK1078" i="19"/>
  <c r="BK77" i="20"/>
  <c r="CG77" s="1"/>
  <c r="CG78"/>
  <c r="CX53"/>
  <c r="BN31" i="28"/>
  <c r="CI31" s="1"/>
  <c r="BO322" i="20"/>
  <c r="CK332"/>
  <c r="BP24"/>
  <c r="CK24"/>
  <c r="BO113"/>
  <c r="CK113" s="1"/>
  <c r="CR260"/>
  <c r="BW260"/>
  <c r="BE79"/>
  <c r="BE176" s="1"/>
  <c r="BE178" s="1"/>
  <c r="BU274"/>
  <c r="CP274"/>
  <c r="CU23"/>
  <c r="CU44"/>
  <c r="CU170"/>
  <c r="CS173"/>
  <c r="BX173"/>
  <c r="BY173" s="1"/>
  <c r="BZ173" s="1"/>
  <c r="AI61" i="23"/>
  <c r="AI62"/>
  <c r="CS15" i="20"/>
  <c r="BX15"/>
  <c r="BQ255"/>
  <c r="CL255"/>
  <c r="CS174"/>
  <c r="CX239"/>
  <c r="CC279" i="19"/>
  <c r="BW198" i="20"/>
  <c r="BV539"/>
  <c r="CR539" s="1"/>
  <c r="CR198"/>
  <c r="CV6"/>
  <c r="CU438"/>
  <c r="CH90"/>
  <c r="BL168"/>
  <c r="BS226" i="19"/>
  <c r="BR232"/>
  <c r="BR234" s="1"/>
  <c r="BV281" i="20"/>
  <c r="BV276" s="1"/>
  <c r="CQ276"/>
  <c r="BU189"/>
  <c r="CG168"/>
  <c r="BK171"/>
  <c r="BZ1123" i="19"/>
  <c r="CA1122"/>
  <c r="BO117" i="20"/>
  <c r="CK117" s="1"/>
  <c r="BN95"/>
  <c r="BN139"/>
  <c r="CJ139" s="1"/>
  <c r="BO71"/>
  <c r="CJ71"/>
  <c r="BD403"/>
  <c r="BW534"/>
  <c r="CS534" s="1"/>
  <c r="CS193"/>
  <c r="BF96"/>
  <c r="BG72"/>
  <c r="BF140"/>
  <c r="BF123" s="1"/>
  <c r="BF304" s="1"/>
  <c r="BG118"/>
  <c r="BG101" s="1"/>
  <c r="CS195"/>
  <c r="BX195"/>
  <c r="BY195" s="1"/>
  <c r="BW238"/>
  <c r="BW536"/>
  <c r="CS536" s="1"/>
  <c r="BU358"/>
  <c r="CP358"/>
  <c r="BT558"/>
  <c r="CP558" s="1"/>
  <c r="BX201"/>
  <c r="BY201" s="1"/>
  <c r="CS201"/>
  <c r="BW541"/>
  <c r="CS541" s="1"/>
  <c r="BW270"/>
  <c r="CR351"/>
  <c r="BW351"/>
  <c r="BV551"/>
  <c r="CR551" s="1"/>
  <c r="AE6"/>
  <c r="AF438"/>
  <c r="U65" i="23"/>
  <c r="U66" s="1"/>
  <c r="U67" s="1"/>
  <c r="V63"/>
  <c r="BA339" i="20"/>
  <c r="BA287" s="1"/>
  <c r="BN66"/>
  <c r="BM90"/>
  <c r="BM134"/>
  <c r="CI66"/>
  <c r="BN112"/>
  <c r="CH134"/>
  <c r="BC403"/>
  <c r="BC295"/>
  <c r="BD329"/>
  <c r="BC328"/>
  <c r="CP189"/>
  <c r="BT531"/>
  <c r="CP531" s="1"/>
  <c r="AV234" i="19"/>
  <c r="CD1176"/>
  <c r="BW377" i="20"/>
  <c r="CR377"/>
  <c r="CJ82"/>
  <c r="CK104"/>
  <c r="CD1101" i="19"/>
  <c r="CD1177" s="1"/>
  <c r="CC1177"/>
  <c r="CC1179" s="1"/>
  <c r="CC1078"/>
  <c r="CB1175"/>
  <c r="CB1157"/>
  <c r="CW202" i="20"/>
  <c r="BA412"/>
  <c r="BA411"/>
  <c r="BP64" i="23"/>
  <c r="CM64"/>
  <c r="BC441" i="20"/>
  <c r="BB337"/>
  <c r="BB338"/>
  <c r="CI95"/>
  <c r="BE325"/>
  <c r="CJ126"/>
  <c r="CK93"/>
  <c r="BU114"/>
  <c r="CQ114" s="1"/>
  <c r="BT136"/>
  <c r="CP136" s="1"/>
  <c r="CP68"/>
  <c r="BU68"/>
  <c r="BT92"/>
  <c r="CS60"/>
  <c r="BX60"/>
  <c r="BW128"/>
  <c r="CS128" s="1"/>
  <c r="BW84"/>
  <c r="CS84" s="1"/>
  <c r="BX106"/>
  <c r="CT106" s="1"/>
  <c r="CY17"/>
  <c r="CJ75"/>
  <c r="BO75"/>
  <c r="BO121"/>
  <c r="CK121" s="1"/>
  <c r="BN99"/>
  <c r="CJ99" s="1"/>
  <c r="BN143"/>
  <c r="CJ143" s="1"/>
  <c r="CJ91"/>
  <c r="CO92"/>
  <c r="BS4" i="23"/>
  <c r="BS43" s="1"/>
  <c r="CD1080" i="19"/>
  <c r="CC1182"/>
  <c r="BE389" i="20"/>
  <c r="BE326"/>
  <c r="CS206"/>
  <c r="BX206"/>
  <c r="BY206" s="1"/>
  <c r="BW546"/>
  <c r="CS546" s="1"/>
  <c r="BP58"/>
  <c r="CK58"/>
  <c r="BO126"/>
  <c r="BO82"/>
  <c r="BP104"/>
  <c r="BD441"/>
  <c r="BQ115"/>
  <c r="CM115" s="1"/>
  <c r="BP93"/>
  <c r="BQ69"/>
  <c r="BP137"/>
  <c r="CL137" s="1"/>
  <c r="CL69"/>
  <c r="BW528"/>
  <c r="CS528" s="1"/>
  <c r="BX186"/>
  <c r="BY186" s="1"/>
  <c r="CS186"/>
  <c r="BD315"/>
  <c r="AD62" i="28"/>
  <c r="AC2"/>
  <c r="AD24"/>
  <c r="CZ371" i="20"/>
  <c r="CR238"/>
  <c r="CJ473"/>
  <c r="BW85"/>
  <c r="CS85" s="1"/>
  <c r="CS61"/>
  <c r="BX107"/>
  <c r="CT107" s="1"/>
  <c r="BX61"/>
  <c r="BW129"/>
  <c r="CS129" s="1"/>
  <c r="AU486"/>
  <c r="AV479"/>
  <c r="CR270"/>
  <c r="CK331"/>
  <c r="BO473"/>
  <c r="BX62"/>
  <c r="CS62"/>
  <c r="BW130"/>
  <c r="CS130" s="1"/>
  <c r="BW86"/>
  <c r="CS86" s="1"/>
  <c r="BX108"/>
  <c r="CT108" s="1"/>
  <c r="CI112"/>
  <c r="CB1171" i="19"/>
  <c r="CC1113"/>
  <c r="CB1172"/>
  <c r="BU165" i="20"/>
  <c r="CP165"/>
  <c r="AT231" i="19"/>
  <c r="AU232"/>
  <c r="CQ281" i="20"/>
  <c r="BF325"/>
  <c r="BR79" i="23"/>
  <c r="AH62"/>
  <c r="AH42" s="1"/>
  <c r="BT6" i="20" l="1"/>
  <c r="BS630"/>
  <c r="BS489"/>
  <c r="CO489" s="1"/>
  <c r="BS386"/>
  <c r="BS438" s="1"/>
  <c r="BR438"/>
  <c r="BY528"/>
  <c r="BZ186"/>
  <c r="BZ206"/>
  <c r="BY546"/>
  <c r="BP67"/>
  <c r="CK67"/>
  <c r="BO135"/>
  <c r="CK135" s="1"/>
  <c r="CB542"/>
  <c r="CX542" s="1"/>
  <c r="CB269"/>
  <c r="CC87"/>
  <c r="CD109"/>
  <c r="CC131"/>
  <c r="BZ195"/>
  <c r="BY536"/>
  <c r="BY238"/>
  <c r="BY15"/>
  <c r="BZ434"/>
  <c r="BZ442"/>
  <c r="CD366"/>
  <c r="CZ366" s="1"/>
  <c r="CY366"/>
  <c r="CC132"/>
  <c r="CC88"/>
  <c r="CD110"/>
  <c r="CC259"/>
  <c r="CB505"/>
  <c r="CC202"/>
  <c r="BX193"/>
  <c r="BY193" s="1"/>
  <c r="BO91"/>
  <c r="BY108"/>
  <c r="BY62"/>
  <c r="BY107"/>
  <c r="BY61"/>
  <c r="CA23"/>
  <c r="CA542"/>
  <c r="CW542" s="1"/>
  <c r="CA269"/>
  <c r="CB44"/>
  <c r="CD307"/>
  <c r="CD202" s="1"/>
  <c r="CD149"/>
  <c r="CD413"/>
  <c r="CD463" s="1"/>
  <c r="CD632" s="1"/>
  <c r="CD561"/>
  <c r="CD63"/>
  <c r="CD64"/>
  <c r="BS79" i="23"/>
  <c r="CC103" i="20"/>
  <c r="CD14"/>
  <c r="CC81"/>
  <c r="CD125"/>
  <c r="BY106"/>
  <c r="BY60"/>
  <c r="BZ201"/>
  <c r="BY270"/>
  <c r="BY541"/>
  <c r="BZ170"/>
  <c r="CW463"/>
  <c r="CX132"/>
  <c r="CY110"/>
  <c r="CX64"/>
  <c r="CX88"/>
  <c r="CX413"/>
  <c r="CY363"/>
  <c r="CY561"/>
  <c r="CC35" i="23"/>
  <c r="CC36" s="1"/>
  <c r="CX149" i="20"/>
  <c r="CW259"/>
  <c r="CW505"/>
  <c r="CW365"/>
  <c r="CA38" i="23"/>
  <c r="CZ383" i="20"/>
  <c r="AS483"/>
  <c r="AT474"/>
  <c r="AT220" i="19"/>
  <c r="AT218"/>
  <c r="BL116" i="20"/>
  <c r="CH116" s="1"/>
  <c r="BK138"/>
  <c r="CG138" s="1"/>
  <c r="BL70"/>
  <c r="BK94"/>
  <c r="CG70"/>
  <c r="AT229" i="19"/>
  <c r="AT223"/>
  <c r="AS217"/>
  <c r="AT230"/>
  <c r="CU306" i="20"/>
  <c r="CB265" i="19"/>
  <c r="CW214" i="20"/>
  <c r="AR225" i="19"/>
  <c r="AS221"/>
  <c r="BK313" i="20"/>
  <c r="BW442"/>
  <c r="BW434"/>
  <c r="CS390"/>
  <c r="BX390"/>
  <c r="BX32" i="23"/>
  <c r="CT305" i="20"/>
  <c r="BW8" i="28"/>
  <c r="AT224" i="19"/>
  <c r="BS486" i="20"/>
  <c r="CN486"/>
  <c r="AS226" i="19"/>
  <c r="CA50"/>
  <c r="CA306" i="20" s="1"/>
  <c r="CA305" s="1"/>
  <c r="CA390" s="1"/>
  <c r="AT222" i="19"/>
  <c r="CD1159"/>
  <c r="CD1158" s="1"/>
  <c r="BO400" i="20"/>
  <c r="CK322"/>
  <c r="BN449"/>
  <c r="CJ449" s="1"/>
  <c r="CJ400"/>
  <c r="CP261"/>
  <c r="CM98"/>
  <c r="BR163"/>
  <c r="CN163" s="1"/>
  <c r="CN221"/>
  <c r="CI83"/>
  <c r="BM78"/>
  <c r="BT262"/>
  <c r="CO262"/>
  <c r="BS161"/>
  <c r="CO161" s="1"/>
  <c r="CO80"/>
  <c r="BS162"/>
  <c r="BS221"/>
  <c r="CY103"/>
  <c r="CY14"/>
  <c r="CY81"/>
  <c r="CZ125"/>
  <c r="CN74"/>
  <c r="BS120"/>
  <c r="CO120" s="1"/>
  <c r="BS74"/>
  <c r="BR98"/>
  <c r="BR142"/>
  <c r="CN142" s="1"/>
  <c r="CC86" i="19"/>
  <c r="CC36" i="20" s="1"/>
  <c r="CX36"/>
  <c r="BN127"/>
  <c r="CJ127" s="1"/>
  <c r="CJ59"/>
  <c r="BN83"/>
  <c r="BO59"/>
  <c r="BO105"/>
  <c r="CK105" s="1"/>
  <c r="CU364"/>
  <c r="CO316"/>
  <c r="BT316"/>
  <c r="CN162"/>
  <c r="BR164"/>
  <c r="CN164" s="1"/>
  <c r="CZ53"/>
  <c r="CY53"/>
  <c r="BL77"/>
  <c r="BL1078" i="19"/>
  <c r="BL1077" s="1"/>
  <c r="BL1128" s="1"/>
  <c r="CH78" i="20"/>
  <c r="BU261"/>
  <c r="BT124"/>
  <c r="CP124" s="1"/>
  <c r="BU56"/>
  <c r="BU102"/>
  <c r="CQ102" s="1"/>
  <c r="BT80"/>
  <c r="CP56"/>
  <c r="BT33" i="23"/>
  <c r="BU382" i="20"/>
  <c r="CP382"/>
  <c r="CL73"/>
  <c r="BQ119"/>
  <c r="CM119" s="1"/>
  <c r="BQ73"/>
  <c r="BP141"/>
  <c r="CL141" s="1"/>
  <c r="BP97"/>
  <c r="CL97" s="1"/>
  <c r="CQ165"/>
  <c r="BV165"/>
  <c r="AS231" i="19"/>
  <c r="AT232"/>
  <c r="CU107" i="20"/>
  <c r="BX85"/>
  <c r="CT85" s="1"/>
  <c r="CT61"/>
  <c r="BX129"/>
  <c r="CT129" s="1"/>
  <c r="CL58"/>
  <c r="BQ58"/>
  <c r="BP126"/>
  <c r="BP82"/>
  <c r="BQ104"/>
  <c r="CT60"/>
  <c r="BX128"/>
  <c r="CT128" s="1"/>
  <c r="BX84"/>
  <c r="CT84" s="1"/>
  <c r="CU106"/>
  <c r="CX202"/>
  <c r="CC1157" i="19"/>
  <c r="CC1175"/>
  <c r="CD1078"/>
  <c r="CD1113"/>
  <c r="CC1171"/>
  <c r="CC1172"/>
  <c r="AC24" i="28"/>
  <c r="AC62"/>
  <c r="AB2"/>
  <c r="CL93" i="20"/>
  <c r="BO143"/>
  <c r="CK143" s="1"/>
  <c r="BP121"/>
  <c r="CL121" s="1"/>
  <c r="CK75"/>
  <c r="BO99"/>
  <c r="CK99" s="1"/>
  <c r="BP75"/>
  <c r="BV114"/>
  <c r="CR114" s="1"/>
  <c r="BV68"/>
  <c r="BU136"/>
  <c r="CQ136" s="1"/>
  <c r="BU92"/>
  <c r="CQ68"/>
  <c r="BX377"/>
  <c r="BY377" s="1"/>
  <c r="BZ377" s="1"/>
  <c r="CA377" s="1"/>
  <c r="CB377" s="1"/>
  <c r="CC377" s="1"/>
  <c r="CD377" s="1"/>
  <c r="CS377"/>
  <c r="AU479"/>
  <c r="AT486"/>
  <c r="BE315"/>
  <c r="CM69"/>
  <c r="BR69"/>
  <c r="BR115"/>
  <c r="CN115" s="1"/>
  <c r="BQ137"/>
  <c r="CM137" s="1"/>
  <c r="BQ93"/>
  <c r="CK126"/>
  <c r="CT206"/>
  <c r="BX546"/>
  <c r="CT546" s="1"/>
  <c r="BT4" i="23"/>
  <c r="BT43" s="1"/>
  <c r="BT79" s="1"/>
  <c r="CP92" i="20"/>
  <c r="BB411"/>
  <c r="BB412"/>
  <c r="BQ64" i="23"/>
  <c r="CW269" i="20"/>
  <c r="CZ17"/>
  <c r="BD295"/>
  <c r="BE329"/>
  <c r="BD328"/>
  <c r="CJ112"/>
  <c r="BN134"/>
  <c r="BO66"/>
  <c r="CJ66"/>
  <c r="BO112"/>
  <c r="BN90"/>
  <c r="BW551"/>
  <c r="CS551" s="1"/>
  <c r="CS351"/>
  <c r="BX351"/>
  <c r="BY351" s="1"/>
  <c r="BV358"/>
  <c r="CQ358"/>
  <c r="BU558"/>
  <c r="CQ558" s="1"/>
  <c r="CS238"/>
  <c r="BF79"/>
  <c r="BF176" s="1"/>
  <c r="BF178" s="1"/>
  <c r="CQ189"/>
  <c r="BU531"/>
  <c r="CQ531" s="1"/>
  <c r="CR281"/>
  <c r="CH168"/>
  <c r="BL171"/>
  <c r="CD279" i="19"/>
  <c r="CZ239" i="20" s="1"/>
  <c r="CY239"/>
  <c r="BR255"/>
  <c r="CM255"/>
  <c r="BX260"/>
  <c r="BY260" s="1"/>
  <c r="BZ260" s="1"/>
  <c r="CA260" s="1"/>
  <c r="CB260" s="1"/>
  <c r="CC260" s="1"/>
  <c r="CS260"/>
  <c r="AU234" i="19"/>
  <c r="CD1179"/>
  <c r="CK82" i="20"/>
  <c r="BB339"/>
  <c r="BB287" s="1"/>
  <c r="BM168"/>
  <c r="CI90"/>
  <c r="W63" i="23"/>
  <c r="V65"/>
  <c r="V66" s="1"/>
  <c r="V67" s="1"/>
  <c r="BG96" i="20"/>
  <c r="BH118"/>
  <c r="BH101" s="1"/>
  <c r="BH72"/>
  <c r="BG140"/>
  <c r="BG123" s="1"/>
  <c r="BD452"/>
  <c r="CJ95"/>
  <c r="BK169"/>
  <c r="CG171"/>
  <c r="BS232" i="19"/>
  <c r="BS234"/>
  <c r="CV438" i="20"/>
  <c r="CW6"/>
  <c r="BW539"/>
  <c r="CS539" s="1"/>
  <c r="CS198"/>
  <c r="BX198"/>
  <c r="BY198" s="1"/>
  <c r="CT174"/>
  <c r="CV44"/>
  <c r="CV170"/>
  <c r="CQ274"/>
  <c r="BV274"/>
  <c r="CK91"/>
  <c r="AI42" i="23"/>
  <c r="CK473" i="20"/>
  <c r="CL104"/>
  <c r="BC452"/>
  <c r="CI134"/>
  <c r="CS270"/>
  <c r="BF326"/>
  <c r="BF389"/>
  <c r="CT173"/>
  <c r="CV23"/>
  <c r="CT186"/>
  <c r="BX528"/>
  <c r="CT528" s="1"/>
  <c r="BE403"/>
  <c r="BX130"/>
  <c r="CT130" s="1"/>
  <c r="CT62"/>
  <c r="BX86"/>
  <c r="CT86" s="1"/>
  <c r="CU108"/>
  <c r="BE441"/>
  <c r="AD6"/>
  <c r="AE438"/>
  <c r="BX541"/>
  <c r="CT541" s="1"/>
  <c r="CT201"/>
  <c r="BX270"/>
  <c r="CT195"/>
  <c r="BX238"/>
  <c r="BX536"/>
  <c r="CT536" s="1"/>
  <c r="CT193"/>
  <c r="CK71"/>
  <c r="BO95"/>
  <c r="BO139"/>
  <c r="CK139" s="1"/>
  <c r="BP71"/>
  <c r="BP117"/>
  <c r="CL117" s="1"/>
  <c r="CB1122" i="19"/>
  <c r="CA1123"/>
  <c r="CR276" i="20"/>
  <c r="BV189"/>
  <c r="BW281"/>
  <c r="BW276" s="1"/>
  <c r="CT15"/>
  <c r="AJ61" i="23"/>
  <c r="CL24" i="20"/>
  <c r="BQ24"/>
  <c r="BP113"/>
  <c r="CL113" s="1"/>
  <c r="BP91"/>
  <c r="BG325"/>
  <c r="BU6" l="1"/>
  <c r="BT386"/>
  <c r="BT438" s="1"/>
  <c r="BT630"/>
  <c r="BT489"/>
  <c r="CP489" s="1"/>
  <c r="CA174"/>
  <c r="CD103"/>
  <c r="CZ103" s="1"/>
  <c r="CD81"/>
  <c r="CD87"/>
  <c r="CD131"/>
  <c r="CD269"/>
  <c r="CD542"/>
  <c r="CB23"/>
  <c r="BY534"/>
  <c r="BZ193"/>
  <c r="BZ15"/>
  <c r="BZ351"/>
  <c r="BY551"/>
  <c r="CA201"/>
  <c r="BZ270"/>
  <c r="BZ541"/>
  <c r="CD132"/>
  <c r="CD88"/>
  <c r="BZ62"/>
  <c r="BZ108"/>
  <c r="BY130"/>
  <c r="BY86"/>
  <c r="CD259"/>
  <c r="CD505" s="1"/>
  <c r="CC505"/>
  <c r="BZ536"/>
  <c r="BZ238"/>
  <c r="CA195"/>
  <c r="CL67"/>
  <c r="BQ67"/>
  <c r="BP135"/>
  <c r="CL135" s="1"/>
  <c r="BX534"/>
  <c r="CT534" s="1"/>
  <c r="CA173"/>
  <c r="CB173" s="1"/>
  <c r="BZ106"/>
  <c r="BY84"/>
  <c r="BZ60"/>
  <c r="BY128"/>
  <c r="CU128" s="1"/>
  <c r="BZ528"/>
  <c r="CA186"/>
  <c r="CD260"/>
  <c r="CA170"/>
  <c r="BY539"/>
  <c r="BZ198"/>
  <c r="CA442"/>
  <c r="CA434"/>
  <c r="CC44"/>
  <c r="CB170"/>
  <c r="BY85"/>
  <c r="CU85" s="1"/>
  <c r="BZ61"/>
  <c r="BZ107"/>
  <c r="BY129"/>
  <c r="CC542"/>
  <c r="CC269"/>
  <c r="CA206"/>
  <c r="BZ546"/>
  <c r="BG304"/>
  <c r="CY132"/>
  <c r="CZ110"/>
  <c r="CY64"/>
  <c r="CY88"/>
  <c r="CY149"/>
  <c r="CY413"/>
  <c r="CZ363"/>
  <c r="CD35" i="23"/>
  <c r="CD36" s="1"/>
  <c r="CZ307" i="20"/>
  <c r="CE413"/>
  <c r="CZ561"/>
  <c r="CY307"/>
  <c r="CX463"/>
  <c r="CX505"/>
  <c r="CX259"/>
  <c r="CX365"/>
  <c r="CB38" i="23"/>
  <c r="CV306" i="20"/>
  <c r="AR226" i="19"/>
  <c r="BT486" i="20"/>
  <c r="CO486"/>
  <c r="AS224" i="19"/>
  <c r="BX434" i="20"/>
  <c r="CT390"/>
  <c r="BX442"/>
  <c r="CT442" s="1"/>
  <c r="BL313"/>
  <c r="CG313"/>
  <c r="AS230" i="19"/>
  <c r="AS229"/>
  <c r="BM70" i="20"/>
  <c r="CH70"/>
  <c r="BL138"/>
  <c r="CH138" s="1"/>
  <c r="BM116"/>
  <c r="CI116" s="1"/>
  <c r="BL94"/>
  <c r="AS220" i="19"/>
  <c r="AS474" i="20"/>
  <c r="AR483"/>
  <c r="AS222" i="19"/>
  <c r="CB50"/>
  <c r="CB306" i="20" s="1"/>
  <c r="CB305" s="1"/>
  <c r="CB390" s="1"/>
  <c r="CS442"/>
  <c r="AR221" i="19"/>
  <c r="AQ225"/>
  <c r="CC265"/>
  <c r="CX214" i="20"/>
  <c r="CU305"/>
  <c r="BX8" i="28"/>
  <c r="BY32" i="23"/>
  <c r="AR217" i="19"/>
  <c r="AS223"/>
  <c r="CG94" i="20"/>
  <c r="AS218" i="19"/>
  <c r="CD1182"/>
  <c r="BV56" i="20"/>
  <c r="BV261"/>
  <c r="CR261" s="1"/>
  <c r="CQ56"/>
  <c r="BU124"/>
  <c r="CQ124" s="1"/>
  <c r="BV102"/>
  <c r="CR102" s="1"/>
  <c r="BU80"/>
  <c r="CV364"/>
  <c r="BN78"/>
  <c r="CJ83"/>
  <c r="CN98"/>
  <c r="BS164"/>
  <c r="CO164" s="1"/>
  <c r="CO162"/>
  <c r="BM1078" i="19"/>
  <c r="CI78" i="20"/>
  <c r="BM77"/>
  <c r="BO449"/>
  <c r="CK449" s="1"/>
  <c r="CK400"/>
  <c r="BQ141"/>
  <c r="CM141" s="1"/>
  <c r="CM73"/>
  <c r="BR119"/>
  <c r="CN119" s="1"/>
  <c r="BQ97"/>
  <c r="CM97" s="1"/>
  <c r="BR73"/>
  <c r="BU33" i="23"/>
  <c r="BV382" i="20"/>
  <c r="CQ382"/>
  <c r="CQ261"/>
  <c r="CK59"/>
  <c r="BP105"/>
  <c r="CL105" s="1"/>
  <c r="BO83"/>
  <c r="BO127"/>
  <c r="CK127" s="1"/>
  <c r="BP59"/>
  <c r="CZ81"/>
  <c r="CZ14"/>
  <c r="CO221"/>
  <c r="BS163"/>
  <c r="CO163" s="1"/>
  <c r="CP80"/>
  <c r="BT161"/>
  <c r="CP161" s="1"/>
  <c r="BT221"/>
  <c r="BT162"/>
  <c r="CH77"/>
  <c r="BL1125" i="19"/>
  <c r="BL1126" s="1"/>
  <c r="BU316" i="20"/>
  <c r="CP316"/>
  <c r="CY36"/>
  <c r="CD86" i="19"/>
  <c r="CO74" i="20"/>
  <c r="BT74"/>
  <c r="BT120"/>
  <c r="CP120" s="1"/>
  <c r="BS98"/>
  <c r="BS142"/>
  <c r="CO142" s="1"/>
  <c r="CP262"/>
  <c r="BU262"/>
  <c r="AK61" i="23"/>
  <c r="AK62" s="1"/>
  <c r="BP95" i="20"/>
  <c r="BQ117"/>
  <c r="CM117" s="1"/>
  <c r="CL71"/>
  <c r="BQ71"/>
  <c r="BP139"/>
  <c r="CL139" s="1"/>
  <c r="CU195"/>
  <c r="CU536"/>
  <c r="AD438"/>
  <c r="AC6"/>
  <c r="BE452"/>
  <c r="CW23"/>
  <c r="BV531"/>
  <c r="CR531" s="1"/>
  <c r="CR189"/>
  <c r="CT270"/>
  <c r="CU528"/>
  <c r="CU186"/>
  <c r="BF441"/>
  <c r="BK191"/>
  <c r="CG169"/>
  <c r="CL91"/>
  <c r="CU15"/>
  <c r="CS281"/>
  <c r="CC1122" i="19"/>
  <c r="CB1123"/>
  <c r="CK95" i="20"/>
  <c r="CU173"/>
  <c r="BH96"/>
  <c r="BI118"/>
  <c r="BI101" s="1"/>
  <c r="BH140"/>
  <c r="BH123" s="1"/>
  <c r="BI72"/>
  <c r="X63" i="23"/>
  <c r="W65"/>
  <c r="W66" s="1"/>
  <c r="W67" s="1"/>
  <c r="BM171" i="20"/>
  <c r="CI168"/>
  <c r="CU206"/>
  <c r="CU546"/>
  <c r="CN69"/>
  <c r="BR137"/>
  <c r="CN137" s="1"/>
  <c r="BS115"/>
  <c r="CO115" s="1"/>
  <c r="BR93"/>
  <c r="BS69"/>
  <c r="AT479"/>
  <c r="AS486"/>
  <c r="CD1171" i="19"/>
  <c r="CD1172"/>
  <c r="CX269" i="20"/>
  <c r="CM104"/>
  <c r="AJ62" i="23"/>
  <c r="AJ42" s="1"/>
  <c r="BX539" i="20"/>
  <c r="CT539" s="1"/>
  <c r="CT198"/>
  <c r="BG389"/>
  <c r="BF485"/>
  <c r="BG326"/>
  <c r="CH171"/>
  <c r="BL169"/>
  <c r="BX551"/>
  <c r="CT551" s="1"/>
  <c r="CT351"/>
  <c r="CK112"/>
  <c r="BF329"/>
  <c r="BE295"/>
  <c r="BF315"/>
  <c r="CT377"/>
  <c r="BU4" i="23"/>
  <c r="BU43" s="1"/>
  <c r="BU79" s="1"/>
  <c r="CQ92" i="20"/>
  <c r="CL75"/>
  <c r="BP99"/>
  <c r="CL99" s="1"/>
  <c r="BQ75"/>
  <c r="BQ121"/>
  <c r="CM121" s="1"/>
  <c r="BP143"/>
  <c r="CL143" s="1"/>
  <c r="AA2" i="28"/>
  <c r="AB62"/>
  <c r="AB24"/>
  <c r="CM58" i="20"/>
  <c r="BR58"/>
  <c r="BQ126"/>
  <c r="BQ82"/>
  <c r="BR104"/>
  <c r="AT234" i="19"/>
  <c r="CU201" i="20"/>
  <c r="CU541"/>
  <c r="CW44"/>
  <c r="CW170"/>
  <c r="CW438"/>
  <c r="CX6"/>
  <c r="BG79"/>
  <c r="BG176" s="1"/>
  <c r="BH325" s="1"/>
  <c r="BS255"/>
  <c r="CN255"/>
  <c r="CJ90"/>
  <c r="BN168"/>
  <c r="CJ134"/>
  <c r="BR64" i="23"/>
  <c r="CD1157" i="19"/>
  <c r="CD1175"/>
  <c r="CU60" i="20"/>
  <c r="CU84"/>
  <c r="CV106"/>
  <c r="CL126"/>
  <c r="CM24"/>
  <c r="BR24"/>
  <c r="BQ113"/>
  <c r="CM113" s="1"/>
  <c r="BX281"/>
  <c r="BX276" s="1"/>
  <c r="CS276"/>
  <c r="BW189"/>
  <c r="CT238"/>
  <c r="CU193"/>
  <c r="CU534"/>
  <c r="CU62"/>
  <c r="CU130"/>
  <c r="CU86"/>
  <c r="CV108"/>
  <c r="BF403"/>
  <c r="BW274"/>
  <c r="CR274"/>
  <c r="CU174"/>
  <c r="CT260"/>
  <c r="BW358"/>
  <c r="BV558"/>
  <c r="CR558" s="1"/>
  <c r="CR358"/>
  <c r="CK66"/>
  <c r="BP66"/>
  <c r="BO90"/>
  <c r="BO134"/>
  <c r="BP112"/>
  <c r="CM93"/>
  <c r="BW114"/>
  <c r="CS114" s="1"/>
  <c r="BW68"/>
  <c r="CR68"/>
  <c r="BV136"/>
  <c r="CR136" s="1"/>
  <c r="BV92"/>
  <c r="CL82"/>
  <c r="CU61"/>
  <c r="CU129"/>
  <c r="CV107"/>
  <c r="AR231" i="19"/>
  <c r="AS234"/>
  <c r="AS232"/>
  <c r="CR165" i="20"/>
  <c r="BW165"/>
  <c r="BV6" l="1"/>
  <c r="BU630"/>
  <c r="BU386"/>
  <c r="BU438" s="1"/>
  <c r="BU489"/>
  <c r="CQ489" s="1"/>
  <c r="CA15"/>
  <c r="BY281"/>
  <c r="BY276" s="1"/>
  <c r="CB206"/>
  <c r="CA546"/>
  <c r="CA107"/>
  <c r="CW107" s="1"/>
  <c r="BZ129"/>
  <c r="BZ85"/>
  <c r="CA61"/>
  <c r="CA270"/>
  <c r="CB201"/>
  <c r="CA541"/>
  <c r="CD44"/>
  <c r="CB195"/>
  <c r="CA238"/>
  <c r="CA536"/>
  <c r="BZ86"/>
  <c r="CA62"/>
  <c r="CA108"/>
  <c r="BZ130"/>
  <c r="CC23"/>
  <c r="CC173" s="1"/>
  <c r="CB174"/>
  <c r="BR67"/>
  <c r="CM67"/>
  <c r="BQ135"/>
  <c r="CM135" s="1"/>
  <c r="CD36"/>
  <c r="CZ36" s="1"/>
  <c r="CB434"/>
  <c r="CB442"/>
  <c r="BZ539"/>
  <c r="CA198"/>
  <c r="CA528"/>
  <c r="CB186"/>
  <c r="BZ128"/>
  <c r="BZ84"/>
  <c r="CV84" s="1"/>
  <c r="CA60"/>
  <c r="CA106"/>
  <c r="CA351"/>
  <c r="BZ551"/>
  <c r="CA193"/>
  <c r="BZ534"/>
  <c r="BQ91"/>
  <c r="CM91" s="1"/>
  <c r="CY202"/>
  <c r="CY542"/>
  <c r="CY269"/>
  <c r="CZ64"/>
  <c r="CZ88"/>
  <c r="CZ132"/>
  <c r="CZ149"/>
  <c r="CZ413"/>
  <c r="CE463"/>
  <c r="CY463"/>
  <c r="CY259"/>
  <c r="CY505"/>
  <c r="CY365"/>
  <c r="CC38" i="23"/>
  <c r="AR223" i="19"/>
  <c r="AQ217"/>
  <c r="CD265"/>
  <c r="CZ214" i="20" s="1"/>
  <c r="CY214"/>
  <c r="AP225" i="19"/>
  <c r="AQ221"/>
  <c r="CW306" i="20"/>
  <c r="AR220" i="19"/>
  <c r="AR230"/>
  <c r="CH313" i="20"/>
  <c r="BM313"/>
  <c r="AR224" i="19"/>
  <c r="BU486" i="20"/>
  <c r="CP486"/>
  <c r="CV305"/>
  <c r="BZ32" i="23"/>
  <c r="BY8" i="28"/>
  <c r="AR218" i="19"/>
  <c r="CU390" i="20"/>
  <c r="CC50" i="19"/>
  <c r="CC306" i="20" s="1"/>
  <c r="CC305" s="1"/>
  <c r="CC390" s="1"/>
  <c r="AR222" i="19"/>
  <c r="AQ483" i="20"/>
  <c r="AR474"/>
  <c r="CH94"/>
  <c r="BN70"/>
  <c r="CI70"/>
  <c r="BN116"/>
  <c r="CJ116" s="1"/>
  <c r="BM94"/>
  <c r="BM138"/>
  <c r="CI138" s="1"/>
  <c r="AR229" i="19"/>
  <c r="AQ226"/>
  <c r="CO98" i="20"/>
  <c r="BQ105"/>
  <c r="CM105" s="1"/>
  <c r="CL59"/>
  <c r="BQ59"/>
  <c r="BP83"/>
  <c r="BP127"/>
  <c r="CL127" s="1"/>
  <c r="CJ78"/>
  <c r="BN77"/>
  <c r="BN1173" i="19"/>
  <c r="BN1174" s="1"/>
  <c r="BW56" i="20"/>
  <c r="BV124"/>
  <c r="CR124" s="1"/>
  <c r="BW102"/>
  <c r="CS102" s="1"/>
  <c r="BV80"/>
  <c r="CR56"/>
  <c r="BW261"/>
  <c r="CS261" s="1"/>
  <c r="BT163"/>
  <c r="CP163" s="1"/>
  <c r="CP221"/>
  <c r="BS73"/>
  <c r="BR141"/>
  <c r="CN141" s="1"/>
  <c r="BR97"/>
  <c r="CN97" s="1"/>
  <c r="BS119"/>
  <c r="CO119" s="1"/>
  <c r="CN73"/>
  <c r="BM1077" i="19"/>
  <c r="BM1128" s="1"/>
  <c r="BN1077"/>
  <c r="BU161" i="20"/>
  <c r="CQ161" s="1"/>
  <c r="CQ80"/>
  <c r="BU162"/>
  <c r="BU221"/>
  <c r="BH304"/>
  <c r="BH485" s="1"/>
  <c r="BT142"/>
  <c r="CP142" s="1"/>
  <c r="BU74"/>
  <c r="BT98"/>
  <c r="CP74"/>
  <c r="BU120"/>
  <c r="CQ120" s="1"/>
  <c r="CQ316"/>
  <c r="BV316"/>
  <c r="CP162"/>
  <c r="BT164"/>
  <c r="CP164" s="1"/>
  <c r="CK83"/>
  <c r="BO78"/>
  <c r="BV33" i="23"/>
  <c r="BW382" i="20"/>
  <c r="CR382"/>
  <c r="CQ262"/>
  <c r="BV262"/>
  <c r="CI77"/>
  <c r="BM1125" i="19"/>
  <c r="BM1126" s="1"/>
  <c r="BM1127" s="1"/>
  <c r="CW364" i="20"/>
  <c r="CS68"/>
  <c r="BW92"/>
  <c r="BX114"/>
  <c r="CT114" s="1"/>
  <c r="BW136"/>
  <c r="CS136" s="1"/>
  <c r="BX68"/>
  <c r="CU260"/>
  <c r="CK90"/>
  <c r="BO168"/>
  <c r="CS189"/>
  <c r="BW531"/>
  <c r="CS531" s="1"/>
  <c r="CJ168"/>
  <c r="BN171"/>
  <c r="AQ231" i="19"/>
  <c r="AR232"/>
  <c r="CV61" i="20"/>
  <c r="CV129"/>
  <c r="CV85"/>
  <c r="CK134"/>
  <c r="CV62"/>
  <c r="CV130"/>
  <c r="CV86"/>
  <c r="CW108"/>
  <c r="BS64" i="23"/>
  <c r="CX438" i="20"/>
  <c r="CY6"/>
  <c r="CV201"/>
  <c r="CV541"/>
  <c r="CM126"/>
  <c r="CM75"/>
  <c r="BQ99"/>
  <c r="CM99" s="1"/>
  <c r="BR121"/>
  <c r="CN121" s="1"/>
  <c r="BR75"/>
  <c r="BQ143"/>
  <c r="CM143" s="1"/>
  <c r="BF295"/>
  <c r="BG329"/>
  <c r="BX165"/>
  <c r="BY165" s="1"/>
  <c r="BZ165" s="1"/>
  <c r="CA165" s="1"/>
  <c r="CB165" s="1"/>
  <c r="CC165" s="1"/>
  <c r="CS165"/>
  <c r="BV4" i="23"/>
  <c r="BV43" s="1"/>
  <c r="CR92" i="20"/>
  <c r="CL112"/>
  <c r="CV174"/>
  <c r="CT281"/>
  <c r="CN24"/>
  <c r="BS24"/>
  <c r="BR113"/>
  <c r="CN113" s="1"/>
  <c r="CV60"/>
  <c r="CV128"/>
  <c r="CW106"/>
  <c r="BG517"/>
  <c r="BG178"/>
  <c r="BG518" s="1"/>
  <c r="CU270"/>
  <c r="CM82"/>
  <c r="BG433"/>
  <c r="BG435" s="1"/>
  <c r="BG441"/>
  <c r="AR486"/>
  <c r="AS479"/>
  <c r="CV206"/>
  <c r="CV546"/>
  <c r="BJ118"/>
  <c r="BJ101" s="1"/>
  <c r="BI96"/>
  <c r="BI140"/>
  <c r="BI123" s="1"/>
  <c r="BJ72"/>
  <c r="AC438"/>
  <c r="AB6"/>
  <c r="BX274"/>
  <c r="BY274" s="1"/>
  <c r="BZ274" s="1"/>
  <c r="CA274" s="1"/>
  <c r="CB274" s="1"/>
  <c r="CC274" s="1"/>
  <c r="CD274" s="1"/>
  <c r="CS274"/>
  <c r="BT255"/>
  <c r="CO255"/>
  <c r="CX44"/>
  <c r="CX170"/>
  <c r="CN104"/>
  <c r="CU377"/>
  <c r="CH169"/>
  <c r="BL191"/>
  <c r="BE485"/>
  <c r="BF478"/>
  <c r="CN93"/>
  <c r="Y63" i="23"/>
  <c r="X65"/>
  <c r="X66" s="1"/>
  <c r="X67" s="1"/>
  <c r="BH79" i="20"/>
  <c r="BH176" s="1"/>
  <c r="BI325" s="1"/>
  <c r="CV173"/>
  <c r="CD1122" i="19"/>
  <c r="CD1123" s="1"/>
  <c r="CC1123"/>
  <c r="CV528" i="20"/>
  <c r="CV186"/>
  <c r="CX23"/>
  <c r="CV195"/>
  <c r="CV536"/>
  <c r="BR117"/>
  <c r="CN117" s="1"/>
  <c r="BQ139"/>
  <c r="CM139" s="1"/>
  <c r="CM71"/>
  <c r="BQ95"/>
  <c r="BR71"/>
  <c r="AK42" i="23"/>
  <c r="CL66" i="20"/>
  <c r="BQ66"/>
  <c r="BP134"/>
  <c r="BP90"/>
  <c r="BQ112"/>
  <c r="CN58"/>
  <c r="BS58"/>
  <c r="BR126"/>
  <c r="BR82"/>
  <c r="BS104"/>
  <c r="Z2" i="28"/>
  <c r="AA62"/>
  <c r="AA24"/>
  <c r="BG315" i="20"/>
  <c r="CU351"/>
  <c r="CU551"/>
  <c r="BG403"/>
  <c r="CU198"/>
  <c r="CU539"/>
  <c r="CO69"/>
  <c r="BS137"/>
  <c r="CO137" s="1"/>
  <c r="BT115"/>
  <c r="CP115" s="1"/>
  <c r="BS93"/>
  <c r="BT69"/>
  <c r="CV15"/>
  <c r="CG191"/>
  <c r="CL95"/>
  <c r="BX358"/>
  <c r="BY358" s="1"/>
  <c r="CS358"/>
  <c r="BW558"/>
  <c r="CS558" s="1"/>
  <c r="BF452"/>
  <c r="CV534"/>
  <c r="CV193"/>
  <c r="BX189"/>
  <c r="CT276"/>
  <c r="BM169"/>
  <c r="CI171"/>
  <c r="BH389"/>
  <c r="CU238"/>
  <c r="AL61" i="23"/>
  <c r="BW6" i="20" l="1"/>
  <c r="BV630"/>
  <c r="BV386"/>
  <c r="BV438" s="1"/>
  <c r="BV489"/>
  <c r="CR489" s="1"/>
  <c r="BZ281"/>
  <c r="BZ276" s="1"/>
  <c r="BY189"/>
  <c r="BY531" s="1"/>
  <c r="CA539"/>
  <c r="CB198"/>
  <c r="CN67"/>
  <c r="BS67"/>
  <c r="BR135"/>
  <c r="CN135" s="1"/>
  <c r="CC434"/>
  <c r="CC442"/>
  <c r="CA534"/>
  <c r="CB193"/>
  <c r="CB60"/>
  <c r="CB106"/>
  <c r="CA128"/>
  <c r="CA84"/>
  <c r="CD23"/>
  <c r="CB270"/>
  <c r="CC201"/>
  <c r="CB541"/>
  <c r="CD173"/>
  <c r="CB15"/>
  <c r="CC186"/>
  <c r="CB528"/>
  <c r="CB62"/>
  <c r="CB108"/>
  <c r="CA130"/>
  <c r="CA86"/>
  <c r="CC195"/>
  <c r="CB238"/>
  <c r="CB536"/>
  <c r="CC206"/>
  <c r="CB546"/>
  <c r="BR91"/>
  <c r="CN91" s="1"/>
  <c r="CC170"/>
  <c r="BZ358"/>
  <c r="BY558"/>
  <c r="BY68"/>
  <c r="BY114"/>
  <c r="CB351"/>
  <c r="CA551"/>
  <c r="CA129"/>
  <c r="CA85"/>
  <c r="CB61"/>
  <c r="CB107"/>
  <c r="CC174"/>
  <c r="CD170"/>
  <c r="BH326"/>
  <c r="CZ202"/>
  <c r="CZ269"/>
  <c r="CZ542"/>
  <c r="CZ463"/>
  <c r="CZ365"/>
  <c r="CD38" i="23"/>
  <c r="CZ505" i="20"/>
  <c r="CZ259"/>
  <c r="AP226" i="19"/>
  <c r="CI94" i="20"/>
  <c r="CX306"/>
  <c r="CU442"/>
  <c r="AQ218" i="19"/>
  <c r="CV390" i="20"/>
  <c r="CV442"/>
  <c r="BV486"/>
  <c r="CQ486"/>
  <c r="AQ224" i="19"/>
  <c r="BZ8" i="28"/>
  <c r="CA32" i="23"/>
  <c r="CW305" i="20"/>
  <c r="AP221" i="19"/>
  <c r="AP217"/>
  <c r="AQ223"/>
  <c r="AQ229"/>
  <c r="BN138" i="20"/>
  <c r="CJ138" s="1"/>
  <c r="CJ70"/>
  <c r="BN94"/>
  <c r="BO116"/>
  <c r="CK116" s="1"/>
  <c r="BO70"/>
  <c r="AP483"/>
  <c r="AP474" s="1"/>
  <c r="AQ474"/>
  <c r="AQ222" i="19"/>
  <c r="CD50"/>
  <c r="CD306" i="20" s="1"/>
  <c r="CD305" s="1"/>
  <c r="CD390" s="1"/>
  <c r="CI313"/>
  <c r="BN313"/>
  <c r="AQ230" i="19"/>
  <c r="AQ220"/>
  <c r="CK78" i="20"/>
  <c r="BO1130" i="19"/>
  <c r="BO77" i="20"/>
  <c r="BO1173" i="19"/>
  <c r="BO1174" s="1"/>
  <c r="CJ77" i="20"/>
  <c r="BN1125" i="19"/>
  <c r="BN1126" s="1"/>
  <c r="BN1127" s="1"/>
  <c r="CS382" i="20"/>
  <c r="BW33" i="23"/>
  <c r="BX382" i="20"/>
  <c r="BY382" s="1"/>
  <c r="BZ382" s="1"/>
  <c r="CA382" s="1"/>
  <c r="CB382" s="1"/>
  <c r="CC382" s="1"/>
  <c r="CD382" s="1"/>
  <c r="BU98"/>
  <c r="BV120"/>
  <c r="CR120" s="1"/>
  <c r="BV74"/>
  <c r="BU142"/>
  <c r="CQ142" s="1"/>
  <c r="CQ74"/>
  <c r="CQ221"/>
  <c r="BU163"/>
  <c r="CQ163" s="1"/>
  <c r="BS97"/>
  <c r="CO97" s="1"/>
  <c r="BT73"/>
  <c r="CO73"/>
  <c r="BT119"/>
  <c r="CP119" s="1"/>
  <c r="BS141"/>
  <c r="CO141" s="1"/>
  <c r="CR80"/>
  <c r="BV161"/>
  <c r="CR161" s="1"/>
  <c r="BV221"/>
  <c r="BV162"/>
  <c r="CX364"/>
  <c r="BW316"/>
  <c r="CR316"/>
  <c r="CP98"/>
  <c r="BX56"/>
  <c r="BX102"/>
  <c r="CT102" s="1"/>
  <c r="BX261"/>
  <c r="CT261" s="1"/>
  <c r="CS56"/>
  <c r="BW80"/>
  <c r="BW124"/>
  <c r="CS124" s="1"/>
  <c r="BR59"/>
  <c r="CM59"/>
  <c r="BQ127"/>
  <c r="CM127" s="1"/>
  <c r="BR105"/>
  <c r="CN105" s="1"/>
  <c r="BQ83"/>
  <c r="BW262"/>
  <c r="CR262"/>
  <c r="CQ162"/>
  <c r="BU164"/>
  <c r="CQ164" s="1"/>
  <c r="BN1128" i="19"/>
  <c r="BN1165"/>
  <c r="BP78" i="20"/>
  <c r="CL83"/>
  <c r="CU276"/>
  <c r="BH403"/>
  <c r="BH433"/>
  <c r="BH435" s="1"/>
  <c r="BH441"/>
  <c r="BX558"/>
  <c r="CT558" s="1"/>
  <c r="CT358"/>
  <c r="BG452"/>
  <c r="CM112"/>
  <c r="BH478"/>
  <c r="CW193"/>
  <c r="CW534"/>
  <c r="CW15"/>
  <c r="BT137"/>
  <c r="CP137" s="1"/>
  <c r="BT93"/>
  <c r="CP69"/>
  <c r="BU69"/>
  <c r="BU115"/>
  <c r="CQ115" s="1"/>
  <c r="CV351"/>
  <c r="CV551"/>
  <c r="BH315"/>
  <c r="CO104"/>
  <c r="CM66"/>
  <c r="BR66"/>
  <c r="BQ134"/>
  <c r="BQ90"/>
  <c r="BR112"/>
  <c r="BH178"/>
  <c r="BH518" s="1"/>
  <c r="BH517"/>
  <c r="CH191"/>
  <c r="CY170"/>
  <c r="CY44"/>
  <c r="CP255"/>
  <c r="BU255"/>
  <c r="BM191"/>
  <c r="CI169"/>
  <c r="BX531"/>
  <c r="CT531" s="1"/>
  <c r="CT189"/>
  <c r="CV198"/>
  <c r="CV539"/>
  <c r="Z24" i="28"/>
  <c r="Y2"/>
  <c r="Z62"/>
  <c r="CO58" i="20"/>
  <c r="BT58"/>
  <c r="BS126"/>
  <c r="BS82"/>
  <c r="BT104"/>
  <c r="CL134"/>
  <c r="CM95"/>
  <c r="CW195"/>
  <c r="CW536"/>
  <c r="CY23"/>
  <c r="CW173"/>
  <c r="CW60"/>
  <c r="CW128"/>
  <c r="CW84"/>
  <c r="CX106"/>
  <c r="CW201"/>
  <c r="CW541"/>
  <c r="CW61"/>
  <c r="CX107"/>
  <c r="CW129"/>
  <c r="CW85"/>
  <c r="AP231" i="19"/>
  <c r="AQ232"/>
  <c r="CV260" i="20"/>
  <c r="CN126"/>
  <c r="CL90"/>
  <c r="BP168"/>
  <c r="BS117"/>
  <c r="CO117" s="1"/>
  <c r="BS71"/>
  <c r="BR139"/>
  <c r="CN139" s="1"/>
  <c r="CN71"/>
  <c r="BR95"/>
  <c r="Y65" i="23"/>
  <c r="Y66" s="1"/>
  <c r="Y67" s="1"/>
  <c r="Z63"/>
  <c r="CV377" i="20"/>
  <c r="BI79"/>
  <c r="BG295"/>
  <c r="CZ6"/>
  <c r="CZ438" s="1"/>
  <c r="CY438"/>
  <c r="CW62"/>
  <c r="CW130"/>
  <c r="CW86"/>
  <c r="CX108"/>
  <c r="AM61" i="23"/>
  <c r="AL62"/>
  <c r="AL42" s="1"/>
  <c r="CW186" i="20"/>
  <c r="CW528"/>
  <c r="BE478"/>
  <c r="BD485"/>
  <c r="AA6"/>
  <c r="AB438"/>
  <c r="CW206"/>
  <c r="CW546"/>
  <c r="CW174"/>
  <c r="CN75"/>
  <c r="BR99"/>
  <c r="CN99" s="1"/>
  <c r="BS75"/>
  <c r="BS121"/>
  <c r="CO121" s="1"/>
  <c r="BR143"/>
  <c r="CN143" s="1"/>
  <c r="BT64" i="23"/>
  <c r="CT68" i="20"/>
  <c r="BX136"/>
  <c r="CT136" s="1"/>
  <c r="CU114"/>
  <c r="BX92"/>
  <c r="BI304"/>
  <c r="CU281"/>
  <c r="CO93"/>
  <c r="CN82"/>
  <c r="CV238"/>
  <c r="CT274"/>
  <c r="BJ140"/>
  <c r="BJ123" s="1"/>
  <c r="BK118"/>
  <c r="BK72"/>
  <c r="BJ96"/>
  <c r="AQ486"/>
  <c r="AR479"/>
  <c r="BT24"/>
  <c r="CO24"/>
  <c r="BS113"/>
  <c r="CO113" s="1"/>
  <c r="BS91"/>
  <c r="CT165"/>
  <c r="CV270"/>
  <c r="BN169"/>
  <c r="CJ171"/>
  <c r="BO171"/>
  <c r="CK168"/>
  <c r="BW4" i="23"/>
  <c r="BW43" s="1"/>
  <c r="CS92" i="20"/>
  <c r="AR234" i="19"/>
  <c r="BV79" i="23"/>
  <c r="BW630" i="20" l="1"/>
  <c r="BW489"/>
  <c r="CS489" s="1"/>
  <c r="BW386"/>
  <c r="BW438" s="1"/>
  <c r="BX6"/>
  <c r="CD174"/>
  <c r="CA281"/>
  <c r="CA276" s="1"/>
  <c r="BZ189"/>
  <c r="BZ531" s="1"/>
  <c r="BY261"/>
  <c r="BY56"/>
  <c r="BY102"/>
  <c r="CD442"/>
  <c r="CD434"/>
  <c r="CD206"/>
  <c r="CD546" s="1"/>
  <c r="CC546"/>
  <c r="CC15"/>
  <c r="CC106"/>
  <c r="CB128"/>
  <c r="CC60"/>
  <c r="CB84"/>
  <c r="CC198"/>
  <c r="CB539"/>
  <c r="CB85"/>
  <c r="CX85" s="1"/>
  <c r="CC61"/>
  <c r="CB129"/>
  <c r="CC107"/>
  <c r="CC351"/>
  <c r="CB551"/>
  <c r="CA358"/>
  <c r="BZ558"/>
  <c r="CC536"/>
  <c r="CC238"/>
  <c r="CD195"/>
  <c r="CC62"/>
  <c r="CC108"/>
  <c r="CY108" s="1"/>
  <c r="CB130"/>
  <c r="CB86"/>
  <c r="CC270"/>
  <c r="CD201"/>
  <c r="CC541"/>
  <c r="BT67"/>
  <c r="CO67"/>
  <c r="BS135"/>
  <c r="CO135" s="1"/>
  <c r="CD165"/>
  <c r="BZ114"/>
  <c r="BY136"/>
  <c r="CU136" s="1"/>
  <c r="BY92"/>
  <c r="BZ68"/>
  <c r="CC528"/>
  <c r="CD186"/>
  <c r="CD528" s="1"/>
  <c r="CC193"/>
  <c r="CB534"/>
  <c r="AP220" i="19"/>
  <c r="CY306" i="20"/>
  <c r="AP229" i="19"/>
  <c r="AP224"/>
  <c r="AP230"/>
  <c r="BO313" i="20"/>
  <c r="CJ313"/>
  <c r="CZ306"/>
  <c r="AP222" i="19"/>
  <c r="BP116" i="20"/>
  <c r="CL116" s="1"/>
  <c r="BO94"/>
  <c r="BO138"/>
  <c r="CK138" s="1"/>
  <c r="BP70"/>
  <c r="CK70"/>
  <c r="CJ94"/>
  <c r="AP223" i="19"/>
  <c r="CW390" i="20"/>
  <c r="BW486"/>
  <c r="CR486"/>
  <c r="AP218" i="19"/>
  <c r="CX305" i="20"/>
  <c r="CA8" i="28"/>
  <c r="CB32" i="23"/>
  <c r="BW161" i="20"/>
  <c r="CS161" s="1"/>
  <c r="CS80"/>
  <c r="BW162"/>
  <c r="BW221"/>
  <c r="CU102"/>
  <c r="CU261"/>
  <c r="BX80"/>
  <c r="BX124"/>
  <c r="CT124" s="1"/>
  <c r="CT56"/>
  <c r="BX316"/>
  <c r="BY316" s="1"/>
  <c r="BZ316" s="1"/>
  <c r="CA316" s="1"/>
  <c r="CB316" s="1"/>
  <c r="CC316" s="1"/>
  <c r="CD316" s="1"/>
  <c r="CS316"/>
  <c r="CR162"/>
  <c r="BV164"/>
  <c r="CR164" s="1"/>
  <c r="BU73"/>
  <c r="BT97"/>
  <c r="CP97" s="1"/>
  <c r="BU119"/>
  <c r="CQ119" s="1"/>
  <c r="CP73"/>
  <c r="BT141"/>
  <c r="CP141" s="1"/>
  <c r="BP77"/>
  <c r="BP1173" i="19"/>
  <c r="BP1174" s="1"/>
  <c r="BP1130"/>
  <c r="CL78" i="20"/>
  <c r="BV142"/>
  <c r="CR142" s="1"/>
  <c r="BW120"/>
  <c r="CS120" s="1"/>
  <c r="BW74"/>
  <c r="CR74"/>
  <c r="BV98"/>
  <c r="CM83"/>
  <c r="BQ78"/>
  <c r="BS59"/>
  <c r="BS105"/>
  <c r="CO105" s="1"/>
  <c r="BR127"/>
  <c r="CN127" s="1"/>
  <c r="CN59"/>
  <c r="BR83"/>
  <c r="CZ364"/>
  <c r="CY364"/>
  <c r="BX33" i="23"/>
  <c r="CT382" i="20"/>
  <c r="CK77"/>
  <c r="BO1125" i="19"/>
  <c r="BO1126" s="1"/>
  <c r="BO1127" s="1"/>
  <c r="BX262" i="20"/>
  <c r="CS262"/>
  <c r="BV163"/>
  <c r="CR163" s="1"/>
  <c r="CR221"/>
  <c r="CQ98"/>
  <c r="CU165"/>
  <c r="CP24"/>
  <c r="BU24"/>
  <c r="BT113"/>
  <c r="CP113" s="1"/>
  <c r="BT91"/>
  <c r="CU274"/>
  <c r="CJ169"/>
  <c r="BN191"/>
  <c r="BJ79"/>
  <c r="BU64" i="23"/>
  <c r="BD478" i="20"/>
  <c r="BC485"/>
  <c r="CX62"/>
  <c r="CX130"/>
  <c r="CX86"/>
  <c r="CW377"/>
  <c r="CN95"/>
  <c r="CX60"/>
  <c r="CX128"/>
  <c r="CX84"/>
  <c r="CY106"/>
  <c r="CK171"/>
  <c r="BO169"/>
  <c r="CO91"/>
  <c r="CG118"/>
  <c r="BK101"/>
  <c r="BX4" i="23"/>
  <c r="BX43" s="1"/>
  <c r="CT92" i="20"/>
  <c r="CX206"/>
  <c r="CX546"/>
  <c r="CX528"/>
  <c r="CX186"/>
  <c r="AN61" i="23"/>
  <c r="CO71" i="20"/>
  <c r="BS139"/>
  <c r="CO139" s="1"/>
  <c r="BT117"/>
  <c r="CP117" s="1"/>
  <c r="BS95"/>
  <c r="BT71"/>
  <c r="BP171"/>
  <c r="CL168"/>
  <c r="CW260"/>
  <c r="CW270"/>
  <c r="CX173"/>
  <c r="CW238"/>
  <c r="CP104"/>
  <c r="CM134"/>
  <c r="CW351"/>
  <c r="CW551"/>
  <c r="CP93"/>
  <c r="BW79" i="23"/>
  <c r="AQ234" i="19"/>
  <c r="CX174" i="20"/>
  <c r="Z6"/>
  <c r="AA438"/>
  <c r="Z65" i="23"/>
  <c r="Z66" s="1"/>
  <c r="Z67" s="1"/>
  <c r="AA63"/>
  <c r="CP58" i="20"/>
  <c r="BU58"/>
  <c r="BT126"/>
  <c r="BT82"/>
  <c r="BU104"/>
  <c r="CI191"/>
  <c r="CM90"/>
  <c r="BQ168"/>
  <c r="BH452"/>
  <c r="CU189"/>
  <c r="CU531"/>
  <c r="AM62" i="23"/>
  <c r="AM42" s="1"/>
  <c r="BI176" i="20"/>
  <c r="AP232" i="19"/>
  <c r="CX201" i="20"/>
  <c r="CX541"/>
  <c r="CO126"/>
  <c r="Y24" i="28"/>
  <c r="Y62"/>
  <c r="X2"/>
  <c r="CW198" i="20"/>
  <c r="CW539"/>
  <c r="CQ255"/>
  <c r="BV255"/>
  <c r="CN112"/>
  <c r="BI315"/>
  <c r="BU137"/>
  <c r="CQ137" s="1"/>
  <c r="BV115"/>
  <c r="CR115" s="1"/>
  <c r="CQ69"/>
  <c r="BV69"/>
  <c r="BU93"/>
  <c r="CQ93" s="1"/>
  <c r="CU358"/>
  <c r="CU558"/>
  <c r="CV281"/>
  <c r="BK140"/>
  <c r="CG72"/>
  <c r="BL118"/>
  <c r="BL72"/>
  <c r="BK96"/>
  <c r="BI326"/>
  <c r="BI389"/>
  <c r="CU68"/>
  <c r="CV114"/>
  <c r="AP486"/>
  <c r="AP479" s="1"/>
  <c r="AQ479"/>
  <c r="CO75"/>
  <c r="BS143"/>
  <c r="CO143" s="1"/>
  <c r="BS99"/>
  <c r="CO99" s="1"/>
  <c r="BT121"/>
  <c r="CP121" s="1"/>
  <c r="BT75"/>
  <c r="CX129"/>
  <c r="CY107"/>
  <c r="CX61"/>
  <c r="CZ23"/>
  <c r="CX195"/>
  <c r="CX536"/>
  <c r="CO82"/>
  <c r="CZ44"/>
  <c r="CZ170"/>
  <c r="CN66"/>
  <c r="BS66"/>
  <c r="BR134"/>
  <c r="BR90"/>
  <c r="BS112"/>
  <c r="CX15"/>
  <c r="CX193"/>
  <c r="CX534"/>
  <c r="BI485"/>
  <c r="BY6" l="1"/>
  <c r="BX489"/>
  <c r="CT489" s="1"/>
  <c r="BX630"/>
  <c r="BX386"/>
  <c r="BX438" s="1"/>
  <c r="CC130"/>
  <c r="CC86"/>
  <c r="CY86" s="1"/>
  <c r="CD62"/>
  <c r="CD108"/>
  <c r="CB281"/>
  <c r="CB276" s="1"/>
  <c r="CA189"/>
  <c r="CA531" s="1"/>
  <c r="CD351"/>
  <c r="CD551" s="1"/>
  <c r="CC551"/>
  <c r="CD60"/>
  <c r="CD106"/>
  <c r="CC128"/>
  <c r="CC84"/>
  <c r="CY84" s="1"/>
  <c r="CD15"/>
  <c r="CC534"/>
  <c r="CD193"/>
  <c r="CD534" s="1"/>
  <c r="CC129"/>
  <c r="CC85"/>
  <c r="CY85" s="1"/>
  <c r="CD61"/>
  <c r="CD107"/>
  <c r="BY262"/>
  <c r="CD270"/>
  <c r="CD541"/>
  <c r="BZ92"/>
  <c r="CA68"/>
  <c r="BZ136"/>
  <c r="CV136" s="1"/>
  <c r="CA114"/>
  <c r="BU67"/>
  <c r="CP67"/>
  <c r="BT135"/>
  <c r="CP135" s="1"/>
  <c r="CD238"/>
  <c r="CD536"/>
  <c r="CB358"/>
  <c r="CA558"/>
  <c r="CC539"/>
  <c r="CD198"/>
  <c r="CD539" s="1"/>
  <c r="BZ261"/>
  <c r="BZ262" s="1"/>
  <c r="BY124"/>
  <c r="BZ56"/>
  <c r="BY80"/>
  <c r="BZ102"/>
  <c r="BX79" i="23"/>
  <c r="CX442" i="20"/>
  <c r="CX390"/>
  <c r="BX486"/>
  <c r="BY486" s="1"/>
  <c r="BZ486" s="1"/>
  <c r="CA486" s="1"/>
  <c r="CB486" s="1"/>
  <c r="CC486" s="1"/>
  <c r="CD486" s="1"/>
  <c r="CS486"/>
  <c r="CW442"/>
  <c r="BP138"/>
  <c r="CL138" s="1"/>
  <c r="BQ70"/>
  <c r="BP94"/>
  <c r="BQ116"/>
  <c r="CM116" s="1"/>
  <c r="CL70"/>
  <c r="CK94"/>
  <c r="CZ305"/>
  <c r="CD32" i="23"/>
  <c r="CC8" i="28"/>
  <c r="CK313" i="20"/>
  <c r="CC32" i="23"/>
  <c r="CY305" i="20"/>
  <c r="CB8" i="28"/>
  <c r="AP234" i="19"/>
  <c r="CR98" i="20"/>
  <c r="BP1125" i="19"/>
  <c r="BP1126" s="1"/>
  <c r="BP1127" s="1"/>
  <c r="CL77" i="20"/>
  <c r="CT80"/>
  <c r="BX161"/>
  <c r="CT161" s="1"/>
  <c r="BX221"/>
  <c r="BX162"/>
  <c r="CS221"/>
  <c r="BW163"/>
  <c r="CS163" s="1"/>
  <c r="BY33" i="23"/>
  <c r="CU382" i="20"/>
  <c r="BR78"/>
  <c r="CN83"/>
  <c r="BT105"/>
  <c r="CP105" s="1"/>
  <c r="BT59"/>
  <c r="CO59"/>
  <c r="BS127"/>
  <c r="CO127" s="1"/>
  <c r="BS83"/>
  <c r="CM78"/>
  <c r="BQ1173" i="19"/>
  <c r="BQ1174" s="1"/>
  <c r="BQ77" i="20"/>
  <c r="BQ1130" i="19"/>
  <c r="BW98" i="20"/>
  <c r="CS98" s="1"/>
  <c r="CS74"/>
  <c r="BX74"/>
  <c r="BW142"/>
  <c r="CS142" s="1"/>
  <c r="BX120"/>
  <c r="CT120" s="1"/>
  <c r="CU56"/>
  <c r="CV102"/>
  <c r="CV261"/>
  <c r="CT262"/>
  <c r="BV119"/>
  <c r="CR119" s="1"/>
  <c r="BU97"/>
  <c r="CQ97" s="1"/>
  <c r="BU141"/>
  <c r="CQ141" s="1"/>
  <c r="BV73"/>
  <c r="CQ73"/>
  <c r="CT316"/>
  <c r="CS162"/>
  <c r="BW164"/>
  <c r="CS164" s="1"/>
  <c r="CY193"/>
  <c r="CY534"/>
  <c r="CO112"/>
  <c r="CY129"/>
  <c r="CZ107"/>
  <c r="CY61"/>
  <c r="BI517"/>
  <c r="BI178"/>
  <c r="BI518" s="1"/>
  <c r="BJ325"/>
  <c r="CV276"/>
  <c r="BT66"/>
  <c r="CO66"/>
  <c r="BS134"/>
  <c r="BS90"/>
  <c r="BT112"/>
  <c r="CY536"/>
  <c r="CY195"/>
  <c r="BI403"/>
  <c r="CH118"/>
  <c r="BL101"/>
  <c r="CX270"/>
  <c r="CP82"/>
  <c r="CN134"/>
  <c r="CX238"/>
  <c r="BI441"/>
  <c r="BI433"/>
  <c r="BI435" s="1"/>
  <c r="BL140"/>
  <c r="BM118"/>
  <c r="BM72"/>
  <c r="CH72"/>
  <c r="BL96"/>
  <c r="BW255"/>
  <c r="CR255"/>
  <c r="CY201"/>
  <c r="CY541"/>
  <c r="CM168"/>
  <c r="CQ104"/>
  <c r="CY174"/>
  <c r="CZ174"/>
  <c r="BP169"/>
  <c r="CL169" s="1"/>
  <c r="CL171"/>
  <c r="CG101"/>
  <c r="CY60"/>
  <c r="CY128"/>
  <c r="CZ106"/>
  <c r="BC478"/>
  <c r="BB485"/>
  <c r="BJ176"/>
  <c r="BK325" s="1"/>
  <c r="CQ24"/>
  <c r="BV24"/>
  <c r="BU113"/>
  <c r="CQ113" s="1"/>
  <c r="BU91"/>
  <c r="BR168"/>
  <c r="CN90"/>
  <c r="BY4" i="23"/>
  <c r="BY43" s="1"/>
  <c r="CU92" i="20"/>
  <c r="CG96"/>
  <c r="BK79"/>
  <c r="CG140"/>
  <c r="BK123"/>
  <c r="CX198"/>
  <c r="CX539"/>
  <c r="BV58"/>
  <c r="CQ58"/>
  <c r="BU126"/>
  <c r="BU82"/>
  <c r="BV104"/>
  <c r="Z438"/>
  <c r="Y6"/>
  <c r="CX551"/>
  <c r="CX351"/>
  <c r="CY173"/>
  <c r="CZ173"/>
  <c r="AO61" i="23"/>
  <c r="AN62"/>
  <c r="AN42" s="1"/>
  <c r="CK169" i="20"/>
  <c r="BO191"/>
  <c r="CY62"/>
  <c r="CY130"/>
  <c r="CZ108"/>
  <c r="BV64" i="23"/>
  <c r="CV274" i="20"/>
  <c r="CV165"/>
  <c r="CP126"/>
  <c r="CX260"/>
  <c r="CO95"/>
  <c r="CY206"/>
  <c r="CY546"/>
  <c r="CX377"/>
  <c r="CJ191"/>
  <c r="BI478"/>
  <c r="CY15"/>
  <c r="BU75"/>
  <c r="BU121"/>
  <c r="CQ121" s="1"/>
  <c r="CP75"/>
  <c r="BT143"/>
  <c r="CP143" s="1"/>
  <c r="BT99"/>
  <c r="CP99" s="1"/>
  <c r="CV68"/>
  <c r="CW114"/>
  <c r="CV558"/>
  <c r="CV358"/>
  <c r="BV93"/>
  <c r="CR93" s="1"/>
  <c r="BW115"/>
  <c r="CS115" s="1"/>
  <c r="CR69"/>
  <c r="BW69"/>
  <c r="BV137"/>
  <c r="CR137" s="1"/>
  <c r="W2" i="28"/>
  <c r="X24"/>
  <c r="X62"/>
  <c r="AA65" i="23"/>
  <c r="AA66" s="1"/>
  <c r="AA67" s="1"/>
  <c r="AB63"/>
  <c r="BT139" i="20"/>
  <c r="CP139" s="1"/>
  <c r="BT95"/>
  <c r="CP71"/>
  <c r="BU117"/>
  <c r="CQ117" s="1"/>
  <c r="BU71"/>
  <c r="CY186"/>
  <c r="CY528"/>
  <c r="CP91"/>
  <c r="BJ304"/>
  <c r="BJ485" s="1"/>
  <c r="BZ6" l="1"/>
  <c r="BY386"/>
  <c r="BY438" s="1"/>
  <c r="BY489"/>
  <c r="CU489" s="1"/>
  <c r="BY630"/>
  <c r="CC281"/>
  <c r="CC276" s="1"/>
  <c r="CB189"/>
  <c r="CB531" s="1"/>
  <c r="CC358"/>
  <c r="CB558"/>
  <c r="CA92"/>
  <c r="CA136"/>
  <c r="CB114"/>
  <c r="CB68"/>
  <c r="BY74"/>
  <c r="BY120"/>
  <c r="BZ124"/>
  <c r="BZ80"/>
  <c r="CA261"/>
  <c r="CA262" s="1"/>
  <c r="CA56"/>
  <c r="CA102"/>
  <c r="CD85"/>
  <c r="CD129"/>
  <c r="CD84"/>
  <c r="CD128"/>
  <c r="CZ128" s="1"/>
  <c r="CD130"/>
  <c r="CD86"/>
  <c r="BY79" i="23"/>
  <c r="BY221" i="20"/>
  <c r="BY163" s="1"/>
  <c r="BY162"/>
  <c r="BY161"/>
  <c r="BV67"/>
  <c r="CQ67"/>
  <c r="BU135"/>
  <c r="CQ135" s="1"/>
  <c r="CU124"/>
  <c r="CZ390"/>
  <c r="CE390"/>
  <c r="CL94"/>
  <c r="CT486"/>
  <c r="CY390"/>
  <c r="CY442"/>
  <c r="BQ138"/>
  <c r="CM138" s="1"/>
  <c r="BQ94"/>
  <c r="BR70"/>
  <c r="BR116"/>
  <c r="CN116" s="1"/>
  <c r="CM70"/>
  <c r="CU161"/>
  <c r="CU80"/>
  <c r="CO83"/>
  <c r="BS78"/>
  <c r="BX164"/>
  <c r="CT164" s="1"/>
  <c r="CT162"/>
  <c r="BV97"/>
  <c r="CR97" s="1"/>
  <c r="CR73"/>
  <c r="BV141"/>
  <c r="CR141" s="1"/>
  <c r="BW119"/>
  <c r="CS119" s="1"/>
  <c r="BW73"/>
  <c r="CU262"/>
  <c r="BT127"/>
  <c r="CP127" s="1"/>
  <c r="BU105"/>
  <c r="CQ105" s="1"/>
  <c r="BT83"/>
  <c r="CP59"/>
  <c r="BU59"/>
  <c r="CV56"/>
  <c r="CW261"/>
  <c r="CW102"/>
  <c r="CV382"/>
  <c r="BZ33" i="23"/>
  <c r="CU316" i="20"/>
  <c r="CT74"/>
  <c r="BX98"/>
  <c r="CT98" s="1"/>
  <c r="BX142"/>
  <c r="CT142" s="1"/>
  <c r="CU120"/>
  <c r="BQ1125" i="19"/>
  <c r="BQ1126" s="1"/>
  <c r="BQ1127" s="1"/>
  <c r="CM77" i="20"/>
  <c r="BR77"/>
  <c r="BR1173" i="19"/>
  <c r="BR1174" s="1"/>
  <c r="CN78" i="20"/>
  <c r="BX163"/>
  <c r="CT163" s="1"/>
  <c r="CT221"/>
  <c r="CG325"/>
  <c r="CW276"/>
  <c r="AB65" i="23"/>
  <c r="AB66" s="1"/>
  <c r="AB67" s="1"/>
  <c r="AC63"/>
  <c r="BZ4"/>
  <c r="BZ43" s="1"/>
  <c r="CV92" i="20"/>
  <c r="BJ478"/>
  <c r="CY260"/>
  <c r="CP95"/>
  <c r="W24" i="28"/>
  <c r="V2"/>
  <c r="W62"/>
  <c r="CW358" i="20"/>
  <c r="CW558"/>
  <c r="CW68"/>
  <c r="CW136"/>
  <c r="CX114"/>
  <c r="CW274"/>
  <c r="CY351"/>
  <c r="CY551"/>
  <c r="BJ389"/>
  <c r="BJ326"/>
  <c r="CZ528"/>
  <c r="CZ186"/>
  <c r="CZ206"/>
  <c r="CZ546"/>
  <c r="BW64" i="23"/>
  <c r="CZ62" i="20"/>
  <c r="CZ130"/>
  <c r="CZ86"/>
  <c r="Y438"/>
  <c r="X6"/>
  <c r="CQ126"/>
  <c r="CY198"/>
  <c r="CY539"/>
  <c r="CR24"/>
  <c r="BW24"/>
  <c r="BV91"/>
  <c r="BV113"/>
  <c r="CR113" s="1"/>
  <c r="BB478"/>
  <c r="BA485"/>
  <c r="BN72"/>
  <c r="BM96"/>
  <c r="BN118"/>
  <c r="CI72"/>
  <c r="BM140"/>
  <c r="CH101"/>
  <c r="CZ195"/>
  <c r="CZ536"/>
  <c r="CO134"/>
  <c r="BJ315"/>
  <c r="CS69"/>
  <c r="BX115"/>
  <c r="CT115" s="1"/>
  <c r="BW137"/>
  <c r="CS137" s="1"/>
  <c r="BW93"/>
  <c r="CS93" s="1"/>
  <c r="BX69"/>
  <c r="AP61" i="23"/>
  <c r="CQ82" i="20"/>
  <c r="BK176"/>
  <c r="BL325" s="1"/>
  <c r="CG79"/>
  <c r="CZ60"/>
  <c r="CZ84"/>
  <c r="CY238"/>
  <c r="CO90"/>
  <c r="BS168"/>
  <c r="BV121"/>
  <c r="CR121" s="1"/>
  <c r="BU99"/>
  <c r="CQ99" s="1"/>
  <c r="BV75"/>
  <c r="BU143"/>
  <c r="CQ143" s="1"/>
  <c r="CQ75"/>
  <c r="CY377"/>
  <c r="CW165"/>
  <c r="BP191"/>
  <c r="CK191"/>
  <c r="CR104"/>
  <c r="CR58"/>
  <c r="BW58"/>
  <c r="BV126"/>
  <c r="BV82"/>
  <c r="BW104"/>
  <c r="BJ517"/>
  <c r="BJ178"/>
  <c r="BJ518" s="1"/>
  <c r="CZ201"/>
  <c r="CZ541"/>
  <c r="CH96"/>
  <c r="BL79"/>
  <c r="CH140"/>
  <c r="BL123"/>
  <c r="BI452"/>
  <c r="CP112"/>
  <c r="CP66"/>
  <c r="BU66"/>
  <c r="BT134"/>
  <c r="BT90"/>
  <c r="BU112"/>
  <c r="CV531"/>
  <c r="CV189"/>
  <c r="CZ193"/>
  <c r="CZ534"/>
  <c r="BV117"/>
  <c r="CR117" s="1"/>
  <c r="CQ71"/>
  <c r="BU95"/>
  <c r="CQ95" s="1"/>
  <c r="BV71"/>
  <c r="BU139"/>
  <c r="CQ139" s="1"/>
  <c r="CZ15"/>
  <c r="BK304"/>
  <c r="CG123"/>
  <c r="CN168"/>
  <c r="CQ91"/>
  <c r="CY270"/>
  <c r="BX255"/>
  <c r="BY255" s="1"/>
  <c r="BZ255" s="1"/>
  <c r="CA255" s="1"/>
  <c r="CB255" s="1"/>
  <c r="CC255" s="1"/>
  <c r="CD255" s="1"/>
  <c r="CS255"/>
  <c r="CI118"/>
  <c r="BM101"/>
  <c r="CW281"/>
  <c r="CZ61"/>
  <c r="CZ85"/>
  <c r="CZ129"/>
  <c r="AO62" i="23"/>
  <c r="AO42" s="1"/>
  <c r="CA6" i="20" l="1"/>
  <c r="BZ386"/>
  <c r="BZ438" s="1"/>
  <c r="BZ489"/>
  <c r="CV489" s="1"/>
  <c r="BZ630"/>
  <c r="CD281"/>
  <c r="CD276" s="1"/>
  <c r="CD189" s="1"/>
  <c r="CD531" s="1"/>
  <c r="CC189"/>
  <c r="CC531" s="1"/>
  <c r="CA124"/>
  <c r="CB261"/>
  <c r="CB56"/>
  <c r="CA80"/>
  <c r="CB102"/>
  <c r="CC114"/>
  <c r="CB92"/>
  <c r="CB136"/>
  <c r="CC68"/>
  <c r="CR67"/>
  <c r="BW67"/>
  <c r="BV135"/>
  <c r="CR135" s="1"/>
  <c r="BZ162"/>
  <c r="BZ161"/>
  <c r="BZ221"/>
  <c r="BZ163" s="1"/>
  <c r="CB262"/>
  <c r="BY115"/>
  <c r="BY69"/>
  <c r="BY98"/>
  <c r="BZ74"/>
  <c r="BZ120"/>
  <c r="BY142"/>
  <c r="CD358"/>
  <c r="CD558" s="1"/>
  <c r="CC558"/>
  <c r="CV124"/>
  <c r="BY164"/>
  <c r="BR94"/>
  <c r="CN70"/>
  <c r="BS116"/>
  <c r="CO116" s="1"/>
  <c r="BR138"/>
  <c r="CN138" s="1"/>
  <c r="BS70"/>
  <c r="CU486"/>
  <c r="CZ442"/>
  <c r="CE442"/>
  <c r="CM94"/>
  <c r="CN77"/>
  <c r="BR1125" i="19"/>
  <c r="BR1126" s="1"/>
  <c r="BR1127" s="1"/>
  <c r="CV262" i="20"/>
  <c r="CU74"/>
  <c r="CU98"/>
  <c r="CU142"/>
  <c r="CV120"/>
  <c r="CV161"/>
  <c r="CV80"/>
  <c r="BV59"/>
  <c r="CQ59"/>
  <c r="BU127"/>
  <c r="CQ127" s="1"/>
  <c r="BV105"/>
  <c r="CR105" s="1"/>
  <c r="BU83"/>
  <c r="CO78"/>
  <c r="BS1173" i="19"/>
  <c r="BS1174" s="1"/>
  <c r="BS77" i="20"/>
  <c r="CW382"/>
  <c r="CA33" i="23"/>
  <c r="BW141" i="20"/>
  <c r="CS141" s="1"/>
  <c r="BX119"/>
  <c r="CT119" s="1"/>
  <c r="BX73"/>
  <c r="CS73"/>
  <c r="BW97"/>
  <c r="CS97" s="1"/>
  <c r="CU221"/>
  <c r="CU163"/>
  <c r="CV316"/>
  <c r="CW56"/>
  <c r="CX261"/>
  <c r="CW124"/>
  <c r="CX102"/>
  <c r="CP83"/>
  <c r="BT78"/>
  <c r="CU164"/>
  <c r="CU162"/>
  <c r="CH325"/>
  <c r="CX276"/>
  <c r="CT255"/>
  <c r="BL304"/>
  <c r="CH123"/>
  <c r="CQ66"/>
  <c r="BV66"/>
  <c r="BU134"/>
  <c r="BU90"/>
  <c r="BV112"/>
  <c r="CZ270"/>
  <c r="CS104"/>
  <c r="CX165"/>
  <c r="CZ238"/>
  <c r="CI96"/>
  <c r="BM79"/>
  <c r="CZ351"/>
  <c r="CZ551"/>
  <c r="CX68"/>
  <c r="CX136"/>
  <c r="CY114"/>
  <c r="CX358"/>
  <c r="CX558"/>
  <c r="CZ260"/>
  <c r="CP134"/>
  <c r="CH79"/>
  <c r="BL176"/>
  <c r="BM325" s="1"/>
  <c r="CS58"/>
  <c r="BX58"/>
  <c r="BW126"/>
  <c r="BW82"/>
  <c r="BX104"/>
  <c r="BP190"/>
  <c r="CL191"/>
  <c r="BQ191"/>
  <c r="CO168"/>
  <c r="CJ118"/>
  <c r="BN101"/>
  <c r="BX24"/>
  <c r="CS24"/>
  <c r="BW91"/>
  <c r="BW113"/>
  <c r="CS113" s="1"/>
  <c r="BX64" i="23"/>
  <c r="CX274" i="20"/>
  <c r="CX281"/>
  <c r="CR126"/>
  <c r="CZ377"/>
  <c r="AQ61" i="23"/>
  <c r="BX93" i="20"/>
  <c r="CT93" s="1"/>
  <c r="BX137"/>
  <c r="CT137" s="1"/>
  <c r="CT69"/>
  <c r="CU115"/>
  <c r="AZ485"/>
  <c r="BA478"/>
  <c r="CR91"/>
  <c r="BJ403"/>
  <c r="CW92"/>
  <c r="CA4" i="23"/>
  <c r="CA43" s="1"/>
  <c r="U2" i="28"/>
  <c r="V24"/>
  <c r="V62"/>
  <c r="CW531" i="20"/>
  <c r="CW189"/>
  <c r="AP62" i="23"/>
  <c r="AP42" s="1"/>
  <c r="BV95" i="20"/>
  <c r="CR95" s="1"/>
  <c r="BV139"/>
  <c r="CR139" s="1"/>
  <c r="CR71"/>
  <c r="BW117"/>
  <c r="CS117" s="1"/>
  <c r="BW71"/>
  <c r="CI101"/>
  <c r="BK389"/>
  <c r="BK326"/>
  <c r="CG304"/>
  <c r="CP90"/>
  <c r="BT168"/>
  <c r="CQ112"/>
  <c r="CR82"/>
  <c r="CR75"/>
  <c r="BW75"/>
  <c r="BV99"/>
  <c r="CR99" s="1"/>
  <c r="BV143"/>
  <c r="CR143" s="1"/>
  <c r="BW121"/>
  <c r="CS121" s="1"/>
  <c r="BK517"/>
  <c r="CG517" s="1"/>
  <c r="CG176"/>
  <c r="BK178"/>
  <c r="BK315"/>
  <c r="CI140"/>
  <c r="BM123"/>
  <c r="BO72"/>
  <c r="BN140"/>
  <c r="BN96"/>
  <c r="CJ72"/>
  <c r="BO118"/>
  <c r="CZ539"/>
  <c r="CZ198"/>
  <c r="W6"/>
  <c r="X438"/>
  <c r="BJ433"/>
  <c r="BJ435" s="1"/>
  <c r="BJ441"/>
  <c r="AC65" i="23"/>
  <c r="AC66" s="1"/>
  <c r="AC67" s="1"/>
  <c r="AD63"/>
  <c r="AQ62"/>
  <c r="AQ42" s="1"/>
  <c r="BK485" i="20"/>
  <c r="BZ79" i="23"/>
  <c r="CB6" i="20" l="1"/>
  <c r="CA386"/>
  <c r="CA438" s="1"/>
  <c r="CA489"/>
  <c r="CW489" s="1"/>
  <c r="CA630"/>
  <c r="CA79" i="23"/>
  <c r="BY24" i="20"/>
  <c r="BY58"/>
  <c r="BY104"/>
  <c r="BY73"/>
  <c r="BY119"/>
  <c r="BZ98"/>
  <c r="CA74"/>
  <c r="BZ142"/>
  <c r="CA120"/>
  <c r="CS67"/>
  <c r="BX67"/>
  <c r="BW135"/>
  <c r="CS135" s="1"/>
  <c r="CC56"/>
  <c r="CB80"/>
  <c r="CB124"/>
  <c r="CC261"/>
  <c r="CC262" s="1"/>
  <c r="CC102"/>
  <c r="CA162"/>
  <c r="CA221"/>
  <c r="CA163" s="1"/>
  <c r="CA161"/>
  <c r="BY93"/>
  <c r="BZ115"/>
  <c r="BZ69"/>
  <c r="BY137"/>
  <c r="CD114"/>
  <c r="CC92"/>
  <c r="CC136"/>
  <c r="CD68"/>
  <c r="BZ164"/>
  <c r="BT70"/>
  <c r="BS138"/>
  <c r="CO138" s="1"/>
  <c r="CO70"/>
  <c r="BS94"/>
  <c r="BT116"/>
  <c r="CP116" s="1"/>
  <c r="CN94"/>
  <c r="CV486"/>
  <c r="BT1173" i="19"/>
  <c r="BT1174" s="1"/>
  <c r="CP78" i="20"/>
  <c r="BT77"/>
  <c r="CW161"/>
  <c r="CW80"/>
  <c r="CW316"/>
  <c r="BS1125" i="19"/>
  <c r="BS1126" s="1"/>
  <c r="BS1127" s="1"/>
  <c r="CO77" i="20"/>
  <c r="CV221"/>
  <c r="CV163"/>
  <c r="BU78"/>
  <c r="CQ83"/>
  <c r="CR59"/>
  <c r="BV127"/>
  <c r="CR127" s="1"/>
  <c r="BW105"/>
  <c r="CS105" s="1"/>
  <c r="BW59"/>
  <c r="BV83"/>
  <c r="CY102"/>
  <c r="CX124"/>
  <c r="CX56"/>
  <c r="CY261"/>
  <c r="BX97"/>
  <c r="CT97" s="1"/>
  <c r="CT73"/>
  <c r="CU119"/>
  <c r="BX141"/>
  <c r="CT141" s="1"/>
  <c r="CX382"/>
  <c r="CB33" i="23"/>
  <c r="CW120" i="20"/>
  <c r="CV142"/>
  <c r="CV74"/>
  <c r="CV98"/>
  <c r="CV164"/>
  <c r="CV162"/>
  <c r="CW262"/>
  <c r="CY276"/>
  <c r="CJ96"/>
  <c r="BN79"/>
  <c r="CI123"/>
  <c r="BM304"/>
  <c r="BK518"/>
  <c r="CG518" s="1"/>
  <c r="CG178"/>
  <c r="CK118"/>
  <c r="BO101"/>
  <c r="BP72"/>
  <c r="CK72"/>
  <c r="BP118"/>
  <c r="BO96"/>
  <c r="BO140"/>
  <c r="BK478"/>
  <c r="BL485"/>
  <c r="CG485"/>
  <c r="V6"/>
  <c r="W438"/>
  <c r="CJ140"/>
  <c r="BN123"/>
  <c r="CS75"/>
  <c r="BX75"/>
  <c r="BW99"/>
  <c r="CS99" s="1"/>
  <c r="BX121"/>
  <c r="CT121" s="1"/>
  <c r="BW143"/>
  <c r="CS143" s="1"/>
  <c r="CG389"/>
  <c r="BK433"/>
  <c r="BK435" s="1"/>
  <c r="BK441"/>
  <c r="CG441" s="1"/>
  <c r="CI325"/>
  <c r="CV115"/>
  <c r="CU93"/>
  <c r="CU69"/>
  <c r="CU137"/>
  <c r="BY64" i="23"/>
  <c r="CS91" i="20"/>
  <c r="CT24"/>
  <c r="BX113"/>
  <c r="CT113" s="1"/>
  <c r="BX91"/>
  <c r="CL190"/>
  <c r="BP532"/>
  <c r="CL532" s="1"/>
  <c r="CS82"/>
  <c r="BM176"/>
  <c r="CI79"/>
  <c r="CQ134"/>
  <c r="BK403"/>
  <c r="CG326"/>
  <c r="U24" i="28"/>
  <c r="U62"/>
  <c r="T2"/>
  <c r="AY485" i="20"/>
  <c r="AZ478"/>
  <c r="CY274"/>
  <c r="CT104"/>
  <c r="CY358"/>
  <c r="CY558"/>
  <c r="CY68"/>
  <c r="CY136"/>
  <c r="CZ114"/>
  <c r="CQ90"/>
  <c r="BU168"/>
  <c r="CH304"/>
  <c r="BL389"/>
  <c r="BL326"/>
  <c r="CY281"/>
  <c r="AD65" i="23"/>
  <c r="AD66" s="1"/>
  <c r="AD67" s="1"/>
  <c r="AE63"/>
  <c r="CP168" i="20"/>
  <c r="BJ452"/>
  <c r="AR61" i="23"/>
  <c r="AR62" s="1"/>
  <c r="AR42" s="1"/>
  <c r="CM191" i="20"/>
  <c r="BR191"/>
  <c r="CT58"/>
  <c r="BX126"/>
  <c r="BX82"/>
  <c r="CY165"/>
  <c r="CR112"/>
  <c r="CU255"/>
  <c r="CX531"/>
  <c r="CX189"/>
  <c r="BL315"/>
  <c r="CG315"/>
  <c r="CS71"/>
  <c r="BX71"/>
  <c r="BW139"/>
  <c r="CS139" s="1"/>
  <c r="BW95"/>
  <c r="CS95" s="1"/>
  <c r="BX117"/>
  <c r="CT117" s="1"/>
  <c r="BN325"/>
  <c r="CJ101"/>
  <c r="CS126"/>
  <c r="CH176"/>
  <c r="BL517"/>
  <c r="CH517" s="1"/>
  <c r="BL178"/>
  <c r="CB4" i="23"/>
  <c r="CB43" s="1"/>
  <c r="CX92" i="20"/>
  <c r="BW66"/>
  <c r="CR66"/>
  <c r="BV134"/>
  <c r="BV90"/>
  <c r="BW112"/>
  <c r="CC6" l="1"/>
  <c r="CB386"/>
  <c r="CB438" s="1"/>
  <c r="CB489"/>
  <c r="CX489" s="1"/>
  <c r="CB630"/>
  <c r="BY71"/>
  <c r="BY117"/>
  <c r="BZ73"/>
  <c r="BY141"/>
  <c r="CU141" s="1"/>
  <c r="BY97"/>
  <c r="BZ119"/>
  <c r="BZ24"/>
  <c r="BY113"/>
  <c r="CU113" s="1"/>
  <c r="BY121"/>
  <c r="BY75"/>
  <c r="CA115"/>
  <c r="BZ93"/>
  <c r="CA69"/>
  <c r="BZ137"/>
  <c r="CV137" s="1"/>
  <c r="CC124"/>
  <c r="CD261"/>
  <c r="CD262" s="1"/>
  <c r="CD56"/>
  <c r="CC80"/>
  <c r="CD102"/>
  <c r="CD92"/>
  <c r="CD136"/>
  <c r="CZ136" s="1"/>
  <c r="CB161"/>
  <c r="CB221"/>
  <c r="CB163" s="1"/>
  <c r="CB162"/>
  <c r="BZ58"/>
  <c r="BY126"/>
  <c r="BY82"/>
  <c r="BZ104"/>
  <c r="BY67"/>
  <c r="CT67"/>
  <c r="BX135"/>
  <c r="CT135" s="1"/>
  <c r="CA98"/>
  <c r="CA142"/>
  <c r="CB74"/>
  <c r="CB120"/>
  <c r="CA164"/>
  <c r="CW164" s="1"/>
  <c r="CW486"/>
  <c r="BT94"/>
  <c r="BU116"/>
  <c r="CQ116" s="1"/>
  <c r="CP70"/>
  <c r="BU70"/>
  <c r="BT138"/>
  <c r="CP138" s="1"/>
  <c r="CO94"/>
  <c r="CY382"/>
  <c r="CC33" i="23"/>
  <c r="CX316" i="20"/>
  <c r="CX262"/>
  <c r="CW74"/>
  <c r="CX120"/>
  <c r="CW142"/>
  <c r="CX80"/>
  <c r="CX161"/>
  <c r="BX105"/>
  <c r="CT105" s="1"/>
  <c r="CS59"/>
  <c r="BX59"/>
  <c r="BW127"/>
  <c r="CS127" s="1"/>
  <c r="BW83"/>
  <c r="CW162"/>
  <c r="CR83"/>
  <c r="BV78"/>
  <c r="CW163"/>
  <c r="CW221"/>
  <c r="BT1125" i="19"/>
  <c r="CP77" i="20"/>
  <c r="CV119"/>
  <c r="CU97"/>
  <c r="CU73"/>
  <c r="CY124"/>
  <c r="CY56"/>
  <c r="CZ102"/>
  <c r="CZ261"/>
  <c r="BU1173" i="19"/>
  <c r="BU1174" s="1"/>
  <c r="BU77" i="20"/>
  <c r="CQ77" s="1"/>
  <c r="CQ78"/>
  <c r="CS112"/>
  <c r="CR134"/>
  <c r="BL518"/>
  <c r="CH518" s="1"/>
  <c r="CH178"/>
  <c r="CZ165"/>
  <c r="CU58"/>
  <c r="BL433"/>
  <c r="BL435" s="1"/>
  <c r="BL441"/>
  <c r="CH441" s="1"/>
  <c r="CH389"/>
  <c r="CZ274"/>
  <c r="CR90"/>
  <c r="BV168"/>
  <c r="BX139"/>
  <c r="CT139" s="1"/>
  <c r="CT71"/>
  <c r="BX95"/>
  <c r="CT95" s="1"/>
  <c r="CU117"/>
  <c r="CH315"/>
  <c r="BM315"/>
  <c r="CT126"/>
  <c r="AE65" i="23"/>
  <c r="AE66" s="1"/>
  <c r="AE67" s="1"/>
  <c r="AF63"/>
  <c r="CZ68" i="20"/>
  <c r="CZ558"/>
  <c r="CZ358"/>
  <c r="S2" i="28"/>
  <c r="T62"/>
  <c r="T24"/>
  <c r="CG403" i="20"/>
  <c r="BK452"/>
  <c r="CG452" s="1"/>
  <c r="CT91"/>
  <c r="U6"/>
  <c r="V438"/>
  <c r="CB79" i="23"/>
  <c r="CJ325" i="20"/>
  <c r="CV255"/>
  <c r="CT82"/>
  <c r="AX485"/>
  <c r="AY478"/>
  <c r="BM517"/>
  <c r="CI517" s="1"/>
  <c r="BM178"/>
  <c r="CI176"/>
  <c r="BX143"/>
  <c r="CT143" s="1"/>
  <c r="BX99"/>
  <c r="CT99" s="1"/>
  <c r="CU121"/>
  <c r="CT75"/>
  <c r="CG478"/>
  <c r="CL118"/>
  <c r="BP101"/>
  <c r="CZ281"/>
  <c r="CU104"/>
  <c r="AS61" i="23"/>
  <c r="AS62" s="1"/>
  <c r="AS42" s="1"/>
  <c r="CH326" i="20"/>
  <c r="BL403"/>
  <c r="CQ168"/>
  <c r="CY92"/>
  <c r="CC4" i="23"/>
  <c r="CC43" s="1"/>
  <c r="CW115" i="20"/>
  <c r="CV69"/>
  <c r="CV93"/>
  <c r="BL478"/>
  <c r="CH485"/>
  <c r="BM485"/>
  <c r="CK96"/>
  <c r="BO79"/>
  <c r="CK101"/>
  <c r="BM389"/>
  <c r="BM326"/>
  <c r="CI304"/>
  <c r="CJ79"/>
  <c r="BN176"/>
  <c r="BO325" s="1"/>
  <c r="CY531"/>
  <c r="CY189"/>
  <c r="BX66"/>
  <c r="CS66"/>
  <c r="BW134"/>
  <c r="BW90"/>
  <c r="BX112"/>
  <c r="BS191"/>
  <c r="CN191"/>
  <c r="CU24"/>
  <c r="BZ64" i="23"/>
  <c r="CJ123" i="20"/>
  <c r="BN304"/>
  <c r="CK140"/>
  <c r="BO123"/>
  <c r="BP96"/>
  <c r="BQ118"/>
  <c r="CL72"/>
  <c r="BP140"/>
  <c r="BQ72"/>
  <c r="CD6" l="1"/>
  <c r="CC386"/>
  <c r="CC438" s="1"/>
  <c r="CC489"/>
  <c r="CY489" s="1"/>
  <c r="CC630"/>
  <c r="CB164"/>
  <c r="BY105"/>
  <c r="BY59"/>
  <c r="CC161"/>
  <c r="CC221"/>
  <c r="CC163" s="1"/>
  <c r="CC162"/>
  <c r="BZ121"/>
  <c r="BZ75"/>
  <c r="BY143"/>
  <c r="CU143" s="1"/>
  <c r="BY99"/>
  <c r="BZ67"/>
  <c r="CU67"/>
  <c r="BY135"/>
  <c r="CU135" s="1"/>
  <c r="CA104"/>
  <c r="CA58"/>
  <c r="BZ126"/>
  <c r="BZ82"/>
  <c r="BZ71"/>
  <c r="BY139"/>
  <c r="BY95"/>
  <c r="BZ117"/>
  <c r="CV117" s="1"/>
  <c r="BY91"/>
  <c r="BY66"/>
  <c r="BY112"/>
  <c r="CB98"/>
  <c r="CB142"/>
  <c r="CC74"/>
  <c r="CC120"/>
  <c r="CD124"/>
  <c r="CD80"/>
  <c r="CB69"/>
  <c r="CB115"/>
  <c r="CA137"/>
  <c r="CW137" s="1"/>
  <c r="CA93"/>
  <c r="CA24"/>
  <c r="BZ113"/>
  <c r="BZ91"/>
  <c r="BZ97"/>
  <c r="CA73"/>
  <c r="BZ141"/>
  <c r="CV141" s="1"/>
  <c r="CA119"/>
  <c r="CP94"/>
  <c r="BV70"/>
  <c r="CQ70"/>
  <c r="BU94"/>
  <c r="CQ94" s="1"/>
  <c r="BV116"/>
  <c r="CR116" s="1"/>
  <c r="BU138"/>
  <c r="CQ138" s="1"/>
  <c r="CX486"/>
  <c r="CY161"/>
  <c r="CY80"/>
  <c r="CX162"/>
  <c r="CX164"/>
  <c r="CX142"/>
  <c r="CX74"/>
  <c r="CY120"/>
  <c r="CX98"/>
  <c r="CW98"/>
  <c r="CZ56"/>
  <c r="BT1126" i="19"/>
  <c r="BU1125"/>
  <c r="BV1125" s="1"/>
  <c r="BW1125" s="1"/>
  <c r="BX1125" s="1"/>
  <c r="BY1125" s="1"/>
  <c r="BZ1125" s="1"/>
  <c r="CA1125" s="1"/>
  <c r="CB1125" s="1"/>
  <c r="CC1125" s="1"/>
  <c r="CD1125" s="1"/>
  <c r="CR78" i="20"/>
  <c r="BV1173" i="19"/>
  <c r="BV1174" s="1"/>
  <c r="BV77" i="20"/>
  <c r="CR77" s="1"/>
  <c r="BW78"/>
  <c r="CS83"/>
  <c r="CY262"/>
  <c r="CZ262"/>
  <c r="CD33" i="23"/>
  <c r="CZ382" i="20"/>
  <c r="CV73"/>
  <c r="CW119"/>
  <c r="CV97"/>
  <c r="BX83"/>
  <c r="BX127"/>
  <c r="CT127" s="1"/>
  <c r="CT59"/>
  <c r="CU105"/>
  <c r="CX221"/>
  <c r="CX163"/>
  <c r="CZ316"/>
  <c r="CY316"/>
  <c r="CK325"/>
  <c r="BQ140"/>
  <c r="CM72"/>
  <c r="BR118"/>
  <c r="BR72"/>
  <c r="BQ96"/>
  <c r="CL96"/>
  <c r="BP79"/>
  <c r="CJ304"/>
  <c r="BN389"/>
  <c r="BN326"/>
  <c r="CT112"/>
  <c r="CT66"/>
  <c r="BX134"/>
  <c r="BX90"/>
  <c r="CW69"/>
  <c r="CX115"/>
  <c r="CW93"/>
  <c r="CZ276"/>
  <c r="CA64" i="23"/>
  <c r="CV24" i="20"/>
  <c r="CV113"/>
  <c r="CO191"/>
  <c r="BT191"/>
  <c r="CH478"/>
  <c r="CL140"/>
  <c r="BP123"/>
  <c r="BO304"/>
  <c r="CK123"/>
  <c r="CU91"/>
  <c r="CS134"/>
  <c r="CK79"/>
  <c r="BO176"/>
  <c r="BP325" s="1"/>
  <c r="BL452"/>
  <c r="CH452" s="1"/>
  <c r="CH403"/>
  <c r="AT61" i="23"/>
  <c r="AT62"/>
  <c r="AT42" s="1"/>
  <c r="CL101" i="20"/>
  <c r="CU99"/>
  <c r="CV121"/>
  <c r="CU75"/>
  <c r="AX478"/>
  <c r="AW485"/>
  <c r="CW255"/>
  <c r="R2" i="28"/>
  <c r="S24"/>
  <c r="S62"/>
  <c r="CU71" i="20"/>
  <c r="CU139"/>
  <c r="CU95"/>
  <c r="CU126"/>
  <c r="CJ176"/>
  <c r="BN178"/>
  <c r="BN517"/>
  <c r="CJ517" s="1"/>
  <c r="BM403"/>
  <c r="CI326"/>
  <c r="BN485"/>
  <c r="CI485"/>
  <c r="BM478"/>
  <c r="U438"/>
  <c r="T6"/>
  <c r="CD4" i="23"/>
  <c r="CD43" s="1"/>
  <c r="CZ92" i="20"/>
  <c r="BN315"/>
  <c r="CI315"/>
  <c r="CU82"/>
  <c r="AF65" i="23"/>
  <c r="AF66" s="1"/>
  <c r="AF67" s="1"/>
  <c r="AG63"/>
  <c r="CR168" i="20"/>
  <c r="CV104"/>
  <c r="BW168"/>
  <c r="CS90"/>
  <c r="CM118"/>
  <c r="BQ101"/>
  <c r="BM441"/>
  <c r="CI441" s="1"/>
  <c r="BM433"/>
  <c r="BM435" s="1"/>
  <c r="CI389"/>
  <c r="BM518"/>
  <c r="CI518" s="1"/>
  <c r="CI178"/>
  <c r="CV58"/>
  <c r="CC79" i="23"/>
  <c r="CD79" s="1"/>
  <c r="CD386" i="20" l="1"/>
  <c r="CD438" s="1"/>
  <c r="CD489"/>
  <c r="CZ489" s="1"/>
  <c r="CD630"/>
  <c r="CD120"/>
  <c r="CZ120" s="1"/>
  <c r="CC98"/>
  <c r="CC142"/>
  <c r="CD74"/>
  <c r="CD161"/>
  <c r="CZ161" s="1"/>
  <c r="CD221"/>
  <c r="CD163" s="1"/>
  <c r="CD162"/>
  <c r="BZ139"/>
  <c r="CV139" s="1"/>
  <c r="CA117"/>
  <c r="BZ95"/>
  <c r="CA71"/>
  <c r="BZ59"/>
  <c r="BZ105"/>
  <c r="BY127"/>
  <c r="BY83"/>
  <c r="CC164"/>
  <c r="CB24"/>
  <c r="CA113"/>
  <c r="CB137"/>
  <c r="CX137" s="1"/>
  <c r="CC69"/>
  <c r="CC115"/>
  <c r="CB93"/>
  <c r="CB58"/>
  <c r="CA126"/>
  <c r="CA82"/>
  <c r="CB104"/>
  <c r="CA67"/>
  <c r="CV67"/>
  <c r="BZ135"/>
  <c r="CV135" s="1"/>
  <c r="CZ124"/>
  <c r="BZ66"/>
  <c r="BY134"/>
  <c r="BY90"/>
  <c r="BY168" s="1"/>
  <c r="BZ112"/>
  <c r="CA97"/>
  <c r="CW97" s="1"/>
  <c r="CA141"/>
  <c r="CB73"/>
  <c r="CB119"/>
  <c r="CA121"/>
  <c r="BZ99"/>
  <c r="CA75"/>
  <c r="BZ143"/>
  <c r="CY486"/>
  <c r="CZ486"/>
  <c r="CR70"/>
  <c r="BV138"/>
  <c r="CR138" s="1"/>
  <c r="BW70"/>
  <c r="BV94"/>
  <c r="CR94" s="1"/>
  <c r="BW116"/>
  <c r="CS116" s="1"/>
  <c r="BX78"/>
  <c r="CT83"/>
  <c r="CY163"/>
  <c r="CY221"/>
  <c r="CU127"/>
  <c r="CV105"/>
  <c r="CU59"/>
  <c r="BU1126" i="19"/>
  <c r="BV1126" s="1"/>
  <c r="BW1126" s="1"/>
  <c r="BX1126" s="1"/>
  <c r="BY1126" s="1"/>
  <c r="BZ1126" s="1"/>
  <c r="CA1126" s="1"/>
  <c r="CB1126" s="1"/>
  <c r="CC1126" s="1"/>
  <c r="CD1126" s="1"/>
  <c r="BT1127"/>
  <c r="BU1127" s="1"/>
  <c r="BV1127" s="1"/>
  <c r="BW1127" s="1"/>
  <c r="BX1127" s="1"/>
  <c r="BY1127" s="1"/>
  <c r="BZ1127" s="1"/>
  <c r="CA1127" s="1"/>
  <c r="CB1127" s="1"/>
  <c r="CC1127" s="1"/>
  <c r="CD1127" s="1"/>
  <c r="CY142" i="20"/>
  <c r="CY74"/>
  <c r="CY98"/>
  <c r="BW77"/>
  <c r="CS77" s="1"/>
  <c r="CS78"/>
  <c r="BW1173" i="19"/>
  <c r="BW1174" s="1"/>
  <c r="CZ80" i="20"/>
  <c r="CW141"/>
  <c r="CX119"/>
  <c r="CW73"/>
  <c r="CY164"/>
  <c r="CY162"/>
  <c r="CL325"/>
  <c r="S6"/>
  <c r="T438"/>
  <c r="CV82"/>
  <c r="CM101"/>
  <c r="CV71"/>
  <c r="CV95"/>
  <c r="CW117"/>
  <c r="Q2" i="28"/>
  <c r="R62"/>
  <c r="R24"/>
  <c r="AW478" i="20"/>
  <c r="AV485"/>
  <c r="BU191"/>
  <c r="CP191"/>
  <c r="CB64" i="23"/>
  <c r="CZ189" i="20"/>
  <c r="CZ531"/>
  <c r="CU112"/>
  <c r="CU66"/>
  <c r="CN118"/>
  <c r="BR101"/>
  <c r="CW58"/>
  <c r="CW104"/>
  <c r="CS168"/>
  <c r="CI478"/>
  <c r="CI403"/>
  <c r="BM452"/>
  <c r="CI452" s="1"/>
  <c r="CX255"/>
  <c r="AU61" i="23"/>
  <c r="CV91" i="20"/>
  <c r="CX93"/>
  <c r="CX69"/>
  <c r="CY115"/>
  <c r="BN403"/>
  <c r="CJ326"/>
  <c r="CL79"/>
  <c r="BP176"/>
  <c r="BQ325" s="1"/>
  <c r="BS118"/>
  <c r="CN72"/>
  <c r="BR140"/>
  <c r="BR96"/>
  <c r="BS72"/>
  <c r="AG65" i="23"/>
  <c r="AG66" s="1"/>
  <c r="AG67" s="1"/>
  <c r="AH63"/>
  <c r="CJ315" i="20"/>
  <c r="BO315"/>
  <c r="CJ178"/>
  <c r="BN518"/>
  <c r="CJ518" s="1"/>
  <c r="CV99"/>
  <c r="CW121"/>
  <c r="CV143"/>
  <c r="CV75"/>
  <c r="CK176"/>
  <c r="BO517"/>
  <c r="CK517" s="1"/>
  <c r="BO178"/>
  <c r="CL123"/>
  <c r="BP304"/>
  <c r="CT134"/>
  <c r="CM96"/>
  <c r="BQ79"/>
  <c r="CM140"/>
  <c r="BQ123"/>
  <c r="CV126"/>
  <c r="BN478"/>
  <c r="BO485"/>
  <c r="CJ485"/>
  <c r="BO389"/>
  <c r="CK304"/>
  <c r="BO326"/>
  <c r="CW113"/>
  <c r="CW24"/>
  <c r="CT90"/>
  <c r="BX168"/>
  <c r="CJ389"/>
  <c r="BN441"/>
  <c r="CJ441" s="1"/>
  <c r="BN433"/>
  <c r="BN435" s="1"/>
  <c r="CC58" l="1"/>
  <c r="CB126"/>
  <c r="CB82"/>
  <c r="CC104"/>
  <c r="CD115"/>
  <c r="CC93"/>
  <c r="CC137"/>
  <c r="CD69"/>
  <c r="CA66"/>
  <c r="BZ134"/>
  <c r="BZ90"/>
  <c r="BZ168" s="1"/>
  <c r="CA112"/>
  <c r="CB67"/>
  <c r="CW67"/>
  <c r="CA135"/>
  <c r="CW135" s="1"/>
  <c r="CC24"/>
  <c r="CB113"/>
  <c r="CA59"/>
  <c r="CA105"/>
  <c r="BZ127"/>
  <c r="BZ83"/>
  <c r="CA143"/>
  <c r="CB75"/>
  <c r="CA99"/>
  <c r="CB121"/>
  <c r="CB97"/>
  <c r="CB141"/>
  <c r="CC73"/>
  <c r="CC119"/>
  <c r="CA91"/>
  <c r="BY78"/>
  <c r="BY77" s="1"/>
  <c r="CA95"/>
  <c r="CA139"/>
  <c r="CB117"/>
  <c r="CB71"/>
  <c r="CD98"/>
  <c r="CZ98" s="1"/>
  <c r="CD142"/>
  <c r="CZ142" s="1"/>
  <c r="CD164"/>
  <c r="CZ164" s="1"/>
  <c r="BX70"/>
  <c r="CS70"/>
  <c r="BW138"/>
  <c r="CS138" s="1"/>
  <c r="BX116"/>
  <c r="CT116" s="1"/>
  <c r="BW94"/>
  <c r="CS94" s="1"/>
  <c r="CZ74"/>
  <c r="CU83"/>
  <c r="CT78"/>
  <c r="BX1173" i="19"/>
  <c r="BX1174" s="1"/>
  <c r="BX77" i="20"/>
  <c r="CT77" s="1"/>
  <c r="CZ163"/>
  <c r="CZ221"/>
  <c r="CZ162"/>
  <c r="CX141"/>
  <c r="CX73"/>
  <c r="CY119"/>
  <c r="CX97"/>
  <c r="CV127"/>
  <c r="CV59"/>
  <c r="CW105"/>
  <c r="CM325"/>
  <c r="CT168"/>
  <c r="CK326"/>
  <c r="BO403"/>
  <c r="BO441"/>
  <c r="BO433"/>
  <c r="BO435" s="1"/>
  <c r="CK389"/>
  <c r="BO518"/>
  <c r="CK518" s="1"/>
  <c r="CK178"/>
  <c r="CX113"/>
  <c r="CX24"/>
  <c r="CJ478"/>
  <c r="CM123"/>
  <c r="BQ304"/>
  <c r="BP315"/>
  <c r="CK315"/>
  <c r="AH65" i="23"/>
  <c r="AH66" s="1"/>
  <c r="AH67" s="1"/>
  <c r="AI63"/>
  <c r="CX104" i="20"/>
  <c r="CV112"/>
  <c r="CV66"/>
  <c r="CK485"/>
  <c r="BP485"/>
  <c r="BO478"/>
  <c r="CL304"/>
  <c r="BP389"/>
  <c r="CW143"/>
  <c r="CW99"/>
  <c r="CX121"/>
  <c r="CW75"/>
  <c r="CN140"/>
  <c r="BR123"/>
  <c r="AV61" i="23"/>
  <c r="AU62"/>
  <c r="AU42" s="1"/>
  <c r="CX58" i="20"/>
  <c r="AV478"/>
  <c r="AU485"/>
  <c r="P2" i="28"/>
  <c r="Q62"/>
  <c r="Q24"/>
  <c r="CW71" i="20"/>
  <c r="CW139"/>
  <c r="CW95"/>
  <c r="CX117"/>
  <c r="CW91"/>
  <c r="CM79"/>
  <c r="BQ176"/>
  <c r="BR325" s="1"/>
  <c r="CN96"/>
  <c r="BR79"/>
  <c r="CY255"/>
  <c r="CW126"/>
  <c r="CN101"/>
  <c r="CU134"/>
  <c r="CC64" i="23"/>
  <c r="BV191" i="20"/>
  <c r="CQ191"/>
  <c r="R6"/>
  <c r="S438"/>
  <c r="BP181"/>
  <c r="BT118"/>
  <c r="BT72"/>
  <c r="BS140"/>
  <c r="CO72"/>
  <c r="BS96"/>
  <c r="CO118"/>
  <c r="BS101"/>
  <c r="BP517"/>
  <c r="CL517" s="1"/>
  <c r="CL176"/>
  <c r="BN452"/>
  <c r="CJ452" s="1"/>
  <c r="CJ403"/>
  <c r="CY137"/>
  <c r="CY69"/>
  <c r="CY93"/>
  <c r="CZ115"/>
  <c r="CW82"/>
  <c r="CU90"/>
  <c r="BZ78" l="1"/>
  <c r="BZ77" s="1"/>
  <c r="CD58"/>
  <c r="CC126"/>
  <c r="CC82"/>
  <c r="CD104"/>
  <c r="CB95"/>
  <c r="CB139"/>
  <c r="CC71"/>
  <c r="CC117"/>
  <c r="CB105"/>
  <c r="CA127"/>
  <c r="CA83"/>
  <c r="CB59"/>
  <c r="CD24"/>
  <c r="CC113"/>
  <c r="BY116"/>
  <c r="BY70"/>
  <c r="CC75"/>
  <c r="CC121"/>
  <c r="CB99"/>
  <c r="CB143"/>
  <c r="CC67"/>
  <c r="CC91" s="1"/>
  <c r="CX67"/>
  <c r="CB135"/>
  <c r="CX135" s="1"/>
  <c r="CB66"/>
  <c r="CA134"/>
  <c r="CA90"/>
  <c r="CA168" s="1"/>
  <c r="CB112"/>
  <c r="CC97"/>
  <c r="CC141"/>
  <c r="CD73"/>
  <c r="CD119"/>
  <c r="CZ119" s="1"/>
  <c r="CD93"/>
  <c r="CD137"/>
  <c r="CB91"/>
  <c r="CX91" s="1"/>
  <c r="CT70"/>
  <c r="CU116"/>
  <c r="BX138"/>
  <c r="CT138" s="1"/>
  <c r="BX94"/>
  <c r="CT94" s="1"/>
  <c r="CV83"/>
  <c r="CW59"/>
  <c r="CW127"/>
  <c r="CX105"/>
  <c r="CY73"/>
  <c r="CY97"/>
  <c r="CY141"/>
  <c r="CU77"/>
  <c r="BY1173" i="19"/>
  <c r="BY1174" s="1"/>
  <c r="CU78" i="20"/>
  <c r="CL181"/>
  <c r="BP522"/>
  <c r="BQ181"/>
  <c r="BP228"/>
  <c r="BP478"/>
  <c r="BP326"/>
  <c r="BO36" i="28"/>
  <c r="CO140" i="20"/>
  <c r="BS123"/>
  <c r="BW191"/>
  <c r="CR191"/>
  <c r="BR176"/>
  <c r="BS325" s="1"/>
  <c r="CN79"/>
  <c r="CX71"/>
  <c r="CX139"/>
  <c r="CX95"/>
  <c r="CY117"/>
  <c r="O2" i="28"/>
  <c r="P24"/>
  <c r="P62"/>
  <c r="CX82" i="20"/>
  <c r="CU168"/>
  <c r="CZ69"/>
  <c r="CZ137"/>
  <c r="CZ93"/>
  <c r="CO96"/>
  <c r="BS79"/>
  <c r="CP118"/>
  <c r="BT101"/>
  <c r="CD64" i="23"/>
  <c r="CZ255" i="20"/>
  <c r="CY104"/>
  <c r="CX143"/>
  <c r="CY121"/>
  <c r="CX99"/>
  <c r="CX75"/>
  <c r="BQ485"/>
  <c r="CL485"/>
  <c r="CV90"/>
  <c r="CK441"/>
  <c r="BP178"/>
  <c r="CN325"/>
  <c r="CY58"/>
  <c r="AW61" i="23"/>
  <c r="AV62"/>
  <c r="AV42" s="1"/>
  <c r="CK478" i="20"/>
  <c r="CW112"/>
  <c r="CM304"/>
  <c r="BQ389"/>
  <c r="BQ178"/>
  <c r="CM176"/>
  <c r="BQ517"/>
  <c r="CM517" s="1"/>
  <c r="AU478"/>
  <c r="AT485"/>
  <c r="CX126"/>
  <c r="CW66"/>
  <c r="AI65" i="23"/>
  <c r="AI66" s="1"/>
  <c r="AI67" s="1"/>
  <c r="AJ63"/>
  <c r="CL315" i="20"/>
  <c r="BQ315"/>
  <c r="CY24"/>
  <c r="CY113"/>
  <c r="CK403"/>
  <c r="BO452"/>
  <c r="CP72"/>
  <c r="BU72"/>
  <c r="BT140"/>
  <c r="BT96"/>
  <c r="BU118"/>
  <c r="CO101"/>
  <c r="Q6"/>
  <c r="R438"/>
  <c r="BR304"/>
  <c r="CN123"/>
  <c r="CL389"/>
  <c r="BP433"/>
  <c r="BP435" s="1"/>
  <c r="BP441"/>
  <c r="CL441" s="1"/>
  <c r="CV134"/>
  <c r="CD97" l="1"/>
  <c r="CD141"/>
  <c r="CC66"/>
  <c r="CB134"/>
  <c r="CB90"/>
  <c r="CB168" s="1"/>
  <c r="CC112"/>
  <c r="BY94"/>
  <c r="BZ70"/>
  <c r="BZ116"/>
  <c r="CV116" s="1"/>
  <c r="BY138"/>
  <c r="CA78"/>
  <c r="CA77" s="1"/>
  <c r="CD117"/>
  <c r="CZ117" s="1"/>
  <c r="CC95"/>
  <c r="CC139"/>
  <c r="CD71"/>
  <c r="CD121"/>
  <c r="CC99"/>
  <c r="CC143"/>
  <c r="CD75"/>
  <c r="CC59"/>
  <c r="CC105"/>
  <c r="CB83"/>
  <c r="CB127"/>
  <c r="CX127" s="1"/>
  <c r="CD113"/>
  <c r="CD91"/>
  <c r="CD126"/>
  <c r="CD82"/>
  <c r="CD67"/>
  <c r="CY67"/>
  <c r="CC135"/>
  <c r="CY135" s="1"/>
  <c r="CU70"/>
  <c r="CU94"/>
  <c r="CU138"/>
  <c r="CZ97"/>
  <c r="CZ141"/>
  <c r="CZ73"/>
  <c r="CY105"/>
  <c r="CX59"/>
  <c r="BZ1173" i="19"/>
  <c r="BZ1174" s="1"/>
  <c r="CV77" i="20"/>
  <c r="CV78"/>
  <c r="CW83"/>
  <c r="CO325"/>
  <c r="CM315"/>
  <c r="BR315"/>
  <c r="CY126"/>
  <c r="CP140"/>
  <c r="BT123"/>
  <c r="CK452"/>
  <c r="CY91"/>
  <c r="AT478"/>
  <c r="AS485"/>
  <c r="BQ518"/>
  <c r="CM518" s="1"/>
  <c r="CM178"/>
  <c r="CL178"/>
  <c r="BP518"/>
  <c r="CL518" s="1"/>
  <c r="CZ121"/>
  <c r="CY99"/>
  <c r="CY75"/>
  <c r="CY143"/>
  <c r="BS176"/>
  <c r="BT325" s="1"/>
  <c r="CO79"/>
  <c r="Q438"/>
  <c r="P6"/>
  <c r="CP96"/>
  <c r="BT79"/>
  <c r="AK63" i="23"/>
  <c r="AJ65"/>
  <c r="AJ66" s="1"/>
  <c r="AJ67" s="1"/>
  <c r="CW134" i="20"/>
  <c r="BQ433"/>
  <c r="BQ435" s="1"/>
  <c r="BQ441"/>
  <c r="CM441" s="1"/>
  <c r="CM389"/>
  <c r="CZ104"/>
  <c r="CL326"/>
  <c r="BP403"/>
  <c r="BQ326"/>
  <c r="BP36" i="28"/>
  <c r="BR181" i="20"/>
  <c r="BR178" s="1"/>
  <c r="BQ522"/>
  <c r="CM181"/>
  <c r="BQ478"/>
  <c r="AX61" i="23"/>
  <c r="AX62" s="1"/>
  <c r="AW62"/>
  <c r="AW42" s="1"/>
  <c r="CZ58" i="20"/>
  <c r="CM485"/>
  <c r="BR485"/>
  <c r="CP101"/>
  <c r="BR517"/>
  <c r="CN517" s="1"/>
  <c r="CN176"/>
  <c r="BS304"/>
  <c r="CO123"/>
  <c r="BO35" i="28"/>
  <c r="CJ36"/>
  <c r="CL228" i="20"/>
  <c r="BQ228"/>
  <c r="CL522"/>
  <c r="BX191"/>
  <c r="BY191" s="1"/>
  <c r="BZ191" s="1"/>
  <c r="CA191" s="1"/>
  <c r="CB191" s="1"/>
  <c r="CC191" s="1"/>
  <c r="CD191" s="1"/>
  <c r="CS191"/>
  <c r="CL478"/>
  <c r="CQ118"/>
  <c r="BU101"/>
  <c r="CZ24"/>
  <c r="CZ113"/>
  <c r="CW90"/>
  <c r="BR389"/>
  <c r="CN304"/>
  <c r="BU96"/>
  <c r="BU140"/>
  <c r="CQ72"/>
  <c r="BV118"/>
  <c r="BV72"/>
  <c r="CX112"/>
  <c r="CX66"/>
  <c r="CY82"/>
  <c r="CV168"/>
  <c r="O62" i="28"/>
  <c r="O24"/>
  <c r="N2"/>
  <c r="CY71" i="20"/>
  <c r="CY139"/>
  <c r="CY95"/>
  <c r="CC83" l="1"/>
  <c r="CD59"/>
  <c r="CD105"/>
  <c r="CC127"/>
  <c r="CD99"/>
  <c r="CZ99" s="1"/>
  <c r="CD143"/>
  <c r="CD66"/>
  <c r="CC134"/>
  <c r="CC90"/>
  <c r="CC168" s="1"/>
  <c r="CD112"/>
  <c r="CZ67"/>
  <c r="CD135"/>
  <c r="CZ135" s="1"/>
  <c r="CB78"/>
  <c r="CB77" s="1"/>
  <c r="CD95"/>
  <c r="CD139"/>
  <c r="CA116"/>
  <c r="CW116" s="1"/>
  <c r="BZ94"/>
  <c r="CV94" s="1"/>
  <c r="CA70"/>
  <c r="BZ138"/>
  <c r="CV138" s="1"/>
  <c r="CV70"/>
  <c r="CW77"/>
  <c r="CA1173" i="19"/>
  <c r="CA1174" s="1"/>
  <c r="CW78" i="20"/>
  <c r="CY127"/>
  <c r="CZ105"/>
  <c r="CY59"/>
  <c r="CX83"/>
  <c r="CY66"/>
  <c r="BR441"/>
  <c r="CN389"/>
  <c r="BR433"/>
  <c r="BR435" s="1"/>
  <c r="CW168"/>
  <c r="BO99" i="28"/>
  <c r="CJ99" s="1"/>
  <c r="CJ35"/>
  <c r="BO67"/>
  <c r="CJ67" s="1"/>
  <c r="BS485" i="20"/>
  <c r="CN485"/>
  <c r="CX134"/>
  <c r="CR118"/>
  <c r="BV101"/>
  <c r="CT191"/>
  <c r="CP325"/>
  <c r="AY61" i="23"/>
  <c r="CM522" i="20"/>
  <c r="CX90"/>
  <c r="BW118"/>
  <c r="CR72"/>
  <c r="BV140"/>
  <c r="BV96"/>
  <c r="BW72"/>
  <c r="CQ96"/>
  <c r="BU79"/>
  <c r="CQ101"/>
  <c r="BS389"/>
  <c r="CO304"/>
  <c r="CZ82"/>
  <c r="CM478"/>
  <c r="CN181"/>
  <c r="BQ36" i="28"/>
  <c r="BS181" i="20"/>
  <c r="BR522"/>
  <c r="BR478"/>
  <c r="BR326"/>
  <c r="BP452"/>
  <c r="CL403"/>
  <c r="CP79"/>
  <c r="BT176"/>
  <c r="BS178"/>
  <c r="CO176"/>
  <c r="BS517"/>
  <c r="CO517" s="1"/>
  <c r="CN315"/>
  <c r="BS315"/>
  <c r="CM228"/>
  <c r="BR228"/>
  <c r="CZ75"/>
  <c r="CZ143"/>
  <c r="AR485"/>
  <c r="AS478"/>
  <c r="CQ140"/>
  <c r="BU123"/>
  <c r="CZ71"/>
  <c r="CZ139"/>
  <c r="CZ95"/>
  <c r="CZ91"/>
  <c r="CN178"/>
  <c r="BR518"/>
  <c r="CN518" s="1"/>
  <c r="CM326"/>
  <c r="BQ403"/>
  <c r="AX42" i="23"/>
  <c r="N62" i="28"/>
  <c r="M2"/>
  <c r="N24"/>
  <c r="CY112" i="20"/>
  <c r="CZ126"/>
  <c r="BP35" i="28"/>
  <c r="CK36"/>
  <c r="AK65" i="23"/>
  <c r="AK66" s="1"/>
  <c r="AK67" s="1"/>
  <c r="AL63"/>
  <c r="O6" i="20"/>
  <c r="P438"/>
  <c r="BT304"/>
  <c r="CP123"/>
  <c r="CD127" l="1"/>
  <c r="CD83"/>
  <c r="CC78"/>
  <c r="CC77" s="1"/>
  <c r="CA94"/>
  <c r="CA138"/>
  <c r="CB116"/>
  <c r="CB70"/>
  <c r="CD134"/>
  <c r="CD90"/>
  <c r="CD168" s="1"/>
  <c r="CW70"/>
  <c r="CW138"/>
  <c r="CX116"/>
  <c r="CW94"/>
  <c r="CY83"/>
  <c r="CX77"/>
  <c r="CX78"/>
  <c r="CB1173" i="19"/>
  <c r="CB1174" s="1"/>
  <c r="CZ59" i="20"/>
  <c r="CP304"/>
  <c r="BT389"/>
  <c r="BU304"/>
  <c r="CQ123"/>
  <c r="BQ452"/>
  <c r="CM452" s="1"/>
  <c r="CM403"/>
  <c r="CN228"/>
  <c r="BS228"/>
  <c r="N6"/>
  <c r="O438"/>
  <c r="BP67" i="28"/>
  <c r="CK67" s="1"/>
  <c r="BP99"/>
  <c r="CK99" s="1"/>
  <c r="CK35"/>
  <c r="CO315" i="20"/>
  <c r="BT315"/>
  <c r="CL452"/>
  <c r="CN522"/>
  <c r="CN326"/>
  <c r="BR403"/>
  <c r="CN478"/>
  <c r="CO389"/>
  <c r="BS441"/>
  <c r="CO441" s="1"/>
  <c r="BS433"/>
  <c r="BS435" s="1"/>
  <c r="CR96"/>
  <c r="BV79"/>
  <c r="AZ61" i="23"/>
  <c r="AY58"/>
  <c r="AY62"/>
  <c r="AY42" s="1"/>
  <c r="CN441" i="20"/>
  <c r="CY134"/>
  <c r="BQ35" i="28"/>
  <c r="CL36"/>
  <c r="BU176" i="20"/>
  <c r="BV325" s="1"/>
  <c r="CR325" s="1"/>
  <c r="CQ79"/>
  <c r="BW96"/>
  <c r="BX118"/>
  <c r="CS72"/>
  <c r="BX72"/>
  <c r="BW140"/>
  <c r="CS118"/>
  <c r="BW101"/>
  <c r="CR101"/>
  <c r="CY90"/>
  <c r="AQ485"/>
  <c r="AR478"/>
  <c r="BT517"/>
  <c r="CP517" s="1"/>
  <c r="CP176"/>
  <c r="CO181"/>
  <c r="BS522"/>
  <c r="BS478"/>
  <c r="BS326"/>
  <c r="BR36" i="28"/>
  <c r="BT181" i="20"/>
  <c r="CX168"/>
  <c r="CU191"/>
  <c r="BT485"/>
  <c r="CO485"/>
  <c r="CZ112"/>
  <c r="BU325"/>
  <c r="CQ325" s="1"/>
  <c r="L2" i="28"/>
  <c r="M24"/>
  <c r="M62"/>
  <c r="AM63" i="23"/>
  <c r="AL65"/>
  <c r="AL66" s="1"/>
  <c r="AL67" s="1"/>
  <c r="BS518" i="20"/>
  <c r="CO518" s="1"/>
  <c r="CO178"/>
  <c r="CR140"/>
  <c r="BV123"/>
  <c r="CZ66"/>
  <c r="BY72" l="1"/>
  <c r="BY118"/>
  <c r="BY101" s="1"/>
  <c r="CB94"/>
  <c r="CB138"/>
  <c r="CC70"/>
  <c r="CC116"/>
  <c r="CY116" s="1"/>
  <c r="CD78"/>
  <c r="CD77" s="1"/>
  <c r="CZ127"/>
  <c r="CX94"/>
  <c r="CX70"/>
  <c r="CX138"/>
  <c r="CY77"/>
  <c r="CC1173" i="19"/>
  <c r="CC1174" s="1"/>
  <c r="CY78" i="20"/>
  <c r="CZ83"/>
  <c r="BU181"/>
  <c r="BU178" s="1"/>
  <c r="BT326"/>
  <c r="BT478"/>
  <c r="CP181"/>
  <c r="BS36" i="28"/>
  <c r="BT522" i="20"/>
  <c r="CS101"/>
  <c r="BU517"/>
  <c r="CQ517" s="1"/>
  <c r="CQ176"/>
  <c r="CZ134"/>
  <c r="CP485"/>
  <c r="BU485"/>
  <c r="CM36" i="28"/>
  <c r="BR35"/>
  <c r="CY168" i="20"/>
  <c r="CT72"/>
  <c r="BX140"/>
  <c r="BX96"/>
  <c r="CZ90"/>
  <c r="AN63" i="23"/>
  <c r="AM65"/>
  <c r="AM66" s="1"/>
  <c r="AM67" s="1"/>
  <c r="CV191" i="20"/>
  <c r="CO522"/>
  <c r="AQ478"/>
  <c r="AP485"/>
  <c r="AP478" s="1"/>
  <c r="CS140"/>
  <c r="BW123"/>
  <c r="CS96"/>
  <c r="BW79"/>
  <c r="BQ67" i="28"/>
  <c r="CL67" s="1"/>
  <c r="CL35"/>
  <c r="BQ99"/>
  <c r="CL99" s="1"/>
  <c r="BA61" i="23"/>
  <c r="AZ62"/>
  <c r="AZ42" s="1"/>
  <c r="BR452" i="20"/>
  <c r="CN403"/>
  <c r="N438"/>
  <c r="M6"/>
  <c r="BU389"/>
  <c r="CQ304"/>
  <c r="BT178"/>
  <c r="CO478"/>
  <c r="CT118"/>
  <c r="BX101"/>
  <c r="CO228"/>
  <c r="BT228"/>
  <c r="CR123"/>
  <c r="BV304"/>
  <c r="L62" i="28"/>
  <c r="L24"/>
  <c r="K2"/>
  <c r="CO326" i="20"/>
  <c r="BS403"/>
  <c r="BV176"/>
  <c r="CR79"/>
  <c r="BU315"/>
  <c r="CP315"/>
  <c r="CP389"/>
  <c r="BT433"/>
  <c r="BT435" s="1"/>
  <c r="BT441"/>
  <c r="CD116" l="1"/>
  <c r="CZ116" s="1"/>
  <c r="CC94"/>
  <c r="CC138"/>
  <c r="CD70"/>
  <c r="BZ72"/>
  <c r="BY140"/>
  <c r="BY123" s="1"/>
  <c r="BY96"/>
  <c r="BY79" s="1"/>
  <c r="BY176" s="1"/>
  <c r="BZ118"/>
  <c r="BZ101" s="1"/>
  <c r="CY138"/>
  <c r="CY94"/>
  <c r="CY70"/>
  <c r="CZ77"/>
  <c r="CD1173" i="19"/>
  <c r="CD1174" s="1"/>
  <c r="CZ78" i="20"/>
  <c r="BV315"/>
  <c r="CQ315"/>
  <c r="BS452"/>
  <c r="CO452" s="1"/>
  <c r="CO403"/>
  <c r="CR304"/>
  <c r="BV389"/>
  <c r="CT101"/>
  <c r="CR176"/>
  <c r="BV517"/>
  <c r="CR517" s="1"/>
  <c r="K24" i="28"/>
  <c r="K62"/>
  <c r="J2"/>
  <c r="CQ389" i="20"/>
  <c r="BU441"/>
  <c r="CQ441" s="1"/>
  <c r="BU433"/>
  <c r="BU435" s="1"/>
  <c r="CW191"/>
  <c r="CU72"/>
  <c r="CQ485"/>
  <c r="BV485"/>
  <c r="CQ178"/>
  <c r="BU518"/>
  <c r="CQ518" s="1"/>
  <c r="CP522"/>
  <c r="BT403"/>
  <c r="CP326"/>
  <c r="BA62" i="23"/>
  <c r="CP441" i="20"/>
  <c r="BU228"/>
  <c r="CP228"/>
  <c r="CN452"/>
  <c r="BB61" i="23"/>
  <c r="AN65"/>
  <c r="AN66" s="1"/>
  <c r="AN67" s="1"/>
  <c r="AO63"/>
  <c r="CT140" i="20"/>
  <c r="BX123"/>
  <c r="CP478"/>
  <c r="BW325"/>
  <c r="CS325" s="1"/>
  <c r="CP178"/>
  <c r="BT518"/>
  <c r="CP518" s="1"/>
  <c r="CZ168"/>
  <c r="CT96"/>
  <c r="BX79"/>
  <c r="BR67" i="28"/>
  <c r="CM67" s="1"/>
  <c r="BR99"/>
  <c r="CM99" s="1"/>
  <c r="CM35"/>
  <c r="L6" i="20"/>
  <c r="M438"/>
  <c r="BW176"/>
  <c r="CS79"/>
  <c r="CS123"/>
  <c r="BW304"/>
  <c r="CU118"/>
  <c r="CN36" i="28"/>
  <c r="BS35"/>
  <c r="BU522" i="20"/>
  <c r="BV181"/>
  <c r="BV178" s="1"/>
  <c r="BU326"/>
  <c r="CQ181"/>
  <c r="BT36" i="28"/>
  <c r="BU478" i="20"/>
  <c r="CA72" l="1"/>
  <c r="BZ140"/>
  <c r="BZ123" s="1"/>
  <c r="BZ304" s="1"/>
  <c r="BZ389" s="1"/>
  <c r="BZ96"/>
  <c r="BZ79" s="1"/>
  <c r="BZ176" s="1"/>
  <c r="CA118"/>
  <c r="CA101" s="1"/>
  <c r="BY517"/>
  <c r="CD94"/>
  <c r="CD138"/>
  <c r="CZ138" s="1"/>
  <c r="BZ325"/>
  <c r="CZ70"/>
  <c r="CZ94"/>
  <c r="BV518"/>
  <c r="CR518" s="1"/>
  <c r="CR178"/>
  <c r="CQ478"/>
  <c r="CT79"/>
  <c r="BX176"/>
  <c r="BY325" s="1"/>
  <c r="CU325" s="1"/>
  <c r="BS99" i="28"/>
  <c r="CN99" s="1"/>
  <c r="BS67"/>
  <c r="CN67" s="1"/>
  <c r="CN35"/>
  <c r="BW389" i="20"/>
  <c r="CS304"/>
  <c r="BT35" i="28"/>
  <c r="CO36"/>
  <c r="CQ522" i="20"/>
  <c r="BW517"/>
  <c r="CS517" s="1"/>
  <c r="CS176"/>
  <c r="BX304"/>
  <c r="CT123"/>
  <c r="CU96"/>
  <c r="CR315"/>
  <c r="BW315"/>
  <c r="CP403"/>
  <c r="BT452"/>
  <c r="CV118"/>
  <c r="CV72"/>
  <c r="J24" i="28"/>
  <c r="I2"/>
  <c r="J62"/>
  <c r="BX325" i="20"/>
  <c r="CT325" s="1"/>
  <c r="CR181"/>
  <c r="BV522"/>
  <c r="BV326"/>
  <c r="BV478"/>
  <c r="BW181"/>
  <c r="BW178" s="1"/>
  <c r="BU36" i="28"/>
  <c r="CQ326" i="20"/>
  <c r="BU403"/>
  <c r="L438"/>
  <c r="K6"/>
  <c r="AO65" i="23"/>
  <c r="AO66" s="1"/>
  <c r="AO67" s="1"/>
  <c r="AP63"/>
  <c r="CU140" i="20"/>
  <c r="CX191"/>
  <c r="CU101"/>
  <c r="BC61" i="23"/>
  <c r="BB62"/>
  <c r="CQ228" i="20"/>
  <c r="BV228"/>
  <c r="BW485"/>
  <c r="CR485"/>
  <c r="CR389"/>
  <c r="BV441"/>
  <c r="BV433"/>
  <c r="BV435" s="1"/>
  <c r="CB72" l="1"/>
  <c r="CA140"/>
  <c r="CA123" s="1"/>
  <c r="CA304" s="1"/>
  <c r="CA389" s="1"/>
  <c r="CA96"/>
  <c r="CA79" s="1"/>
  <c r="CA176" s="1"/>
  <c r="CB118"/>
  <c r="CB101" s="1"/>
  <c r="BY304"/>
  <c r="BY389" s="1"/>
  <c r="BZ517"/>
  <c r="BZ433"/>
  <c r="BZ435" s="1"/>
  <c r="BZ441"/>
  <c r="CA325"/>
  <c r="CS178"/>
  <c r="BW518"/>
  <c r="CS518" s="1"/>
  <c r="K438"/>
  <c r="J6"/>
  <c r="CR441"/>
  <c r="AP65" i="23"/>
  <c r="AP66" s="1"/>
  <c r="AP67" s="1"/>
  <c r="AQ63"/>
  <c r="CQ403" i="20"/>
  <c r="BU452"/>
  <c r="CQ452" s="1"/>
  <c r="BU35" i="28"/>
  <c r="CP36"/>
  <c r="CR522" i="20"/>
  <c r="CU79"/>
  <c r="CV325"/>
  <c r="CT304"/>
  <c r="BX389"/>
  <c r="BW228"/>
  <c r="CR228"/>
  <c r="BD61" i="23"/>
  <c r="BV403" i="20"/>
  <c r="CR326"/>
  <c r="I24" i="28"/>
  <c r="I62"/>
  <c r="H2"/>
  <c r="CV140" i="20"/>
  <c r="BT67" i="28"/>
  <c r="CO67" s="1"/>
  <c r="BT99"/>
  <c r="CO99" s="1"/>
  <c r="CO35"/>
  <c r="CR478" i="20"/>
  <c r="CV96"/>
  <c r="CV101"/>
  <c r="BX315"/>
  <c r="BY315" s="1"/>
  <c r="BZ315" s="1"/>
  <c r="CA315" s="1"/>
  <c r="CS315"/>
  <c r="CT176"/>
  <c r="BX517"/>
  <c r="CT517" s="1"/>
  <c r="CU123"/>
  <c r="CS485"/>
  <c r="BX485"/>
  <c r="BY485" s="1"/>
  <c r="BZ485" s="1"/>
  <c r="CA485" s="1"/>
  <c r="CY191"/>
  <c r="BW478"/>
  <c r="BX181"/>
  <c r="CS181"/>
  <c r="BW522"/>
  <c r="BW326"/>
  <c r="BV36" i="28"/>
  <c r="CW118" i="20"/>
  <c r="CW72"/>
  <c r="CP452"/>
  <c r="BW441"/>
  <c r="CS441" s="1"/>
  <c r="BW433"/>
  <c r="BW435" s="1"/>
  <c r="CS389"/>
  <c r="BC62" i="23"/>
  <c r="BY441" i="20" l="1"/>
  <c r="BY433"/>
  <c r="BY435" s="1"/>
  <c r="CA433"/>
  <c r="CA435" s="1"/>
  <c r="CA441"/>
  <c r="CC72"/>
  <c r="CB140"/>
  <c r="CB123" s="1"/>
  <c r="CB304" s="1"/>
  <c r="CB389" s="1"/>
  <c r="CB96"/>
  <c r="CB79" s="1"/>
  <c r="CB176" s="1"/>
  <c r="CB517" s="1"/>
  <c r="CC118"/>
  <c r="CC101" s="1"/>
  <c r="CC325" s="1"/>
  <c r="CA517"/>
  <c r="BX178"/>
  <c r="BY181"/>
  <c r="CB315"/>
  <c r="CB325"/>
  <c r="CX72"/>
  <c r="CW96"/>
  <c r="CW101"/>
  <c r="BV35" i="28"/>
  <c r="CQ36"/>
  <c r="BX326" i="20"/>
  <c r="BX522"/>
  <c r="CT181"/>
  <c r="BX478"/>
  <c r="BW36" i="28"/>
  <c r="CZ191" i="20"/>
  <c r="CU304"/>
  <c r="CW325"/>
  <c r="CV79"/>
  <c r="BE61" i="23"/>
  <c r="BD62"/>
  <c r="BX228" i="20"/>
  <c r="CS228"/>
  <c r="CX118"/>
  <c r="H24" i="28"/>
  <c r="G2"/>
  <c r="H62"/>
  <c r="BV452" i="20"/>
  <c r="CR403"/>
  <c r="CU176"/>
  <c r="CU517"/>
  <c r="CS522"/>
  <c r="BU67" i="28"/>
  <c r="CP67" s="1"/>
  <c r="CP35"/>
  <c r="BU99"/>
  <c r="CP99" s="1"/>
  <c r="CW140" i="20"/>
  <c r="BW403"/>
  <c r="CS326"/>
  <c r="CS478"/>
  <c r="CT485"/>
  <c r="CT178"/>
  <c r="BX518"/>
  <c r="CT518" s="1"/>
  <c r="CT315"/>
  <c r="CV123"/>
  <c r="CT389"/>
  <c r="BX433"/>
  <c r="BX435" s="1"/>
  <c r="BX441"/>
  <c r="CT441" s="1"/>
  <c r="AQ65" i="23"/>
  <c r="AQ66" s="1"/>
  <c r="AQ67" s="1"/>
  <c r="AR63"/>
  <c r="I6" i="20"/>
  <c r="J438"/>
  <c r="CB485" l="1"/>
  <c r="BZ181"/>
  <c r="BY522"/>
  <c r="BY478"/>
  <c r="BY326"/>
  <c r="BY403" s="1"/>
  <c r="BY452" s="1"/>
  <c r="BY178"/>
  <c r="BY518" s="1"/>
  <c r="CD72"/>
  <c r="CC140"/>
  <c r="CC123" s="1"/>
  <c r="CC304" s="1"/>
  <c r="CC389" s="1"/>
  <c r="CC96"/>
  <c r="CC79" s="1"/>
  <c r="CC176" s="1"/>
  <c r="CD118"/>
  <c r="CD101" s="1"/>
  <c r="CD325" s="1"/>
  <c r="BY228"/>
  <c r="BZ228" s="1"/>
  <c r="CC315"/>
  <c r="CB433"/>
  <c r="CB435" s="1"/>
  <c r="CB441"/>
  <c r="CC485"/>
  <c r="I438"/>
  <c r="H6"/>
  <c r="CU485"/>
  <c r="CX101"/>
  <c r="CT228"/>
  <c r="CR36" i="28"/>
  <c r="BW35"/>
  <c r="CT522" i="20"/>
  <c r="CY72"/>
  <c r="AR65" i="23"/>
  <c r="AR66" s="1"/>
  <c r="AR67" s="1"/>
  <c r="AS63"/>
  <c r="CU518" i="20"/>
  <c r="CU178"/>
  <c r="CR452"/>
  <c r="CU389"/>
  <c r="CU441"/>
  <c r="CQ35" i="28"/>
  <c r="BV99"/>
  <c r="CQ99" s="1"/>
  <c r="BV67"/>
  <c r="CQ67" s="1"/>
  <c r="CX140" i="20"/>
  <c r="CV304"/>
  <c r="CW123"/>
  <c r="F2" i="28"/>
  <c r="G24"/>
  <c r="G62"/>
  <c r="BF61" i="23"/>
  <c r="BE62"/>
  <c r="BX36" i="28"/>
  <c r="CU181" i="20"/>
  <c r="CW79"/>
  <c r="CX96"/>
  <c r="CU315"/>
  <c r="CS403"/>
  <c r="BW452"/>
  <c r="CS452" s="1"/>
  <c r="CV176"/>
  <c r="CV517"/>
  <c r="CT478"/>
  <c r="BX403"/>
  <c r="CT326"/>
  <c r="CY118"/>
  <c r="CA181" l="1"/>
  <c r="BZ326"/>
  <c r="BZ403" s="1"/>
  <c r="BZ452" s="1"/>
  <c r="BZ522"/>
  <c r="BZ478"/>
  <c r="BZ178"/>
  <c r="BZ518" s="1"/>
  <c r="CA228"/>
  <c r="CC441"/>
  <c r="CC433"/>
  <c r="CC435" s="1"/>
  <c r="CD140"/>
  <c r="CD123" s="1"/>
  <c r="CD304" s="1"/>
  <c r="CD389" s="1"/>
  <c r="CD96"/>
  <c r="CD79" s="1"/>
  <c r="CD176" s="1"/>
  <c r="CD517" s="1"/>
  <c r="CC517"/>
  <c r="CV178"/>
  <c r="CV518"/>
  <c r="CY101"/>
  <c r="CW176"/>
  <c r="CW517"/>
  <c r="BG61" i="23"/>
  <c r="BG62" s="1"/>
  <c r="BF62"/>
  <c r="CV315" i="20"/>
  <c r="CU522"/>
  <c r="CV441"/>
  <c r="CV389"/>
  <c r="CX79"/>
  <c r="CY325"/>
  <c r="CU326"/>
  <c r="CW304"/>
  <c r="CZ72"/>
  <c r="BW67" i="28"/>
  <c r="CR67" s="1"/>
  <c r="CR35"/>
  <c r="BW99"/>
  <c r="CR99" s="1"/>
  <c r="CV485" i="20"/>
  <c r="BY36" i="28"/>
  <c r="CV181" i="20"/>
  <c r="AS65" i="23"/>
  <c r="AS66" s="1"/>
  <c r="AS67" s="1"/>
  <c r="AT63"/>
  <c r="CY140" i="20"/>
  <c r="CU228"/>
  <c r="CU478"/>
  <c r="CT403"/>
  <c r="BX452"/>
  <c r="CT452" s="1"/>
  <c r="CS36" i="28"/>
  <c r="BX35"/>
  <c r="F24"/>
  <c r="F62"/>
  <c r="E2"/>
  <c r="CY96" i="20"/>
  <c r="CX123"/>
  <c r="CZ118"/>
  <c r="G6"/>
  <c r="H438"/>
  <c r="CX325"/>
  <c r="CD315" l="1"/>
  <c r="CB181"/>
  <c r="CA522"/>
  <c r="CA478"/>
  <c r="CA326"/>
  <c r="CA403" s="1"/>
  <c r="CA452" s="1"/>
  <c r="CA178"/>
  <c r="CA518" s="1"/>
  <c r="CW518" s="1"/>
  <c r="CD485"/>
  <c r="CD441"/>
  <c r="CD433"/>
  <c r="CD435" s="1"/>
  <c r="CB228"/>
  <c r="CZ101"/>
  <c r="CV228"/>
  <c r="AT65" i="23"/>
  <c r="AT66" s="1"/>
  <c r="AT67" s="1"/>
  <c r="AU63"/>
  <c r="CZ96" i="20"/>
  <c r="CX304"/>
  <c r="BX99" i="28"/>
  <c r="CS99" s="1"/>
  <c r="BX67"/>
  <c r="CS67" s="1"/>
  <c r="CS35"/>
  <c r="CY123" i="20"/>
  <c r="CV478"/>
  <c r="CW485"/>
  <c r="CU403"/>
  <c r="CU452"/>
  <c r="BZ36" i="28"/>
  <c r="CW181" i="20"/>
  <c r="CZ140"/>
  <c r="CY79"/>
  <c r="CZ325"/>
  <c r="E62" i="28"/>
  <c r="E24"/>
  <c r="CT36"/>
  <c r="BY35"/>
  <c r="CW441" i="20"/>
  <c r="CW389"/>
  <c r="BH61" i="23"/>
  <c r="CV326" i="20"/>
  <c r="G438"/>
  <c r="F6"/>
  <c r="F438" s="1"/>
  <c r="CV522"/>
  <c r="CX176"/>
  <c r="CX517"/>
  <c r="CW315"/>
  <c r="CW178" l="1"/>
  <c r="CB178"/>
  <c r="CB518" s="1"/>
  <c r="CB478"/>
  <c r="CB326"/>
  <c r="CB403" s="1"/>
  <c r="CB452" s="1"/>
  <c r="CC181"/>
  <c r="CB522"/>
  <c r="CX315"/>
  <c r="CW326"/>
  <c r="CX181"/>
  <c r="CA36" i="28"/>
  <c r="BI61" i="23"/>
  <c r="BI62" s="1"/>
  <c r="CG62" s="1"/>
  <c r="CF61"/>
  <c r="CZ123" i="20"/>
  <c r="CW478"/>
  <c r="CU36" i="28"/>
  <c r="BZ35"/>
  <c r="CX485" i="20"/>
  <c r="CZ79"/>
  <c r="CW522"/>
  <c r="CX441"/>
  <c r="CX389"/>
  <c r="AV63" i="23"/>
  <c r="AU65"/>
  <c r="AU66" s="1"/>
  <c r="AU67" s="1"/>
  <c r="CW228" i="20"/>
  <c r="BH62" i="23"/>
  <c r="CF62" s="1"/>
  <c r="CV403" i="20"/>
  <c r="CV452"/>
  <c r="CY304"/>
  <c r="BY67" i="28"/>
  <c r="CT67" s="1"/>
  <c r="CT35"/>
  <c r="BY99"/>
  <c r="CT99" s="1"/>
  <c r="CY517" i="20"/>
  <c r="CY176"/>
  <c r="CC326" l="1"/>
  <c r="CC403" s="1"/>
  <c r="CC452" s="1"/>
  <c r="CD181"/>
  <c r="CC522"/>
  <c r="CC478"/>
  <c r="CC178"/>
  <c r="CC518" s="1"/>
  <c r="CY518" s="1"/>
  <c r="CC228"/>
  <c r="CD228" s="1"/>
  <c r="CY178"/>
  <c r="CX518"/>
  <c r="CX178"/>
  <c r="CY485"/>
  <c r="CZ485"/>
  <c r="CX228"/>
  <c r="AV65" i="23"/>
  <c r="AV66" s="1"/>
  <c r="AV67" s="1"/>
  <c r="AW63"/>
  <c r="CZ176" i="20"/>
  <c r="CZ517"/>
  <c r="CY389"/>
  <c r="CY441"/>
  <c r="CU35" i="28"/>
  <c r="BZ67"/>
  <c r="CU67" s="1"/>
  <c r="BZ99"/>
  <c r="CU99" s="1"/>
  <c r="CZ304" i="20"/>
  <c r="BJ61" i="23"/>
  <c r="BJ62" s="1"/>
  <c r="CH62" s="1"/>
  <c r="CG61"/>
  <c r="CA35" i="28"/>
  <c r="CV36"/>
  <c r="CX478" i="20"/>
  <c r="CY315"/>
  <c r="CZ315"/>
  <c r="CY181"/>
  <c r="CB36" i="28"/>
  <c r="CW403" i="20"/>
  <c r="CW452"/>
  <c r="CX522"/>
  <c r="CX326"/>
  <c r="CD178" l="1"/>
  <c r="CD518" s="1"/>
  <c r="CD478"/>
  <c r="CD326"/>
  <c r="CD403" s="1"/>
  <c r="CD452" s="1"/>
  <c r="CD522"/>
  <c r="CZ518"/>
  <c r="CZ178"/>
  <c r="CW36" i="28"/>
  <c r="CB35"/>
  <c r="CZ389" i="20"/>
  <c r="CE389"/>
  <c r="AW65" i="23"/>
  <c r="AW66" s="1"/>
  <c r="AW67" s="1"/>
  <c r="AX63"/>
  <c r="CX452" i="20"/>
  <c r="CX403"/>
  <c r="CY478"/>
  <c r="CY228"/>
  <c r="CY326"/>
  <c r="CY522"/>
  <c r="BK61" i="23"/>
  <c r="CH61"/>
  <c r="CA99" i="28"/>
  <c r="CV99" s="1"/>
  <c r="CV35"/>
  <c r="CA67"/>
  <c r="CV67" s="1"/>
  <c r="CZ181" i="20"/>
  <c r="CC36" i="28"/>
  <c r="CC35" l="1"/>
  <c r="CX36"/>
  <c r="CB99"/>
  <c r="CW99" s="1"/>
  <c r="CW35"/>
  <c r="CB67"/>
  <c r="CW67" s="1"/>
  <c r="CZ522" i="20"/>
  <c r="BL61" i="23"/>
  <c r="CI61"/>
  <c r="BK62"/>
  <c r="CI62" s="1"/>
  <c r="CY452" i="20"/>
  <c r="CY403"/>
  <c r="CZ326"/>
  <c r="CZ228"/>
  <c r="CZ478"/>
  <c r="AX65" i="23"/>
  <c r="AX66" s="1"/>
  <c r="AX67" s="1"/>
  <c r="AY63"/>
  <c r="CZ441" i="20"/>
  <c r="CE441"/>
  <c r="CZ403" l="1"/>
  <c r="CE403"/>
  <c r="CJ61" i="23"/>
  <c r="BM61"/>
  <c r="BL62"/>
  <c r="CJ62" s="1"/>
  <c r="CC67" i="28"/>
  <c r="CX67" s="1"/>
  <c r="CX35"/>
  <c r="CC99"/>
  <c r="CX99" s="1"/>
  <c r="AY65" i="23"/>
  <c r="AY66" s="1"/>
  <c r="AY67" s="1"/>
  <c r="AZ63"/>
  <c r="AY51" l="1"/>
  <c r="AY53" s="1"/>
  <c r="AY56" s="1"/>
  <c r="AX70"/>
  <c r="AW70" s="1"/>
  <c r="AV70" s="1"/>
  <c r="AU70" s="1"/>
  <c r="AT70" s="1"/>
  <c r="AS70" s="1"/>
  <c r="AR70" s="1"/>
  <c r="AQ70" s="1"/>
  <c r="AP70" s="1"/>
  <c r="AO70" s="1"/>
  <c r="AN70" s="1"/>
  <c r="AM70" s="1"/>
  <c r="AL70" s="1"/>
  <c r="AK70" s="1"/>
  <c r="AJ70" s="1"/>
  <c r="AI70" s="1"/>
  <c r="AH70" s="1"/>
  <c r="AG70" s="1"/>
  <c r="AF70" s="1"/>
  <c r="AE70" s="1"/>
  <c r="AD70" s="1"/>
  <c r="AC70" s="1"/>
  <c r="AB70" s="1"/>
  <c r="AA70" s="1"/>
  <c r="Z70" s="1"/>
  <c r="Y70" s="1"/>
  <c r="X70" s="1"/>
  <c r="W70" s="1"/>
  <c r="V70" s="1"/>
  <c r="U70" s="1"/>
  <c r="T70" s="1"/>
  <c r="S70" s="1"/>
  <c r="R70" s="1"/>
  <c r="Q70" s="1"/>
  <c r="P70" s="1"/>
  <c r="O70" s="1"/>
  <c r="N70" s="1"/>
  <c r="M70" s="1"/>
  <c r="L70" s="1"/>
  <c r="K70" s="1"/>
  <c r="J70" s="1"/>
  <c r="I70" s="1"/>
  <c r="H70" s="1"/>
  <c r="G70" s="1"/>
  <c r="F70" s="1"/>
  <c r="CK61"/>
  <c r="BN61"/>
  <c r="BM62"/>
  <c r="CK62" s="1"/>
  <c r="BN62"/>
  <c r="CL62" s="1"/>
  <c r="BA63"/>
  <c r="AZ65"/>
  <c r="AZ66" s="1"/>
  <c r="AZ67" s="1"/>
  <c r="CZ452" i="20"/>
  <c r="CE452"/>
  <c r="AZ70" i="23" l="1"/>
  <c r="BM56"/>
  <c r="CK56" s="1"/>
  <c r="BA56"/>
  <c r="BO56"/>
  <c r="CM56" s="1"/>
  <c r="BP56"/>
  <c r="BV56"/>
  <c r="G68"/>
  <c r="H68" s="1"/>
  <c r="I68" s="1"/>
  <c r="J68" s="1"/>
  <c r="K68" s="1"/>
  <c r="L68" s="1"/>
  <c r="M68" s="1"/>
  <c r="N68" s="1"/>
  <c r="O68" s="1"/>
  <c r="P68" s="1"/>
  <c r="Q68" s="1"/>
  <c r="R68" s="1"/>
  <c r="S68" s="1"/>
  <c r="T68" s="1"/>
  <c r="U68" s="1"/>
  <c r="V68" s="1"/>
  <c r="W68" s="1"/>
  <c r="X68" s="1"/>
  <c r="Y68" s="1"/>
  <c r="Z68" s="1"/>
  <c r="AA68" s="1"/>
  <c r="AB68" s="1"/>
  <c r="AC68" s="1"/>
  <c r="AD68" s="1"/>
  <c r="AE68" s="1"/>
  <c r="AF68" s="1"/>
  <c r="AG68" s="1"/>
  <c r="AH68" s="1"/>
  <c r="AI68" s="1"/>
  <c r="AJ68" s="1"/>
  <c r="AK68" s="1"/>
  <c r="AL68" s="1"/>
  <c r="AM68" s="1"/>
  <c r="AN68" s="1"/>
  <c r="AO68" s="1"/>
  <c r="AP68" s="1"/>
  <c r="AQ68" s="1"/>
  <c r="AR68" s="1"/>
  <c r="AS68" s="1"/>
  <c r="AT68" s="1"/>
  <c r="AU68" s="1"/>
  <c r="AV68" s="1"/>
  <c r="AW68" s="1"/>
  <c r="AX68" s="1"/>
  <c r="BJ56"/>
  <c r="CH56" s="1"/>
  <c r="BD56"/>
  <c r="BL56"/>
  <c r="CJ56" s="1"/>
  <c r="BF56"/>
  <c r="BG56"/>
  <c r="BY56"/>
  <c r="BU56"/>
  <c r="BK56"/>
  <c r="CI56" s="1"/>
  <c r="BH56"/>
  <c r="CF56" s="1"/>
  <c r="BE56"/>
  <c r="BW56"/>
  <c r="CC56"/>
  <c r="CB56"/>
  <c r="BT56"/>
  <c r="CA56"/>
  <c r="CD56"/>
  <c r="BQ56"/>
  <c r="BX56"/>
  <c r="BR56"/>
  <c r="BI56"/>
  <c r="CG56" s="1"/>
  <c r="BC56"/>
  <c r="BB56"/>
  <c r="BS56"/>
  <c r="BZ56"/>
  <c r="BN56"/>
  <c r="CL56" s="1"/>
  <c r="BO61"/>
  <c r="CL61"/>
  <c r="BB63"/>
  <c r="BA65"/>
  <c r="BA66" s="1"/>
  <c r="BA67" s="1"/>
  <c r="BB65" l="1"/>
  <c r="BB66" s="1"/>
  <c r="BB67" s="1"/>
  <c r="BP61"/>
  <c r="BP62" s="1"/>
  <c r="CM61"/>
  <c r="BO62"/>
  <c r="CM62" s="1"/>
  <c r="AY68"/>
  <c r="BQ61" l="1"/>
  <c r="BQ62" s="1"/>
  <c r="AZ68"/>
  <c r="BA68" s="1"/>
  <c r="AY52"/>
  <c r="AX69"/>
  <c r="BR61" l="1"/>
  <c r="AX72"/>
  <c r="AW69"/>
  <c r="BA69"/>
  <c r="BB68"/>
  <c r="BS61" l="1"/>
  <c r="BS62" s="1"/>
  <c r="AW72"/>
  <c r="AV69"/>
  <c r="BR62"/>
  <c r="BA72"/>
  <c r="BB69"/>
  <c r="BT61" l="1"/>
  <c r="BT62" s="1"/>
  <c r="AU69"/>
  <c r="AV72"/>
  <c r="BB72"/>
  <c r="BU61" l="1"/>
  <c r="BU62" s="1"/>
  <c r="AT69"/>
  <c r="AU72"/>
  <c r="BV61" l="1"/>
  <c r="AS69"/>
  <c r="AT72"/>
  <c r="BW61" l="1"/>
  <c r="BV62"/>
  <c r="AR69"/>
  <c r="AS72"/>
  <c r="AR72" l="1"/>
  <c r="AQ69"/>
  <c r="BX61"/>
  <c r="BW62"/>
  <c r="AP69" l="1"/>
  <c r="AQ72"/>
  <c r="BY61"/>
  <c r="BX62"/>
  <c r="BZ61" l="1"/>
  <c r="BZ62" s="1"/>
  <c r="BY62"/>
  <c r="AO69"/>
  <c r="AP72"/>
  <c r="CA61" l="1"/>
  <c r="CA62" s="1"/>
  <c r="AN69"/>
  <c r="AO72"/>
  <c r="AN72" l="1"/>
  <c r="AM69"/>
  <c r="CB61"/>
  <c r="CC61" l="1"/>
  <c r="CC62" s="1"/>
  <c r="CB62"/>
  <c r="AL69"/>
  <c r="AM72"/>
  <c r="CD61" l="1"/>
  <c r="CD62" s="1"/>
  <c r="AL72"/>
  <c r="AK69"/>
  <c r="AK72" l="1"/>
  <c r="AJ69"/>
  <c r="AJ72" l="1"/>
  <c r="AI69"/>
  <c r="AH69" l="1"/>
  <c r="AI72"/>
  <c r="AG69" l="1"/>
  <c r="AH72"/>
  <c r="AF69" l="1"/>
  <c r="AG72"/>
  <c r="AF72" l="1"/>
  <c r="AE69"/>
  <c r="AE72" l="1"/>
  <c r="AD69"/>
  <c r="AC69" l="1"/>
  <c r="AD72"/>
  <c r="AB69" l="1"/>
  <c r="AC72"/>
  <c r="AA69" l="1"/>
  <c r="AB72"/>
  <c r="AA72" l="1"/>
  <c r="Z69"/>
  <c r="Z72" l="1"/>
  <c r="Y69"/>
  <c r="Y72" l="1"/>
  <c r="X69"/>
  <c r="X72" l="1"/>
  <c r="W69"/>
  <c r="V69" l="1"/>
  <c r="W72"/>
  <c r="V72" l="1"/>
  <c r="U69"/>
  <c r="T69" l="1"/>
  <c r="U72"/>
  <c r="S69" l="1"/>
  <c r="T72"/>
  <c r="S72" l="1"/>
  <c r="R69"/>
  <c r="Q69" l="1"/>
  <c r="R72"/>
  <c r="Q72" l="1"/>
  <c r="P69"/>
  <c r="P72" l="1"/>
  <c r="O69"/>
  <c r="N69" l="1"/>
  <c r="O72"/>
  <c r="M69" l="1"/>
  <c r="N72"/>
  <c r="L69" l="1"/>
  <c r="M72"/>
  <c r="K69" l="1"/>
  <c r="L72"/>
  <c r="J69" l="1"/>
  <c r="K72"/>
  <c r="I69" l="1"/>
  <c r="J72"/>
  <c r="H69" l="1"/>
  <c r="I72"/>
  <c r="G69" l="1"/>
  <c r="H72"/>
  <c r="F69" l="1"/>
  <c r="F72" s="1"/>
  <c r="G72"/>
  <c r="BE118" i="19" l="1"/>
  <c r="BF118"/>
  <c r="BG118"/>
  <c r="BH118"/>
  <c r="BI118"/>
  <c r="BJ118"/>
  <c r="BK118"/>
  <c r="BL118"/>
  <c r="BM118"/>
  <c r="BP837"/>
  <c r="BQ837"/>
  <c r="BR837"/>
  <c r="BS837"/>
  <c r="BT837"/>
  <c r="BU837"/>
  <c r="BV837"/>
  <c r="BW837"/>
  <c r="BX837"/>
  <c r="BY837"/>
  <c r="BZ837"/>
  <c r="CA837"/>
  <c r="CB837"/>
  <c r="CC837"/>
  <c r="CD837"/>
  <c r="BJ838"/>
  <c r="BK838"/>
  <c r="BL838"/>
  <c r="BM838"/>
  <c r="BN838"/>
  <c r="BO838"/>
  <c r="BP838"/>
  <c r="BQ838"/>
  <c r="BR838"/>
  <c r="BS838"/>
  <c r="BT838"/>
  <c r="BU838"/>
  <c r="BV838"/>
  <c r="BW838"/>
  <c r="BX838"/>
  <c r="BY838"/>
  <c r="BZ838"/>
  <c r="CA838"/>
  <c r="CB838"/>
  <c r="CC838"/>
  <c r="CD838"/>
  <c r="BO4" i="28"/>
  <c r="BP4"/>
  <c r="BQ4"/>
  <c r="BR4"/>
  <c r="BS4"/>
  <c r="BT4"/>
  <c r="BU4"/>
  <c r="BV4"/>
  <c r="BW4"/>
  <c r="BX4"/>
  <c r="BY4"/>
  <c r="BZ4"/>
  <c r="CA4"/>
  <c r="CB4"/>
  <c r="CC4"/>
  <c r="BB5"/>
  <c r="BC5"/>
  <c r="BD5"/>
  <c r="BE5"/>
  <c r="BF5"/>
  <c r="BG5"/>
  <c r="BH5"/>
  <c r="BI5"/>
  <c r="BJ5"/>
  <c r="BK5"/>
  <c r="BL5"/>
  <c r="BM5"/>
  <c r="BN5"/>
  <c r="BO5"/>
  <c r="BP5"/>
  <c r="BQ5"/>
  <c r="BR5"/>
  <c r="BS5"/>
  <c r="BT5"/>
  <c r="BU5"/>
  <c r="BV5"/>
  <c r="BW5"/>
  <c r="BX5"/>
  <c r="BY5"/>
  <c r="BZ5"/>
  <c r="CA5"/>
  <c r="CB5"/>
  <c r="CC5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BY6"/>
  <c r="BZ6"/>
  <c r="CA6"/>
  <c r="CB6"/>
  <c r="CC6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CA7"/>
  <c r="CB7"/>
  <c r="CC7"/>
  <c r="BD9"/>
  <c r="BE9"/>
  <c r="BF9"/>
  <c r="BG9"/>
  <c r="BH9"/>
  <c r="BI9"/>
  <c r="BJ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CC9"/>
  <c r="BD25"/>
  <c r="BE25"/>
  <c r="BF25"/>
  <c r="BG25"/>
  <c r="BH25"/>
  <c r="BI25"/>
  <c r="BJ25"/>
  <c r="BK25"/>
  <c r="BL25"/>
  <c r="BN25"/>
  <c r="BO25"/>
  <c r="BP25"/>
  <c r="BQ25"/>
  <c r="BR25"/>
  <c r="BS25"/>
  <c r="BT25"/>
  <c r="BU25"/>
  <c r="BV25"/>
  <c r="BW25"/>
  <c r="BX25"/>
  <c r="BY25"/>
  <c r="BZ25"/>
  <c r="CA25"/>
  <c r="CB25"/>
  <c r="CC25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CB26"/>
  <c r="CC26"/>
  <c r="CE26"/>
  <c r="CF26"/>
  <c r="CG26"/>
  <c r="CH26"/>
  <c r="CI26"/>
  <c r="CJ26"/>
  <c r="CK26"/>
  <c r="CL26"/>
  <c r="CM26"/>
  <c r="CN26"/>
  <c r="CO26"/>
  <c r="CP26"/>
  <c r="CQ26"/>
  <c r="CR26"/>
  <c r="CS26"/>
  <c r="CT26"/>
  <c r="CU26"/>
  <c r="CV26"/>
  <c r="CW26"/>
  <c r="CX26"/>
  <c r="BD27"/>
  <c r="BE27"/>
  <c r="BF27"/>
  <c r="BG27"/>
  <c r="BH27"/>
  <c r="BI27"/>
  <c r="BJ27"/>
  <c r="BK27"/>
  <c r="BL27"/>
  <c r="BN27"/>
  <c r="BO27"/>
  <c r="BP27"/>
  <c r="BQ27"/>
  <c r="BR27"/>
  <c r="BS27"/>
  <c r="BT27"/>
  <c r="BU27"/>
  <c r="BV27"/>
  <c r="BW27"/>
  <c r="BX27"/>
  <c r="BY27"/>
  <c r="BZ27"/>
  <c r="CA27"/>
  <c r="CB27"/>
  <c r="CC27"/>
  <c r="CE27"/>
  <c r="CF27"/>
  <c r="CG27"/>
  <c r="CI27"/>
  <c r="CJ27"/>
  <c r="CK27"/>
  <c r="CL27"/>
  <c r="CM27"/>
  <c r="CN27"/>
  <c r="CO27"/>
  <c r="CP27"/>
  <c r="CQ27"/>
  <c r="CR27"/>
  <c r="CS27"/>
  <c r="CT27"/>
  <c r="CU27"/>
  <c r="CV27"/>
  <c r="CW27"/>
  <c r="CX27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CB28"/>
  <c r="CC28"/>
  <c r="CE28"/>
  <c r="CF28"/>
  <c r="CG28"/>
  <c r="CH28"/>
  <c r="CI28"/>
  <c r="CJ28"/>
  <c r="CK28"/>
  <c r="CL28"/>
  <c r="CM28"/>
  <c r="CN28"/>
  <c r="CO28"/>
  <c r="CP28"/>
  <c r="CQ28"/>
  <c r="CR28"/>
  <c r="CS28"/>
  <c r="CT28"/>
  <c r="CU28"/>
  <c r="CV28"/>
  <c r="CW28"/>
  <c r="CX28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E29"/>
  <c r="CF29"/>
  <c r="CG29"/>
  <c r="CH29"/>
  <c r="CI29"/>
  <c r="CJ29"/>
  <c r="CK29"/>
  <c r="CL29"/>
  <c r="CM29"/>
  <c r="CN29"/>
  <c r="CO29"/>
  <c r="CP29"/>
  <c r="CQ29"/>
  <c r="CR29"/>
  <c r="CS29"/>
  <c r="CT29"/>
  <c r="CU29"/>
  <c r="CV29"/>
  <c r="CW29"/>
  <c r="CX29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E30"/>
  <c r="CF30"/>
  <c r="CG30"/>
  <c r="CH30"/>
  <c r="CI30"/>
  <c r="CJ30"/>
  <c r="CK30"/>
  <c r="CL30"/>
  <c r="CM30"/>
  <c r="CN30"/>
  <c r="CO30"/>
  <c r="CP30"/>
  <c r="CQ30"/>
  <c r="CR30"/>
  <c r="CS30"/>
  <c r="CT30"/>
  <c r="CU30"/>
  <c r="CV30"/>
  <c r="CW30"/>
  <c r="CX30"/>
  <c r="BO31"/>
  <c r="BP31"/>
  <c r="BQ31"/>
  <c r="BR31"/>
  <c r="BS31"/>
  <c r="BT31"/>
  <c r="BU31"/>
  <c r="BV31"/>
  <c r="BW31"/>
  <c r="BX31"/>
  <c r="BY31"/>
  <c r="BZ31"/>
  <c r="CA31"/>
  <c r="CB31"/>
  <c r="CC31"/>
  <c r="CJ31"/>
  <c r="CK31"/>
  <c r="CL31"/>
  <c r="CM31"/>
  <c r="CN31"/>
  <c r="CO31"/>
  <c r="CP31"/>
  <c r="CQ31"/>
  <c r="CR31"/>
  <c r="CS31"/>
  <c r="CT31"/>
  <c r="CU31"/>
  <c r="CV31"/>
  <c r="CW31"/>
  <c r="CX31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CB32"/>
  <c r="CC32"/>
  <c r="CE32"/>
  <c r="CF32"/>
  <c r="CG32"/>
  <c r="CH32"/>
  <c r="CI32"/>
  <c r="CJ32"/>
  <c r="CK32"/>
  <c r="CL32"/>
  <c r="CM32"/>
  <c r="CN32"/>
  <c r="CO32"/>
  <c r="CP32"/>
  <c r="CQ32"/>
  <c r="CR32"/>
  <c r="CS32"/>
  <c r="CT32"/>
  <c r="CU32"/>
  <c r="CV32"/>
  <c r="CW32"/>
  <c r="CX32"/>
  <c r="BG33"/>
  <c r="BH33"/>
  <c r="BI33"/>
  <c r="BJ33"/>
  <c r="BK33"/>
  <c r="BL33"/>
  <c r="BM33"/>
  <c r="BN33"/>
  <c r="BO33"/>
  <c r="BP33"/>
  <c r="BQ33"/>
  <c r="BR33"/>
  <c r="BS33"/>
  <c r="BT33"/>
  <c r="BU33"/>
  <c r="BV33"/>
  <c r="BW33"/>
  <c r="BX33"/>
  <c r="BY33"/>
  <c r="BZ33"/>
  <c r="CA33"/>
  <c r="CB33"/>
  <c r="CC33"/>
  <c r="CE33"/>
  <c r="CF33"/>
  <c r="CG33"/>
  <c r="CH33"/>
  <c r="CI33"/>
  <c r="CJ33"/>
  <c r="CK33"/>
  <c r="CL33"/>
  <c r="CM33"/>
  <c r="CN33"/>
  <c r="CO33"/>
  <c r="CP33"/>
  <c r="CQ33"/>
  <c r="CR33"/>
  <c r="CS33"/>
  <c r="CT33"/>
  <c r="CU33"/>
  <c r="CV33"/>
  <c r="CW33"/>
  <c r="CX33"/>
  <c r="BO34"/>
  <c r="BP34"/>
  <c r="BQ34"/>
  <c r="BR34"/>
  <c r="BS34"/>
  <c r="BT34"/>
  <c r="BU34"/>
  <c r="BV34"/>
  <c r="BW34"/>
  <c r="BX34"/>
  <c r="BY34"/>
  <c r="BZ34"/>
  <c r="CA34"/>
  <c r="CB34"/>
  <c r="CC34"/>
  <c r="CJ34"/>
  <c r="CK34"/>
  <c r="CL34"/>
  <c r="CM34"/>
  <c r="CN34"/>
  <c r="CO34"/>
  <c r="CP34"/>
  <c r="CQ34"/>
  <c r="CR34"/>
  <c r="CS34"/>
  <c r="CT34"/>
  <c r="CU34"/>
  <c r="CV34"/>
  <c r="CW34"/>
  <c r="CX34"/>
  <c r="BO37"/>
  <c r="BP37"/>
  <c r="BQ37"/>
  <c r="BR37"/>
  <c r="BS37"/>
  <c r="BT37"/>
  <c r="BU37"/>
  <c r="BV37"/>
  <c r="BW37"/>
  <c r="BX37"/>
  <c r="BY37"/>
  <c r="BZ37"/>
  <c r="CA37"/>
  <c r="CB37"/>
  <c r="CC37"/>
  <c r="CJ37"/>
  <c r="CK37"/>
  <c r="CL37"/>
  <c r="CM37"/>
  <c r="CN37"/>
  <c r="CO37"/>
  <c r="CP37"/>
  <c r="CQ37"/>
  <c r="CR37"/>
  <c r="CS37"/>
  <c r="CT37"/>
  <c r="CU37"/>
  <c r="CV37"/>
  <c r="CW37"/>
  <c r="CX37"/>
  <c r="BO38"/>
  <c r="BP38"/>
  <c r="BQ38"/>
  <c r="BR38"/>
  <c r="BS38"/>
  <c r="BT38"/>
  <c r="BU38"/>
  <c r="BV38"/>
  <c r="BW38"/>
  <c r="BX38"/>
  <c r="BY38"/>
  <c r="BZ38"/>
  <c r="CA38"/>
  <c r="CB38"/>
  <c r="CC38"/>
  <c r="CJ38"/>
  <c r="CK38"/>
  <c r="CL38"/>
  <c r="CM38"/>
  <c r="CN38"/>
  <c r="CO38"/>
  <c r="CP38"/>
  <c r="CQ38"/>
  <c r="CR38"/>
  <c r="CS38"/>
  <c r="CT38"/>
  <c r="CU38"/>
  <c r="CV38"/>
  <c r="CW38"/>
  <c r="CX38"/>
  <c r="BO39"/>
  <c r="BP39"/>
  <c r="BQ39"/>
  <c r="BR39"/>
  <c r="BS39"/>
  <c r="BT39"/>
  <c r="BU39"/>
  <c r="BV39"/>
  <c r="BW39"/>
  <c r="BX39"/>
  <c r="BY39"/>
  <c r="BZ39"/>
  <c r="CA39"/>
  <c r="CB39"/>
  <c r="CC39"/>
  <c r="CJ39"/>
  <c r="CK39"/>
  <c r="CL39"/>
  <c r="CM39"/>
  <c r="CN39"/>
  <c r="CO39"/>
  <c r="CP39"/>
  <c r="CQ39"/>
  <c r="CR39"/>
  <c r="CS39"/>
  <c r="CT39"/>
  <c r="CU39"/>
  <c r="CV39"/>
  <c r="CW39"/>
  <c r="CX39"/>
  <c r="BO40"/>
  <c r="BP40"/>
  <c r="BQ40"/>
  <c r="BR40"/>
  <c r="BS40"/>
  <c r="BT40"/>
  <c r="BU40"/>
  <c r="BV40"/>
  <c r="BW40"/>
  <c r="BX40"/>
  <c r="BY40"/>
  <c r="BZ40"/>
  <c r="CA40"/>
  <c r="CB40"/>
  <c r="CC40"/>
  <c r="CJ40"/>
  <c r="CK40"/>
  <c r="CL40"/>
  <c r="CM40"/>
  <c r="CN40"/>
  <c r="CO40"/>
  <c r="CP40"/>
  <c r="CQ40"/>
  <c r="CR40"/>
  <c r="CS40"/>
  <c r="CT40"/>
  <c r="CU40"/>
  <c r="CV40"/>
  <c r="CW40"/>
  <c r="CX40"/>
  <c r="BO41"/>
  <c r="BP41"/>
  <c r="BQ41"/>
  <c r="BR41"/>
  <c r="BS41"/>
  <c r="BT41"/>
  <c r="BU41"/>
  <c r="BV41"/>
  <c r="BW41"/>
  <c r="BX41"/>
  <c r="BY41"/>
  <c r="BZ41"/>
  <c r="CA41"/>
  <c r="CB41"/>
  <c r="CC41"/>
  <c r="CJ41"/>
  <c r="CK41"/>
  <c r="CL41"/>
  <c r="CM41"/>
  <c r="CN41"/>
  <c r="CO41"/>
  <c r="CP41"/>
  <c r="CQ41"/>
  <c r="CR41"/>
  <c r="CS41"/>
  <c r="CT41"/>
  <c r="CU41"/>
  <c r="CV41"/>
  <c r="CW41"/>
  <c r="CX41"/>
  <c r="BQ45"/>
  <c r="BR45"/>
  <c r="BS45"/>
  <c r="BT45"/>
  <c r="BU45"/>
  <c r="BV45"/>
  <c r="BW45"/>
  <c r="BX45"/>
  <c r="BY45"/>
  <c r="BZ45"/>
  <c r="CA45"/>
  <c r="CB45"/>
  <c r="CC45"/>
  <c r="CL45"/>
  <c r="CM45"/>
  <c r="CN45"/>
  <c r="CO45"/>
  <c r="CP45"/>
  <c r="CQ45"/>
  <c r="CR45"/>
  <c r="CS45"/>
  <c r="CT45"/>
  <c r="CU45"/>
  <c r="CV45"/>
  <c r="CW45"/>
  <c r="CX45"/>
  <c r="BD46"/>
  <c r="BE46"/>
  <c r="BF46"/>
  <c r="BG46"/>
  <c r="BH46"/>
  <c r="BI46"/>
  <c r="BJ46"/>
  <c r="BK46"/>
  <c r="BL46"/>
  <c r="BM46"/>
  <c r="BN46"/>
  <c r="BO46"/>
  <c r="BP46"/>
  <c r="BQ46"/>
  <c r="BR46"/>
  <c r="BS46"/>
  <c r="BT46"/>
  <c r="BU46"/>
  <c r="BV46"/>
  <c r="BW46"/>
  <c r="BX46"/>
  <c r="BY46"/>
  <c r="BZ46"/>
  <c r="CA46"/>
  <c r="CB46"/>
  <c r="CC46"/>
  <c r="CE46"/>
  <c r="CF46"/>
  <c r="CG46"/>
  <c r="CH46"/>
  <c r="CI46"/>
  <c r="CJ46"/>
  <c r="CK46"/>
  <c r="CL46"/>
  <c r="CM46"/>
  <c r="CN46"/>
  <c r="CO46"/>
  <c r="CP46"/>
  <c r="CQ46"/>
  <c r="CR46"/>
  <c r="CS46"/>
  <c r="CT46"/>
  <c r="CU46"/>
  <c r="CV46"/>
  <c r="CW46"/>
  <c r="CX46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CA47"/>
  <c r="CB47"/>
  <c r="CC47"/>
  <c r="CE47"/>
  <c r="CF47"/>
  <c r="CG47"/>
  <c r="CH47"/>
  <c r="CI47"/>
  <c r="CJ47"/>
  <c r="CK47"/>
  <c r="CL47"/>
  <c r="CM47"/>
  <c r="CN47"/>
  <c r="CO47"/>
  <c r="CP47"/>
  <c r="CQ47"/>
  <c r="CR47"/>
  <c r="CS47"/>
  <c r="CT47"/>
  <c r="CU47"/>
  <c r="CV47"/>
  <c r="CW47"/>
  <c r="CX47"/>
  <c r="BJ48"/>
  <c r="BK48"/>
  <c r="BL48"/>
  <c r="BM48"/>
  <c r="BN48"/>
  <c r="BO48"/>
  <c r="BP48"/>
  <c r="BQ48"/>
  <c r="BR48"/>
  <c r="BS48"/>
  <c r="BT48"/>
  <c r="BU48"/>
  <c r="BV48"/>
  <c r="BW48"/>
  <c r="BX48"/>
  <c r="BY48"/>
  <c r="BZ48"/>
  <c r="CA48"/>
  <c r="CB48"/>
  <c r="CC48"/>
  <c r="CE48"/>
  <c r="CF48"/>
  <c r="CG48"/>
  <c r="CH48"/>
  <c r="CI48"/>
  <c r="CJ48"/>
  <c r="CK48"/>
  <c r="CL48"/>
  <c r="CM48"/>
  <c r="CN48"/>
  <c r="CO48"/>
  <c r="CP48"/>
  <c r="CQ48"/>
  <c r="CR48"/>
  <c r="CS48"/>
  <c r="CT48"/>
  <c r="CU48"/>
  <c r="CV48"/>
  <c r="CW48"/>
  <c r="CX48"/>
  <c r="BJ49"/>
  <c r="BK49"/>
  <c r="BL49"/>
  <c r="BM49"/>
  <c r="BN49"/>
  <c r="BO49"/>
  <c r="BP49"/>
  <c r="BQ49"/>
  <c r="BR49"/>
  <c r="BS49"/>
  <c r="BT49"/>
  <c r="BU49"/>
  <c r="BV49"/>
  <c r="BW49"/>
  <c r="BX49"/>
  <c r="BY49"/>
  <c r="BZ49"/>
  <c r="CA49"/>
  <c r="CB49"/>
  <c r="CC49"/>
  <c r="CE49"/>
  <c r="CF49"/>
  <c r="CG49"/>
  <c r="CH49"/>
  <c r="CI49"/>
  <c r="CJ49"/>
  <c r="CK49"/>
  <c r="CL49"/>
  <c r="CM49"/>
  <c r="CN49"/>
  <c r="CO49"/>
  <c r="CP49"/>
  <c r="CQ49"/>
  <c r="CR49"/>
  <c r="CS49"/>
  <c r="CT49"/>
  <c r="CU49"/>
  <c r="CV49"/>
  <c r="CW49"/>
  <c r="CX49"/>
  <c r="BD50"/>
  <c r="BE50"/>
  <c r="BF50"/>
  <c r="BG50"/>
  <c r="BH50"/>
  <c r="BI50"/>
  <c r="BJ50"/>
  <c r="BK50"/>
  <c r="BL50"/>
  <c r="BM50"/>
  <c r="BN50"/>
  <c r="BO50"/>
  <c r="BP50"/>
  <c r="BQ50"/>
  <c r="BR50"/>
  <c r="BS50"/>
  <c r="BT50"/>
  <c r="BU50"/>
  <c r="BV50"/>
  <c r="BW50"/>
  <c r="BX50"/>
  <c r="BY50"/>
  <c r="BZ50"/>
  <c r="CA50"/>
  <c r="CB50"/>
  <c r="CC50"/>
  <c r="CE50"/>
  <c r="CF50"/>
  <c r="CG50"/>
  <c r="CH50"/>
  <c r="CI50"/>
  <c r="CJ50"/>
  <c r="CK50"/>
  <c r="CL50"/>
  <c r="CM50"/>
  <c r="CN50"/>
  <c r="CO50"/>
  <c r="CP50"/>
  <c r="CQ50"/>
  <c r="CR50"/>
  <c r="CS50"/>
  <c r="CT50"/>
  <c r="CU50"/>
  <c r="CV50"/>
  <c r="CW50"/>
  <c r="CX50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CA51"/>
  <c r="CB51"/>
  <c r="CC51"/>
  <c r="CE51"/>
  <c r="CF51"/>
  <c r="CG51"/>
  <c r="CH51"/>
  <c r="CI51"/>
  <c r="CJ51"/>
  <c r="CK51"/>
  <c r="CL51"/>
  <c r="CM51"/>
  <c r="CN51"/>
  <c r="CO51"/>
  <c r="CP51"/>
  <c r="CQ51"/>
  <c r="CR51"/>
  <c r="CS51"/>
  <c r="CT51"/>
  <c r="CU51"/>
  <c r="CV51"/>
  <c r="CW51"/>
  <c r="CX51"/>
  <c r="BJ52"/>
  <c r="BK52"/>
  <c r="BL52"/>
  <c r="BM52"/>
  <c r="BN52"/>
  <c r="BO52"/>
  <c r="BP52"/>
  <c r="BQ52"/>
  <c r="BR52"/>
  <c r="BS52"/>
  <c r="BT52"/>
  <c r="BU52"/>
  <c r="BV52"/>
  <c r="BW52"/>
  <c r="BX52"/>
  <c r="BY52"/>
  <c r="BZ52"/>
  <c r="CA52"/>
  <c r="CB52"/>
  <c r="CC52"/>
  <c r="CE52"/>
  <c r="CF52"/>
  <c r="CG52"/>
  <c r="CH52"/>
  <c r="CI52"/>
  <c r="CJ52"/>
  <c r="CK52"/>
  <c r="CL52"/>
  <c r="CM52"/>
  <c r="CN52"/>
  <c r="CO52"/>
  <c r="CP52"/>
  <c r="CQ52"/>
  <c r="CR52"/>
  <c r="CS52"/>
  <c r="CT52"/>
  <c r="CU52"/>
  <c r="CV52"/>
  <c r="CW52"/>
  <c r="CX52"/>
  <c r="BD53"/>
  <c r="BE53"/>
  <c r="BF53"/>
  <c r="BG53"/>
  <c r="BH53"/>
  <c r="BI53"/>
  <c r="BJ53"/>
  <c r="BK53"/>
  <c r="BL53"/>
  <c r="BM53"/>
  <c r="BN53"/>
  <c r="BO53"/>
  <c r="BP53"/>
  <c r="BQ53"/>
  <c r="BR53"/>
  <c r="BS53"/>
  <c r="BT53"/>
  <c r="BU53"/>
  <c r="BV53"/>
  <c r="BW53"/>
  <c r="BX53"/>
  <c r="BY53"/>
  <c r="BZ53"/>
  <c r="CA53"/>
  <c r="CB53"/>
  <c r="CC53"/>
  <c r="CE53"/>
  <c r="CF53"/>
  <c r="CG53"/>
  <c r="CH53"/>
  <c r="CI53"/>
  <c r="CJ53"/>
  <c r="CK53"/>
  <c r="CL53"/>
  <c r="CM53"/>
  <c r="CN53"/>
  <c r="CO53"/>
  <c r="CP53"/>
  <c r="CQ53"/>
  <c r="CR53"/>
  <c r="CS53"/>
  <c r="CT53"/>
  <c r="CU53"/>
  <c r="CV53"/>
  <c r="CW53"/>
  <c r="CX53"/>
  <c r="BD54"/>
  <c r="BE54"/>
  <c r="BF54"/>
  <c r="BG54"/>
  <c r="BH54"/>
  <c r="BI54"/>
  <c r="BJ54"/>
  <c r="BK54"/>
  <c r="BL54"/>
  <c r="BM54"/>
  <c r="BN54"/>
  <c r="BO54"/>
  <c r="BP54"/>
  <c r="BQ54"/>
  <c r="BR54"/>
  <c r="BS54"/>
  <c r="BT54"/>
  <c r="BU54"/>
  <c r="BV54"/>
  <c r="BW54"/>
  <c r="BX54"/>
  <c r="BY54"/>
  <c r="BZ54"/>
  <c r="CA54"/>
  <c r="CB54"/>
  <c r="CC54"/>
  <c r="CE54"/>
  <c r="CF54"/>
  <c r="CG54"/>
  <c r="CH54"/>
  <c r="CI54"/>
  <c r="CJ54"/>
  <c r="CK54"/>
  <c r="CL54"/>
  <c r="CM54"/>
  <c r="CN54"/>
  <c r="CO54"/>
  <c r="CP54"/>
  <c r="CQ54"/>
  <c r="CR54"/>
  <c r="CS54"/>
  <c r="CT54"/>
  <c r="CU54"/>
  <c r="CV54"/>
  <c r="CW54"/>
  <c r="CX54"/>
  <c r="BK55"/>
  <c r="BL55"/>
  <c r="BM55"/>
  <c r="BN55"/>
  <c r="BO55"/>
  <c r="BP55"/>
  <c r="BQ55"/>
  <c r="BR55"/>
  <c r="BS55"/>
  <c r="BT55"/>
  <c r="BU55"/>
  <c r="BV55"/>
  <c r="BW55"/>
  <c r="BX55"/>
  <c r="BY55"/>
  <c r="BZ55"/>
  <c r="CA55"/>
  <c r="CB55"/>
  <c r="CC55"/>
  <c r="CF55"/>
  <c r="CG55"/>
  <c r="CH55"/>
  <c r="CI55"/>
  <c r="CJ55"/>
  <c r="CK55"/>
  <c r="CL55"/>
  <c r="CM55"/>
  <c r="CN55"/>
  <c r="CO55"/>
  <c r="CP55"/>
  <c r="CQ55"/>
  <c r="CR55"/>
  <c r="CS55"/>
  <c r="CT55"/>
  <c r="CU55"/>
  <c r="CV55"/>
  <c r="CW55"/>
  <c r="CX55"/>
  <c r="BK56"/>
  <c r="BL56"/>
  <c r="BM56"/>
  <c r="BN56"/>
  <c r="BO56"/>
  <c r="BP56"/>
  <c r="BQ56"/>
  <c r="BR56"/>
  <c r="BS56"/>
  <c r="BT56"/>
  <c r="BU56"/>
  <c r="BV56"/>
  <c r="BW56"/>
  <c r="BX56"/>
  <c r="BY56"/>
  <c r="BZ56"/>
  <c r="CA56"/>
  <c r="CB56"/>
  <c r="CC56"/>
  <c r="CF56"/>
  <c r="CG56"/>
  <c r="CH56"/>
  <c r="CI56"/>
  <c r="CJ56"/>
  <c r="CK56"/>
  <c r="CL56"/>
  <c r="CM56"/>
  <c r="CN56"/>
  <c r="CO56"/>
  <c r="CP56"/>
  <c r="CQ56"/>
  <c r="CR56"/>
  <c r="CS56"/>
  <c r="CT56"/>
  <c r="CU56"/>
  <c r="CV56"/>
  <c r="CW56"/>
  <c r="CX56"/>
  <c r="BK57"/>
  <c r="BL57"/>
  <c r="BM57"/>
  <c r="BN57"/>
  <c r="BO57"/>
  <c r="BP57"/>
  <c r="BQ57"/>
  <c r="BR57"/>
  <c r="BS57"/>
  <c r="BT57"/>
  <c r="BU57"/>
  <c r="BV57"/>
  <c r="BW57"/>
  <c r="BX57"/>
  <c r="BY57"/>
  <c r="BZ57"/>
  <c r="CA57"/>
  <c r="CB57"/>
  <c r="CC57"/>
  <c r="CF57"/>
  <c r="CG57"/>
  <c r="CH57"/>
  <c r="CI57"/>
  <c r="CJ57"/>
  <c r="CK57"/>
  <c r="CL57"/>
  <c r="CM57"/>
  <c r="CN57"/>
  <c r="CO57"/>
  <c r="CP57"/>
  <c r="CQ57"/>
  <c r="CR57"/>
  <c r="CS57"/>
  <c r="CT57"/>
  <c r="CU57"/>
  <c r="CV57"/>
  <c r="CW57"/>
  <c r="CX57"/>
  <c r="BO58"/>
  <c r="BP58"/>
  <c r="BQ58"/>
  <c r="BR58"/>
  <c r="BS58"/>
  <c r="BT58"/>
  <c r="BU58"/>
  <c r="BV58"/>
  <c r="BW58"/>
  <c r="BX58"/>
  <c r="BY58"/>
  <c r="BZ58"/>
  <c r="CA58"/>
  <c r="CB58"/>
  <c r="CC58"/>
  <c r="CJ58"/>
  <c r="CK58"/>
  <c r="CL58"/>
  <c r="CM58"/>
  <c r="CN58"/>
  <c r="CO58"/>
  <c r="CP58"/>
  <c r="CQ58"/>
  <c r="CR58"/>
  <c r="CS58"/>
  <c r="CT58"/>
  <c r="CU58"/>
  <c r="CV58"/>
  <c r="CW58"/>
  <c r="CX58"/>
  <c r="BD63"/>
  <c r="BE63"/>
  <c r="BF63"/>
  <c r="BG63"/>
  <c r="BH63"/>
  <c r="BI63"/>
  <c r="BJ63"/>
  <c r="BK63"/>
  <c r="BL63"/>
  <c r="BM63"/>
  <c r="BN63"/>
  <c r="BO63"/>
  <c r="BP63"/>
  <c r="BQ63"/>
  <c r="BR63"/>
  <c r="BS63"/>
  <c r="BT63"/>
  <c r="BU63"/>
  <c r="BV63"/>
  <c r="BW63"/>
  <c r="BX63"/>
  <c r="BY63"/>
  <c r="BZ63"/>
  <c r="CA63"/>
  <c r="CB63"/>
  <c r="CC63"/>
  <c r="CE63"/>
  <c r="CF63"/>
  <c r="CG63"/>
  <c r="CH63"/>
  <c r="CI63"/>
  <c r="CJ63"/>
  <c r="CK63"/>
  <c r="CL63"/>
  <c r="CM63"/>
  <c r="CN63"/>
  <c r="CO63"/>
  <c r="CP63"/>
  <c r="CQ63"/>
  <c r="CR63"/>
  <c r="CS63"/>
  <c r="CT63"/>
  <c r="CU63"/>
  <c r="CV63"/>
  <c r="CW63"/>
  <c r="CX63"/>
  <c r="BD64"/>
  <c r="BE64"/>
  <c r="BF64"/>
  <c r="BG64"/>
  <c r="BH64"/>
  <c r="BI64"/>
  <c r="BJ64"/>
  <c r="BK64"/>
  <c r="BL64"/>
  <c r="BM64"/>
  <c r="BN64"/>
  <c r="BO64"/>
  <c r="BP64"/>
  <c r="BQ64"/>
  <c r="BR64"/>
  <c r="BS64"/>
  <c r="BT64"/>
  <c r="BU64"/>
  <c r="BV64"/>
  <c r="BW64"/>
  <c r="BX64"/>
  <c r="BY64"/>
  <c r="BZ64"/>
  <c r="CA64"/>
  <c r="CB64"/>
  <c r="CC64"/>
  <c r="CE64"/>
  <c r="CF64"/>
  <c r="CG64"/>
  <c r="CH64"/>
  <c r="CI64"/>
  <c r="CJ64"/>
  <c r="CK64"/>
  <c r="CL64"/>
  <c r="CM64"/>
  <c r="CN64"/>
  <c r="CO64"/>
  <c r="CP64"/>
  <c r="CQ64"/>
  <c r="CR64"/>
  <c r="CS64"/>
  <c r="CT64"/>
  <c r="CU64"/>
  <c r="CV64"/>
  <c r="CW64"/>
  <c r="CX64"/>
  <c r="BD65"/>
  <c r="BE65"/>
  <c r="BF65"/>
  <c r="BG65"/>
  <c r="BH65"/>
  <c r="BI65"/>
  <c r="BJ65"/>
  <c r="BK65"/>
  <c r="BL65"/>
  <c r="BM65"/>
  <c r="BN65"/>
  <c r="BO65"/>
  <c r="BP65"/>
  <c r="BQ65"/>
  <c r="BR65"/>
  <c r="BS65"/>
  <c r="BT65"/>
  <c r="BU65"/>
  <c r="BV65"/>
  <c r="BW65"/>
  <c r="BX65"/>
  <c r="BY65"/>
  <c r="BZ65"/>
  <c r="CA65"/>
  <c r="CB65"/>
  <c r="CC65"/>
  <c r="CE65"/>
  <c r="CF65"/>
  <c r="CG65"/>
  <c r="CH65"/>
  <c r="CI65"/>
  <c r="CJ65"/>
  <c r="CK65"/>
  <c r="CL65"/>
  <c r="CM65"/>
  <c r="CN65"/>
  <c r="CO65"/>
  <c r="CP65"/>
  <c r="CQ65"/>
  <c r="CR65"/>
  <c r="CS65"/>
  <c r="CT65"/>
  <c r="CU65"/>
  <c r="CV65"/>
  <c r="CW65"/>
  <c r="CX65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E66"/>
  <c r="CF66"/>
  <c r="CG66"/>
  <c r="CH66"/>
  <c r="CI66"/>
  <c r="CJ66"/>
  <c r="CK66"/>
  <c r="CL66"/>
  <c r="CM66"/>
  <c r="CN66"/>
  <c r="CO66"/>
  <c r="CP66"/>
  <c r="CQ66"/>
  <c r="CR66"/>
  <c r="CS66"/>
  <c r="CT66"/>
  <c r="CU66"/>
  <c r="CV66"/>
  <c r="CW66"/>
  <c r="CX66"/>
  <c r="BO68"/>
  <c r="BP68"/>
  <c r="BQ68"/>
  <c r="BR68"/>
  <c r="BS68"/>
  <c r="BT68"/>
  <c r="BU68"/>
  <c r="BV68"/>
  <c r="BW68"/>
  <c r="BX68"/>
  <c r="BY68"/>
  <c r="BZ68"/>
  <c r="CA68"/>
  <c r="CB68"/>
  <c r="CC68"/>
  <c r="CJ68"/>
  <c r="CK68"/>
  <c r="CL68"/>
  <c r="CM68"/>
  <c r="CN68"/>
  <c r="CO68"/>
  <c r="CP68"/>
  <c r="CQ68"/>
  <c r="CR68"/>
  <c r="CS68"/>
  <c r="CT68"/>
  <c r="CU68"/>
  <c r="CV68"/>
  <c r="CW68"/>
  <c r="CX68"/>
  <c r="BO69"/>
  <c r="BP69"/>
  <c r="BQ69"/>
  <c r="BR69"/>
  <c r="BS69"/>
  <c r="BT69"/>
  <c r="BU69"/>
  <c r="BV69"/>
  <c r="BW69"/>
  <c r="BX69"/>
  <c r="BY69"/>
  <c r="BZ69"/>
  <c r="CA69"/>
  <c r="CB69"/>
  <c r="CC69"/>
  <c r="CJ69"/>
  <c r="CK69"/>
  <c r="CL69"/>
  <c r="CM69"/>
  <c r="CN69"/>
  <c r="CO69"/>
  <c r="CP69"/>
  <c r="CQ69"/>
  <c r="CR69"/>
  <c r="CS69"/>
  <c r="CT69"/>
  <c r="CU69"/>
  <c r="CV69"/>
  <c r="CW69"/>
  <c r="CX69"/>
  <c r="BQ73"/>
  <c r="BR73"/>
  <c r="BS73"/>
  <c r="BT73"/>
  <c r="BU73"/>
  <c r="BV73"/>
  <c r="BW73"/>
  <c r="BX73"/>
  <c r="BY73"/>
  <c r="BZ73"/>
  <c r="CA73"/>
  <c r="CB73"/>
  <c r="CC73"/>
  <c r="CL73"/>
  <c r="CM73"/>
  <c r="CN73"/>
  <c r="CO73"/>
  <c r="CP73"/>
  <c r="CQ73"/>
  <c r="CR73"/>
  <c r="CS73"/>
  <c r="CT73"/>
  <c r="CU73"/>
  <c r="CV73"/>
  <c r="CW73"/>
  <c r="CX73"/>
  <c r="BD74"/>
  <c r="BE74"/>
  <c r="BF74"/>
  <c r="BG74"/>
  <c r="BH74"/>
  <c r="BJ74"/>
  <c r="BK74"/>
  <c r="BL74"/>
  <c r="BM74"/>
  <c r="BN74"/>
  <c r="BO74"/>
  <c r="BP74"/>
  <c r="BQ74"/>
  <c r="BR74"/>
  <c r="BS74"/>
  <c r="BT74"/>
  <c r="BU74"/>
  <c r="BV74"/>
  <c r="BW74"/>
  <c r="BX74"/>
  <c r="BY74"/>
  <c r="BZ74"/>
  <c r="CA74"/>
  <c r="CB74"/>
  <c r="CC74"/>
  <c r="CE74"/>
  <c r="CF74"/>
  <c r="CG74"/>
  <c r="CH74"/>
  <c r="CI74"/>
  <c r="CJ74"/>
  <c r="CK74"/>
  <c r="CL74"/>
  <c r="CM74"/>
  <c r="CN74"/>
  <c r="CO74"/>
  <c r="CP74"/>
  <c r="CQ74"/>
  <c r="CR74"/>
  <c r="CS74"/>
  <c r="CT74"/>
  <c r="CU74"/>
  <c r="CV74"/>
  <c r="CW74"/>
  <c r="CX74"/>
  <c r="BD75"/>
  <c r="BE75"/>
  <c r="BF75"/>
  <c r="BG75"/>
  <c r="BH75"/>
  <c r="BJ75"/>
  <c r="BK75"/>
  <c r="BL75"/>
  <c r="BM75"/>
  <c r="BN75"/>
  <c r="BO75"/>
  <c r="BP75"/>
  <c r="BQ75"/>
  <c r="BR75"/>
  <c r="BS75"/>
  <c r="BT75"/>
  <c r="BU75"/>
  <c r="BV75"/>
  <c r="BW75"/>
  <c r="BX75"/>
  <c r="BY75"/>
  <c r="BZ75"/>
  <c r="CA75"/>
  <c r="CB75"/>
  <c r="CC75"/>
  <c r="CE75"/>
  <c r="CF75"/>
  <c r="CG75"/>
  <c r="CH75"/>
  <c r="CI75"/>
  <c r="CJ75"/>
  <c r="CK75"/>
  <c r="CL75"/>
  <c r="CM75"/>
  <c r="CN75"/>
  <c r="CO75"/>
  <c r="CP75"/>
  <c r="CQ75"/>
  <c r="CR75"/>
  <c r="CS75"/>
  <c r="CT75"/>
  <c r="CU75"/>
  <c r="CV75"/>
  <c r="CW75"/>
  <c r="CX75"/>
  <c r="BD76"/>
  <c r="BE76"/>
  <c r="BF76"/>
  <c r="BG76"/>
  <c r="BH76"/>
  <c r="BJ76"/>
  <c r="BK76"/>
  <c r="BL76"/>
  <c r="BM76"/>
  <c r="BN76"/>
  <c r="BO76"/>
  <c r="BP76"/>
  <c r="BQ76"/>
  <c r="BR76"/>
  <c r="BS76"/>
  <c r="BT76"/>
  <c r="BU76"/>
  <c r="BV76"/>
  <c r="BW76"/>
  <c r="BX76"/>
  <c r="BY76"/>
  <c r="BZ76"/>
  <c r="CA76"/>
  <c r="CB76"/>
  <c r="CC76"/>
  <c r="CE76"/>
  <c r="CF76"/>
  <c r="CG76"/>
  <c r="CH76"/>
  <c r="CI76"/>
  <c r="CJ76"/>
  <c r="CK76"/>
  <c r="CL76"/>
  <c r="CM76"/>
  <c r="CN76"/>
  <c r="CO76"/>
  <c r="CP76"/>
  <c r="CQ76"/>
  <c r="CR76"/>
  <c r="CS76"/>
  <c r="CT76"/>
  <c r="CU76"/>
  <c r="CV76"/>
  <c r="CW76"/>
  <c r="CX76"/>
  <c r="BD77"/>
  <c r="BE77"/>
  <c r="BF77"/>
  <c r="BG77"/>
  <c r="BH77"/>
  <c r="BJ77"/>
  <c r="BK77"/>
  <c r="BL77"/>
  <c r="BM77"/>
  <c r="BN77"/>
  <c r="BO77"/>
  <c r="BP77"/>
  <c r="BQ77"/>
  <c r="BR77"/>
  <c r="BS77"/>
  <c r="BT77"/>
  <c r="BU77"/>
  <c r="BV77"/>
  <c r="BW77"/>
  <c r="BX77"/>
  <c r="BY77"/>
  <c r="BZ77"/>
  <c r="CA77"/>
  <c r="CB77"/>
  <c r="CC77"/>
  <c r="CE77"/>
  <c r="CF77"/>
  <c r="CG77"/>
  <c r="CH77"/>
  <c r="CI77"/>
  <c r="CJ77"/>
  <c r="CK77"/>
  <c r="CL77"/>
  <c r="CM77"/>
  <c r="CN77"/>
  <c r="CO77"/>
  <c r="CP77"/>
  <c r="CQ77"/>
  <c r="CR77"/>
  <c r="CS77"/>
  <c r="CT77"/>
  <c r="CU77"/>
  <c r="CV77"/>
  <c r="CW77"/>
  <c r="CX77"/>
  <c r="BD78"/>
  <c r="BE78"/>
  <c r="BF78"/>
  <c r="BG78"/>
  <c r="BH78"/>
  <c r="BJ78"/>
  <c r="BK78"/>
  <c r="BL78"/>
  <c r="BM78"/>
  <c r="BN78"/>
  <c r="BO78"/>
  <c r="BP78"/>
  <c r="BQ78"/>
  <c r="BR78"/>
  <c r="BS78"/>
  <c r="BT78"/>
  <c r="BU78"/>
  <c r="BV78"/>
  <c r="BW78"/>
  <c r="BX78"/>
  <c r="BY78"/>
  <c r="BZ78"/>
  <c r="CA78"/>
  <c r="CB78"/>
  <c r="CC78"/>
  <c r="CE78"/>
  <c r="CF78"/>
  <c r="CG78"/>
  <c r="CH78"/>
  <c r="CI78"/>
  <c r="CJ78"/>
  <c r="CK78"/>
  <c r="CL78"/>
  <c r="CM78"/>
  <c r="CN78"/>
  <c r="CO78"/>
  <c r="CP78"/>
  <c r="CQ78"/>
  <c r="CR78"/>
  <c r="CS78"/>
  <c r="CT78"/>
  <c r="CU78"/>
  <c r="CV78"/>
  <c r="CW78"/>
  <c r="CX78"/>
  <c r="BO79"/>
  <c r="BP79"/>
  <c r="BQ79"/>
  <c r="BR79"/>
  <c r="BS79"/>
  <c r="BT79"/>
  <c r="BU79"/>
  <c r="BV79"/>
  <c r="BW79"/>
  <c r="BX79"/>
  <c r="BY79"/>
  <c r="BZ79"/>
  <c r="CA79"/>
  <c r="CB79"/>
  <c r="CC79"/>
  <c r="CJ79"/>
  <c r="CK79"/>
  <c r="CL79"/>
  <c r="CM79"/>
  <c r="CN79"/>
  <c r="CO79"/>
  <c r="CP79"/>
  <c r="CQ79"/>
  <c r="CR79"/>
  <c r="CS79"/>
  <c r="CT79"/>
  <c r="CU79"/>
  <c r="CV79"/>
  <c r="CW79"/>
  <c r="CX79"/>
  <c r="BD95"/>
  <c r="BE95"/>
  <c r="BF95"/>
  <c r="BG95"/>
  <c r="BH95"/>
  <c r="BI95"/>
  <c r="BJ95"/>
  <c r="BK95"/>
  <c r="BL95"/>
  <c r="BM95"/>
  <c r="BN95"/>
  <c r="BO95"/>
  <c r="BP95"/>
  <c r="BQ95"/>
  <c r="BR95"/>
  <c r="BS95"/>
  <c r="BT95"/>
  <c r="BU95"/>
  <c r="BV95"/>
  <c r="BW95"/>
  <c r="BX95"/>
  <c r="BY95"/>
  <c r="BZ95"/>
  <c r="CA95"/>
  <c r="CB95"/>
  <c r="CC95"/>
  <c r="CE95"/>
  <c r="CF95"/>
  <c r="CG95"/>
  <c r="CH95"/>
  <c r="CI95"/>
  <c r="CJ95"/>
  <c r="CK95"/>
  <c r="CL95"/>
  <c r="CM95"/>
  <c r="CN95"/>
  <c r="CO95"/>
  <c r="CP95"/>
  <c r="CQ95"/>
  <c r="CR95"/>
  <c r="CS95"/>
  <c r="CT95"/>
  <c r="CU95"/>
  <c r="CV95"/>
  <c r="CW95"/>
  <c r="CX95"/>
  <c r="BD96"/>
  <c r="BE96"/>
  <c r="BF96"/>
  <c r="BG96"/>
  <c r="BH96"/>
  <c r="BI96"/>
  <c r="BJ96"/>
  <c r="BK96"/>
  <c r="BL96"/>
  <c r="BM96"/>
  <c r="BN96"/>
  <c r="BO96"/>
  <c r="BP96"/>
  <c r="BQ96"/>
  <c r="BR96"/>
  <c r="BS96"/>
  <c r="BT96"/>
  <c r="BU96"/>
  <c r="BV96"/>
  <c r="BW96"/>
  <c r="BX96"/>
  <c r="BY96"/>
  <c r="BZ96"/>
  <c r="CA96"/>
  <c r="CB96"/>
  <c r="CC96"/>
  <c r="CE96"/>
  <c r="CF96"/>
  <c r="CG96"/>
  <c r="CH96"/>
  <c r="CI96"/>
  <c r="CJ96"/>
  <c r="CK96"/>
  <c r="CL96"/>
  <c r="CM96"/>
  <c r="CN96"/>
  <c r="CO96"/>
  <c r="CP96"/>
  <c r="CQ96"/>
  <c r="CR96"/>
  <c r="CS96"/>
  <c r="CT96"/>
  <c r="CU96"/>
  <c r="CV96"/>
  <c r="CW96"/>
  <c r="CX96"/>
  <c r="BD97"/>
  <c r="BE97"/>
  <c r="BF97"/>
  <c r="BG97"/>
  <c r="BH97"/>
  <c r="BI97"/>
  <c r="BJ97"/>
  <c r="BK97"/>
  <c r="BL97"/>
  <c r="BM97"/>
  <c r="BN97"/>
  <c r="BO97"/>
  <c r="BP97"/>
  <c r="BQ97"/>
  <c r="BR97"/>
  <c r="BS97"/>
  <c r="BT97"/>
  <c r="BU97"/>
  <c r="BV97"/>
  <c r="BW97"/>
  <c r="BX97"/>
  <c r="BY97"/>
  <c r="BZ97"/>
  <c r="CA97"/>
  <c r="CB97"/>
  <c r="CC97"/>
  <c r="CE97"/>
  <c r="CF97"/>
  <c r="CG97"/>
  <c r="CH97"/>
  <c r="CI97"/>
  <c r="CJ97"/>
  <c r="CK97"/>
  <c r="CL97"/>
  <c r="CM97"/>
  <c r="CN97"/>
  <c r="CO97"/>
  <c r="CP97"/>
  <c r="CQ97"/>
  <c r="CR97"/>
  <c r="CS97"/>
  <c r="CT97"/>
  <c r="CU97"/>
  <c r="CV97"/>
  <c r="CW97"/>
  <c r="CX97"/>
  <c r="BG98"/>
  <c r="BH98"/>
  <c r="BI98"/>
  <c r="BJ98"/>
  <c r="BK98"/>
  <c r="BL98"/>
  <c r="BM98"/>
  <c r="BN98"/>
  <c r="BO98"/>
  <c r="BP98"/>
  <c r="BQ98"/>
  <c r="BR98"/>
  <c r="BS98"/>
  <c r="BT98"/>
  <c r="BU98"/>
  <c r="BV98"/>
  <c r="BW98"/>
  <c r="BX98"/>
  <c r="BY98"/>
  <c r="BZ98"/>
  <c r="CA98"/>
  <c r="CB98"/>
  <c r="CC98"/>
  <c r="CE98"/>
  <c r="CF98"/>
  <c r="CG98"/>
  <c r="CH98"/>
  <c r="CI98"/>
  <c r="CJ98"/>
  <c r="CK98"/>
  <c r="CL98"/>
  <c r="CM98"/>
  <c r="CN98"/>
  <c r="CO98"/>
  <c r="CP98"/>
  <c r="CQ98"/>
  <c r="CR98"/>
  <c r="CS98"/>
  <c r="CT98"/>
  <c r="CU98"/>
  <c r="CV98"/>
  <c r="CW98"/>
  <c r="CX98"/>
  <c r="BO100"/>
  <c r="BP100"/>
  <c r="BQ100"/>
  <c r="BR100"/>
  <c r="BS100"/>
  <c r="BT100"/>
  <c r="BU100"/>
  <c r="BV100"/>
  <c r="BW100"/>
  <c r="BX100"/>
  <c r="BY100"/>
  <c r="BZ100"/>
  <c r="CA100"/>
  <c r="CB100"/>
  <c r="CC100"/>
  <c r="CJ100"/>
  <c r="CK100"/>
  <c r="CL100"/>
  <c r="CM100"/>
  <c r="CN100"/>
  <c r="CO100"/>
  <c r="CP100"/>
  <c r="CQ100"/>
  <c r="CR100"/>
  <c r="CS100"/>
  <c r="CT100"/>
  <c r="CU100"/>
  <c r="CV100"/>
  <c r="CW100"/>
  <c r="CX100"/>
  <c r="BO101"/>
  <c r="BP101"/>
  <c r="BQ101"/>
  <c r="BR101"/>
  <c r="BS101"/>
  <c r="BT101"/>
  <c r="BU101"/>
  <c r="BV101"/>
  <c r="BW101"/>
  <c r="BX101"/>
  <c r="BY101"/>
  <c r="BZ101"/>
  <c r="CA101"/>
  <c r="CB101"/>
  <c r="CC101"/>
  <c r="CJ101"/>
  <c r="CK101"/>
  <c r="CL101"/>
  <c r="CM101"/>
  <c r="CN101"/>
  <c r="CO101"/>
  <c r="CP101"/>
  <c r="CQ101"/>
  <c r="CR101"/>
  <c r="CS101"/>
  <c r="CT101"/>
  <c r="CU101"/>
  <c r="CV101"/>
  <c r="CW101"/>
  <c r="CX101"/>
  <c r="BQ105"/>
  <c r="BR105"/>
  <c r="BS105"/>
  <c r="BT105"/>
  <c r="BU105"/>
  <c r="BV105"/>
  <c r="BW105"/>
  <c r="BX105"/>
  <c r="BY105"/>
  <c r="BZ105"/>
  <c r="CA105"/>
  <c r="CB105"/>
  <c r="CC105"/>
  <c r="CL105"/>
  <c r="CM105"/>
  <c r="CN105"/>
  <c r="CO105"/>
  <c r="CP105"/>
  <c r="CQ105"/>
  <c r="CR105"/>
  <c r="CS105"/>
  <c r="CT105"/>
  <c r="CU105"/>
  <c r="CV105"/>
  <c r="CW105"/>
  <c r="CX105"/>
  <c r="BD106"/>
  <c r="BE106"/>
  <c r="BF106"/>
  <c r="BG106"/>
  <c r="BH106"/>
  <c r="BI106"/>
  <c r="BJ106"/>
  <c r="BK106"/>
  <c r="BL106"/>
  <c r="BM106"/>
  <c r="BN106"/>
  <c r="BO106"/>
  <c r="BP106"/>
  <c r="BQ106"/>
  <c r="BR106"/>
  <c r="BS106"/>
  <c r="BT106"/>
  <c r="BU106"/>
  <c r="BV106"/>
  <c r="BW106"/>
  <c r="BX106"/>
  <c r="BY106"/>
  <c r="BZ106"/>
  <c r="CA106"/>
  <c r="CB106"/>
  <c r="CC106"/>
  <c r="CE106"/>
  <c r="CF106"/>
  <c r="CG106"/>
  <c r="CH106"/>
  <c r="CI106"/>
  <c r="CJ106"/>
  <c r="CK106"/>
  <c r="CL106"/>
  <c r="CM106"/>
  <c r="CN106"/>
  <c r="CO106"/>
  <c r="CP106"/>
  <c r="CQ106"/>
  <c r="CR106"/>
  <c r="CS106"/>
  <c r="CT106"/>
  <c r="CU106"/>
  <c r="CV106"/>
  <c r="CW106"/>
  <c r="CX106"/>
  <c r="BD107"/>
  <c r="BE107"/>
  <c r="BF107"/>
  <c r="BG107"/>
  <c r="BH107"/>
  <c r="BI107"/>
  <c r="BJ107"/>
  <c r="BK107"/>
  <c r="BL107"/>
  <c r="BM107"/>
  <c r="BN107"/>
  <c r="BO107"/>
  <c r="BP107"/>
  <c r="BQ107"/>
  <c r="BR107"/>
  <c r="BS107"/>
  <c r="BT107"/>
  <c r="BU107"/>
  <c r="BV107"/>
  <c r="BW107"/>
  <c r="BX107"/>
  <c r="BY107"/>
  <c r="BZ107"/>
  <c r="CA107"/>
  <c r="CB107"/>
  <c r="CC107"/>
  <c r="CE107"/>
  <c r="CF107"/>
  <c r="CG107"/>
  <c r="CH107"/>
  <c r="CI107"/>
  <c r="CJ107"/>
  <c r="CK107"/>
  <c r="CL107"/>
  <c r="CM107"/>
  <c r="CN107"/>
  <c r="CO107"/>
  <c r="CP107"/>
  <c r="CQ107"/>
  <c r="CR107"/>
  <c r="CS107"/>
  <c r="CT107"/>
  <c r="CU107"/>
  <c r="CV107"/>
  <c r="CW107"/>
  <c r="CX107"/>
  <c r="BD108"/>
  <c r="BE108"/>
  <c r="BF108"/>
  <c r="BG108"/>
  <c r="BH108"/>
  <c r="BI108"/>
  <c r="BJ108"/>
  <c r="BK108"/>
  <c r="BL108"/>
  <c r="BM108"/>
  <c r="BN108"/>
  <c r="BO108"/>
  <c r="BP108"/>
  <c r="BQ108"/>
  <c r="BR108"/>
  <c r="BS108"/>
  <c r="BT108"/>
  <c r="BU108"/>
  <c r="BV108"/>
  <c r="BW108"/>
  <c r="BX108"/>
  <c r="BY108"/>
  <c r="BZ108"/>
  <c r="CA108"/>
  <c r="CB108"/>
  <c r="CC108"/>
  <c r="BD109"/>
  <c r="BE109"/>
  <c r="BF109"/>
  <c r="BG109"/>
  <c r="BH109"/>
  <c r="BI109"/>
  <c r="BJ109"/>
  <c r="BK109"/>
  <c r="BL109"/>
  <c r="BM109"/>
  <c r="BN109"/>
  <c r="BO109"/>
  <c r="BP109"/>
  <c r="BQ109"/>
  <c r="BR109"/>
  <c r="BS109"/>
  <c r="BT109"/>
  <c r="BU109"/>
  <c r="BV109"/>
  <c r="BW109"/>
  <c r="BX109"/>
  <c r="BY109"/>
  <c r="BZ109"/>
  <c r="CA109"/>
  <c r="CB109"/>
  <c r="CC109"/>
  <c r="CE109"/>
  <c r="CF109"/>
  <c r="CG109"/>
  <c r="CH109"/>
  <c r="CI109"/>
  <c r="CJ109"/>
  <c r="CK109"/>
  <c r="CL109"/>
  <c r="CM109"/>
  <c r="CN109"/>
  <c r="CO109"/>
  <c r="CP109"/>
  <c r="CQ109"/>
  <c r="CR109"/>
  <c r="CS109"/>
  <c r="CT109"/>
  <c r="CU109"/>
  <c r="CV109"/>
  <c r="CW109"/>
  <c r="CX109"/>
  <c r="BD110"/>
  <c r="BE110"/>
  <c r="BF110"/>
  <c r="BG110"/>
  <c r="BH110"/>
  <c r="BI110"/>
  <c r="BJ110"/>
  <c r="BK110"/>
  <c r="BL110"/>
  <c r="BM110"/>
  <c r="BN110"/>
  <c r="BO110"/>
  <c r="BP110"/>
  <c r="BQ110"/>
  <c r="BR110"/>
  <c r="BS110"/>
  <c r="BT110"/>
  <c r="BU110"/>
  <c r="BV110"/>
  <c r="BW110"/>
  <c r="BX110"/>
  <c r="BY110"/>
  <c r="BZ110"/>
  <c r="CA110"/>
  <c r="CB110"/>
  <c r="CC110"/>
  <c r="CE110"/>
  <c r="CF110"/>
  <c r="CG110"/>
  <c r="CH110"/>
  <c r="CI110"/>
  <c r="CJ110"/>
  <c r="CK110"/>
  <c r="CL110"/>
  <c r="CM110"/>
  <c r="CN110"/>
  <c r="CO110"/>
  <c r="CP110"/>
  <c r="CQ110"/>
  <c r="CR110"/>
  <c r="CS110"/>
  <c r="CT110"/>
  <c r="CU110"/>
  <c r="CV110"/>
  <c r="CW110"/>
  <c r="CX110"/>
  <c r="BD111"/>
  <c r="BE111"/>
  <c r="BF111"/>
  <c r="BG111"/>
  <c r="BH111"/>
  <c r="BI111"/>
  <c r="BJ111"/>
  <c r="BK111"/>
  <c r="BL111"/>
  <c r="BM111"/>
  <c r="BN111"/>
  <c r="BO111"/>
  <c r="BP111"/>
  <c r="BQ111"/>
  <c r="BR111"/>
  <c r="BS111"/>
  <c r="BT111"/>
  <c r="BU111"/>
  <c r="BV111"/>
  <c r="BW111"/>
  <c r="BX111"/>
  <c r="BY111"/>
  <c r="BZ111"/>
  <c r="CA111"/>
  <c r="CB111"/>
  <c r="CC111"/>
  <c r="CE111"/>
  <c r="CF111"/>
  <c r="CG111"/>
  <c r="CH111"/>
  <c r="CI111"/>
  <c r="CJ111"/>
  <c r="CK111"/>
  <c r="CL111"/>
  <c r="CM111"/>
  <c r="CN111"/>
  <c r="CO111"/>
  <c r="CP111"/>
  <c r="CQ111"/>
  <c r="CR111"/>
  <c r="CS111"/>
  <c r="CT111"/>
  <c r="CU111"/>
  <c r="CV111"/>
  <c r="CW111"/>
  <c r="CX111"/>
  <c r="BO112"/>
  <c r="BP112"/>
  <c r="BQ112"/>
  <c r="BR112"/>
  <c r="BS112"/>
  <c r="BT112"/>
  <c r="BU112"/>
  <c r="BV112"/>
  <c r="BW112"/>
  <c r="BX112"/>
  <c r="BY112"/>
  <c r="BZ112"/>
  <c r="CA112"/>
  <c r="CB112"/>
  <c r="CC112"/>
  <c r="CJ112"/>
  <c r="CK112"/>
  <c r="CL112"/>
  <c r="CM112"/>
  <c r="CN112"/>
  <c r="CO112"/>
  <c r="CP112"/>
  <c r="CQ112"/>
  <c r="CR112"/>
  <c r="CS112"/>
  <c r="CT112"/>
  <c r="CU112"/>
  <c r="CV112"/>
  <c r="CW112"/>
  <c r="CX112"/>
  <c r="BD114"/>
  <c r="BE114"/>
  <c r="BF114"/>
  <c r="BG114"/>
  <c r="BH114"/>
  <c r="BI114"/>
  <c r="BJ114"/>
  <c r="BK114"/>
  <c r="BL114"/>
  <c r="BM114"/>
  <c r="BN114"/>
  <c r="BO114"/>
  <c r="BP114"/>
  <c r="BQ114"/>
  <c r="BR114"/>
  <c r="BS114"/>
  <c r="BT114"/>
  <c r="BU114"/>
  <c r="BV114"/>
  <c r="BW114"/>
  <c r="BX114"/>
  <c r="BY114"/>
  <c r="BZ114"/>
  <c r="CA114"/>
  <c r="CB114"/>
  <c r="CC114"/>
  <c r="CF8" i="20"/>
  <c r="CF9"/>
  <c r="BF145"/>
  <c r="BG145"/>
  <c r="BH145"/>
  <c r="BI145"/>
  <c r="BJ145"/>
  <c r="BK145"/>
  <c r="BL145"/>
  <c r="BM145"/>
  <c r="BN145"/>
  <c r="BO145"/>
  <c r="BP145"/>
  <c r="BQ145"/>
  <c r="BR145"/>
  <c r="BS145"/>
  <c r="BT145"/>
  <c r="BU145"/>
  <c r="BV145"/>
  <c r="BW145"/>
  <c r="BX145"/>
  <c r="BY145"/>
  <c r="BZ145"/>
  <c r="CA145"/>
  <c r="CB145"/>
  <c r="CC145"/>
  <c r="CD145"/>
  <c r="CG145"/>
  <c r="CH145"/>
  <c r="CI145"/>
  <c r="CJ145"/>
  <c r="CK145"/>
  <c r="CL145"/>
  <c r="CM145"/>
  <c r="CN145"/>
  <c r="CO145"/>
  <c r="CP145"/>
  <c r="CQ145"/>
  <c r="CR145"/>
  <c r="CS145"/>
  <c r="CT145"/>
  <c r="CU145"/>
  <c r="CV145"/>
  <c r="CW145"/>
  <c r="CX145"/>
  <c r="CY145"/>
  <c r="CZ145"/>
  <c r="BN146"/>
  <c r="BO146"/>
  <c r="BP146"/>
  <c r="BQ146"/>
  <c r="BR146"/>
  <c r="BS146"/>
  <c r="BT146"/>
  <c r="BU146"/>
  <c r="BV146"/>
  <c r="BW146"/>
  <c r="BX146"/>
  <c r="BY146"/>
  <c r="BZ146"/>
  <c r="CA146"/>
  <c r="CB146"/>
  <c r="CC146"/>
  <c r="CD146"/>
  <c r="CJ146"/>
  <c r="CK146"/>
  <c r="CL146"/>
  <c r="CM146"/>
  <c r="CN146"/>
  <c r="CO146"/>
  <c r="CP146"/>
  <c r="CQ146"/>
  <c r="CR146"/>
  <c r="CS146"/>
  <c r="CT146"/>
  <c r="CU146"/>
  <c r="CV146"/>
  <c r="CW146"/>
  <c r="CX146"/>
  <c r="CY146"/>
  <c r="CZ146"/>
  <c r="BO147"/>
  <c r="BP147"/>
  <c r="BQ147"/>
  <c r="BR147"/>
  <c r="BS147"/>
  <c r="BT147"/>
  <c r="BU147"/>
  <c r="BV147"/>
  <c r="BW147"/>
  <c r="BX147"/>
  <c r="BY147"/>
  <c r="BZ147"/>
  <c r="CA147"/>
  <c r="CB147"/>
  <c r="CC147"/>
  <c r="CD147"/>
  <c r="CK147"/>
  <c r="CL147"/>
  <c r="CM147"/>
  <c r="CN147"/>
  <c r="CO147"/>
  <c r="CP147"/>
  <c r="CQ147"/>
  <c r="CR147"/>
  <c r="CS147"/>
  <c r="CT147"/>
  <c r="CU147"/>
  <c r="CV147"/>
  <c r="CW147"/>
  <c r="CX147"/>
  <c r="CY147"/>
  <c r="CZ147"/>
  <c r="BO148"/>
  <c r="BP148"/>
  <c r="BQ148"/>
  <c r="BR148"/>
  <c r="BS148"/>
  <c r="BT148"/>
  <c r="BU148"/>
  <c r="BV148"/>
  <c r="BW148"/>
  <c r="BX148"/>
  <c r="BY148"/>
  <c r="BZ148"/>
  <c r="CA148"/>
  <c r="CB148"/>
  <c r="CC148"/>
  <c r="CD148"/>
  <c r="CK148"/>
  <c r="CL148"/>
  <c r="CM148"/>
  <c r="CN148"/>
  <c r="CO148"/>
  <c r="CP148"/>
  <c r="CQ148"/>
  <c r="CR148"/>
  <c r="CS148"/>
  <c r="CT148"/>
  <c r="CU148"/>
  <c r="CV148"/>
  <c r="CW148"/>
  <c r="CX148"/>
  <c r="CY148"/>
  <c r="CZ148"/>
  <c r="BO150"/>
  <c r="BP150"/>
  <c r="BQ150"/>
  <c r="BR150"/>
  <c r="BS150"/>
  <c r="BT150"/>
  <c r="BU150"/>
  <c r="BV150"/>
  <c r="BW150"/>
  <c r="BX150"/>
  <c r="BY150"/>
  <c r="BZ150"/>
  <c r="CA150"/>
  <c r="CB150"/>
  <c r="CC150"/>
  <c r="CD150"/>
  <c r="CK150"/>
  <c r="CL150"/>
  <c r="CM150"/>
  <c r="CN150"/>
  <c r="CO150"/>
  <c r="CP150"/>
  <c r="CQ150"/>
  <c r="CR150"/>
  <c r="CS150"/>
  <c r="CT150"/>
  <c r="CU150"/>
  <c r="CV150"/>
  <c r="CW150"/>
  <c r="CX150"/>
  <c r="CY150"/>
  <c r="CZ150"/>
  <c r="BO151"/>
  <c r="BP151"/>
  <c r="BQ151"/>
  <c r="BR151"/>
  <c r="BS151"/>
  <c r="BT151"/>
  <c r="BU151"/>
  <c r="BV151"/>
  <c r="BW151"/>
  <c r="BX151"/>
  <c r="BY151"/>
  <c r="BZ151"/>
  <c r="CA151"/>
  <c r="CB151"/>
  <c r="CC151"/>
  <c r="CD151"/>
  <c r="CK151"/>
  <c r="CL151"/>
  <c r="CM151"/>
  <c r="CN151"/>
  <c r="CO151"/>
  <c r="CP151"/>
  <c r="CQ151"/>
  <c r="CR151"/>
  <c r="CS151"/>
  <c r="CT151"/>
  <c r="CU151"/>
  <c r="CV151"/>
  <c r="CW151"/>
  <c r="CX151"/>
  <c r="CY151"/>
  <c r="CZ151"/>
  <c r="BN152"/>
  <c r="BO152"/>
  <c r="BP152"/>
  <c r="BQ152"/>
  <c r="BR152"/>
  <c r="BS152"/>
  <c r="BT152"/>
  <c r="BU152"/>
  <c r="BV152"/>
  <c r="BW152"/>
  <c r="BX152"/>
  <c r="BY152"/>
  <c r="BZ152"/>
  <c r="CA152"/>
  <c r="CB152"/>
  <c r="CC152"/>
  <c r="CD152"/>
  <c r="CJ152"/>
  <c r="CK152"/>
  <c r="CL152"/>
  <c r="CM152"/>
  <c r="CN152"/>
  <c r="CO152"/>
  <c r="CP152"/>
  <c r="CQ152"/>
  <c r="CR152"/>
  <c r="CS152"/>
  <c r="CT152"/>
  <c r="CU152"/>
  <c r="CV152"/>
  <c r="CW152"/>
  <c r="CX152"/>
  <c r="CY152"/>
  <c r="CZ152"/>
  <c r="BO153"/>
  <c r="BP153"/>
  <c r="BQ153"/>
  <c r="BR153"/>
  <c r="BS153"/>
  <c r="BT153"/>
  <c r="BU153"/>
  <c r="BV153"/>
  <c r="BW153"/>
  <c r="BX153"/>
  <c r="BY153"/>
  <c r="BZ153"/>
  <c r="CA153"/>
  <c r="CB153"/>
  <c r="CC153"/>
  <c r="CD153"/>
  <c r="CK153"/>
  <c r="CL153"/>
  <c r="CM153"/>
  <c r="CN153"/>
  <c r="CO153"/>
  <c r="CP153"/>
  <c r="CQ153"/>
  <c r="CR153"/>
  <c r="CS153"/>
  <c r="CT153"/>
  <c r="CU153"/>
  <c r="CV153"/>
  <c r="CW153"/>
  <c r="CX153"/>
  <c r="CY153"/>
  <c r="CZ153"/>
  <c r="BF154"/>
  <c r="BG154"/>
  <c r="BH154"/>
  <c r="BI154"/>
  <c r="BJ154"/>
  <c r="BK154"/>
  <c r="BL154"/>
  <c r="BM154"/>
  <c r="BN154"/>
  <c r="BO154"/>
  <c r="BP154"/>
  <c r="BQ154"/>
  <c r="BR154"/>
  <c r="BS154"/>
  <c r="BT154"/>
  <c r="BU154"/>
  <c r="BV154"/>
  <c r="BW154"/>
  <c r="BX154"/>
  <c r="BY154"/>
  <c r="BZ154"/>
  <c r="CA154"/>
  <c r="CB154"/>
  <c r="CC154"/>
  <c r="CD154"/>
  <c r="CG154"/>
  <c r="CH154"/>
  <c r="CI154"/>
  <c r="CJ154"/>
  <c r="CK154"/>
  <c r="CL154"/>
  <c r="CM154"/>
  <c r="CN154"/>
  <c r="CO154"/>
  <c r="CP154"/>
  <c r="CQ154"/>
  <c r="CR154"/>
  <c r="CS154"/>
  <c r="CT154"/>
  <c r="CU154"/>
  <c r="CV154"/>
  <c r="CW154"/>
  <c r="CX154"/>
  <c r="CY154"/>
  <c r="CZ154"/>
  <c r="BF155"/>
  <c r="BG155"/>
  <c r="BH155"/>
  <c r="BI155"/>
  <c r="BJ155"/>
  <c r="BK155"/>
  <c r="BL155"/>
  <c r="BM155"/>
  <c r="BN155"/>
  <c r="BO155"/>
  <c r="BP155"/>
  <c r="BQ155"/>
  <c r="BR155"/>
  <c r="BS155"/>
  <c r="BT155"/>
  <c r="BU155"/>
  <c r="BV155"/>
  <c r="BW155"/>
  <c r="BX155"/>
  <c r="BY155"/>
  <c r="BZ155"/>
  <c r="CA155"/>
  <c r="CB155"/>
  <c r="CC155"/>
  <c r="CD155"/>
  <c r="CG155"/>
  <c r="CH155"/>
  <c r="CI155"/>
  <c r="CJ155"/>
  <c r="CK155"/>
  <c r="CL155"/>
  <c r="CM155"/>
  <c r="CN155"/>
  <c r="CO155"/>
  <c r="CP155"/>
  <c r="CQ155"/>
  <c r="CR155"/>
  <c r="CS155"/>
  <c r="CT155"/>
  <c r="CU155"/>
  <c r="CV155"/>
  <c r="CW155"/>
  <c r="CX155"/>
  <c r="CY155"/>
  <c r="CZ155"/>
  <c r="BO156"/>
  <c r="BP156"/>
  <c r="BQ156"/>
  <c r="BR156"/>
  <c r="BS156"/>
  <c r="BT156"/>
  <c r="BU156"/>
  <c r="BV156"/>
  <c r="BW156"/>
  <c r="BX156"/>
  <c r="BY156"/>
  <c r="BZ156"/>
  <c r="CA156"/>
  <c r="CB156"/>
  <c r="CC156"/>
  <c r="CD156"/>
  <c r="CK156"/>
  <c r="CL156"/>
  <c r="CM156"/>
  <c r="CN156"/>
  <c r="CO156"/>
  <c r="CP156"/>
  <c r="CQ156"/>
  <c r="CR156"/>
  <c r="CS156"/>
  <c r="CT156"/>
  <c r="CU156"/>
  <c r="CV156"/>
  <c r="CW156"/>
  <c r="CX156"/>
  <c r="CY156"/>
  <c r="CZ156"/>
  <c r="BO157"/>
  <c r="BP157"/>
  <c r="BQ157"/>
  <c r="BR157"/>
  <c r="BS157"/>
  <c r="BT157"/>
  <c r="BU157"/>
  <c r="BV157"/>
  <c r="BW157"/>
  <c r="BX157"/>
  <c r="BY157"/>
  <c r="BZ157"/>
  <c r="CA157"/>
  <c r="CB157"/>
  <c r="CC157"/>
  <c r="CD157"/>
  <c r="CK157"/>
  <c r="CL157"/>
  <c r="CM157"/>
  <c r="CN157"/>
  <c r="CO157"/>
  <c r="CP157"/>
  <c r="CQ157"/>
  <c r="CR157"/>
  <c r="CS157"/>
  <c r="CT157"/>
  <c r="CU157"/>
  <c r="CV157"/>
  <c r="CW157"/>
  <c r="CX157"/>
  <c r="CY157"/>
  <c r="CZ157"/>
  <c r="BH158"/>
  <c r="BI158"/>
  <c r="BJ158"/>
  <c r="BK158"/>
  <c r="BL158"/>
  <c r="BM158"/>
  <c r="BN158"/>
  <c r="BO158"/>
  <c r="BP158"/>
  <c r="BQ158"/>
  <c r="BR158"/>
  <c r="BS158"/>
  <c r="BT158"/>
  <c r="BU158"/>
  <c r="BV158"/>
  <c r="BW158"/>
  <c r="BX158"/>
  <c r="BY158"/>
  <c r="BZ158"/>
  <c r="CA158"/>
  <c r="CB158"/>
  <c r="CC158"/>
  <c r="CD158"/>
  <c r="CG158"/>
  <c r="CH158"/>
  <c r="CI158"/>
  <c r="CJ158"/>
  <c r="CK158"/>
  <c r="CL158"/>
  <c r="CM158"/>
  <c r="CN158"/>
  <c r="CO158"/>
  <c r="CP158"/>
  <c r="CQ158"/>
  <c r="CR158"/>
  <c r="CS158"/>
  <c r="CT158"/>
  <c r="CU158"/>
  <c r="CV158"/>
  <c r="CW158"/>
  <c r="CX158"/>
  <c r="CY158"/>
  <c r="CZ158"/>
  <c r="BO159"/>
  <c r="BP159"/>
  <c r="BQ159"/>
  <c r="BR159"/>
  <c r="BS159"/>
  <c r="BT159"/>
  <c r="BU159"/>
  <c r="BV159"/>
  <c r="BW159"/>
  <c r="BX159"/>
  <c r="BY159"/>
  <c r="BZ159"/>
  <c r="CA159"/>
  <c r="CB159"/>
  <c r="CC159"/>
  <c r="CD159"/>
  <c r="CK159"/>
  <c r="CL159"/>
  <c r="CM159"/>
  <c r="CN159"/>
  <c r="CO159"/>
  <c r="CP159"/>
  <c r="CQ159"/>
  <c r="CR159"/>
  <c r="CS159"/>
  <c r="CT159"/>
  <c r="CU159"/>
  <c r="CV159"/>
  <c r="CW159"/>
  <c r="CX159"/>
  <c r="CY159"/>
  <c r="CZ159"/>
  <c r="BQ169"/>
  <c r="BR169"/>
  <c r="BS169"/>
  <c r="BT169"/>
  <c r="BU169"/>
  <c r="BV169"/>
  <c r="BW169"/>
  <c r="BX169"/>
  <c r="BY169"/>
  <c r="BZ169"/>
  <c r="CA169"/>
  <c r="CB169"/>
  <c r="CC169"/>
  <c r="CD169"/>
  <c r="CM169"/>
  <c r="CN169"/>
  <c r="CO169"/>
  <c r="CP169"/>
  <c r="CQ169"/>
  <c r="CR169"/>
  <c r="CS169"/>
  <c r="CT169"/>
  <c r="CU169"/>
  <c r="CV169"/>
  <c r="CW169"/>
  <c r="CX169"/>
  <c r="CY169"/>
  <c r="CZ169"/>
  <c r="BQ171"/>
  <c r="BR171"/>
  <c r="BS171"/>
  <c r="BT171"/>
  <c r="BU171"/>
  <c r="BV171"/>
  <c r="BW171"/>
  <c r="BX171"/>
  <c r="BY171"/>
  <c r="BZ171"/>
  <c r="CA171"/>
  <c r="CB171"/>
  <c r="CC171"/>
  <c r="CD171"/>
  <c r="CM171"/>
  <c r="CN171"/>
  <c r="CO171"/>
  <c r="CP171"/>
  <c r="CQ171"/>
  <c r="CR171"/>
  <c r="CS171"/>
  <c r="CT171"/>
  <c r="CU171"/>
  <c r="CV171"/>
  <c r="CW171"/>
  <c r="CX171"/>
  <c r="CY171"/>
  <c r="CZ171"/>
  <c r="BQ172"/>
  <c r="BR172"/>
  <c r="BS172"/>
  <c r="BT172"/>
  <c r="BU172"/>
  <c r="BV172"/>
  <c r="BW172"/>
  <c r="BX172"/>
  <c r="BY172"/>
  <c r="BZ172"/>
  <c r="CA172"/>
  <c r="CB172"/>
  <c r="CC172"/>
  <c r="CD172"/>
  <c r="CM172"/>
  <c r="CN172"/>
  <c r="CO172"/>
  <c r="CP172"/>
  <c r="CQ172"/>
  <c r="CR172"/>
  <c r="CS172"/>
  <c r="CT172"/>
  <c r="CU172"/>
  <c r="CV172"/>
  <c r="CW172"/>
  <c r="CX172"/>
  <c r="CY172"/>
  <c r="CZ172"/>
  <c r="BF177"/>
  <c r="BG177"/>
  <c r="BH177"/>
  <c r="BI177"/>
  <c r="BJ177"/>
  <c r="BK177"/>
  <c r="BL177"/>
  <c r="BM177"/>
  <c r="BN177"/>
  <c r="BO177"/>
  <c r="BP177"/>
  <c r="BQ177"/>
  <c r="BR177"/>
  <c r="BS177"/>
  <c r="BT177"/>
  <c r="BU177"/>
  <c r="BV177"/>
  <c r="BW177"/>
  <c r="BX177"/>
  <c r="BY177"/>
  <c r="BZ177"/>
  <c r="CA177"/>
  <c r="CB177"/>
  <c r="CC177"/>
  <c r="CD177"/>
  <c r="CG177"/>
  <c r="CH177"/>
  <c r="CI177"/>
  <c r="CJ177"/>
  <c r="CK177"/>
  <c r="CL177"/>
  <c r="CM177"/>
  <c r="CN177"/>
  <c r="CO177"/>
  <c r="CP177"/>
  <c r="CQ177"/>
  <c r="CR177"/>
  <c r="CS177"/>
  <c r="CT177"/>
  <c r="CU177"/>
  <c r="CV177"/>
  <c r="CW177"/>
  <c r="CX177"/>
  <c r="CY177"/>
  <c r="CZ177"/>
  <c r="BP182"/>
  <c r="BQ182"/>
  <c r="BR182"/>
  <c r="BS182"/>
  <c r="BT182"/>
  <c r="BU182"/>
  <c r="BV182"/>
  <c r="BW182"/>
  <c r="BX182"/>
  <c r="BY182"/>
  <c r="BZ182"/>
  <c r="CA182"/>
  <c r="CB182"/>
  <c r="CC182"/>
  <c r="CD182"/>
  <c r="CE182"/>
  <c r="CF182"/>
  <c r="CL182"/>
  <c r="CM182"/>
  <c r="CN182"/>
  <c r="CO182"/>
  <c r="CP182"/>
  <c r="CQ182"/>
  <c r="CR182"/>
  <c r="CS182"/>
  <c r="CT182"/>
  <c r="CU182"/>
  <c r="CV182"/>
  <c r="CW182"/>
  <c r="CX182"/>
  <c r="CY182"/>
  <c r="CZ182"/>
  <c r="BP183"/>
  <c r="BQ183"/>
  <c r="BR183"/>
  <c r="BS183"/>
  <c r="BT183"/>
  <c r="BU183"/>
  <c r="BV183"/>
  <c r="BW183"/>
  <c r="BX183"/>
  <c r="BY183"/>
  <c r="BZ183"/>
  <c r="CA183"/>
  <c r="CB183"/>
  <c r="CC183"/>
  <c r="CD183"/>
  <c r="CL183"/>
  <c r="CM183"/>
  <c r="CN183"/>
  <c r="CO183"/>
  <c r="CP183"/>
  <c r="CQ183"/>
  <c r="CR183"/>
  <c r="CS183"/>
  <c r="CT183"/>
  <c r="CU183"/>
  <c r="CV183"/>
  <c r="CW183"/>
  <c r="CX183"/>
  <c r="CY183"/>
  <c r="CZ183"/>
  <c r="BP184"/>
  <c r="BQ184"/>
  <c r="BR184"/>
  <c r="BS184"/>
  <c r="BT184"/>
  <c r="BU184"/>
  <c r="BV184"/>
  <c r="BW184"/>
  <c r="BX184"/>
  <c r="BY184"/>
  <c r="BZ184"/>
  <c r="CA184"/>
  <c r="CB184"/>
  <c r="CC184"/>
  <c r="CD184"/>
  <c r="CL184"/>
  <c r="CM184"/>
  <c r="CN184"/>
  <c r="CO184"/>
  <c r="CP184"/>
  <c r="CQ184"/>
  <c r="CR184"/>
  <c r="CS184"/>
  <c r="CT184"/>
  <c r="CU184"/>
  <c r="CV184"/>
  <c r="CW184"/>
  <c r="CX184"/>
  <c r="CY184"/>
  <c r="CZ184"/>
  <c r="BP187"/>
  <c r="BQ187"/>
  <c r="BR187"/>
  <c r="BS187"/>
  <c r="BT187"/>
  <c r="BU187"/>
  <c r="BV187"/>
  <c r="BW187"/>
  <c r="BX187"/>
  <c r="BY187"/>
  <c r="BZ187"/>
  <c r="CA187"/>
  <c r="CB187"/>
  <c r="CC187"/>
  <c r="CD187"/>
  <c r="CL187"/>
  <c r="CM187"/>
  <c r="CN187"/>
  <c r="CO187"/>
  <c r="CP187"/>
  <c r="CQ187"/>
  <c r="CR187"/>
  <c r="CS187"/>
  <c r="CT187"/>
  <c r="CU187"/>
  <c r="CV187"/>
  <c r="CW187"/>
  <c r="CX187"/>
  <c r="CY187"/>
  <c r="CZ187"/>
  <c r="BP188"/>
  <c r="BQ188"/>
  <c r="BR188"/>
  <c r="BS188"/>
  <c r="BT188"/>
  <c r="BU188"/>
  <c r="BV188"/>
  <c r="BW188"/>
  <c r="BX188"/>
  <c r="BY188"/>
  <c r="BZ188"/>
  <c r="CA188"/>
  <c r="CB188"/>
  <c r="CC188"/>
  <c r="CD188"/>
  <c r="CL188"/>
  <c r="CM188"/>
  <c r="CN188"/>
  <c r="CO188"/>
  <c r="CP188"/>
  <c r="CQ188"/>
  <c r="CR188"/>
  <c r="CS188"/>
  <c r="CT188"/>
  <c r="CU188"/>
  <c r="CV188"/>
  <c r="CW188"/>
  <c r="CX188"/>
  <c r="CY188"/>
  <c r="CZ188"/>
  <c r="BQ190"/>
  <c r="BR190"/>
  <c r="BS190"/>
  <c r="BT190"/>
  <c r="BU190"/>
  <c r="BV190"/>
  <c r="BW190"/>
  <c r="BX190"/>
  <c r="BY190"/>
  <c r="BZ190"/>
  <c r="CA190"/>
  <c r="CB190"/>
  <c r="CC190"/>
  <c r="CD190"/>
  <c r="CM190"/>
  <c r="CN190"/>
  <c r="CO190"/>
  <c r="CP190"/>
  <c r="CQ190"/>
  <c r="CR190"/>
  <c r="CS190"/>
  <c r="CT190"/>
  <c r="CU190"/>
  <c r="CV190"/>
  <c r="CW190"/>
  <c r="CX190"/>
  <c r="CY190"/>
  <c r="CZ190"/>
  <c r="BP194"/>
  <c r="BQ194"/>
  <c r="BR194"/>
  <c r="BS194"/>
  <c r="BT194"/>
  <c r="BU194"/>
  <c r="BV194"/>
  <c r="BW194"/>
  <c r="BX194"/>
  <c r="BY194"/>
  <c r="BZ194"/>
  <c r="CA194"/>
  <c r="CB194"/>
  <c r="CC194"/>
  <c r="CD194"/>
  <c r="CL194"/>
  <c r="CM194"/>
  <c r="CN194"/>
  <c r="CO194"/>
  <c r="CP194"/>
  <c r="CQ194"/>
  <c r="CR194"/>
  <c r="CS194"/>
  <c r="CT194"/>
  <c r="CU194"/>
  <c r="CV194"/>
  <c r="CW194"/>
  <c r="CX194"/>
  <c r="CY194"/>
  <c r="CZ194"/>
  <c r="BP196"/>
  <c r="BQ196"/>
  <c r="BR196"/>
  <c r="BS196"/>
  <c r="BT196"/>
  <c r="BU196"/>
  <c r="BV196"/>
  <c r="BW196"/>
  <c r="BX196"/>
  <c r="BY196"/>
  <c r="BZ196"/>
  <c r="CA196"/>
  <c r="CB196"/>
  <c r="CC196"/>
  <c r="CD196"/>
  <c r="CL196"/>
  <c r="CM196"/>
  <c r="CN196"/>
  <c r="CO196"/>
  <c r="CP196"/>
  <c r="CQ196"/>
  <c r="CR196"/>
  <c r="CS196"/>
  <c r="CT196"/>
  <c r="CU196"/>
  <c r="CV196"/>
  <c r="CW196"/>
  <c r="CX196"/>
  <c r="CY196"/>
  <c r="CZ196"/>
  <c r="BP199"/>
  <c r="BQ199"/>
  <c r="BR199"/>
  <c r="BS199"/>
  <c r="BT199"/>
  <c r="BU199"/>
  <c r="BV199"/>
  <c r="BW199"/>
  <c r="BX199"/>
  <c r="BY199"/>
  <c r="BZ199"/>
  <c r="CA199"/>
  <c r="CB199"/>
  <c r="CC199"/>
  <c r="CD199"/>
  <c r="CL199"/>
  <c r="CM199"/>
  <c r="CN199"/>
  <c r="CO199"/>
  <c r="CP199"/>
  <c r="CQ199"/>
  <c r="CR199"/>
  <c r="CS199"/>
  <c r="CT199"/>
  <c r="CU199"/>
  <c r="CV199"/>
  <c r="CW199"/>
  <c r="CX199"/>
  <c r="CY199"/>
  <c r="CZ199"/>
  <c r="BP200"/>
  <c r="BQ200"/>
  <c r="BR200"/>
  <c r="BS200"/>
  <c r="BT200"/>
  <c r="BU200"/>
  <c r="BV200"/>
  <c r="BW200"/>
  <c r="BX200"/>
  <c r="BY200"/>
  <c r="BZ200"/>
  <c r="CA200"/>
  <c r="CB200"/>
  <c r="CC200"/>
  <c r="CD200"/>
  <c r="CL200"/>
  <c r="CM200"/>
  <c r="CN200"/>
  <c r="CO200"/>
  <c r="CP200"/>
  <c r="CQ200"/>
  <c r="CR200"/>
  <c r="CS200"/>
  <c r="CT200"/>
  <c r="CU200"/>
  <c r="CV200"/>
  <c r="CW200"/>
  <c r="CX200"/>
  <c r="CY200"/>
  <c r="CZ200"/>
  <c r="BP204"/>
  <c r="BQ204"/>
  <c r="BR204"/>
  <c r="BS204"/>
  <c r="BT204"/>
  <c r="BU204"/>
  <c r="BV204"/>
  <c r="BW204"/>
  <c r="BX204"/>
  <c r="BY204"/>
  <c r="BZ204"/>
  <c r="CA204"/>
  <c r="CB204"/>
  <c r="CC204"/>
  <c r="CD204"/>
  <c r="CL204"/>
  <c r="CM204"/>
  <c r="CN204"/>
  <c r="CO204"/>
  <c r="CP204"/>
  <c r="CQ204"/>
  <c r="CR204"/>
  <c r="CS204"/>
  <c r="CT204"/>
  <c r="CU204"/>
  <c r="CV204"/>
  <c r="CW204"/>
  <c r="CX204"/>
  <c r="CY204"/>
  <c r="CZ204"/>
  <c r="BP205"/>
  <c r="BQ205"/>
  <c r="BR205"/>
  <c r="BS205"/>
  <c r="BT205"/>
  <c r="BU205"/>
  <c r="BV205"/>
  <c r="BW205"/>
  <c r="BX205"/>
  <c r="BY205"/>
  <c r="BZ205"/>
  <c r="CA205"/>
  <c r="CB205"/>
  <c r="CC205"/>
  <c r="CD205"/>
  <c r="CL205"/>
  <c r="CM205"/>
  <c r="CN205"/>
  <c r="CO205"/>
  <c r="CP205"/>
  <c r="CQ205"/>
  <c r="CR205"/>
  <c r="CS205"/>
  <c r="CT205"/>
  <c r="CU205"/>
  <c r="CV205"/>
  <c r="CW205"/>
  <c r="CX205"/>
  <c r="CY205"/>
  <c r="CZ205"/>
  <c r="BQ207"/>
  <c r="BR207"/>
  <c r="BS207"/>
  <c r="BT207"/>
  <c r="BU207"/>
  <c r="BV207"/>
  <c r="BW207"/>
  <c r="BX207"/>
  <c r="BY207"/>
  <c r="BZ207"/>
  <c r="CA207"/>
  <c r="CB207"/>
  <c r="CC207"/>
  <c r="CD207"/>
  <c r="CM207"/>
  <c r="CN207"/>
  <c r="CO207"/>
  <c r="CP207"/>
  <c r="CQ207"/>
  <c r="CR207"/>
  <c r="CS207"/>
  <c r="CT207"/>
  <c r="CU207"/>
  <c r="CV207"/>
  <c r="CW207"/>
  <c r="CX207"/>
  <c r="CY207"/>
  <c r="CZ207"/>
  <c r="BP208"/>
  <c r="BQ208"/>
  <c r="BR208"/>
  <c r="BS208"/>
  <c r="BT208"/>
  <c r="BU208"/>
  <c r="BV208"/>
  <c r="BW208"/>
  <c r="BX208"/>
  <c r="BY208"/>
  <c r="BZ208"/>
  <c r="CA208"/>
  <c r="CB208"/>
  <c r="CC208"/>
  <c r="CD208"/>
  <c r="CL208"/>
  <c r="CM208"/>
  <c r="CN208"/>
  <c r="CO208"/>
  <c r="CP208"/>
  <c r="CQ208"/>
  <c r="CR208"/>
  <c r="CS208"/>
  <c r="CT208"/>
  <c r="CU208"/>
  <c r="CV208"/>
  <c r="CW208"/>
  <c r="CX208"/>
  <c r="CY208"/>
  <c r="CZ208"/>
  <c r="BC211"/>
  <c r="BD211"/>
  <c r="BE211"/>
  <c r="BF211"/>
  <c r="BG211"/>
  <c r="BH211"/>
  <c r="BI211"/>
  <c r="BJ211"/>
  <c r="BK211"/>
  <c r="BL211"/>
  <c r="BM211"/>
  <c r="BN211"/>
  <c r="BO211"/>
  <c r="BP211"/>
  <c r="BQ211"/>
  <c r="BR211"/>
  <c r="BS211"/>
  <c r="BT211"/>
  <c r="BU211"/>
  <c r="BV211"/>
  <c r="BW211"/>
  <c r="BX211"/>
  <c r="BY211"/>
  <c r="BZ211"/>
  <c r="CA211"/>
  <c r="CB211"/>
  <c r="CC211"/>
  <c r="CD211"/>
  <c r="CG211"/>
  <c r="CH211"/>
  <c r="CI211"/>
  <c r="CJ211"/>
  <c r="CK211"/>
  <c r="CL211"/>
  <c r="CM211"/>
  <c r="CN211"/>
  <c r="CO211"/>
  <c r="CP211"/>
  <c r="CQ211"/>
  <c r="CR211"/>
  <c r="CS211"/>
  <c r="CT211"/>
  <c r="CU211"/>
  <c r="CV211"/>
  <c r="CW211"/>
  <c r="CX211"/>
  <c r="CY211"/>
  <c r="CZ211"/>
  <c r="BC212"/>
  <c r="BD212"/>
  <c r="BE212"/>
  <c r="BF212"/>
  <c r="BG212"/>
  <c r="BH212"/>
  <c r="BI212"/>
  <c r="BJ212"/>
  <c r="BK212"/>
  <c r="BL212"/>
  <c r="BM212"/>
  <c r="BN212"/>
  <c r="BO212"/>
  <c r="BP212"/>
  <c r="BQ212"/>
  <c r="BR212"/>
  <c r="BS212"/>
  <c r="BT212"/>
  <c r="BU212"/>
  <c r="BV212"/>
  <c r="BW212"/>
  <c r="BX212"/>
  <c r="BY212"/>
  <c r="BZ212"/>
  <c r="CA212"/>
  <c r="CB212"/>
  <c r="CC212"/>
  <c r="CD212"/>
  <c r="CG212"/>
  <c r="CH212"/>
  <c r="CI212"/>
  <c r="CJ212"/>
  <c r="CK212"/>
  <c r="CL212"/>
  <c r="CM212"/>
  <c r="CN212"/>
  <c r="CO212"/>
  <c r="CP212"/>
  <c r="CQ212"/>
  <c r="CR212"/>
  <c r="CS212"/>
  <c r="CT212"/>
  <c r="CU212"/>
  <c r="CV212"/>
  <c r="CW212"/>
  <c r="CX212"/>
  <c r="CY212"/>
  <c r="CZ212"/>
  <c r="BP215"/>
  <c r="BQ215"/>
  <c r="BR215"/>
  <c r="BS215"/>
  <c r="BT215"/>
  <c r="BU215"/>
  <c r="BV215"/>
  <c r="BW215"/>
  <c r="BX215"/>
  <c r="BY215"/>
  <c r="BZ215"/>
  <c r="CA215"/>
  <c r="CB215"/>
  <c r="CC215"/>
  <c r="CD215"/>
  <c r="CL215"/>
  <c r="CM215"/>
  <c r="CN215"/>
  <c r="CO215"/>
  <c r="CP215"/>
  <c r="CQ215"/>
  <c r="CR215"/>
  <c r="CS215"/>
  <c r="CT215"/>
  <c r="CU215"/>
  <c r="CV215"/>
  <c r="CW215"/>
  <c r="CX215"/>
  <c r="CY215"/>
  <c r="CZ215"/>
  <c r="BP216"/>
  <c r="BQ216"/>
  <c r="BR216"/>
  <c r="BS216"/>
  <c r="BT216"/>
  <c r="BU216"/>
  <c r="BV216"/>
  <c r="BW216"/>
  <c r="BX216"/>
  <c r="BY216"/>
  <c r="BZ216"/>
  <c r="CA216"/>
  <c r="CB216"/>
  <c r="CC216"/>
  <c r="CD216"/>
  <c r="CL216"/>
  <c r="CM216"/>
  <c r="CN216"/>
  <c r="CO216"/>
  <c r="CP216"/>
  <c r="CQ216"/>
  <c r="CR216"/>
  <c r="CS216"/>
  <c r="CT216"/>
  <c r="CU216"/>
  <c r="CV216"/>
  <c r="CW216"/>
  <c r="CX216"/>
  <c r="CY216"/>
  <c r="CZ216"/>
  <c r="BP217"/>
  <c r="BQ217"/>
  <c r="BR217"/>
  <c r="BS217"/>
  <c r="BT217"/>
  <c r="BU217"/>
  <c r="BV217"/>
  <c r="BW217"/>
  <c r="BX217"/>
  <c r="BY217"/>
  <c r="BZ217"/>
  <c r="CA217"/>
  <c r="CB217"/>
  <c r="CC217"/>
  <c r="CD217"/>
  <c r="CL217"/>
  <c r="CM217"/>
  <c r="CN217"/>
  <c r="CO217"/>
  <c r="CP217"/>
  <c r="CQ217"/>
  <c r="CR217"/>
  <c r="CS217"/>
  <c r="CT217"/>
  <c r="CU217"/>
  <c r="CV217"/>
  <c r="CW217"/>
  <c r="CX217"/>
  <c r="CY217"/>
  <c r="CZ217"/>
  <c r="BP218"/>
  <c r="BQ218"/>
  <c r="BR218"/>
  <c r="BS218"/>
  <c r="BT218"/>
  <c r="BU218"/>
  <c r="BV218"/>
  <c r="BW218"/>
  <c r="BX218"/>
  <c r="BY218"/>
  <c r="BZ218"/>
  <c r="CA218"/>
  <c r="CB218"/>
  <c r="CC218"/>
  <c r="CD218"/>
  <c r="CL218"/>
  <c r="CM218"/>
  <c r="CN218"/>
  <c r="CO218"/>
  <c r="CP218"/>
  <c r="CQ218"/>
  <c r="CR218"/>
  <c r="CS218"/>
  <c r="CT218"/>
  <c r="CU218"/>
  <c r="CV218"/>
  <c r="CW218"/>
  <c r="CX218"/>
  <c r="CY218"/>
  <c r="CZ218"/>
  <c r="BP219"/>
  <c r="BQ219"/>
  <c r="BR219"/>
  <c r="BS219"/>
  <c r="BT219"/>
  <c r="BU219"/>
  <c r="BV219"/>
  <c r="BW219"/>
  <c r="BX219"/>
  <c r="BY219"/>
  <c r="BZ219"/>
  <c r="CA219"/>
  <c r="CB219"/>
  <c r="CC219"/>
  <c r="CD219"/>
  <c r="CL219"/>
  <c r="CM219"/>
  <c r="CN219"/>
  <c r="CO219"/>
  <c r="CP219"/>
  <c r="CQ219"/>
  <c r="CR219"/>
  <c r="CS219"/>
  <c r="CT219"/>
  <c r="CU219"/>
  <c r="CV219"/>
  <c r="CW219"/>
  <c r="CX219"/>
  <c r="CY219"/>
  <c r="CZ219"/>
  <c r="BP220"/>
  <c r="BQ220"/>
  <c r="BR220"/>
  <c r="BS220"/>
  <c r="BT220"/>
  <c r="BU220"/>
  <c r="BV220"/>
  <c r="BW220"/>
  <c r="BX220"/>
  <c r="BY220"/>
  <c r="BZ220"/>
  <c r="CA220"/>
  <c r="CB220"/>
  <c r="CC220"/>
  <c r="CD220"/>
  <c r="CL220"/>
  <c r="CM220"/>
  <c r="CN220"/>
  <c r="CO220"/>
  <c r="CP220"/>
  <c r="CQ220"/>
  <c r="CR220"/>
  <c r="CS220"/>
  <c r="CT220"/>
  <c r="CU220"/>
  <c r="CV220"/>
  <c r="CW220"/>
  <c r="CX220"/>
  <c r="CY220"/>
  <c r="CZ220"/>
  <c r="BP222"/>
  <c r="BQ222"/>
  <c r="BR222"/>
  <c r="BS222"/>
  <c r="BT222"/>
  <c r="BU222"/>
  <c r="BV222"/>
  <c r="BW222"/>
  <c r="BX222"/>
  <c r="BY222"/>
  <c r="BZ222"/>
  <c r="CA222"/>
  <c r="CB222"/>
  <c r="CC222"/>
  <c r="CD222"/>
  <c r="BP223"/>
  <c r="BQ223"/>
  <c r="BR223"/>
  <c r="BS223"/>
  <c r="BT223"/>
  <c r="BU223"/>
  <c r="BV223"/>
  <c r="BW223"/>
  <c r="BX223"/>
  <c r="BY223"/>
  <c r="BZ223"/>
  <c r="CA223"/>
  <c r="CB223"/>
  <c r="CC223"/>
  <c r="CD223"/>
  <c r="CL223"/>
  <c r="CM223"/>
  <c r="CN223"/>
  <c r="CO223"/>
  <c r="CP223"/>
  <c r="CQ223"/>
  <c r="CR223"/>
  <c r="CS223"/>
  <c r="CT223"/>
  <c r="CU223"/>
  <c r="CV223"/>
  <c r="CW223"/>
  <c r="CX223"/>
  <c r="CY223"/>
  <c r="CZ223"/>
  <c r="BP224"/>
  <c r="BQ224"/>
  <c r="BR224"/>
  <c r="BS224"/>
  <c r="BT224"/>
  <c r="BU224"/>
  <c r="BV224"/>
  <c r="BW224"/>
  <c r="BX224"/>
  <c r="BY224"/>
  <c r="BZ224"/>
  <c r="CA224"/>
  <c r="CB224"/>
  <c r="CC224"/>
  <c r="CD224"/>
  <c r="CL224"/>
  <c r="CM224"/>
  <c r="CN224"/>
  <c r="CO224"/>
  <c r="CP224"/>
  <c r="CQ224"/>
  <c r="CR224"/>
  <c r="CS224"/>
  <c r="CT224"/>
  <c r="CU224"/>
  <c r="CV224"/>
  <c r="CW224"/>
  <c r="CX224"/>
  <c r="CY224"/>
  <c r="CZ224"/>
  <c r="BP225"/>
  <c r="BQ225"/>
  <c r="BR225"/>
  <c r="BS225"/>
  <c r="BT225"/>
  <c r="BU225"/>
  <c r="BV225"/>
  <c r="BW225"/>
  <c r="BX225"/>
  <c r="BY225"/>
  <c r="BZ225"/>
  <c r="CA225"/>
  <c r="CB225"/>
  <c r="CC225"/>
  <c r="CD225"/>
  <c r="CL225"/>
  <c r="CM225"/>
  <c r="CN225"/>
  <c r="CO225"/>
  <c r="CP225"/>
  <c r="CQ225"/>
  <c r="CR225"/>
  <c r="CS225"/>
  <c r="CT225"/>
  <c r="CU225"/>
  <c r="CV225"/>
  <c r="CW225"/>
  <c r="CX225"/>
  <c r="CY225"/>
  <c r="CZ225"/>
  <c r="BP226"/>
  <c r="BQ226"/>
  <c r="BR226"/>
  <c r="BS226"/>
  <c r="BT226"/>
  <c r="BU226"/>
  <c r="BV226"/>
  <c r="BW226"/>
  <c r="BX226"/>
  <c r="BY226"/>
  <c r="BZ226"/>
  <c r="CA226"/>
  <c r="CB226"/>
  <c r="CC226"/>
  <c r="CD226"/>
  <c r="CL226"/>
  <c r="CM226"/>
  <c r="CN226"/>
  <c r="CO226"/>
  <c r="CP226"/>
  <c r="CQ226"/>
  <c r="CR226"/>
  <c r="CS226"/>
  <c r="CT226"/>
  <c r="CU226"/>
  <c r="CV226"/>
  <c r="CW226"/>
  <c r="CX226"/>
  <c r="CY226"/>
  <c r="CZ226"/>
  <c r="BP227"/>
  <c r="BQ227"/>
  <c r="BR227"/>
  <c r="BS227"/>
  <c r="BT227"/>
  <c r="BU227"/>
  <c r="BV227"/>
  <c r="BW227"/>
  <c r="BX227"/>
  <c r="BY227"/>
  <c r="BZ227"/>
  <c r="CA227"/>
  <c r="CB227"/>
  <c r="CC227"/>
  <c r="CD227"/>
  <c r="CL227"/>
  <c r="CM227"/>
  <c r="CN227"/>
  <c r="CO227"/>
  <c r="CP227"/>
  <c r="CQ227"/>
  <c r="CR227"/>
  <c r="CS227"/>
  <c r="CT227"/>
  <c r="CU227"/>
  <c r="CV227"/>
  <c r="CW227"/>
  <c r="CX227"/>
  <c r="CY227"/>
  <c r="CZ227"/>
  <c r="BP229"/>
  <c r="BQ229"/>
  <c r="BR229"/>
  <c r="BS229"/>
  <c r="BT229"/>
  <c r="BU229"/>
  <c r="BV229"/>
  <c r="BW229"/>
  <c r="BX229"/>
  <c r="BY229"/>
  <c r="BZ229"/>
  <c r="CA229"/>
  <c r="CB229"/>
  <c r="CC229"/>
  <c r="CD229"/>
  <c r="CL229"/>
  <c r="CM229"/>
  <c r="CN229"/>
  <c r="CO229"/>
  <c r="CP229"/>
  <c r="CQ229"/>
  <c r="CR229"/>
  <c r="CS229"/>
  <c r="CT229"/>
  <c r="CU229"/>
  <c r="CV229"/>
  <c r="CW229"/>
  <c r="CX229"/>
  <c r="CY229"/>
  <c r="CZ229"/>
  <c r="BP230"/>
  <c r="BQ230"/>
  <c r="BR230"/>
  <c r="BS230"/>
  <c r="BT230"/>
  <c r="BU230"/>
  <c r="BV230"/>
  <c r="BW230"/>
  <c r="BX230"/>
  <c r="BY230"/>
  <c r="BZ230"/>
  <c r="CA230"/>
  <c r="CB230"/>
  <c r="CC230"/>
  <c r="CD230"/>
  <c r="CL230"/>
  <c r="CM230"/>
  <c r="CN230"/>
  <c r="CO230"/>
  <c r="CP230"/>
  <c r="CQ230"/>
  <c r="CR230"/>
  <c r="CS230"/>
  <c r="CT230"/>
  <c r="CU230"/>
  <c r="CV230"/>
  <c r="CW230"/>
  <c r="CX230"/>
  <c r="CY230"/>
  <c r="CZ230"/>
  <c r="BP231"/>
  <c r="BQ231"/>
  <c r="BR231"/>
  <c r="BS231"/>
  <c r="BT231"/>
  <c r="BU231"/>
  <c r="BV231"/>
  <c r="BW231"/>
  <c r="BX231"/>
  <c r="BY231"/>
  <c r="BZ231"/>
  <c r="CA231"/>
  <c r="CB231"/>
  <c r="CC231"/>
  <c r="CD231"/>
  <c r="CL231"/>
  <c r="CM231"/>
  <c r="CN231"/>
  <c r="CO231"/>
  <c r="CP231"/>
  <c r="CQ231"/>
  <c r="CR231"/>
  <c r="CS231"/>
  <c r="CT231"/>
  <c r="CU231"/>
  <c r="CV231"/>
  <c r="CW231"/>
  <c r="CX231"/>
  <c r="CY231"/>
  <c r="CZ231"/>
  <c r="BP232"/>
  <c r="BQ232"/>
  <c r="BR232"/>
  <c r="BS232"/>
  <c r="BT232"/>
  <c r="BU232"/>
  <c r="BV232"/>
  <c r="BW232"/>
  <c r="BX232"/>
  <c r="BY232"/>
  <c r="BZ232"/>
  <c r="CA232"/>
  <c r="CB232"/>
  <c r="CC232"/>
  <c r="CD232"/>
  <c r="CL232"/>
  <c r="CM232"/>
  <c r="CN232"/>
  <c r="CO232"/>
  <c r="CP232"/>
  <c r="CQ232"/>
  <c r="CR232"/>
  <c r="CS232"/>
  <c r="CT232"/>
  <c r="CU232"/>
  <c r="CV232"/>
  <c r="CW232"/>
  <c r="CX232"/>
  <c r="CY232"/>
  <c r="CZ232"/>
  <c r="BQ233"/>
  <c r="BR233"/>
  <c r="BS233"/>
  <c r="BT233"/>
  <c r="BU233"/>
  <c r="BV233"/>
  <c r="BW233"/>
  <c r="BX233"/>
  <c r="BY233"/>
  <c r="BZ233"/>
  <c r="CA233"/>
  <c r="CB233"/>
  <c r="CC233"/>
  <c r="CD233"/>
  <c r="CM233"/>
  <c r="CN233"/>
  <c r="CO233"/>
  <c r="CP233"/>
  <c r="CQ233"/>
  <c r="CR233"/>
  <c r="CS233"/>
  <c r="CT233"/>
  <c r="CU233"/>
  <c r="CV233"/>
  <c r="CW233"/>
  <c r="CX233"/>
  <c r="CY233"/>
  <c r="CZ233"/>
  <c r="BP234"/>
  <c r="BQ234"/>
  <c r="BR234"/>
  <c r="BS234"/>
  <c r="BT234"/>
  <c r="BU234"/>
  <c r="BV234"/>
  <c r="BW234"/>
  <c r="BX234"/>
  <c r="BY234"/>
  <c r="BZ234"/>
  <c r="CA234"/>
  <c r="CB234"/>
  <c r="CC234"/>
  <c r="CD234"/>
  <c r="CL234"/>
  <c r="CM234"/>
  <c r="CN234"/>
  <c r="CO234"/>
  <c r="CP234"/>
  <c r="CQ234"/>
  <c r="CR234"/>
  <c r="CS234"/>
  <c r="CT234"/>
  <c r="CU234"/>
  <c r="CV234"/>
  <c r="CW234"/>
  <c r="CX234"/>
  <c r="CY234"/>
  <c r="CZ234"/>
  <c r="BP235"/>
  <c r="BQ235"/>
  <c r="BR235"/>
  <c r="BS235"/>
  <c r="BT235"/>
  <c r="BU235"/>
  <c r="BV235"/>
  <c r="BW235"/>
  <c r="BX235"/>
  <c r="BY235"/>
  <c r="BZ235"/>
  <c r="CA235"/>
  <c r="CB235"/>
  <c r="CC235"/>
  <c r="CD235"/>
  <c r="CL235"/>
  <c r="CM235"/>
  <c r="CN235"/>
  <c r="CO235"/>
  <c r="CP235"/>
  <c r="CQ235"/>
  <c r="CR235"/>
  <c r="CS235"/>
  <c r="CT235"/>
  <c r="CU235"/>
  <c r="CV235"/>
  <c r="CW235"/>
  <c r="CX235"/>
  <c r="CY235"/>
  <c r="CZ235"/>
  <c r="BP236"/>
  <c r="BQ236"/>
  <c r="BR236"/>
  <c r="BS236"/>
  <c r="BT236"/>
  <c r="BU236"/>
  <c r="BV236"/>
  <c r="BW236"/>
  <c r="BX236"/>
  <c r="BY236"/>
  <c r="BZ236"/>
  <c r="CA236"/>
  <c r="CB236"/>
  <c r="CC236"/>
  <c r="CD236"/>
  <c r="CL236"/>
  <c r="CM236"/>
  <c r="CN236"/>
  <c r="CO236"/>
  <c r="CP236"/>
  <c r="CQ236"/>
  <c r="CR236"/>
  <c r="CS236"/>
  <c r="CT236"/>
  <c r="CU236"/>
  <c r="CV236"/>
  <c r="CW236"/>
  <c r="CX236"/>
  <c r="CY236"/>
  <c r="CZ236"/>
  <c r="BP237"/>
  <c r="BQ237"/>
  <c r="BR237"/>
  <c r="BS237"/>
  <c r="BT237"/>
  <c r="BU237"/>
  <c r="BV237"/>
  <c r="BW237"/>
  <c r="BX237"/>
  <c r="BY237"/>
  <c r="BZ237"/>
  <c r="CA237"/>
  <c r="CB237"/>
  <c r="CC237"/>
  <c r="CD237"/>
  <c r="CL237"/>
  <c r="CM237"/>
  <c r="CN237"/>
  <c r="CO237"/>
  <c r="CP237"/>
  <c r="CQ237"/>
  <c r="CR237"/>
  <c r="CS237"/>
  <c r="CT237"/>
  <c r="CU237"/>
  <c r="CV237"/>
  <c r="CW237"/>
  <c r="CX237"/>
  <c r="CY237"/>
  <c r="CZ237"/>
  <c r="BP240"/>
  <c r="BQ240"/>
  <c r="BR240"/>
  <c r="BS240"/>
  <c r="BT240"/>
  <c r="BU240"/>
  <c r="BV240"/>
  <c r="BW240"/>
  <c r="BX240"/>
  <c r="BY240"/>
  <c r="BZ240"/>
  <c r="CA240"/>
  <c r="CB240"/>
  <c r="CC240"/>
  <c r="CD240"/>
  <c r="CL240"/>
  <c r="CM240"/>
  <c r="CN240"/>
  <c r="CO240"/>
  <c r="CP240"/>
  <c r="CQ240"/>
  <c r="CR240"/>
  <c r="CS240"/>
  <c r="CT240"/>
  <c r="CU240"/>
  <c r="CV240"/>
  <c r="CW240"/>
  <c r="CX240"/>
  <c r="CY240"/>
  <c r="CZ240"/>
  <c r="BP242"/>
  <c r="BQ242"/>
  <c r="BR242"/>
  <c r="BS242"/>
  <c r="BT242"/>
  <c r="BU242"/>
  <c r="BV242"/>
  <c r="BW242"/>
  <c r="BX242"/>
  <c r="BY242"/>
  <c r="BZ242"/>
  <c r="CA242"/>
  <c r="CB242"/>
  <c r="CC242"/>
  <c r="CD242"/>
  <c r="CL242"/>
  <c r="CM242"/>
  <c r="CN242"/>
  <c r="CO242"/>
  <c r="CP242"/>
  <c r="CQ242"/>
  <c r="CR242"/>
  <c r="CS242"/>
  <c r="CT242"/>
  <c r="CU242"/>
  <c r="CV242"/>
  <c r="CW242"/>
  <c r="CX242"/>
  <c r="CY242"/>
  <c r="CZ242"/>
  <c r="BP244"/>
  <c r="BQ244"/>
  <c r="BR244"/>
  <c r="BS244"/>
  <c r="BT244"/>
  <c r="BU244"/>
  <c r="BV244"/>
  <c r="BW244"/>
  <c r="BX244"/>
  <c r="BY244"/>
  <c r="BZ244"/>
  <c r="CA244"/>
  <c r="CB244"/>
  <c r="CC244"/>
  <c r="CD244"/>
  <c r="CL244"/>
  <c r="CM244"/>
  <c r="CN244"/>
  <c r="CO244"/>
  <c r="CP244"/>
  <c r="CQ244"/>
  <c r="CR244"/>
  <c r="CS244"/>
  <c r="CT244"/>
  <c r="CU244"/>
  <c r="CV244"/>
  <c r="CW244"/>
  <c r="CX244"/>
  <c r="CY244"/>
  <c r="CZ244"/>
  <c r="BP245"/>
  <c r="BQ245"/>
  <c r="BR245"/>
  <c r="BS245"/>
  <c r="BT245"/>
  <c r="BU245"/>
  <c r="BV245"/>
  <c r="BW245"/>
  <c r="BX245"/>
  <c r="BY245"/>
  <c r="BZ245"/>
  <c r="CA245"/>
  <c r="CB245"/>
  <c r="CC245"/>
  <c r="CD245"/>
  <c r="CL245"/>
  <c r="CM245"/>
  <c r="CN245"/>
  <c r="CO245"/>
  <c r="CP245"/>
  <c r="CQ245"/>
  <c r="CR245"/>
  <c r="CS245"/>
  <c r="CT245"/>
  <c r="CU245"/>
  <c r="CV245"/>
  <c r="CW245"/>
  <c r="CX245"/>
  <c r="CY245"/>
  <c r="CZ245"/>
  <c r="BP246"/>
  <c r="BQ246"/>
  <c r="BR246"/>
  <c r="BS246"/>
  <c r="BT246"/>
  <c r="BU246"/>
  <c r="BV246"/>
  <c r="BW246"/>
  <c r="BX246"/>
  <c r="BY246"/>
  <c r="BZ246"/>
  <c r="CA246"/>
  <c r="CB246"/>
  <c r="CC246"/>
  <c r="CD246"/>
  <c r="CL246"/>
  <c r="CM246"/>
  <c r="CN246"/>
  <c r="CO246"/>
  <c r="CP246"/>
  <c r="CQ246"/>
  <c r="CR246"/>
  <c r="CS246"/>
  <c r="CT246"/>
  <c r="CU246"/>
  <c r="CV246"/>
  <c r="CW246"/>
  <c r="CX246"/>
  <c r="CY246"/>
  <c r="CZ246"/>
  <c r="BP247"/>
  <c r="BQ247"/>
  <c r="BR247"/>
  <c r="BS247"/>
  <c r="BT247"/>
  <c r="BU247"/>
  <c r="BV247"/>
  <c r="BW247"/>
  <c r="BX247"/>
  <c r="BY247"/>
  <c r="BZ247"/>
  <c r="CA247"/>
  <c r="CB247"/>
  <c r="CC247"/>
  <c r="CD247"/>
  <c r="CL247"/>
  <c r="CM247"/>
  <c r="CN247"/>
  <c r="CO247"/>
  <c r="CP247"/>
  <c r="CQ247"/>
  <c r="CR247"/>
  <c r="CS247"/>
  <c r="CT247"/>
  <c r="CU247"/>
  <c r="CV247"/>
  <c r="CW247"/>
  <c r="CX247"/>
  <c r="CY247"/>
  <c r="CZ247"/>
  <c r="BP249"/>
  <c r="BQ249"/>
  <c r="BR249"/>
  <c r="BS249"/>
  <c r="BT249"/>
  <c r="BU249"/>
  <c r="BV249"/>
  <c r="BW249"/>
  <c r="BX249"/>
  <c r="BY249"/>
  <c r="BZ249"/>
  <c r="CA249"/>
  <c r="CB249"/>
  <c r="CC249"/>
  <c r="CD249"/>
  <c r="CL249"/>
  <c r="CM249"/>
  <c r="CN249"/>
  <c r="CO249"/>
  <c r="CP249"/>
  <c r="CQ249"/>
  <c r="CR249"/>
  <c r="CS249"/>
  <c r="CT249"/>
  <c r="CU249"/>
  <c r="CV249"/>
  <c r="CW249"/>
  <c r="CX249"/>
  <c r="CY249"/>
  <c r="CZ249"/>
  <c r="BP250"/>
  <c r="BQ250"/>
  <c r="BR250"/>
  <c r="BS250"/>
  <c r="BT250"/>
  <c r="BU250"/>
  <c r="BV250"/>
  <c r="BW250"/>
  <c r="BX250"/>
  <c r="BY250"/>
  <c r="BZ250"/>
  <c r="CA250"/>
  <c r="CB250"/>
  <c r="CC250"/>
  <c r="CD250"/>
  <c r="CL250"/>
  <c r="CM250"/>
  <c r="CN250"/>
  <c r="CO250"/>
  <c r="CP250"/>
  <c r="CQ250"/>
  <c r="CR250"/>
  <c r="CS250"/>
  <c r="CT250"/>
  <c r="CU250"/>
  <c r="CV250"/>
  <c r="CW250"/>
  <c r="CX250"/>
  <c r="CY250"/>
  <c r="CZ250"/>
  <c r="BQ252"/>
  <c r="BR252"/>
  <c r="BS252"/>
  <c r="BT252"/>
  <c r="BU252"/>
  <c r="BV252"/>
  <c r="BW252"/>
  <c r="BX252"/>
  <c r="BY252"/>
  <c r="BZ252"/>
  <c r="CA252"/>
  <c r="CB252"/>
  <c r="CC252"/>
  <c r="CD252"/>
  <c r="CM252"/>
  <c r="CN252"/>
  <c r="CO252"/>
  <c r="CP252"/>
  <c r="CQ252"/>
  <c r="CR252"/>
  <c r="CS252"/>
  <c r="CT252"/>
  <c r="CU252"/>
  <c r="CV252"/>
  <c r="CW252"/>
  <c r="CX252"/>
  <c r="CY252"/>
  <c r="CZ252"/>
  <c r="BP256"/>
  <c r="BQ256"/>
  <c r="BR256"/>
  <c r="BS256"/>
  <c r="BT256"/>
  <c r="BU256"/>
  <c r="BV256"/>
  <c r="BW256"/>
  <c r="BX256"/>
  <c r="BY256"/>
  <c r="BZ256"/>
  <c r="CA256"/>
  <c r="CB256"/>
  <c r="CC256"/>
  <c r="CD256"/>
  <c r="CL256"/>
  <c r="CM256"/>
  <c r="CN256"/>
  <c r="CO256"/>
  <c r="CP256"/>
  <c r="CQ256"/>
  <c r="CR256"/>
  <c r="CS256"/>
  <c r="CT256"/>
  <c r="CU256"/>
  <c r="CV256"/>
  <c r="CW256"/>
  <c r="CX256"/>
  <c r="CY256"/>
  <c r="CZ256"/>
  <c r="BP257"/>
  <c r="BQ257"/>
  <c r="BR257"/>
  <c r="BS257"/>
  <c r="BT257"/>
  <c r="BU257"/>
  <c r="BV257"/>
  <c r="BW257"/>
  <c r="BX257"/>
  <c r="BY257"/>
  <c r="BZ257"/>
  <c r="CA257"/>
  <c r="CB257"/>
  <c r="CC257"/>
  <c r="CD257"/>
  <c r="CL257"/>
  <c r="CM257"/>
  <c r="CN257"/>
  <c r="CO257"/>
  <c r="CP257"/>
  <c r="CQ257"/>
  <c r="CR257"/>
  <c r="CS257"/>
  <c r="CT257"/>
  <c r="CU257"/>
  <c r="CV257"/>
  <c r="CW257"/>
  <c r="CX257"/>
  <c r="CY257"/>
  <c r="CZ257"/>
  <c r="BP258"/>
  <c r="BQ258"/>
  <c r="BR258"/>
  <c r="BS258"/>
  <c r="BT258"/>
  <c r="BU258"/>
  <c r="BV258"/>
  <c r="BW258"/>
  <c r="BX258"/>
  <c r="BY258"/>
  <c r="BZ258"/>
  <c r="CA258"/>
  <c r="CB258"/>
  <c r="CC258"/>
  <c r="CD258"/>
  <c r="CL258"/>
  <c r="CM258"/>
  <c r="CN258"/>
  <c r="CO258"/>
  <c r="CP258"/>
  <c r="CQ258"/>
  <c r="CR258"/>
  <c r="CS258"/>
  <c r="CT258"/>
  <c r="CU258"/>
  <c r="CV258"/>
  <c r="CW258"/>
  <c r="CX258"/>
  <c r="CY258"/>
  <c r="CZ258"/>
  <c r="BP264"/>
  <c r="BQ264"/>
  <c r="BR264"/>
  <c r="BS264"/>
  <c r="BT264"/>
  <c r="BU264"/>
  <c r="BV264"/>
  <c r="BW264"/>
  <c r="BX264"/>
  <c r="BY264"/>
  <c r="BZ264"/>
  <c r="CA264"/>
  <c r="CB264"/>
  <c r="CC264"/>
  <c r="CD264"/>
  <c r="CL264"/>
  <c r="CM264"/>
  <c r="CN264"/>
  <c r="CO264"/>
  <c r="CP264"/>
  <c r="CQ264"/>
  <c r="CR264"/>
  <c r="CS264"/>
  <c r="CT264"/>
  <c r="CU264"/>
  <c r="CV264"/>
  <c r="CW264"/>
  <c r="CX264"/>
  <c r="CY264"/>
  <c r="CZ264"/>
  <c r="BP266"/>
  <c r="BQ266"/>
  <c r="BR266"/>
  <c r="BS266"/>
  <c r="BT266"/>
  <c r="BU266"/>
  <c r="BV266"/>
  <c r="BW266"/>
  <c r="BX266"/>
  <c r="BY266"/>
  <c r="BZ266"/>
  <c r="CA266"/>
  <c r="CB266"/>
  <c r="CC266"/>
  <c r="CD266"/>
  <c r="CL266"/>
  <c r="CM266"/>
  <c r="CN266"/>
  <c r="CO266"/>
  <c r="CP266"/>
  <c r="CQ266"/>
  <c r="CR266"/>
  <c r="CS266"/>
  <c r="CT266"/>
  <c r="CU266"/>
  <c r="CV266"/>
  <c r="CW266"/>
  <c r="CX266"/>
  <c r="CY266"/>
  <c r="CZ266"/>
  <c r="BP267"/>
  <c r="BQ267"/>
  <c r="BR267"/>
  <c r="BS267"/>
  <c r="BT267"/>
  <c r="BU267"/>
  <c r="BV267"/>
  <c r="BW267"/>
  <c r="BX267"/>
  <c r="BY267"/>
  <c r="BZ267"/>
  <c r="CA267"/>
  <c r="CB267"/>
  <c r="CC267"/>
  <c r="CD267"/>
  <c r="CL267"/>
  <c r="CM267"/>
  <c r="CN267"/>
  <c r="CO267"/>
  <c r="CP267"/>
  <c r="CQ267"/>
  <c r="CR267"/>
  <c r="CS267"/>
  <c r="CT267"/>
  <c r="CU267"/>
  <c r="CV267"/>
  <c r="CW267"/>
  <c r="CX267"/>
  <c r="CY267"/>
  <c r="CZ267"/>
  <c r="BP273"/>
  <c r="BQ273"/>
  <c r="BR273"/>
  <c r="BS273"/>
  <c r="BT273"/>
  <c r="BU273"/>
  <c r="BV273"/>
  <c r="BW273"/>
  <c r="BX273"/>
  <c r="BY273"/>
  <c r="BZ273"/>
  <c r="CA273"/>
  <c r="CB273"/>
  <c r="CC273"/>
  <c r="CD273"/>
  <c r="CL273"/>
  <c r="CM273"/>
  <c r="CN273"/>
  <c r="CO273"/>
  <c r="CP273"/>
  <c r="CQ273"/>
  <c r="CR273"/>
  <c r="CS273"/>
  <c r="CT273"/>
  <c r="CU273"/>
  <c r="CV273"/>
  <c r="CW273"/>
  <c r="CX273"/>
  <c r="CY273"/>
  <c r="CZ273"/>
  <c r="BP277"/>
  <c r="BQ277"/>
  <c r="BR277"/>
  <c r="BS277"/>
  <c r="BT277"/>
  <c r="BU277"/>
  <c r="BV277"/>
  <c r="BW277"/>
  <c r="BX277"/>
  <c r="BY277"/>
  <c r="BZ277"/>
  <c r="CA277"/>
  <c r="CB277"/>
  <c r="CC277"/>
  <c r="CD277"/>
  <c r="CL277"/>
  <c r="CM277"/>
  <c r="CN277"/>
  <c r="CO277"/>
  <c r="CP277"/>
  <c r="CQ277"/>
  <c r="CR277"/>
  <c r="CS277"/>
  <c r="CT277"/>
  <c r="CU277"/>
  <c r="CV277"/>
  <c r="CW277"/>
  <c r="CX277"/>
  <c r="CY277"/>
  <c r="CZ277"/>
  <c r="BP278"/>
  <c r="BQ278"/>
  <c r="BR278"/>
  <c r="BS278"/>
  <c r="BT278"/>
  <c r="BU278"/>
  <c r="BV278"/>
  <c r="BW278"/>
  <c r="BX278"/>
  <c r="BY278"/>
  <c r="BZ278"/>
  <c r="CA278"/>
  <c r="CB278"/>
  <c r="CC278"/>
  <c r="CD278"/>
  <c r="CL278"/>
  <c r="CM278"/>
  <c r="CN278"/>
  <c r="CO278"/>
  <c r="CP278"/>
  <c r="CQ278"/>
  <c r="CR278"/>
  <c r="CS278"/>
  <c r="CT278"/>
  <c r="CU278"/>
  <c r="CV278"/>
  <c r="CW278"/>
  <c r="CX278"/>
  <c r="CY278"/>
  <c r="CZ278"/>
  <c r="BP280"/>
  <c r="BQ280"/>
  <c r="BR280"/>
  <c r="BS280"/>
  <c r="BT280"/>
  <c r="BU280"/>
  <c r="BV280"/>
  <c r="BW280"/>
  <c r="BX280"/>
  <c r="BY280"/>
  <c r="BZ280"/>
  <c r="CA280"/>
  <c r="CB280"/>
  <c r="CC280"/>
  <c r="CD280"/>
  <c r="CL280"/>
  <c r="CM280"/>
  <c r="CN280"/>
  <c r="CO280"/>
  <c r="CP280"/>
  <c r="CQ280"/>
  <c r="CR280"/>
  <c r="CS280"/>
  <c r="CT280"/>
  <c r="CU280"/>
  <c r="CV280"/>
  <c r="CW280"/>
  <c r="CX280"/>
  <c r="CY280"/>
  <c r="CZ280"/>
  <c r="BC284"/>
  <c r="BD284"/>
  <c r="BE284"/>
  <c r="BF284"/>
  <c r="BG284"/>
  <c r="BH284"/>
  <c r="BI284"/>
  <c r="BJ284"/>
  <c r="BK284"/>
  <c r="BL284"/>
  <c r="BM284"/>
  <c r="BN284"/>
  <c r="BO284"/>
  <c r="BP284"/>
  <c r="BQ284"/>
  <c r="BR284"/>
  <c r="BS284"/>
  <c r="BT284"/>
  <c r="BU284"/>
  <c r="BV284"/>
  <c r="BW284"/>
  <c r="BX284"/>
  <c r="BY284"/>
  <c r="BZ284"/>
  <c r="CA284"/>
  <c r="CB284"/>
  <c r="CC284"/>
  <c r="CD284"/>
  <c r="CG284"/>
  <c r="CH284"/>
  <c r="CI284"/>
  <c r="CJ284"/>
  <c r="CK284"/>
  <c r="CL284"/>
  <c r="CM284"/>
  <c r="CN284"/>
  <c r="CO284"/>
  <c r="CP284"/>
  <c r="CQ284"/>
  <c r="CR284"/>
  <c r="CS284"/>
  <c r="CT284"/>
  <c r="CU284"/>
  <c r="CV284"/>
  <c r="CW284"/>
  <c r="CX284"/>
  <c r="CY284"/>
  <c r="CZ284"/>
  <c r="BC285"/>
  <c r="BD285"/>
  <c r="BE285"/>
  <c r="BF285"/>
  <c r="BG285"/>
  <c r="BH285"/>
  <c r="BI285"/>
  <c r="BJ285"/>
  <c r="BK285"/>
  <c r="BL285"/>
  <c r="BM285"/>
  <c r="BN285"/>
  <c r="BO285"/>
  <c r="BP285"/>
  <c r="BQ285"/>
  <c r="BR285"/>
  <c r="BS285"/>
  <c r="BT285"/>
  <c r="BU285"/>
  <c r="BV285"/>
  <c r="BW285"/>
  <c r="BX285"/>
  <c r="BY285"/>
  <c r="BZ285"/>
  <c r="CA285"/>
  <c r="CB285"/>
  <c r="CC285"/>
  <c r="CD285"/>
  <c r="CG285"/>
  <c r="CH285"/>
  <c r="CI285"/>
  <c r="CJ285"/>
  <c r="CK285"/>
  <c r="CL285"/>
  <c r="CM285"/>
  <c r="CN285"/>
  <c r="CO285"/>
  <c r="CP285"/>
  <c r="CQ285"/>
  <c r="CR285"/>
  <c r="CS285"/>
  <c r="CT285"/>
  <c r="CU285"/>
  <c r="CV285"/>
  <c r="CW285"/>
  <c r="CX285"/>
  <c r="CY285"/>
  <c r="CZ285"/>
  <c r="BE286"/>
  <c r="BF286"/>
  <c r="BG286"/>
  <c r="BH286"/>
  <c r="BI286"/>
  <c r="BJ286"/>
  <c r="BK286"/>
  <c r="BL286"/>
  <c r="BM286"/>
  <c r="BN286"/>
  <c r="BO286"/>
  <c r="BP286"/>
  <c r="BQ286"/>
  <c r="BR286"/>
  <c r="BS286"/>
  <c r="BT286"/>
  <c r="BU286"/>
  <c r="BV286"/>
  <c r="BW286"/>
  <c r="BX286"/>
  <c r="BY286"/>
  <c r="BZ286"/>
  <c r="CA286"/>
  <c r="CB286"/>
  <c r="CC286"/>
  <c r="CD286"/>
  <c r="CG286"/>
  <c r="CH286"/>
  <c r="CI286"/>
  <c r="CJ286"/>
  <c r="CK286"/>
  <c r="CL286"/>
  <c r="CM286"/>
  <c r="CN286"/>
  <c r="CO286"/>
  <c r="CP286"/>
  <c r="CQ286"/>
  <c r="CR286"/>
  <c r="CS286"/>
  <c r="CT286"/>
  <c r="CU286"/>
  <c r="CV286"/>
  <c r="CW286"/>
  <c r="CX286"/>
  <c r="CY286"/>
  <c r="CZ286"/>
  <c r="BC287"/>
  <c r="BD287"/>
  <c r="BE287"/>
  <c r="BF287"/>
  <c r="BG287"/>
  <c r="BH287"/>
  <c r="BI287"/>
  <c r="BJ287"/>
  <c r="BK287"/>
  <c r="BL287"/>
  <c r="BM287"/>
  <c r="BN287"/>
  <c r="BO287"/>
  <c r="BP287"/>
  <c r="BQ287"/>
  <c r="BR287"/>
  <c r="BS287"/>
  <c r="BT287"/>
  <c r="BU287"/>
  <c r="BV287"/>
  <c r="BW287"/>
  <c r="BX287"/>
  <c r="BY287"/>
  <c r="BZ287"/>
  <c r="CA287"/>
  <c r="CB287"/>
  <c r="CC287"/>
  <c r="CD287"/>
  <c r="CG287"/>
  <c r="CH287"/>
  <c r="CI287"/>
  <c r="CJ287"/>
  <c r="CK287"/>
  <c r="CL287"/>
  <c r="CM287"/>
  <c r="CN287"/>
  <c r="CO287"/>
  <c r="CP287"/>
  <c r="CQ287"/>
  <c r="CR287"/>
  <c r="CS287"/>
  <c r="CT287"/>
  <c r="CU287"/>
  <c r="CV287"/>
  <c r="CW287"/>
  <c r="CX287"/>
  <c r="CY287"/>
  <c r="CZ287"/>
  <c r="BE292"/>
  <c r="BF292"/>
  <c r="BG292"/>
  <c r="BH292"/>
  <c r="BI292"/>
  <c r="BJ292"/>
  <c r="BK292"/>
  <c r="BL292"/>
  <c r="BM292"/>
  <c r="BO292"/>
  <c r="BP292"/>
  <c r="BQ292"/>
  <c r="BR292"/>
  <c r="BS292"/>
  <c r="BT292"/>
  <c r="BU292"/>
  <c r="BV292"/>
  <c r="BW292"/>
  <c r="BX292"/>
  <c r="BY292"/>
  <c r="BZ292"/>
  <c r="CA292"/>
  <c r="CB292"/>
  <c r="CC292"/>
  <c r="CD292"/>
  <c r="CG292"/>
  <c r="CH292"/>
  <c r="CI292"/>
  <c r="CK292"/>
  <c r="CL292"/>
  <c r="CM292"/>
  <c r="CN292"/>
  <c r="CO292"/>
  <c r="CP292"/>
  <c r="CQ292"/>
  <c r="CR292"/>
  <c r="CS292"/>
  <c r="CT292"/>
  <c r="CU292"/>
  <c r="CV292"/>
  <c r="CW292"/>
  <c r="CX292"/>
  <c r="CY292"/>
  <c r="CZ292"/>
  <c r="BH293"/>
  <c r="BI293"/>
  <c r="BJ293"/>
  <c r="BK293"/>
  <c r="BL293"/>
  <c r="BM293"/>
  <c r="BN293"/>
  <c r="BO293"/>
  <c r="BP293"/>
  <c r="BQ293"/>
  <c r="BR293"/>
  <c r="BS293"/>
  <c r="BT293"/>
  <c r="BU293"/>
  <c r="BV293"/>
  <c r="BW293"/>
  <c r="BX293"/>
  <c r="BY293"/>
  <c r="BZ293"/>
  <c r="CA293"/>
  <c r="CB293"/>
  <c r="CC293"/>
  <c r="CD293"/>
  <c r="CG293"/>
  <c r="CH293"/>
  <c r="CI293"/>
  <c r="CJ293"/>
  <c r="CK293"/>
  <c r="CL293"/>
  <c r="CM293"/>
  <c r="CN293"/>
  <c r="CO293"/>
  <c r="CP293"/>
  <c r="CQ293"/>
  <c r="CR293"/>
  <c r="CS293"/>
  <c r="CT293"/>
  <c r="CU293"/>
  <c r="CV293"/>
  <c r="CW293"/>
  <c r="CX293"/>
  <c r="CY293"/>
  <c r="CZ293"/>
  <c r="BC294"/>
  <c r="BD294"/>
  <c r="BE294"/>
  <c r="BF294"/>
  <c r="BG294"/>
  <c r="BH294"/>
  <c r="BI294"/>
  <c r="BJ294"/>
  <c r="BK294"/>
  <c r="BL294"/>
  <c r="BM294"/>
  <c r="BN294"/>
  <c r="BO294"/>
  <c r="BP294"/>
  <c r="BQ294"/>
  <c r="BR294"/>
  <c r="BS294"/>
  <c r="BT294"/>
  <c r="BU294"/>
  <c r="BV294"/>
  <c r="BW294"/>
  <c r="BX294"/>
  <c r="BY294"/>
  <c r="BZ294"/>
  <c r="CA294"/>
  <c r="CB294"/>
  <c r="CC294"/>
  <c r="CD294"/>
  <c r="CG294"/>
  <c r="CH294"/>
  <c r="CI294"/>
  <c r="CJ294"/>
  <c r="CK294"/>
  <c r="CL294"/>
  <c r="CM294"/>
  <c r="CN294"/>
  <c r="CO294"/>
  <c r="CP294"/>
  <c r="CQ294"/>
  <c r="CR294"/>
  <c r="CS294"/>
  <c r="CT294"/>
  <c r="CU294"/>
  <c r="CV294"/>
  <c r="CW294"/>
  <c r="CX294"/>
  <c r="CY294"/>
  <c r="CZ294"/>
  <c r="BH295"/>
  <c r="BI295"/>
  <c r="BJ295"/>
  <c r="BK295"/>
  <c r="BL295"/>
  <c r="BM295"/>
  <c r="BN295"/>
  <c r="BO295"/>
  <c r="BP295"/>
  <c r="BQ295"/>
  <c r="BR295"/>
  <c r="BS295"/>
  <c r="BT295"/>
  <c r="BU295"/>
  <c r="BV295"/>
  <c r="BW295"/>
  <c r="BX295"/>
  <c r="BY295"/>
  <c r="BZ295"/>
  <c r="CA295"/>
  <c r="CB295"/>
  <c r="CC295"/>
  <c r="CD295"/>
  <c r="CG295"/>
  <c r="CH295"/>
  <c r="CI295"/>
  <c r="CJ295"/>
  <c r="CK295"/>
  <c r="CL295"/>
  <c r="CM295"/>
  <c r="CN295"/>
  <c r="CO295"/>
  <c r="CP295"/>
  <c r="CQ295"/>
  <c r="CR295"/>
  <c r="CS295"/>
  <c r="CT295"/>
  <c r="CU295"/>
  <c r="CV295"/>
  <c r="CW295"/>
  <c r="CX295"/>
  <c r="CY295"/>
  <c r="CZ295"/>
  <c r="BE296"/>
  <c r="BF296"/>
  <c r="BG296"/>
  <c r="BH296"/>
  <c r="BI296"/>
  <c r="BJ296"/>
  <c r="BK296"/>
  <c r="BL296"/>
  <c r="BM296"/>
  <c r="BN296"/>
  <c r="BO296"/>
  <c r="BP296"/>
  <c r="BQ296"/>
  <c r="BR296"/>
  <c r="BS296"/>
  <c r="BT296"/>
  <c r="BU296"/>
  <c r="BV296"/>
  <c r="BW296"/>
  <c r="BX296"/>
  <c r="BY296"/>
  <c r="BZ296"/>
  <c r="CA296"/>
  <c r="CB296"/>
  <c r="CC296"/>
  <c r="CD296"/>
  <c r="CF296"/>
  <c r="CG296"/>
  <c r="CH296"/>
  <c r="CI296"/>
  <c r="CJ296"/>
  <c r="CK296"/>
  <c r="CL296"/>
  <c r="CM296"/>
  <c r="CN296"/>
  <c r="CO296"/>
  <c r="CP296"/>
  <c r="CQ296"/>
  <c r="CR296"/>
  <c r="CS296"/>
  <c r="CT296"/>
  <c r="CU296"/>
  <c r="CV296"/>
  <c r="CW296"/>
  <c r="CX296"/>
  <c r="CY296"/>
  <c r="CZ296"/>
  <c r="BE298"/>
  <c r="BF298"/>
  <c r="BG298"/>
  <c r="BH298"/>
  <c r="BI298"/>
  <c r="BJ298"/>
  <c r="BK298"/>
  <c r="BL298"/>
  <c r="BM298"/>
  <c r="BN298"/>
  <c r="BO298"/>
  <c r="BP298"/>
  <c r="BQ298"/>
  <c r="BR298"/>
  <c r="BS298"/>
  <c r="BT298"/>
  <c r="BU298"/>
  <c r="BV298"/>
  <c r="BW298"/>
  <c r="BX298"/>
  <c r="BY298"/>
  <c r="BZ298"/>
  <c r="CA298"/>
  <c r="CB298"/>
  <c r="CC298"/>
  <c r="CD298"/>
  <c r="CG298"/>
  <c r="CH298"/>
  <c r="CI298"/>
  <c r="CJ298"/>
  <c r="CK298"/>
  <c r="CL298"/>
  <c r="CM298"/>
  <c r="CN298"/>
  <c r="CO298"/>
  <c r="CP298"/>
  <c r="CQ298"/>
  <c r="CR298"/>
  <c r="CS298"/>
  <c r="CT298"/>
  <c r="CU298"/>
  <c r="CV298"/>
  <c r="CW298"/>
  <c r="CX298"/>
  <c r="CY298"/>
  <c r="CZ298"/>
  <c r="BC299"/>
  <c r="BD299"/>
  <c r="BE299"/>
  <c r="BF299"/>
  <c r="BG299"/>
  <c r="BH299"/>
  <c r="BI299"/>
  <c r="BJ299"/>
  <c r="BK299"/>
  <c r="BL299"/>
  <c r="BM299"/>
  <c r="BN299"/>
  <c r="BO299"/>
  <c r="BP299"/>
  <c r="BQ299"/>
  <c r="BR299"/>
  <c r="BS299"/>
  <c r="BT299"/>
  <c r="BU299"/>
  <c r="BV299"/>
  <c r="BW299"/>
  <c r="BX299"/>
  <c r="BY299"/>
  <c r="BZ299"/>
  <c r="CA299"/>
  <c r="CB299"/>
  <c r="CC299"/>
  <c r="CD299"/>
  <c r="CG299"/>
  <c r="CH299"/>
  <c r="CI299"/>
  <c r="CJ299"/>
  <c r="CK299"/>
  <c r="CL299"/>
  <c r="CM299"/>
  <c r="CN299"/>
  <c r="CO299"/>
  <c r="CP299"/>
  <c r="CQ299"/>
  <c r="CR299"/>
  <c r="CS299"/>
  <c r="CT299"/>
  <c r="CU299"/>
  <c r="CV299"/>
  <c r="CW299"/>
  <c r="CX299"/>
  <c r="CY299"/>
  <c r="CZ299"/>
  <c r="BC300"/>
  <c r="BD300"/>
  <c r="BE300"/>
  <c r="BF300"/>
  <c r="BG300"/>
  <c r="BH300"/>
  <c r="BI300"/>
  <c r="BJ300"/>
  <c r="BK300"/>
  <c r="BL300"/>
  <c r="BM300"/>
  <c r="BN300"/>
  <c r="BO300"/>
  <c r="BP300"/>
  <c r="BQ300"/>
  <c r="BR300"/>
  <c r="BS300"/>
  <c r="BT300"/>
  <c r="BU300"/>
  <c r="BV300"/>
  <c r="BW300"/>
  <c r="BX300"/>
  <c r="BY300"/>
  <c r="BZ300"/>
  <c r="CA300"/>
  <c r="CB300"/>
  <c r="CC300"/>
  <c r="CD300"/>
  <c r="CG300"/>
  <c r="CH300"/>
  <c r="CI300"/>
  <c r="CJ300"/>
  <c r="CK300"/>
  <c r="CL300"/>
  <c r="CM300"/>
  <c r="CN300"/>
  <c r="CO300"/>
  <c r="CP300"/>
  <c r="CQ300"/>
  <c r="CR300"/>
  <c r="CS300"/>
  <c r="CT300"/>
  <c r="CU300"/>
  <c r="CV300"/>
  <c r="CW300"/>
  <c r="CX300"/>
  <c r="CY300"/>
  <c r="CZ300"/>
  <c r="BP302"/>
  <c r="BQ302"/>
  <c r="BR302"/>
  <c r="BS302"/>
  <c r="BT302"/>
  <c r="BU302"/>
  <c r="BV302"/>
  <c r="BW302"/>
  <c r="BX302"/>
  <c r="BY302"/>
  <c r="BZ302"/>
  <c r="CA302"/>
  <c r="CB302"/>
  <c r="CC302"/>
  <c r="CD302"/>
  <c r="CL302"/>
  <c r="CM302"/>
  <c r="CN302"/>
  <c r="CO302"/>
  <c r="CP302"/>
  <c r="CQ302"/>
  <c r="CR302"/>
  <c r="CS302"/>
  <c r="CT302"/>
  <c r="CU302"/>
  <c r="CV302"/>
  <c r="CW302"/>
  <c r="CX302"/>
  <c r="CY302"/>
  <c r="CZ302"/>
  <c r="BC303"/>
  <c r="BD303"/>
  <c r="BE303"/>
  <c r="BF303"/>
  <c r="BG303"/>
  <c r="BH303"/>
  <c r="BI303"/>
  <c r="BJ303"/>
  <c r="BK303"/>
  <c r="BL303"/>
  <c r="BM303"/>
  <c r="BN303"/>
  <c r="BO303"/>
  <c r="BP303"/>
  <c r="BQ303"/>
  <c r="BR303"/>
  <c r="BS303"/>
  <c r="BT303"/>
  <c r="BU303"/>
  <c r="BV303"/>
  <c r="BW303"/>
  <c r="BX303"/>
  <c r="BY303"/>
  <c r="BZ303"/>
  <c r="CA303"/>
  <c r="CB303"/>
  <c r="CC303"/>
  <c r="CD303"/>
  <c r="CG303"/>
  <c r="CH303"/>
  <c r="CI303"/>
  <c r="CJ303"/>
  <c r="CK303"/>
  <c r="CL303"/>
  <c r="CM303"/>
  <c r="CN303"/>
  <c r="CO303"/>
  <c r="CP303"/>
  <c r="CQ303"/>
  <c r="CR303"/>
  <c r="CS303"/>
  <c r="CT303"/>
  <c r="CU303"/>
  <c r="CV303"/>
  <c r="CW303"/>
  <c r="CX303"/>
  <c r="CY303"/>
  <c r="CZ303"/>
  <c r="BC309"/>
  <c r="BD309"/>
  <c r="BE309"/>
  <c r="BF309"/>
  <c r="BG309"/>
  <c r="BH309"/>
  <c r="BI309"/>
  <c r="BJ309"/>
  <c r="BK309"/>
  <c r="BL309"/>
  <c r="BM309"/>
  <c r="BN309"/>
  <c r="BO309"/>
  <c r="BP309"/>
  <c r="BQ309"/>
  <c r="BR309"/>
  <c r="BS309"/>
  <c r="BT309"/>
  <c r="BU309"/>
  <c r="BV309"/>
  <c r="BW309"/>
  <c r="BX309"/>
  <c r="BY309"/>
  <c r="BZ309"/>
  <c r="CA309"/>
  <c r="CB309"/>
  <c r="CC309"/>
  <c r="CD309"/>
  <c r="CG309"/>
  <c r="CH309"/>
  <c r="CI309"/>
  <c r="CJ309"/>
  <c r="CK309"/>
  <c r="CL309"/>
  <c r="CM309"/>
  <c r="CN309"/>
  <c r="CO309"/>
  <c r="CP309"/>
  <c r="CQ309"/>
  <c r="CR309"/>
  <c r="CS309"/>
  <c r="CT309"/>
  <c r="CU309"/>
  <c r="CV309"/>
  <c r="CW309"/>
  <c r="CX309"/>
  <c r="CY309"/>
  <c r="CZ309"/>
  <c r="BC310"/>
  <c r="BD310"/>
  <c r="BE310"/>
  <c r="BF310"/>
  <c r="BG310"/>
  <c r="BH310"/>
  <c r="BI310"/>
  <c r="BJ310"/>
  <c r="BK310"/>
  <c r="BL310"/>
  <c r="BM310"/>
  <c r="BN310"/>
  <c r="BO310"/>
  <c r="BP310"/>
  <c r="BQ310"/>
  <c r="BR310"/>
  <c r="BS310"/>
  <c r="BT310"/>
  <c r="BU310"/>
  <c r="BV310"/>
  <c r="BW310"/>
  <c r="BX310"/>
  <c r="BY310"/>
  <c r="BZ310"/>
  <c r="CA310"/>
  <c r="CB310"/>
  <c r="CC310"/>
  <c r="CD310"/>
  <c r="CG310"/>
  <c r="CH310"/>
  <c r="CI310"/>
  <c r="CJ310"/>
  <c r="CK310"/>
  <c r="CL310"/>
  <c r="CM310"/>
  <c r="CN310"/>
  <c r="CO310"/>
  <c r="CP310"/>
  <c r="CQ310"/>
  <c r="CR310"/>
  <c r="CS310"/>
  <c r="CT310"/>
  <c r="CU310"/>
  <c r="CV310"/>
  <c r="CW310"/>
  <c r="CX310"/>
  <c r="CY310"/>
  <c r="CZ310"/>
  <c r="BP311"/>
  <c r="BQ311"/>
  <c r="BR311"/>
  <c r="BS311"/>
  <c r="BT311"/>
  <c r="BU311"/>
  <c r="BV311"/>
  <c r="BW311"/>
  <c r="BX311"/>
  <c r="BY311"/>
  <c r="BZ311"/>
  <c r="CA311"/>
  <c r="CB311"/>
  <c r="CC311"/>
  <c r="CD311"/>
  <c r="CL311"/>
  <c r="CM311"/>
  <c r="CN311"/>
  <c r="CO311"/>
  <c r="CP311"/>
  <c r="CQ311"/>
  <c r="CR311"/>
  <c r="CS311"/>
  <c r="CT311"/>
  <c r="CU311"/>
  <c r="CV311"/>
  <c r="CW311"/>
  <c r="CX311"/>
  <c r="CY311"/>
  <c r="CZ311"/>
  <c r="BP313"/>
  <c r="BQ313"/>
  <c r="BR313"/>
  <c r="BS313"/>
  <c r="BT313"/>
  <c r="BU313"/>
  <c r="BV313"/>
  <c r="BW313"/>
  <c r="BX313"/>
  <c r="BY313"/>
  <c r="BZ313"/>
  <c r="CA313"/>
  <c r="CB313"/>
  <c r="CC313"/>
  <c r="CD313"/>
  <c r="CL313"/>
  <c r="CM313"/>
  <c r="CN313"/>
  <c r="CO313"/>
  <c r="CP313"/>
  <c r="CQ313"/>
  <c r="CR313"/>
  <c r="CS313"/>
  <c r="CT313"/>
  <c r="CU313"/>
  <c r="CV313"/>
  <c r="CW313"/>
  <c r="CX313"/>
  <c r="CY313"/>
  <c r="CZ313"/>
  <c r="BC314"/>
  <c r="BD314"/>
  <c r="BE314"/>
  <c r="BF314"/>
  <c r="BG314"/>
  <c r="BH314"/>
  <c r="BI314"/>
  <c r="BJ314"/>
  <c r="BK314"/>
  <c r="BL314"/>
  <c r="BM314"/>
  <c r="BN314"/>
  <c r="BO314"/>
  <c r="BP314"/>
  <c r="BQ314"/>
  <c r="BR314"/>
  <c r="BS314"/>
  <c r="BT314"/>
  <c r="BU314"/>
  <c r="BV314"/>
  <c r="BW314"/>
  <c r="BX314"/>
  <c r="BY314"/>
  <c r="BZ314"/>
  <c r="CA314"/>
  <c r="CB314"/>
  <c r="CC314"/>
  <c r="CD314"/>
  <c r="CG314"/>
  <c r="CH314"/>
  <c r="CI314"/>
  <c r="CJ314"/>
  <c r="CK314"/>
  <c r="CL314"/>
  <c r="CM314"/>
  <c r="CN314"/>
  <c r="CO314"/>
  <c r="CP314"/>
  <c r="CQ314"/>
  <c r="CR314"/>
  <c r="CS314"/>
  <c r="CT314"/>
  <c r="CU314"/>
  <c r="CV314"/>
  <c r="CW314"/>
  <c r="CX314"/>
  <c r="CY314"/>
  <c r="CZ314"/>
  <c r="BC317"/>
  <c r="BD317"/>
  <c r="BE317"/>
  <c r="BF317"/>
  <c r="BG317"/>
  <c r="BH317"/>
  <c r="BI317"/>
  <c r="BJ317"/>
  <c r="BK317"/>
  <c r="BL317"/>
  <c r="BM317"/>
  <c r="BN317"/>
  <c r="BO317"/>
  <c r="BP317"/>
  <c r="BQ317"/>
  <c r="BR317"/>
  <c r="BS317"/>
  <c r="BT317"/>
  <c r="BU317"/>
  <c r="BV317"/>
  <c r="BW317"/>
  <c r="BX317"/>
  <c r="BY317"/>
  <c r="BZ317"/>
  <c r="CA317"/>
  <c r="CB317"/>
  <c r="CC317"/>
  <c r="CD317"/>
  <c r="CG317"/>
  <c r="CH317"/>
  <c r="CI317"/>
  <c r="CJ317"/>
  <c r="CK317"/>
  <c r="CL317"/>
  <c r="CM317"/>
  <c r="CN317"/>
  <c r="CO317"/>
  <c r="CP317"/>
  <c r="CQ317"/>
  <c r="CR317"/>
  <c r="CS317"/>
  <c r="CT317"/>
  <c r="CU317"/>
  <c r="CV317"/>
  <c r="CW317"/>
  <c r="CX317"/>
  <c r="CY317"/>
  <c r="CZ317"/>
  <c r="BC319"/>
  <c r="BD319"/>
  <c r="BE319"/>
  <c r="BF319"/>
  <c r="BG319"/>
  <c r="BH319"/>
  <c r="BI319"/>
  <c r="BJ319"/>
  <c r="BK319"/>
  <c r="BL319"/>
  <c r="BM319"/>
  <c r="BN319"/>
  <c r="BO319"/>
  <c r="BP319"/>
  <c r="BQ319"/>
  <c r="BR319"/>
  <c r="BS319"/>
  <c r="BT319"/>
  <c r="BU319"/>
  <c r="BV319"/>
  <c r="BW319"/>
  <c r="BX319"/>
  <c r="BY319"/>
  <c r="BZ319"/>
  <c r="CA319"/>
  <c r="CB319"/>
  <c r="CC319"/>
  <c r="CD319"/>
  <c r="CG319"/>
  <c r="CH319"/>
  <c r="CI319"/>
  <c r="CJ319"/>
  <c r="CK319"/>
  <c r="CL319"/>
  <c r="CM319"/>
  <c r="CN319"/>
  <c r="CO319"/>
  <c r="CP319"/>
  <c r="CQ319"/>
  <c r="CR319"/>
  <c r="CS319"/>
  <c r="CT319"/>
  <c r="CU319"/>
  <c r="CV319"/>
  <c r="CW319"/>
  <c r="CX319"/>
  <c r="CY319"/>
  <c r="CZ319"/>
  <c r="BC320"/>
  <c r="BD320"/>
  <c r="BE320"/>
  <c r="BF320"/>
  <c r="BG320"/>
  <c r="BH320"/>
  <c r="BI320"/>
  <c r="BJ320"/>
  <c r="BK320"/>
  <c r="BL320"/>
  <c r="BM320"/>
  <c r="BN320"/>
  <c r="BO320"/>
  <c r="BP320"/>
  <c r="BQ320"/>
  <c r="BR320"/>
  <c r="BS320"/>
  <c r="BT320"/>
  <c r="BU320"/>
  <c r="BV320"/>
  <c r="BW320"/>
  <c r="BX320"/>
  <c r="BY320"/>
  <c r="BZ320"/>
  <c r="CA320"/>
  <c r="CB320"/>
  <c r="CC320"/>
  <c r="CD320"/>
  <c r="CG320"/>
  <c r="CH320"/>
  <c r="CI320"/>
  <c r="CJ320"/>
  <c r="CK320"/>
  <c r="CL320"/>
  <c r="CM320"/>
  <c r="CN320"/>
  <c r="CO320"/>
  <c r="CP320"/>
  <c r="CQ320"/>
  <c r="CR320"/>
  <c r="CS320"/>
  <c r="CT320"/>
  <c r="CU320"/>
  <c r="CV320"/>
  <c r="CW320"/>
  <c r="CX320"/>
  <c r="CY320"/>
  <c r="CZ320"/>
  <c r="BE321"/>
  <c r="BF321"/>
  <c r="BG321"/>
  <c r="BH321"/>
  <c r="BI321"/>
  <c r="BJ321"/>
  <c r="BK321"/>
  <c r="BL321"/>
  <c r="BM321"/>
  <c r="BN321"/>
  <c r="BO321"/>
  <c r="BP321"/>
  <c r="BQ321"/>
  <c r="BR321"/>
  <c r="BS321"/>
  <c r="BT321"/>
  <c r="BU321"/>
  <c r="BV321"/>
  <c r="BW321"/>
  <c r="BX321"/>
  <c r="BY321"/>
  <c r="BZ321"/>
  <c r="CA321"/>
  <c r="CB321"/>
  <c r="CC321"/>
  <c r="CD321"/>
  <c r="CG321"/>
  <c r="CH321"/>
  <c r="CI321"/>
  <c r="CJ321"/>
  <c r="CK321"/>
  <c r="CL321"/>
  <c r="CM321"/>
  <c r="CN321"/>
  <c r="CO321"/>
  <c r="CP321"/>
  <c r="CQ321"/>
  <c r="CR321"/>
  <c r="CS321"/>
  <c r="CT321"/>
  <c r="CU321"/>
  <c r="CV321"/>
  <c r="CW321"/>
  <c r="CX321"/>
  <c r="CY321"/>
  <c r="CZ321"/>
  <c r="BP322"/>
  <c r="BQ322"/>
  <c r="BR322"/>
  <c r="BS322"/>
  <c r="BT322"/>
  <c r="BU322"/>
  <c r="BV322"/>
  <c r="BW322"/>
  <c r="BX322"/>
  <c r="BY322"/>
  <c r="BZ322"/>
  <c r="CA322"/>
  <c r="CB322"/>
  <c r="CC322"/>
  <c r="CD322"/>
  <c r="CL322"/>
  <c r="CM322"/>
  <c r="CN322"/>
  <c r="CO322"/>
  <c r="CP322"/>
  <c r="CQ322"/>
  <c r="CR322"/>
  <c r="CS322"/>
  <c r="CT322"/>
  <c r="CU322"/>
  <c r="CV322"/>
  <c r="CW322"/>
  <c r="CX322"/>
  <c r="CY322"/>
  <c r="CZ322"/>
  <c r="BC323"/>
  <c r="BD323"/>
  <c r="BE323"/>
  <c r="BF323"/>
  <c r="BG323"/>
  <c r="BH323"/>
  <c r="BI323"/>
  <c r="BJ323"/>
  <c r="BK323"/>
  <c r="BL323"/>
  <c r="BM323"/>
  <c r="BN323"/>
  <c r="BO323"/>
  <c r="BP323"/>
  <c r="BQ323"/>
  <c r="BR323"/>
  <c r="BS323"/>
  <c r="BT323"/>
  <c r="BU323"/>
  <c r="BV323"/>
  <c r="BW323"/>
  <c r="BX323"/>
  <c r="BY323"/>
  <c r="BZ323"/>
  <c r="CA323"/>
  <c r="CB323"/>
  <c r="CC323"/>
  <c r="CD323"/>
  <c r="CG323"/>
  <c r="CH323"/>
  <c r="CI323"/>
  <c r="CJ323"/>
  <c r="CK323"/>
  <c r="CL323"/>
  <c r="CM323"/>
  <c r="CN323"/>
  <c r="CO323"/>
  <c r="CP323"/>
  <c r="CQ323"/>
  <c r="CR323"/>
  <c r="CS323"/>
  <c r="CT323"/>
  <c r="CU323"/>
  <c r="CV323"/>
  <c r="CW323"/>
  <c r="CX323"/>
  <c r="CY323"/>
  <c r="CZ323"/>
  <c r="BC324"/>
  <c r="BD324"/>
  <c r="BE324"/>
  <c r="BF324"/>
  <c r="BG324"/>
  <c r="BH324"/>
  <c r="BI324"/>
  <c r="BJ324"/>
  <c r="BK324"/>
  <c r="BL324"/>
  <c r="BM324"/>
  <c r="BN324"/>
  <c r="BO324"/>
  <c r="BP324"/>
  <c r="BQ324"/>
  <c r="BR324"/>
  <c r="BS324"/>
  <c r="BT324"/>
  <c r="BU324"/>
  <c r="BV324"/>
  <c r="BW324"/>
  <c r="BX324"/>
  <c r="BY324"/>
  <c r="BZ324"/>
  <c r="CA324"/>
  <c r="CB324"/>
  <c r="CC324"/>
  <c r="CD324"/>
  <c r="CG324"/>
  <c r="CH324"/>
  <c r="CI324"/>
  <c r="CJ324"/>
  <c r="CK324"/>
  <c r="CL324"/>
  <c r="CM324"/>
  <c r="CN324"/>
  <c r="CO324"/>
  <c r="CP324"/>
  <c r="CQ324"/>
  <c r="CR324"/>
  <c r="CS324"/>
  <c r="CT324"/>
  <c r="CU324"/>
  <c r="CV324"/>
  <c r="CW324"/>
  <c r="CX324"/>
  <c r="CY324"/>
  <c r="CZ324"/>
  <c r="BP327"/>
  <c r="BQ327"/>
  <c r="BR327"/>
  <c r="BS327"/>
  <c r="BT327"/>
  <c r="BU327"/>
  <c r="BV327"/>
  <c r="BW327"/>
  <c r="BX327"/>
  <c r="BY327"/>
  <c r="BZ327"/>
  <c r="CA327"/>
  <c r="CB327"/>
  <c r="CC327"/>
  <c r="CD327"/>
  <c r="CL327"/>
  <c r="CM327"/>
  <c r="CN327"/>
  <c r="CO327"/>
  <c r="CP327"/>
  <c r="CQ327"/>
  <c r="CR327"/>
  <c r="CS327"/>
  <c r="CT327"/>
  <c r="CU327"/>
  <c r="CV327"/>
  <c r="CW327"/>
  <c r="CX327"/>
  <c r="CY327"/>
  <c r="CZ327"/>
  <c r="BE328"/>
  <c r="BF328"/>
  <c r="BG328"/>
  <c r="BH328"/>
  <c r="BI328"/>
  <c r="BJ328"/>
  <c r="BK328"/>
  <c r="BL328"/>
  <c r="BM328"/>
  <c r="BN328"/>
  <c r="BO328"/>
  <c r="BP328"/>
  <c r="BQ328"/>
  <c r="BR328"/>
  <c r="BS328"/>
  <c r="BT328"/>
  <c r="BU328"/>
  <c r="BV328"/>
  <c r="BW328"/>
  <c r="BX328"/>
  <c r="BY328"/>
  <c r="BZ328"/>
  <c r="CA328"/>
  <c r="CB328"/>
  <c r="CC328"/>
  <c r="CD328"/>
  <c r="CG328"/>
  <c r="CH328"/>
  <c r="CI328"/>
  <c r="CJ328"/>
  <c r="CK328"/>
  <c r="CL328"/>
  <c r="CM328"/>
  <c r="CN328"/>
  <c r="CO328"/>
  <c r="CP328"/>
  <c r="CQ328"/>
  <c r="CR328"/>
  <c r="CS328"/>
  <c r="CT328"/>
  <c r="CU328"/>
  <c r="CV328"/>
  <c r="CW328"/>
  <c r="CX328"/>
  <c r="CY328"/>
  <c r="CZ328"/>
  <c r="BH329"/>
  <c r="BI329"/>
  <c r="BJ329"/>
  <c r="BK329"/>
  <c r="BL329"/>
  <c r="BM329"/>
  <c r="BN329"/>
  <c r="BO329"/>
  <c r="BP329"/>
  <c r="BQ329"/>
  <c r="BR329"/>
  <c r="BS329"/>
  <c r="BT329"/>
  <c r="BU329"/>
  <c r="BV329"/>
  <c r="BW329"/>
  <c r="BX329"/>
  <c r="BY329"/>
  <c r="BZ329"/>
  <c r="CA329"/>
  <c r="CB329"/>
  <c r="CC329"/>
  <c r="CD329"/>
  <c r="CG329"/>
  <c r="CH329"/>
  <c r="CI329"/>
  <c r="CJ329"/>
  <c r="CK329"/>
  <c r="CL329"/>
  <c r="CM329"/>
  <c r="CN329"/>
  <c r="CO329"/>
  <c r="CP329"/>
  <c r="CQ329"/>
  <c r="CR329"/>
  <c r="CS329"/>
  <c r="CT329"/>
  <c r="CU329"/>
  <c r="CV329"/>
  <c r="CW329"/>
  <c r="CX329"/>
  <c r="CY329"/>
  <c r="CZ329"/>
  <c r="BP331"/>
  <c r="BQ331"/>
  <c r="BR331"/>
  <c r="BS331"/>
  <c r="BT331"/>
  <c r="BU331"/>
  <c r="BV331"/>
  <c r="BW331"/>
  <c r="BX331"/>
  <c r="BY331"/>
  <c r="BZ331"/>
  <c r="CA331"/>
  <c r="CB331"/>
  <c r="CC331"/>
  <c r="CD331"/>
  <c r="CL331"/>
  <c r="CM331"/>
  <c r="CN331"/>
  <c r="CO331"/>
  <c r="CP331"/>
  <c r="CQ331"/>
  <c r="CR331"/>
  <c r="CS331"/>
  <c r="CT331"/>
  <c r="CU331"/>
  <c r="CV331"/>
  <c r="CW331"/>
  <c r="CX331"/>
  <c r="CY331"/>
  <c r="CZ331"/>
  <c r="BP332"/>
  <c r="BQ332"/>
  <c r="BR332"/>
  <c r="BS332"/>
  <c r="BT332"/>
  <c r="BU332"/>
  <c r="BV332"/>
  <c r="BW332"/>
  <c r="BX332"/>
  <c r="BY332"/>
  <c r="BZ332"/>
  <c r="CA332"/>
  <c r="CB332"/>
  <c r="CC332"/>
  <c r="CD332"/>
  <c r="CL332"/>
  <c r="CM332"/>
  <c r="CN332"/>
  <c r="CO332"/>
  <c r="CP332"/>
  <c r="CQ332"/>
  <c r="CR332"/>
  <c r="CS332"/>
  <c r="CT332"/>
  <c r="CU332"/>
  <c r="CV332"/>
  <c r="CW332"/>
  <c r="CX332"/>
  <c r="CY332"/>
  <c r="CZ332"/>
  <c r="BC335"/>
  <c r="BD335"/>
  <c r="BE335"/>
  <c r="BF335"/>
  <c r="BG335"/>
  <c r="BH335"/>
  <c r="BI335"/>
  <c r="BJ335"/>
  <c r="BK335"/>
  <c r="BL335"/>
  <c r="BM335"/>
  <c r="BN335"/>
  <c r="BO335"/>
  <c r="BP335"/>
  <c r="BQ335"/>
  <c r="BR335"/>
  <c r="BS335"/>
  <c r="BT335"/>
  <c r="BU335"/>
  <c r="BV335"/>
  <c r="BW335"/>
  <c r="BX335"/>
  <c r="BY335"/>
  <c r="BZ335"/>
  <c r="CA335"/>
  <c r="CB335"/>
  <c r="CC335"/>
  <c r="CD335"/>
  <c r="CG335"/>
  <c r="CH335"/>
  <c r="CI335"/>
  <c r="CJ335"/>
  <c r="CK335"/>
  <c r="CL335"/>
  <c r="CM335"/>
  <c r="CN335"/>
  <c r="CO335"/>
  <c r="CP335"/>
  <c r="CQ335"/>
  <c r="CR335"/>
  <c r="CS335"/>
  <c r="CT335"/>
  <c r="CU335"/>
  <c r="CV335"/>
  <c r="CW335"/>
  <c r="CX335"/>
  <c r="CY335"/>
  <c r="CZ335"/>
  <c r="BC336"/>
  <c r="BD336"/>
  <c r="BE336"/>
  <c r="BF336"/>
  <c r="BG336"/>
  <c r="BH336"/>
  <c r="BI336"/>
  <c r="BJ336"/>
  <c r="BK336"/>
  <c r="BL336"/>
  <c r="BM336"/>
  <c r="BN336"/>
  <c r="BO336"/>
  <c r="BP336"/>
  <c r="BQ336"/>
  <c r="BR336"/>
  <c r="BS336"/>
  <c r="BT336"/>
  <c r="BU336"/>
  <c r="BV336"/>
  <c r="BW336"/>
  <c r="BX336"/>
  <c r="BY336"/>
  <c r="BZ336"/>
  <c r="CA336"/>
  <c r="CB336"/>
  <c r="CC336"/>
  <c r="CD336"/>
  <c r="CG336"/>
  <c r="CH336"/>
  <c r="CI336"/>
  <c r="CJ336"/>
  <c r="CK336"/>
  <c r="CL336"/>
  <c r="CM336"/>
  <c r="CN336"/>
  <c r="CO336"/>
  <c r="CP336"/>
  <c r="CQ336"/>
  <c r="CR336"/>
  <c r="CS336"/>
  <c r="CT336"/>
  <c r="CU336"/>
  <c r="CV336"/>
  <c r="CW336"/>
  <c r="CX336"/>
  <c r="CY336"/>
  <c r="CZ336"/>
  <c r="BC337"/>
  <c r="BD337"/>
  <c r="BE337"/>
  <c r="BF337"/>
  <c r="BG337"/>
  <c r="BH337"/>
  <c r="BI337"/>
  <c r="BJ337"/>
  <c r="BK337"/>
  <c r="BL337"/>
  <c r="BM337"/>
  <c r="BN337"/>
  <c r="BO337"/>
  <c r="BP337"/>
  <c r="BQ337"/>
  <c r="BR337"/>
  <c r="BS337"/>
  <c r="BT337"/>
  <c r="BU337"/>
  <c r="BV337"/>
  <c r="BW337"/>
  <c r="BX337"/>
  <c r="BY337"/>
  <c r="BZ337"/>
  <c r="CA337"/>
  <c r="CB337"/>
  <c r="CC337"/>
  <c r="CD337"/>
  <c r="CG337"/>
  <c r="CH337"/>
  <c r="CI337"/>
  <c r="CJ337"/>
  <c r="CK337"/>
  <c r="CL337"/>
  <c r="CM337"/>
  <c r="CN337"/>
  <c r="CO337"/>
  <c r="CP337"/>
  <c r="CQ337"/>
  <c r="CR337"/>
  <c r="CS337"/>
  <c r="CT337"/>
  <c r="CU337"/>
  <c r="CV337"/>
  <c r="CW337"/>
  <c r="CX337"/>
  <c r="CY337"/>
  <c r="CZ337"/>
  <c r="BC338"/>
  <c r="BD338"/>
  <c r="BE338"/>
  <c r="BF338"/>
  <c r="BG338"/>
  <c r="BH338"/>
  <c r="BI338"/>
  <c r="BJ338"/>
  <c r="BK338"/>
  <c r="BL338"/>
  <c r="BM338"/>
  <c r="BN338"/>
  <c r="BO338"/>
  <c r="BP338"/>
  <c r="BQ338"/>
  <c r="BR338"/>
  <c r="BS338"/>
  <c r="BT338"/>
  <c r="BU338"/>
  <c r="BV338"/>
  <c r="BW338"/>
  <c r="BX338"/>
  <c r="BY338"/>
  <c r="BZ338"/>
  <c r="CA338"/>
  <c r="CB338"/>
  <c r="CC338"/>
  <c r="CD338"/>
  <c r="CG338"/>
  <c r="CH338"/>
  <c r="CI338"/>
  <c r="CJ338"/>
  <c r="CK338"/>
  <c r="CL338"/>
  <c r="CM338"/>
  <c r="CN338"/>
  <c r="CO338"/>
  <c r="CP338"/>
  <c r="CQ338"/>
  <c r="CR338"/>
  <c r="CS338"/>
  <c r="CT338"/>
  <c r="CU338"/>
  <c r="CV338"/>
  <c r="CW338"/>
  <c r="CX338"/>
  <c r="CY338"/>
  <c r="CZ338"/>
  <c r="BC339"/>
  <c r="BD339"/>
  <c r="BE339"/>
  <c r="BF339"/>
  <c r="BG339"/>
  <c r="BH339"/>
  <c r="BI339"/>
  <c r="BJ339"/>
  <c r="BK339"/>
  <c r="BL339"/>
  <c r="BM339"/>
  <c r="BN339"/>
  <c r="BO339"/>
  <c r="BP339"/>
  <c r="BQ339"/>
  <c r="BR339"/>
  <c r="BS339"/>
  <c r="BT339"/>
  <c r="BU339"/>
  <c r="BV339"/>
  <c r="BW339"/>
  <c r="BX339"/>
  <c r="BY339"/>
  <c r="BZ339"/>
  <c r="CA339"/>
  <c r="CB339"/>
  <c r="CC339"/>
  <c r="CD339"/>
  <c r="CG339"/>
  <c r="CH339"/>
  <c r="CI339"/>
  <c r="CJ339"/>
  <c r="CK339"/>
  <c r="CL339"/>
  <c r="CM339"/>
  <c r="CN339"/>
  <c r="CO339"/>
  <c r="CP339"/>
  <c r="CQ339"/>
  <c r="CR339"/>
  <c r="CS339"/>
  <c r="CT339"/>
  <c r="CU339"/>
  <c r="CV339"/>
  <c r="CW339"/>
  <c r="CX339"/>
  <c r="CY339"/>
  <c r="CZ339"/>
  <c r="BE340"/>
  <c r="BF340"/>
  <c r="BG340"/>
  <c r="BH340"/>
  <c r="BI340"/>
  <c r="BJ340"/>
  <c r="BK340"/>
  <c r="BL340"/>
  <c r="BM340"/>
  <c r="BN340"/>
  <c r="BO340"/>
  <c r="BP340"/>
  <c r="BQ340"/>
  <c r="BR340"/>
  <c r="BS340"/>
  <c r="BT340"/>
  <c r="BU340"/>
  <c r="BV340"/>
  <c r="BW340"/>
  <c r="BX340"/>
  <c r="BY340"/>
  <c r="BZ340"/>
  <c r="CA340"/>
  <c r="CB340"/>
  <c r="CC340"/>
  <c r="CD340"/>
  <c r="CG340"/>
  <c r="CH340"/>
  <c r="CI340"/>
  <c r="CJ340"/>
  <c r="CK340"/>
  <c r="CL340"/>
  <c r="CM340"/>
  <c r="CN340"/>
  <c r="CO340"/>
  <c r="CP340"/>
  <c r="CQ340"/>
  <c r="CR340"/>
  <c r="CS340"/>
  <c r="CT340"/>
  <c r="CU340"/>
  <c r="CV340"/>
  <c r="CW340"/>
  <c r="CX340"/>
  <c r="CY340"/>
  <c r="CZ340"/>
  <c r="BE341"/>
  <c r="BF341"/>
  <c r="BG341"/>
  <c r="BH341"/>
  <c r="BI341"/>
  <c r="BJ341"/>
  <c r="BK341"/>
  <c r="BL341"/>
  <c r="BM341"/>
  <c r="BN341"/>
  <c r="BO341"/>
  <c r="BP341"/>
  <c r="BQ341"/>
  <c r="BR341"/>
  <c r="BS341"/>
  <c r="BT341"/>
  <c r="BU341"/>
  <c r="BV341"/>
  <c r="BW341"/>
  <c r="BX341"/>
  <c r="BY341"/>
  <c r="BZ341"/>
  <c r="CA341"/>
  <c r="CB341"/>
  <c r="CC341"/>
  <c r="CD341"/>
  <c r="CG341"/>
  <c r="CH341"/>
  <c r="CI341"/>
  <c r="CJ341"/>
  <c r="CK341"/>
  <c r="CL341"/>
  <c r="CM341"/>
  <c r="CN341"/>
  <c r="CO341"/>
  <c r="CP341"/>
  <c r="CQ341"/>
  <c r="CR341"/>
  <c r="CS341"/>
  <c r="CT341"/>
  <c r="CU341"/>
  <c r="CV341"/>
  <c r="CW341"/>
  <c r="CX341"/>
  <c r="CY341"/>
  <c r="CZ341"/>
  <c r="BE342"/>
  <c r="BF342"/>
  <c r="BG342"/>
  <c r="BH342"/>
  <c r="BI342"/>
  <c r="BJ342"/>
  <c r="BK342"/>
  <c r="BL342"/>
  <c r="BM342"/>
  <c r="BN342"/>
  <c r="BO342"/>
  <c r="BP342"/>
  <c r="BQ342"/>
  <c r="BR342"/>
  <c r="BS342"/>
  <c r="BT342"/>
  <c r="BU342"/>
  <c r="BV342"/>
  <c r="BW342"/>
  <c r="BX342"/>
  <c r="BY342"/>
  <c r="BZ342"/>
  <c r="CA342"/>
  <c r="CB342"/>
  <c r="CC342"/>
  <c r="CD342"/>
  <c r="CG342"/>
  <c r="CH342"/>
  <c r="CI342"/>
  <c r="CJ342"/>
  <c r="CK342"/>
  <c r="CL342"/>
  <c r="CM342"/>
  <c r="CN342"/>
  <c r="CO342"/>
  <c r="CP342"/>
  <c r="CQ342"/>
  <c r="CR342"/>
  <c r="CS342"/>
  <c r="CT342"/>
  <c r="CU342"/>
  <c r="CV342"/>
  <c r="CW342"/>
  <c r="CX342"/>
  <c r="CY342"/>
  <c r="CZ342"/>
  <c r="BP347"/>
  <c r="BQ347"/>
  <c r="BR347"/>
  <c r="BS347"/>
  <c r="BT347"/>
  <c r="BU347"/>
  <c r="BV347"/>
  <c r="BW347"/>
  <c r="BX347"/>
  <c r="BY347"/>
  <c r="BZ347"/>
  <c r="CA347"/>
  <c r="CB347"/>
  <c r="CC347"/>
  <c r="CD347"/>
  <c r="CL347"/>
  <c r="CM347"/>
  <c r="CN347"/>
  <c r="CO347"/>
  <c r="CP347"/>
  <c r="CQ347"/>
  <c r="CR347"/>
  <c r="CS347"/>
  <c r="CT347"/>
  <c r="CU347"/>
  <c r="CV347"/>
  <c r="CW347"/>
  <c r="CX347"/>
  <c r="CY347"/>
  <c r="CZ347"/>
  <c r="BP349"/>
  <c r="BQ349"/>
  <c r="BR349"/>
  <c r="BS349"/>
  <c r="BT349"/>
  <c r="BU349"/>
  <c r="BV349"/>
  <c r="BW349"/>
  <c r="BX349"/>
  <c r="BY349"/>
  <c r="BZ349"/>
  <c r="CA349"/>
  <c r="CB349"/>
  <c r="CC349"/>
  <c r="CD349"/>
  <c r="CL349"/>
  <c r="CM349"/>
  <c r="CN349"/>
  <c r="CO349"/>
  <c r="CP349"/>
  <c r="CQ349"/>
  <c r="CR349"/>
  <c r="CS349"/>
  <c r="CT349"/>
  <c r="CU349"/>
  <c r="CV349"/>
  <c r="CW349"/>
  <c r="CX349"/>
  <c r="CY349"/>
  <c r="CZ349"/>
  <c r="BP350"/>
  <c r="BQ350"/>
  <c r="BR350"/>
  <c r="BS350"/>
  <c r="BT350"/>
  <c r="BU350"/>
  <c r="BV350"/>
  <c r="BW350"/>
  <c r="BX350"/>
  <c r="BY350"/>
  <c r="BZ350"/>
  <c r="CA350"/>
  <c r="CB350"/>
  <c r="CC350"/>
  <c r="CD350"/>
  <c r="CL350"/>
  <c r="CM350"/>
  <c r="CN350"/>
  <c r="CO350"/>
  <c r="CP350"/>
  <c r="CQ350"/>
  <c r="CR350"/>
  <c r="CS350"/>
  <c r="CT350"/>
  <c r="CU350"/>
  <c r="CV350"/>
  <c r="CW350"/>
  <c r="CX350"/>
  <c r="CY350"/>
  <c r="CZ350"/>
  <c r="BP352"/>
  <c r="BQ352"/>
  <c r="BR352"/>
  <c r="BS352"/>
  <c r="BT352"/>
  <c r="BU352"/>
  <c r="BV352"/>
  <c r="BW352"/>
  <c r="BX352"/>
  <c r="BY352"/>
  <c r="BZ352"/>
  <c r="CA352"/>
  <c r="CB352"/>
  <c r="CC352"/>
  <c r="CD352"/>
  <c r="CL352"/>
  <c r="CM352"/>
  <c r="CN352"/>
  <c r="CO352"/>
  <c r="CP352"/>
  <c r="CQ352"/>
  <c r="CR352"/>
  <c r="CS352"/>
  <c r="CT352"/>
  <c r="CU352"/>
  <c r="CV352"/>
  <c r="CW352"/>
  <c r="CX352"/>
  <c r="CY352"/>
  <c r="CZ352"/>
  <c r="BP353"/>
  <c r="BQ353"/>
  <c r="BR353"/>
  <c r="BS353"/>
  <c r="BT353"/>
  <c r="BU353"/>
  <c r="BV353"/>
  <c r="BW353"/>
  <c r="BX353"/>
  <c r="BY353"/>
  <c r="BZ353"/>
  <c r="CA353"/>
  <c r="CB353"/>
  <c r="CC353"/>
  <c r="CD353"/>
  <c r="CL353"/>
  <c r="CM353"/>
  <c r="CN353"/>
  <c r="CO353"/>
  <c r="CP353"/>
  <c r="CQ353"/>
  <c r="CR353"/>
  <c r="CS353"/>
  <c r="CT353"/>
  <c r="CU353"/>
  <c r="CV353"/>
  <c r="CW353"/>
  <c r="CX353"/>
  <c r="CY353"/>
  <c r="CZ353"/>
  <c r="BP354"/>
  <c r="BQ354"/>
  <c r="BR354"/>
  <c r="BS354"/>
  <c r="BT354"/>
  <c r="BU354"/>
  <c r="BV354"/>
  <c r="BW354"/>
  <c r="BX354"/>
  <c r="BY354"/>
  <c r="BZ354"/>
  <c r="CA354"/>
  <c r="CB354"/>
  <c r="CC354"/>
  <c r="CD354"/>
  <c r="CL354"/>
  <c r="CM354"/>
  <c r="CN354"/>
  <c r="CO354"/>
  <c r="CP354"/>
  <c r="CQ354"/>
  <c r="CR354"/>
  <c r="CS354"/>
  <c r="CT354"/>
  <c r="CU354"/>
  <c r="CV354"/>
  <c r="CW354"/>
  <c r="CX354"/>
  <c r="CY354"/>
  <c r="CZ354"/>
  <c r="BP355"/>
  <c r="BQ355"/>
  <c r="BR355"/>
  <c r="BS355"/>
  <c r="BT355"/>
  <c r="BU355"/>
  <c r="BV355"/>
  <c r="BW355"/>
  <c r="BX355"/>
  <c r="BY355"/>
  <c r="BZ355"/>
  <c r="CA355"/>
  <c r="CB355"/>
  <c r="CC355"/>
  <c r="CD355"/>
  <c r="CL355"/>
  <c r="CM355"/>
  <c r="CN355"/>
  <c r="CO355"/>
  <c r="CP355"/>
  <c r="CQ355"/>
  <c r="CR355"/>
  <c r="CS355"/>
  <c r="CT355"/>
  <c r="CU355"/>
  <c r="CV355"/>
  <c r="CW355"/>
  <c r="CX355"/>
  <c r="CY355"/>
  <c r="CZ355"/>
  <c r="BP356"/>
  <c r="BQ356"/>
  <c r="BR356"/>
  <c r="BS356"/>
  <c r="BT356"/>
  <c r="BU356"/>
  <c r="BV356"/>
  <c r="BW356"/>
  <c r="BX356"/>
  <c r="BY356"/>
  <c r="BZ356"/>
  <c r="CA356"/>
  <c r="CB356"/>
  <c r="CC356"/>
  <c r="CD356"/>
  <c r="CL356"/>
  <c r="CM356"/>
  <c r="CN356"/>
  <c r="CO356"/>
  <c r="CP356"/>
  <c r="CQ356"/>
  <c r="CR356"/>
  <c r="CS356"/>
  <c r="CT356"/>
  <c r="CU356"/>
  <c r="CV356"/>
  <c r="CW356"/>
  <c r="CX356"/>
  <c r="CY356"/>
  <c r="CZ356"/>
  <c r="BP357"/>
  <c r="BQ357"/>
  <c r="BR357"/>
  <c r="BS357"/>
  <c r="BT357"/>
  <c r="BU357"/>
  <c r="BV357"/>
  <c r="BW357"/>
  <c r="BX357"/>
  <c r="BY357"/>
  <c r="BZ357"/>
  <c r="CA357"/>
  <c r="CB357"/>
  <c r="CC357"/>
  <c r="CD357"/>
  <c r="CL357"/>
  <c r="CM357"/>
  <c r="CN357"/>
  <c r="CO357"/>
  <c r="CP357"/>
  <c r="CQ357"/>
  <c r="CR357"/>
  <c r="CS357"/>
  <c r="CT357"/>
  <c r="CU357"/>
  <c r="CV357"/>
  <c r="CW357"/>
  <c r="CX357"/>
  <c r="CY357"/>
  <c r="CZ357"/>
  <c r="BP359"/>
  <c r="BQ359"/>
  <c r="BR359"/>
  <c r="BS359"/>
  <c r="BT359"/>
  <c r="BU359"/>
  <c r="BV359"/>
  <c r="BW359"/>
  <c r="BX359"/>
  <c r="BY359"/>
  <c r="BZ359"/>
  <c r="CA359"/>
  <c r="CB359"/>
  <c r="CC359"/>
  <c r="CD359"/>
  <c r="CL359"/>
  <c r="CM359"/>
  <c r="CN359"/>
  <c r="CO359"/>
  <c r="CP359"/>
  <c r="CQ359"/>
  <c r="CR359"/>
  <c r="CS359"/>
  <c r="CT359"/>
  <c r="CU359"/>
  <c r="CV359"/>
  <c r="CW359"/>
  <c r="CX359"/>
  <c r="CY359"/>
  <c r="CZ359"/>
  <c r="BE361"/>
  <c r="BF361"/>
  <c r="BG361"/>
  <c r="BH361"/>
  <c r="BI361"/>
  <c r="BJ361"/>
  <c r="BK361"/>
  <c r="BL361"/>
  <c r="BM361"/>
  <c r="BO361"/>
  <c r="BP361"/>
  <c r="BQ361"/>
  <c r="BR361"/>
  <c r="BS361"/>
  <c r="BT361"/>
  <c r="BU361"/>
  <c r="BV361"/>
  <c r="BW361"/>
  <c r="BX361"/>
  <c r="BY361"/>
  <c r="BZ361"/>
  <c r="CA361"/>
  <c r="CB361"/>
  <c r="CC361"/>
  <c r="CD361"/>
  <c r="CG361"/>
  <c r="CH361"/>
  <c r="CI361"/>
  <c r="CK361"/>
  <c r="CL361"/>
  <c r="CM361"/>
  <c r="CN361"/>
  <c r="CO361"/>
  <c r="CP361"/>
  <c r="CQ361"/>
  <c r="CR361"/>
  <c r="CS361"/>
  <c r="CT361"/>
  <c r="CU361"/>
  <c r="CV361"/>
  <c r="CW361"/>
  <c r="CX361"/>
  <c r="CY361"/>
  <c r="CZ361"/>
  <c r="BO370"/>
  <c r="BP370"/>
  <c r="BQ370"/>
  <c r="BR370"/>
  <c r="BS370"/>
  <c r="BT370"/>
  <c r="BU370"/>
  <c r="BV370"/>
  <c r="BW370"/>
  <c r="BX370"/>
  <c r="BY370"/>
  <c r="BZ370"/>
  <c r="CA370"/>
  <c r="CB370"/>
  <c r="CC370"/>
  <c r="CD370"/>
  <c r="CK370"/>
  <c r="CL370"/>
  <c r="CM370"/>
  <c r="CN370"/>
  <c r="CO370"/>
  <c r="CP370"/>
  <c r="CQ370"/>
  <c r="CR370"/>
  <c r="CS370"/>
  <c r="CT370"/>
  <c r="CU370"/>
  <c r="CV370"/>
  <c r="CW370"/>
  <c r="CX370"/>
  <c r="CY370"/>
  <c r="CZ370"/>
  <c r="BO374"/>
  <c r="BP374"/>
  <c r="BQ374"/>
  <c r="BR374"/>
  <c r="BS374"/>
  <c r="BT374"/>
  <c r="BU374"/>
  <c r="BV374"/>
  <c r="BW374"/>
  <c r="BX374"/>
  <c r="BY374"/>
  <c r="BZ374"/>
  <c r="CA374"/>
  <c r="CB374"/>
  <c r="CC374"/>
  <c r="CD374"/>
  <c r="CK374"/>
  <c r="CL374"/>
  <c r="CM374"/>
  <c r="CN374"/>
  <c r="CO374"/>
  <c r="CP374"/>
  <c r="CQ374"/>
  <c r="CR374"/>
  <c r="CS374"/>
  <c r="CT374"/>
  <c r="CU374"/>
  <c r="CV374"/>
  <c r="CW374"/>
  <c r="CX374"/>
  <c r="CY374"/>
  <c r="CZ374"/>
  <c r="BO375"/>
  <c r="BP375"/>
  <c r="BQ375"/>
  <c r="BR375"/>
  <c r="BS375"/>
  <c r="BT375"/>
  <c r="BU375"/>
  <c r="BV375"/>
  <c r="BW375"/>
  <c r="BX375"/>
  <c r="BY375"/>
  <c r="BZ375"/>
  <c r="CA375"/>
  <c r="CB375"/>
  <c r="CC375"/>
  <c r="CD375"/>
  <c r="CK375"/>
  <c r="CL375"/>
  <c r="CM375"/>
  <c r="CN375"/>
  <c r="CO375"/>
  <c r="CP375"/>
  <c r="CQ375"/>
  <c r="CR375"/>
  <c r="CS375"/>
  <c r="CT375"/>
  <c r="CU375"/>
  <c r="CV375"/>
  <c r="CW375"/>
  <c r="CX375"/>
  <c r="CY375"/>
  <c r="CZ375"/>
  <c r="BO376"/>
  <c r="BP376"/>
  <c r="BQ376"/>
  <c r="BR376"/>
  <c r="BS376"/>
  <c r="BT376"/>
  <c r="BU376"/>
  <c r="BV376"/>
  <c r="BW376"/>
  <c r="BX376"/>
  <c r="BY376"/>
  <c r="BZ376"/>
  <c r="CA376"/>
  <c r="CB376"/>
  <c r="CC376"/>
  <c r="CD376"/>
  <c r="CK376"/>
  <c r="CL376"/>
  <c r="CM376"/>
  <c r="CN376"/>
  <c r="CO376"/>
  <c r="CP376"/>
  <c r="CQ376"/>
  <c r="CR376"/>
  <c r="CS376"/>
  <c r="CT376"/>
  <c r="CU376"/>
  <c r="CV376"/>
  <c r="CW376"/>
  <c r="CX376"/>
  <c r="CY376"/>
  <c r="CZ376"/>
  <c r="BC378"/>
  <c r="BD378"/>
  <c r="BE378"/>
  <c r="BF378"/>
  <c r="BG378"/>
  <c r="BH378"/>
  <c r="BI378"/>
  <c r="BJ378"/>
  <c r="BK378"/>
  <c r="BL378"/>
  <c r="BM378"/>
  <c r="BN378"/>
  <c r="BO378"/>
  <c r="BP378"/>
  <c r="BQ378"/>
  <c r="BR378"/>
  <c r="BS378"/>
  <c r="BT378"/>
  <c r="BU378"/>
  <c r="BV378"/>
  <c r="BW378"/>
  <c r="BX378"/>
  <c r="BY378"/>
  <c r="BZ378"/>
  <c r="CA378"/>
  <c r="CB378"/>
  <c r="CC378"/>
  <c r="CD378"/>
  <c r="CG378"/>
  <c r="CH378"/>
  <c r="CI378"/>
  <c r="CJ378"/>
  <c r="CK378"/>
  <c r="CL378"/>
  <c r="CM378"/>
  <c r="CN378"/>
  <c r="CO378"/>
  <c r="CP378"/>
  <c r="CQ378"/>
  <c r="CR378"/>
  <c r="CS378"/>
  <c r="CT378"/>
  <c r="CU378"/>
  <c r="CV378"/>
  <c r="CW378"/>
  <c r="CX378"/>
  <c r="CY378"/>
  <c r="CZ378"/>
  <c r="BC381"/>
  <c r="BD381"/>
  <c r="BE381"/>
  <c r="BF381"/>
  <c r="BG381"/>
  <c r="BH381"/>
  <c r="BI381"/>
  <c r="BJ381"/>
  <c r="BK381"/>
  <c r="BL381"/>
  <c r="BM381"/>
  <c r="BN381"/>
  <c r="BO381"/>
  <c r="BP381"/>
  <c r="BQ381"/>
  <c r="BR381"/>
  <c r="BS381"/>
  <c r="BT381"/>
  <c r="BU381"/>
  <c r="BV381"/>
  <c r="BW381"/>
  <c r="BX381"/>
  <c r="BY381"/>
  <c r="BZ381"/>
  <c r="CA381"/>
  <c r="CB381"/>
  <c r="CC381"/>
  <c r="CD381"/>
  <c r="CG381"/>
  <c r="CH381"/>
  <c r="CI381"/>
  <c r="CJ381"/>
  <c r="CK381"/>
  <c r="CL381"/>
  <c r="CM381"/>
  <c r="CN381"/>
  <c r="CO381"/>
  <c r="CP381"/>
  <c r="CQ381"/>
  <c r="CR381"/>
  <c r="CS381"/>
  <c r="CT381"/>
  <c r="CU381"/>
  <c r="CV381"/>
  <c r="CW381"/>
  <c r="CX381"/>
  <c r="CY381"/>
  <c r="CZ381"/>
  <c r="BP388"/>
  <c r="BQ388"/>
  <c r="BR388"/>
  <c r="BS388"/>
  <c r="BT388"/>
  <c r="BU388"/>
  <c r="BV388"/>
  <c r="BW388"/>
  <c r="BX388"/>
  <c r="BY388"/>
  <c r="BZ388"/>
  <c r="CA388"/>
  <c r="CB388"/>
  <c r="CC388"/>
  <c r="CD388"/>
  <c r="CE388"/>
  <c r="CL388"/>
  <c r="CM388"/>
  <c r="CN388"/>
  <c r="CO388"/>
  <c r="CP388"/>
  <c r="CQ388"/>
  <c r="CR388"/>
  <c r="CS388"/>
  <c r="CT388"/>
  <c r="CU388"/>
  <c r="CV388"/>
  <c r="CW388"/>
  <c r="CX388"/>
  <c r="CY388"/>
  <c r="CZ388"/>
  <c r="BC391"/>
  <c r="BD391"/>
  <c r="BE391"/>
  <c r="BF391"/>
  <c r="BG391"/>
  <c r="BH391"/>
  <c r="BI391"/>
  <c r="BJ391"/>
  <c r="BK391"/>
  <c r="BL391"/>
  <c r="BM391"/>
  <c r="BN391"/>
  <c r="BO391"/>
  <c r="BP391"/>
  <c r="BQ391"/>
  <c r="BR391"/>
  <c r="BS391"/>
  <c r="BT391"/>
  <c r="BU391"/>
  <c r="BV391"/>
  <c r="BW391"/>
  <c r="BX391"/>
  <c r="BY391"/>
  <c r="BZ391"/>
  <c r="CA391"/>
  <c r="CB391"/>
  <c r="CC391"/>
  <c r="CD391"/>
  <c r="CE391"/>
  <c r="CG391"/>
  <c r="CH391"/>
  <c r="CI391"/>
  <c r="CJ391"/>
  <c r="CK391"/>
  <c r="CL391"/>
  <c r="CM391"/>
  <c r="CN391"/>
  <c r="CO391"/>
  <c r="CP391"/>
  <c r="CQ391"/>
  <c r="CR391"/>
  <c r="CS391"/>
  <c r="CT391"/>
  <c r="CU391"/>
  <c r="CV391"/>
  <c r="CW391"/>
  <c r="CX391"/>
  <c r="CY391"/>
  <c r="CZ391"/>
  <c r="BC392"/>
  <c r="BD392"/>
  <c r="BE392"/>
  <c r="BF392"/>
  <c r="BG392"/>
  <c r="BH392"/>
  <c r="BI392"/>
  <c r="BJ392"/>
  <c r="BK392"/>
  <c r="BL392"/>
  <c r="BM392"/>
  <c r="BN392"/>
  <c r="BO392"/>
  <c r="BP392"/>
  <c r="BQ392"/>
  <c r="BR392"/>
  <c r="BS392"/>
  <c r="BT392"/>
  <c r="BU392"/>
  <c r="BV392"/>
  <c r="BW392"/>
  <c r="BX392"/>
  <c r="BY392"/>
  <c r="BZ392"/>
  <c r="CA392"/>
  <c r="CB392"/>
  <c r="CC392"/>
  <c r="CD392"/>
  <c r="CE392"/>
  <c r="CG392"/>
  <c r="CH392"/>
  <c r="CI392"/>
  <c r="CJ392"/>
  <c r="CK392"/>
  <c r="CL392"/>
  <c r="CM392"/>
  <c r="CN392"/>
  <c r="CO392"/>
  <c r="CP392"/>
  <c r="CQ392"/>
  <c r="CR392"/>
  <c r="CS392"/>
  <c r="CT392"/>
  <c r="CU392"/>
  <c r="CV392"/>
  <c r="CW392"/>
  <c r="CX392"/>
  <c r="CY392"/>
  <c r="CZ392"/>
  <c r="BC395"/>
  <c r="BD395"/>
  <c r="BE395"/>
  <c r="BF395"/>
  <c r="BG395"/>
  <c r="BH395"/>
  <c r="BI395"/>
  <c r="BJ395"/>
  <c r="BK395"/>
  <c r="BL395"/>
  <c r="BM395"/>
  <c r="BN395"/>
  <c r="BO395"/>
  <c r="BP395"/>
  <c r="BQ395"/>
  <c r="BR395"/>
  <c r="BS395"/>
  <c r="BT395"/>
  <c r="BU395"/>
  <c r="BV395"/>
  <c r="BW395"/>
  <c r="BX395"/>
  <c r="BY395"/>
  <c r="BZ395"/>
  <c r="CA395"/>
  <c r="CB395"/>
  <c r="CC395"/>
  <c r="CD395"/>
  <c r="CE395"/>
  <c r="CG395"/>
  <c r="CH395"/>
  <c r="CI395"/>
  <c r="CJ395"/>
  <c r="CK395"/>
  <c r="CL395"/>
  <c r="CM395"/>
  <c r="CN395"/>
  <c r="CO395"/>
  <c r="CP395"/>
  <c r="CQ395"/>
  <c r="CR395"/>
  <c r="CS395"/>
  <c r="CT395"/>
  <c r="CU395"/>
  <c r="CV395"/>
  <c r="CW395"/>
  <c r="CX395"/>
  <c r="CY395"/>
  <c r="CZ395"/>
  <c r="BC396"/>
  <c r="BD396"/>
  <c r="BE396"/>
  <c r="BF396"/>
  <c r="BG396"/>
  <c r="BH396"/>
  <c r="BI396"/>
  <c r="BJ396"/>
  <c r="BK396"/>
  <c r="BL396"/>
  <c r="BM396"/>
  <c r="BN396"/>
  <c r="BO396"/>
  <c r="BP396"/>
  <c r="BQ396"/>
  <c r="BR396"/>
  <c r="BS396"/>
  <c r="BT396"/>
  <c r="BU396"/>
  <c r="BV396"/>
  <c r="BW396"/>
  <c r="BX396"/>
  <c r="BY396"/>
  <c r="BZ396"/>
  <c r="CA396"/>
  <c r="CB396"/>
  <c r="CC396"/>
  <c r="CD396"/>
  <c r="CE396"/>
  <c r="CG396"/>
  <c r="CH396"/>
  <c r="CI396"/>
  <c r="CJ396"/>
  <c r="CK396"/>
  <c r="CL396"/>
  <c r="CM396"/>
  <c r="CN396"/>
  <c r="CO396"/>
  <c r="CP396"/>
  <c r="CQ396"/>
  <c r="CR396"/>
  <c r="CS396"/>
  <c r="CT396"/>
  <c r="CU396"/>
  <c r="CV396"/>
  <c r="CW396"/>
  <c r="CX396"/>
  <c r="CY396"/>
  <c r="CZ396"/>
  <c r="BC398"/>
  <c r="BD398"/>
  <c r="BE398"/>
  <c r="BF398"/>
  <c r="BG398"/>
  <c r="BH398"/>
  <c r="BI398"/>
  <c r="BJ398"/>
  <c r="BK398"/>
  <c r="BL398"/>
  <c r="BM398"/>
  <c r="BN398"/>
  <c r="BO398"/>
  <c r="BP398"/>
  <c r="BQ398"/>
  <c r="BR398"/>
  <c r="BS398"/>
  <c r="BT398"/>
  <c r="BU398"/>
  <c r="BV398"/>
  <c r="BW398"/>
  <c r="BX398"/>
  <c r="BY398"/>
  <c r="BZ398"/>
  <c r="CA398"/>
  <c r="CB398"/>
  <c r="CC398"/>
  <c r="CD398"/>
  <c r="CE398"/>
  <c r="CG398"/>
  <c r="CH398"/>
  <c r="CI398"/>
  <c r="CJ398"/>
  <c r="CK398"/>
  <c r="CL398"/>
  <c r="CM398"/>
  <c r="CN398"/>
  <c r="CO398"/>
  <c r="CP398"/>
  <c r="CQ398"/>
  <c r="CR398"/>
  <c r="CS398"/>
  <c r="CT398"/>
  <c r="CU398"/>
  <c r="CV398"/>
  <c r="CW398"/>
  <c r="CX398"/>
  <c r="CY398"/>
  <c r="CZ398"/>
  <c r="BE399"/>
  <c r="BF399"/>
  <c r="BG399"/>
  <c r="BH399"/>
  <c r="BI399"/>
  <c r="BJ399"/>
  <c r="BK399"/>
  <c r="BL399"/>
  <c r="BM399"/>
  <c r="BN399"/>
  <c r="BO399"/>
  <c r="BP399"/>
  <c r="BQ399"/>
  <c r="BR399"/>
  <c r="BS399"/>
  <c r="BT399"/>
  <c r="BU399"/>
  <c r="BV399"/>
  <c r="BW399"/>
  <c r="BX399"/>
  <c r="BY399"/>
  <c r="BZ399"/>
  <c r="CA399"/>
  <c r="CB399"/>
  <c r="CC399"/>
  <c r="CD399"/>
  <c r="CE399"/>
  <c r="CG399"/>
  <c r="CH399"/>
  <c r="CI399"/>
  <c r="CJ399"/>
  <c r="CK399"/>
  <c r="CL399"/>
  <c r="CM399"/>
  <c r="CN399"/>
  <c r="CO399"/>
  <c r="CP399"/>
  <c r="CQ399"/>
  <c r="CR399"/>
  <c r="CS399"/>
  <c r="CT399"/>
  <c r="CU399"/>
  <c r="CV399"/>
  <c r="CW399"/>
  <c r="CX399"/>
  <c r="CY399"/>
  <c r="CZ399"/>
  <c r="BP400"/>
  <c r="BQ400"/>
  <c r="BR400"/>
  <c r="BS400"/>
  <c r="BT400"/>
  <c r="BU400"/>
  <c r="BV400"/>
  <c r="BW400"/>
  <c r="BX400"/>
  <c r="BY400"/>
  <c r="BZ400"/>
  <c r="CA400"/>
  <c r="CB400"/>
  <c r="CC400"/>
  <c r="CD400"/>
  <c r="CE400"/>
  <c r="CL400"/>
  <c r="CM400"/>
  <c r="CN400"/>
  <c r="CO400"/>
  <c r="CP400"/>
  <c r="CQ400"/>
  <c r="CR400"/>
  <c r="CS400"/>
  <c r="CT400"/>
  <c r="CU400"/>
  <c r="CV400"/>
  <c r="CW400"/>
  <c r="CX400"/>
  <c r="CY400"/>
  <c r="CZ400"/>
  <c r="BC401"/>
  <c r="BD401"/>
  <c r="BE401"/>
  <c r="BF401"/>
  <c r="BG401"/>
  <c r="BH401"/>
  <c r="BI401"/>
  <c r="BJ401"/>
  <c r="BK401"/>
  <c r="BL401"/>
  <c r="BM401"/>
  <c r="BN401"/>
  <c r="BO401"/>
  <c r="BP401"/>
  <c r="BQ401"/>
  <c r="BR401"/>
  <c r="BS401"/>
  <c r="BT401"/>
  <c r="BU401"/>
  <c r="BV401"/>
  <c r="BW401"/>
  <c r="BX401"/>
  <c r="BY401"/>
  <c r="BZ401"/>
  <c r="CA401"/>
  <c r="CB401"/>
  <c r="CC401"/>
  <c r="CD401"/>
  <c r="CE401"/>
  <c r="CG401"/>
  <c r="CH401"/>
  <c r="CI401"/>
  <c r="CJ401"/>
  <c r="CK401"/>
  <c r="CL401"/>
  <c r="CM401"/>
  <c r="CN401"/>
  <c r="CO401"/>
  <c r="CP401"/>
  <c r="CQ401"/>
  <c r="CR401"/>
  <c r="CS401"/>
  <c r="CT401"/>
  <c r="CU401"/>
  <c r="CV401"/>
  <c r="CW401"/>
  <c r="CX401"/>
  <c r="CY401"/>
  <c r="CZ401"/>
  <c r="BC402"/>
  <c r="BD402"/>
  <c r="BE402"/>
  <c r="BF402"/>
  <c r="BG402"/>
  <c r="BH402"/>
  <c r="BI402"/>
  <c r="BJ402"/>
  <c r="BK402"/>
  <c r="BL402"/>
  <c r="BM402"/>
  <c r="BN402"/>
  <c r="BO402"/>
  <c r="BP402"/>
  <c r="BQ402"/>
  <c r="BR402"/>
  <c r="BS402"/>
  <c r="BT402"/>
  <c r="BU402"/>
  <c r="BV402"/>
  <c r="BW402"/>
  <c r="BX402"/>
  <c r="BY402"/>
  <c r="BZ402"/>
  <c r="CA402"/>
  <c r="CB402"/>
  <c r="CC402"/>
  <c r="CD402"/>
  <c r="CE402"/>
  <c r="CG402"/>
  <c r="CH402"/>
  <c r="CI402"/>
  <c r="CJ402"/>
  <c r="CK402"/>
  <c r="CL402"/>
  <c r="CM402"/>
  <c r="CN402"/>
  <c r="CO402"/>
  <c r="CP402"/>
  <c r="CQ402"/>
  <c r="CR402"/>
  <c r="CS402"/>
  <c r="CT402"/>
  <c r="CU402"/>
  <c r="CV402"/>
  <c r="CW402"/>
  <c r="CX402"/>
  <c r="CY402"/>
  <c r="CZ402"/>
  <c r="BP404"/>
  <c r="BQ404"/>
  <c r="BR404"/>
  <c r="BS404"/>
  <c r="BT404"/>
  <c r="BU404"/>
  <c r="BV404"/>
  <c r="BW404"/>
  <c r="BX404"/>
  <c r="BY404"/>
  <c r="BZ404"/>
  <c r="CA404"/>
  <c r="CB404"/>
  <c r="CC404"/>
  <c r="CD404"/>
  <c r="CE404"/>
  <c r="CL404"/>
  <c r="CM404"/>
  <c r="CN404"/>
  <c r="CO404"/>
  <c r="CP404"/>
  <c r="CQ404"/>
  <c r="CR404"/>
  <c r="CS404"/>
  <c r="CT404"/>
  <c r="CU404"/>
  <c r="CV404"/>
  <c r="CW404"/>
  <c r="CX404"/>
  <c r="CY404"/>
  <c r="CZ404"/>
  <c r="BO405"/>
  <c r="BP405"/>
  <c r="BQ405"/>
  <c r="BR405"/>
  <c r="BS405"/>
  <c r="BT405"/>
  <c r="BU405"/>
  <c r="BV405"/>
  <c r="BW405"/>
  <c r="BX405"/>
  <c r="BY405"/>
  <c r="BZ405"/>
  <c r="CA405"/>
  <c r="CB405"/>
  <c r="CC405"/>
  <c r="CD405"/>
  <c r="CE405"/>
  <c r="CK405"/>
  <c r="CL405"/>
  <c r="CM405"/>
  <c r="CN405"/>
  <c r="CO405"/>
  <c r="CP405"/>
  <c r="CQ405"/>
  <c r="CR405"/>
  <c r="CS405"/>
  <c r="CT405"/>
  <c r="CU405"/>
  <c r="CV405"/>
  <c r="CW405"/>
  <c r="CX405"/>
  <c r="CY405"/>
  <c r="CZ405"/>
  <c r="BE407"/>
  <c r="BF407"/>
  <c r="BG407"/>
  <c r="BH407"/>
  <c r="BI407"/>
  <c r="BJ407"/>
  <c r="BK407"/>
  <c r="BL407"/>
  <c r="BM407"/>
  <c r="BO407"/>
  <c r="BP407"/>
  <c r="BQ407"/>
  <c r="BR407"/>
  <c r="BS407"/>
  <c r="BT407"/>
  <c r="BU407"/>
  <c r="BV407"/>
  <c r="BW407"/>
  <c r="BX407"/>
  <c r="BY407"/>
  <c r="BZ407"/>
  <c r="CA407"/>
  <c r="CB407"/>
  <c r="CC407"/>
  <c r="CD407"/>
  <c r="CE407"/>
  <c r="CG407"/>
  <c r="CH407"/>
  <c r="CI407"/>
  <c r="CK407"/>
  <c r="CL407"/>
  <c r="CM407"/>
  <c r="CN407"/>
  <c r="CO407"/>
  <c r="CP407"/>
  <c r="CQ407"/>
  <c r="CR407"/>
  <c r="CS407"/>
  <c r="CT407"/>
  <c r="CU407"/>
  <c r="CV407"/>
  <c r="CW407"/>
  <c r="CX407"/>
  <c r="CY407"/>
  <c r="CZ407"/>
  <c r="BE408"/>
  <c r="BF408"/>
  <c r="BG408"/>
  <c r="BH408"/>
  <c r="BI408"/>
  <c r="BJ408"/>
  <c r="BK408"/>
  <c r="BL408"/>
  <c r="BM408"/>
  <c r="BO408"/>
  <c r="BP408"/>
  <c r="BQ408"/>
  <c r="BR408"/>
  <c r="BS408"/>
  <c r="BT408"/>
  <c r="BU408"/>
  <c r="BV408"/>
  <c r="BW408"/>
  <c r="BX408"/>
  <c r="BY408"/>
  <c r="BZ408"/>
  <c r="CA408"/>
  <c r="CB408"/>
  <c r="CC408"/>
  <c r="CD408"/>
  <c r="CE408"/>
  <c r="CG408"/>
  <c r="CH408"/>
  <c r="CI408"/>
  <c r="CK408"/>
  <c r="CL408"/>
  <c r="CM408"/>
  <c r="CN408"/>
  <c r="CO408"/>
  <c r="CP408"/>
  <c r="CQ408"/>
  <c r="CR408"/>
  <c r="CS408"/>
  <c r="CT408"/>
  <c r="CU408"/>
  <c r="CV408"/>
  <c r="CW408"/>
  <c r="CX408"/>
  <c r="CY408"/>
  <c r="CZ408"/>
  <c r="BO409"/>
  <c r="BP409"/>
  <c r="BQ409"/>
  <c r="BR409"/>
  <c r="BS409"/>
  <c r="BT409"/>
  <c r="BU409"/>
  <c r="BV409"/>
  <c r="BW409"/>
  <c r="BX409"/>
  <c r="BY409"/>
  <c r="BZ409"/>
  <c r="CA409"/>
  <c r="CB409"/>
  <c r="CC409"/>
  <c r="CD409"/>
  <c r="CE409"/>
  <c r="CK409"/>
  <c r="CL409"/>
  <c r="CM409"/>
  <c r="CN409"/>
  <c r="CO409"/>
  <c r="CP409"/>
  <c r="CQ409"/>
  <c r="CR409"/>
  <c r="CS409"/>
  <c r="CT409"/>
  <c r="CU409"/>
  <c r="CV409"/>
  <c r="CW409"/>
  <c r="CX409"/>
  <c r="CY409"/>
  <c r="CZ409"/>
  <c r="BP410"/>
  <c r="BQ410"/>
  <c r="BR410"/>
  <c r="BS410"/>
  <c r="BT410"/>
  <c r="BU410"/>
  <c r="BV410"/>
  <c r="BW410"/>
  <c r="BX410"/>
  <c r="BY410"/>
  <c r="BZ410"/>
  <c r="CA410"/>
  <c r="CB410"/>
  <c r="CC410"/>
  <c r="CD410"/>
  <c r="CE410"/>
  <c r="CL410"/>
  <c r="CM410"/>
  <c r="CN410"/>
  <c r="CO410"/>
  <c r="CP410"/>
  <c r="CQ410"/>
  <c r="CR410"/>
  <c r="CS410"/>
  <c r="CT410"/>
  <c r="CU410"/>
  <c r="CV410"/>
  <c r="CW410"/>
  <c r="CX410"/>
  <c r="CY410"/>
  <c r="CZ410"/>
  <c r="BC411"/>
  <c r="BD411"/>
  <c r="BE411"/>
  <c r="BF411"/>
  <c r="BG411"/>
  <c r="BH411"/>
  <c r="BI411"/>
  <c r="BJ411"/>
  <c r="BK411"/>
  <c r="BL411"/>
  <c r="BM411"/>
  <c r="BN411"/>
  <c r="BO411"/>
  <c r="BP411"/>
  <c r="BQ411"/>
  <c r="BR411"/>
  <c r="BS411"/>
  <c r="BT411"/>
  <c r="BU411"/>
  <c r="BV411"/>
  <c r="BW411"/>
  <c r="BX411"/>
  <c r="BY411"/>
  <c r="BZ411"/>
  <c r="CA411"/>
  <c r="CB411"/>
  <c r="CC411"/>
  <c r="CD411"/>
  <c r="CE411"/>
  <c r="CG411"/>
  <c r="CH411"/>
  <c r="CI411"/>
  <c r="CJ411"/>
  <c r="CK411"/>
  <c r="CL411"/>
  <c r="CM411"/>
  <c r="CN411"/>
  <c r="CO411"/>
  <c r="CP411"/>
  <c r="CQ411"/>
  <c r="CR411"/>
  <c r="CS411"/>
  <c r="CT411"/>
  <c r="CU411"/>
  <c r="CV411"/>
  <c r="CW411"/>
  <c r="CX411"/>
  <c r="CY411"/>
  <c r="CZ411"/>
  <c r="BC412"/>
  <c r="BD412"/>
  <c r="BE412"/>
  <c r="BF412"/>
  <c r="BG412"/>
  <c r="BH412"/>
  <c r="BI412"/>
  <c r="BJ412"/>
  <c r="BK412"/>
  <c r="BL412"/>
  <c r="BM412"/>
  <c r="BN412"/>
  <c r="BO412"/>
  <c r="BP412"/>
  <c r="BQ412"/>
  <c r="BR412"/>
  <c r="BS412"/>
  <c r="BT412"/>
  <c r="BU412"/>
  <c r="BV412"/>
  <c r="BW412"/>
  <c r="BX412"/>
  <c r="BY412"/>
  <c r="BZ412"/>
  <c r="CA412"/>
  <c r="CB412"/>
  <c r="CC412"/>
  <c r="CD412"/>
  <c r="CE412"/>
  <c r="CG412"/>
  <c r="CH412"/>
  <c r="CI412"/>
  <c r="CJ412"/>
  <c r="CK412"/>
  <c r="CL412"/>
  <c r="CM412"/>
  <c r="CN412"/>
  <c r="CO412"/>
  <c r="CP412"/>
  <c r="CQ412"/>
  <c r="CR412"/>
  <c r="CS412"/>
  <c r="CT412"/>
  <c r="CU412"/>
  <c r="CV412"/>
  <c r="CW412"/>
  <c r="CX412"/>
  <c r="CY412"/>
  <c r="CZ412"/>
  <c r="BC414"/>
  <c r="BD414"/>
  <c r="BE414"/>
  <c r="BF414"/>
  <c r="BG414"/>
  <c r="BH414"/>
  <c r="BI414"/>
  <c r="BJ414"/>
  <c r="BK414"/>
  <c r="BL414"/>
  <c r="BM414"/>
  <c r="BN414"/>
  <c r="BO414"/>
  <c r="BP414"/>
  <c r="BQ414"/>
  <c r="BR414"/>
  <c r="BS414"/>
  <c r="BT414"/>
  <c r="BU414"/>
  <c r="BV414"/>
  <c r="BW414"/>
  <c r="BX414"/>
  <c r="BY414"/>
  <c r="BZ414"/>
  <c r="CA414"/>
  <c r="CB414"/>
  <c r="CC414"/>
  <c r="CD414"/>
  <c r="CE414"/>
  <c r="CG414"/>
  <c r="CH414"/>
  <c r="CI414"/>
  <c r="CJ414"/>
  <c r="CK414"/>
  <c r="CL414"/>
  <c r="CM414"/>
  <c r="CN414"/>
  <c r="CO414"/>
  <c r="CP414"/>
  <c r="CQ414"/>
  <c r="CR414"/>
  <c r="CS414"/>
  <c r="CT414"/>
  <c r="CU414"/>
  <c r="CV414"/>
  <c r="CW414"/>
  <c r="CX414"/>
  <c r="CY414"/>
  <c r="CZ414"/>
  <c r="BP415"/>
  <c r="BQ415"/>
  <c r="BR415"/>
  <c r="BS415"/>
  <c r="BT415"/>
  <c r="BU415"/>
  <c r="BV415"/>
  <c r="BW415"/>
  <c r="BX415"/>
  <c r="BY415"/>
  <c r="BZ415"/>
  <c r="CA415"/>
  <c r="CB415"/>
  <c r="CC415"/>
  <c r="CD415"/>
  <c r="CE415"/>
  <c r="CL415"/>
  <c r="CM415"/>
  <c r="CN415"/>
  <c r="CO415"/>
  <c r="CP415"/>
  <c r="CQ415"/>
  <c r="CR415"/>
  <c r="CS415"/>
  <c r="CT415"/>
  <c r="CU415"/>
  <c r="CV415"/>
  <c r="CW415"/>
  <c r="CX415"/>
  <c r="CY415"/>
  <c r="CZ415"/>
  <c r="BE417"/>
  <c r="BF417"/>
  <c r="BG417"/>
  <c r="BH417"/>
  <c r="BI417"/>
  <c r="BJ417"/>
  <c r="BK417"/>
  <c r="BL417"/>
  <c r="BM417"/>
  <c r="BO417"/>
  <c r="BP417"/>
  <c r="BQ417"/>
  <c r="BR417"/>
  <c r="BS417"/>
  <c r="BT417"/>
  <c r="BU417"/>
  <c r="BV417"/>
  <c r="BW417"/>
  <c r="BX417"/>
  <c r="BY417"/>
  <c r="BZ417"/>
  <c r="CA417"/>
  <c r="CB417"/>
  <c r="CC417"/>
  <c r="CD417"/>
  <c r="CE417"/>
  <c r="CG417"/>
  <c r="CH417"/>
  <c r="CI417"/>
  <c r="CK417"/>
  <c r="CL417"/>
  <c r="CM417"/>
  <c r="CN417"/>
  <c r="CO417"/>
  <c r="CP417"/>
  <c r="CQ417"/>
  <c r="CR417"/>
  <c r="CS417"/>
  <c r="CT417"/>
  <c r="CU417"/>
  <c r="CV417"/>
  <c r="CW417"/>
  <c r="CX417"/>
  <c r="CY417"/>
  <c r="CZ417"/>
  <c r="BE418"/>
  <c r="BF418"/>
  <c r="BG418"/>
  <c r="BH418"/>
  <c r="BI418"/>
  <c r="BJ418"/>
  <c r="BK418"/>
  <c r="BL418"/>
  <c r="BM418"/>
  <c r="BO418"/>
  <c r="BP418"/>
  <c r="BQ418"/>
  <c r="BR418"/>
  <c r="BS418"/>
  <c r="BT418"/>
  <c r="BU418"/>
  <c r="BV418"/>
  <c r="BW418"/>
  <c r="BX418"/>
  <c r="BY418"/>
  <c r="BZ418"/>
  <c r="CA418"/>
  <c r="CB418"/>
  <c r="CC418"/>
  <c r="CD418"/>
  <c r="CE418"/>
  <c r="CG418"/>
  <c r="CH418"/>
  <c r="CI418"/>
  <c r="CK418"/>
  <c r="CL418"/>
  <c r="CM418"/>
  <c r="CN418"/>
  <c r="CO418"/>
  <c r="CP418"/>
  <c r="CQ418"/>
  <c r="CR418"/>
  <c r="CS418"/>
  <c r="CT418"/>
  <c r="CU418"/>
  <c r="CV418"/>
  <c r="CW418"/>
  <c r="CX418"/>
  <c r="CY418"/>
  <c r="CZ418"/>
  <c r="BE419"/>
  <c r="BF419"/>
  <c r="BG419"/>
  <c r="BH419"/>
  <c r="BI419"/>
  <c r="BJ419"/>
  <c r="BK419"/>
  <c r="BL419"/>
  <c r="BM419"/>
  <c r="BO419"/>
  <c r="BP419"/>
  <c r="BQ419"/>
  <c r="BR419"/>
  <c r="BS419"/>
  <c r="BT419"/>
  <c r="BU419"/>
  <c r="BV419"/>
  <c r="BW419"/>
  <c r="BX419"/>
  <c r="BY419"/>
  <c r="BZ419"/>
  <c r="CA419"/>
  <c r="CB419"/>
  <c r="CC419"/>
  <c r="CD419"/>
  <c r="CE419"/>
  <c r="CG419"/>
  <c r="CH419"/>
  <c r="CI419"/>
  <c r="CK419"/>
  <c r="CL419"/>
  <c r="CM419"/>
  <c r="CN419"/>
  <c r="CO419"/>
  <c r="CP419"/>
  <c r="CQ419"/>
  <c r="CR419"/>
  <c r="CS419"/>
  <c r="CT419"/>
  <c r="CU419"/>
  <c r="CV419"/>
  <c r="CW419"/>
  <c r="CX419"/>
  <c r="CY419"/>
  <c r="CZ419"/>
  <c r="BE420"/>
  <c r="BF420"/>
  <c r="BG420"/>
  <c r="BH420"/>
  <c r="BI420"/>
  <c r="BJ420"/>
  <c r="BK420"/>
  <c r="BL420"/>
  <c r="BM420"/>
  <c r="BN420"/>
  <c r="BO420"/>
  <c r="BP420"/>
  <c r="BQ420"/>
  <c r="BR420"/>
  <c r="BS420"/>
  <c r="BT420"/>
  <c r="BU420"/>
  <c r="BV420"/>
  <c r="BW420"/>
  <c r="BX420"/>
  <c r="BY420"/>
  <c r="BZ420"/>
  <c r="CA420"/>
  <c r="CB420"/>
  <c r="CC420"/>
  <c r="CD420"/>
  <c r="CE420"/>
  <c r="CG420"/>
  <c r="CH420"/>
  <c r="CI420"/>
  <c r="CJ420"/>
  <c r="CK420"/>
  <c r="CL420"/>
  <c r="CM420"/>
  <c r="CN420"/>
  <c r="CO420"/>
  <c r="CP420"/>
  <c r="CQ420"/>
  <c r="CR420"/>
  <c r="CS420"/>
  <c r="CT420"/>
  <c r="CU420"/>
  <c r="CV420"/>
  <c r="CW420"/>
  <c r="CX420"/>
  <c r="CY420"/>
  <c r="CZ420"/>
  <c r="BR421"/>
  <c r="BS421"/>
  <c r="BT421"/>
  <c r="BU421"/>
  <c r="BV421"/>
  <c r="BW421"/>
  <c r="BX421"/>
  <c r="BY421"/>
  <c r="BZ421"/>
  <c r="CA421"/>
  <c r="CB421"/>
  <c r="CC421"/>
  <c r="CD421"/>
  <c r="CE421"/>
  <c r="CN421"/>
  <c r="CO421"/>
  <c r="CP421"/>
  <c r="CQ421"/>
  <c r="CR421"/>
  <c r="CS421"/>
  <c r="CT421"/>
  <c r="CU421"/>
  <c r="CV421"/>
  <c r="CW421"/>
  <c r="CX421"/>
  <c r="CY421"/>
  <c r="CZ421"/>
  <c r="BP422"/>
  <c r="BQ422"/>
  <c r="BR422"/>
  <c r="BS422"/>
  <c r="BT422"/>
  <c r="BU422"/>
  <c r="BV422"/>
  <c r="BW422"/>
  <c r="BX422"/>
  <c r="BY422"/>
  <c r="BZ422"/>
  <c r="CA422"/>
  <c r="CB422"/>
  <c r="CC422"/>
  <c r="CD422"/>
  <c r="CE422"/>
  <c r="CL422"/>
  <c r="CM422"/>
  <c r="CN422"/>
  <c r="CO422"/>
  <c r="CP422"/>
  <c r="CQ422"/>
  <c r="CR422"/>
  <c r="CS422"/>
  <c r="CT422"/>
  <c r="CU422"/>
  <c r="CV422"/>
  <c r="CW422"/>
  <c r="CX422"/>
  <c r="CY422"/>
  <c r="CZ422"/>
  <c r="BP423"/>
  <c r="BQ423"/>
  <c r="BR423"/>
  <c r="BS423"/>
  <c r="BT423"/>
  <c r="BU423"/>
  <c r="BV423"/>
  <c r="BW423"/>
  <c r="BX423"/>
  <c r="BY423"/>
  <c r="BZ423"/>
  <c r="CA423"/>
  <c r="CB423"/>
  <c r="CC423"/>
  <c r="CD423"/>
  <c r="CE423"/>
  <c r="CL423"/>
  <c r="CM423"/>
  <c r="CN423"/>
  <c r="CO423"/>
  <c r="CP423"/>
  <c r="CQ423"/>
  <c r="CR423"/>
  <c r="CS423"/>
  <c r="CT423"/>
  <c r="CU423"/>
  <c r="CV423"/>
  <c r="CW423"/>
  <c r="CX423"/>
  <c r="CY423"/>
  <c r="CZ423"/>
  <c r="BP424"/>
  <c r="BQ424"/>
  <c r="BR424"/>
  <c r="BS424"/>
  <c r="BT424"/>
  <c r="BU424"/>
  <c r="BV424"/>
  <c r="BW424"/>
  <c r="BX424"/>
  <c r="BY424"/>
  <c r="BZ424"/>
  <c r="CA424"/>
  <c r="CB424"/>
  <c r="CC424"/>
  <c r="CD424"/>
  <c r="CE424"/>
  <c r="CL424"/>
  <c r="CM424"/>
  <c r="CN424"/>
  <c r="CO424"/>
  <c r="CP424"/>
  <c r="CQ424"/>
  <c r="CR424"/>
  <c r="CS424"/>
  <c r="CT424"/>
  <c r="CU424"/>
  <c r="CV424"/>
  <c r="CW424"/>
  <c r="CX424"/>
  <c r="CY424"/>
  <c r="CZ424"/>
  <c r="BP425"/>
  <c r="BQ425"/>
  <c r="BR425"/>
  <c r="BS425"/>
  <c r="BT425"/>
  <c r="BU425"/>
  <c r="BV425"/>
  <c r="BW425"/>
  <c r="BX425"/>
  <c r="BY425"/>
  <c r="BZ425"/>
  <c r="CA425"/>
  <c r="CB425"/>
  <c r="CC425"/>
  <c r="CD425"/>
  <c r="CE425"/>
  <c r="CL425"/>
  <c r="CM425"/>
  <c r="CN425"/>
  <c r="CO425"/>
  <c r="CP425"/>
  <c r="CQ425"/>
  <c r="CR425"/>
  <c r="CS425"/>
  <c r="CT425"/>
  <c r="CU425"/>
  <c r="CV425"/>
  <c r="CW425"/>
  <c r="CX425"/>
  <c r="CY425"/>
  <c r="CZ425"/>
  <c r="BP426"/>
  <c r="BQ426"/>
  <c r="BR426"/>
  <c r="BS426"/>
  <c r="BT426"/>
  <c r="BU426"/>
  <c r="BV426"/>
  <c r="BW426"/>
  <c r="BX426"/>
  <c r="BY426"/>
  <c r="BZ426"/>
  <c r="CA426"/>
  <c r="CB426"/>
  <c r="CC426"/>
  <c r="CD426"/>
  <c r="CE426"/>
  <c r="CL426"/>
  <c r="CM426"/>
  <c r="CN426"/>
  <c r="CO426"/>
  <c r="CP426"/>
  <c r="CQ426"/>
  <c r="CR426"/>
  <c r="CS426"/>
  <c r="CT426"/>
  <c r="CU426"/>
  <c r="CV426"/>
  <c r="CW426"/>
  <c r="CX426"/>
  <c r="CY426"/>
  <c r="CZ426"/>
  <c r="BP427"/>
  <c r="BQ427"/>
  <c r="BR427"/>
  <c r="BS427"/>
  <c r="BT427"/>
  <c r="BU427"/>
  <c r="BV427"/>
  <c r="BW427"/>
  <c r="BX427"/>
  <c r="BY427"/>
  <c r="BZ427"/>
  <c r="CA427"/>
  <c r="CB427"/>
  <c r="CC427"/>
  <c r="CD427"/>
  <c r="CE427"/>
  <c r="CL427"/>
  <c r="CM427"/>
  <c r="CN427"/>
  <c r="CO427"/>
  <c r="CP427"/>
  <c r="CQ427"/>
  <c r="CR427"/>
  <c r="CS427"/>
  <c r="CT427"/>
  <c r="CU427"/>
  <c r="CV427"/>
  <c r="CW427"/>
  <c r="CX427"/>
  <c r="CY427"/>
  <c r="CZ427"/>
  <c r="BC428"/>
  <c r="BD428"/>
  <c r="BE428"/>
  <c r="BF428"/>
  <c r="BG428"/>
  <c r="BH428"/>
  <c r="BI428"/>
  <c r="BJ428"/>
  <c r="BK428"/>
  <c r="BL428"/>
  <c r="BM428"/>
  <c r="BN428"/>
  <c r="BO428"/>
  <c r="BP428"/>
  <c r="BQ428"/>
  <c r="BR428"/>
  <c r="BS428"/>
  <c r="BT428"/>
  <c r="BU428"/>
  <c r="BV428"/>
  <c r="BW428"/>
  <c r="BX428"/>
  <c r="BY428"/>
  <c r="BZ428"/>
  <c r="CA428"/>
  <c r="CB428"/>
  <c r="CC428"/>
  <c r="CD428"/>
  <c r="CE428"/>
  <c r="CG428"/>
  <c r="CH428"/>
  <c r="CI428"/>
  <c r="CJ428"/>
  <c r="CK428"/>
  <c r="CL428"/>
  <c r="CM428"/>
  <c r="CN428"/>
  <c r="CO428"/>
  <c r="CP428"/>
  <c r="CQ428"/>
  <c r="CR428"/>
  <c r="CS428"/>
  <c r="CT428"/>
  <c r="CU428"/>
  <c r="CV428"/>
  <c r="CW428"/>
  <c r="CX428"/>
  <c r="CY428"/>
  <c r="CZ428"/>
  <c r="BD429"/>
  <c r="BE429"/>
  <c r="BF429"/>
  <c r="BG429"/>
  <c r="BH429"/>
  <c r="BI429"/>
  <c r="BJ429"/>
  <c r="BK429"/>
  <c r="BL429"/>
  <c r="BM429"/>
  <c r="BN429"/>
  <c r="BO429"/>
  <c r="BP429"/>
  <c r="BQ429"/>
  <c r="BR429"/>
  <c r="BS429"/>
  <c r="BT429"/>
  <c r="BU429"/>
  <c r="BV429"/>
  <c r="BW429"/>
  <c r="BX429"/>
  <c r="BY429"/>
  <c r="BZ429"/>
  <c r="CA429"/>
  <c r="CB429"/>
  <c r="CC429"/>
  <c r="CD429"/>
  <c r="CE429"/>
  <c r="CG429"/>
  <c r="CH429"/>
  <c r="CI429"/>
  <c r="CJ429"/>
  <c r="CK429"/>
  <c r="CL429"/>
  <c r="CM429"/>
  <c r="CN429"/>
  <c r="CO429"/>
  <c r="CP429"/>
  <c r="CQ429"/>
  <c r="CR429"/>
  <c r="CS429"/>
  <c r="CT429"/>
  <c r="CU429"/>
  <c r="CV429"/>
  <c r="CW429"/>
  <c r="CX429"/>
  <c r="CY429"/>
  <c r="CZ429"/>
  <c r="BC430"/>
  <c r="BD430"/>
  <c r="BE430"/>
  <c r="BF430"/>
  <c r="BG430"/>
  <c r="BH430"/>
  <c r="BI430"/>
  <c r="BJ430"/>
  <c r="BK430"/>
  <c r="BL430"/>
  <c r="BM430"/>
  <c r="BN430"/>
  <c r="BO430"/>
  <c r="BP430"/>
  <c r="BQ430"/>
  <c r="BR430"/>
  <c r="BS430"/>
  <c r="BT430"/>
  <c r="BU430"/>
  <c r="BV430"/>
  <c r="BW430"/>
  <c r="BX430"/>
  <c r="BY430"/>
  <c r="BZ430"/>
  <c r="CA430"/>
  <c r="CB430"/>
  <c r="CC430"/>
  <c r="CD430"/>
  <c r="CE430"/>
  <c r="CG430"/>
  <c r="CH430"/>
  <c r="CI430"/>
  <c r="CJ430"/>
  <c r="CK430"/>
  <c r="CL430"/>
  <c r="CM430"/>
  <c r="CN430"/>
  <c r="CO430"/>
  <c r="CP430"/>
  <c r="CQ430"/>
  <c r="CR430"/>
  <c r="CS430"/>
  <c r="CT430"/>
  <c r="CU430"/>
  <c r="CV430"/>
  <c r="CW430"/>
  <c r="CX430"/>
  <c r="CY430"/>
  <c r="CZ430"/>
  <c r="BE431"/>
  <c r="BF431"/>
  <c r="BG431"/>
  <c r="BH431"/>
  <c r="BI431"/>
  <c r="BJ431"/>
  <c r="BK431"/>
  <c r="BL431"/>
  <c r="BM431"/>
  <c r="BO431"/>
  <c r="BP431"/>
  <c r="BQ431"/>
  <c r="BR431"/>
  <c r="BS431"/>
  <c r="BT431"/>
  <c r="BU431"/>
  <c r="BV431"/>
  <c r="BW431"/>
  <c r="BX431"/>
  <c r="BY431"/>
  <c r="BZ431"/>
  <c r="CA431"/>
  <c r="CB431"/>
  <c r="CC431"/>
  <c r="CD431"/>
  <c r="CE431"/>
  <c r="CH431"/>
  <c r="CI431"/>
  <c r="CK431"/>
  <c r="CL431"/>
  <c r="CM431"/>
  <c r="CN431"/>
  <c r="CO431"/>
  <c r="CP431"/>
  <c r="CQ431"/>
  <c r="CR431"/>
  <c r="CS431"/>
  <c r="CT431"/>
  <c r="CU431"/>
  <c r="CV431"/>
  <c r="CW431"/>
  <c r="CX431"/>
  <c r="CY431"/>
  <c r="CZ431"/>
  <c r="BE432"/>
  <c r="BF432"/>
  <c r="BG432"/>
  <c r="BH432"/>
  <c r="BI432"/>
  <c r="BJ432"/>
  <c r="BK432"/>
  <c r="BL432"/>
  <c r="BM432"/>
  <c r="BN432"/>
  <c r="BO432"/>
  <c r="BP432"/>
  <c r="BQ432"/>
  <c r="BR432"/>
  <c r="BS432"/>
  <c r="BT432"/>
  <c r="BU432"/>
  <c r="BV432"/>
  <c r="BW432"/>
  <c r="BX432"/>
  <c r="BY432"/>
  <c r="BZ432"/>
  <c r="CA432"/>
  <c r="CB432"/>
  <c r="CC432"/>
  <c r="CD432"/>
  <c r="BP440"/>
  <c r="BQ440"/>
  <c r="BR440"/>
  <c r="BS440"/>
  <c r="BT440"/>
  <c r="BU440"/>
  <c r="BV440"/>
  <c r="BW440"/>
  <c r="BX440"/>
  <c r="BY440"/>
  <c r="BZ440"/>
  <c r="CA440"/>
  <c r="CB440"/>
  <c r="CC440"/>
  <c r="CD440"/>
  <c r="CE440"/>
  <c r="CL440"/>
  <c r="CM440"/>
  <c r="CN440"/>
  <c r="CO440"/>
  <c r="CP440"/>
  <c r="CQ440"/>
  <c r="CR440"/>
  <c r="CS440"/>
  <c r="CT440"/>
  <c r="CU440"/>
  <c r="CV440"/>
  <c r="CW440"/>
  <c r="CX440"/>
  <c r="CY440"/>
  <c r="CZ440"/>
  <c r="BC443"/>
  <c r="BD443"/>
  <c r="BE443"/>
  <c r="BF443"/>
  <c r="BG443"/>
  <c r="BH443"/>
  <c r="BI443"/>
  <c r="BJ443"/>
  <c r="BK443"/>
  <c r="BL443"/>
  <c r="BM443"/>
  <c r="BN443"/>
  <c r="BO443"/>
  <c r="BP443"/>
  <c r="BQ443"/>
  <c r="BR443"/>
  <c r="BS443"/>
  <c r="BT443"/>
  <c r="BU443"/>
  <c r="BV443"/>
  <c r="BW443"/>
  <c r="BX443"/>
  <c r="BY443"/>
  <c r="BZ443"/>
  <c r="CA443"/>
  <c r="CB443"/>
  <c r="CC443"/>
  <c r="CD443"/>
  <c r="CE443"/>
  <c r="CG443"/>
  <c r="CH443"/>
  <c r="CI443"/>
  <c r="CJ443"/>
  <c r="CK443"/>
  <c r="CL443"/>
  <c r="CM443"/>
  <c r="CN443"/>
  <c r="CO443"/>
  <c r="CP443"/>
  <c r="CQ443"/>
  <c r="CR443"/>
  <c r="CS443"/>
  <c r="CT443"/>
  <c r="CU443"/>
  <c r="CV443"/>
  <c r="CW443"/>
  <c r="CX443"/>
  <c r="CY443"/>
  <c r="CZ443"/>
  <c r="BC446"/>
  <c r="BD446"/>
  <c r="BE446"/>
  <c r="BF446"/>
  <c r="BG446"/>
  <c r="BH446"/>
  <c r="BI446"/>
  <c r="BJ446"/>
  <c r="BK446"/>
  <c r="BL446"/>
  <c r="BM446"/>
  <c r="BN446"/>
  <c r="BO446"/>
  <c r="BP446"/>
  <c r="BQ446"/>
  <c r="BR446"/>
  <c r="BS446"/>
  <c r="BT446"/>
  <c r="BU446"/>
  <c r="BV446"/>
  <c r="BW446"/>
  <c r="BX446"/>
  <c r="BY446"/>
  <c r="BZ446"/>
  <c r="CA446"/>
  <c r="CB446"/>
  <c r="CC446"/>
  <c r="CD446"/>
  <c r="CE446"/>
  <c r="CG446"/>
  <c r="CH446"/>
  <c r="CI446"/>
  <c r="CJ446"/>
  <c r="CK446"/>
  <c r="CL446"/>
  <c r="CM446"/>
  <c r="CN446"/>
  <c r="CO446"/>
  <c r="CP446"/>
  <c r="CQ446"/>
  <c r="CR446"/>
  <c r="CS446"/>
  <c r="CT446"/>
  <c r="CU446"/>
  <c r="CV446"/>
  <c r="CW446"/>
  <c r="CX446"/>
  <c r="CY446"/>
  <c r="CZ446"/>
  <c r="BC447"/>
  <c r="BD447"/>
  <c r="BE447"/>
  <c r="BF447"/>
  <c r="BG447"/>
  <c r="BH447"/>
  <c r="BI447"/>
  <c r="BJ447"/>
  <c r="BK447"/>
  <c r="BL447"/>
  <c r="BM447"/>
  <c r="BN447"/>
  <c r="BO447"/>
  <c r="BP447"/>
  <c r="BQ447"/>
  <c r="BR447"/>
  <c r="BS447"/>
  <c r="BT447"/>
  <c r="BU447"/>
  <c r="BV447"/>
  <c r="BW447"/>
  <c r="BX447"/>
  <c r="BY447"/>
  <c r="BZ447"/>
  <c r="CA447"/>
  <c r="CB447"/>
  <c r="CC447"/>
  <c r="CD447"/>
  <c r="CE447"/>
  <c r="CG447"/>
  <c r="CH447"/>
  <c r="CI447"/>
  <c r="CJ447"/>
  <c r="CK447"/>
  <c r="CL447"/>
  <c r="CM447"/>
  <c r="CN447"/>
  <c r="CO447"/>
  <c r="CP447"/>
  <c r="CQ447"/>
  <c r="CR447"/>
  <c r="CS447"/>
  <c r="CT447"/>
  <c r="CU447"/>
  <c r="CV447"/>
  <c r="CW447"/>
  <c r="CX447"/>
  <c r="CY447"/>
  <c r="CZ447"/>
  <c r="BE448"/>
  <c r="BF448"/>
  <c r="BG448"/>
  <c r="BH448"/>
  <c r="BI448"/>
  <c r="BJ448"/>
  <c r="BK448"/>
  <c r="BL448"/>
  <c r="BM448"/>
  <c r="BN448"/>
  <c r="BO448"/>
  <c r="BP448"/>
  <c r="BQ448"/>
  <c r="BR448"/>
  <c r="BS448"/>
  <c r="BT448"/>
  <c r="BU448"/>
  <c r="BV448"/>
  <c r="BW448"/>
  <c r="BX448"/>
  <c r="BY448"/>
  <c r="BZ448"/>
  <c r="CA448"/>
  <c r="CB448"/>
  <c r="CC448"/>
  <c r="CD448"/>
  <c r="CE448"/>
  <c r="CG448"/>
  <c r="CH448"/>
  <c r="CI448"/>
  <c r="CJ448"/>
  <c r="CK448"/>
  <c r="CL448"/>
  <c r="CM448"/>
  <c r="CN448"/>
  <c r="CO448"/>
  <c r="CP448"/>
  <c r="CQ448"/>
  <c r="CR448"/>
  <c r="CS448"/>
  <c r="CT448"/>
  <c r="CU448"/>
  <c r="CV448"/>
  <c r="CW448"/>
  <c r="CX448"/>
  <c r="CY448"/>
  <c r="CZ448"/>
  <c r="BP449"/>
  <c r="BQ449"/>
  <c r="BR449"/>
  <c r="BS449"/>
  <c r="BT449"/>
  <c r="BU449"/>
  <c r="BV449"/>
  <c r="BW449"/>
  <c r="BX449"/>
  <c r="BY449"/>
  <c r="BZ449"/>
  <c r="CA449"/>
  <c r="CB449"/>
  <c r="CC449"/>
  <c r="CD449"/>
  <c r="CE449"/>
  <c r="CL449"/>
  <c r="CM449"/>
  <c r="CN449"/>
  <c r="CO449"/>
  <c r="CP449"/>
  <c r="CQ449"/>
  <c r="CR449"/>
  <c r="CS449"/>
  <c r="CT449"/>
  <c r="CU449"/>
  <c r="CV449"/>
  <c r="CW449"/>
  <c r="CX449"/>
  <c r="CY449"/>
  <c r="CZ449"/>
  <c r="BC450"/>
  <c r="BD450"/>
  <c r="BE450"/>
  <c r="BF450"/>
  <c r="BG450"/>
  <c r="BH450"/>
  <c r="BI450"/>
  <c r="BJ450"/>
  <c r="BK450"/>
  <c r="BL450"/>
  <c r="BM450"/>
  <c r="BN450"/>
  <c r="BO450"/>
  <c r="BP450"/>
  <c r="BQ450"/>
  <c r="BR450"/>
  <c r="BS450"/>
  <c r="BT450"/>
  <c r="BU450"/>
  <c r="BV450"/>
  <c r="BW450"/>
  <c r="BX450"/>
  <c r="BY450"/>
  <c r="BZ450"/>
  <c r="CA450"/>
  <c r="CB450"/>
  <c r="CC450"/>
  <c r="CD450"/>
  <c r="CE450"/>
  <c r="CG450"/>
  <c r="CH450"/>
  <c r="CI450"/>
  <c r="CJ450"/>
  <c r="CK450"/>
  <c r="CL450"/>
  <c r="CM450"/>
  <c r="CN450"/>
  <c r="CO450"/>
  <c r="CP450"/>
  <c r="CQ450"/>
  <c r="CR450"/>
  <c r="CS450"/>
  <c r="CT450"/>
  <c r="CU450"/>
  <c r="CV450"/>
  <c r="CW450"/>
  <c r="CX450"/>
  <c r="CY450"/>
  <c r="CZ450"/>
  <c r="BC451"/>
  <c r="BD451"/>
  <c r="BE451"/>
  <c r="BF451"/>
  <c r="BG451"/>
  <c r="BH451"/>
  <c r="BI451"/>
  <c r="BJ451"/>
  <c r="BK451"/>
  <c r="BL451"/>
  <c r="BM451"/>
  <c r="BN451"/>
  <c r="BO451"/>
  <c r="BP451"/>
  <c r="BQ451"/>
  <c r="BR451"/>
  <c r="BS451"/>
  <c r="BT451"/>
  <c r="BU451"/>
  <c r="BV451"/>
  <c r="BW451"/>
  <c r="BX451"/>
  <c r="BY451"/>
  <c r="BZ451"/>
  <c r="CA451"/>
  <c r="CB451"/>
  <c r="CC451"/>
  <c r="CD451"/>
  <c r="CE451"/>
  <c r="CG451"/>
  <c r="CH451"/>
  <c r="CI451"/>
  <c r="CJ451"/>
  <c r="CK451"/>
  <c r="CL451"/>
  <c r="CM451"/>
  <c r="CN451"/>
  <c r="CO451"/>
  <c r="CP451"/>
  <c r="CQ451"/>
  <c r="CR451"/>
  <c r="CS451"/>
  <c r="CT451"/>
  <c r="CU451"/>
  <c r="CV451"/>
  <c r="CW451"/>
  <c r="CX451"/>
  <c r="CY451"/>
  <c r="CZ451"/>
  <c r="BP453"/>
  <c r="BQ453"/>
  <c r="BR453"/>
  <c r="BS453"/>
  <c r="BT453"/>
  <c r="BU453"/>
  <c r="BV453"/>
  <c r="BW453"/>
  <c r="BX453"/>
  <c r="BY453"/>
  <c r="BZ453"/>
  <c r="CA453"/>
  <c r="CB453"/>
  <c r="CC453"/>
  <c r="CD453"/>
  <c r="CE453"/>
  <c r="CL453"/>
  <c r="CM453"/>
  <c r="CN453"/>
  <c r="CO453"/>
  <c r="CP453"/>
  <c r="CQ453"/>
  <c r="CR453"/>
  <c r="CS453"/>
  <c r="CT453"/>
  <c r="CU453"/>
  <c r="CV453"/>
  <c r="CW453"/>
  <c r="CX453"/>
  <c r="CY453"/>
  <c r="CZ453"/>
  <c r="BO454"/>
  <c r="BP454"/>
  <c r="BQ454"/>
  <c r="BR454"/>
  <c r="BS454"/>
  <c r="BT454"/>
  <c r="BU454"/>
  <c r="BV454"/>
  <c r="BW454"/>
  <c r="BX454"/>
  <c r="BY454"/>
  <c r="BZ454"/>
  <c r="CA454"/>
  <c r="CB454"/>
  <c r="CC454"/>
  <c r="CD454"/>
  <c r="CE454"/>
  <c r="CK454"/>
  <c r="CL454"/>
  <c r="CM454"/>
  <c r="CN454"/>
  <c r="CO454"/>
  <c r="CP454"/>
  <c r="CQ454"/>
  <c r="CR454"/>
  <c r="CS454"/>
  <c r="CT454"/>
  <c r="CU454"/>
  <c r="CV454"/>
  <c r="CW454"/>
  <c r="CX454"/>
  <c r="CY454"/>
  <c r="CZ454"/>
  <c r="BE457"/>
  <c r="BF457"/>
  <c r="BG457"/>
  <c r="BH457"/>
  <c r="BI457"/>
  <c r="BJ457"/>
  <c r="BK457"/>
  <c r="BL457"/>
  <c r="BM457"/>
  <c r="BO457"/>
  <c r="BP457"/>
  <c r="BQ457"/>
  <c r="BR457"/>
  <c r="BS457"/>
  <c r="BT457"/>
  <c r="BU457"/>
  <c r="BV457"/>
  <c r="BW457"/>
  <c r="BX457"/>
  <c r="BY457"/>
  <c r="BZ457"/>
  <c r="CA457"/>
  <c r="CB457"/>
  <c r="CC457"/>
  <c r="CD457"/>
  <c r="CE457"/>
  <c r="CG457"/>
  <c r="CH457"/>
  <c r="CI457"/>
  <c r="CK457"/>
  <c r="CL457"/>
  <c r="CM457"/>
  <c r="CN457"/>
  <c r="CO457"/>
  <c r="CP457"/>
  <c r="CQ457"/>
  <c r="CR457"/>
  <c r="CS457"/>
  <c r="CT457"/>
  <c r="CU457"/>
  <c r="CV457"/>
  <c r="CW457"/>
  <c r="CX457"/>
  <c r="CY457"/>
  <c r="CZ457"/>
  <c r="BP458"/>
  <c r="BQ458"/>
  <c r="BR458"/>
  <c r="BS458"/>
  <c r="BT458"/>
  <c r="BU458"/>
  <c r="BV458"/>
  <c r="BW458"/>
  <c r="BX458"/>
  <c r="BY458"/>
  <c r="BZ458"/>
  <c r="CA458"/>
  <c r="CB458"/>
  <c r="CC458"/>
  <c r="CD458"/>
  <c r="CE458"/>
  <c r="CL458"/>
  <c r="CM458"/>
  <c r="CN458"/>
  <c r="CO458"/>
  <c r="CP458"/>
  <c r="CQ458"/>
  <c r="CR458"/>
  <c r="CS458"/>
  <c r="CT458"/>
  <c r="CU458"/>
  <c r="CV458"/>
  <c r="CW458"/>
  <c r="CX458"/>
  <c r="CY458"/>
  <c r="CZ458"/>
  <c r="BE459"/>
  <c r="BF459"/>
  <c r="BG459"/>
  <c r="BH459"/>
  <c r="BI459"/>
  <c r="BJ459"/>
  <c r="BK459"/>
  <c r="BL459"/>
  <c r="BM459"/>
  <c r="BO459"/>
  <c r="BP459"/>
  <c r="BQ459"/>
  <c r="BR459"/>
  <c r="BS459"/>
  <c r="BT459"/>
  <c r="BU459"/>
  <c r="BV459"/>
  <c r="BW459"/>
  <c r="BX459"/>
  <c r="BY459"/>
  <c r="BZ459"/>
  <c r="CA459"/>
  <c r="CB459"/>
  <c r="CC459"/>
  <c r="CD459"/>
  <c r="CE459"/>
  <c r="CG459"/>
  <c r="CH459"/>
  <c r="CI459"/>
  <c r="CK459"/>
  <c r="CL459"/>
  <c r="CM459"/>
  <c r="CN459"/>
  <c r="CO459"/>
  <c r="CP459"/>
  <c r="CQ459"/>
  <c r="CR459"/>
  <c r="CS459"/>
  <c r="CT459"/>
  <c r="CU459"/>
  <c r="CV459"/>
  <c r="CW459"/>
  <c r="CX459"/>
  <c r="CY459"/>
  <c r="CZ459"/>
  <c r="BO460"/>
  <c r="BP460"/>
  <c r="BQ460"/>
  <c r="BR460"/>
  <c r="BS460"/>
  <c r="BT460"/>
  <c r="BU460"/>
  <c r="BV460"/>
  <c r="BW460"/>
  <c r="BX460"/>
  <c r="BY460"/>
  <c r="BZ460"/>
  <c r="CA460"/>
  <c r="CB460"/>
  <c r="CC460"/>
  <c r="CD460"/>
  <c r="CE460"/>
  <c r="CK460"/>
  <c r="CL460"/>
  <c r="CM460"/>
  <c r="CN460"/>
  <c r="CO460"/>
  <c r="CP460"/>
  <c r="CQ460"/>
  <c r="CR460"/>
  <c r="CS460"/>
  <c r="CT460"/>
  <c r="CU460"/>
  <c r="CV460"/>
  <c r="CW460"/>
  <c r="CX460"/>
  <c r="CY460"/>
  <c r="CZ460"/>
  <c r="BP461"/>
  <c r="BQ461"/>
  <c r="BR461"/>
  <c r="BS461"/>
  <c r="BT461"/>
  <c r="BU461"/>
  <c r="BV461"/>
  <c r="BW461"/>
  <c r="BX461"/>
  <c r="BY461"/>
  <c r="BZ461"/>
  <c r="CA461"/>
  <c r="CB461"/>
  <c r="CC461"/>
  <c r="CD461"/>
  <c r="CE461"/>
  <c r="CL461"/>
  <c r="CM461"/>
  <c r="CN461"/>
  <c r="CO461"/>
  <c r="CP461"/>
  <c r="CQ461"/>
  <c r="CR461"/>
  <c r="CS461"/>
  <c r="CT461"/>
  <c r="CU461"/>
  <c r="CV461"/>
  <c r="CW461"/>
  <c r="CX461"/>
  <c r="CY461"/>
  <c r="CZ461"/>
  <c r="BP462"/>
  <c r="BQ462"/>
  <c r="BR462"/>
  <c r="BS462"/>
  <c r="BT462"/>
  <c r="BU462"/>
  <c r="BV462"/>
  <c r="BW462"/>
  <c r="BX462"/>
  <c r="BY462"/>
  <c r="BZ462"/>
  <c r="CA462"/>
  <c r="CB462"/>
  <c r="CC462"/>
  <c r="CD462"/>
  <c r="CE462"/>
  <c r="CL462"/>
  <c r="CM462"/>
  <c r="CN462"/>
  <c r="CO462"/>
  <c r="CP462"/>
  <c r="CQ462"/>
  <c r="CR462"/>
  <c r="CS462"/>
  <c r="CT462"/>
  <c r="CU462"/>
  <c r="CV462"/>
  <c r="CW462"/>
  <c r="CX462"/>
  <c r="CY462"/>
  <c r="CZ462"/>
  <c r="BE464"/>
  <c r="BF464"/>
  <c r="BG464"/>
  <c r="BH464"/>
  <c r="BI464"/>
  <c r="BJ464"/>
  <c r="BK464"/>
  <c r="BL464"/>
  <c r="BM464"/>
  <c r="BO464"/>
  <c r="BP464"/>
  <c r="BQ464"/>
  <c r="BR464"/>
  <c r="BS464"/>
  <c r="BT464"/>
  <c r="BU464"/>
  <c r="BV464"/>
  <c r="BW464"/>
  <c r="BX464"/>
  <c r="BY464"/>
  <c r="BZ464"/>
  <c r="CA464"/>
  <c r="CB464"/>
  <c r="CC464"/>
  <c r="CD464"/>
  <c r="CE464"/>
  <c r="CG464"/>
  <c r="CH464"/>
  <c r="CI464"/>
  <c r="CK464"/>
  <c r="CL464"/>
  <c r="CM464"/>
  <c r="CN464"/>
  <c r="CO464"/>
  <c r="CP464"/>
  <c r="CQ464"/>
  <c r="CR464"/>
  <c r="CS464"/>
  <c r="CT464"/>
  <c r="CU464"/>
  <c r="CV464"/>
  <c r="CW464"/>
  <c r="CX464"/>
  <c r="CY464"/>
  <c r="CZ464"/>
  <c r="BR465"/>
  <c r="BS465"/>
  <c r="BT465"/>
  <c r="BU465"/>
  <c r="BV465"/>
  <c r="BW465"/>
  <c r="BX465"/>
  <c r="BY465"/>
  <c r="BZ465"/>
  <c r="CA465"/>
  <c r="CB465"/>
  <c r="CC465"/>
  <c r="CD465"/>
  <c r="CE465"/>
  <c r="CN465"/>
  <c r="CO465"/>
  <c r="CP465"/>
  <c r="CQ465"/>
  <c r="CR465"/>
  <c r="CS465"/>
  <c r="CT465"/>
  <c r="CU465"/>
  <c r="CV465"/>
  <c r="CW465"/>
  <c r="CX465"/>
  <c r="CY465"/>
  <c r="CZ465"/>
  <c r="BP466"/>
  <c r="BQ466"/>
  <c r="BR466"/>
  <c r="BS466"/>
  <c r="BT466"/>
  <c r="BU466"/>
  <c r="BV466"/>
  <c r="BW466"/>
  <c r="BX466"/>
  <c r="BY466"/>
  <c r="BZ466"/>
  <c r="CA466"/>
  <c r="CB466"/>
  <c r="CC466"/>
  <c r="CD466"/>
  <c r="CE466"/>
  <c r="CL466"/>
  <c r="CM466"/>
  <c r="CN466"/>
  <c r="CO466"/>
  <c r="CP466"/>
  <c r="CQ466"/>
  <c r="CR466"/>
  <c r="CS466"/>
  <c r="CT466"/>
  <c r="CU466"/>
  <c r="CV466"/>
  <c r="CW466"/>
  <c r="CX466"/>
  <c r="CY466"/>
  <c r="CZ466"/>
  <c r="BC467"/>
  <c r="BD467"/>
  <c r="BE467"/>
  <c r="BF467"/>
  <c r="BG467"/>
  <c r="BH467"/>
  <c r="BI467"/>
  <c r="BJ467"/>
  <c r="BK467"/>
  <c r="BL467"/>
  <c r="BM467"/>
  <c r="BN467"/>
  <c r="BO467"/>
  <c r="BP467"/>
  <c r="BQ467"/>
  <c r="BR467"/>
  <c r="BS467"/>
  <c r="BT467"/>
  <c r="BU467"/>
  <c r="BV467"/>
  <c r="BW467"/>
  <c r="BX467"/>
  <c r="BY467"/>
  <c r="BZ467"/>
  <c r="CA467"/>
  <c r="CB467"/>
  <c r="CC467"/>
  <c r="CD467"/>
  <c r="CE467"/>
  <c r="CG467"/>
  <c r="CH467"/>
  <c r="CI467"/>
  <c r="CJ467"/>
  <c r="CK467"/>
  <c r="CL467"/>
  <c r="CM467"/>
  <c r="CN467"/>
  <c r="CO467"/>
  <c r="CP467"/>
  <c r="CQ467"/>
  <c r="CR467"/>
  <c r="CS467"/>
  <c r="CT467"/>
  <c r="CU467"/>
  <c r="CV467"/>
  <c r="CW467"/>
  <c r="CX467"/>
  <c r="CY467"/>
  <c r="CZ467"/>
  <c r="BP473"/>
  <c r="BQ473"/>
  <c r="BR473"/>
  <c r="BS473"/>
  <c r="BT473"/>
  <c r="BU473"/>
  <c r="BV473"/>
  <c r="BW473"/>
  <c r="BX473"/>
  <c r="BY473"/>
  <c r="BZ473"/>
  <c r="CA473"/>
  <c r="CB473"/>
  <c r="CC473"/>
  <c r="CD473"/>
  <c r="CL473"/>
  <c r="CM473"/>
  <c r="CN473"/>
  <c r="CO473"/>
  <c r="CP473"/>
  <c r="CQ473"/>
  <c r="CR473"/>
  <c r="CS473"/>
  <c r="CT473"/>
  <c r="CU473"/>
  <c r="CV473"/>
  <c r="CW473"/>
  <c r="CX473"/>
  <c r="CY473"/>
  <c r="CZ473"/>
  <c r="BP474"/>
  <c r="BQ474"/>
  <c r="BR474"/>
  <c r="BS474"/>
  <c r="BT474"/>
  <c r="BU474"/>
  <c r="BV474"/>
  <c r="BW474"/>
  <c r="BX474"/>
  <c r="BY474"/>
  <c r="BZ474"/>
  <c r="CA474"/>
  <c r="CB474"/>
  <c r="CC474"/>
  <c r="CD474"/>
  <c r="CL474"/>
  <c r="CM474"/>
  <c r="CN474"/>
  <c r="CO474"/>
  <c r="CP474"/>
  <c r="CQ474"/>
  <c r="CR474"/>
  <c r="CS474"/>
  <c r="CT474"/>
  <c r="CU474"/>
  <c r="CV474"/>
  <c r="CW474"/>
  <c r="CX474"/>
  <c r="CY474"/>
  <c r="CZ474"/>
  <c r="BE475"/>
  <c r="BF475"/>
  <c r="BG475"/>
  <c r="BH475"/>
  <c r="BI475"/>
  <c r="BJ475"/>
  <c r="BK475"/>
  <c r="BL475"/>
  <c r="BM475"/>
  <c r="BN475"/>
  <c r="BO475"/>
  <c r="BP475"/>
  <c r="BQ475"/>
  <c r="BR475"/>
  <c r="BS475"/>
  <c r="BT475"/>
  <c r="BU475"/>
  <c r="BV475"/>
  <c r="BW475"/>
  <c r="BX475"/>
  <c r="BY475"/>
  <c r="BZ475"/>
  <c r="CA475"/>
  <c r="CB475"/>
  <c r="CC475"/>
  <c r="CD475"/>
  <c r="CG475"/>
  <c r="CH475"/>
  <c r="CI475"/>
  <c r="CJ475"/>
  <c r="CK475"/>
  <c r="CL475"/>
  <c r="CM475"/>
  <c r="CN475"/>
  <c r="CO475"/>
  <c r="CP475"/>
  <c r="CQ475"/>
  <c r="CR475"/>
  <c r="CS475"/>
  <c r="CT475"/>
  <c r="CU475"/>
  <c r="CV475"/>
  <c r="CW475"/>
  <c r="CX475"/>
  <c r="CY475"/>
  <c r="CZ475"/>
  <c r="AP476"/>
  <c r="AQ476"/>
  <c r="AR476"/>
  <c r="AS476"/>
  <c r="AT476"/>
  <c r="AU476"/>
  <c r="AV476"/>
  <c r="AW476"/>
  <c r="AX476"/>
  <c r="AY476"/>
  <c r="AZ476"/>
  <c r="BA476"/>
  <c r="BB476"/>
  <c r="BC476"/>
  <c r="BD476"/>
  <c r="BE476"/>
  <c r="BF476"/>
  <c r="BH476"/>
  <c r="BI476"/>
  <c r="BJ476"/>
  <c r="BK476"/>
  <c r="BL476"/>
  <c r="BM476"/>
  <c r="BN476"/>
  <c r="BO476"/>
  <c r="BP476"/>
  <c r="BQ476"/>
  <c r="BR476"/>
  <c r="BS476"/>
  <c r="BT476"/>
  <c r="BU476"/>
  <c r="BV476"/>
  <c r="BW476"/>
  <c r="BX476"/>
  <c r="BY476"/>
  <c r="BZ476"/>
  <c r="CA476"/>
  <c r="CB476"/>
  <c r="CC476"/>
  <c r="CD476"/>
  <c r="CG476"/>
  <c r="CH476"/>
  <c r="CI476"/>
  <c r="CJ476"/>
  <c r="CK476"/>
  <c r="CL476"/>
  <c r="CM476"/>
  <c r="CN476"/>
  <c r="CO476"/>
  <c r="CP476"/>
  <c r="CQ476"/>
  <c r="CR476"/>
  <c r="CS476"/>
  <c r="CT476"/>
  <c r="CU476"/>
  <c r="CV476"/>
  <c r="CW476"/>
  <c r="CX476"/>
  <c r="CY476"/>
  <c r="CZ476"/>
  <c r="AP477"/>
  <c r="AQ477"/>
  <c r="AR477"/>
  <c r="AS477"/>
  <c r="AT477"/>
  <c r="AU477"/>
  <c r="AV477"/>
  <c r="AW477"/>
  <c r="AX477"/>
  <c r="AY477"/>
  <c r="AZ477"/>
  <c r="BA477"/>
  <c r="BB477"/>
  <c r="BC477"/>
  <c r="BD477"/>
  <c r="BE477"/>
  <c r="BF477"/>
  <c r="BH477"/>
  <c r="BI477"/>
  <c r="BJ477"/>
  <c r="BK477"/>
  <c r="BL477"/>
  <c r="BM477"/>
  <c r="BN477"/>
  <c r="BO477"/>
  <c r="BP477"/>
  <c r="BQ477"/>
  <c r="BR477"/>
  <c r="BS477"/>
  <c r="BT477"/>
  <c r="BU477"/>
  <c r="BV477"/>
  <c r="BW477"/>
  <c r="BX477"/>
  <c r="BY477"/>
  <c r="BZ477"/>
  <c r="CA477"/>
  <c r="CB477"/>
  <c r="CC477"/>
  <c r="CD477"/>
  <c r="CG477"/>
  <c r="CH477"/>
  <c r="CI477"/>
  <c r="CJ477"/>
  <c r="CK477"/>
  <c r="CL477"/>
  <c r="CM477"/>
  <c r="CN477"/>
  <c r="CO477"/>
  <c r="CP477"/>
  <c r="CQ477"/>
  <c r="CR477"/>
  <c r="CS477"/>
  <c r="CT477"/>
  <c r="CU477"/>
  <c r="CV477"/>
  <c r="CW477"/>
  <c r="CX477"/>
  <c r="CY477"/>
  <c r="CZ477"/>
  <c r="BP479"/>
  <c r="BQ479"/>
  <c r="BR479"/>
  <c r="BS479"/>
  <c r="BT479"/>
  <c r="BU479"/>
  <c r="BV479"/>
  <c r="BW479"/>
  <c r="BX479"/>
  <c r="BY479"/>
  <c r="BZ479"/>
  <c r="CA479"/>
  <c r="CB479"/>
  <c r="CC479"/>
  <c r="CD479"/>
  <c r="CL479"/>
  <c r="CM479"/>
  <c r="CN479"/>
  <c r="CO479"/>
  <c r="CP479"/>
  <c r="CQ479"/>
  <c r="CR479"/>
  <c r="CS479"/>
  <c r="CT479"/>
  <c r="CU479"/>
  <c r="CV479"/>
  <c r="CW479"/>
  <c r="CX479"/>
  <c r="CY479"/>
  <c r="CZ479"/>
  <c r="BP482"/>
  <c r="BQ482"/>
  <c r="BR482"/>
  <c r="BS482"/>
  <c r="BT482"/>
  <c r="BU482"/>
  <c r="BV482"/>
  <c r="BW482"/>
  <c r="BX482"/>
  <c r="BY482"/>
  <c r="BZ482"/>
  <c r="CA482"/>
  <c r="CB482"/>
  <c r="CC482"/>
  <c r="CD482"/>
  <c r="CL482"/>
  <c r="CM482"/>
  <c r="CN482"/>
  <c r="CO482"/>
  <c r="CP482"/>
  <c r="CQ482"/>
  <c r="CR482"/>
  <c r="CS482"/>
  <c r="CT482"/>
  <c r="CU482"/>
  <c r="CV482"/>
  <c r="CW482"/>
  <c r="CX482"/>
  <c r="CY482"/>
  <c r="CZ482"/>
  <c r="BP483"/>
  <c r="BQ483"/>
  <c r="BR483"/>
  <c r="BS483"/>
  <c r="BT483"/>
  <c r="BU483"/>
  <c r="BV483"/>
  <c r="BW483"/>
  <c r="BX483"/>
  <c r="BY483"/>
  <c r="BZ483"/>
  <c r="CA483"/>
  <c r="CB483"/>
  <c r="CC483"/>
  <c r="CD483"/>
  <c r="CL483"/>
  <c r="CM483"/>
  <c r="CN483"/>
  <c r="CO483"/>
  <c r="CP483"/>
  <c r="CQ483"/>
  <c r="CR483"/>
  <c r="CS483"/>
  <c r="CT483"/>
  <c r="CU483"/>
  <c r="CV483"/>
  <c r="CW483"/>
  <c r="CX483"/>
  <c r="CY483"/>
  <c r="CZ483"/>
  <c r="AP484"/>
  <c r="AQ484"/>
  <c r="AR484"/>
  <c r="AS484"/>
  <c r="AT484"/>
  <c r="AU484"/>
  <c r="AV484"/>
  <c r="AW484"/>
  <c r="AX484"/>
  <c r="AY484"/>
  <c r="AZ484"/>
  <c r="BA484"/>
  <c r="BB484"/>
  <c r="BC484"/>
  <c r="BD484"/>
  <c r="BE484"/>
  <c r="BF484"/>
  <c r="BH484"/>
  <c r="BI484"/>
  <c r="BJ484"/>
  <c r="BK484"/>
  <c r="BL484"/>
  <c r="BM484"/>
  <c r="BN484"/>
  <c r="BO484"/>
  <c r="BP484"/>
  <c r="BQ484"/>
  <c r="BR484"/>
  <c r="BS484"/>
  <c r="BT484"/>
  <c r="BU484"/>
  <c r="BV484"/>
  <c r="BW484"/>
  <c r="BX484"/>
  <c r="BY484"/>
  <c r="BZ484"/>
  <c r="CA484"/>
  <c r="CB484"/>
  <c r="CC484"/>
  <c r="CD484"/>
  <c r="CG484"/>
  <c r="CH484"/>
  <c r="CI484"/>
  <c r="CJ484"/>
  <c r="CK484"/>
  <c r="CL484"/>
  <c r="CM484"/>
  <c r="CN484"/>
  <c r="CO484"/>
  <c r="CP484"/>
  <c r="CQ484"/>
  <c r="CR484"/>
  <c r="CS484"/>
  <c r="CT484"/>
  <c r="CU484"/>
  <c r="CV484"/>
  <c r="CW484"/>
  <c r="CX484"/>
  <c r="CY484"/>
  <c r="CZ484"/>
  <c r="BP491"/>
  <c r="BQ491"/>
  <c r="BR491"/>
  <c r="BS491"/>
  <c r="BT491"/>
  <c r="BU491"/>
  <c r="BV491"/>
  <c r="BW491"/>
  <c r="BX491"/>
  <c r="BY491"/>
  <c r="BZ491"/>
  <c r="CA491"/>
  <c r="CB491"/>
  <c r="CC491"/>
  <c r="CD491"/>
  <c r="CL491"/>
  <c r="CM491"/>
  <c r="CN491"/>
  <c r="CO491"/>
  <c r="CP491"/>
  <c r="CQ491"/>
  <c r="CR491"/>
  <c r="CS491"/>
  <c r="CT491"/>
  <c r="CU491"/>
  <c r="CV491"/>
  <c r="CW491"/>
  <c r="CX491"/>
  <c r="CY491"/>
  <c r="CZ491"/>
  <c r="BP492"/>
  <c r="BQ492"/>
  <c r="BR492"/>
  <c r="BS492"/>
  <c r="BT492"/>
  <c r="BU492"/>
  <c r="BV492"/>
  <c r="BW492"/>
  <c r="BX492"/>
  <c r="BY492"/>
  <c r="BZ492"/>
  <c r="CA492"/>
  <c r="CB492"/>
  <c r="CC492"/>
  <c r="CD492"/>
  <c r="CL492"/>
  <c r="CM492"/>
  <c r="CN492"/>
  <c r="CO492"/>
  <c r="CP492"/>
  <c r="CQ492"/>
  <c r="CR492"/>
  <c r="CS492"/>
  <c r="CT492"/>
  <c r="CU492"/>
  <c r="CV492"/>
  <c r="CW492"/>
  <c r="CX492"/>
  <c r="CY492"/>
  <c r="CZ492"/>
  <c r="BP493"/>
  <c r="BQ493"/>
  <c r="BR493"/>
  <c r="BS493"/>
  <c r="BT493"/>
  <c r="BU493"/>
  <c r="BV493"/>
  <c r="BW493"/>
  <c r="BX493"/>
  <c r="BY493"/>
  <c r="BZ493"/>
  <c r="CA493"/>
  <c r="CB493"/>
  <c r="CC493"/>
  <c r="CD493"/>
  <c r="CL493"/>
  <c r="CM493"/>
  <c r="CN493"/>
  <c r="CO493"/>
  <c r="CP493"/>
  <c r="CQ493"/>
  <c r="CR493"/>
  <c r="CS493"/>
  <c r="CT493"/>
  <c r="CU493"/>
  <c r="CV493"/>
  <c r="CW493"/>
  <c r="CX493"/>
  <c r="CY493"/>
  <c r="CZ493"/>
  <c r="BP494"/>
  <c r="BQ494"/>
  <c r="BR494"/>
  <c r="BS494"/>
  <c r="BT494"/>
  <c r="BU494"/>
  <c r="BV494"/>
  <c r="BW494"/>
  <c r="BX494"/>
  <c r="BY494"/>
  <c r="BZ494"/>
  <c r="CA494"/>
  <c r="CB494"/>
  <c r="CC494"/>
  <c r="CD494"/>
  <c r="CL494"/>
  <c r="CM494"/>
  <c r="CN494"/>
  <c r="CO494"/>
  <c r="CP494"/>
  <c r="CQ494"/>
  <c r="CR494"/>
  <c r="CS494"/>
  <c r="CT494"/>
  <c r="CU494"/>
  <c r="CV494"/>
  <c r="CW494"/>
  <c r="CX494"/>
  <c r="CY494"/>
  <c r="CZ494"/>
  <c r="BP495"/>
  <c r="BQ495"/>
  <c r="BR495"/>
  <c r="BS495"/>
  <c r="BT495"/>
  <c r="BU495"/>
  <c r="BV495"/>
  <c r="BW495"/>
  <c r="BX495"/>
  <c r="BY495"/>
  <c r="BZ495"/>
  <c r="CA495"/>
  <c r="CB495"/>
  <c r="CC495"/>
  <c r="CD495"/>
  <c r="CL495"/>
  <c r="CM495"/>
  <c r="CN495"/>
  <c r="CO495"/>
  <c r="CP495"/>
  <c r="CQ495"/>
  <c r="CR495"/>
  <c r="CS495"/>
  <c r="CT495"/>
  <c r="CU495"/>
  <c r="CV495"/>
  <c r="CW495"/>
  <c r="CX495"/>
  <c r="CY495"/>
  <c r="CZ495"/>
  <c r="BP496"/>
  <c r="BQ496"/>
  <c r="BR496"/>
  <c r="BS496"/>
  <c r="BT496"/>
  <c r="BU496"/>
  <c r="BV496"/>
  <c r="BW496"/>
  <c r="BX496"/>
  <c r="BY496"/>
  <c r="BZ496"/>
  <c r="CA496"/>
  <c r="CB496"/>
  <c r="CC496"/>
  <c r="CD496"/>
  <c r="CL496"/>
  <c r="CM496"/>
  <c r="CN496"/>
  <c r="CO496"/>
  <c r="CP496"/>
  <c r="CQ496"/>
  <c r="CR496"/>
  <c r="CS496"/>
  <c r="CT496"/>
  <c r="CU496"/>
  <c r="CV496"/>
  <c r="CW496"/>
  <c r="CX496"/>
  <c r="CY496"/>
  <c r="CZ496"/>
  <c r="BP499"/>
  <c r="BQ499"/>
  <c r="BR499"/>
  <c r="BS499"/>
  <c r="BT499"/>
  <c r="BU499"/>
  <c r="BV499"/>
  <c r="BW499"/>
  <c r="BX499"/>
  <c r="BY499"/>
  <c r="BZ499"/>
  <c r="CA499"/>
  <c r="CB499"/>
  <c r="CC499"/>
  <c r="CD499"/>
  <c r="CL499"/>
  <c r="CM499"/>
  <c r="CN499"/>
  <c r="CO499"/>
  <c r="CP499"/>
  <c r="CQ499"/>
  <c r="CR499"/>
  <c r="CS499"/>
  <c r="CT499"/>
  <c r="CU499"/>
  <c r="CV499"/>
  <c r="CW499"/>
  <c r="CX499"/>
  <c r="CY499"/>
  <c r="CZ499"/>
  <c r="BP500"/>
  <c r="BQ500"/>
  <c r="BR500"/>
  <c r="BS500"/>
  <c r="BT500"/>
  <c r="BU500"/>
  <c r="BV500"/>
  <c r="BW500"/>
  <c r="BX500"/>
  <c r="BY500"/>
  <c r="BZ500"/>
  <c r="CA500"/>
  <c r="CB500"/>
  <c r="CC500"/>
  <c r="CD500"/>
  <c r="CL500"/>
  <c r="CM500"/>
  <c r="CN500"/>
  <c r="CO500"/>
  <c r="CP500"/>
  <c r="CQ500"/>
  <c r="CR500"/>
  <c r="CS500"/>
  <c r="CT500"/>
  <c r="CU500"/>
  <c r="CV500"/>
  <c r="CW500"/>
  <c r="CX500"/>
  <c r="CY500"/>
  <c r="CZ500"/>
  <c r="BP501"/>
  <c r="BQ501"/>
  <c r="BR501"/>
  <c r="BS501"/>
  <c r="BT501"/>
  <c r="BU501"/>
  <c r="BV501"/>
  <c r="BW501"/>
  <c r="BX501"/>
  <c r="BY501"/>
  <c r="BZ501"/>
  <c r="CA501"/>
  <c r="CB501"/>
  <c r="CC501"/>
  <c r="CD501"/>
  <c r="CL501"/>
  <c r="CM501"/>
  <c r="CN501"/>
  <c r="CO501"/>
  <c r="CP501"/>
  <c r="CQ501"/>
  <c r="CR501"/>
  <c r="CS501"/>
  <c r="CT501"/>
  <c r="CU501"/>
  <c r="CV501"/>
  <c r="CW501"/>
  <c r="CX501"/>
  <c r="CY501"/>
  <c r="CZ501"/>
  <c r="BP502"/>
  <c r="BQ502"/>
  <c r="BR502"/>
  <c r="BS502"/>
  <c r="BT502"/>
  <c r="BU502"/>
  <c r="BV502"/>
  <c r="BW502"/>
  <c r="BX502"/>
  <c r="BY502"/>
  <c r="BZ502"/>
  <c r="CA502"/>
  <c r="CB502"/>
  <c r="CC502"/>
  <c r="CD502"/>
  <c r="CL502"/>
  <c r="CM502"/>
  <c r="CN502"/>
  <c r="CO502"/>
  <c r="CP502"/>
  <c r="CQ502"/>
  <c r="CR502"/>
  <c r="CS502"/>
  <c r="CT502"/>
  <c r="CU502"/>
  <c r="CV502"/>
  <c r="CW502"/>
  <c r="CX502"/>
  <c r="CY502"/>
  <c r="CZ502"/>
  <c r="BP503"/>
  <c r="BQ503"/>
  <c r="BR503"/>
  <c r="BS503"/>
  <c r="BT503"/>
  <c r="BU503"/>
  <c r="BV503"/>
  <c r="BW503"/>
  <c r="BX503"/>
  <c r="BY503"/>
  <c r="BZ503"/>
  <c r="CA503"/>
  <c r="CB503"/>
  <c r="CC503"/>
  <c r="CD503"/>
  <c r="CL503"/>
  <c r="CM503"/>
  <c r="CN503"/>
  <c r="CO503"/>
  <c r="CP503"/>
  <c r="CQ503"/>
  <c r="CR503"/>
  <c r="CS503"/>
  <c r="CT503"/>
  <c r="CU503"/>
  <c r="CV503"/>
  <c r="CW503"/>
  <c r="CX503"/>
  <c r="CY503"/>
  <c r="CZ503"/>
  <c r="BP506"/>
  <c r="BQ506"/>
  <c r="BR506"/>
  <c r="BS506"/>
  <c r="BT506"/>
  <c r="BU506"/>
  <c r="BV506"/>
  <c r="BW506"/>
  <c r="BX506"/>
  <c r="BY506"/>
  <c r="BZ506"/>
  <c r="CA506"/>
  <c r="CB506"/>
  <c r="CC506"/>
  <c r="CD506"/>
  <c r="CL506"/>
  <c r="CM506"/>
  <c r="CN506"/>
  <c r="CO506"/>
  <c r="CP506"/>
  <c r="CQ506"/>
  <c r="CR506"/>
  <c r="CS506"/>
  <c r="CT506"/>
  <c r="CU506"/>
  <c r="CV506"/>
  <c r="CW506"/>
  <c r="CX506"/>
  <c r="CY506"/>
  <c r="CZ506"/>
  <c r="BP507"/>
  <c r="BQ507"/>
  <c r="BR507"/>
  <c r="BS507"/>
  <c r="BT507"/>
  <c r="BU507"/>
  <c r="BV507"/>
  <c r="BW507"/>
  <c r="BX507"/>
  <c r="BY507"/>
  <c r="BZ507"/>
  <c r="CA507"/>
  <c r="CB507"/>
  <c r="CC507"/>
  <c r="CD507"/>
  <c r="CL507"/>
  <c r="CM507"/>
  <c r="CN507"/>
  <c r="CO507"/>
  <c r="CP507"/>
  <c r="CQ507"/>
  <c r="CR507"/>
  <c r="CS507"/>
  <c r="CT507"/>
  <c r="CU507"/>
  <c r="CV507"/>
  <c r="CW507"/>
  <c r="CX507"/>
  <c r="CY507"/>
  <c r="CZ507"/>
  <c r="BP509"/>
  <c r="BQ509"/>
  <c r="BR509"/>
  <c r="BS509"/>
  <c r="BT509"/>
  <c r="BU509"/>
  <c r="BV509"/>
  <c r="BW509"/>
  <c r="BX509"/>
  <c r="BY509"/>
  <c r="BZ509"/>
  <c r="CA509"/>
  <c r="CB509"/>
  <c r="CC509"/>
  <c r="CD509"/>
  <c r="CL509"/>
  <c r="CM509"/>
  <c r="CN509"/>
  <c r="CO509"/>
  <c r="CP509"/>
  <c r="CQ509"/>
  <c r="CR509"/>
  <c r="CS509"/>
  <c r="CT509"/>
  <c r="CU509"/>
  <c r="CV509"/>
  <c r="CW509"/>
  <c r="CX509"/>
  <c r="CY509"/>
  <c r="CZ509"/>
  <c r="BP510"/>
  <c r="BQ510"/>
  <c r="BR510"/>
  <c r="BS510"/>
  <c r="BT510"/>
  <c r="BU510"/>
  <c r="BV510"/>
  <c r="BW510"/>
  <c r="BX510"/>
  <c r="BY510"/>
  <c r="BZ510"/>
  <c r="CA510"/>
  <c r="CB510"/>
  <c r="CC510"/>
  <c r="CD510"/>
  <c r="CL510"/>
  <c r="CM510"/>
  <c r="CN510"/>
  <c r="CO510"/>
  <c r="CP510"/>
  <c r="CQ510"/>
  <c r="CR510"/>
  <c r="CS510"/>
  <c r="CT510"/>
  <c r="CU510"/>
  <c r="CV510"/>
  <c r="CW510"/>
  <c r="CX510"/>
  <c r="CY510"/>
  <c r="CZ510"/>
  <c r="BG511"/>
  <c r="BH511"/>
  <c r="BI511"/>
  <c r="BJ511"/>
  <c r="BK511"/>
  <c r="BL511"/>
  <c r="BM511"/>
  <c r="BO511"/>
  <c r="BP511"/>
  <c r="BQ511"/>
  <c r="BR511"/>
  <c r="BS511"/>
  <c r="BT511"/>
  <c r="BU511"/>
  <c r="BV511"/>
  <c r="BW511"/>
  <c r="BX511"/>
  <c r="BY511"/>
  <c r="BZ511"/>
  <c r="CA511"/>
  <c r="CB511"/>
  <c r="CC511"/>
  <c r="CD511"/>
  <c r="CG511"/>
  <c r="CH511"/>
  <c r="CI511"/>
  <c r="CK511"/>
  <c r="CL511"/>
  <c r="CM511"/>
  <c r="CN511"/>
  <c r="CO511"/>
  <c r="CP511"/>
  <c r="CQ511"/>
  <c r="CR511"/>
  <c r="CS511"/>
  <c r="CT511"/>
  <c r="CU511"/>
  <c r="CV511"/>
  <c r="CW511"/>
  <c r="CX511"/>
  <c r="CY511"/>
  <c r="CZ511"/>
  <c r="BG512"/>
  <c r="BH512"/>
  <c r="BI512"/>
  <c r="BJ512"/>
  <c r="BK512"/>
  <c r="BL512"/>
  <c r="BM512"/>
  <c r="BO512"/>
  <c r="BP512"/>
  <c r="BQ512"/>
  <c r="BR512"/>
  <c r="BS512"/>
  <c r="BT512"/>
  <c r="BU512"/>
  <c r="BV512"/>
  <c r="BW512"/>
  <c r="BX512"/>
  <c r="BY512"/>
  <c r="BZ512"/>
  <c r="CA512"/>
  <c r="CB512"/>
  <c r="CC512"/>
  <c r="CD512"/>
  <c r="CG512"/>
  <c r="CH512"/>
  <c r="CI512"/>
  <c r="CK512"/>
  <c r="CL512"/>
  <c r="CM512"/>
  <c r="CN512"/>
  <c r="CO512"/>
  <c r="CP512"/>
  <c r="CQ512"/>
  <c r="CR512"/>
  <c r="CS512"/>
  <c r="CT512"/>
  <c r="CU512"/>
  <c r="CV512"/>
  <c r="CW512"/>
  <c r="CX512"/>
  <c r="CY512"/>
  <c r="CZ512"/>
  <c r="BG513"/>
  <c r="BH513"/>
  <c r="BI513"/>
  <c r="BJ513"/>
  <c r="BK513"/>
  <c r="BL513"/>
  <c r="BM513"/>
  <c r="BO513"/>
  <c r="BP513"/>
  <c r="BQ513"/>
  <c r="BR513"/>
  <c r="BS513"/>
  <c r="BT513"/>
  <c r="BU513"/>
  <c r="BV513"/>
  <c r="BW513"/>
  <c r="BX513"/>
  <c r="BY513"/>
  <c r="BZ513"/>
  <c r="CA513"/>
  <c r="CB513"/>
  <c r="CC513"/>
  <c r="CD513"/>
  <c r="CG513"/>
  <c r="CH513"/>
  <c r="CI513"/>
  <c r="CK513"/>
  <c r="CL513"/>
  <c r="CM513"/>
  <c r="CN513"/>
  <c r="CO513"/>
  <c r="CP513"/>
  <c r="CQ513"/>
  <c r="CR513"/>
  <c r="CS513"/>
  <c r="CT513"/>
  <c r="CU513"/>
  <c r="CV513"/>
  <c r="CW513"/>
  <c r="CX513"/>
  <c r="CY513"/>
  <c r="CZ513"/>
  <c r="BP523"/>
  <c r="BQ523"/>
  <c r="BR523"/>
  <c r="BS523"/>
  <c r="BT523"/>
  <c r="BU523"/>
  <c r="BV523"/>
  <c r="BW523"/>
  <c r="BX523"/>
  <c r="BY523"/>
  <c r="BZ523"/>
  <c r="CA523"/>
  <c r="CB523"/>
  <c r="CC523"/>
  <c r="CD523"/>
  <c r="CL523"/>
  <c r="CM523"/>
  <c r="CN523"/>
  <c r="CO523"/>
  <c r="CP523"/>
  <c r="CQ523"/>
  <c r="CR523"/>
  <c r="CS523"/>
  <c r="CT523"/>
  <c r="CU523"/>
  <c r="CV523"/>
  <c r="CW523"/>
  <c r="CX523"/>
  <c r="CY523"/>
  <c r="CZ523"/>
  <c r="BP524"/>
  <c r="BQ524"/>
  <c r="BR524"/>
  <c r="BS524"/>
  <c r="BT524"/>
  <c r="BU524"/>
  <c r="BV524"/>
  <c r="BW524"/>
  <c r="BX524"/>
  <c r="BY524"/>
  <c r="BZ524"/>
  <c r="CA524"/>
  <c r="CB524"/>
  <c r="CC524"/>
  <c r="CD524"/>
  <c r="CL524"/>
  <c r="CM524"/>
  <c r="CN524"/>
  <c r="CO524"/>
  <c r="CP524"/>
  <c r="CQ524"/>
  <c r="CR524"/>
  <c r="CS524"/>
  <c r="CT524"/>
  <c r="CU524"/>
  <c r="CV524"/>
  <c r="CW524"/>
  <c r="CX524"/>
  <c r="CY524"/>
  <c r="CZ524"/>
  <c r="BP525"/>
  <c r="BQ525"/>
  <c r="BR525"/>
  <c r="BS525"/>
  <c r="BT525"/>
  <c r="BU525"/>
  <c r="BV525"/>
  <c r="BW525"/>
  <c r="BX525"/>
  <c r="BY525"/>
  <c r="BZ525"/>
  <c r="CA525"/>
  <c r="CB525"/>
  <c r="CC525"/>
  <c r="CD525"/>
  <c r="CL525"/>
  <c r="CM525"/>
  <c r="CN525"/>
  <c r="CO525"/>
  <c r="CP525"/>
  <c r="CQ525"/>
  <c r="CR525"/>
  <c r="CS525"/>
  <c r="CT525"/>
  <c r="CU525"/>
  <c r="CV525"/>
  <c r="CW525"/>
  <c r="CX525"/>
  <c r="CY525"/>
  <c r="CZ525"/>
  <c r="BP526"/>
  <c r="BQ526"/>
  <c r="BR526"/>
  <c r="BS526"/>
  <c r="BT526"/>
  <c r="BU526"/>
  <c r="BV526"/>
  <c r="BW526"/>
  <c r="BX526"/>
  <c r="BY526"/>
  <c r="BZ526"/>
  <c r="CA526"/>
  <c r="CB526"/>
  <c r="CC526"/>
  <c r="CD526"/>
  <c r="CL526"/>
  <c r="CM526"/>
  <c r="CN526"/>
  <c r="CO526"/>
  <c r="CP526"/>
  <c r="CQ526"/>
  <c r="CR526"/>
  <c r="CS526"/>
  <c r="CT526"/>
  <c r="CU526"/>
  <c r="CV526"/>
  <c r="CW526"/>
  <c r="CX526"/>
  <c r="CY526"/>
  <c r="CZ526"/>
  <c r="BP529"/>
  <c r="BQ529"/>
  <c r="BR529"/>
  <c r="BS529"/>
  <c r="BT529"/>
  <c r="BU529"/>
  <c r="BV529"/>
  <c r="BW529"/>
  <c r="BX529"/>
  <c r="BY529"/>
  <c r="BZ529"/>
  <c r="CA529"/>
  <c r="CB529"/>
  <c r="CC529"/>
  <c r="CD529"/>
  <c r="CL529"/>
  <c r="CM529"/>
  <c r="CN529"/>
  <c r="CO529"/>
  <c r="CP529"/>
  <c r="CQ529"/>
  <c r="CR529"/>
  <c r="CS529"/>
  <c r="CT529"/>
  <c r="CU529"/>
  <c r="CV529"/>
  <c r="CW529"/>
  <c r="CX529"/>
  <c r="CY529"/>
  <c r="CZ529"/>
  <c r="BP530"/>
  <c r="BQ530"/>
  <c r="BR530"/>
  <c r="BS530"/>
  <c r="BT530"/>
  <c r="BU530"/>
  <c r="BV530"/>
  <c r="BW530"/>
  <c r="BX530"/>
  <c r="BY530"/>
  <c r="BZ530"/>
  <c r="CA530"/>
  <c r="CB530"/>
  <c r="CC530"/>
  <c r="CD530"/>
  <c r="CL530"/>
  <c r="CM530"/>
  <c r="CN530"/>
  <c r="CO530"/>
  <c r="CP530"/>
  <c r="CQ530"/>
  <c r="CR530"/>
  <c r="CS530"/>
  <c r="CT530"/>
  <c r="CU530"/>
  <c r="CV530"/>
  <c r="CW530"/>
  <c r="CX530"/>
  <c r="CY530"/>
  <c r="CZ530"/>
  <c r="BQ532"/>
  <c r="BR532"/>
  <c r="BS532"/>
  <c r="BT532"/>
  <c r="BU532"/>
  <c r="BV532"/>
  <c r="BW532"/>
  <c r="BX532"/>
  <c r="BY532"/>
  <c r="BZ532"/>
  <c r="CA532"/>
  <c r="CB532"/>
  <c r="CC532"/>
  <c r="CD532"/>
  <c r="CM532"/>
  <c r="CN532"/>
  <c r="CO532"/>
  <c r="CP532"/>
  <c r="CQ532"/>
  <c r="CR532"/>
  <c r="CS532"/>
  <c r="CT532"/>
  <c r="CU532"/>
  <c r="CV532"/>
  <c r="CW532"/>
  <c r="CX532"/>
  <c r="CY532"/>
  <c r="CZ532"/>
  <c r="BP535"/>
  <c r="BQ535"/>
  <c r="BR535"/>
  <c r="BS535"/>
  <c r="BT535"/>
  <c r="BU535"/>
  <c r="BV535"/>
  <c r="BW535"/>
  <c r="BX535"/>
  <c r="BY535"/>
  <c r="BZ535"/>
  <c r="CA535"/>
  <c r="CB535"/>
  <c r="CC535"/>
  <c r="CD535"/>
  <c r="CL535"/>
  <c r="CM535"/>
  <c r="CN535"/>
  <c r="CO535"/>
  <c r="CP535"/>
  <c r="CQ535"/>
  <c r="CR535"/>
  <c r="CS535"/>
  <c r="CT535"/>
  <c r="CU535"/>
  <c r="CV535"/>
  <c r="CW535"/>
  <c r="CX535"/>
  <c r="CY535"/>
  <c r="CZ535"/>
  <c r="BP537"/>
  <c r="BQ537"/>
  <c r="BR537"/>
  <c r="BS537"/>
  <c r="BT537"/>
  <c r="BU537"/>
  <c r="BV537"/>
  <c r="BW537"/>
  <c r="BX537"/>
  <c r="BY537"/>
  <c r="BZ537"/>
  <c r="CA537"/>
  <c r="CB537"/>
  <c r="CC537"/>
  <c r="CD537"/>
  <c r="CL537"/>
  <c r="CM537"/>
  <c r="CN537"/>
  <c r="CO537"/>
  <c r="CP537"/>
  <c r="CQ537"/>
  <c r="CR537"/>
  <c r="CS537"/>
  <c r="CT537"/>
  <c r="CU537"/>
  <c r="CV537"/>
  <c r="CW537"/>
  <c r="CX537"/>
  <c r="CY537"/>
  <c r="CZ537"/>
  <c r="BP540"/>
  <c r="BQ540"/>
  <c r="BR540"/>
  <c r="BS540"/>
  <c r="BT540"/>
  <c r="BU540"/>
  <c r="BV540"/>
  <c r="BW540"/>
  <c r="BX540"/>
  <c r="BY540"/>
  <c r="BZ540"/>
  <c r="CA540"/>
  <c r="CB540"/>
  <c r="CC540"/>
  <c r="CD540"/>
  <c r="CL540"/>
  <c r="CM540"/>
  <c r="CN540"/>
  <c r="CO540"/>
  <c r="CP540"/>
  <c r="CQ540"/>
  <c r="CR540"/>
  <c r="CS540"/>
  <c r="CT540"/>
  <c r="CU540"/>
  <c r="CV540"/>
  <c r="CW540"/>
  <c r="CX540"/>
  <c r="CY540"/>
  <c r="CZ540"/>
  <c r="BP544"/>
  <c r="BQ544"/>
  <c r="BR544"/>
  <c r="BS544"/>
  <c r="BT544"/>
  <c r="BU544"/>
  <c r="BV544"/>
  <c r="BW544"/>
  <c r="BX544"/>
  <c r="BY544"/>
  <c r="BZ544"/>
  <c r="CA544"/>
  <c r="CB544"/>
  <c r="CC544"/>
  <c r="CD544"/>
  <c r="CL544"/>
  <c r="CM544"/>
  <c r="CN544"/>
  <c r="CO544"/>
  <c r="CP544"/>
  <c r="CQ544"/>
  <c r="CR544"/>
  <c r="CS544"/>
  <c r="CT544"/>
  <c r="CU544"/>
  <c r="CV544"/>
  <c r="CW544"/>
  <c r="CX544"/>
  <c r="CY544"/>
  <c r="CZ544"/>
  <c r="BP545"/>
  <c r="BQ545"/>
  <c r="BR545"/>
  <c r="BS545"/>
  <c r="BT545"/>
  <c r="BU545"/>
  <c r="BV545"/>
  <c r="BW545"/>
  <c r="BX545"/>
  <c r="BY545"/>
  <c r="BZ545"/>
  <c r="CA545"/>
  <c r="CB545"/>
  <c r="CC545"/>
  <c r="CD545"/>
  <c r="CL545"/>
  <c r="CM545"/>
  <c r="CN545"/>
  <c r="CO545"/>
  <c r="CP545"/>
  <c r="CQ545"/>
  <c r="CR545"/>
  <c r="CS545"/>
  <c r="CT545"/>
  <c r="CU545"/>
  <c r="CV545"/>
  <c r="CW545"/>
  <c r="CX545"/>
  <c r="CY545"/>
  <c r="CZ545"/>
  <c r="BP547"/>
  <c r="BQ547"/>
  <c r="BR547"/>
  <c r="BS547"/>
  <c r="BT547"/>
  <c r="BU547"/>
  <c r="BV547"/>
  <c r="BW547"/>
  <c r="BX547"/>
  <c r="BY547"/>
  <c r="BZ547"/>
  <c r="CA547"/>
  <c r="CB547"/>
  <c r="CC547"/>
  <c r="CD547"/>
  <c r="CL547"/>
  <c r="CM547"/>
  <c r="CN547"/>
  <c r="CO547"/>
  <c r="CP547"/>
  <c r="CQ547"/>
  <c r="CR547"/>
  <c r="CS547"/>
  <c r="CT547"/>
  <c r="CU547"/>
  <c r="CV547"/>
  <c r="CW547"/>
  <c r="CX547"/>
  <c r="CY547"/>
  <c r="CZ547"/>
  <c r="BP549"/>
  <c r="BQ549"/>
  <c r="BR549"/>
  <c r="BS549"/>
  <c r="BT549"/>
  <c r="BU549"/>
  <c r="BV549"/>
  <c r="BW549"/>
  <c r="BX549"/>
  <c r="BY549"/>
  <c r="BZ549"/>
  <c r="CA549"/>
  <c r="CB549"/>
  <c r="CC549"/>
  <c r="CD549"/>
  <c r="CL549"/>
  <c r="CM549"/>
  <c r="CN549"/>
  <c r="CO549"/>
  <c r="CP549"/>
  <c r="CQ549"/>
  <c r="CR549"/>
  <c r="CS549"/>
  <c r="CT549"/>
  <c r="CU549"/>
  <c r="CV549"/>
  <c r="CW549"/>
  <c r="CX549"/>
  <c r="CY549"/>
  <c r="CZ549"/>
  <c r="BP550"/>
  <c r="BQ550"/>
  <c r="BR550"/>
  <c r="BS550"/>
  <c r="BT550"/>
  <c r="BU550"/>
  <c r="BV550"/>
  <c r="BW550"/>
  <c r="BX550"/>
  <c r="BY550"/>
  <c r="BZ550"/>
  <c r="CA550"/>
  <c r="CB550"/>
  <c r="CC550"/>
  <c r="CD550"/>
  <c r="CL550"/>
  <c r="CM550"/>
  <c r="CN550"/>
  <c r="CO550"/>
  <c r="CP550"/>
  <c r="CQ550"/>
  <c r="CR550"/>
  <c r="CS550"/>
  <c r="CT550"/>
  <c r="CU550"/>
  <c r="CV550"/>
  <c r="CW550"/>
  <c r="CX550"/>
  <c r="CY550"/>
  <c r="CZ550"/>
  <c r="BP552"/>
  <c r="BQ552"/>
  <c r="BR552"/>
  <c r="BS552"/>
  <c r="BT552"/>
  <c r="BU552"/>
  <c r="BV552"/>
  <c r="BW552"/>
  <c r="BX552"/>
  <c r="BY552"/>
  <c r="BZ552"/>
  <c r="CA552"/>
  <c r="CB552"/>
  <c r="CC552"/>
  <c r="CD552"/>
  <c r="CL552"/>
  <c r="CM552"/>
  <c r="CN552"/>
  <c r="CO552"/>
  <c r="CP552"/>
  <c r="CQ552"/>
  <c r="CR552"/>
  <c r="CS552"/>
  <c r="CT552"/>
  <c r="CU552"/>
  <c r="CV552"/>
  <c r="CW552"/>
  <c r="CX552"/>
  <c r="CY552"/>
  <c r="CZ552"/>
  <c r="BP553"/>
  <c r="BQ553"/>
  <c r="BR553"/>
  <c r="BS553"/>
  <c r="BT553"/>
  <c r="BU553"/>
  <c r="BV553"/>
  <c r="BW553"/>
  <c r="BX553"/>
  <c r="BY553"/>
  <c r="BZ553"/>
  <c r="CA553"/>
  <c r="CB553"/>
  <c r="CC553"/>
  <c r="CD553"/>
  <c r="CL553"/>
  <c r="CM553"/>
  <c r="CN553"/>
  <c r="CO553"/>
  <c r="CP553"/>
  <c r="CQ553"/>
  <c r="CR553"/>
  <c r="CS553"/>
  <c r="CT553"/>
  <c r="CU553"/>
  <c r="CV553"/>
  <c r="CW553"/>
  <c r="CX553"/>
  <c r="CY553"/>
  <c r="CZ553"/>
  <c r="BP554"/>
  <c r="BQ554"/>
  <c r="BR554"/>
  <c r="BS554"/>
  <c r="BT554"/>
  <c r="BU554"/>
  <c r="BV554"/>
  <c r="BW554"/>
  <c r="BX554"/>
  <c r="BY554"/>
  <c r="BZ554"/>
  <c r="CA554"/>
  <c r="CB554"/>
  <c r="CC554"/>
  <c r="CD554"/>
  <c r="CL554"/>
  <c r="CM554"/>
  <c r="CN554"/>
  <c r="CO554"/>
  <c r="CP554"/>
  <c r="CQ554"/>
  <c r="CR554"/>
  <c r="CS554"/>
  <c r="CT554"/>
  <c r="CU554"/>
  <c r="CV554"/>
  <c r="CW554"/>
  <c r="CX554"/>
  <c r="CY554"/>
  <c r="CZ554"/>
  <c r="BP555"/>
  <c r="BQ555"/>
  <c r="BR555"/>
  <c r="BS555"/>
  <c r="BT555"/>
  <c r="BU555"/>
  <c r="BV555"/>
  <c r="BW555"/>
  <c r="BX555"/>
  <c r="BY555"/>
  <c r="BZ555"/>
  <c r="CA555"/>
  <c r="CB555"/>
  <c r="CC555"/>
  <c r="CD555"/>
  <c r="CL555"/>
  <c r="CM555"/>
  <c r="CN555"/>
  <c r="CO555"/>
  <c r="CP555"/>
  <c r="CQ555"/>
  <c r="CR555"/>
  <c r="CS555"/>
  <c r="CT555"/>
  <c r="CU555"/>
  <c r="CV555"/>
  <c r="CW555"/>
  <c r="CX555"/>
  <c r="CY555"/>
  <c r="CZ555"/>
  <c r="BP557"/>
  <c r="BQ557"/>
  <c r="BR557"/>
  <c r="BS557"/>
  <c r="BT557"/>
  <c r="BU557"/>
  <c r="BV557"/>
  <c r="BW557"/>
  <c r="BX557"/>
  <c r="BY557"/>
  <c r="BZ557"/>
  <c r="CA557"/>
  <c r="CB557"/>
  <c r="CC557"/>
  <c r="CD557"/>
  <c r="CL557"/>
  <c r="CM557"/>
  <c r="CN557"/>
  <c r="CO557"/>
  <c r="CP557"/>
  <c r="CQ557"/>
  <c r="CR557"/>
  <c r="CS557"/>
  <c r="CT557"/>
  <c r="CU557"/>
  <c r="CV557"/>
  <c r="CW557"/>
  <c r="CX557"/>
  <c r="CY557"/>
  <c r="CZ557"/>
  <c r="BP559"/>
  <c r="BQ559"/>
  <c r="BR559"/>
  <c r="BS559"/>
  <c r="BT559"/>
  <c r="BU559"/>
  <c r="BV559"/>
  <c r="BW559"/>
  <c r="BX559"/>
  <c r="BY559"/>
  <c r="BZ559"/>
  <c r="CA559"/>
  <c r="CB559"/>
  <c r="CC559"/>
  <c r="CD559"/>
  <c r="CL559"/>
  <c r="CM559"/>
  <c r="CN559"/>
  <c r="CO559"/>
  <c r="CP559"/>
  <c r="CQ559"/>
  <c r="CR559"/>
  <c r="CS559"/>
  <c r="CT559"/>
  <c r="CU559"/>
  <c r="CV559"/>
  <c r="CW559"/>
  <c r="CX559"/>
  <c r="CY559"/>
  <c r="CZ559"/>
  <c r="BE564"/>
  <c r="BF564"/>
  <c r="BG564"/>
  <c r="BH564"/>
  <c r="BI564"/>
  <c r="BJ564"/>
  <c r="BK564"/>
  <c r="BL564"/>
  <c r="BM564"/>
  <c r="BO564"/>
  <c r="BP564"/>
  <c r="BQ564"/>
  <c r="BR564"/>
  <c r="BS564"/>
  <c r="BT564"/>
  <c r="BU564"/>
  <c r="BV564"/>
  <c r="BW564"/>
  <c r="BX564"/>
  <c r="BY564"/>
  <c r="BZ564"/>
  <c r="CA564"/>
  <c r="CB564"/>
  <c r="CC564"/>
  <c r="CD564"/>
  <c r="CG564"/>
  <c r="CH564"/>
  <c r="CI564"/>
  <c r="CK564"/>
  <c r="CL564"/>
  <c r="CM564"/>
  <c r="CN564"/>
  <c r="CO564"/>
  <c r="CP564"/>
  <c r="CQ564"/>
  <c r="CR564"/>
  <c r="CS564"/>
  <c r="CT564"/>
  <c r="CU564"/>
  <c r="CV564"/>
  <c r="CW564"/>
  <c r="CX564"/>
  <c r="CY564"/>
  <c r="CZ564"/>
  <c r="BE565"/>
  <c r="BF565"/>
  <c r="BG565"/>
  <c r="BH565"/>
  <c r="BI565"/>
  <c r="BJ565"/>
  <c r="BK565"/>
  <c r="BL565"/>
  <c r="BM565"/>
  <c r="BO565"/>
  <c r="BP565"/>
  <c r="BQ565"/>
  <c r="BR565"/>
  <c r="BS565"/>
  <c r="BT565"/>
  <c r="BU565"/>
  <c r="BV565"/>
  <c r="BW565"/>
  <c r="BX565"/>
  <c r="BY565"/>
  <c r="BZ565"/>
  <c r="CA565"/>
  <c r="CB565"/>
  <c r="CC565"/>
  <c r="CD565"/>
  <c r="CG565"/>
  <c r="CH565"/>
  <c r="CI565"/>
  <c r="CK565"/>
  <c r="CL565"/>
  <c r="CM565"/>
  <c r="CN565"/>
  <c r="CO565"/>
  <c r="CP565"/>
  <c r="CQ565"/>
  <c r="CR565"/>
  <c r="CS565"/>
  <c r="CT565"/>
  <c r="CU565"/>
  <c r="CV565"/>
  <c r="CW565"/>
  <c r="CX565"/>
  <c r="CY565"/>
  <c r="CZ565"/>
  <c r="BE566"/>
  <c r="BF566"/>
  <c r="BG566"/>
  <c r="BH566"/>
  <c r="BI566"/>
  <c r="BJ566"/>
  <c r="BK566"/>
  <c r="BL566"/>
  <c r="BM566"/>
  <c r="BO566"/>
  <c r="BP566"/>
  <c r="BQ566"/>
  <c r="BR566"/>
  <c r="BS566"/>
  <c r="BT566"/>
  <c r="BU566"/>
  <c r="BV566"/>
  <c r="BW566"/>
  <c r="BX566"/>
  <c r="BY566"/>
  <c r="BZ566"/>
  <c r="CA566"/>
  <c r="CB566"/>
  <c r="CC566"/>
  <c r="CD566"/>
  <c r="CG566"/>
  <c r="CH566"/>
  <c r="CI566"/>
  <c r="CK566"/>
  <c r="CL566"/>
  <c r="CM566"/>
  <c r="CN566"/>
  <c r="CO566"/>
  <c r="CP566"/>
  <c r="CQ566"/>
  <c r="CR566"/>
  <c r="CS566"/>
  <c r="CT566"/>
  <c r="CU566"/>
  <c r="CV566"/>
  <c r="CW566"/>
  <c r="CX566"/>
  <c r="CY566"/>
  <c r="CZ566"/>
  <c r="BE567"/>
  <c r="BF567"/>
  <c r="BG567"/>
  <c r="BH567"/>
  <c r="BI567"/>
  <c r="BJ567"/>
  <c r="BK567"/>
  <c r="BL567"/>
  <c r="BM567"/>
  <c r="BO567"/>
  <c r="BP567"/>
  <c r="BQ567"/>
  <c r="BR567"/>
  <c r="BS567"/>
  <c r="BT567"/>
  <c r="BU567"/>
  <c r="BV567"/>
  <c r="BW567"/>
  <c r="BX567"/>
  <c r="BY567"/>
  <c r="BZ567"/>
  <c r="CA567"/>
  <c r="CB567"/>
  <c r="CC567"/>
  <c r="CD567"/>
  <c r="CG567"/>
  <c r="CH567"/>
  <c r="CI567"/>
  <c r="CK567"/>
  <c r="CL567"/>
  <c r="CM567"/>
  <c r="CN567"/>
  <c r="CO567"/>
  <c r="CP567"/>
  <c r="CQ567"/>
  <c r="CR567"/>
  <c r="CS567"/>
  <c r="CT567"/>
  <c r="CU567"/>
  <c r="CV567"/>
  <c r="CW567"/>
  <c r="CX567"/>
  <c r="CY567"/>
  <c r="CZ567"/>
  <c r="BE568"/>
  <c r="BF568"/>
  <c r="BG568"/>
  <c r="BH568"/>
  <c r="BI568"/>
  <c r="BJ568"/>
  <c r="BK568"/>
  <c r="BL568"/>
  <c r="BM568"/>
  <c r="BO568"/>
  <c r="BP568"/>
  <c r="BQ568"/>
  <c r="BR568"/>
  <c r="BS568"/>
  <c r="BT568"/>
  <c r="BU568"/>
  <c r="BV568"/>
  <c r="BW568"/>
  <c r="BX568"/>
  <c r="BY568"/>
  <c r="BZ568"/>
  <c r="CA568"/>
  <c r="CB568"/>
  <c r="CC568"/>
  <c r="CD568"/>
  <c r="CG568"/>
  <c r="CH568"/>
  <c r="CI568"/>
  <c r="CK568"/>
  <c r="CL568"/>
  <c r="CM568"/>
  <c r="CN568"/>
  <c r="CO568"/>
  <c r="CP568"/>
  <c r="CQ568"/>
  <c r="CR568"/>
  <c r="CS568"/>
  <c r="CT568"/>
  <c r="CU568"/>
  <c r="CV568"/>
  <c r="CW568"/>
  <c r="CX568"/>
  <c r="CY568"/>
  <c r="CZ568"/>
  <c r="BE569"/>
  <c r="BF569"/>
  <c r="BG569"/>
  <c r="BH569"/>
  <c r="BI569"/>
  <c r="BJ569"/>
  <c r="BK569"/>
  <c r="BL569"/>
  <c r="BM569"/>
  <c r="BO569"/>
  <c r="BP569"/>
  <c r="BQ569"/>
  <c r="BR569"/>
  <c r="BS569"/>
  <c r="BT569"/>
  <c r="BU569"/>
  <c r="BV569"/>
  <c r="BW569"/>
  <c r="BX569"/>
  <c r="BY569"/>
  <c r="BZ569"/>
  <c r="CA569"/>
  <c r="CB569"/>
  <c r="CC569"/>
  <c r="CD569"/>
  <c r="CG569"/>
  <c r="CH569"/>
  <c r="CI569"/>
  <c r="CK569"/>
  <c r="CL569"/>
  <c r="CM569"/>
  <c r="CN569"/>
  <c r="CO569"/>
  <c r="CP569"/>
  <c r="CQ569"/>
  <c r="CR569"/>
  <c r="CS569"/>
  <c r="CT569"/>
  <c r="CU569"/>
  <c r="CV569"/>
  <c r="CW569"/>
  <c r="CX569"/>
  <c r="CY569"/>
  <c r="CZ569"/>
  <c r="BE570"/>
  <c r="BF570"/>
  <c r="BG570"/>
  <c r="BH570"/>
  <c r="BI570"/>
  <c r="BJ570"/>
  <c r="BK570"/>
  <c r="BL570"/>
  <c r="BM570"/>
  <c r="BO570"/>
  <c r="BP570"/>
  <c r="BQ570"/>
  <c r="BR570"/>
  <c r="BS570"/>
  <c r="BT570"/>
  <c r="BU570"/>
  <c r="BV570"/>
  <c r="BW570"/>
  <c r="BX570"/>
  <c r="BY570"/>
  <c r="BZ570"/>
  <c r="CA570"/>
  <c r="CB570"/>
  <c r="CC570"/>
  <c r="CD570"/>
  <c r="CG570"/>
  <c r="CH570"/>
  <c r="CI570"/>
  <c r="CK570"/>
  <c r="CL570"/>
  <c r="CM570"/>
  <c r="CN570"/>
  <c r="CO570"/>
  <c r="CP570"/>
  <c r="CQ570"/>
  <c r="CR570"/>
  <c r="CS570"/>
  <c r="CT570"/>
  <c r="CU570"/>
  <c r="CV570"/>
  <c r="CW570"/>
  <c r="CX570"/>
  <c r="CY570"/>
  <c r="CZ570"/>
  <c r="BE571"/>
  <c r="BF571"/>
  <c r="BG571"/>
  <c r="BH571"/>
  <c r="BI571"/>
  <c r="BJ571"/>
  <c r="BK571"/>
  <c r="BL571"/>
  <c r="BM571"/>
  <c r="BO571"/>
  <c r="BP571"/>
  <c r="BQ571"/>
  <c r="BR571"/>
  <c r="BS571"/>
  <c r="BT571"/>
  <c r="BU571"/>
  <c r="BV571"/>
  <c r="BW571"/>
  <c r="BX571"/>
  <c r="BY571"/>
  <c r="BZ571"/>
  <c r="CA571"/>
  <c r="CB571"/>
  <c r="CC571"/>
  <c r="CD571"/>
  <c r="CG571"/>
  <c r="CH571"/>
  <c r="CI571"/>
  <c r="CK571"/>
  <c r="CL571"/>
  <c r="CM571"/>
  <c r="CN571"/>
  <c r="CO571"/>
  <c r="CP571"/>
  <c r="CQ571"/>
  <c r="CR571"/>
  <c r="CS571"/>
  <c r="CT571"/>
  <c r="CU571"/>
  <c r="CV571"/>
  <c r="CW571"/>
  <c r="CX571"/>
  <c r="CY571"/>
  <c r="CZ571"/>
  <c r="BE572"/>
  <c r="BF572"/>
  <c r="BG572"/>
  <c r="BH572"/>
  <c r="BI572"/>
  <c r="BJ572"/>
  <c r="BK572"/>
  <c r="BL572"/>
  <c r="BM572"/>
  <c r="BO572"/>
  <c r="BP572"/>
  <c r="BQ572"/>
  <c r="BR572"/>
  <c r="BS572"/>
  <c r="BT572"/>
  <c r="BU572"/>
  <c r="BV572"/>
  <c r="BW572"/>
  <c r="BX572"/>
  <c r="BY572"/>
  <c r="BZ572"/>
  <c r="CA572"/>
  <c r="CB572"/>
  <c r="CC572"/>
  <c r="CD572"/>
  <c r="CG572"/>
  <c r="CH572"/>
  <c r="CI572"/>
  <c r="CK572"/>
  <c r="CL572"/>
  <c r="CM572"/>
  <c r="CN572"/>
  <c r="CO572"/>
  <c r="CP572"/>
  <c r="CQ572"/>
  <c r="CR572"/>
  <c r="CS572"/>
  <c r="CT572"/>
  <c r="CU572"/>
  <c r="CV572"/>
  <c r="CW572"/>
  <c r="CX572"/>
  <c r="CY572"/>
  <c r="CZ572"/>
  <c r="BE573"/>
  <c r="BF573"/>
  <c r="BG573"/>
  <c r="BH573"/>
  <c r="BI573"/>
  <c r="BJ573"/>
  <c r="BK573"/>
  <c r="BL573"/>
  <c r="BM573"/>
  <c r="BO573"/>
  <c r="BP573"/>
  <c r="BQ573"/>
  <c r="BR573"/>
  <c r="BS573"/>
  <c r="BT573"/>
  <c r="BU573"/>
  <c r="BV573"/>
  <c r="BW573"/>
  <c r="BX573"/>
  <c r="BY573"/>
  <c r="BZ573"/>
  <c r="CA573"/>
  <c r="CB573"/>
  <c r="CC573"/>
  <c r="CD573"/>
  <c r="CG573"/>
  <c r="CH573"/>
  <c r="CI573"/>
  <c r="CK573"/>
  <c r="CL573"/>
  <c r="CM573"/>
  <c r="CN573"/>
  <c r="CO573"/>
  <c r="CP573"/>
  <c r="CQ573"/>
  <c r="CR573"/>
  <c r="CS573"/>
  <c r="CT573"/>
  <c r="CU573"/>
  <c r="CV573"/>
  <c r="CW573"/>
  <c r="CX573"/>
  <c r="CY573"/>
  <c r="CZ573"/>
  <c r="BE574"/>
  <c r="BF574"/>
  <c r="BG574"/>
  <c r="BH574"/>
  <c r="BI574"/>
  <c r="BJ574"/>
  <c r="BK574"/>
  <c r="BL574"/>
  <c r="BM574"/>
  <c r="BO574"/>
  <c r="BP574"/>
  <c r="BQ574"/>
  <c r="BR574"/>
  <c r="BS574"/>
  <c r="BT574"/>
  <c r="BU574"/>
  <c r="BV574"/>
  <c r="BW574"/>
  <c r="BX574"/>
  <c r="BY574"/>
  <c r="BZ574"/>
  <c r="CA574"/>
  <c r="CB574"/>
  <c r="CC574"/>
  <c r="CD574"/>
  <c r="CG574"/>
  <c r="CH574"/>
  <c r="CI574"/>
  <c r="CK574"/>
  <c r="CL574"/>
  <c r="CM574"/>
  <c r="CN574"/>
  <c r="CO574"/>
  <c r="CP574"/>
  <c r="CQ574"/>
  <c r="CR574"/>
  <c r="CS574"/>
  <c r="CT574"/>
  <c r="CU574"/>
  <c r="CV574"/>
  <c r="CW574"/>
  <c r="CX574"/>
  <c r="CY574"/>
  <c r="CZ574"/>
  <c r="BE575"/>
  <c r="BF575"/>
  <c r="BG575"/>
  <c r="BH575"/>
  <c r="BI575"/>
  <c r="BJ575"/>
  <c r="BK575"/>
  <c r="BL575"/>
  <c r="BM575"/>
  <c r="BO575"/>
  <c r="BP575"/>
  <c r="BQ575"/>
  <c r="BR575"/>
  <c r="BS575"/>
  <c r="BT575"/>
  <c r="BU575"/>
  <c r="BV575"/>
  <c r="BW575"/>
  <c r="BX575"/>
  <c r="BY575"/>
  <c r="BZ575"/>
  <c r="CA575"/>
  <c r="CB575"/>
  <c r="CC575"/>
  <c r="CD575"/>
  <c r="CG575"/>
  <c r="CH575"/>
  <c r="CI575"/>
  <c r="CK575"/>
  <c r="CL575"/>
  <c r="CM575"/>
  <c r="CN575"/>
  <c r="CO575"/>
  <c r="CP575"/>
  <c r="CQ575"/>
  <c r="CR575"/>
  <c r="CS575"/>
  <c r="CT575"/>
  <c r="CU575"/>
  <c r="CV575"/>
  <c r="CW575"/>
  <c r="CX575"/>
  <c r="CY575"/>
  <c r="CZ575"/>
  <c r="BE576"/>
  <c r="BF576"/>
  <c r="BG576"/>
  <c r="BH576"/>
  <c r="BI576"/>
  <c r="BJ576"/>
  <c r="BK576"/>
  <c r="BL576"/>
  <c r="BM576"/>
  <c r="BO576"/>
  <c r="BP576"/>
  <c r="BQ576"/>
  <c r="BR576"/>
  <c r="BS576"/>
  <c r="BT576"/>
  <c r="BU576"/>
  <c r="BV576"/>
  <c r="BW576"/>
  <c r="BX576"/>
  <c r="BY576"/>
  <c r="BZ576"/>
  <c r="CA576"/>
  <c r="CB576"/>
  <c r="CC576"/>
  <c r="CD576"/>
  <c r="CG576"/>
  <c r="CH576"/>
  <c r="CI576"/>
  <c r="CK576"/>
  <c r="CL576"/>
  <c r="CM576"/>
  <c r="CN576"/>
  <c r="CO576"/>
  <c r="CP576"/>
  <c r="CQ576"/>
  <c r="CR576"/>
  <c r="CS576"/>
  <c r="CT576"/>
  <c r="CU576"/>
  <c r="CV576"/>
  <c r="CW576"/>
  <c r="CX576"/>
  <c r="CY576"/>
  <c r="CZ576"/>
  <c r="BE577"/>
  <c r="BF577"/>
  <c r="BG577"/>
  <c r="BH577"/>
  <c r="BI577"/>
  <c r="BJ577"/>
  <c r="BK577"/>
  <c r="BL577"/>
  <c r="BM577"/>
  <c r="BO577"/>
  <c r="BP577"/>
  <c r="BQ577"/>
  <c r="BR577"/>
  <c r="BS577"/>
  <c r="BT577"/>
  <c r="BU577"/>
  <c r="BV577"/>
  <c r="BW577"/>
  <c r="BX577"/>
  <c r="BY577"/>
  <c r="BZ577"/>
  <c r="CA577"/>
  <c r="CB577"/>
  <c r="CC577"/>
  <c r="CD577"/>
  <c r="CG577"/>
  <c r="CH577"/>
  <c r="CI577"/>
  <c r="CK577"/>
  <c r="CL577"/>
  <c r="CM577"/>
  <c r="CN577"/>
  <c r="CO577"/>
  <c r="CP577"/>
  <c r="CQ577"/>
  <c r="CR577"/>
  <c r="CS577"/>
  <c r="CT577"/>
  <c r="CU577"/>
  <c r="CV577"/>
  <c r="CW577"/>
  <c r="CX577"/>
  <c r="CY577"/>
  <c r="CZ577"/>
  <c r="BE578"/>
  <c r="BF578"/>
  <c r="BG578"/>
  <c r="BH578"/>
  <c r="BI578"/>
  <c r="BJ578"/>
  <c r="BK578"/>
  <c r="BL578"/>
  <c r="BM578"/>
  <c r="BO578"/>
  <c r="BP578"/>
  <c r="BQ578"/>
  <c r="BR578"/>
  <c r="BS578"/>
  <c r="BT578"/>
  <c r="BU578"/>
  <c r="BV578"/>
  <c r="BW578"/>
  <c r="BX578"/>
  <c r="BY578"/>
  <c r="BZ578"/>
  <c r="CA578"/>
  <c r="CB578"/>
  <c r="CC578"/>
  <c r="CD578"/>
  <c r="CG578"/>
  <c r="CH578"/>
  <c r="CI578"/>
  <c r="CK578"/>
  <c r="CL578"/>
  <c r="CM578"/>
  <c r="CN578"/>
  <c r="CO578"/>
  <c r="CP578"/>
  <c r="CQ578"/>
  <c r="CR578"/>
  <c r="CS578"/>
  <c r="CT578"/>
  <c r="CU578"/>
  <c r="CV578"/>
  <c r="CW578"/>
  <c r="CX578"/>
  <c r="CY578"/>
  <c r="CZ578"/>
  <c r="BE579"/>
  <c r="BF579"/>
  <c r="BG579"/>
  <c r="BH579"/>
  <c r="BI579"/>
  <c r="BJ579"/>
  <c r="BK579"/>
  <c r="BL579"/>
  <c r="BM579"/>
  <c r="BO579"/>
  <c r="BP579"/>
  <c r="BQ579"/>
  <c r="BR579"/>
  <c r="BS579"/>
  <c r="BT579"/>
  <c r="BU579"/>
  <c r="BV579"/>
  <c r="BW579"/>
  <c r="BX579"/>
  <c r="BY579"/>
  <c r="BZ579"/>
  <c r="CA579"/>
  <c r="CB579"/>
  <c r="CC579"/>
  <c r="CD579"/>
  <c r="CG579"/>
  <c r="CH579"/>
  <c r="CI579"/>
  <c r="CK579"/>
  <c r="CL579"/>
  <c r="CM579"/>
  <c r="CN579"/>
  <c r="CO579"/>
  <c r="CP579"/>
  <c r="CQ579"/>
  <c r="CR579"/>
  <c r="CS579"/>
  <c r="CT579"/>
  <c r="CU579"/>
  <c r="CV579"/>
  <c r="CW579"/>
  <c r="CX579"/>
  <c r="CY579"/>
  <c r="CZ579"/>
  <c r="BE580"/>
  <c r="BF580"/>
  <c r="BG580"/>
  <c r="BH580"/>
  <c r="BI580"/>
  <c r="BJ580"/>
  <c r="BK580"/>
  <c r="BL580"/>
  <c r="BM580"/>
  <c r="BO580"/>
  <c r="BP580"/>
  <c r="BQ580"/>
  <c r="BR580"/>
  <c r="BS580"/>
  <c r="BT580"/>
  <c r="BU580"/>
  <c r="BV580"/>
  <c r="BW580"/>
  <c r="BX580"/>
  <c r="BY580"/>
  <c r="BZ580"/>
  <c r="CA580"/>
  <c r="CB580"/>
  <c r="CC580"/>
  <c r="CD580"/>
  <c r="CG580"/>
  <c r="CH580"/>
  <c r="CI580"/>
  <c r="CK580"/>
  <c r="CL580"/>
  <c r="CM580"/>
  <c r="CN580"/>
  <c r="CO580"/>
  <c r="CP580"/>
  <c r="CQ580"/>
  <c r="CR580"/>
  <c r="CS580"/>
  <c r="CT580"/>
  <c r="CU580"/>
  <c r="CV580"/>
  <c r="CW580"/>
  <c r="CX580"/>
  <c r="CY580"/>
  <c r="CZ580"/>
  <c r="BE581"/>
  <c r="BF581"/>
  <c r="BG581"/>
  <c r="BH581"/>
  <c r="BI581"/>
  <c r="BJ581"/>
  <c r="BK581"/>
  <c r="BL581"/>
  <c r="BM581"/>
  <c r="BO581"/>
  <c r="BP581"/>
  <c r="BQ581"/>
  <c r="BR581"/>
  <c r="BS581"/>
  <c r="BT581"/>
  <c r="BU581"/>
  <c r="BV581"/>
  <c r="BW581"/>
  <c r="BX581"/>
  <c r="BY581"/>
  <c r="BZ581"/>
  <c r="CA581"/>
  <c r="CB581"/>
  <c r="CC581"/>
  <c r="CD581"/>
  <c r="CG581"/>
  <c r="CH581"/>
  <c r="CI581"/>
  <c r="CK581"/>
  <c r="CL581"/>
  <c r="CM581"/>
  <c r="CN581"/>
  <c r="CO581"/>
  <c r="CP581"/>
  <c r="CQ581"/>
  <c r="CR581"/>
  <c r="CS581"/>
  <c r="CT581"/>
  <c r="CU581"/>
  <c r="CV581"/>
  <c r="CW581"/>
  <c r="CX581"/>
  <c r="CY581"/>
  <c r="CZ581"/>
  <c r="BE582"/>
  <c r="BF582"/>
  <c r="BG582"/>
  <c r="BH582"/>
  <c r="BI582"/>
  <c r="BJ582"/>
  <c r="BK582"/>
  <c r="BL582"/>
  <c r="BM582"/>
  <c r="BO582"/>
  <c r="BP582"/>
  <c r="BQ582"/>
  <c r="BR582"/>
  <c r="BS582"/>
  <c r="BT582"/>
  <c r="BU582"/>
  <c r="BV582"/>
  <c r="BW582"/>
  <c r="BX582"/>
  <c r="BY582"/>
  <c r="BZ582"/>
  <c r="CA582"/>
  <c r="CB582"/>
  <c r="CC582"/>
  <c r="CD582"/>
  <c r="CG582"/>
  <c r="CH582"/>
  <c r="CI582"/>
  <c r="CK582"/>
  <c r="CL582"/>
  <c r="CM582"/>
  <c r="CN582"/>
  <c r="CO582"/>
  <c r="CP582"/>
  <c r="CQ582"/>
  <c r="CR582"/>
  <c r="CS582"/>
  <c r="CT582"/>
  <c r="CU582"/>
  <c r="CV582"/>
  <c r="CW582"/>
  <c r="CX582"/>
  <c r="CY582"/>
  <c r="CZ582"/>
  <c r="BE583"/>
  <c r="BF583"/>
  <c r="BG583"/>
  <c r="BH583"/>
  <c r="BI583"/>
  <c r="BJ583"/>
  <c r="BK583"/>
  <c r="BL583"/>
  <c r="BM583"/>
  <c r="BO583"/>
  <c r="BP583"/>
  <c r="BQ583"/>
  <c r="BR583"/>
  <c r="BS583"/>
  <c r="BT583"/>
  <c r="BU583"/>
  <c r="BV583"/>
  <c r="BW583"/>
  <c r="BX583"/>
  <c r="BY583"/>
  <c r="BZ583"/>
  <c r="CA583"/>
  <c r="CB583"/>
  <c r="CC583"/>
  <c r="CD583"/>
  <c r="CG583"/>
  <c r="CH583"/>
  <c r="CI583"/>
  <c r="CK583"/>
  <c r="CL583"/>
  <c r="CM583"/>
  <c r="CN583"/>
  <c r="CO583"/>
  <c r="CP583"/>
  <c r="CQ583"/>
  <c r="CR583"/>
  <c r="CS583"/>
  <c r="CT583"/>
  <c r="CU583"/>
  <c r="CV583"/>
  <c r="CW583"/>
  <c r="CX583"/>
  <c r="CY583"/>
  <c r="CZ583"/>
  <c r="BE584"/>
  <c r="BF584"/>
  <c r="BG584"/>
  <c r="BH584"/>
  <c r="BI584"/>
  <c r="BJ584"/>
  <c r="BK584"/>
  <c r="BL584"/>
  <c r="BM584"/>
  <c r="BO584"/>
  <c r="BP584"/>
  <c r="BQ584"/>
  <c r="BR584"/>
  <c r="BS584"/>
  <c r="BT584"/>
  <c r="BU584"/>
  <c r="BV584"/>
  <c r="BW584"/>
  <c r="BX584"/>
  <c r="BY584"/>
  <c r="BZ584"/>
  <c r="CA584"/>
  <c r="CB584"/>
  <c r="CC584"/>
  <c r="CD584"/>
  <c r="CG584"/>
  <c r="CH584"/>
  <c r="CI584"/>
  <c r="CK584"/>
  <c r="CL584"/>
  <c r="CM584"/>
  <c r="CN584"/>
  <c r="CO584"/>
  <c r="CP584"/>
  <c r="CQ584"/>
  <c r="CR584"/>
  <c r="CS584"/>
  <c r="CT584"/>
  <c r="CU584"/>
  <c r="CV584"/>
  <c r="CW584"/>
  <c r="CX584"/>
  <c r="CY584"/>
  <c r="CZ584"/>
  <c r="BE585"/>
  <c r="BF585"/>
  <c r="BG585"/>
  <c r="BH585"/>
  <c r="BI585"/>
  <c r="BJ585"/>
  <c r="BK585"/>
  <c r="BL585"/>
  <c r="BM585"/>
  <c r="BO585"/>
  <c r="BP585"/>
  <c r="BQ585"/>
  <c r="BR585"/>
  <c r="BS585"/>
  <c r="BT585"/>
  <c r="BU585"/>
  <c r="BV585"/>
  <c r="BW585"/>
  <c r="BX585"/>
  <c r="BY585"/>
  <c r="BZ585"/>
  <c r="CA585"/>
  <c r="CB585"/>
  <c r="CC585"/>
  <c r="CD585"/>
  <c r="CG585"/>
  <c r="CH585"/>
  <c r="CI585"/>
  <c r="CK585"/>
  <c r="CL585"/>
  <c r="CM585"/>
  <c r="CN585"/>
  <c r="CO585"/>
  <c r="CP585"/>
  <c r="CQ585"/>
  <c r="CR585"/>
  <c r="CS585"/>
  <c r="CT585"/>
  <c r="CU585"/>
  <c r="CV585"/>
  <c r="CW585"/>
  <c r="CX585"/>
  <c r="CY585"/>
  <c r="CZ585"/>
  <c r="BE586"/>
  <c r="BF586"/>
  <c r="BG586"/>
  <c r="BH586"/>
  <c r="BI586"/>
  <c r="BJ586"/>
  <c r="BK586"/>
  <c r="BL586"/>
  <c r="BM586"/>
  <c r="BO586"/>
  <c r="BP586"/>
  <c r="BQ586"/>
  <c r="BR586"/>
  <c r="BS586"/>
  <c r="BT586"/>
  <c r="BU586"/>
  <c r="BV586"/>
  <c r="BW586"/>
  <c r="BX586"/>
  <c r="BY586"/>
  <c r="BZ586"/>
  <c r="CA586"/>
  <c r="CB586"/>
  <c r="CC586"/>
  <c r="CD586"/>
  <c r="CG586"/>
  <c r="CH586"/>
  <c r="CI586"/>
  <c r="CK586"/>
  <c r="CL586"/>
  <c r="CM586"/>
  <c r="CN586"/>
  <c r="CO586"/>
  <c r="CP586"/>
  <c r="CQ586"/>
  <c r="CR586"/>
  <c r="CS586"/>
  <c r="CT586"/>
  <c r="CU586"/>
  <c r="CV586"/>
  <c r="CW586"/>
  <c r="CX586"/>
  <c r="CY586"/>
  <c r="CZ586"/>
  <c r="BE587"/>
  <c r="BF587"/>
  <c r="BG587"/>
  <c r="BH587"/>
  <c r="BI587"/>
  <c r="BJ587"/>
  <c r="BK587"/>
  <c r="BL587"/>
  <c r="BM587"/>
  <c r="BO587"/>
  <c r="BP587"/>
  <c r="BQ587"/>
  <c r="BR587"/>
  <c r="BS587"/>
  <c r="BT587"/>
  <c r="BU587"/>
  <c r="BV587"/>
  <c r="BW587"/>
  <c r="BX587"/>
  <c r="BY587"/>
  <c r="BZ587"/>
  <c r="CA587"/>
  <c r="CB587"/>
  <c r="CC587"/>
  <c r="CD587"/>
  <c r="CG587"/>
  <c r="CH587"/>
  <c r="CI587"/>
  <c r="CK587"/>
  <c r="CL587"/>
  <c r="CM587"/>
  <c r="CN587"/>
  <c r="CO587"/>
  <c r="CP587"/>
  <c r="CQ587"/>
  <c r="CR587"/>
  <c r="CS587"/>
  <c r="CT587"/>
  <c r="CU587"/>
  <c r="CV587"/>
  <c r="CW587"/>
  <c r="CX587"/>
  <c r="CY587"/>
  <c r="CZ587"/>
  <c r="BE589"/>
  <c r="BF589"/>
  <c r="BG589"/>
  <c r="BH589"/>
  <c r="BI589"/>
  <c r="BJ589"/>
  <c r="BK589"/>
  <c r="BL589"/>
  <c r="BM589"/>
  <c r="BO589"/>
  <c r="BP589"/>
  <c r="BQ589"/>
  <c r="BR589"/>
  <c r="BS589"/>
  <c r="BT589"/>
  <c r="BU589"/>
  <c r="BV589"/>
  <c r="BW589"/>
  <c r="BX589"/>
  <c r="BY589"/>
  <c r="BZ589"/>
  <c r="CA589"/>
  <c r="CB589"/>
  <c r="CC589"/>
  <c r="CD589"/>
  <c r="CG589"/>
  <c r="CH589"/>
  <c r="CI589"/>
  <c r="CK589"/>
  <c r="CL589"/>
  <c r="CM589"/>
  <c r="CN589"/>
  <c r="CO589"/>
  <c r="CP589"/>
  <c r="CQ589"/>
  <c r="CR589"/>
  <c r="CS589"/>
  <c r="CT589"/>
  <c r="CU589"/>
  <c r="CV589"/>
  <c r="CW589"/>
  <c r="CX589"/>
  <c r="CY589"/>
  <c r="CZ589"/>
  <c r="BE591"/>
  <c r="BF591"/>
  <c r="BG591"/>
  <c r="BH591"/>
  <c r="BI591"/>
  <c r="BJ591"/>
  <c r="BK591"/>
  <c r="BL591"/>
  <c r="BM591"/>
  <c r="BO591"/>
  <c r="BP591"/>
  <c r="BQ591"/>
  <c r="BR591"/>
  <c r="BS591"/>
  <c r="BT591"/>
  <c r="BU591"/>
  <c r="BV591"/>
  <c r="BW591"/>
  <c r="BX591"/>
  <c r="BY591"/>
  <c r="BZ591"/>
  <c r="CA591"/>
  <c r="CB591"/>
  <c r="CC591"/>
  <c r="CD591"/>
  <c r="CG591"/>
  <c r="CH591"/>
  <c r="CI591"/>
  <c r="CK591"/>
  <c r="CL591"/>
  <c r="CM591"/>
  <c r="CN591"/>
  <c r="CO591"/>
  <c r="CP591"/>
  <c r="CQ591"/>
  <c r="CR591"/>
  <c r="CS591"/>
  <c r="CT591"/>
  <c r="CU591"/>
  <c r="CV591"/>
  <c r="CW591"/>
  <c r="CX591"/>
  <c r="CY591"/>
  <c r="CZ591"/>
  <c r="BE593"/>
  <c r="BF593"/>
  <c r="BG593"/>
  <c r="BH593"/>
  <c r="BI593"/>
  <c r="BJ593"/>
  <c r="BK593"/>
  <c r="BL593"/>
  <c r="BM593"/>
  <c r="BO593"/>
  <c r="BP593"/>
  <c r="BQ593"/>
  <c r="BR593"/>
  <c r="BS593"/>
  <c r="BT593"/>
  <c r="BU593"/>
  <c r="BV593"/>
  <c r="BW593"/>
  <c r="BX593"/>
  <c r="BY593"/>
  <c r="BZ593"/>
  <c r="CA593"/>
  <c r="CB593"/>
  <c r="CC593"/>
  <c r="CD593"/>
  <c r="CG593"/>
  <c r="CH593"/>
  <c r="CI593"/>
  <c r="CK593"/>
  <c r="CL593"/>
  <c r="CM593"/>
  <c r="CN593"/>
  <c r="CO593"/>
  <c r="CP593"/>
  <c r="CQ593"/>
  <c r="CR593"/>
  <c r="CS593"/>
  <c r="CT593"/>
  <c r="CU593"/>
  <c r="CV593"/>
  <c r="CW593"/>
  <c r="CX593"/>
  <c r="CY593"/>
  <c r="CZ593"/>
  <c r="BE594"/>
  <c r="BF594"/>
  <c r="BG594"/>
  <c r="BH594"/>
  <c r="BI594"/>
  <c r="BJ594"/>
  <c r="BK594"/>
  <c r="BL594"/>
  <c r="BM594"/>
  <c r="BO594"/>
  <c r="BP594"/>
  <c r="BQ594"/>
  <c r="BR594"/>
  <c r="BS594"/>
  <c r="BT594"/>
  <c r="BU594"/>
  <c r="BV594"/>
  <c r="BW594"/>
  <c r="BX594"/>
  <c r="BY594"/>
  <c r="BZ594"/>
  <c r="CA594"/>
  <c r="CB594"/>
  <c r="CC594"/>
  <c r="CD594"/>
  <c r="CG594"/>
  <c r="CH594"/>
  <c r="CI594"/>
  <c r="CK594"/>
  <c r="CL594"/>
  <c r="CM594"/>
  <c r="CN594"/>
  <c r="CO594"/>
  <c r="CP594"/>
  <c r="CQ594"/>
  <c r="CR594"/>
  <c r="CS594"/>
  <c r="CT594"/>
  <c r="CU594"/>
  <c r="CV594"/>
  <c r="CW594"/>
  <c r="CX594"/>
  <c r="CY594"/>
  <c r="CZ594"/>
  <c r="BE595"/>
  <c r="BF595"/>
  <c r="BG595"/>
  <c r="BH595"/>
  <c r="BI595"/>
  <c r="BJ595"/>
  <c r="BK595"/>
  <c r="BL595"/>
  <c r="BM595"/>
  <c r="BO595"/>
  <c r="BP595"/>
  <c r="BQ595"/>
  <c r="BR595"/>
  <c r="BS595"/>
  <c r="BT595"/>
  <c r="BU595"/>
  <c r="BV595"/>
  <c r="BW595"/>
  <c r="BX595"/>
  <c r="BY595"/>
  <c r="BZ595"/>
  <c r="CA595"/>
  <c r="CB595"/>
  <c r="CC595"/>
  <c r="CD595"/>
  <c r="CG595"/>
  <c r="CH595"/>
  <c r="CI595"/>
  <c r="CK595"/>
  <c r="CL595"/>
  <c r="CM595"/>
  <c r="CN595"/>
  <c r="CO595"/>
  <c r="CP595"/>
  <c r="CQ595"/>
  <c r="CR595"/>
  <c r="CS595"/>
  <c r="CT595"/>
  <c r="CU595"/>
  <c r="CV595"/>
  <c r="CW595"/>
  <c r="CX595"/>
  <c r="CY595"/>
  <c r="CZ595"/>
  <c r="BE596"/>
  <c r="BF596"/>
  <c r="BG596"/>
  <c r="BH596"/>
  <c r="BI596"/>
  <c r="BJ596"/>
  <c r="BK596"/>
  <c r="BL596"/>
  <c r="BM596"/>
  <c r="BO596"/>
  <c r="BP596"/>
  <c r="BQ596"/>
  <c r="BR596"/>
  <c r="BS596"/>
  <c r="BT596"/>
  <c r="BU596"/>
  <c r="BV596"/>
  <c r="BW596"/>
  <c r="BX596"/>
  <c r="BY596"/>
  <c r="BZ596"/>
  <c r="CA596"/>
  <c r="CB596"/>
  <c r="CC596"/>
  <c r="CD596"/>
  <c r="CG596"/>
  <c r="CH596"/>
  <c r="CI596"/>
  <c r="CK596"/>
  <c r="CL596"/>
  <c r="CM596"/>
  <c r="CN596"/>
  <c r="CO596"/>
  <c r="CP596"/>
  <c r="CQ596"/>
  <c r="CR596"/>
  <c r="CS596"/>
  <c r="CT596"/>
  <c r="CU596"/>
  <c r="CV596"/>
  <c r="CW596"/>
  <c r="CX596"/>
  <c r="CY596"/>
  <c r="CZ596"/>
  <c r="BE597"/>
  <c r="BF597"/>
  <c r="BG597"/>
  <c r="BH597"/>
  <c r="BI597"/>
  <c r="BJ597"/>
  <c r="BK597"/>
  <c r="BL597"/>
  <c r="BM597"/>
  <c r="BO597"/>
  <c r="BP597"/>
  <c r="BQ597"/>
  <c r="BR597"/>
  <c r="BS597"/>
  <c r="BT597"/>
  <c r="BU597"/>
  <c r="BV597"/>
  <c r="BW597"/>
  <c r="BX597"/>
  <c r="BY597"/>
  <c r="BZ597"/>
  <c r="CA597"/>
  <c r="CB597"/>
  <c r="CC597"/>
  <c r="CD597"/>
  <c r="CG597"/>
  <c r="CH597"/>
  <c r="CI597"/>
  <c r="CK597"/>
  <c r="CL597"/>
  <c r="CM597"/>
  <c r="CN597"/>
  <c r="CO597"/>
  <c r="CP597"/>
  <c r="CQ597"/>
  <c r="CR597"/>
  <c r="CS597"/>
  <c r="CT597"/>
  <c r="CU597"/>
  <c r="CV597"/>
  <c r="CW597"/>
  <c r="CX597"/>
  <c r="CY597"/>
  <c r="CZ597"/>
  <c r="BE598"/>
  <c r="BF598"/>
  <c r="BG598"/>
  <c r="BH598"/>
  <c r="BI598"/>
  <c r="BJ598"/>
  <c r="BK598"/>
  <c r="BL598"/>
  <c r="BM598"/>
  <c r="BO598"/>
  <c r="BP598"/>
  <c r="BQ598"/>
  <c r="BR598"/>
  <c r="BS598"/>
  <c r="BT598"/>
  <c r="BU598"/>
  <c r="BV598"/>
  <c r="BW598"/>
  <c r="BX598"/>
  <c r="BY598"/>
  <c r="BZ598"/>
  <c r="CA598"/>
  <c r="CB598"/>
  <c r="CC598"/>
  <c r="CD598"/>
  <c r="CG598"/>
  <c r="CH598"/>
  <c r="CI598"/>
  <c r="CK598"/>
  <c r="CL598"/>
  <c r="CM598"/>
  <c r="CN598"/>
  <c r="CO598"/>
  <c r="CP598"/>
  <c r="CQ598"/>
  <c r="CR598"/>
  <c r="CS598"/>
  <c r="CT598"/>
  <c r="CU598"/>
  <c r="CV598"/>
  <c r="CW598"/>
  <c r="CX598"/>
  <c r="CY598"/>
  <c r="CZ598"/>
  <c r="BE599"/>
  <c r="BF599"/>
  <c r="BG599"/>
  <c r="BH599"/>
  <c r="BI599"/>
  <c r="BJ599"/>
  <c r="BK599"/>
  <c r="BL599"/>
  <c r="BM599"/>
  <c r="BO599"/>
  <c r="BP599"/>
  <c r="BQ599"/>
  <c r="BR599"/>
  <c r="BS599"/>
  <c r="BT599"/>
  <c r="BU599"/>
  <c r="BV599"/>
  <c r="BW599"/>
  <c r="BX599"/>
  <c r="BY599"/>
  <c r="BZ599"/>
  <c r="CA599"/>
  <c r="CB599"/>
  <c r="CC599"/>
  <c r="CD599"/>
  <c r="CG599"/>
  <c r="CH599"/>
  <c r="CI599"/>
  <c r="CK599"/>
  <c r="CL599"/>
  <c r="CM599"/>
  <c r="CN599"/>
  <c r="CO599"/>
  <c r="CP599"/>
  <c r="CQ599"/>
  <c r="CR599"/>
  <c r="CS599"/>
  <c r="CT599"/>
  <c r="CU599"/>
  <c r="CV599"/>
  <c r="CW599"/>
  <c r="CX599"/>
  <c r="CY599"/>
  <c r="CZ599"/>
  <c r="BE600"/>
  <c r="BF600"/>
  <c r="BG600"/>
  <c r="BH600"/>
  <c r="BI600"/>
  <c r="BJ600"/>
  <c r="BK600"/>
  <c r="BL600"/>
  <c r="BM600"/>
  <c r="BO600"/>
  <c r="BP600"/>
  <c r="BQ600"/>
  <c r="BR600"/>
  <c r="BS600"/>
  <c r="BT600"/>
  <c r="BU600"/>
  <c r="BV600"/>
  <c r="BW600"/>
  <c r="BX600"/>
  <c r="BY600"/>
  <c r="BZ600"/>
  <c r="CA600"/>
  <c r="CB600"/>
  <c r="CC600"/>
  <c r="CD600"/>
  <c r="CG600"/>
  <c r="CH600"/>
  <c r="CI600"/>
  <c r="CK600"/>
  <c r="CL600"/>
  <c r="CM600"/>
  <c r="CN600"/>
  <c r="CO600"/>
  <c r="CP600"/>
  <c r="CQ600"/>
  <c r="CR600"/>
  <c r="CS600"/>
  <c r="CT600"/>
  <c r="CU600"/>
  <c r="CV600"/>
  <c r="CW600"/>
  <c r="CX600"/>
  <c r="CY600"/>
  <c r="CZ600"/>
  <c r="BE601"/>
  <c r="BF601"/>
  <c r="BG601"/>
  <c r="BH601"/>
  <c r="BI601"/>
  <c r="BJ601"/>
  <c r="BK601"/>
  <c r="BL601"/>
  <c r="BM601"/>
  <c r="BO601"/>
  <c r="BP601"/>
  <c r="BQ601"/>
  <c r="BR601"/>
  <c r="BS601"/>
  <c r="BT601"/>
  <c r="BU601"/>
  <c r="BV601"/>
  <c r="BW601"/>
  <c r="BX601"/>
  <c r="BY601"/>
  <c r="BZ601"/>
  <c r="CA601"/>
  <c r="CB601"/>
  <c r="CC601"/>
  <c r="CD601"/>
  <c r="CG601"/>
  <c r="CH601"/>
  <c r="CI601"/>
  <c r="CK601"/>
  <c r="CL601"/>
  <c r="CM601"/>
  <c r="CN601"/>
  <c r="CO601"/>
  <c r="CP601"/>
  <c r="CQ601"/>
  <c r="CR601"/>
  <c r="CS601"/>
  <c r="CT601"/>
  <c r="CU601"/>
  <c r="CV601"/>
  <c r="CW601"/>
  <c r="CX601"/>
  <c r="CY601"/>
  <c r="CZ601"/>
  <c r="BE604"/>
  <c r="BF604"/>
  <c r="BG604"/>
  <c r="BH604"/>
  <c r="BI604"/>
  <c r="BJ604"/>
  <c r="BK604"/>
  <c r="BL604"/>
  <c r="BM604"/>
  <c r="BO604"/>
  <c r="BP604"/>
  <c r="BQ604"/>
  <c r="BR604"/>
  <c r="BS604"/>
  <c r="BT604"/>
  <c r="BU604"/>
  <c r="BV604"/>
  <c r="BW604"/>
  <c r="BX604"/>
  <c r="BY604"/>
  <c r="BZ604"/>
  <c r="CA604"/>
  <c r="CB604"/>
  <c r="CC604"/>
  <c r="CD604"/>
  <c r="CG604"/>
  <c r="CH604"/>
  <c r="CI604"/>
  <c r="CK604"/>
  <c r="CL604"/>
  <c r="CM604"/>
  <c r="CN604"/>
  <c r="CO604"/>
  <c r="CP604"/>
  <c r="CQ604"/>
  <c r="CR604"/>
  <c r="CS604"/>
  <c r="CT604"/>
  <c r="CU604"/>
  <c r="CV604"/>
  <c r="CW604"/>
  <c r="CX604"/>
  <c r="CY604"/>
  <c r="CZ604"/>
  <c r="BE605"/>
  <c r="BF605"/>
  <c r="BG605"/>
  <c r="BH605"/>
  <c r="BI605"/>
  <c r="BJ605"/>
  <c r="BK605"/>
  <c r="BL605"/>
  <c r="BM605"/>
  <c r="BO605"/>
  <c r="BP605"/>
  <c r="BQ605"/>
  <c r="BR605"/>
  <c r="BS605"/>
  <c r="BT605"/>
  <c r="BU605"/>
  <c r="BV605"/>
  <c r="BW605"/>
  <c r="BX605"/>
  <c r="BY605"/>
  <c r="BZ605"/>
  <c r="CA605"/>
  <c r="CB605"/>
  <c r="CC605"/>
  <c r="CD605"/>
  <c r="CG605"/>
  <c r="CH605"/>
  <c r="CI605"/>
  <c r="CK605"/>
  <c r="CL605"/>
  <c r="CM605"/>
  <c r="CN605"/>
  <c r="CO605"/>
  <c r="CP605"/>
  <c r="CQ605"/>
  <c r="CR605"/>
  <c r="CS605"/>
  <c r="CT605"/>
  <c r="CU605"/>
  <c r="CV605"/>
  <c r="CW605"/>
  <c r="CX605"/>
  <c r="CY605"/>
  <c r="CZ605"/>
  <c r="BE606"/>
  <c r="BF606"/>
  <c r="BG606"/>
  <c r="BH606"/>
  <c r="BI606"/>
  <c r="BJ606"/>
  <c r="BK606"/>
  <c r="BL606"/>
  <c r="BM606"/>
  <c r="BO606"/>
  <c r="BP606"/>
  <c r="BQ606"/>
  <c r="BR606"/>
  <c r="BS606"/>
  <c r="BT606"/>
  <c r="BU606"/>
  <c r="BV606"/>
  <c r="BW606"/>
  <c r="BX606"/>
  <c r="BY606"/>
  <c r="BZ606"/>
  <c r="CA606"/>
  <c r="CB606"/>
  <c r="CC606"/>
  <c r="CD606"/>
  <c r="CG606"/>
  <c r="CH606"/>
  <c r="CI606"/>
  <c r="CK606"/>
  <c r="CL606"/>
  <c r="CM606"/>
  <c r="CN606"/>
  <c r="CO606"/>
  <c r="CP606"/>
  <c r="CQ606"/>
  <c r="CR606"/>
  <c r="CS606"/>
  <c r="CT606"/>
  <c r="CU606"/>
  <c r="CV606"/>
  <c r="CW606"/>
  <c r="CX606"/>
  <c r="CY606"/>
  <c r="CZ606"/>
  <c r="BE607"/>
  <c r="BF607"/>
  <c r="BG607"/>
  <c r="BH607"/>
  <c r="BI607"/>
  <c r="BJ607"/>
  <c r="BK607"/>
  <c r="BL607"/>
  <c r="BM607"/>
  <c r="BO607"/>
  <c r="BP607"/>
  <c r="BQ607"/>
  <c r="BR607"/>
  <c r="BS607"/>
  <c r="BT607"/>
  <c r="BU607"/>
  <c r="BV607"/>
  <c r="BW607"/>
  <c r="BX607"/>
  <c r="BY607"/>
  <c r="BZ607"/>
  <c r="CA607"/>
  <c r="CB607"/>
  <c r="CC607"/>
  <c r="CD607"/>
  <c r="CG607"/>
  <c r="CH607"/>
  <c r="CI607"/>
  <c r="CK607"/>
  <c r="CL607"/>
  <c r="CM607"/>
  <c r="CN607"/>
  <c r="CO607"/>
  <c r="CP607"/>
  <c r="CQ607"/>
  <c r="CR607"/>
  <c r="CS607"/>
  <c r="CT607"/>
  <c r="CU607"/>
  <c r="CV607"/>
  <c r="CW607"/>
  <c r="CX607"/>
  <c r="CY607"/>
  <c r="CZ607"/>
  <c r="BE608"/>
  <c r="BF608"/>
  <c r="BG608"/>
  <c r="BH608"/>
  <c r="BI608"/>
  <c r="BJ608"/>
  <c r="BK608"/>
  <c r="BL608"/>
  <c r="BM608"/>
  <c r="BO608"/>
  <c r="BP608"/>
  <c r="BQ608"/>
  <c r="BR608"/>
  <c r="BS608"/>
  <c r="BT608"/>
  <c r="BU608"/>
  <c r="BV608"/>
  <c r="BW608"/>
  <c r="BX608"/>
  <c r="BY608"/>
  <c r="BZ608"/>
  <c r="CA608"/>
  <c r="CB608"/>
  <c r="CC608"/>
  <c r="CD608"/>
  <c r="CG608"/>
  <c r="CH608"/>
  <c r="CI608"/>
  <c r="CK608"/>
  <c r="CL608"/>
  <c r="CM608"/>
  <c r="CN608"/>
  <c r="CO608"/>
  <c r="CP608"/>
  <c r="CQ608"/>
  <c r="CR608"/>
  <c r="CS608"/>
  <c r="CT608"/>
  <c r="CU608"/>
  <c r="CV608"/>
  <c r="CW608"/>
  <c r="CX608"/>
  <c r="CY608"/>
  <c r="CZ608"/>
  <c r="BE609"/>
  <c r="BF609"/>
  <c r="BG609"/>
  <c r="BH609"/>
  <c r="BI609"/>
  <c r="BJ609"/>
  <c r="BK609"/>
  <c r="BL609"/>
  <c r="BM609"/>
  <c r="BO609"/>
  <c r="BP609"/>
  <c r="BQ609"/>
  <c r="BR609"/>
  <c r="BS609"/>
  <c r="BT609"/>
  <c r="BU609"/>
  <c r="BV609"/>
  <c r="BW609"/>
  <c r="BX609"/>
  <c r="BY609"/>
  <c r="BZ609"/>
  <c r="CA609"/>
  <c r="CB609"/>
  <c r="CC609"/>
  <c r="CD609"/>
  <c r="CG609"/>
  <c r="CH609"/>
  <c r="CI609"/>
  <c r="CK609"/>
  <c r="CL609"/>
  <c r="CM609"/>
  <c r="CN609"/>
  <c r="CO609"/>
  <c r="CP609"/>
  <c r="CQ609"/>
  <c r="CR609"/>
  <c r="CS609"/>
  <c r="CT609"/>
  <c r="CU609"/>
  <c r="CV609"/>
  <c r="CW609"/>
  <c r="CX609"/>
  <c r="CY609"/>
  <c r="CZ609"/>
  <c r="BE611"/>
  <c r="BF611"/>
  <c r="BG611"/>
  <c r="BH611"/>
  <c r="BI611"/>
  <c r="BJ611"/>
  <c r="BK611"/>
  <c r="BL611"/>
  <c r="BM611"/>
  <c r="BO611"/>
  <c r="BP611"/>
  <c r="BQ611"/>
  <c r="BR611"/>
  <c r="BS611"/>
  <c r="BT611"/>
  <c r="BU611"/>
  <c r="BV611"/>
  <c r="BW611"/>
  <c r="BX611"/>
  <c r="BY611"/>
  <c r="BZ611"/>
  <c r="CA611"/>
  <c r="CB611"/>
  <c r="CC611"/>
  <c r="CD611"/>
  <c r="CG611"/>
  <c r="CH611"/>
  <c r="CI611"/>
  <c r="CK611"/>
  <c r="CL611"/>
  <c r="CM611"/>
  <c r="CN611"/>
  <c r="CO611"/>
  <c r="CP611"/>
  <c r="CQ611"/>
  <c r="CR611"/>
  <c r="CS611"/>
  <c r="CT611"/>
  <c r="CU611"/>
  <c r="CV611"/>
  <c r="CW611"/>
  <c r="CX611"/>
  <c r="CY611"/>
  <c r="CZ611"/>
  <c r="BE612"/>
  <c r="BF612"/>
  <c r="BG612"/>
  <c r="BH612"/>
  <c r="BI612"/>
  <c r="BJ612"/>
  <c r="BK612"/>
  <c r="BL612"/>
  <c r="BM612"/>
  <c r="BO612"/>
  <c r="BP612"/>
  <c r="BQ612"/>
  <c r="BR612"/>
  <c r="BS612"/>
  <c r="BT612"/>
  <c r="BU612"/>
  <c r="BV612"/>
  <c r="BW612"/>
  <c r="BX612"/>
  <c r="BY612"/>
  <c r="BZ612"/>
  <c r="CA612"/>
  <c r="CB612"/>
  <c r="CC612"/>
  <c r="CD612"/>
  <c r="CG612"/>
  <c r="CH612"/>
  <c r="CI612"/>
  <c r="CK612"/>
  <c r="CL612"/>
  <c r="CM612"/>
  <c r="CN612"/>
  <c r="CO612"/>
  <c r="CP612"/>
  <c r="CQ612"/>
  <c r="CR612"/>
  <c r="CS612"/>
  <c r="CT612"/>
  <c r="CU612"/>
  <c r="CV612"/>
  <c r="CW612"/>
  <c r="CX612"/>
  <c r="CY612"/>
  <c r="CZ612"/>
  <c r="BE613"/>
  <c r="BF613"/>
  <c r="BG613"/>
  <c r="BH613"/>
  <c r="BI613"/>
  <c r="BJ613"/>
  <c r="BK613"/>
  <c r="BL613"/>
  <c r="BM613"/>
  <c r="BO613"/>
  <c r="BP613"/>
  <c r="BQ613"/>
  <c r="BR613"/>
  <c r="BS613"/>
  <c r="BT613"/>
  <c r="BU613"/>
  <c r="BV613"/>
  <c r="BW613"/>
  <c r="BX613"/>
  <c r="BY613"/>
  <c r="BZ613"/>
  <c r="CA613"/>
  <c r="CB613"/>
  <c r="CC613"/>
  <c r="CD613"/>
  <c r="CG613"/>
  <c r="CH613"/>
  <c r="CI613"/>
  <c r="CK613"/>
  <c r="CL613"/>
  <c r="CM613"/>
  <c r="CN613"/>
  <c r="CO613"/>
  <c r="CP613"/>
  <c r="CQ613"/>
  <c r="CR613"/>
  <c r="CS613"/>
  <c r="CT613"/>
  <c r="CU613"/>
  <c r="CV613"/>
  <c r="CW613"/>
  <c r="CX613"/>
  <c r="CY613"/>
  <c r="CZ613"/>
  <c r="BE615"/>
  <c r="BF615"/>
  <c r="BG615"/>
  <c r="BH615"/>
  <c r="BI615"/>
  <c r="BJ615"/>
  <c r="BK615"/>
  <c r="BL615"/>
  <c r="BM615"/>
  <c r="BO615"/>
  <c r="BP615"/>
  <c r="BQ615"/>
  <c r="BR615"/>
  <c r="BS615"/>
  <c r="BT615"/>
  <c r="BU615"/>
  <c r="BV615"/>
  <c r="BW615"/>
  <c r="BX615"/>
  <c r="BY615"/>
  <c r="BZ615"/>
  <c r="CA615"/>
  <c r="CB615"/>
  <c r="CC615"/>
  <c r="CD615"/>
  <c r="CG615"/>
  <c r="CH615"/>
  <c r="CI615"/>
  <c r="CK615"/>
  <c r="CL615"/>
  <c r="CM615"/>
  <c r="CN615"/>
  <c r="CO615"/>
  <c r="CP615"/>
  <c r="CQ615"/>
  <c r="CR615"/>
  <c r="CS615"/>
  <c r="CT615"/>
  <c r="CU615"/>
  <c r="CV615"/>
  <c r="CW615"/>
  <c r="CX615"/>
  <c r="CY615"/>
  <c r="CZ615"/>
  <c r="BE616"/>
  <c r="BF616"/>
  <c r="BG616"/>
  <c r="BH616"/>
  <c r="BI616"/>
  <c r="BJ616"/>
  <c r="BK616"/>
  <c r="BL616"/>
  <c r="BM616"/>
  <c r="BO616"/>
  <c r="BP616"/>
  <c r="BQ616"/>
  <c r="BR616"/>
  <c r="BS616"/>
  <c r="BT616"/>
  <c r="BU616"/>
  <c r="BV616"/>
  <c r="BW616"/>
  <c r="BX616"/>
  <c r="BY616"/>
  <c r="BZ616"/>
  <c r="CA616"/>
  <c r="CB616"/>
  <c r="CC616"/>
  <c r="CD616"/>
  <c r="CG616"/>
  <c r="CH616"/>
  <c r="CI616"/>
  <c r="CK616"/>
  <c r="CL616"/>
  <c r="CM616"/>
  <c r="CN616"/>
  <c r="CO616"/>
  <c r="CP616"/>
  <c r="CQ616"/>
  <c r="CR616"/>
  <c r="CS616"/>
  <c r="CT616"/>
  <c r="CU616"/>
  <c r="CV616"/>
  <c r="CW616"/>
  <c r="CX616"/>
  <c r="CY616"/>
  <c r="CZ616"/>
  <c r="BE617"/>
  <c r="BF617"/>
  <c r="BG617"/>
  <c r="BH617"/>
  <c r="BI617"/>
  <c r="BJ617"/>
  <c r="BK617"/>
  <c r="BL617"/>
  <c r="BM617"/>
  <c r="BO617"/>
  <c r="BP617"/>
  <c r="BQ617"/>
  <c r="BR617"/>
  <c r="BS617"/>
  <c r="BT617"/>
  <c r="BU617"/>
  <c r="BV617"/>
  <c r="BW617"/>
  <c r="BX617"/>
  <c r="BY617"/>
  <c r="BZ617"/>
  <c r="CA617"/>
  <c r="CB617"/>
  <c r="CC617"/>
  <c r="CD617"/>
  <c r="CG617"/>
  <c r="CH617"/>
  <c r="CI617"/>
  <c r="CK617"/>
  <c r="CL617"/>
  <c r="CM617"/>
  <c r="CN617"/>
  <c r="CO617"/>
  <c r="CP617"/>
  <c r="CQ617"/>
  <c r="CR617"/>
  <c r="CS617"/>
  <c r="CT617"/>
  <c r="CU617"/>
  <c r="CV617"/>
  <c r="CW617"/>
  <c r="CX617"/>
  <c r="CY617"/>
  <c r="CZ617"/>
  <c r="BE619"/>
  <c r="BF619"/>
  <c r="BG619"/>
  <c r="BH619"/>
  <c r="BI619"/>
  <c r="BJ619"/>
  <c r="BK619"/>
  <c r="BL619"/>
  <c r="BM619"/>
  <c r="BO619"/>
  <c r="BP619"/>
  <c r="BQ619"/>
  <c r="BR619"/>
  <c r="BS619"/>
  <c r="BT619"/>
  <c r="BU619"/>
  <c r="BV619"/>
  <c r="BW619"/>
  <c r="BX619"/>
  <c r="BY619"/>
  <c r="BZ619"/>
  <c r="CA619"/>
  <c r="CB619"/>
  <c r="CC619"/>
  <c r="CD619"/>
  <c r="CG619"/>
  <c r="CH619"/>
  <c r="CI619"/>
  <c r="CK619"/>
  <c r="CL619"/>
  <c r="CM619"/>
  <c r="CN619"/>
  <c r="CO619"/>
  <c r="CP619"/>
  <c r="CQ619"/>
  <c r="CR619"/>
  <c r="CS619"/>
  <c r="CT619"/>
  <c r="CU619"/>
  <c r="CV619"/>
  <c r="CW619"/>
  <c r="CX619"/>
  <c r="CY619"/>
  <c r="CZ619"/>
  <c r="BE620"/>
  <c r="BF620"/>
  <c r="BG620"/>
  <c r="BH620"/>
  <c r="BI620"/>
  <c r="BJ620"/>
  <c r="BK620"/>
  <c r="BL620"/>
  <c r="BM620"/>
  <c r="BO620"/>
  <c r="BP620"/>
  <c r="BQ620"/>
  <c r="BR620"/>
  <c r="BS620"/>
  <c r="BT620"/>
  <c r="BU620"/>
  <c r="BV620"/>
  <c r="BW620"/>
  <c r="BX620"/>
  <c r="BY620"/>
  <c r="BZ620"/>
  <c r="CA620"/>
  <c r="CB620"/>
  <c r="CC620"/>
  <c r="CD620"/>
  <c r="CG620"/>
  <c r="CH620"/>
  <c r="CI620"/>
  <c r="CK620"/>
  <c r="CL620"/>
  <c r="CM620"/>
  <c r="CN620"/>
  <c r="CO620"/>
  <c r="CP620"/>
  <c r="CQ620"/>
  <c r="CR620"/>
  <c r="CS620"/>
  <c r="CT620"/>
  <c r="CU620"/>
  <c r="CV620"/>
  <c r="CW620"/>
  <c r="CX620"/>
  <c r="CY620"/>
  <c r="CZ620"/>
  <c r="BE621"/>
  <c r="BF621"/>
  <c r="BG621"/>
  <c r="BH621"/>
  <c r="BI621"/>
  <c r="BJ621"/>
  <c r="BK621"/>
  <c r="BL621"/>
  <c r="BM621"/>
  <c r="BO621"/>
  <c r="BP621"/>
  <c r="BQ621"/>
  <c r="BR621"/>
  <c r="BS621"/>
  <c r="BT621"/>
  <c r="BU621"/>
  <c r="BV621"/>
  <c r="BW621"/>
  <c r="BX621"/>
  <c r="BY621"/>
  <c r="BZ621"/>
  <c r="CA621"/>
  <c r="CB621"/>
  <c r="CC621"/>
  <c r="CD621"/>
  <c r="CG621"/>
  <c r="CH621"/>
  <c r="CI621"/>
  <c r="CK621"/>
  <c r="CL621"/>
  <c r="CM621"/>
  <c r="CN621"/>
  <c r="CO621"/>
  <c r="CP621"/>
  <c r="CQ621"/>
  <c r="CR621"/>
  <c r="CS621"/>
  <c r="CT621"/>
  <c r="CU621"/>
  <c r="CV621"/>
  <c r="CW621"/>
  <c r="CX621"/>
  <c r="CY621"/>
  <c r="CZ621"/>
  <c r="BE622"/>
  <c r="BF622"/>
  <c r="BG622"/>
  <c r="BH622"/>
  <c r="BI622"/>
  <c r="BJ622"/>
  <c r="BK622"/>
  <c r="BL622"/>
  <c r="BM622"/>
  <c r="BO622"/>
  <c r="BP622"/>
  <c r="BQ622"/>
  <c r="BR622"/>
  <c r="BS622"/>
  <c r="BT622"/>
  <c r="BU622"/>
  <c r="BV622"/>
  <c r="BW622"/>
  <c r="BX622"/>
  <c r="BY622"/>
  <c r="BZ622"/>
  <c r="CA622"/>
  <c r="CB622"/>
  <c r="CC622"/>
  <c r="CD622"/>
  <c r="CG622"/>
  <c r="CH622"/>
  <c r="CI622"/>
  <c r="CK622"/>
  <c r="CL622"/>
  <c r="CM622"/>
  <c r="CN622"/>
  <c r="CO622"/>
  <c r="CP622"/>
  <c r="CQ622"/>
  <c r="CR622"/>
  <c r="CS622"/>
  <c r="CT622"/>
  <c r="CU622"/>
  <c r="CV622"/>
  <c r="CW622"/>
  <c r="CX622"/>
  <c r="CY622"/>
  <c r="CZ622"/>
  <c r="BE623"/>
  <c r="BF623"/>
  <c r="BG623"/>
  <c r="BH623"/>
  <c r="BI623"/>
  <c r="BJ623"/>
  <c r="BK623"/>
  <c r="BL623"/>
  <c r="BM623"/>
  <c r="BO623"/>
  <c r="BP623"/>
  <c r="BQ623"/>
  <c r="BR623"/>
  <c r="BS623"/>
  <c r="BT623"/>
  <c r="BU623"/>
  <c r="BV623"/>
  <c r="BW623"/>
  <c r="BX623"/>
  <c r="BY623"/>
  <c r="BZ623"/>
  <c r="CA623"/>
  <c r="CB623"/>
  <c r="CC623"/>
  <c r="CD623"/>
  <c r="CG623"/>
  <c r="CH623"/>
  <c r="CI623"/>
  <c r="CK623"/>
  <c r="CL623"/>
  <c r="CM623"/>
  <c r="CN623"/>
  <c r="CO623"/>
  <c r="CP623"/>
  <c r="CQ623"/>
  <c r="CR623"/>
  <c r="CS623"/>
  <c r="CT623"/>
  <c r="CU623"/>
  <c r="CV623"/>
  <c r="CW623"/>
  <c r="CX623"/>
  <c r="CY623"/>
  <c r="CZ623"/>
  <c r="BE624"/>
  <c r="BF624"/>
  <c r="BG624"/>
  <c r="BH624"/>
  <c r="BI624"/>
  <c r="BJ624"/>
  <c r="BK624"/>
  <c r="BL624"/>
  <c r="BM624"/>
  <c r="BO624"/>
  <c r="BP624"/>
  <c r="BQ624"/>
  <c r="BR624"/>
  <c r="BS624"/>
  <c r="BT624"/>
  <c r="BU624"/>
  <c r="BV624"/>
  <c r="BW624"/>
  <c r="BX624"/>
  <c r="BY624"/>
  <c r="BZ624"/>
  <c r="CA624"/>
  <c r="CB624"/>
  <c r="CC624"/>
  <c r="CD624"/>
  <c r="CG624"/>
  <c r="CH624"/>
  <c r="CI624"/>
  <c r="CK624"/>
  <c r="CL624"/>
  <c r="CM624"/>
  <c r="CN624"/>
  <c r="CO624"/>
  <c r="CP624"/>
  <c r="CQ624"/>
  <c r="CR624"/>
  <c r="CS624"/>
  <c r="CT624"/>
  <c r="CU624"/>
  <c r="CV624"/>
  <c r="CW624"/>
  <c r="CX624"/>
  <c r="CY624"/>
  <c r="CZ624"/>
  <c r="BE625"/>
  <c r="BF625"/>
  <c r="BG625"/>
  <c r="BH625"/>
  <c r="BI625"/>
  <c r="BJ625"/>
  <c r="BK625"/>
  <c r="BL625"/>
  <c r="BM625"/>
  <c r="BO625"/>
  <c r="BP625"/>
  <c r="BQ625"/>
  <c r="BR625"/>
  <c r="BS625"/>
  <c r="BT625"/>
  <c r="BU625"/>
  <c r="BV625"/>
  <c r="BW625"/>
  <c r="BX625"/>
  <c r="BY625"/>
  <c r="BZ625"/>
  <c r="CA625"/>
  <c r="CB625"/>
  <c r="CC625"/>
  <c r="CD625"/>
  <c r="CG625"/>
  <c r="CH625"/>
  <c r="CI625"/>
  <c r="CK625"/>
  <c r="CL625"/>
  <c r="CM625"/>
  <c r="CN625"/>
  <c r="CO625"/>
  <c r="CP625"/>
  <c r="CQ625"/>
  <c r="CR625"/>
  <c r="CS625"/>
  <c r="CT625"/>
  <c r="CU625"/>
  <c r="CV625"/>
  <c r="CW625"/>
  <c r="CX625"/>
  <c r="CY625"/>
  <c r="CZ625"/>
  <c r="BE626"/>
  <c r="BF626"/>
  <c r="BG626"/>
  <c r="BH626"/>
  <c r="BI626"/>
  <c r="BJ626"/>
  <c r="BK626"/>
  <c r="BL626"/>
  <c r="BM626"/>
  <c r="BO626"/>
  <c r="BP626"/>
  <c r="BQ626"/>
  <c r="BR626"/>
  <c r="BS626"/>
  <c r="BT626"/>
  <c r="BU626"/>
  <c r="BV626"/>
  <c r="BW626"/>
  <c r="BX626"/>
  <c r="BY626"/>
  <c r="BZ626"/>
  <c r="CA626"/>
  <c r="CB626"/>
  <c r="CC626"/>
  <c r="CD626"/>
  <c r="CG626"/>
  <c r="CH626"/>
  <c r="CI626"/>
  <c r="CK626"/>
  <c r="CL626"/>
  <c r="CM626"/>
  <c r="CN626"/>
  <c r="CO626"/>
  <c r="CP626"/>
  <c r="CQ626"/>
  <c r="CR626"/>
  <c r="CS626"/>
  <c r="CT626"/>
  <c r="CU626"/>
  <c r="CV626"/>
  <c r="CW626"/>
  <c r="CX626"/>
  <c r="CY626"/>
  <c r="CZ626"/>
  <c r="BE627"/>
  <c r="BF627"/>
  <c r="BG627"/>
  <c r="BH627"/>
  <c r="BI627"/>
  <c r="BJ627"/>
  <c r="BK627"/>
  <c r="BL627"/>
  <c r="BM627"/>
  <c r="BO627"/>
  <c r="BP627"/>
  <c r="BQ627"/>
  <c r="BR627"/>
  <c r="BS627"/>
  <c r="BT627"/>
  <c r="BU627"/>
  <c r="BV627"/>
  <c r="BW627"/>
  <c r="BX627"/>
  <c r="BY627"/>
  <c r="BZ627"/>
  <c r="CA627"/>
  <c r="CB627"/>
  <c r="CC627"/>
  <c r="CD627"/>
  <c r="CG627"/>
  <c r="CH627"/>
  <c r="CI627"/>
  <c r="CK627"/>
  <c r="CL627"/>
  <c r="CM627"/>
  <c r="CN627"/>
  <c r="CO627"/>
  <c r="CP627"/>
  <c r="CQ627"/>
  <c r="CR627"/>
  <c r="CS627"/>
  <c r="CT627"/>
  <c r="CU627"/>
  <c r="CV627"/>
  <c r="CW627"/>
  <c r="CX627"/>
  <c r="CY627"/>
  <c r="CZ627"/>
  <c r="BP633"/>
  <c r="BQ633"/>
  <c r="BR633"/>
  <c r="BS633"/>
  <c r="BT633"/>
  <c r="BU633"/>
  <c r="BV633"/>
  <c r="BW633"/>
  <c r="BX633"/>
  <c r="BY633"/>
  <c r="BZ633"/>
  <c r="CA633"/>
  <c r="CB633"/>
  <c r="CC633"/>
  <c r="CD633"/>
  <c r="BP634"/>
  <c r="BQ634"/>
  <c r="BR634"/>
  <c r="BS634"/>
  <c r="BT634"/>
  <c r="BU634"/>
  <c r="BV634"/>
  <c r="BW634"/>
  <c r="BX634"/>
  <c r="BY634"/>
  <c r="BZ634"/>
  <c r="CA634"/>
  <c r="CB634"/>
  <c r="CC634"/>
  <c r="CD634"/>
  <c r="BL635"/>
  <c r="BM635"/>
  <c r="BO635"/>
  <c r="BP635"/>
  <c r="BQ635"/>
  <c r="BR635"/>
  <c r="BS635"/>
  <c r="BT635"/>
  <c r="BU635"/>
  <c r="BV635"/>
  <c r="BW635"/>
  <c r="BX635"/>
  <c r="BY635"/>
  <c r="BZ635"/>
  <c r="CA635"/>
  <c r="CB635"/>
  <c r="CC635"/>
  <c r="CD635"/>
  <c r="BL636"/>
  <c r="BM636"/>
  <c r="BN636"/>
  <c r="BO636"/>
  <c r="BP636"/>
  <c r="BQ636"/>
  <c r="BR636"/>
  <c r="BS636"/>
  <c r="BT636"/>
  <c r="BU636"/>
  <c r="BV636"/>
  <c r="BW636"/>
  <c r="BX636"/>
  <c r="BY636"/>
  <c r="BZ636"/>
  <c r="CA636"/>
  <c r="CB636"/>
  <c r="CC636"/>
  <c r="CD636"/>
  <c r="BO637"/>
  <c r="BP637"/>
  <c r="BQ637"/>
  <c r="BR637"/>
  <c r="BS637"/>
  <c r="BT637"/>
  <c r="BU637"/>
  <c r="BV637"/>
  <c r="BW637"/>
  <c r="BX637"/>
  <c r="BY637"/>
  <c r="BZ637"/>
  <c r="CA637"/>
  <c r="CB637"/>
  <c r="CC637"/>
  <c r="CD637"/>
  <c r="BL638"/>
  <c r="BM638"/>
  <c r="BN638"/>
  <c r="BO638"/>
  <c r="BP638"/>
  <c r="BQ638"/>
  <c r="BR638"/>
  <c r="BS638"/>
  <c r="BT638"/>
  <c r="BU638"/>
  <c r="BV638"/>
  <c r="BW638"/>
  <c r="BX638"/>
  <c r="BY638"/>
  <c r="BZ638"/>
  <c r="CA638"/>
  <c r="CB638"/>
  <c r="CC638"/>
  <c r="CD638"/>
  <c r="BD30" i="23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CF30"/>
  <c r="CG30"/>
  <c r="CH30"/>
  <c r="CI30"/>
  <c r="CJ30"/>
  <c r="CK30"/>
  <c r="CL30"/>
  <c r="CM30"/>
  <c r="BP31"/>
  <c r="BQ31"/>
  <c r="BR31"/>
  <c r="BS31"/>
  <c r="BT31"/>
  <c r="BU31"/>
  <c r="BV31"/>
  <c r="BW31"/>
  <c r="BX31"/>
  <c r="BY31"/>
  <c r="BZ31"/>
  <c r="CA31"/>
  <c r="CB31"/>
  <c r="CC31"/>
  <c r="CD31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CB34"/>
  <c r="CC34"/>
  <c r="CD34"/>
  <c r="CF34"/>
  <c r="CG34"/>
  <c r="CH34"/>
  <c r="CI34"/>
  <c r="CJ34"/>
  <c r="CK34"/>
  <c r="CL34"/>
  <c r="CM34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F37"/>
  <c r="CG37"/>
  <c r="CH37"/>
  <c r="CI37"/>
  <c r="CJ37"/>
  <c r="CK37"/>
  <c r="CL37"/>
  <c r="CM37"/>
  <c r="BC63"/>
  <c r="BD63"/>
  <c r="BE63"/>
  <c r="BF63"/>
  <c r="BG63"/>
  <c r="BH63"/>
  <c r="BI63"/>
  <c r="BJ63"/>
  <c r="BK63"/>
  <c r="BL63"/>
  <c r="BM63"/>
  <c r="BN63"/>
  <c r="BO63"/>
  <c r="BP63"/>
  <c r="BQ63"/>
  <c r="BR63"/>
  <c r="BS63"/>
  <c r="BT63"/>
  <c r="BU63"/>
  <c r="BV63"/>
  <c r="BW63"/>
  <c r="BX63"/>
  <c r="BY63"/>
  <c r="BZ63"/>
  <c r="CA63"/>
  <c r="CB63"/>
  <c r="CC63"/>
  <c r="CD63"/>
  <c r="CF63"/>
  <c r="CG63"/>
  <c r="CH63"/>
  <c r="CI63"/>
  <c r="CJ63"/>
  <c r="CK63"/>
  <c r="CL63"/>
  <c r="CM63"/>
  <c r="BC65"/>
  <c r="BD65"/>
  <c r="BE65"/>
  <c r="BF65"/>
  <c r="BG65"/>
  <c r="BH65"/>
  <c r="BI65"/>
  <c r="BJ65"/>
  <c r="BK65"/>
  <c r="BL65"/>
  <c r="BM65"/>
  <c r="BN65"/>
  <c r="BO65"/>
  <c r="BP65"/>
  <c r="BQ65"/>
  <c r="BR65"/>
  <c r="BS65"/>
  <c r="BT65"/>
  <c r="BU65"/>
  <c r="BV65"/>
  <c r="BW65"/>
  <c r="BX65"/>
  <c r="BY65"/>
  <c r="BZ65"/>
  <c r="CA65"/>
  <c r="CB65"/>
  <c r="CC65"/>
  <c r="CD65"/>
  <c r="CF65"/>
  <c r="CG65"/>
  <c r="CH65"/>
  <c r="CI65"/>
  <c r="CJ65"/>
  <c r="CK65"/>
  <c r="CL65"/>
  <c r="CM65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F66"/>
  <c r="CG66"/>
  <c r="CH66"/>
  <c r="CI66"/>
  <c r="CJ66"/>
  <c r="CK66"/>
  <c r="CL66"/>
  <c r="CM66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F67"/>
  <c r="CG67"/>
  <c r="CH67"/>
  <c r="CI67"/>
  <c r="CJ67"/>
  <c r="CK67"/>
  <c r="CL67"/>
  <c r="CM67"/>
  <c r="BC68"/>
  <c r="BD68"/>
  <c r="BE68"/>
  <c r="BF68"/>
  <c r="BG68"/>
  <c r="BH68"/>
  <c r="BI68"/>
  <c r="BJ68"/>
  <c r="BK68"/>
  <c r="BL68"/>
  <c r="BM68"/>
  <c r="BN68"/>
  <c r="BO68"/>
  <c r="BP68"/>
  <c r="BQ68"/>
  <c r="BR68"/>
  <c r="BS68"/>
  <c r="BT68"/>
  <c r="BU68"/>
  <c r="BV68"/>
  <c r="BW68"/>
  <c r="BX68"/>
  <c r="BY68"/>
  <c r="BZ68"/>
  <c r="CA68"/>
  <c r="CB68"/>
  <c r="CC68"/>
  <c r="CD68"/>
  <c r="CF68"/>
  <c r="CG68"/>
  <c r="CH68"/>
  <c r="CI68"/>
  <c r="CJ68"/>
  <c r="CK68"/>
  <c r="CL68"/>
  <c r="CM68"/>
  <c r="BC69"/>
  <c r="BD69"/>
  <c r="BE69"/>
  <c r="BF69"/>
  <c r="BG69"/>
  <c r="BH69"/>
  <c r="BI69"/>
  <c r="BJ69"/>
  <c r="BK69"/>
  <c r="BL69"/>
  <c r="BM69"/>
  <c r="BN69"/>
  <c r="BO69"/>
  <c r="BP69"/>
  <c r="BQ69"/>
  <c r="BR69"/>
  <c r="BS69"/>
  <c r="BT69"/>
  <c r="BU69"/>
  <c r="BV69"/>
  <c r="BW69"/>
  <c r="BX69"/>
  <c r="BY69"/>
  <c r="BZ69"/>
  <c r="CA69"/>
  <c r="CB69"/>
  <c r="CC69"/>
  <c r="CD69"/>
  <c r="CF69"/>
  <c r="CG69"/>
  <c r="CH69"/>
  <c r="CI69"/>
  <c r="CJ69"/>
  <c r="CK69"/>
  <c r="CL69"/>
  <c r="CM69"/>
  <c r="BC72"/>
  <c r="BD72"/>
  <c r="BE72"/>
  <c r="BF72"/>
  <c r="BG72"/>
  <c r="BH72"/>
  <c r="BI72"/>
  <c r="BJ72"/>
  <c r="BK72"/>
  <c r="BL72"/>
  <c r="BM72"/>
  <c r="BN72"/>
  <c r="BO72"/>
  <c r="BP72"/>
  <c r="BQ72"/>
  <c r="BR72"/>
  <c r="BS72"/>
  <c r="BT72"/>
  <c r="BU72"/>
  <c r="BV72"/>
  <c r="BW72"/>
  <c r="BX72"/>
  <c r="BY72"/>
  <c r="BZ72"/>
  <c r="CA72"/>
  <c r="CB72"/>
  <c r="CC72"/>
  <c r="CD72"/>
  <c r="CF72"/>
  <c r="CG72"/>
  <c r="CH72"/>
  <c r="CI72"/>
  <c r="CJ72"/>
  <c r="CK72"/>
  <c r="CL72"/>
  <c r="CM72"/>
  <c r="BD73"/>
  <c r="BE73"/>
  <c r="BF73"/>
  <c r="BG73"/>
  <c r="BH73"/>
  <c r="BI73"/>
  <c r="BJ73"/>
  <c r="BK73"/>
  <c r="BL73"/>
  <c r="BM73"/>
  <c r="BN73"/>
  <c r="BO73"/>
  <c r="BP73"/>
  <c r="BQ73"/>
  <c r="BR73"/>
  <c r="BS73"/>
  <c r="BT73"/>
  <c r="BU73"/>
  <c r="BV73"/>
  <c r="BW73"/>
  <c r="BX73"/>
  <c r="BY73"/>
  <c r="BZ73"/>
  <c r="CA73"/>
  <c r="CB73"/>
  <c r="CC73"/>
  <c r="CD73"/>
  <c r="CF73"/>
  <c r="CG73"/>
  <c r="CH73"/>
  <c r="CI73"/>
  <c r="CJ73"/>
  <c r="CK73"/>
  <c r="CL73"/>
  <c r="CM73"/>
  <c r="BD74"/>
  <c r="BE74"/>
  <c r="BF74"/>
  <c r="BG74"/>
  <c r="BH74"/>
  <c r="BI74"/>
  <c r="BJ74"/>
  <c r="BK74"/>
  <c r="BL74"/>
  <c r="BM74"/>
  <c r="BN74"/>
  <c r="BO74"/>
  <c r="BP74"/>
  <c r="BQ74"/>
  <c r="BR74"/>
  <c r="BS74"/>
  <c r="BT74"/>
  <c r="BU74"/>
  <c r="BV74"/>
  <c r="BW74"/>
  <c r="BX74"/>
  <c r="BY74"/>
  <c r="BZ74"/>
  <c r="CA74"/>
  <c r="CB74"/>
  <c r="CC74"/>
  <c r="CD74"/>
  <c r="CF74"/>
  <c r="CG74"/>
  <c r="CH74"/>
  <c r="CI74"/>
  <c r="CJ74"/>
  <c r="CK74"/>
  <c r="CL74"/>
  <c r="CM74"/>
  <c r="BN76"/>
  <c r="BO76"/>
  <c r="BP76"/>
  <c r="BQ76"/>
  <c r="BR76"/>
  <c r="BS76"/>
  <c r="BT76"/>
  <c r="BU76"/>
  <c r="BV76"/>
  <c r="BW76"/>
  <c r="BX76"/>
  <c r="BY76"/>
  <c r="BZ76"/>
  <c r="CA76"/>
  <c r="CB76"/>
  <c r="CC76"/>
  <c r="CD76"/>
  <c r="CL76"/>
  <c r="CM76"/>
  <c r="BN78"/>
  <c r="BO78"/>
  <c r="BP78"/>
  <c r="BQ78"/>
  <c r="BR78"/>
  <c r="BS78"/>
  <c r="BT78"/>
  <c r="BU78"/>
  <c r="BV78"/>
  <c r="BW78"/>
  <c r="BX78"/>
  <c r="BY78"/>
  <c r="BZ78"/>
  <c r="CA78"/>
  <c r="CB78"/>
  <c r="CC78"/>
  <c r="CD78"/>
  <c r="CL78"/>
  <c r="CM78"/>
</calcChain>
</file>

<file path=xl/comments1.xml><?xml version="1.0" encoding="utf-8"?>
<comments xmlns="http://schemas.openxmlformats.org/spreadsheetml/2006/main">
  <authors>
    <author>Marein van Schaaijk</author>
    <author>hoepel.i</author>
  </authors>
  <commentList>
    <comment ref="D1711" authorId="0">
      <text>
        <r>
          <rPr>
            <sz val="9"/>
            <color indexed="81"/>
            <rFont val="Tahoma"/>
            <family val="2"/>
          </rPr>
          <t xml:space="preserve">ParWan opgeblazen naar heel Sur
</t>
        </r>
      </text>
    </comment>
    <comment ref="A2548" authorId="1">
      <text>
        <r>
          <rPr>
            <b/>
            <sz val="8"/>
            <color indexed="81"/>
            <rFont val="Tahoma"/>
            <family val="2"/>
          </rPr>
          <t xml:space="preserve">17/6/2014: Om Nassau te ontwikkelen is goedkope energie nodig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553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D2553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E2553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2553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G2553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H2553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I2553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J2553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C2554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D2554" authorId="1">
      <text>
        <r>
          <rPr>
            <b/>
            <sz val="8"/>
            <color indexed="81"/>
            <rFont val="Tahoma"/>
            <family val="2"/>
          </rPr>
          <t xml:space="preserve">dInclusief investeringen nieuwe Energiecentrale van $600 mln en invest Suralco van $ 180 mln 
</t>
        </r>
      </text>
    </comment>
    <comment ref="E2554" authorId="1">
      <text>
        <r>
          <rPr>
            <b/>
            <sz val="8"/>
            <color indexed="81"/>
            <rFont val="Tahoma"/>
            <family val="2"/>
          </rPr>
          <t xml:space="preserve">dInclusief investeringen nieuwe Energiecentrale van $600 mln en invest Suralco van $ 180 mln 
</t>
        </r>
      </text>
    </comment>
    <comment ref="F2554" authorId="1">
      <text>
        <r>
          <rPr>
            <b/>
            <sz val="8"/>
            <color indexed="81"/>
            <rFont val="Tahoma"/>
            <family val="2"/>
          </rPr>
          <t xml:space="preserve">dInclusief investeringen nieuwe Energiecentrale van $600 mln en invest Suralco van $ 180 mln 
</t>
        </r>
      </text>
    </comment>
    <comment ref="G2554" authorId="1">
      <text>
        <r>
          <rPr>
            <b/>
            <sz val="8"/>
            <color indexed="81"/>
            <rFont val="Tahoma"/>
            <family val="2"/>
          </rPr>
          <t xml:space="preserve">dInclusief investeringen nieuwe Energiecentrale van $600 mln en invest Suralco van $ 180 mln 
</t>
        </r>
      </text>
    </comment>
    <comment ref="F2584" authorId="1">
      <text>
        <r>
          <rPr>
            <b/>
            <sz val="8"/>
            <color indexed="81"/>
            <rFont val="Tahoma"/>
            <family val="2"/>
          </rPr>
          <t>18/6/2014: Dit bedrag wordt eenmalig ingevoerd in Sim omdat het doorwerkt in de daaropvolgende jaren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hoepel.i</author>
    <author>Hoepla</author>
    <author xml:space="preserve"> </author>
    <author>MMC</author>
    <author>Marein van Schaaijk</author>
    <author>Hoepel</author>
    <author>Shakita</author>
    <author>kisoensingh.s</author>
    <author>HOEPEL</author>
    <author>USER</author>
    <author>user</author>
    <author>rosita sobhie</author>
    <author>compaq CQ61</author>
    <author>Marein</author>
    <author>hoepla</author>
    <author>igsr</author>
  </authors>
  <commentList>
    <comment ref="BE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6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6" authorId="0">
      <text>
        <r>
          <rPr>
            <b/>
            <sz val="8"/>
            <color indexed="81"/>
            <rFont val="Tahoma"/>
            <family val="2"/>
          </rPr>
          <t xml:space="preserve">4/1/2016: Indicatie </t>
        </r>
      </text>
    </comment>
    <comment ref="BO6" authorId="0">
      <text>
        <r>
          <rPr>
            <b/>
            <sz val="8"/>
            <color indexed="81"/>
            <rFont val="Tahoma"/>
            <family val="2"/>
          </rPr>
          <t xml:space="preserve">4/1/2016: Indicatie </t>
        </r>
      </text>
    </comment>
    <comment ref="BP6" authorId="0">
      <text>
        <r>
          <rPr>
            <b/>
            <sz val="8"/>
            <color indexed="81"/>
            <rFont val="Tahoma"/>
            <family val="2"/>
          </rPr>
          <t>4/1/2016: voorlopig constant</t>
        </r>
      </text>
    </comment>
    <comment ref="BE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7" authorId="0">
      <text>
        <r>
          <rPr>
            <b/>
            <sz val="8"/>
            <color indexed="81"/>
            <rFont val="Tahoma"/>
            <family val="2"/>
          </rPr>
          <t>14/10/2014: Bron: Shakita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7" authorId="0">
      <text>
        <r>
          <rPr>
            <b/>
            <sz val="8"/>
            <color indexed="81"/>
            <rFont val="Tahoma"/>
            <family val="2"/>
          </rPr>
          <t>14/10/2014: Bron: Shakita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7" authorId="0">
      <text>
        <r>
          <rPr>
            <b/>
            <sz val="8"/>
            <color indexed="81"/>
            <rFont val="Tahoma"/>
            <family val="2"/>
          </rPr>
          <t>14/10/2014: Bron: Shakita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7" authorId="0">
      <text>
        <r>
          <rPr>
            <b/>
            <sz val="8"/>
            <color indexed="81"/>
            <rFont val="Tahoma"/>
            <family val="2"/>
          </rPr>
          <t>14/10/2014: Bron: Shakita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8" authorId="0">
      <text>
        <r>
          <rPr>
            <b/>
            <sz val="8"/>
            <color indexed="81"/>
            <rFont val="Tahoma"/>
            <family val="2"/>
          </rPr>
          <t>24/7/12: www.bauxietinstituut.com; het # werknemers is excl. contractors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8" authorId="0">
      <text>
        <r>
          <rPr>
            <b/>
            <sz val="8"/>
            <color indexed="81"/>
            <rFont val="Tahoma"/>
            <family val="2"/>
          </rPr>
          <t>24/7/12: www.bauxietinstituut.com; het # werknemers is excl. contractors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8" authorId="0">
      <text>
        <r>
          <rPr>
            <b/>
            <sz val="8"/>
            <color indexed="81"/>
            <rFont val="Tahoma"/>
            <family val="2"/>
          </rPr>
          <t>24/7/12: www.bauxietinstituut.com; het # werknemers is excl. contractors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8" authorId="0">
      <text>
        <r>
          <rPr>
            <b/>
            <sz val="8"/>
            <color indexed="81"/>
            <rFont val="Tahoma"/>
            <family val="2"/>
          </rPr>
          <t>24/7/12: www.bauxietinstituut.com; het # werknemers is excl. contractors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8" authorId="0">
      <text>
        <r>
          <rPr>
            <b/>
            <sz val="8"/>
            <color indexed="81"/>
            <rFont val="Tahoma"/>
            <family val="2"/>
          </rPr>
          <t>24/7/12: www.bauxietinstituut.com; het # werknemers is excl. contractors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8" authorId="1">
      <text>
        <r>
          <rPr>
            <sz val="8"/>
            <color indexed="81"/>
            <rFont val="Tahoma"/>
            <family val="2"/>
          </rPr>
          <t xml:space="preserve">29/10/12: BIS, tabel: Data Auinaardesector/BIS info Sept 2012
</t>
        </r>
      </text>
    </comment>
    <comment ref="BL8" authorId="1">
      <text>
        <r>
          <rPr>
            <sz val="8"/>
            <color indexed="81"/>
            <rFont val="Tahoma"/>
            <family val="2"/>
          </rPr>
          <t xml:space="preserve">7/2/14: BIS, tabel: Suriname: Bauxietsector Kwartaalstatistieken
</t>
        </r>
      </text>
    </comment>
    <comment ref="BM8" authorId="1">
      <text>
        <r>
          <rPr>
            <sz val="8"/>
            <color indexed="81"/>
            <rFont val="Tahoma"/>
            <family val="2"/>
          </rPr>
          <t xml:space="preserve">7/2/14: BIS, tabel: Suriname: Bauxietsector Kwartaalstatistieken
</t>
        </r>
      </text>
    </comment>
    <comment ref="BN8" authorId="1">
      <text>
        <r>
          <rPr>
            <sz val="8"/>
            <color indexed="81"/>
            <rFont val="Tahoma"/>
            <family val="2"/>
          </rPr>
          <t xml:space="preserve">1/8/12: CBvS, tabel: Projections Bauxite &amp; Alumina production indicators
</t>
        </r>
      </text>
    </comment>
    <comment ref="BO8" authorId="1">
      <text>
        <r>
          <rPr>
            <sz val="8"/>
            <color indexed="81"/>
            <rFont val="Tahoma"/>
            <family val="2"/>
          </rPr>
          <t xml:space="preserve">12/7/11: BIS, tabel: Data tbv PLOS
</t>
        </r>
      </text>
    </comment>
    <comment ref="BP8" authorId="1">
      <text>
        <r>
          <rPr>
            <sz val="8"/>
            <color indexed="81"/>
            <rFont val="Tahoma"/>
            <family val="2"/>
          </rPr>
          <t xml:space="preserve">12/7/11: BIS, tabel: Data tbv PLOS
</t>
        </r>
      </text>
    </comment>
    <comment ref="CM8" authorId="1">
      <text>
        <r>
          <rPr>
            <sz val="8"/>
            <color indexed="81"/>
            <rFont val="Tahoma"/>
            <family val="2"/>
          </rPr>
          <t xml:space="preserve">1/8/12: CBvS, tabel: Projections Bauxite &amp; Alumina production indicators
</t>
        </r>
      </text>
    </comment>
    <comment ref="BD11" authorId="1">
      <text>
        <r>
          <rPr>
            <b/>
            <sz val="8"/>
            <color indexed="81"/>
            <rFont val="Tahoma"/>
            <family val="2"/>
          </rPr>
          <t xml:space="preserve">1/2/10: Bron: 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1" authorId="1">
      <text>
        <r>
          <rPr>
            <b/>
            <sz val="8"/>
            <color indexed="81"/>
            <rFont val="Tahoma"/>
            <family val="2"/>
          </rPr>
          <t xml:space="preserve">6/5/10: Bron: ABS (Statistisch jaarboek 2008, blz23)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1" authorId="1">
      <text>
        <r>
          <rPr>
            <b/>
            <sz val="8"/>
            <color indexed="81"/>
            <rFont val="Tahoma"/>
            <family val="2"/>
          </rPr>
          <t xml:space="preserve">6/5/10: Bron: ABS (Statistisch jaarboek 2008, blz23)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1" authorId="1">
      <text>
        <r>
          <rPr>
            <b/>
            <sz val="8"/>
            <color indexed="81"/>
            <rFont val="Tahoma"/>
            <family val="2"/>
          </rPr>
          <t xml:space="preserve">6/5/10: Bron: ABS (Statistisch jaarboek 2008, blz23)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1" authorId="1">
      <text>
        <r>
          <rPr>
            <b/>
            <sz val="8"/>
            <color indexed="81"/>
            <rFont val="Tahoma"/>
            <family val="2"/>
          </rPr>
          <t xml:space="preserve">6/5/10: Bron: ABS (Statistisch jaarboek 2008, blz23)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1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1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1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1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1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1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1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11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11" authorId="1">
      <text>
        <r>
          <rPr>
            <b/>
            <sz val="8"/>
            <color indexed="81"/>
            <rFont val="Tahoma"/>
            <family val="2"/>
          </rPr>
          <t xml:space="preserve">1/2/10: Bron: 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12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3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J13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K13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L13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M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13" authorId="1">
      <text>
        <r>
          <rPr>
            <b/>
            <sz val="8"/>
            <color indexed="81"/>
            <rFont val="Tahoma"/>
            <family val="2"/>
          </rPr>
          <t>1/2/10: Bron: ABS
Vanaf 2004 bevolking 15-64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4" authorId="2">
      <text>
        <r>
          <rPr>
            <b/>
            <sz val="8"/>
            <color indexed="81"/>
            <rFont val="Tahoma"/>
            <family val="2"/>
          </rPr>
          <t xml:space="preserve">10/5/10: SPS (Lilian/Joyce)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4" authorId="2">
      <text>
        <r>
          <rPr>
            <b/>
            <sz val="8"/>
            <color indexed="81"/>
            <rFont val="Tahoma"/>
            <family val="2"/>
          </rPr>
          <t xml:space="preserve">10/5/10: SPS (Lilian/Joyce)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4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H14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I14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J14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K14" authorId="1">
      <text>
        <r>
          <rPr>
            <b/>
            <sz val="8"/>
            <color indexed="81"/>
            <rFont val="Tahoma"/>
            <family val="2"/>
          </rPr>
          <t>14/10/14: Bron: Shakita</t>
        </r>
      </text>
    </comment>
    <comment ref="BG15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5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5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5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5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5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5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6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6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6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6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6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6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6" authorId="1">
      <text>
        <r>
          <rPr>
            <b/>
            <sz val="8"/>
            <color indexed="81"/>
            <rFont val="Tahoma"/>
            <family val="2"/>
          </rPr>
          <t xml:space="preserve">14/10/14: Bron: Jaarplan 2015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17" authorId="0">
      <text>
        <r>
          <rPr>
            <b/>
            <sz val="8"/>
            <color indexed="81"/>
            <rFont val="Tahoma"/>
            <family val="2"/>
          </rPr>
          <t>8/7/15:Datasheet EPO sectoren: sheet Popul &amp; employm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22" authorId="0">
      <text>
        <r>
          <rPr>
            <b/>
            <sz val="8"/>
            <color indexed="81"/>
            <rFont val="Tahoma"/>
            <family val="2"/>
          </rPr>
          <t>9/4/2014: tabel 3.1.4, Handelsstatistieken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22" authorId="0">
      <text>
        <r>
          <rPr>
            <b/>
            <sz val="8"/>
            <color indexed="81"/>
            <rFont val="Tahoma"/>
            <family val="2"/>
          </rPr>
          <t>9/4/2014: tabel 3.2.4, Handelsstatistieken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22" authorId="0">
      <text>
        <r>
          <rPr>
            <b/>
            <sz val="8"/>
            <color indexed="81"/>
            <rFont val="Tahoma"/>
            <family val="2"/>
          </rPr>
          <t>9/4/2014: tabel 3.3.4, Handelsstatistieken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22" authorId="0">
      <text>
        <r>
          <rPr>
            <b/>
            <sz val="8"/>
            <color indexed="81"/>
            <rFont val="Tahoma"/>
            <family val="2"/>
          </rPr>
          <t>9/4/2014: tabel 3.4.4, Handelsstatistieken</t>
        </r>
        <r>
          <rPr>
            <sz val="8"/>
            <color indexed="81"/>
            <rFont val="Tahoma"/>
            <family val="2"/>
          </rPr>
          <t xml:space="preserve">
2009 - 2013-I</t>
        </r>
      </text>
    </comment>
    <comment ref="BM22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22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31" authorId="0">
      <text>
        <r>
          <rPr>
            <b/>
            <sz val="8"/>
            <color indexed="81"/>
            <rFont val="Tahoma"/>
            <family val="2"/>
          </rPr>
          <t>8/7/15:Datasheet EPO sectoren: sheet Handel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X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43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X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47" authorId="0">
      <text>
        <r>
          <rPr>
            <b/>
            <sz val="8"/>
            <color indexed="81"/>
            <rFont val="Tahoma"/>
            <family val="2"/>
          </rPr>
          <t>10/4/204: CPB, MEV 2012, bijlage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48" authorId="3">
      <text>
        <r>
          <rPr>
            <b/>
            <sz val="8"/>
            <color indexed="81"/>
            <rFont val="Tahoma"/>
            <family val="2"/>
          </rPr>
          <t>Bron: www.forecast-chart.com (1/9/10)</t>
        </r>
      </text>
    </comment>
    <comment ref="BI48" authorId="3">
      <text>
        <r>
          <rPr>
            <b/>
            <sz val="8"/>
            <color indexed="81"/>
            <rFont val="Tahoma"/>
            <family val="2"/>
          </rPr>
          <t>Bron: www.forecast-chart.com (1/9/10)</t>
        </r>
      </text>
    </comment>
    <comment ref="BJ48" authorId="3">
      <text>
        <r>
          <rPr>
            <b/>
            <sz val="8"/>
            <color indexed="81"/>
            <rFont val="Tahoma"/>
            <family val="2"/>
          </rPr>
          <t>Bron: raming SPS (25/10/10)</t>
        </r>
      </text>
    </comment>
    <comment ref="BK48" authorId="4">
      <text>
        <r>
          <rPr>
            <sz val="8"/>
            <color indexed="81"/>
            <rFont val="Tahoma"/>
            <family val="2"/>
          </rPr>
          <t xml:space="preserve"> 12/1/11: Bron: http:WWW.ereport.ru/en/results.php</t>
        </r>
      </text>
    </comment>
    <comment ref="BL48" authorId="3">
      <text>
        <r>
          <rPr>
            <b/>
            <sz val="8"/>
            <color indexed="81"/>
            <rFont val="Tahoma"/>
            <family val="2"/>
          </rPr>
          <t>27/51/2015: Bron: Economist  Intelligence Unit ; Global forecast (20 mei 2015)</t>
        </r>
      </text>
    </comment>
    <comment ref="BM48" authorId="3">
      <text>
        <r>
          <rPr>
            <b/>
            <sz val="8"/>
            <color indexed="81"/>
            <rFont val="Tahoma"/>
            <family val="2"/>
          </rPr>
          <t>27/51/2015: Bron: Economist  Intelligence Unit ; Global forecast (20 mei 2015)</t>
        </r>
      </text>
    </comment>
    <comment ref="BN48" authorId="3">
      <text>
        <r>
          <rPr>
            <b/>
            <sz val="8"/>
            <color indexed="81"/>
            <rFont val="Tahoma"/>
            <family val="2"/>
          </rPr>
          <t>11/121/2015: Bron: Economist  Intelligence Unit ; Global forecast (18/11/2015)</t>
        </r>
      </text>
    </comment>
    <comment ref="BO48" authorId="3">
      <text>
        <r>
          <rPr>
            <b/>
            <sz val="8"/>
            <color indexed="81"/>
            <rFont val="Tahoma"/>
            <family val="2"/>
          </rPr>
          <t>11/121/2015: Bron: Economist  Intelligence Unit ; Global forecast (18/11/2015)</t>
        </r>
      </text>
    </comment>
    <comment ref="BP48" authorId="3">
      <text>
        <r>
          <rPr>
            <b/>
            <sz val="8"/>
            <color indexed="81"/>
            <rFont val="Tahoma"/>
            <family val="2"/>
          </rPr>
          <t>11/121/2015: Bron: Economist  Intelligence Unit ; Global forecast (18/11/2015)</t>
        </r>
      </text>
    </comment>
    <comment ref="BQ48" authorId="3">
      <text>
        <r>
          <rPr>
            <b/>
            <sz val="8"/>
            <color indexed="81"/>
            <rFont val="Tahoma"/>
            <family val="2"/>
          </rPr>
          <t>11/121/2015: Bron: Economist  Intelligence Unit ; Global forecast (18/11/2015)</t>
        </r>
      </text>
    </comment>
    <comment ref="BR48" authorId="3">
      <text>
        <r>
          <rPr>
            <b/>
            <sz val="8"/>
            <color indexed="81"/>
            <rFont val="Tahoma"/>
            <family val="2"/>
          </rPr>
          <t>11/121/2015: Bron: Economist  Intelligence Unit ; Global forecast (18/11/2015)</t>
        </r>
      </text>
    </comment>
    <comment ref="BS48" authorId="3">
      <text>
        <r>
          <rPr>
            <b/>
            <sz val="8"/>
            <color indexed="81"/>
            <rFont val="Tahoma"/>
            <family val="2"/>
          </rPr>
          <t>11/121/2015: Bron: Economist  Intelligence Unit ; Global forecast (18/11/2015)</t>
        </r>
      </text>
    </comment>
    <comment ref="BT48" authorId="3">
      <text>
        <r>
          <rPr>
            <b/>
            <sz val="8"/>
            <color indexed="81"/>
            <rFont val="Tahoma"/>
            <family val="2"/>
          </rPr>
          <t>27/101/2015: Bron: Economist  Intelligence Unit ; Global forecast (22/10/2015)</t>
        </r>
      </text>
    </comment>
    <comment ref="CM48" authorId="3">
      <text>
        <r>
          <rPr>
            <b/>
            <sz val="8"/>
            <color indexed="81"/>
            <rFont val="Tahoma"/>
            <family val="2"/>
          </rPr>
          <t>Bron: DWT (10/12/12)</t>
        </r>
      </text>
    </comment>
    <comment ref="B53" authorId="0">
      <text>
        <r>
          <rPr>
            <b/>
            <sz val="8"/>
            <color indexed="81"/>
            <rFont val="Tahoma"/>
            <family val="2"/>
          </rPr>
          <t xml:space="preserve">Average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53" authorId="0">
      <text>
        <r>
          <rPr>
            <b/>
            <sz val="8"/>
            <color indexed="81"/>
            <rFont val="Tahoma"/>
            <family val="2"/>
          </rPr>
          <t xml:space="preserve">13/12/12:  Average;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53" authorId="0">
      <text>
        <r>
          <rPr>
            <b/>
            <sz val="8"/>
            <color indexed="81"/>
            <rFont val="Tahoma"/>
            <family val="2"/>
          </rPr>
          <t xml:space="preserve">13/12/12:  Average;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53" authorId="0">
      <text>
        <r>
          <rPr>
            <b/>
            <sz val="8"/>
            <color indexed="81"/>
            <rFont val="Tahoma"/>
            <family val="2"/>
          </rPr>
          <t>8/7/15:Datasheet EPO sectoren: sheet CPI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3" authorId="0">
      <text>
        <r>
          <rPr>
            <b/>
            <sz val="8"/>
            <color indexed="81"/>
            <rFont val="Tahoma"/>
            <family val="2"/>
          </rPr>
          <t>8/7/15:Datasheet EPO sectoren: sheet CPI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3" authorId="0">
      <text>
        <r>
          <rPr>
            <b/>
            <sz val="8"/>
            <color indexed="81"/>
            <rFont val="Tahoma"/>
            <family val="2"/>
          </rPr>
          <t>8/7/15:Datasheet EPO sectoren: sheet CPI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53" authorId="0">
      <text>
        <r>
          <rPr>
            <b/>
            <sz val="8"/>
            <color indexed="81"/>
            <rFont val="Tahoma"/>
            <family val="2"/>
          </rPr>
          <t>8/7/15:Datasheet EPO sectoren: sheet CPI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53" authorId="0">
      <text>
        <r>
          <rPr>
            <b/>
            <sz val="8"/>
            <color indexed="81"/>
            <rFont val="Tahoma"/>
            <family val="2"/>
          </rPr>
          <t>8/7/15:Datasheet EPO sectoren: sheet CPI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53" authorId="0">
      <text>
        <r>
          <rPr>
            <b/>
            <sz val="8"/>
            <color indexed="81"/>
            <rFont val="Tahoma"/>
            <family val="2"/>
          </rPr>
          <t>8/7/15:Datasheet EPO sectoren: sheet CPI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3" authorId="0">
      <text>
        <r>
          <rPr>
            <b/>
            <sz val="8"/>
            <color indexed="81"/>
            <rFont val="Tahoma"/>
            <family val="2"/>
          </rPr>
          <t>8/7/15:Datasheet EPO sectoren: sheet CPI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53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53" authorId="0">
      <text>
        <r>
          <rPr>
            <b/>
            <sz val="8"/>
            <color indexed="81"/>
            <rFont val="Tahoma"/>
            <family val="2"/>
          </rPr>
          <t xml:space="preserve">raming op basis cijfers t/m november  plus aanname groei darna 5% in december
</t>
        </r>
      </text>
    </comment>
    <comment ref="BP53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53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53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53" authorId="0">
      <text>
        <r>
          <rPr>
            <b/>
            <sz val="8"/>
            <color indexed="81"/>
            <rFont val="Tahoma"/>
            <family val="2"/>
          </rPr>
          <t xml:space="preserve">5/2/15:  Average;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53" authorId="0">
      <text>
        <r>
          <rPr>
            <b/>
            <sz val="8"/>
            <color indexed="81"/>
            <rFont val="Tahoma"/>
            <family val="2"/>
          </rPr>
          <t>7/12/12: projectie SPS /Menke/Nisa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53" authorId="0">
      <text>
        <r>
          <rPr>
            <b/>
            <sz val="8"/>
            <color indexed="81"/>
            <rFont val="Tahoma"/>
            <family val="2"/>
          </rPr>
          <t>7/12/12: projectie SPS /Menke/Nisa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 xml:space="preserve">End of period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54" authorId="0">
      <text>
        <r>
          <rPr>
            <b/>
            <sz val="8"/>
            <color indexed="81"/>
            <rFont val="Tahoma"/>
            <family val="2"/>
          </rPr>
          <t xml:space="preserve">16/10/14:  End of the year;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54" authorId="0">
      <text>
        <r>
          <rPr>
            <b/>
            <sz val="8"/>
            <color indexed="81"/>
            <rFont val="Tahoma"/>
            <family val="2"/>
          </rPr>
          <t xml:space="preserve">16/10/14:  End of the year;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54" authorId="0">
      <text>
        <r>
          <rPr>
            <b/>
            <sz val="8"/>
            <color indexed="81"/>
            <rFont val="Tahoma"/>
            <family val="2"/>
          </rPr>
          <t xml:space="preserve">16/10/14:  End of the year;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4" authorId="0">
      <text>
        <r>
          <rPr>
            <b/>
            <sz val="8"/>
            <color indexed="81"/>
            <rFont val="Tahoma"/>
            <family val="2"/>
          </rPr>
          <t xml:space="preserve">16/10/14:  End of the year;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4" authorId="0">
      <text>
        <r>
          <rPr>
            <b/>
            <sz val="8"/>
            <color indexed="81"/>
            <rFont val="Tahoma"/>
            <family val="2"/>
          </rPr>
          <t xml:space="preserve">16/10/14:  End of the year;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54" authorId="0">
      <text>
        <r>
          <rPr>
            <b/>
            <sz val="8"/>
            <color indexed="81"/>
            <rFont val="Tahoma"/>
            <family val="2"/>
          </rPr>
          <t xml:space="preserve">16/10/14:  End of the year;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54" authorId="0">
      <text>
        <r>
          <rPr>
            <b/>
            <sz val="8"/>
            <color indexed="81"/>
            <rFont val="Tahoma"/>
            <family val="2"/>
          </rPr>
          <t xml:space="preserve">16/10/14:  End of the year;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54" authorId="0">
      <text>
        <r>
          <rPr>
            <b/>
            <sz val="8"/>
            <color indexed="81"/>
            <rFont val="Tahoma"/>
            <family val="2"/>
          </rPr>
          <t xml:space="preserve">16/10/14:  End of the year;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4" authorId="0">
      <text>
        <r>
          <rPr>
            <b/>
            <sz val="8"/>
            <color indexed="81"/>
            <rFont val="Tahoma"/>
            <family val="2"/>
          </rPr>
          <t xml:space="preserve">3/11/14:  Average; 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54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54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54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54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54" authorId="0">
      <text>
        <r>
          <rPr>
            <b/>
            <sz val="8"/>
            <color indexed="81"/>
            <rFont val="Tahoma"/>
            <family val="2"/>
          </rPr>
          <t xml:space="preserve">10/9/15:  Table 1 Inflation (FPP sheet) Menke /ABS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6" authorId="1">
      <text>
        <r>
          <rPr>
            <sz val="8"/>
            <color indexed="81"/>
            <rFont val="Tahoma"/>
            <family val="2"/>
          </rPr>
          <t xml:space="preserve">12/12/08: Schatting obv de eerste drie kwartalen
</t>
        </r>
      </text>
    </comment>
    <comment ref="BH58" authorId="1">
      <text>
        <r>
          <rPr>
            <sz val="8"/>
            <color indexed="81"/>
            <rFont val="Tahoma"/>
            <family val="2"/>
          </rPr>
          <t xml:space="preserve">3/3/10: BIS, tabel: enkele belangrijke statistieken bauxietsector Suriname
</t>
        </r>
      </text>
    </comment>
    <comment ref="BI58" authorId="1">
      <text>
        <r>
          <rPr>
            <sz val="8"/>
            <color indexed="81"/>
            <rFont val="Tahoma"/>
            <family val="2"/>
          </rPr>
          <t xml:space="preserve">3/3/10: BIS, tabel: enkele belangrijke statistieken bauxietsector Suriname
</t>
        </r>
      </text>
    </comment>
    <comment ref="BJ58" authorId="1">
      <text>
        <r>
          <rPr>
            <b/>
            <sz val="8"/>
            <color indexed="81"/>
            <rFont val="Tahoma"/>
            <family val="2"/>
          </rPr>
          <t>Bron: BIS info-kw.stat.,juli 2011</t>
        </r>
      </text>
    </comment>
    <comment ref="BK58" authorId="1">
      <text>
        <r>
          <rPr>
            <sz val="8"/>
            <color indexed="81"/>
            <rFont val="Tahoma"/>
            <family val="2"/>
          </rPr>
          <t xml:space="preserve">20/2/13: BIS, tabel: Data Auinaardesector; Nisha Durga / L. Menke)
</t>
        </r>
      </text>
    </comment>
    <comment ref="BL58" authorId="1">
      <text>
        <r>
          <rPr>
            <sz val="8"/>
            <color indexed="81"/>
            <rFont val="Tahoma"/>
            <family val="2"/>
          </rPr>
          <t xml:space="preserve">7/2/14: BIS, tabel: Suriname: Bauxietsector Kwartaalstatistieken
</t>
        </r>
      </text>
    </comment>
    <comment ref="BM58" authorId="1">
      <text>
        <r>
          <rPr>
            <sz val="8"/>
            <color indexed="81"/>
            <rFont val="Tahoma"/>
            <family val="2"/>
          </rPr>
          <t xml:space="preserve">7/2/14: BIS, tabel: Suriname: Bauxietsector Kwartaalstatistieken
</t>
        </r>
      </text>
    </comment>
    <comment ref="BN58" authorId="0">
      <text>
        <r>
          <rPr>
            <b/>
            <sz val="8"/>
            <color indexed="81"/>
            <rFont val="Tahoma"/>
            <family val="2"/>
          </rPr>
          <t>3/8/2015: Tabel Suriname: Bauxietsector Kwartaalstatistieken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58" authorId="0">
      <text>
        <r>
          <rPr>
            <b/>
            <sz val="8"/>
            <color indexed="81"/>
            <rFont val="Tahoma"/>
            <family val="2"/>
          </rPr>
          <t xml:space="preserve">3/8/2015: Tabel Informatie tbv SPS d.d. 31 juli 2015
</t>
        </r>
      </text>
    </comment>
    <comment ref="BP58" authorId="0">
      <text>
        <r>
          <rPr>
            <b/>
            <sz val="8"/>
            <color indexed="81"/>
            <rFont val="Tahoma"/>
            <family val="2"/>
          </rPr>
          <t xml:space="preserve">3/8/2015: Tabel Informatie tbv SPS d.d. 31 juli 2015
</t>
        </r>
      </text>
    </comment>
    <comment ref="BQ58" authorId="0">
      <text>
        <r>
          <rPr>
            <b/>
            <sz val="8"/>
            <color indexed="81"/>
            <rFont val="Tahoma"/>
            <family val="2"/>
          </rPr>
          <t xml:space="preserve">3/8/2015: Tabel Informatie tbv SPS d.d. 31 juli 2015
</t>
        </r>
      </text>
    </comment>
    <comment ref="BR58" authorId="0">
      <text>
        <r>
          <rPr>
            <b/>
            <sz val="8"/>
            <color indexed="81"/>
            <rFont val="Tahoma"/>
            <family val="2"/>
          </rPr>
          <t xml:space="preserve">3/8/2015: Tabel Informatie tbv SPS d.d. 31 juli 2015
</t>
        </r>
      </text>
    </comment>
    <comment ref="BS58" authorId="0">
      <text>
        <r>
          <rPr>
            <b/>
            <sz val="8"/>
            <color indexed="81"/>
            <rFont val="Tahoma"/>
            <family val="2"/>
          </rPr>
          <t xml:space="preserve">3/8/2015: Tabel Informatie tbv SPS d.d. 31 juli 2015
</t>
        </r>
      </text>
    </comment>
    <comment ref="CM58" authorId="1">
      <text>
        <r>
          <rPr>
            <sz val="8"/>
            <color indexed="81"/>
            <rFont val="Tahoma"/>
            <family val="2"/>
          </rPr>
          <t xml:space="preserve">1/8/12: CBvS, tabel: Projections Bauxite &amp; Alumina production indicators
</t>
        </r>
      </text>
    </comment>
    <comment ref="BK59" authorId="1">
      <text>
        <r>
          <rPr>
            <sz val="8"/>
            <color indexed="81"/>
            <rFont val="Tahoma"/>
            <family val="2"/>
          </rPr>
          <t xml:space="preserve">20/2/13: BIS, tabel: Data Auinaardesector; Nisha Durga / L. Menke)
</t>
        </r>
      </text>
    </comment>
    <comment ref="BL59" authorId="1">
      <text>
        <r>
          <rPr>
            <sz val="8"/>
            <color indexed="81"/>
            <rFont val="Tahoma"/>
            <family val="2"/>
          </rPr>
          <t xml:space="preserve">7/2/14: BIS, tabel: Suriname: Bauxietsector Kwartaalstatistieken
</t>
        </r>
      </text>
    </comment>
    <comment ref="BM59" authorId="1">
      <text>
        <r>
          <rPr>
            <sz val="8"/>
            <color indexed="81"/>
            <rFont val="Tahoma"/>
            <family val="2"/>
          </rPr>
          <t xml:space="preserve">7/2/14: BIS, tabel: Suriname: Bauxietsector Kwartaalstatistieken
</t>
        </r>
      </text>
    </comment>
    <comment ref="BN59" authorId="0">
      <text>
        <r>
          <rPr>
            <b/>
            <sz val="8"/>
            <color indexed="81"/>
            <rFont val="Tahoma"/>
            <family val="2"/>
          </rPr>
          <t>28/5/2015: BIS info; 1e en 2e halfjaar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59" authorId="1">
      <text>
        <r>
          <rPr>
            <sz val="8"/>
            <color indexed="81"/>
            <rFont val="Tahoma"/>
            <family val="2"/>
          </rPr>
          <t xml:space="preserve">12/7/11: BIS, tabel: Data tbv PLOS
</t>
        </r>
      </text>
    </comment>
    <comment ref="BP59" authorId="1">
      <text>
        <r>
          <rPr>
            <sz val="8"/>
            <color indexed="81"/>
            <rFont val="Tahoma"/>
            <family val="2"/>
          </rPr>
          <t xml:space="preserve">12/7/11: BIS, tabel: Data tbv PLOS
</t>
        </r>
      </text>
    </comment>
    <comment ref="CM59" authorId="1">
      <text>
        <r>
          <rPr>
            <sz val="8"/>
            <color indexed="81"/>
            <rFont val="Tahoma"/>
            <family val="2"/>
          </rPr>
          <t xml:space="preserve">12/7/11: BIS, tabel: Data tbv PLOS
</t>
        </r>
      </text>
    </comment>
    <comment ref="AZ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1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1" authorId="6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K61" authorId="6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L61" authorId="6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M61" authorId="6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N61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2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2" authorId="2">
      <text>
        <r>
          <rPr>
            <b/>
            <sz val="8"/>
            <color indexed="81"/>
            <rFont val="Tahoma"/>
            <family val="2"/>
          </rPr>
          <t xml:space="preserve"> Bron: S. Chedie / (Adron), het betreft hier droge padie (17/11/10).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2" authorId="2">
      <text>
        <r>
          <rPr>
            <b/>
            <sz val="8"/>
            <color indexed="81"/>
            <rFont val="Tahoma"/>
            <family val="2"/>
          </rPr>
          <t xml:space="preserve"> Bron: S. Chedie / (Adron), het betreft hier droge padie (17/11/10).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63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63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63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63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63" authorId="5">
      <text>
        <r>
          <rPr>
            <b/>
            <sz val="8"/>
            <color indexed="81"/>
            <rFont val="Tahoma"/>
            <family val="2"/>
          </rPr>
          <t>22/3/12: Bron: S. Dwarka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63" authorId="5">
      <text>
        <r>
          <rPr>
            <b/>
            <sz val="8"/>
            <color indexed="81"/>
            <rFont val="Tahoma"/>
            <family val="2"/>
          </rPr>
          <t>22/3/12: Bron: S. Dwarka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3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3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3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3" authorId="1">
      <text>
        <r>
          <rPr>
            <b/>
            <sz val="8"/>
            <color indexed="81"/>
            <rFont val="Tahoma"/>
            <family val="2"/>
          </rPr>
          <t>24/10/14: Bron: Jaarplan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3" authorId="1">
      <text>
        <r>
          <rPr>
            <b/>
            <sz val="8"/>
            <color indexed="81"/>
            <rFont val="Tahoma"/>
            <family val="2"/>
          </rPr>
          <t>24/10/14: Bron: Jaarplan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3" authorId="1">
      <text>
        <r>
          <rPr>
            <b/>
            <sz val="8"/>
            <color indexed="81"/>
            <rFont val="Tahoma"/>
            <family val="2"/>
          </rPr>
          <t>24/10/14: Bron: Jaarplan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3" authorId="1">
      <text>
        <r>
          <rPr>
            <b/>
            <sz val="8"/>
            <color indexed="81"/>
            <rFont val="Tahoma"/>
            <family val="2"/>
          </rPr>
          <t>24/10/14: Bron: Jaarplan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63" authorId="1">
      <text>
        <r>
          <rPr>
            <b/>
            <sz val="8"/>
            <color indexed="81"/>
            <rFont val="Tahoma"/>
            <family val="2"/>
          </rPr>
          <t>24/10/14: Bron: Jaarplan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63" authorId="0">
      <text>
        <r>
          <rPr>
            <b/>
            <sz val="8"/>
            <color indexed="81"/>
            <rFont val="Tahoma"/>
            <family val="2"/>
          </rPr>
          <t>28/5/2015: FAI; Kernindicatoren FAI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63" authorId="0">
      <text>
        <r>
          <rPr>
            <b/>
            <sz val="8"/>
            <color indexed="81"/>
            <rFont val="Tahoma"/>
            <family val="2"/>
          </rPr>
          <t>28/5/2015: FAI; Kernindicatoren FAI 2015/ schatting SPS obv realisatie t/m juli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63" authorId="1">
      <text>
        <r>
          <rPr>
            <b/>
            <sz val="8"/>
            <color indexed="81"/>
            <rFont val="Tahoma"/>
            <family val="2"/>
          </rPr>
          <t>10/12/12: Bron: SBBS (tabel kenindicat. SBBS 2012) t/m sept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4" authorId="5">
      <text>
        <r>
          <rPr>
            <b/>
            <sz val="8"/>
            <color indexed="81"/>
            <rFont val="Tahoma"/>
            <family val="2"/>
          </rPr>
          <t>2/3/11: Statistische bijlage LVV; tabel 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4" authorId="1">
      <text>
        <r>
          <rPr>
            <b/>
            <sz val="8"/>
            <color indexed="81"/>
            <rFont val="Tahoma"/>
            <family val="2"/>
          </rPr>
          <t>8/2/11: Bron: SBBS (tabel kenindicat. SBBS 2011)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A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B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C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D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E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F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G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H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I65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J65" authorId="5">
      <text>
        <r>
          <rPr>
            <b/>
            <sz val="8"/>
            <color indexed="81"/>
            <rFont val="Tahoma"/>
            <family val="2"/>
          </rPr>
          <t xml:space="preserve">29/8/11: Statistische bijlage LVV; tabel A-6;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K65" authorId="6">
      <text>
        <r>
          <rPr>
            <b/>
            <sz val="8"/>
            <color indexed="81"/>
            <rFont val="Tahoma"/>
            <family val="2"/>
          </rPr>
          <t>16/10/2014: Jaarplan 2015; Tabel 3.1.9: Kengetallen visserijsector 2011-2013</t>
        </r>
      </text>
    </comment>
    <comment ref="BL65" authorId="6">
      <text>
        <r>
          <rPr>
            <b/>
            <sz val="8"/>
            <color indexed="81"/>
            <rFont val="Tahoma"/>
            <family val="2"/>
          </rPr>
          <t>16/10/2014: Jaarplan 2015; Tabel 3.1.9: Kengetallen visserijsector 2011-2013</t>
        </r>
      </text>
    </comment>
    <comment ref="BM65" authorId="6">
      <text>
        <r>
          <rPr>
            <b/>
            <sz val="8"/>
            <color indexed="81"/>
            <rFont val="Tahoma"/>
            <family val="2"/>
          </rPr>
          <t>16/10/2014: Jaarplan 2015; Tabel 3.1.9: Kengetallen visserijsector 2011-2013</t>
        </r>
      </text>
    </comment>
    <comment ref="BN65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P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Q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R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S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T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U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V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W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X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Y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AZ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A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B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C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D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E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F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G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H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I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J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K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L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M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N67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16; blz 31 (de export# zijn resp. van rondhout, vierk.bek.palen en letterhout)
</t>
        </r>
      </text>
    </comment>
    <comment ref="BO67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P67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Q67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R67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S67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T67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CM67" authorId="7">
      <text>
        <r>
          <rPr>
            <b/>
            <sz val="8"/>
            <color indexed="81"/>
            <rFont val="Tahoma"/>
            <family val="2"/>
          </rPr>
          <t>kisoensingh.s:</t>
        </r>
        <r>
          <rPr>
            <sz val="8"/>
            <color indexed="81"/>
            <rFont val="Tahoma"/>
            <family val="2"/>
          </rPr>
          <t xml:space="preserve">
Verwacting volgens Matai 20 % afname in 2012
</t>
        </r>
      </text>
    </comment>
    <comment ref="B68" authorId="8">
      <text>
        <r>
          <rPr>
            <b/>
            <sz val="8"/>
            <color indexed="81"/>
            <rFont val="Tahoma"/>
            <family val="2"/>
          </rPr>
          <t>4/5/10: Vanaf 2004 werd er geen triplex geëxporteerd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P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Q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R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S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T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U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V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W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X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Y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AZ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A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B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C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D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E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F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G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H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I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J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 en gezaagd hout)
</t>
        </r>
      </text>
    </comment>
    <comment ref="BK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triplex, gezaagd hout en gereed product)
</t>
        </r>
      </text>
    </comment>
    <comment ref="BL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triplex, gezaagd hout en gereed product)
</t>
        </r>
      </text>
    </comment>
    <comment ref="BM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triplex, gezaagd hout en gereed product)
</t>
        </r>
      </text>
    </comment>
    <comment ref="BN68" authorId="1">
      <text>
        <r>
          <rPr>
            <b/>
            <sz val="8"/>
            <color indexed="81"/>
            <rFont val="Tahoma"/>
            <family val="2"/>
          </rPr>
          <t xml:space="preserve">6/7/15: Bron: Bosbouwstatistieken juni 2015; tabel 15 (de export# zijn resp. van triplex, gezaagd hout en gereed product)
</t>
        </r>
      </text>
    </comment>
    <comment ref="BO68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P68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Q68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R68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S68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T68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CM68" authorId="7">
      <text>
        <r>
          <rPr>
            <b/>
            <sz val="8"/>
            <color indexed="81"/>
            <rFont val="Tahoma"/>
            <family val="2"/>
          </rPr>
          <t>kisoensingh.s:</t>
        </r>
        <r>
          <rPr>
            <sz val="8"/>
            <color indexed="81"/>
            <rFont val="Tahoma"/>
            <family val="2"/>
          </rPr>
          <t xml:space="preserve">
Verwacting volgens Matai 20 % afname in 2012
</t>
        </r>
      </text>
    </comment>
    <comment ref="AZ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A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B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C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D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E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F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G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H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I69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J69" authorId="5">
      <text>
        <r>
          <rPr>
            <b/>
            <sz val="8"/>
            <color indexed="81"/>
            <rFont val="Tahoma"/>
            <family val="2"/>
          </rPr>
          <t xml:space="preserve">29/8/11: Statistische bijlage LVV; tabel A-6 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K69" authorId="6">
      <text>
        <r>
          <rPr>
            <b/>
            <sz val="8"/>
            <color indexed="81"/>
            <rFont val="Tahoma"/>
            <family val="2"/>
          </rPr>
          <t>16/10/2014: Jaarplan 2015; Tabel 3.1.9: Kengetallen visserijsector 2011-2013</t>
        </r>
      </text>
    </comment>
    <comment ref="BL69" authorId="6">
      <text>
        <r>
          <rPr>
            <b/>
            <sz val="8"/>
            <color indexed="81"/>
            <rFont val="Tahoma"/>
            <family val="2"/>
          </rPr>
          <t>16/10/2014: Jaarplan 2015; Tabel 3.1.9: Kengetallen visserijsector 2011-2013</t>
        </r>
      </text>
    </comment>
    <comment ref="BM69" authorId="6">
      <text>
        <r>
          <rPr>
            <b/>
            <sz val="8"/>
            <color indexed="81"/>
            <rFont val="Tahoma"/>
            <family val="2"/>
          </rPr>
          <t>16/10/2014: Jaarplan 2015; Tabel 3.1.9: Kengetallen visserijsector 2011-2013</t>
        </r>
      </text>
    </comment>
    <comment ref="BN69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69" authorId="0">
      <text>
        <r>
          <rPr>
            <sz val="8"/>
            <color indexed="81"/>
            <rFont val="Tahoma"/>
            <family val="2"/>
          </rPr>
          <t xml:space="preserve">19/6/2012: veronderst. SPS groei% p/j is 2
</t>
        </r>
      </text>
    </comment>
    <comment ref="BD70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E70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F70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G70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H70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D71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E71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F71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G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H71" authorId="1">
      <text>
        <r>
          <rPr>
            <sz val="8"/>
            <color indexed="81"/>
            <rFont val="Tahoma"/>
            <family val="2"/>
          </rPr>
          <t xml:space="preserve">Bron: Staatsolie (10/6/10)
</t>
        </r>
      </text>
    </comment>
    <comment ref="BI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J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K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L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M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N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O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CM71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D72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E72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F72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G72" authorId="1">
      <text>
        <r>
          <rPr>
            <sz val="8"/>
            <color indexed="81"/>
            <rFont val="Tahoma"/>
            <family val="2"/>
          </rPr>
          <t xml:space="preserve">Bron: Staatsolie (10/6/10)
</t>
        </r>
      </text>
    </comment>
    <comment ref="BH72" authorId="1">
      <text>
        <r>
          <rPr>
            <sz val="8"/>
            <color indexed="81"/>
            <rFont val="Tahoma"/>
            <family val="2"/>
          </rPr>
          <t xml:space="preserve">Bron: Staatsolie (10/6/10)
</t>
        </r>
      </text>
    </comment>
    <comment ref="BI72" authorId="5">
      <text>
        <r>
          <rPr>
            <b/>
            <sz val="8"/>
            <color indexed="81"/>
            <rFont val="Tahoma"/>
            <family val="2"/>
          </rPr>
          <t>25/3/2011: Bron: Staatsolie,CBvS/(Menke)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72" authorId="5">
      <text>
        <r>
          <rPr>
            <b/>
            <sz val="8"/>
            <color indexed="81"/>
            <rFont val="Tahoma"/>
            <family val="2"/>
          </rPr>
          <t>25/3/2011: Bron: Staatsolie,CBvS/(Menke)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72" authorId="5">
      <text>
        <r>
          <rPr>
            <b/>
            <sz val="8"/>
            <color indexed="81"/>
            <rFont val="Tahoma"/>
            <family val="2"/>
          </rPr>
          <t>18/2/2013: Bron: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72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72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72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72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72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72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72" authorId="5">
      <text>
        <r>
          <rPr>
            <b/>
            <sz val="8"/>
            <color indexed="81"/>
            <rFont val="Tahoma"/>
            <family val="2"/>
          </rPr>
          <t>25/3/2011:  schatting SPS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73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E73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F73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G73" authorId="1">
      <text>
        <r>
          <rPr>
            <sz val="8"/>
            <color indexed="81"/>
            <rFont val="Tahoma"/>
            <family val="2"/>
          </rPr>
          <t xml:space="preserve">Bron: Staatsolie (10/6/09)
</t>
        </r>
      </text>
    </comment>
    <comment ref="BH73" authorId="1">
      <text>
        <r>
          <rPr>
            <sz val="8"/>
            <color indexed="81"/>
            <rFont val="Tahoma"/>
            <family val="2"/>
          </rPr>
          <t xml:space="preserve">Bron: Staatsolie (28/1/09)
</t>
        </r>
      </text>
    </comment>
    <comment ref="BK73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74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74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74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74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74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74" authorId="5">
      <text>
        <r>
          <rPr>
            <b/>
            <sz val="8"/>
            <color indexed="81"/>
            <rFont val="Tahoma"/>
            <family val="2"/>
          </rPr>
          <t>19/2/2013: Bron: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74" authorId="5">
      <text>
        <r>
          <rPr>
            <b/>
            <sz val="8"/>
            <color indexed="81"/>
            <rFont val="Tahoma"/>
            <family val="2"/>
          </rPr>
          <t>17/9/2014: Bron: CBvS</t>
        </r>
        <r>
          <rPr>
            <sz val="8"/>
            <color indexed="81"/>
            <rFont val="Tahoma"/>
            <family val="2"/>
          </rPr>
          <t xml:space="preserve">
Afstemmingsstaat</t>
        </r>
      </text>
    </comment>
    <comment ref="BL74" authorId="5">
      <text>
        <r>
          <rPr>
            <b/>
            <sz val="8"/>
            <color indexed="81"/>
            <rFont val="Tahoma"/>
            <family val="2"/>
          </rPr>
          <t>17/9/2014: Bron: CBvS</t>
        </r>
        <r>
          <rPr>
            <sz val="8"/>
            <color indexed="81"/>
            <rFont val="Tahoma"/>
            <family val="2"/>
          </rPr>
          <t xml:space="preserve">
Afstemmingsstaat</t>
        </r>
      </text>
    </comment>
    <comment ref="BM74" authorId="5">
      <text>
        <r>
          <rPr>
            <b/>
            <sz val="8"/>
            <color indexed="81"/>
            <rFont val="Tahoma"/>
            <family val="2"/>
          </rPr>
          <t>17/9/2014: Bron: CBvS</t>
        </r>
        <r>
          <rPr>
            <sz val="8"/>
            <color indexed="81"/>
            <rFont val="Tahoma"/>
            <family val="2"/>
          </rPr>
          <t xml:space="preserve">
Afstemmingsstaat</t>
        </r>
      </text>
    </comment>
    <comment ref="BN74" authorId="5">
      <text>
        <r>
          <rPr>
            <b/>
            <sz val="8"/>
            <color indexed="81"/>
            <rFont val="Tahoma"/>
            <family val="2"/>
          </rPr>
          <t>27/5/2015: Bron: CBvS</t>
        </r>
        <r>
          <rPr>
            <sz val="8"/>
            <color indexed="81"/>
            <rFont val="Tahoma"/>
            <family val="2"/>
          </rPr>
          <t xml:space="preserve">
Afstemmingsstaat en raming op realisatie t/m Dec 2014</t>
        </r>
      </text>
    </comment>
    <comment ref="BO74" authorId="0">
      <text>
        <r>
          <rPr>
            <sz val="8"/>
            <color indexed="81"/>
            <rFont val="Tahoma"/>
            <family val="2"/>
          </rPr>
          <t>verondersteld is IAMGOLD zakt met 49 overige bedrijven onveranderd</t>
        </r>
      </text>
    </comment>
    <comment ref="BP74" authorId="0">
      <text>
        <r>
          <rPr>
            <sz val="8"/>
            <color indexed="81"/>
            <rFont val="Tahoma"/>
            <family val="2"/>
          </rPr>
          <t>Verondersteld  is IAMGOD blijft op niveau van 2015 en vervolgens Surgold  +175, overige bedriven onveranderd</t>
        </r>
      </text>
    </comment>
    <comment ref="BQ74" authorId="10">
      <text>
        <r>
          <rPr>
            <b/>
            <sz val="9"/>
            <color indexed="81"/>
            <rFont val="Tahoma"/>
            <charset val="1"/>
          </rPr>
          <t>Verondersteld Surgold + (465-175), andere bedrijven onveranderd</t>
        </r>
      </text>
    </comment>
    <comment ref="CM74" authorId="0">
      <text>
        <r>
          <rPr>
            <sz val="8"/>
            <color indexed="81"/>
            <rFont val="Tahoma"/>
            <family val="2"/>
          </rPr>
          <t xml:space="preserve">24/8/2011: groei % is 8 (SPS)
</t>
        </r>
      </text>
    </comment>
    <comment ref="BH75" authorId="1">
      <text>
        <r>
          <rPr>
            <b/>
            <sz val="8"/>
            <color indexed="81"/>
            <rFont val="Tahoma"/>
            <family val="2"/>
          </rPr>
          <t>Bron: DWT 23/6/08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77" authorId="5">
      <text>
        <r>
          <rPr>
            <b/>
            <sz val="8"/>
            <color indexed="81"/>
            <rFont val="Tahoma"/>
            <family val="2"/>
          </rPr>
          <t>5/2/2014: Bron: CBvS</t>
        </r>
        <r>
          <rPr>
            <sz val="8"/>
            <color indexed="81"/>
            <rFont val="Tahoma"/>
            <family val="2"/>
          </rPr>
          <t xml:space="preserve">
Afstemmingsstaat; de totale productie</t>
        </r>
      </text>
    </comment>
    <comment ref="BL77" authorId="5">
      <text>
        <r>
          <rPr>
            <b/>
            <sz val="8"/>
            <color indexed="81"/>
            <rFont val="Tahoma"/>
            <family val="2"/>
          </rPr>
          <t>5/2/2014: Bron: CBvS</t>
        </r>
        <r>
          <rPr>
            <sz val="8"/>
            <color indexed="81"/>
            <rFont val="Tahoma"/>
            <family val="2"/>
          </rPr>
          <t xml:space="preserve">
Afstemmingsstaat; de totale productie</t>
        </r>
      </text>
    </comment>
    <comment ref="BM77" authorId="5">
      <text>
        <r>
          <rPr>
            <b/>
            <sz val="8"/>
            <color indexed="81"/>
            <rFont val="Tahoma"/>
            <family val="2"/>
          </rPr>
          <t>5/2/2014: Bron: CBvS</t>
        </r>
        <r>
          <rPr>
            <sz val="8"/>
            <color indexed="81"/>
            <rFont val="Tahoma"/>
            <family val="2"/>
          </rPr>
          <t xml:space="preserve">
Afstemmingsstaat; de totale productie</t>
        </r>
      </text>
    </comment>
    <comment ref="BI78" authorId="1">
      <text>
        <r>
          <rPr>
            <b/>
            <sz val="8"/>
            <color indexed="81"/>
            <rFont val="Tahoma"/>
            <family val="2"/>
          </rPr>
          <t>22/6/09
Voorlopige cijfer obv raming SPS (+13%)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78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BD79" authorId="2">
      <text>
        <r>
          <rPr>
            <b/>
            <sz val="8"/>
            <color indexed="81"/>
            <rFont val="Tahoma"/>
            <family val="2"/>
          </rPr>
          <t>6/12/2013: SPS / Druivendal</t>
        </r>
      </text>
    </comment>
    <comment ref="BE79" authorId="2">
      <text>
        <r>
          <rPr>
            <b/>
            <sz val="8"/>
            <color indexed="81"/>
            <rFont val="Tahoma"/>
            <family val="2"/>
          </rPr>
          <t>6/12/2013: SPS / Druivendal</t>
        </r>
      </text>
    </comment>
    <comment ref="BF79" authorId="6">
      <text>
        <r>
          <rPr>
            <b/>
            <sz val="8"/>
            <color indexed="81"/>
            <rFont val="Tahoma"/>
            <family val="2"/>
          </rPr>
          <t>16/10/2014: Jaarplan 2015; Tabel 3.1.18: het aantal toeristen 2006-2013 vanuit de 4 grenzen</t>
        </r>
      </text>
    </comment>
    <comment ref="BG79" authorId="6">
      <text>
        <r>
          <rPr>
            <b/>
            <sz val="8"/>
            <color indexed="81"/>
            <rFont val="Tahoma"/>
            <family val="2"/>
          </rPr>
          <t>16/10/2014: Jaarplan 2015; Tabel 3.1.18: het aantal toeristen 2006-2013 vanuit de 4 grenzen</t>
        </r>
      </text>
    </comment>
    <comment ref="BH79" authorId="6">
      <text>
        <r>
          <rPr>
            <b/>
            <sz val="8"/>
            <color indexed="81"/>
            <rFont val="Tahoma"/>
            <family val="2"/>
          </rPr>
          <t>16/10/2014: Jaarplan 2015; Tabel 3.1.18: het aantal toeristen 2006-2013 vanuit de 4 grenzen</t>
        </r>
      </text>
    </comment>
    <comment ref="BI79" authorId="6">
      <text>
        <r>
          <rPr>
            <b/>
            <sz val="8"/>
            <color indexed="81"/>
            <rFont val="Tahoma"/>
            <family val="2"/>
          </rPr>
          <t>16/10/2014: Jaarplan 2015; Tabel 3.1.18: het aantal toeristen 2006-2013 vanuit de 4 grenzen</t>
        </r>
      </text>
    </comment>
    <comment ref="BJ79" authorId="6">
      <text>
        <r>
          <rPr>
            <b/>
            <sz val="8"/>
            <color indexed="81"/>
            <rFont val="Tahoma"/>
            <family val="2"/>
          </rPr>
          <t>16/10/2014: Jaarplan 2015; Tabel 3.1.18: het aantal toeristen 2006-2013 vanuit de 4 grenzen</t>
        </r>
      </text>
    </comment>
    <comment ref="BK79" authorId="6">
      <text>
        <r>
          <rPr>
            <b/>
            <sz val="8"/>
            <color indexed="81"/>
            <rFont val="Tahoma"/>
            <family val="2"/>
          </rPr>
          <t xml:space="preserve">aantal toeristen gearriveerd, bron www.statistics-suriname.org
</t>
        </r>
      </text>
    </comment>
    <comment ref="BL79" authorId="6">
      <text>
        <r>
          <rPr>
            <b/>
            <sz val="8"/>
            <color indexed="81"/>
            <rFont val="Tahoma"/>
            <family val="2"/>
          </rPr>
          <t>16/10/2014: Jaarplan 2015; Tabel 3.1.18: het aantal toeristen 2006-2013 vanuit de 4 grenzen</t>
        </r>
      </text>
    </comment>
    <comment ref="BM79" authorId="6">
      <text>
        <r>
          <rPr>
            <b/>
            <sz val="8"/>
            <color indexed="81"/>
            <rFont val="Tahoma"/>
            <family val="2"/>
          </rPr>
          <t>16/10/2014: Jaarplan 2015; Tabel 3.1.18: het aantal toeristen 2006-2013 vanuit de 4 grenzen</t>
        </r>
      </text>
    </comment>
    <comment ref="BN79" authorId="2">
      <text>
        <r>
          <rPr>
            <b/>
            <sz val="8"/>
            <color indexed="81"/>
            <rFont val="Tahoma"/>
            <family val="2"/>
          </rPr>
          <t>3/8/2015: SPS / EPO folder Druivendal Thaïs; Tourist Statistics breakdown from 2013-2014</t>
        </r>
      </text>
    </comment>
    <comment ref="BO79" authorId="2">
      <text>
        <r>
          <rPr>
            <b/>
            <sz val="8"/>
            <color indexed="81"/>
            <rFont val="Tahoma"/>
            <family val="2"/>
          </rPr>
          <t>6/12/2013: SPS / Druivendal; de verwachte groei is 6,943%</t>
        </r>
      </text>
    </comment>
    <comment ref="BP79" authorId="2">
      <text>
        <r>
          <rPr>
            <b/>
            <sz val="8"/>
            <color indexed="81"/>
            <rFont val="Tahoma"/>
            <family val="2"/>
          </rPr>
          <t>6/12/2013: SPS / Druivendal; de verwachte groei is 6,943%</t>
        </r>
      </text>
    </comment>
    <comment ref="BQ79" authorId="2">
      <text>
        <r>
          <rPr>
            <b/>
            <sz val="8"/>
            <color indexed="81"/>
            <rFont val="Tahoma"/>
            <family val="2"/>
          </rPr>
          <t>6/12/2013: SPS / Druivendal; de verwachte groei is 6,943%</t>
        </r>
      </text>
    </comment>
    <comment ref="BR79" authorId="2">
      <text>
        <r>
          <rPr>
            <b/>
            <sz val="8"/>
            <color indexed="81"/>
            <rFont val="Tahoma"/>
            <family val="2"/>
          </rPr>
          <t>6/12/2013: SPS / Druivendal; de verwachte groei is 6,943%</t>
        </r>
      </text>
    </comment>
    <comment ref="BS79" authorId="2">
      <text>
        <r>
          <rPr>
            <b/>
            <sz val="8"/>
            <color indexed="81"/>
            <rFont val="Tahoma"/>
            <family val="2"/>
          </rPr>
          <t>6/12/2013: SPS / Druivendal; de verwachte groei is 6,943%</t>
        </r>
      </text>
    </comment>
    <comment ref="CM79" authorId="0">
      <text>
        <r>
          <rPr>
            <sz val="8"/>
            <color indexed="81"/>
            <rFont val="Tahoma"/>
            <family val="2"/>
          </rPr>
          <t xml:space="preserve">24/8/2011: groei % is 4
 (SPS)
</t>
        </r>
      </text>
    </comment>
    <comment ref="BE82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83" authorId="6">
      <text>
        <r>
          <rPr>
            <b/>
            <sz val="8"/>
            <color indexed="81"/>
            <rFont val="Tahoma"/>
            <family val="2"/>
          </rPr>
          <t>Shakita:</t>
        </r>
        <r>
          <rPr>
            <sz val="8"/>
            <color indexed="81"/>
            <rFont val="Tahoma"/>
            <family val="2"/>
          </rPr>
          <t xml:space="preserve">
11/02/11 bron tabel L. Menke SPS-goudvan 2005-2010</t>
        </r>
      </text>
    </comment>
    <comment ref="BJ83" authorId="6">
      <text>
        <r>
          <rPr>
            <b/>
            <sz val="8"/>
            <color indexed="81"/>
            <rFont val="Tahoma"/>
            <family val="2"/>
          </rPr>
          <t>Shakita:</t>
        </r>
        <r>
          <rPr>
            <sz val="8"/>
            <color indexed="81"/>
            <rFont val="Tahoma"/>
            <family val="2"/>
          </rPr>
          <t xml:space="preserve">
17 feb. 2011, tabel projections for planbureau, Iamgold
2010-2015
</t>
        </r>
      </text>
    </comment>
    <comment ref="BH84" authorId="1">
      <text>
        <r>
          <rPr>
            <sz val="8"/>
            <color indexed="81"/>
            <rFont val="Tahoma"/>
            <family val="2"/>
          </rPr>
          <t xml:space="preserve">3/3/10: BIS, tabel: enkele belangrijke statistieken bauxietsector Suriname
</t>
        </r>
      </text>
    </comment>
    <comment ref="BI84" authorId="1">
      <text>
        <r>
          <rPr>
            <sz val="8"/>
            <color indexed="81"/>
            <rFont val="Tahoma"/>
            <family val="2"/>
          </rPr>
          <t xml:space="preserve">3/3/10: BIS, tabel: enkele belangrijke statistieken bauxietsector Suriname
</t>
        </r>
      </text>
    </comment>
    <comment ref="BJ84" authorId="5">
      <text>
        <r>
          <rPr>
            <b/>
            <sz val="8"/>
            <color indexed="81"/>
            <rFont val="Tahoma"/>
            <family val="2"/>
          </rPr>
          <t>19/2/2013: Bron: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84" authorId="1">
      <text>
        <r>
          <rPr>
            <sz val="8"/>
            <color indexed="81"/>
            <rFont val="Tahoma"/>
            <family val="2"/>
          </rPr>
          <t>27/5/205 BIS, tabel: Statistieken bauxietsector Suriname 2010-2013</t>
        </r>
      </text>
    </comment>
    <comment ref="BL84" authorId="1">
      <text>
        <r>
          <rPr>
            <sz val="8"/>
            <color indexed="81"/>
            <rFont val="Tahoma"/>
            <family val="2"/>
          </rPr>
          <t>27/5/205 BIS, tabel: Statistieken bauxietsector Suriname 2010-2013</t>
        </r>
      </text>
    </comment>
    <comment ref="BM84" authorId="1">
      <text>
        <r>
          <rPr>
            <sz val="8"/>
            <color indexed="81"/>
            <rFont val="Tahoma"/>
            <family val="2"/>
          </rPr>
          <t>27/5/205 BIS, tabel: Statistieken bauxietsector Suriname 2010-2013</t>
        </r>
      </text>
    </comment>
    <comment ref="BN84" authorId="0">
      <text>
        <r>
          <rPr>
            <b/>
            <sz val="8"/>
            <color indexed="81"/>
            <rFont val="Tahoma"/>
            <family val="2"/>
          </rPr>
          <t>3/8/2015: Tabel Suriname: Bauxietsector Kwartaalstatistieken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84" authorId="1">
      <text>
        <r>
          <rPr>
            <sz val="8"/>
            <color indexed="81"/>
            <rFont val="Tahoma"/>
            <family val="2"/>
          </rPr>
          <t xml:space="preserve">3/8/2015: De prijs is op het niveau van 2014
</t>
        </r>
      </text>
    </comment>
    <comment ref="BP84" authorId="1">
      <text>
        <r>
          <rPr>
            <sz val="8"/>
            <color indexed="81"/>
            <rFont val="Tahoma"/>
            <family val="2"/>
          </rPr>
          <t xml:space="preserve">3/8/2015: De prijs is op het niveau van 2014
</t>
        </r>
      </text>
    </comment>
    <comment ref="BQ84" authorId="1">
      <text>
        <r>
          <rPr>
            <sz val="8"/>
            <color indexed="81"/>
            <rFont val="Tahoma"/>
            <family val="2"/>
          </rPr>
          <t xml:space="preserve">3/8/2015: De prijs is op het niveau van 2014
</t>
        </r>
      </text>
    </comment>
    <comment ref="BR84" authorId="1">
      <text>
        <r>
          <rPr>
            <sz val="8"/>
            <color indexed="81"/>
            <rFont val="Tahoma"/>
            <family val="2"/>
          </rPr>
          <t xml:space="preserve">3/8/2015: De prijs is op het niveau van 2014
</t>
        </r>
      </text>
    </comment>
    <comment ref="BS84" authorId="1">
      <text>
        <r>
          <rPr>
            <sz val="8"/>
            <color indexed="81"/>
            <rFont val="Tahoma"/>
            <family val="2"/>
          </rPr>
          <t xml:space="preserve">3/8/2015: De prijs is op het niveau van 2014
</t>
        </r>
      </text>
    </comment>
    <comment ref="BT84" authorId="1">
      <text>
        <r>
          <rPr>
            <sz val="8"/>
            <color indexed="81"/>
            <rFont val="Tahoma"/>
            <family val="2"/>
          </rPr>
          <t>2/4/2014: De prijs wordt afgeleid van de Aluminiuprijs (0,11x de Aluminiumprijs)</t>
        </r>
      </text>
    </comment>
    <comment ref="BU84" authorId="1">
      <text>
        <r>
          <rPr>
            <sz val="8"/>
            <color indexed="81"/>
            <rFont val="Tahoma"/>
            <family val="2"/>
          </rPr>
          <t>2/4/2014: De prijs wordt afgeleid van de Aluminiuprijs (0,11x de Aluminiumprijs)</t>
        </r>
      </text>
    </comment>
    <comment ref="CM84" authorId="1">
      <text>
        <r>
          <rPr>
            <sz val="8"/>
            <color indexed="81"/>
            <rFont val="Tahoma"/>
            <family val="2"/>
          </rPr>
          <t xml:space="preserve">1/8/12: CBvS, tabel: Projections Bauxite &amp; Alumina production indicators
</t>
        </r>
      </text>
    </comment>
    <comment ref="BI85" authorId="9">
      <text>
        <r>
          <rPr>
            <sz val="8"/>
            <color indexed="81"/>
            <rFont val="Tahoma"/>
            <family val="2"/>
          </rPr>
          <t>Bron:web.worldbank.org/WBSITE/EXTERNAL/EXTDEC/EXTDECPROSPECTS/EXT...
(29/10/10)</t>
        </r>
      </text>
    </comment>
    <comment ref="BJ85" authorId="3">
      <text>
        <r>
          <rPr>
            <b/>
            <sz val="8"/>
            <color indexed="81"/>
            <rFont val="Tahoma"/>
            <family val="2"/>
          </rPr>
          <t>29/10/2014
Bron: Economist  Intelligence Unit ; Individual commodity price forecasts (15/10/2014)</t>
        </r>
      </text>
    </comment>
    <comment ref="BK85" authorId="3">
      <text>
        <r>
          <rPr>
            <b/>
            <sz val="8"/>
            <color indexed="81"/>
            <rFont val="Tahoma"/>
            <family val="2"/>
          </rPr>
          <t>29/10/2014
Bron: Economist  Intelligence Unit ; Individual commodity price forecasts (15/10/2014)</t>
        </r>
      </text>
    </comment>
    <comment ref="BL85" authorId="4">
      <text>
        <r>
          <rPr>
            <sz val="8"/>
            <color indexed="81"/>
            <rFont val="Tahoma"/>
            <family val="2"/>
          </rPr>
          <t>14/1/15 Bron: World Bank Coomodities Price Data
(6 Jan 2015)</t>
        </r>
      </text>
    </comment>
    <comment ref="BM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N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O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P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Q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R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S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T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U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V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W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X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Y85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CM85" authorId="9">
      <text>
        <r>
          <rPr>
            <sz val="8"/>
            <color indexed="81"/>
            <rFont val="Tahoma"/>
            <family val="2"/>
          </rPr>
          <t>Bron:web.worldbank.org/WBSITE/EXTERNAL/EXTDEC/EXTDECPROSPECTS/EXT...
(29/10/10)</t>
        </r>
      </text>
    </comment>
    <comment ref="BH86" authorId="1">
      <text>
        <r>
          <rPr>
            <sz val="8"/>
            <color indexed="81"/>
            <rFont val="Tahoma"/>
            <family val="2"/>
          </rPr>
          <t xml:space="preserve">Bron: Staatsolie (12/1/09)
</t>
        </r>
      </text>
    </comment>
    <comment ref="BI86" authorId="1">
      <text>
        <r>
          <rPr>
            <sz val="8"/>
            <color indexed="81"/>
            <rFont val="Tahoma"/>
            <family val="2"/>
          </rPr>
          <t xml:space="preserve">Bron: Staatsolie (12/1/09)
</t>
        </r>
      </text>
    </comment>
    <comment ref="BG87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87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87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87" authorId="5">
      <text>
        <r>
          <rPr>
            <b/>
            <sz val="8"/>
            <color indexed="81"/>
            <rFont val="Tahoma"/>
            <family val="2"/>
          </rPr>
          <t>19/2/2013: Bron: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87" authorId="5">
      <text>
        <r>
          <rPr>
            <b/>
            <sz val="8"/>
            <color indexed="81"/>
            <rFont val="Tahoma"/>
            <family val="2"/>
          </rPr>
          <t>19/2/2013: Bron: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87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87" authorId="0">
      <text>
        <r>
          <rPr>
            <b/>
            <sz val="8"/>
            <color indexed="81"/>
            <rFont val="Tahoma"/>
            <family val="2"/>
          </rPr>
          <t>DWT 8/1/2014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87" authorId="0">
      <text>
        <r>
          <rPr>
            <b/>
            <sz val="8"/>
            <color indexed="81"/>
            <rFont val="Tahoma"/>
            <family val="2"/>
          </rPr>
          <t>DWT 8/1/2014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87" authorId="1">
      <text>
        <r>
          <rPr>
            <sz val="8"/>
            <color indexed="81"/>
            <rFont val="Tahoma"/>
            <family val="2"/>
          </rPr>
          <t xml:space="preserve">Bron: Staatsolie nieuws 1e kwartaal 2011 (29/5/12)
</t>
        </r>
      </text>
    </comment>
    <comment ref="BG8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8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8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88" authorId="5">
      <text>
        <r>
          <rPr>
            <b/>
            <sz val="8"/>
            <color indexed="81"/>
            <rFont val="Tahoma"/>
            <family val="2"/>
          </rPr>
          <t>19/2/2013: Bron: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88" authorId="5">
      <text>
        <r>
          <rPr>
            <b/>
            <sz val="8"/>
            <color indexed="81"/>
            <rFont val="Tahoma"/>
            <family val="2"/>
          </rPr>
          <t>19/2/2013: Bron: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8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8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8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8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8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88" authorId="1">
      <text>
        <r>
          <rPr>
            <sz val="8"/>
            <color indexed="81"/>
            <rFont val="Tahoma"/>
            <family val="2"/>
          </rPr>
          <t xml:space="preserve">Bron: Staatsolie nieuws 1e kwartaal 2011 (29/5/12)
</t>
        </r>
      </text>
    </comment>
    <comment ref="BH89" authorId="4">
      <text>
        <r>
          <rPr>
            <sz val="8"/>
            <color indexed="81"/>
            <rFont val="Tahoma"/>
            <family val="2"/>
          </rPr>
          <t xml:space="preserve">Bron: 19/2/2013 ; The Economist Intelligence Unit)
</t>
        </r>
      </text>
    </comment>
    <comment ref="BI89" authorId="4">
      <text>
        <r>
          <rPr>
            <sz val="8"/>
            <color indexed="81"/>
            <rFont val="Tahoma"/>
            <family val="2"/>
          </rPr>
          <t xml:space="preserve">Bron: 27/3/12 Bron: WEO 
</t>
        </r>
      </text>
    </comment>
    <comment ref="BJ89" authorId="4">
      <text>
        <r>
          <rPr>
            <sz val="8"/>
            <color indexed="81"/>
            <rFont val="Tahoma"/>
            <family val="2"/>
          </rPr>
          <t xml:space="preserve">Bron: 27/3/12 Bron: WEO 
</t>
        </r>
      </text>
    </comment>
    <comment ref="BK89" authorId="4">
      <text>
        <r>
          <rPr>
            <sz val="8"/>
            <color indexed="81"/>
            <rFont val="Tahoma"/>
            <family val="2"/>
          </rPr>
          <t xml:space="preserve">Bron: 10/12/12 Bron: WEO:  table 3: non-fuel &amp; fuel commodities 2009-2012, 6 juni 2012
</t>
        </r>
      </text>
    </comment>
    <comment ref="BL89" authorId="3">
      <text>
        <r>
          <rPr>
            <b/>
            <sz val="8"/>
            <color indexed="81"/>
            <rFont val="Tahoma"/>
            <family val="2"/>
          </rPr>
          <t>9/10/2014
Bron: Economist  Intelligence Unit ; Global forecast; (Sept 17, 2014)</t>
        </r>
      </text>
    </comment>
    <comment ref="BM89" authorId="3">
      <text>
        <r>
          <rPr>
            <b/>
            <sz val="8"/>
            <color indexed="81"/>
            <rFont val="Tahoma"/>
            <family val="2"/>
          </rPr>
          <t>27/5/2015
Bron: Economist  Intelligence Unit ; Global forecast; (20 Mei 2015)</t>
        </r>
      </text>
    </comment>
    <comment ref="BN89" authorId="3">
      <text>
        <r>
          <rPr>
            <b/>
            <sz val="8"/>
            <color indexed="81"/>
            <rFont val="Tahoma"/>
            <family val="2"/>
          </rPr>
          <t>27/10/2015
Bron: Economist  Intelligence Unit ; Global forecast; (22/10/2015)</t>
        </r>
      </text>
    </comment>
    <comment ref="BO89" authorId="3">
      <text>
        <r>
          <rPr>
            <b/>
            <sz val="8"/>
            <color indexed="81"/>
            <rFont val="Tahoma"/>
            <family val="2"/>
          </rPr>
          <t>11/12/2015
Bron: WEO</t>
        </r>
      </text>
    </comment>
    <comment ref="BP89" authorId="3">
      <text>
        <r>
          <rPr>
            <b/>
            <sz val="8"/>
            <color indexed="81"/>
            <rFont val="Tahoma"/>
            <family val="2"/>
          </rPr>
          <t>11/12/2015
Bron: WEO</t>
        </r>
      </text>
    </comment>
    <comment ref="BQ89" authorId="3">
      <text>
        <r>
          <rPr>
            <b/>
            <sz val="8"/>
            <color indexed="81"/>
            <rFont val="Tahoma"/>
            <family val="2"/>
          </rPr>
          <t>11/12/2015
Bron: WEO</t>
        </r>
      </text>
    </comment>
    <comment ref="BR89" authorId="3">
      <text>
        <r>
          <rPr>
            <b/>
            <sz val="8"/>
            <color indexed="81"/>
            <rFont val="Tahoma"/>
            <family val="2"/>
          </rPr>
          <t>11/12/2015
Bron: WEO</t>
        </r>
      </text>
    </comment>
    <comment ref="BS89" authorId="3">
      <text>
        <r>
          <rPr>
            <b/>
            <sz val="8"/>
            <color indexed="81"/>
            <rFont val="Tahoma"/>
            <family val="2"/>
          </rPr>
          <t>11/12/2015
Bron: WEO</t>
        </r>
      </text>
    </comment>
    <comment ref="CM89" authorId="4">
      <text>
        <r>
          <rPr>
            <sz val="8"/>
            <color indexed="81"/>
            <rFont val="Tahoma"/>
            <family val="2"/>
          </rPr>
          <t xml:space="preserve">Bron: 10/12/12 Bron: WEO:  table 3: non-fuel &amp; fuel commodities 2009-2012, 6 juni 2012
</t>
        </r>
      </text>
    </comment>
    <comment ref="C92" authorId="3">
      <text>
        <r>
          <rPr>
            <b/>
            <sz val="8"/>
            <color indexed="81"/>
            <rFont val="Tahoma"/>
            <family val="2"/>
          </rPr>
          <t>15/12/2014
Bron: www.oil-price.net (brentprijs/crude olieprijs)*jaarvoorspellingsprijs crude oil=[61.85/57.81*66]</t>
        </r>
      </text>
    </comment>
    <comment ref="BO94" authorId="4">
      <text>
        <r>
          <rPr>
            <sz val="8"/>
            <color indexed="81"/>
            <rFont val="Tahoma"/>
            <family val="2"/>
          </rPr>
          <t>27/5.2015 Bron: World Bank Commodities Price Data
(20 Oktober 2015)</t>
        </r>
      </text>
    </comment>
    <comment ref="BQ94" authorId="0">
      <text>
        <r>
          <rPr>
            <b/>
            <sz val="8"/>
            <color indexed="81"/>
            <rFont val="Tahoma"/>
            <family val="2"/>
          </rPr>
          <t>29/6/2012: Raming SPS: wereldmpr(t)/wereldmpr (t-1) * prijs (t-1)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96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96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96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96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96" authorId="9">
      <text>
        <r>
          <rPr>
            <b/>
            <sz val="8"/>
            <color indexed="81"/>
            <rFont val="Tahoma"/>
            <family val="2"/>
          </rPr>
          <t>18/2/11: Bron: CBvS (Goudproducten en -export Grootschalige en Kleinschalige Goudmijnbouw)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96" authorId="5">
      <text>
        <r>
          <rPr>
            <b/>
            <sz val="8"/>
            <color indexed="81"/>
            <rFont val="Tahoma"/>
            <family val="2"/>
          </rPr>
          <t>19/2/2013: Bron: CBvS; tabel Miningsector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96" authorId="5">
      <text>
        <r>
          <rPr>
            <b/>
            <sz val="8"/>
            <color indexed="81"/>
            <rFont val="Tahoma"/>
            <family val="2"/>
          </rPr>
          <t>17/9/2014: Bron: CBvS</t>
        </r>
        <r>
          <rPr>
            <sz val="8"/>
            <color indexed="81"/>
            <rFont val="Tahoma"/>
            <family val="2"/>
          </rPr>
          <t xml:space="preserve">
Afstemmingsstaat</t>
        </r>
      </text>
    </comment>
    <comment ref="BL96" authorId="5">
      <text>
        <r>
          <rPr>
            <b/>
            <sz val="8"/>
            <color indexed="81"/>
            <rFont val="Tahoma"/>
            <family val="2"/>
          </rPr>
          <t>17/9/2014: Bron: CBvS</t>
        </r>
        <r>
          <rPr>
            <sz val="8"/>
            <color indexed="81"/>
            <rFont val="Tahoma"/>
            <family val="2"/>
          </rPr>
          <t xml:space="preserve">
Afstemmingsstaat</t>
        </r>
      </text>
    </comment>
    <comment ref="BM96" authorId="5">
      <text>
        <r>
          <rPr>
            <b/>
            <sz val="8"/>
            <color indexed="81"/>
            <rFont val="Tahoma"/>
            <family val="2"/>
          </rPr>
          <t>17/9/2014: Bron: CBvS</t>
        </r>
        <r>
          <rPr>
            <sz val="8"/>
            <color indexed="81"/>
            <rFont val="Tahoma"/>
            <family val="2"/>
          </rPr>
          <t xml:space="preserve">
Afstemmingsstaat</t>
        </r>
      </text>
    </comment>
    <comment ref="BN96" authorId="5">
      <text>
        <r>
          <rPr>
            <b/>
            <sz val="8"/>
            <color indexed="81"/>
            <rFont val="Tahoma"/>
            <family val="2"/>
          </rPr>
          <t>27/5/2015: Bron: CBvS</t>
        </r>
        <r>
          <rPr>
            <sz val="8"/>
            <color indexed="81"/>
            <rFont val="Tahoma"/>
            <family val="2"/>
          </rPr>
          <t xml:space="preserve">
Afstemmingsstaat en raming op realisatie t/m Dec 2014</t>
        </r>
      </text>
    </comment>
    <comment ref="BO96" authorId="4">
      <text>
        <r>
          <rPr>
            <sz val="8"/>
            <color indexed="81"/>
            <rFont val="Tahoma"/>
            <family val="2"/>
          </rPr>
          <t>11/12/205: WEO</t>
        </r>
      </text>
    </comment>
    <comment ref="BP96" authorId="4">
      <text>
        <r>
          <rPr>
            <sz val="8"/>
            <color indexed="81"/>
            <rFont val="Tahoma"/>
            <family val="2"/>
          </rPr>
          <t>11/12/205: WEO</t>
        </r>
      </text>
    </comment>
    <comment ref="BQ96" authorId="4">
      <text>
        <r>
          <rPr>
            <sz val="8"/>
            <color indexed="81"/>
            <rFont val="Tahoma"/>
            <family val="2"/>
          </rPr>
          <t>11/12/205: WEO</t>
        </r>
      </text>
    </comment>
    <comment ref="BR96" authorId="4">
      <text>
        <r>
          <rPr>
            <sz val="8"/>
            <color indexed="81"/>
            <rFont val="Tahoma"/>
            <family val="2"/>
          </rPr>
          <t>11/12/205: WEO</t>
        </r>
      </text>
    </comment>
    <comment ref="BS96" authorId="4">
      <text>
        <r>
          <rPr>
            <sz val="8"/>
            <color indexed="81"/>
            <rFont val="Tahoma"/>
            <family val="2"/>
          </rPr>
          <t>11/12/205: WEO</t>
        </r>
      </text>
    </comment>
    <comment ref="BT96" authorId="4">
      <text>
        <r>
          <rPr>
            <sz val="8"/>
            <color indexed="81"/>
            <rFont val="Tahoma"/>
            <family val="2"/>
          </rPr>
          <t>27/10.2015 Bron: World Bank Commodities Price Data
(20 Oktober 2015)</t>
        </r>
      </text>
    </comment>
    <comment ref="BU96" authorId="4">
      <text>
        <r>
          <rPr>
            <sz val="8"/>
            <color indexed="81"/>
            <rFont val="Tahoma"/>
            <family val="2"/>
          </rPr>
          <t>27/10.2015 Bron: World Bank Commodities Price Data
(20 Oktober 2015)</t>
        </r>
      </text>
    </comment>
    <comment ref="BV96" authorId="4">
      <text>
        <r>
          <rPr>
            <sz val="8"/>
            <color indexed="81"/>
            <rFont val="Tahoma"/>
            <family val="2"/>
          </rPr>
          <t>27/10.2015 Bron: World Bank Commodities Price Data
(20 Oktober 2015)</t>
        </r>
      </text>
    </comment>
    <comment ref="BW96" authorId="4">
      <text>
        <r>
          <rPr>
            <sz val="8"/>
            <color indexed="81"/>
            <rFont val="Tahoma"/>
            <family val="2"/>
          </rPr>
          <t>27/10.2015 Bron: World Bank Commodities Price Data
(20 Oktober 2015)</t>
        </r>
      </text>
    </comment>
    <comment ref="BX96" authorId="4">
      <text>
        <r>
          <rPr>
            <sz val="8"/>
            <color indexed="81"/>
            <rFont val="Tahoma"/>
            <family val="2"/>
          </rPr>
          <t>27/10.2015 Bron: World Bank Commodities Price Data
(20 Oktober 2015)</t>
        </r>
      </text>
    </comment>
    <comment ref="BY96" authorId="4">
      <text>
        <r>
          <rPr>
            <sz val="8"/>
            <color indexed="81"/>
            <rFont val="Tahoma"/>
            <family val="2"/>
          </rPr>
          <t>27/10.2015 Bron: World Bank Commodities Price Data
(20 Oktober 2015)</t>
        </r>
      </text>
    </comment>
    <comment ref="BZ96" authorId="4">
      <text>
        <r>
          <rPr>
            <sz val="8"/>
            <color indexed="81"/>
            <rFont val="Tahoma"/>
            <family val="2"/>
          </rPr>
          <t>27/5.2015 Bron: World Bank Commodities Price Data
(22 April 2015)</t>
        </r>
      </text>
    </comment>
    <comment ref="CM96" authorId="5">
      <text>
        <r>
          <rPr>
            <b/>
            <sz val="8"/>
            <color indexed="81"/>
            <rFont val="Tahoma"/>
            <family val="2"/>
          </rPr>
          <t>22/2/11: IAMGold</t>
        </r>
      </text>
    </comment>
    <comment ref="AZ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98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98" authorId="5">
      <text>
        <r>
          <rPr>
            <b/>
            <sz val="8"/>
            <color indexed="81"/>
            <rFont val="Tahoma"/>
            <family val="2"/>
          </rPr>
          <t>29/8/11: Agrarische Statististieken 2005-2010, 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98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98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98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98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98" authorId="3">
      <text>
        <r>
          <rPr>
            <b/>
            <sz val="8"/>
            <color indexed="81"/>
            <rFont val="Tahoma"/>
            <family val="2"/>
          </rPr>
          <t>11/12/2015
Bron: Economist  Intelligence Unit ; Global forecast; (18/11/2015)</t>
        </r>
      </text>
    </comment>
    <comment ref="BP98" authorId="3">
      <text>
        <r>
          <rPr>
            <b/>
            <sz val="8"/>
            <color indexed="81"/>
            <rFont val="Tahoma"/>
            <family val="2"/>
          </rPr>
          <t>11/12/2015
Bron: Economist  Intelligence Unit ; Global forecast; (18/11/2015)</t>
        </r>
      </text>
    </comment>
    <comment ref="BQ98" authorId="3">
      <text>
        <r>
          <rPr>
            <b/>
            <sz val="8"/>
            <color indexed="81"/>
            <rFont val="Tahoma"/>
            <family val="2"/>
          </rPr>
          <t>11/12/2015
Bron: Economist  Intelligence Unit ; Global forecast; (18/11/2015)</t>
        </r>
      </text>
    </comment>
    <comment ref="BR98" authorId="3">
      <text>
        <r>
          <rPr>
            <b/>
            <sz val="8"/>
            <color indexed="81"/>
            <rFont val="Tahoma"/>
            <family val="2"/>
          </rPr>
          <t>11/12/2015
Bron: Economist  Intelligence Unit ; Global forecast; (18/11/2015)</t>
        </r>
      </text>
    </comment>
    <comment ref="BS98" authorId="3">
      <text>
        <r>
          <rPr>
            <b/>
            <sz val="8"/>
            <color indexed="81"/>
            <rFont val="Tahoma"/>
            <family val="2"/>
          </rPr>
          <t>11/12/2015
Bron: Economist  Intelligence Unit ; Global forecast; (18/11/2015)</t>
        </r>
      </text>
    </comment>
    <comment ref="BT98" authorId="3">
      <text>
        <r>
          <rPr>
            <b/>
            <sz val="8"/>
            <color indexed="81"/>
            <rFont val="Tahoma"/>
            <family val="2"/>
          </rPr>
          <t>11/12/2015
Bron: Economist  Intelligence Unit ; Global forecast; (18/11/2015)</t>
        </r>
      </text>
    </comment>
    <comment ref="BU98" authorId="3">
      <text>
        <r>
          <rPr>
            <b/>
            <sz val="8"/>
            <color indexed="81"/>
            <rFont val="Tahoma"/>
            <family val="2"/>
          </rPr>
          <t>27/10/2015
Bron: Economist  Intelligence Unit ; Global forecast; (22/10/2015)</t>
        </r>
      </text>
    </comment>
    <comment ref="BV98" authorId="3">
      <text>
        <r>
          <rPr>
            <b/>
            <sz val="8"/>
            <color indexed="81"/>
            <rFont val="Tahoma"/>
            <family val="2"/>
          </rPr>
          <t>27/10/2015
Bron: Economist  Intelligence Unit ; Global forecast; (22/10/2015)</t>
        </r>
      </text>
    </comment>
    <comment ref="BW98" authorId="3">
      <text>
        <r>
          <rPr>
            <b/>
            <sz val="8"/>
            <color indexed="81"/>
            <rFont val="Tahoma"/>
            <family val="2"/>
          </rPr>
          <t>27/10/2015
Bron: Economist  Intelligence Unit ; Global forecast; (22/10/2015)</t>
        </r>
      </text>
    </comment>
    <comment ref="BX98" authorId="3">
      <text>
        <r>
          <rPr>
            <b/>
            <sz val="8"/>
            <color indexed="81"/>
            <rFont val="Tahoma"/>
            <family val="2"/>
          </rPr>
          <t>27/10/2015
Bron: Economist  Intelligence Unit ; Global forecast; (22/10/2015)</t>
        </r>
      </text>
    </comment>
    <comment ref="BY98" authorId="3">
      <text>
        <r>
          <rPr>
            <b/>
            <sz val="8"/>
            <color indexed="81"/>
            <rFont val="Tahoma"/>
            <family val="2"/>
          </rPr>
          <t>27/10/2015
Bron: Economist  Intelligence Unit ; Global forecast; (22/10/2015)</t>
        </r>
      </text>
    </comment>
    <comment ref="CM98" authorId="0">
      <text>
        <r>
          <rPr>
            <b/>
            <sz val="8"/>
            <color indexed="81"/>
            <rFont val="Tahoma"/>
            <family val="2"/>
          </rPr>
          <t>13/7/2012: Raming SPS: (wereldmprjuni + wereldmprjuli)/2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99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99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99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99" authorId="5">
      <text>
        <r>
          <rPr>
            <b/>
            <sz val="8"/>
            <color indexed="81"/>
            <rFont val="Tahoma"/>
            <family val="2"/>
          </rPr>
          <t>2/3/11: Statistische bijlage LVV; tabel 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99" authorId="5">
      <text>
        <r>
          <rPr>
            <b/>
            <sz val="8"/>
            <color indexed="81"/>
            <rFont val="Tahoma"/>
            <family val="2"/>
          </rPr>
          <t>22/3/12: Bron: S. Dwarka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99" authorId="5">
      <text>
        <r>
          <rPr>
            <b/>
            <sz val="8"/>
            <color indexed="81"/>
            <rFont val="Tahoma"/>
            <family val="2"/>
          </rPr>
          <t>22/3/12: Bron: S. Dwarka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99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99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99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99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99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99" authorId="1">
      <text>
        <r>
          <rPr>
            <b/>
            <sz val="8"/>
            <color indexed="81"/>
            <rFont val="Tahoma"/>
            <family val="2"/>
          </rPr>
          <t>19/2/13: Bron: SBBS (tabel kenindicat. SBBS 2012) t/m DEC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99" authorId="1">
      <text>
        <r>
          <rPr>
            <b/>
            <sz val="8"/>
            <color indexed="81"/>
            <rFont val="Tahoma"/>
            <family val="2"/>
          </rPr>
          <t>24/10/14: Bron: Jaarplan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99" authorId="0">
      <text>
        <r>
          <rPr>
            <b/>
            <sz val="8"/>
            <color indexed="81"/>
            <rFont val="Tahoma"/>
            <family val="2"/>
          </rPr>
          <t>28/5/2015: FAI; Kernindicatoren FAI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99" authorId="0">
      <text>
        <r>
          <rPr>
            <b/>
            <sz val="8"/>
            <color indexed="81"/>
            <rFont val="Tahoma"/>
            <family val="2"/>
          </rPr>
          <t>28/5/2015: FAI; Kernindicatoren FAI 2015/ schatting SPS obv realisatie t/m juli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99" authorId="1">
      <text>
        <r>
          <rPr>
            <b/>
            <sz val="8"/>
            <color indexed="81"/>
            <rFont val="Tahoma"/>
            <family val="2"/>
          </rPr>
          <t>12/3/14: Bron: SBBS (tabel kenindicat. SBBS 2013)</t>
        </r>
      </text>
    </comment>
    <comment ref="BQ99" authorId="1">
      <text>
        <r>
          <rPr>
            <b/>
            <sz val="8"/>
            <color indexed="81"/>
            <rFont val="Tahoma"/>
            <family val="2"/>
          </rPr>
          <t>12/3/14: Bron: SBBS (tabel kenindicat. SBBS 2013)</t>
        </r>
      </text>
    </comment>
    <comment ref="BR99" authorId="1">
      <text>
        <r>
          <rPr>
            <b/>
            <sz val="8"/>
            <color indexed="81"/>
            <rFont val="Tahoma"/>
            <family val="2"/>
          </rPr>
          <t>12/3/14: Bron: SBBS (tabel kenindicat. SBBS 2013)</t>
        </r>
      </text>
    </comment>
    <comment ref="CM99" authorId="1">
      <text>
        <r>
          <rPr>
            <b/>
            <sz val="8"/>
            <color indexed="81"/>
            <rFont val="Tahoma"/>
            <family val="2"/>
          </rPr>
          <t>10/12/12: Bron: SBBS (tabel kenindicat. SBBS 2012) t/m sept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A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B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C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D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E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F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G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H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I100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(schaaldieren)</t>
        </r>
      </text>
    </comment>
    <comment ref="BJ100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0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00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00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00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A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B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C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D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E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F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G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H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I101" authorId="5">
      <text>
        <r>
          <rPr>
            <b/>
            <sz val="8"/>
            <color indexed="81"/>
            <rFont val="Tahoma"/>
            <family val="2"/>
          </rPr>
          <t xml:space="preserve">2/3/11: Statistische bijlage LVV; tabel 4;          </t>
        </r>
        <r>
          <rPr>
            <sz val="8"/>
            <color indexed="81"/>
            <rFont val="Tahoma"/>
            <family val="2"/>
          </rPr>
          <t xml:space="preserve">
(vis en visproducten)</t>
        </r>
      </text>
    </comment>
    <comment ref="BJ101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1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01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01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01" authorId="0">
      <text>
        <r>
          <rPr>
            <b/>
            <sz val="8"/>
            <color indexed="81"/>
            <rFont val="Tahoma"/>
            <family val="2"/>
          </rPr>
          <t>4/8/2015: Min LVV; Agrarische statistieken 2009-2014, juli 2015; Tabel A-7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P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Q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R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S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T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U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V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W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X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Y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AZ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A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B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C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D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E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F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G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H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I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J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K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L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M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N102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31(de prijzen zijn gemidd. van  resp.  rondhout, vierk.bek.palen en letterhout)</t>
        </r>
      </text>
    </comment>
    <comment ref="BO102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P102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Q102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R102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S102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T102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AP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Q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R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S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T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U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V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W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X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Y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AZ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A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B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C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D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E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F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G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H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I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J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K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L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M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N103" authorId="1">
      <text>
        <r>
          <rPr>
            <b/>
            <sz val="8"/>
            <color indexed="81"/>
            <rFont val="Tahoma"/>
            <family val="2"/>
          </rPr>
          <t>6/7/15: Bron: Bosbouwstatistieken Juni 2015; tabel 16, blz 31 (de prijzen zijn gemidd. van resp. van triplex en gezaagd hout)</t>
        </r>
      </text>
    </comment>
    <comment ref="BO103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P103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Q103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R103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S103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T103" authorId="1">
      <text>
        <r>
          <rPr>
            <b/>
            <sz val="8"/>
            <color indexed="81"/>
            <rFont val="Tahoma"/>
            <family val="2"/>
          </rPr>
          <t>27/5/2015: Bron: Tabel SBB: file: Export info 2014-2020</t>
        </r>
      </text>
    </comment>
    <comment ref="BU103" authorId="3">
      <text>
        <r>
          <rPr>
            <b/>
            <sz val="8"/>
            <color indexed="81"/>
            <rFont val="Tahoma"/>
            <family val="2"/>
          </rPr>
          <t>17/7/2014
Bron: Wereldbank (25/4/2014)</t>
        </r>
      </text>
    </comment>
    <comment ref="BV103" authorId="3">
      <text>
        <r>
          <rPr>
            <b/>
            <sz val="8"/>
            <color indexed="81"/>
            <rFont val="Tahoma"/>
            <family val="2"/>
          </rPr>
          <t>17/7/2014
Bron: Wereldbank (25/4/2014)</t>
        </r>
      </text>
    </comment>
    <comment ref="BW103" authorId="3">
      <text>
        <r>
          <rPr>
            <b/>
            <sz val="8"/>
            <color indexed="81"/>
            <rFont val="Tahoma"/>
            <family val="2"/>
          </rPr>
          <t>17/7/2014
Bron: Wereldbank (25/4/2014)</t>
        </r>
      </text>
    </comment>
    <comment ref="BX103" authorId="3">
      <text>
        <r>
          <rPr>
            <b/>
            <sz val="8"/>
            <color indexed="81"/>
            <rFont val="Tahoma"/>
            <family val="2"/>
          </rPr>
          <t>17/7/2014
Bron: Wereldbank (25/4/2014)</t>
        </r>
      </text>
    </comment>
    <comment ref="BY103" authorId="3">
      <text>
        <r>
          <rPr>
            <b/>
            <sz val="8"/>
            <color indexed="81"/>
            <rFont val="Tahoma"/>
            <family val="2"/>
          </rPr>
          <t>17/7/2014
Bron: Wereldbank (25/4/2014)</t>
        </r>
      </text>
    </comment>
    <comment ref="BE104" authorId="2">
      <text>
        <r>
          <rPr>
            <b/>
            <sz val="8"/>
            <color indexed="81"/>
            <rFont val="Tahoma"/>
            <family val="2"/>
          </rPr>
          <t>Bron: D.Wondel; Tabel1: Toerisme indicatoren (18/2/11)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04" authorId="2">
      <text>
        <r>
          <rPr>
            <b/>
            <sz val="8"/>
            <color indexed="81"/>
            <rFont val="Tahoma"/>
            <family val="2"/>
          </rPr>
          <t>Bron: D.Wondel; Tabel1: Toerisme indicatoren (18/2/11)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04" authorId="2">
      <text>
        <r>
          <rPr>
            <b/>
            <sz val="8"/>
            <color indexed="81"/>
            <rFont val="Tahoma"/>
            <family val="2"/>
          </rPr>
          <t>Bron: D.Wondel; Tabel1: Toerisme indicatoren (18/2/11)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04" authorId="2">
      <text>
        <r>
          <rPr>
            <b/>
            <sz val="8"/>
            <color indexed="81"/>
            <rFont val="Tahoma"/>
            <family val="2"/>
          </rPr>
          <t>Bron: D.Wondel; Tabel1: Toerisme indicatoren (18/2/11)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04" authorId="2">
      <text>
        <r>
          <rPr>
            <b/>
            <sz val="8"/>
            <color indexed="81"/>
            <rFont val="Tahoma"/>
            <family val="2"/>
          </rPr>
          <t>Bron: D.Wondel; Tabel1: Toerisme indicatoren (18/2/11)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04" authorId="2">
      <text>
        <r>
          <rPr>
            <b/>
            <sz val="8"/>
            <color indexed="81"/>
            <rFont val="Tahoma"/>
            <family val="2"/>
          </rPr>
          <t>Bron: D.Wondel; Tabel1: Toerisme indicatoren (18/2/11)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06" authorId="6">
      <text>
        <r>
          <rPr>
            <b/>
            <sz val="8"/>
            <color indexed="81"/>
            <rFont val="Tahoma"/>
            <family val="2"/>
          </rPr>
          <t>Shakita:</t>
        </r>
        <r>
          <rPr>
            <sz val="8"/>
            <color indexed="81"/>
            <rFont val="Tahoma"/>
            <family val="2"/>
          </rPr>
          <t xml:space="preserve">
17 feb. 2011, tabel projections for planbureau, Iamgold
2010-2015
</t>
        </r>
      </text>
    </comment>
    <comment ref="BE117" authorId="0">
      <text>
        <r>
          <rPr>
            <b/>
            <sz val="8"/>
            <color indexed="81"/>
            <rFont val="Tahoma"/>
            <family val="2"/>
          </rPr>
          <t>11/7/13: ABS "tabel 1</t>
        </r>
        <r>
          <rPr>
            <sz val="8"/>
            <color indexed="81"/>
            <rFont val="Tahoma"/>
            <family val="2"/>
          </rPr>
          <t xml:space="preserve">
Nominal GDP  (2007 basis, in thousands of SRD)</t>
        </r>
      </text>
    </comment>
    <comment ref="BF117" authorId="0">
      <text>
        <r>
          <rPr>
            <b/>
            <sz val="8"/>
            <color indexed="81"/>
            <rFont val="Tahoma"/>
            <family val="2"/>
          </rPr>
          <t>31/5/12: ABS "NR sheet 2006-2010 released mrt 2012 voor verzending" tabel 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17" authorId="0">
      <text>
        <r>
          <rPr>
            <b/>
            <sz val="8"/>
            <color indexed="81"/>
            <rFont val="Tahoma"/>
            <family val="2"/>
          </rPr>
          <t>7/10/14: Tabel ABS: Gros value added at basicprices at current prices, 2007-2013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17" authorId="0">
      <text>
        <r>
          <rPr>
            <b/>
            <sz val="8"/>
            <color indexed="81"/>
            <rFont val="Tahoma"/>
            <family val="2"/>
          </rPr>
          <t>7/10/14: Tabel ABS: Gros value added at basicprices at current prices, 2007-2013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17" authorId="0">
      <text>
        <r>
          <rPr>
            <b/>
            <sz val="8"/>
            <color indexed="81"/>
            <rFont val="Tahoma"/>
            <family val="2"/>
          </rPr>
          <t>7/10/14: Tabel ABS: Gros value added at basicprices at current prices, 2007-2013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17" authorId="0">
      <text>
        <r>
          <rPr>
            <b/>
            <sz val="8"/>
            <color indexed="81"/>
            <rFont val="Tahoma"/>
            <family val="2"/>
          </rPr>
          <t>1/9/15: Tabel ABS: Gros value added at basicprices at current prices, 2010-2014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17" authorId="0">
      <text>
        <r>
          <rPr>
            <b/>
            <sz val="8"/>
            <color indexed="81"/>
            <rFont val="Tahoma"/>
            <family val="2"/>
          </rPr>
          <t>1/9/15: Tabel ABS: Gros value added at basicprices at current prices, 2010-2014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17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M117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N117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O117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P117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Q117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R117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S117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CC117" authorId="0">
      <text>
        <r>
          <rPr>
            <b/>
            <sz val="8"/>
            <color indexed="81"/>
            <rFont val="Tahoma"/>
            <family val="2"/>
          </rPr>
          <t>7/12/12: BBP 2012 (Nisha) tabel Toegevoegde waarde tegen basisprijzen in lopende prijzen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117" authorId="0">
      <text>
        <r>
          <rPr>
            <b/>
            <sz val="8"/>
            <color indexed="81"/>
            <rFont val="Tahoma"/>
            <family val="2"/>
          </rPr>
          <t>7/12/12: BBP 2012 (Nisha) tabel Toegevoegde waarde tegen basisprijzen in lopende prijzen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18" authorId="4">
      <text>
        <r>
          <rPr>
            <b/>
            <sz val="8"/>
            <color indexed="81"/>
            <rFont val="Tahoma"/>
            <family val="2"/>
          </rPr>
          <t xml:space="preserve">
30 dec 2014: terug berekend uit reele groei BBP ABS en deflator uit model:  
</t>
        </r>
      </text>
    </comment>
    <comment ref="BF118" authorId="4">
      <text>
        <r>
          <rPr>
            <b/>
            <sz val="8"/>
            <color indexed="81"/>
            <rFont val="Tahoma"/>
            <family val="2"/>
          </rPr>
          <t xml:space="preserve">
30 dec 2014: terug berekend uit reele groei BBP ABS en deflator uit model:  
</t>
        </r>
      </text>
    </comment>
    <comment ref="BG118" authorId="4">
      <text>
        <r>
          <rPr>
            <b/>
            <sz val="8"/>
            <color indexed="81"/>
            <rFont val="Tahoma"/>
            <family val="2"/>
          </rPr>
          <t xml:space="preserve">
30 dec 2014: terug berekend uit reele groei BBP ABS en deflator uit model:  
</t>
        </r>
      </text>
    </comment>
    <comment ref="BH118" authorId="4">
      <text>
        <r>
          <rPr>
            <b/>
            <sz val="8"/>
            <color indexed="81"/>
            <rFont val="Tahoma"/>
            <family val="2"/>
          </rPr>
          <t xml:space="preserve">
30 dec 2014: terug berekend uit reele groei BBP ABS en deflator uit model:  
</t>
        </r>
      </text>
    </comment>
    <comment ref="BI118" authorId="4">
      <text>
        <r>
          <rPr>
            <b/>
            <sz val="8"/>
            <color indexed="81"/>
            <rFont val="Tahoma"/>
            <family val="2"/>
          </rPr>
          <t xml:space="preserve">
30 dec 2014: terug berekend uit reele groei BBP ABS en deflator uit model:  
</t>
        </r>
      </text>
    </comment>
    <comment ref="BJ118" authorId="4">
      <text>
        <r>
          <rPr>
            <b/>
            <sz val="8"/>
            <color indexed="81"/>
            <rFont val="Tahoma"/>
            <family val="2"/>
          </rPr>
          <t xml:space="preserve">
30 dec 2014: terug berekend uit reele groei BBP ABS en deflator uit model:  
</t>
        </r>
      </text>
    </comment>
    <comment ref="BK118" authorId="4">
      <text>
        <r>
          <rPr>
            <b/>
            <sz val="8"/>
            <color indexed="81"/>
            <rFont val="Tahoma"/>
            <family val="2"/>
          </rPr>
          <t xml:space="preserve">
30 dec 2014: terug berekend uit reele groei BBP ABS en deflator uit model:  
</t>
        </r>
      </text>
    </comment>
    <comment ref="BL118" authorId="4">
      <text>
        <r>
          <rPr>
            <b/>
            <sz val="8"/>
            <color indexed="81"/>
            <rFont val="Tahoma"/>
            <family val="2"/>
          </rPr>
          <t xml:space="preserve">
30 dec 2014: terug berekend uit reele groei BBP ABS en deflator uit model:  
</t>
        </r>
      </text>
    </comment>
    <comment ref="BM118" authorId="4">
      <text>
        <r>
          <rPr>
            <b/>
            <sz val="8"/>
            <color indexed="81"/>
            <rFont val="Tahoma"/>
            <family val="2"/>
          </rPr>
          <t xml:space="preserve">
20 Juli 2015 terug berekend uit reele groei BBP ABS en deflator uit model:  
</t>
        </r>
      </text>
    </comment>
    <comment ref="BO119" authorId="0">
      <text>
        <r>
          <rPr>
            <b/>
            <sz val="8"/>
            <color indexed="81"/>
            <rFont val="Tahoma"/>
            <family val="2"/>
          </rPr>
          <t>20/2/15: Tabel Nisa: BTW tegen basisprijzen in lopende prijzen</t>
        </r>
      </text>
    </comment>
    <comment ref="BP119" authorId="0">
      <text>
        <r>
          <rPr>
            <b/>
            <sz val="8"/>
            <color indexed="81"/>
            <rFont val="Tahoma"/>
            <family val="2"/>
          </rPr>
          <t>20/2/15: Tabel Nisa: BTW tegen basisprijzen in lopende prijzen</t>
        </r>
      </text>
    </comment>
    <comment ref="BQ119" authorId="0">
      <text>
        <r>
          <rPr>
            <b/>
            <sz val="8"/>
            <color indexed="81"/>
            <rFont val="Tahoma"/>
            <family val="2"/>
          </rPr>
          <t>20/2/15: Tabel Nisa: BTW tegen basisprijzen in lopende prijzen</t>
        </r>
      </text>
    </comment>
    <comment ref="BR119" authorId="0">
      <text>
        <r>
          <rPr>
            <b/>
            <sz val="8"/>
            <color indexed="81"/>
            <rFont val="Tahoma"/>
            <family val="2"/>
          </rPr>
          <t>20/2/15: Tabel Nisa: BTW tegen basisprijzen in lopende prijzen</t>
        </r>
      </text>
    </comment>
    <comment ref="BS119" authorId="0">
      <text>
        <r>
          <rPr>
            <b/>
            <sz val="8"/>
            <color indexed="81"/>
            <rFont val="Tahoma"/>
            <family val="2"/>
          </rPr>
          <t>20/2/15: Tabel Nisa: BTW tegen basisprijzen in lopende prijzen</t>
        </r>
      </text>
    </comment>
    <comment ref="BG120" authorId="0">
      <text>
        <r>
          <rPr>
            <b/>
            <sz val="8"/>
            <color indexed="81"/>
            <rFont val="Tahoma"/>
            <family val="2"/>
          </rPr>
          <t>12/6/12: ABS "NR sheet 2006-2010 released mrt 2012 voor verzending"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20" authorId="0">
      <text>
        <r>
          <rPr>
            <b/>
            <sz val="8"/>
            <color indexed="81"/>
            <rFont val="Tahoma"/>
            <family val="2"/>
          </rPr>
          <t>16/10/14: Tabel ABS: Gros value added at basicprices at constant (2007=100) prices, 2007-2013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20" authorId="0">
      <text>
        <r>
          <rPr>
            <b/>
            <sz val="8"/>
            <color indexed="81"/>
            <rFont val="Tahoma"/>
            <family val="2"/>
          </rPr>
          <t>16/10/14: Tabel ABS: Gros value added at basicprices at constant (2007=100) prices, 2007-2013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20" authorId="0">
      <text>
        <r>
          <rPr>
            <b/>
            <sz val="8"/>
            <color indexed="81"/>
            <rFont val="Tahoma"/>
            <family val="2"/>
          </rPr>
          <t>1/9/15: Tabel ABS: Gross value added at basicprices at constant (2007=100) prices, 2010-2014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20" authorId="0">
      <text>
        <r>
          <rPr>
            <b/>
            <sz val="8"/>
            <color indexed="81"/>
            <rFont val="Tahoma"/>
            <family val="2"/>
          </rPr>
          <t>1/9/15: Tabel ABS: Gross value added at basicprices at constant (2007=100) prices, 2010-2014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20" authorId="0">
      <text>
        <r>
          <rPr>
            <b/>
            <sz val="8"/>
            <color indexed="81"/>
            <rFont val="Tahoma"/>
            <family val="2"/>
          </rPr>
          <t>1/9/15: Tabel ABS: Gross value added at basicprices at constant (2007=100) prices, 2010-2014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20" authorId="0">
      <text>
        <r>
          <rPr>
            <b/>
            <sz val="8"/>
            <color indexed="81"/>
            <rFont val="Tahoma"/>
            <family val="2"/>
          </rPr>
          <t>1/9/15: Tabel ABS: Gross value added at basicprices at constant (2007=100) prices, 2010-2014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20" authorId="0">
      <text>
        <r>
          <rPr>
            <b/>
            <sz val="8"/>
            <color indexed="81"/>
            <rFont val="Tahoma"/>
            <family val="2"/>
          </rPr>
          <t>1/9/15: Tabel ABS: Gross value added at basicprices at constant (2007=100) prices, 2010-2014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20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P120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Q120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R120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BS120" authorId="0">
      <text>
        <r>
          <rPr>
            <b/>
            <sz val="8"/>
            <color indexed="81"/>
            <rFont val="Tahoma"/>
            <family val="2"/>
          </rPr>
          <t>15/10/15: Tabel Nisa: BTW tegen basisprijzen in lopende prijzen</t>
        </r>
      </text>
    </comment>
    <comment ref="CC120" authorId="0">
      <text>
        <r>
          <rPr>
            <b/>
            <sz val="8"/>
            <color indexed="81"/>
            <rFont val="Tahoma"/>
            <family val="2"/>
          </rPr>
          <t>7/12/12: BBP 2012 (Nisha) tabel groei naar sectoren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120" authorId="0">
      <text>
        <r>
          <rPr>
            <b/>
            <sz val="8"/>
            <color indexed="81"/>
            <rFont val="Tahoma"/>
            <family val="2"/>
          </rPr>
          <t>7/12/12: BBP 2012 (Nisha) tabel groei naar sectoren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22" authorId="0">
      <text>
        <r>
          <rPr>
            <b/>
            <sz val="8"/>
            <color indexed="81"/>
            <rFont val="Tahoma"/>
            <family val="2"/>
          </rPr>
          <t>16/10/14: Tabel ABS: Gros value added at basicprices at constant (2007=100) prices, 2007-2013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22" authorId="10">
      <text>
        <r>
          <rPr>
            <b/>
            <sz val="9"/>
            <color indexed="81"/>
            <rFont val="Tahoma"/>
            <family val="2"/>
          </rPr>
          <t xml:space="preserve">22/12/2014: Bron: Prof. Caram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O122" authorId="10">
      <text>
        <r>
          <rPr>
            <b/>
            <sz val="9"/>
            <color indexed="81"/>
            <rFont val="Tahoma"/>
            <family val="2"/>
          </rPr>
          <t xml:space="preserve">22/12/2014: Bron: Prof. Caram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P122" authorId="10">
      <text>
        <r>
          <rPr>
            <b/>
            <sz val="9"/>
            <color indexed="81"/>
            <rFont val="Tahoma"/>
            <family val="2"/>
          </rPr>
          <t xml:space="preserve">22/12/2014: Bron: Prof. Caram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Q122" authorId="10">
      <text>
        <r>
          <rPr>
            <b/>
            <sz val="9"/>
            <color indexed="81"/>
            <rFont val="Tahoma"/>
            <family val="2"/>
          </rPr>
          <t xml:space="preserve">22/12/2014: Bron: Prof. Caram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R122" authorId="0">
      <text>
        <r>
          <rPr>
            <b/>
            <sz val="8"/>
            <color indexed="81"/>
            <rFont val="Tahoma"/>
            <family val="2"/>
          </rPr>
          <t>3/11/14: Tabel Nisa: Reele groeicijfer per sector (2007=100)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26" authorId="10">
      <text>
        <r>
          <rPr>
            <b/>
            <sz val="9"/>
            <color indexed="81"/>
            <rFont val="Tahoma"/>
            <family val="2"/>
          </rPr>
          <t xml:space="preserve">22/12/2014: Bron: Prof. Caram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N126" authorId="0">
      <text>
        <r>
          <rPr>
            <b/>
            <sz val="8"/>
            <color indexed="81"/>
            <rFont val="Tahoma"/>
            <family val="2"/>
          </rPr>
          <t>3/11/14: Tabel Nisa: Reele groeicijfer per sector (2007=100)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26" authorId="0">
      <text>
        <r>
          <rPr>
            <b/>
            <sz val="8"/>
            <color indexed="81"/>
            <rFont val="Tahoma"/>
            <family val="2"/>
          </rPr>
          <t>3/11/14: Tabel Nisa: Reele groeicijfer per sector (2007=100)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126" authorId="0">
      <text>
        <r>
          <rPr>
            <b/>
            <sz val="8"/>
            <color indexed="81"/>
            <rFont val="Tahoma"/>
            <family val="2"/>
          </rPr>
          <t>3/11/14: Tabel Nisa: Reele groeicijfer per sector (2007=100)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126" authorId="0">
      <text>
        <r>
          <rPr>
            <b/>
            <sz val="8"/>
            <color indexed="81"/>
            <rFont val="Tahoma"/>
            <family val="2"/>
          </rPr>
          <t>3/11/14: Tabel Nisa: Reele groeicijfer per sector (2007=100)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126" authorId="0">
      <text>
        <r>
          <rPr>
            <b/>
            <sz val="8"/>
            <color indexed="81"/>
            <rFont val="Tahoma"/>
            <family val="2"/>
          </rPr>
          <t>3/11/14: Tabel Nisa: Reele groeicijfer per sector (2007=100)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34" authorId="1">
      <text>
        <r>
          <rPr>
            <b/>
            <sz val="8"/>
            <color indexed="81"/>
            <rFont val="Tahoma"/>
            <family val="2"/>
          </rPr>
          <t>22/6/09
Voorlopige cijfer obv raming SPS (+8,5%)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36" authorId="1">
      <text>
        <r>
          <rPr>
            <b/>
            <sz val="8"/>
            <color indexed="81"/>
            <rFont val="Tahoma"/>
            <family val="2"/>
          </rPr>
          <t>22/6/09
Voorlopige cijfer obv raming SPS (+8,5%)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A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B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C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D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E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F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G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H137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I137" authorId="1">
      <text>
        <r>
          <rPr>
            <b/>
            <sz val="8"/>
            <color indexed="81"/>
            <rFont val="Tahoma"/>
            <family val="2"/>
          </rPr>
          <t>6/12/13: Bron: Shakita</t>
        </r>
      </text>
    </comment>
    <comment ref="BJ137" authorId="1">
      <text>
        <r>
          <rPr>
            <b/>
            <sz val="8"/>
            <color indexed="81"/>
            <rFont val="Tahoma"/>
            <family val="2"/>
          </rPr>
          <t>6/12/13: Bron: Shakita</t>
        </r>
      </text>
    </comment>
    <comment ref="BK137" authorId="1">
      <text>
        <r>
          <rPr>
            <b/>
            <sz val="8"/>
            <color indexed="81"/>
            <rFont val="Tahoma"/>
            <family val="2"/>
          </rPr>
          <t>6/12/13: Bron: Shakita</t>
        </r>
      </text>
    </comment>
    <comment ref="BL137" authorId="1">
      <text>
        <r>
          <rPr>
            <b/>
            <sz val="8"/>
            <color indexed="81"/>
            <rFont val="Tahoma"/>
            <family val="2"/>
          </rPr>
          <t>6/12/13: Bron: Shakita</t>
        </r>
      </text>
    </comment>
    <comment ref="AZ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A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B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C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D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E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F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G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H138" authorId="2">
      <text>
        <r>
          <rPr>
            <sz val="8"/>
            <color indexed="81"/>
            <rFont val="Tahoma"/>
            <family val="2"/>
          </rPr>
          <t xml:space="preserve">29/11/10: Vlgs tabel 5.4 Handelsbal op tr.basis in mln $ (Thilde)
</t>
        </r>
      </text>
    </comment>
    <comment ref="BI138" authorId="1">
      <text>
        <r>
          <rPr>
            <b/>
            <sz val="8"/>
            <color indexed="81"/>
            <rFont val="Tahoma"/>
            <family val="2"/>
          </rPr>
          <t>6/12/13: Bron: Shakita</t>
        </r>
      </text>
    </comment>
    <comment ref="BJ138" authorId="1">
      <text>
        <r>
          <rPr>
            <b/>
            <sz val="8"/>
            <color indexed="81"/>
            <rFont val="Tahoma"/>
            <family val="2"/>
          </rPr>
          <t>6/12/13: Bron: Shakita</t>
        </r>
      </text>
    </comment>
    <comment ref="BK138" authorId="1">
      <text>
        <r>
          <rPr>
            <b/>
            <sz val="8"/>
            <color indexed="81"/>
            <rFont val="Tahoma"/>
            <family val="2"/>
          </rPr>
          <t>6/12/13: Bron: Shakita</t>
        </r>
      </text>
    </comment>
    <comment ref="BL138" authorId="1">
      <text>
        <r>
          <rPr>
            <b/>
            <sz val="8"/>
            <color indexed="81"/>
            <rFont val="Tahoma"/>
            <family val="2"/>
          </rPr>
          <t>6/12/13: Bron: Shakita</t>
        </r>
      </text>
    </comment>
    <comment ref="BE139" authorId="2">
      <text>
        <r>
          <rPr>
            <b/>
            <sz val="8"/>
            <color indexed="81"/>
            <rFont val="Tahoma"/>
            <family val="2"/>
          </rPr>
          <t>19/8/10: Bron: Tabel1: BTW (basisprijzen) per bedrijfstak in lopende prijzen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39" authorId="2">
      <text>
        <r>
          <rPr>
            <b/>
            <sz val="8"/>
            <color indexed="81"/>
            <rFont val="Tahoma"/>
            <family val="2"/>
          </rPr>
          <t>19/8/10: Bron: Tabel1: BTW (basisprijzen) per bedrijfstak in lopende prijzen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39" authorId="2">
      <text>
        <r>
          <rPr>
            <b/>
            <sz val="8"/>
            <color indexed="81"/>
            <rFont val="Tahoma"/>
            <family val="2"/>
          </rPr>
          <t>19/8/10: Bron: Tabel1: BTW (basisprijzen) per bedrijfstak in lopende prijzen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39" authorId="2">
      <text>
        <r>
          <rPr>
            <b/>
            <sz val="8"/>
            <color indexed="81"/>
            <rFont val="Tahoma"/>
            <family val="2"/>
          </rPr>
          <t>19/8/10: Bron: Tabel1: BTW (basisprijzen) per bedrijfstak in lopende prijzen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39" authorId="2">
      <text>
        <r>
          <rPr>
            <b/>
            <sz val="8"/>
            <color indexed="81"/>
            <rFont val="Tahoma"/>
            <family val="2"/>
          </rPr>
          <t>16/8/10: Bron: Tabel1: BTW (basisprijzen) per bedrijfstak in lopende prijzen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269" authorId="1">
      <text>
        <r>
          <rPr>
            <b/>
            <sz val="8"/>
            <color indexed="81"/>
            <rFont val="Tahoma"/>
            <family val="2"/>
          </rPr>
          <t>3/12/08: conform realisatie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269" authorId="2">
      <text>
        <r>
          <rPr>
            <b/>
            <sz val="8"/>
            <color indexed="81"/>
            <rFont val="Tahoma"/>
            <family val="2"/>
          </rPr>
          <t>29/8/13: Conform Flashreport 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269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69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69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P269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Q269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R269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S269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G271" authorId="1">
      <text>
        <r>
          <rPr>
            <b/>
            <sz val="8"/>
            <color indexed="81"/>
            <rFont val="Tahoma"/>
            <family val="2"/>
          </rPr>
          <t>3/12/08: conform realisatie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271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71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71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P271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Q271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R271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S271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L272" authorId="2">
      <text>
        <r>
          <rPr>
            <b/>
            <sz val="8"/>
            <color indexed="81"/>
            <rFont val="Tahoma"/>
            <family val="2"/>
          </rPr>
          <t>29/8/13: Conform Flashreport 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272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72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72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P272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Q272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R272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S272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F274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G274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274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274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274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K274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L274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M274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N274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74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P274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Q274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R274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S274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CC274" authorId="2">
      <text>
        <r>
          <rPr>
            <b/>
            <sz val="8"/>
            <color indexed="81"/>
            <rFont val="Tahoma"/>
            <family val="2"/>
          </rPr>
          <t>20/6/12 Conform Richtlijnen Begroting 2013 (Bijl III)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274" authorId="2">
      <text>
        <r>
          <rPr>
            <b/>
            <sz val="8"/>
            <color indexed="81"/>
            <rFont val="Tahoma"/>
            <family val="2"/>
          </rPr>
          <t>20/6/12 Conform Richtlijnen Begroting 2013 (Bijl III)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28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G28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28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28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282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K282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L282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M282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82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8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P28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Q28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R28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S28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W282" authorId="2">
      <text>
        <r>
          <rPr>
            <b/>
            <sz val="8"/>
            <color indexed="81"/>
            <rFont val="Tahoma"/>
            <family val="2"/>
          </rPr>
          <t>10/1/11: Exclusief 2e deel Fiso2 (Menke); totale loonson Fin was SRD 1,200 mld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X282" authorId="2">
      <text>
        <r>
          <rPr>
            <b/>
            <sz val="8"/>
            <color indexed="81"/>
            <rFont val="Tahoma"/>
            <family val="2"/>
          </rPr>
          <t>24/1/11: inclusief 2e deel Fiso2 (Tjalim,Menke)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Y282" authorId="2">
      <text>
        <r>
          <rPr>
            <b/>
            <sz val="8"/>
            <color indexed="81"/>
            <rFont val="Tahoma"/>
            <family val="2"/>
          </rPr>
          <t>24/1/11: inclusief 2e deel Fiso2 (Tjalim,Menke)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Z282" authorId="2">
      <text>
        <r>
          <rPr>
            <b/>
            <sz val="8"/>
            <color indexed="81"/>
            <rFont val="Tahoma"/>
            <family val="2"/>
          </rPr>
          <t>24/1/11: inclusief 2e deel Fiso2 (Tjalim,Menke)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A282" authorId="2">
      <text>
        <r>
          <rPr>
            <b/>
            <sz val="8"/>
            <color indexed="81"/>
            <rFont val="Tahoma"/>
            <family val="2"/>
          </rPr>
          <t xml:space="preserve"> 7/2/11: Conform raming werkgroep SPS, FIN &amp; HI</t>
        </r>
        <r>
          <rPr>
            <sz val="8"/>
            <color indexed="81"/>
            <rFont val="Tahoma"/>
            <family val="2"/>
          </rPr>
          <t xml:space="preserve">
(incl fiso2)</t>
        </r>
      </text>
    </comment>
    <comment ref="CC282" authorId="2">
      <text>
        <r>
          <rPr>
            <b/>
            <sz val="8"/>
            <color indexed="81"/>
            <rFont val="Tahoma"/>
            <family val="2"/>
          </rPr>
          <t>15/8/11 Conform Richtlijnen Begrotingssamenstelling (Bijl 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282" authorId="2">
      <text>
        <r>
          <rPr>
            <b/>
            <sz val="8"/>
            <color indexed="81"/>
            <rFont val="Tahoma"/>
            <family val="2"/>
          </rPr>
          <t xml:space="preserve">[7/12/12 Conform Richtlijnen Begrotingssamenstelling (Bijl 3); SRD 1231.7 mln]
Voorlopige jaarcijfer is berekend obv geraliseerde lonen en salarissen t/m nov 2012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283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G283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283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283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283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K283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L283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M283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83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83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P283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Q283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R283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S283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G284" authorId="1">
      <text>
        <r>
          <rPr>
            <b/>
            <sz val="8"/>
            <color indexed="81"/>
            <rFont val="Tahoma"/>
            <family val="2"/>
          </rPr>
          <t>3/12/08: conform realisatie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284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K284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L284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M284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84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84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P284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Q284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R284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S284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F28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G28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28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28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285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K285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L285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M285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85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8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P28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Q28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R28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S28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F286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G286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H286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I286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J286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K286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L286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M286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86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86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P286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Q286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R286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S286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K287" authorId="2">
      <text>
        <r>
          <rPr>
            <b/>
            <sz val="8"/>
            <color indexed="81"/>
            <rFont val="Tahoma"/>
            <family val="2"/>
          </rPr>
          <t>22/3/12: Conform Flashreport 2011</t>
        </r>
      </text>
    </comment>
    <comment ref="BM287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87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87" authorId="2">
      <text>
        <r>
          <rPr>
            <b/>
            <sz val="8"/>
            <color indexed="81"/>
            <rFont val="Tahoma"/>
            <family val="2"/>
          </rPr>
          <t>27/10/14  Conform Tabel Fiscal Central Government Operations</t>
        </r>
      </text>
    </comment>
    <comment ref="BP287" authorId="2">
      <text>
        <r>
          <rPr>
            <b/>
            <sz val="8"/>
            <color indexed="81"/>
            <rFont val="Tahoma"/>
            <family val="2"/>
          </rPr>
          <t>27/10/14  Conform Tabel Fiscal Central Government Operations</t>
        </r>
      </text>
    </comment>
    <comment ref="BQ287" authorId="2">
      <text>
        <r>
          <rPr>
            <b/>
            <sz val="8"/>
            <color indexed="81"/>
            <rFont val="Tahoma"/>
            <family val="2"/>
          </rPr>
          <t>27/10/14  Conform Tabel Fiscal Central Government Operations</t>
        </r>
      </text>
    </comment>
    <comment ref="BR287" authorId="2">
      <text>
        <r>
          <rPr>
            <b/>
            <sz val="8"/>
            <color indexed="81"/>
            <rFont val="Tahoma"/>
            <family val="2"/>
          </rPr>
          <t>27/10/14  Conform Tabel Fiscal Central Government Operations</t>
        </r>
      </text>
    </comment>
    <comment ref="BF288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G288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288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288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288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K288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L288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289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K289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L289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M289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G290" authorId="1">
      <text>
        <r>
          <rPr>
            <b/>
            <sz val="8"/>
            <color indexed="81"/>
            <rFont val="Tahoma"/>
            <family val="2"/>
          </rPr>
          <t>3/12/08: conform realisatie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290" authorId="2">
      <text>
        <r>
          <rPr>
            <b/>
            <sz val="8"/>
            <color indexed="81"/>
            <rFont val="Tahoma"/>
            <family val="2"/>
          </rPr>
          <t>22/3/12: Conform Flashreport 2011</t>
        </r>
      </text>
    </comment>
    <comment ref="BL290" authorId="2">
      <text>
        <r>
          <rPr>
            <b/>
            <sz val="8"/>
            <color indexed="81"/>
            <rFont val="Tahoma"/>
            <family val="2"/>
          </rPr>
          <t>17/9/2013: Conform website CBvS.sr, tabel 19</t>
        </r>
      </text>
    </comment>
    <comment ref="BM290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290" authorId="2">
      <text>
        <r>
          <rPr>
            <b/>
            <sz val="8"/>
            <color indexed="81"/>
            <rFont val="Tahoma"/>
            <family val="2"/>
          </rPr>
          <t>11/12/15 Conform WWW.CBvS.sr: Tabel 19</t>
        </r>
      </text>
    </comment>
    <comment ref="BO290" authorId="2">
      <text>
        <r>
          <rPr>
            <b/>
            <sz val="8"/>
            <color indexed="81"/>
            <rFont val="Tahoma"/>
            <family val="2"/>
          </rPr>
          <t>31/8/15  Conform Tabel Fiscal Central Government Operations</t>
        </r>
      </text>
    </comment>
    <comment ref="BP290" authorId="2">
      <text>
        <r>
          <rPr>
            <b/>
            <sz val="8"/>
            <color indexed="81"/>
            <rFont val="Tahoma"/>
            <family val="2"/>
          </rPr>
          <t>31/8/15  Conform Tabel Fiscal Central Government Operations</t>
        </r>
      </text>
    </comment>
    <comment ref="BQ290" authorId="2">
      <text>
        <r>
          <rPr>
            <b/>
            <sz val="8"/>
            <color indexed="81"/>
            <rFont val="Tahoma"/>
            <family val="2"/>
          </rPr>
          <t>31/8/15  Conform Tabel Fiscal Central Government Operations</t>
        </r>
      </text>
    </comment>
    <comment ref="BR290" authorId="2">
      <text>
        <r>
          <rPr>
            <b/>
            <sz val="8"/>
            <color indexed="81"/>
            <rFont val="Tahoma"/>
            <family val="2"/>
          </rPr>
          <t>31/8/15  Conform Tabel Fiscal Central Government Operations</t>
        </r>
      </text>
    </comment>
    <comment ref="BS290" authorId="2">
      <text>
        <r>
          <rPr>
            <b/>
            <sz val="8"/>
            <color indexed="81"/>
            <rFont val="Tahoma"/>
            <family val="2"/>
          </rPr>
          <t>31/8/15  Conform Tabel Fiscal Central Government Operations</t>
        </r>
      </text>
    </comment>
    <comment ref="BG291" authorId="1">
      <text>
        <r>
          <rPr>
            <b/>
            <sz val="8"/>
            <color indexed="81"/>
            <rFont val="Tahoma"/>
            <family val="2"/>
          </rPr>
          <t>3/12/08: conform realisatie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291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K291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L291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F33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G33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33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33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33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K33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L332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M332" authorId="2">
      <text>
        <r>
          <rPr>
            <b/>
            <sz val="8"/>
            <color indexed="81"/>
            <rFont val="Tahoma"/>
            <family val="2"/>
          </rPr>
          <t>22/12/14: Conform www.CBvS.sr</t>
        </r>
      </text>
    </comment>
    <comment ref="BN33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O33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P33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Q33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R33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S33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CA332" authorId="2">
      <text>
        <r>
          <rPr>
            <b/>
            <sz val="8"/>
            <color indexed="81"/>
            <rFont val="Tahoma"/>
            <family val="2"/>
          </rPr>
          <t xml:space="preserve"> 7/2/11: Conform raming werkgroep SPS, FIN &amp; HI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332" authorId="2">
      <text>
        <r>
          <rPr>
            <b/>
            <sz val="8"/>
            <color indexed="81"/>
            <rFont val="Tahoma"/>
            <family val="2"/>
          </rPr>
          <t>15/8/11 Conform Richtlijnen Begrotingssamenstelling (Bijl 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332" authorId="2">
      <text>
        <r>
          <rPr>
            <b/>
            <sz val="8"/>
            <color indexed="81"/>
            <rFont val="Tahoma"/>
            <family val="2"/>
          </rPr>
          <t>7/12/12 Conform Richtlijnen Begrotingssamenstelling (Bijl 3); SRD 784.6 mln;
de projectie is gemaakt obv11 maanden realisatie</t>
        </r>
      </text>
    </comment>
    <comment ref="BJ337" authorId="2">
      <text>
        <r>
          <rPr>
            <b/>
            <sz val="8"/>
            <color indexed="81"/>
            <rFont val="Tahoma"/>
            <family val="2"/>
          </rPr>
          <t xml:space="preserve">28/6/11: Conform Flashreport 2010 </t>
        </r>
      </text>
    </comment>
    <comment ref="BH353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I353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J353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J354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54" authorId="2">
      <text>
        <r>
          <rPr>
            <b/>
            <sz val="8"/>
            <color indexed="81"/>
            <rFont val="Tahoma"/>
            <family val="2"/>
          </rPr>
          <t>18/7/12: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55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55" authorId="2">
      <text>
        <r>
          <rPr>
            <b/>
            <sz val="8"/>
            <color indexed="81"/>
            <rFont val="Tahoma"/>
            <family val="2"/>
          </rPr>
          <t>18/7/12: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56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56" authorId="2">
      <text>
        <r>
          <rPr>
            <b/>
            <sz val="8"/>
            <color indexed="81"/>
            <rFont val="Tahoma"/>
            <family val="2"/>
          </rPr>
          <t>18/7/12: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356" authorId="11">
      <text>
        <r>
          <rPr>
            <b/>
            <sz val="9"/>
            <color indexed="81"/>
            <rFont val="Tahoma"/>
            <family val="2"/>
          </rPr>
          <t xml:space="preserve">tax bauxietsector USD 19 mln (2013)
2012: 28 mln; 2011 25 mln;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N356" authorId="0">
      <text>
        <r>
          <rPr>
            <b/>
            <sz val="8"/>
            <color indexed="81"/>
            <rFont val="Tahoma"/>
            <family val="2"/>
          </rPr>
          <t>10/12/2015: Daniëlla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356" authorId="0">
      <text>
        <r>
          <rPr>
            <b/>
            <sz val="8"/>
            <color indexed="81"/>
            <rFont val="Tahoma"/>
            <family val="2"/>
          </rPr>
          <t>10/12/2015: Daniëlla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356" authorId="0">
      <text>
        <r>
          <rPr>
            <b/>
            <sz val="8"/>
            <color indexed="81"/>
            <rFont val="Tahoma"/>
            <family val="2"/>
          </rPr>
          <t>10/12/2015: vanaf 30/11/2015 Sluiting Aluinaardeproductie/export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357" authorId="0">
      <text>
        <r>
          <rPr>
            <b/>
            <sz val="8"/>
            <color indexed="81"/>
            <rFont val="Tahoma"/>
            <family val="2"/>
          </rPr>
          <t>10/12/2015: Daniëlla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357" authorId="0">
      <text>
        <r>
          <rPr>
            <b/>
            <sz val="8"/>
            <color indexed="81"/>
            <rFont val="Tahoma"/>
            <family val="2"/>
          </rPr>
          <t>10/12/2015: Daniëlla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357" authorId="0">
      <text>
        <r>
          <rPr>
            <b/>
            <sz val="8"/>
            <color indexed="81"/>
            <rFont val="Tahoma"/>
            <family val="2"/>
          </rPr>
          <t>10/12/2015: Daniëlla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360" authorId="1">
      <text>
        <r>
          <rPr>
            <b/>
            <sz val="8"/>
            <color indexed="81"/>
            <rFont val="Tahoma"/>
            <family val="2"/>
          </rPr>
          <t>7/2/09, Fin.: loonbel. ambtenaren</t>
        </r>
      </text>
    </comment>
    <comment ref="BJ360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60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361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I361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J363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63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65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65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66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66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67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67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68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69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69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369" authorId="2">
      <text>
        <r>
          <rPr>
            <b/>
            <sz val="8"/>
            <color indexed="81"/>
            <rFont val="Tahoma"/>
            <family val="2"/>
          </rPr>
          <t>28/12/10: Uitgaande v/d huidige opbrengsten belastingen en een 10% tariefsverhoging (Belastingdienst)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71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73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73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74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75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76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77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78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79" authorId="2">
      <text>
        <r>
          <rPr>
            <b/>
            <sz val="8"/>
            <color indexed="81"/>
            <rFont val="Tahoma"/>
            <family val="2"/>
          </rPr>
          <t>7/12/12: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392" authorId="2">
      <text>
        <r>
          <rPr>
            <b/>
            <sz val="8"/>
            <color indexed="81"/>
            <rFont val="Tahoma"/>
            <family val="2"/>
          </rPr>
          <t xml:space="preserve"> 14/1/11: Conform Fiscal Operation , jan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392" authorId="2">
      <text>
        <r>
          <rPr>
            <b/>
            <sz val="8"/>
            <color indexed="81"/>
            <rFont val="Tahoma"/>
            <family val="2"/>
          </rPr>
          <t xml:space="preserve"> 23/3/11: Conform Fiscal Operation , maart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92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92" authorId="2">
      <text>
        <r>
          <rPr>
            <b/>
            <sz val="8"/>
            <color indexed="81"/>
            <rFont val="Tahoma"/>
            <family val="2"/>
          </rPr>
          <t>29/10/12: Conform Flashreport &amp; Titel II Middelenbegroting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392" authorId="2">
      <text>
        <r>
          <rPr>
            <b/>
            <sz val="8"/>
            <color indexed="81"/>
            <rFont val="Tahoma"/>
            <family val="2"/>
          </rPr>
          <t>14/2/13: Conform Flashreport 2012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392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392" authorId="2">
      <text>
        <r>
          <rPr>
            <b/>
            <sz val="8"/>
            <color indexed="81"/>
            <rFont val="Tahoma"/>
            <family val="2"/>
          </rPr>
          <t>26/10/15  Conform Tabel Fiscal Central Government Operations</t>
        </r>
      </text>
    </comment>
    <comment ref="BO39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P39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Q39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R39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S392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W392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X392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Y392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Z392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A392" authorId="2">
      <text>
        <r>
          <rPr>
            <b/>
            <sz val="8"/>
            <color indexed="81"/>
            <rFont val="Tahoma"/>
            <family val="2"/>
          </rPr>
          <t xml:space="preserve"> 7/2/11: Conform raming werkgroep SPS, FIN &amp; HI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392" authorId="2">
      <text>
        <r>
          <rPr>
            <b/>
            <sz val="8"/>
            <color indexed="81"/>
            <rFont val="Tahoma"/>
            <family val="2"/>
          </rPr>
          <t>29/10/12: Conform Flashreport &amp; Titel II Middelenbegroting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392" authorId="2">
      <text>
        <r>
          <rPr>
            <b/>
            <sz val="8"/>
            <color indexed="81"/>
            <rFont val="Tahoma"/>
            <family val="2"/>
          </rPr>
          <t>29/10/12: Conform Flashreport &amp; Titel II Middelenbegroting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39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G39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39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39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39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K39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L39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396" authorId="1">
      <text>
        <r>
          <rPr>
            <b/>
            <sz val="8"/>
            <color indexed="81"/>
            <rFont val="Tahoma"/>
            <family val="2"/>
          </rPr>
          <t>12/3/10 conform MTFF en gerealiseerde ontv. En uitg. 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396" authorId="1">
      <text>
        <r>
          <rPr>
            <b/>
            <sz val="8"/>
            <color indexed="81"/>
            <rFont val="Tahoma"/>
            <family val="2"/>
          </rPr>
          <t>12/3/10 conform MTFF en gerealiseerde ontv. En uitg. 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96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396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396" authorId="2">
      <text>
        <r>
          <rPr>
            <b/>
            <sz val="8"/>
            <color indexed="81"/>
            <rFont val="Tahoma"/>
            <family val="2"/>
          </rPr>
          <t>29/8/13: Conform Flashreport 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405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G40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40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40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40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K40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L405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406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06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406" authorId="2">
      <text>
        <r>
          <rPr>
            <b/>
            <sz val="8"/>
            <color indexed="81"/>
            <rFont val="Tahoma"/>
            <family val="2"/>
          </rPr>
          <t>29/8/13: Conform Flashreport 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406" authorId="2">
      <text>
        <r>
          <rPr>
            <b/>
            <sz val="8"/>
            <color indexed="81"/>
            <rFont val="Tahoma"/>
            <family val="2"/>
          </rPr>
          <t>27/10/14: Conform Fianciële Nota 2015, blz 5</t>
        </r>
      </text>
    </comment>
    <comment ref="BN406" authorId="2">
      <text>
        <r>
          <rPr>
            <b/>
            <sz val="8"/>
            <color indexed="81"/>
            <rFont val="Tahoma"/>
            <family val="2"/>
          </rPr>
          <t>26/10/15  Conform Tabel Fiscal Central Government Operations</t>
        </r>
      </text>
    </comment>
    <comment ref="BO406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P406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Q406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R406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S406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T406" authorId="2">
      <text>
        <r>
          <rPr>
            <b/>
            <sz val="8"/>
            <color indexed="81"/>
            <rFont val="Tahoma"/>
            <family val="2"/>
          </rPr>
          <t>2/12/15  Conform Tabel Government Finance</t>
        </r>
      </text>
    </comment>
    <comment ref="BW406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X406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Y406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Z406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A406" authorId="2">
      <text>
        <r>
          <rPr>
            <b/>
            <sz val="8"/>
            <color indexed="81"/>
            <rFont val="Tahoma"/>
            <family val="2"/>
          </rPr>
          <t xml:space="preserve"> 7/2/11: Conform raming werkgroep SPS, FIN &amp; HI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406" authorId="2">
      <text>
        <r>
          <rPr>
            <b/>
            <sz val="8"/>
            <color indexed="81"/>
            <rFont val="Tahoma"/>
            <family val="2"/>
          </rPr>
          <t>20/6/12 Conform Richtlijnen Begroting 2013 (Bijl III)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406" authorId="2">
      <text>
        <r>
          <rPr>
            <b/>
            <sz val="8"/>
            <color indexed="81"/>
            <rFont val="Tahoma"/>
            <family val="2"/>
          </rPr>
          <t>20/6/12 Conform Richtlijnen Begroting 2013 (Bijl III)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10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10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11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11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13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13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14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14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17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17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18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18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19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19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20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20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24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24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25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26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26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27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27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436" authorId="2">
      <text>
        <r>
          <rPr>
            <b/>
            <sz val="8"/>
            <color indexed="81"/>
            <rFont val="Tahoma"/>
            <family val="2"/>
          </rPr>
          <t>17/1/11: Conform Fiscal Operations, jan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436" authorId="2">
      <text>
        <r>
          <rPr>
            <b/>
            <sz val="8"/>
            <color indexed="81"/>
            <rFont val="Tahoma"/>
            <family val="2"/>
          </rPr>
          <t>14/1/11: Conform Fiscal Operations, jan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436" authorId="2">
      <text>
        <r>
          <rPr>
            <b/>
            <sz val="8"/>
            <color indexed="81"/>
            <rFont val="Tahoma"/>
            <family val="2"/>
          </rPr>
          <t>24/3/11: Conform Fiscal Operations, maart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36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437" authorId="2">
      <text>
        <r>
          <rPr>
            <b/>
            <sz val="8"/>
            <color indexed="81"/>
            <rFont val="Tahoma"/>
            <family val="2"/>
          </rPr>
          <t>24/3/11: Conform Fiscal Operations, maart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37" authorId="2">
      <text>
        <r>
          <rPr>
            <b/>
            <sz val="8"/>
            <color indexed="81"/>
            <rFont val="Tahoma"/>
            <family val="2"/>
          </rPr>
          <t>24/3/11: Conform Fiscal Operations, maart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37" authorId="2">
      <text>
        <r>
          <rPr>
            <b/>
            <sz val="8"/>
            <color indexed="81"/>
            <rFont val="Tahoma"/>
            <family val="2"/>
          </rPr>
          <t>22/3/12: Conform Flashreport 2011 / ovz DirBel.</t>
        </r>
      </text>
    </comment>
    <comment ref="BG438" authorId="2">
      <text>
        <r>
          <rPr>
            <b/>
            <sz val="8"/>
            <color indexed="81"/>
            <rFont val="Tahoma"/>
            <family val="2"/>
          </rPr>
          <t>14/1/11: Conform Fiscal Operations, jan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438" authorId="2">
      <text>
        <r>
          <rPr>
            <b/>
            <sz val="8"/>
            <color indexed="81"/>
            <rFont val="Tahoma"/>
            <family val="2"/>
          </rPr>
          <t>14/1/11: Conform Fiscal Operations, jan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438" authorId="2">
      <text>
        <r>
          <rPr>
            <b/>
            <sz val="8"/>
            <color indexed="81"/>
            <rFont val="Tahoma"/>
            <family val="2"/>
          </rPr>
          <t>24/3/11: Conform Fiscal Operations, maart 2011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438" authorId="2">
      <text>
        <r>
          <rPr>
            <b/>
            <sz val="8"/>
            <color indexed="81"/>
            <rFont val="Tahoma"/>
            <family val="2"/>
          </rPr>
          <t xml:space="preserve">28/6/11: Conform Flashreport 2010 </t>
        </r>
      </text>
    </comment>
    <comment ref="BH458" authorId="1">
      <text>
        <r>
          <rPr>
            <b/>
            <sz val="8"/>
            <color indexed="81"/>
            <rFont val="Tahoma"/>
            <family val="2"/>
          </rPr>
          <t>3/12/08: conform raming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462" authorId="4">
      <text>
        <r>
          <rPr>
            <b/>
            <sz val="9"/>
            <color indexed="81"/>
            <rFont val="Tahoma"/>
            <family val="2"/>
          </rPr>
          <t>2011 t/m 2016 voorlopig de raming uit Surya genomen. 26 juli 2011</t>
        </r>
      </text>
    </comment>
    <comment ref="BG517" authorId="1">
      <text>
        <r>
          <rPr>
            <b/>
            <sz val="8"/>
            <color indexed="81"/>
            <rFont val="Tahoma"/>
            <family val="2"/>
          </rPr>
          <t>3/12/08: conform realisatie Financiën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17" authorId="1">
      <text>
        <r>
          <rPr>
            <b/>
            <sz val="8"/>
            <color indexed="81"/>
            <rFont val="Tahoma"/>
            <family val="2"/>
          </rPr>
          <t>19/2/09 : Conform realisatie Financiën</t>
        </r>
      </text>
    </comment>
    <comment ref="BI517" authorId="1">
      <text>
        <r>
          <rPr>
            <b/>
            <sz val="8"/>
            <color indexed="81"/>
            <rFont val="Tahoma"/>
            <family val="2"/>
          </rPr>
          <t>19/2/09 : Conform raming Financiën</t>
        </r>
      </text>
    </comment>
    <comment ref="BJ517" authorId="1">
      <text>
        <r>
          <rPr>
            <b/>
            <sz val="8"/>
            <color indexed="81"/>
            <rFont val="Tahoma"/>
            <family val="2"/>
          </rPr>
          <t>19/2/09 : Conform raming Financiën</t>
        </r>
      </text>
    </comment>
    <comment ref="BK525" authorId="4">
      <text>
        <r>
          <rPr>
            <b/>
            <sz val="9"/>
            <color indexed="81"/>
            <rFont val="Tahoma"/>
            <family val="2"/>
          </rPr>
          <t>2011 t/m 2016 voorlopig de raming uit Surya genomen. 26 juli 2011</t>
        </r>
      </text>
    </comment>
    <comment ref="BM525" authorId="2">
      <text>
        <r>
          <rPr>
            <b/>
            <sz val="8"/>
            <color indexed="81"/>
            <rFont val="Tahoma"/>
            <family val="2"/>
          </rPr>
          <t>11/4/13: Conform Fiscal Central Government Operations</t>
        </r>
      </text>
    </comment>
    <comment ref="BH541" authorId="2">
      <text>
        <r>
          <rPr>
            <b/>
            <sz val="8"/>
            <color indexed="81"/>
            <rFont val="Tahoma"/>
            <family val="2"/>
          </rPr>
          <t xml:space="preserve"> 14/1/11: Fiscal Operation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41" authorId="2">
      <text>
        <r>
          <rPr>
            <b/>
            <sz val="8"/>
            <color indexed="81"/>
            <rFont val="Tahoma"/>
            <family val="2"/>
          </rPr>
          <t xml:space="preserve"> 13/1/11: Fiscal Operation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45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545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545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545" authorId="2">
      <text>
        <r>
          <rPr>
            <b/>
            <sz val="8"/>
            <color indexed="81"/>
            <rFont val="Tahoma"/>
            <family val="2"/>
          </rPr>
          <t>29/8/13: Conform Flashreport 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45" authorId="2">
      <text>
        <r>
          <rPr>
            <b/>
            <sz val="8"/>
            <color indexed="81"/>
            <rFont val="Tahoma"/>
            <family val="2"/>
          </rPr>
          <t>4/5/15 Conform WWW.CBvS.sr: Tabel 19</t>
        </r>
      </text>
    </comment>
    <comment ref="BN545" authorId="2">
      <text>
        <r>
          <rPr>
            <b/>
            <sz val="8"/>
            <color indexed="81"/>
            <rFont val="Tahoma"/>
            <family val="2"/>
          </rPr>
          <t>26/10/15  Conform Tabel Fiscal Central Government Operations</t>
        </r>
      </text>
    </comment>
    <comment ref="BO54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P54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Q54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R54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S545" authorId="2">
      <text>
        <r>
          <rPr>
            <b/>
            <sz val="8"/>
            <color indexed="81"/>
            <rFont val="Tahoma"/>
            <family val="2"/>
          </rPr>
          <t>2/12/15  Conform Tabel Government Finances</t>
        </r>
      </text>
    </comment>
    <comment ref="BW545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X545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Y545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Z545" authorId="2">
      <text>
        <r>
          <rPr>
            <b/>
            <sz val="8"/>
            <color indexed="81"/>
            <rFont val="Tahoma"/>
            <family val="2"/>
          </rPr>
          <t xml:space="preserve"> 27/10/10: Conform MTFF, okt 2010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A545" authorId="2">
      <text>
        <r>
          <rPr>
            <b/>
            <sz val="8"/>
            <color indexed="81"/>
            <rFont val="Tahoma"/>
            <family val="2"/>
          </rPr>
          <t xml:space="preserve"> 7/2/11: Conform raming werkgroep SPS, FIN &amp; HI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545" authorId="2">
      <text>
        <r>
          <rPr>
            <b/>
            <sz val="8"/>
            <color indexed="81"/>
            <rFont val="Tahoma"/>
            <family val="2"/>
          </rPr>
          <t>20/6/12 Conform Richtlijnen Begroting 2013 (Bijl III)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545" authorId="2">
      <text>
        <r>
          <rPr>
            <b/>
            <sz val="8"/>
            <color indexed="81"/>
            <rFont val="Tahoma"/>
            <family val="2"/>
          </rPr>
          <t>20/6/12 Conform Richtlijnen Begroting 2013 (Bijl III)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546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G546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H546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I546" authorId="2">
      <text>
        <r>
          <rPr>
            <b/>
            <sz val="8"/>
            <color indexed="81"/>
            <rFont val="Tahoma"/>
            <family val="2"/>
          </rPr>
          <t>9/9/2013: Conform website CBvS.sr, tabel 19</t>
        </r>
      </text>
    </comment>
    <comment ref="BJ546" authorId="2">
      <text>
        <r>
          <rPr>
            <b/>
            <sz val="8"/>
            <color indexed="81"/>
            <rFont val="Tahoma"/>
            <family val="2"/>
          </rPr>
          <t>12/5/2014: Conform website CBvS.sr, tabel 19</t>
        </r>
      </text>
    </comment>
    <comment ref="BK546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L546" authorId="2">
      <text>
        <r>
          <rPr>
            <b/>
            <sz val="8"/>
            <color indexed="81"/>
            <rFont val="Tahoma"/>
            <family val="2"/>
          </rPr>
          <t>28/11/13: Conform Fiscal Central Government Operations</t>
        </r>
      </text>
    </comment>
    <comment ref="BK554" authorId="2">
      <text>
        <r>
          <rPr>
            <b/>
            <sz val="8"/>
            <color indexed="81"/>
            <rFont val="Tahoma"/>
            <family val="2"/>
          </rPr>
          <t>17/7/12: Conform Flashreport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N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O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W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X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Y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Z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CA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CC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CM554" authorId="1">
      <text>
        <r>
          <rPr>
            <sz val="8"/>
            <color indexed="81"/>
            <rFont val="Tahoma"/>
            <family val="2"/>
          </rPr>
          <t xml:space="preserve">Bron: Staatsolie, macro-econ. gegevens (23/7/09)
</t>
        </r>
      </text>
    </comment>
    <comment ref="BJ560" authorId="0">
      <text>
        <r>
          <rPr>
            <sz val="8"/>
            <color indexed="81"/>
            <rFont val="Tahoma"/>
            <family val="2"/>
          </rPr>
          <t xml:space="preserve">17/7/12: div overige staatsbedrijven, incl Winst CBvS)
</t>
        </r>
      </text>
    </comment>
    <comment ref="BK560" authorId="0">
      <text>
        <r>
          <rPr>
            <sz val="8"/>
            <color indexed="81"/>
            <rFont val="Tahoma"/>
            <family val="2"/>
          </rPr>
          <t xml:space="preserve">17/7/12: div overige staatsbedrijven, incl overige div
</t>
        </r>
      </text>
    </comment>
    <comment ref="BK565" authorId="0">
      <text>
        <r>
          <rPr>
            <sz val="8"/>
            <color indexed="81"/>
            <rFont val="Tahoma"/>
            <family val="2"/>
          </rPr>
          <t xml:space="preserve">17/7/12: Overige ink. Niet Belasting Ontvangsten 
</t>
        </r>
      </text>
    </comment>
    <comment ref="BK567" authorId="0">
      <text>
        <r>
          <rPr>
            <b/>
            <sz val="8"/>
            <color indexed="81"/>
            <rFont val="Tahoma"/>
            <family val="2"/>
          </rPr>
          <t>2/11/2012: Diverse niet belastingmiddelen (vanaf 2011)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58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58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8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8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58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58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58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86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586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586" authorId="0">
      <text>
        <r>
          <rPr>
            <b/>
            <sz val="8"/>
            <color indexed="81"/>
            <rFont val="Tahoma"/>
            <family val="2"/>
          </rPr>
          <t>11/12/2015: WWW.CBvS.sr   : Macro-econ. Taballen(16)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CC586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586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587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587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87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87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587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587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587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87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587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587" authorId="0">
      <text>
        <r>
          <rPr>
            <b/>
            <sz val="8"/>
            <color indexed="81"/>
            <rFont val="Tahoma"/>
            <family val="2"/>
          </rPr>
          <t>11/12/2015: WWW.CBvS.sr   : Macro-econ. Taballen(16)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CC587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587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588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588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88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88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588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588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588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88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588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588" authorId="0">
      <text>
        <r>
          <rPr>
            <b/>
            <sz val="8"/>
            <color indexed="81"/>
            <rFont val="Tahoma"/>
            <family val="2"/>
          </rPr>
          <t>11/12/2015: WWW.CBvS.sr   : Macro-econ. Taballen(16)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CC588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588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594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594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94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94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594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594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594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94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594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594" authorId="0">
      <text>
        <r>
          <rPr>
            <b/>
            <sz val="8"/>
            <color indexed="81"/>
            <rFont val="Tahoma"/>
            <family val="2"/>
          </rPr>
          <t>11/12/2015: WWW.CBvS.sr   : Macro-econ. Taballen(16)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CC594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594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Z596" authorId="0">
      <text>
        <r>
          <rPr>
            <b/>
            <sz val="8"/>
            <color indexed="81"/>
            <rFont val="Tahoma"/>
            <family val="2"/>
          </rPr>
          <t>18/9/13: CBvS/www.SDMO.org (update:15-8-2013)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596" authorId="0">
      <text>
        <r>
          <rPr>
            <b/>
            <sz val="8"/>
            <color indexed="81"/>
            <rFont val="Tahoma"/>
            <family val="2"/>
          </rPr>
          <t>18/9/13: CBvS/www.SDMO.org (update:15-8-2013)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596" authorId="0">
      <text>
        <r>
          <rPr>
            <b/>
            <sz val="8"/>
            <color indexed="81"/>
            <rFont val="Tahoma"/>
            <family val="2"/>
          </rPr>
          <t>18/9/13: CBvS/www.SDMO.org (update:15-8-2013)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596" authorId="0">
      <text>
        <r>
          <rPr>
            <b/>
            <sz val="8"/>
            <color indexed="81"/>
            <rFont val="Tahoma"/>
            <family val="2"/>
          </rPr>
          <t>18/9/13: CBvS/www.SDMO.org (update:15-8-2013)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596" authorId="0">
      <text>
        <r>
          <rPr>
            <b/>
            <sz val="8"/>
            <color indexed="81"/>
            <rFont val="Tahoma"/>
            <family val="2"/>
          </rPr>
          <t>18/9/13: CBvS/www.SDMO.org (update:15-8-2013)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596" authorId="0">
      <text>
        <r>
          <rPr>
            <b/>
            <sz val="8"/>
            <color indexed="81"/>
            <rFont val="Tahoma"/>
            <family val="2"/>
          </rPr>
          <t>18/9/13: CBvS/www.SDMO.org (update:15-8-2013)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59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59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59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59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59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59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596" authorId="0">
      <text>
        <r>
          <rPr>
            <b/>
            <sz val="8"/>
            <color indexed="81"/>
            <rFont val="Tahoma"/>
            <family val="2"/>
          </rPr>
          <t>2/4/2014: WWW.CBvS.sr   : Macro-econ. Taballen(16)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596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596" authorId="0">
      <text>
        <r>
          <rPr>
            <b/>
            <sz val="8"/>
            <color indexed="81"/>
            <rFont val="Tahoma"/>
            <family val="2"/>
          </rPr>
          <t>22/10/2015: WWW.CBvS.sr   : Macro-econ. Taballen(16)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596" authorId="0">
      <text>
        <r>
          <rPr>
            <b/>
            <sz val="8"/>
            <color indexed="81"/>
            <rFont val="Tahoma"/>
            <family val="2"/>
          </rPr>
          <t>11/12/2015: WWW.CBvS.sr   : Macro-econ. Taballen(16)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CC596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596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02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02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02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02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02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02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02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602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602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602" authorId="0">
      <text>
        <r>
          <rPr>
            <b/>
            <sz val="8"/>
            <color indexed="81"/>
            <rFont val="Tahoma"/>
            <family val="2"/>
          </rPr>
          <t>11/12/2015: WWW.CBvS.sr   : Macro-econ. Taballen(17)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BS602" authorId="0">
      <text>
        <r>
          <rPr>
            <b/>
            <sz val="8"/>
            <color indexed="81"/>
            <rFont val="Tahoma"/>
            <family val="2"/>
          </rPr>
          <t>22/5/2015: WWW.CBvS.sr   : Macro-econ. Taballen(17)</t>
        </r>
      </text>
    </comment>
    <comment ref="CC602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602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03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03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03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03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03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03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03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603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603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603" authorId="0">
      <text>
        <r>
          <rPr>
            <b/>
            <sz val="8"/>
            <color indexed="81"/>
            <rFont val="Tahoma"/>
            <family val="2"/>
          </rPr>
          <t>11/12/2015: WWW.CBvS.sr   : Macro-econ. Taballen(17)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BF604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04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04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04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04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04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04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604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604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604" authorId="0">
      <text>
        <r>
          <rPr>
            <b/>
            <sz val="8"/>
            <color indexed="81"/>
            <rFont val="Tahoma"/>
            <family val="2"/>
          </rPr>
          <t>11/12/2015: WWW.CBvS.sr   : Macro-econ. Taballen(17)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BF605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05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05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05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05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05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05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605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605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605" authorId="0">
      <text>
        <r>
          <rPr>
            <b/>
            <sz val="8"/>
            <color indexed="81"/>
            <rFont val="Tahoma"/>
            <family val="2"/>
          </rPr>
          <t>11/12/2015: WWW.CBvS.sr   : Macro-econ. Taballen(17)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CC605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605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06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06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06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06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06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06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06" authorId="0">
      <text>
        <r>
          <rPr>
            <b/>
            <sz val="8"/>
            <color indexed="81"/>
            <rFont val="Tahoma"/>
            <family val="2"/>
          </rPr>
          <t>2/4/2014: WWW.CBvS.sr   : Macro-econ. Taballen(17)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606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N606" authorId="0">
      <text>
        <r>
          <rPr>
            <b/>
            <sz val="8"/>
            <color indexed="81"/>
            <rFont val="Tahoma"/>
            <family val="2"/>
          </rPr>
          <t>21/10/2015: WWW.CBvS.sr   : Macro-econ. Taballen(17)</t>
        </r>
        <r>
          <rPr>
            <sz val="8"/>
            <color indexed="81"/>
            <rFont val="Tahoma"/>
            <family val="2"/>
          </rPr>
          <t xml:space="preserve">
t/m Aug 2015</t>
        </r>
      </text>
    </comment>
    <comment ref="BO606" authorId="0">
      <text>
        <r>
          <rPr>
            <b/>
            <sz val="8"/>
            <color indexed="81"/>
            <rFont val="Tahoma"/>
            <family val="2"/>
          </rPr>
          <t>11/12/2015: WWW.CBvS.sr   : Macro-econ. Taballen(17)</t>
        </r>
        <r>
          <rPr>
            <sz val="8"/>
            <color indexed="81"/>
            <rFont val="Tahoma"/>
            <family val="2"/>
          </rPr>
          <t xml:space="preserve">
t/m OKt 2015</t>
        </r>
      </text>
    </comment>
    <comment ref="CC606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606" authorId="0">
      <text>
        <r>
          <rPr>
            <b/>
            <sz val="8"/>
            <color indexed="81"/>
            <rFont val="Tahoma"/>
            <family val="2"/>
          </rPr>
          <t>26/6/12: www.SDMO.org (update:20-06-2012)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29" authorId="0">
      <text>
        <r>
          <rPr>
            <b/>
            <sz val="8"/>
            <color indexed="81"/>
            <rFont val="Tahoma"/>
            <family val="2"/>
          </rPr>
          <t>13/7/2011: t/m april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29" authorId="0">
      <text>
        <r>
          <rPr>
            <b/>
            <sz val="8"/>
            <color indexed="81"/>
            <rFont val="Tahoma"/>
            <family val="2"/>
          </rPr>
          <t xml:space="preserve">5/2/2013: t/m 3e kwartaal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38" authorId="12">
      <text>
        <r>
          <rPr>
            <b/>
            <sz val="9"/>
            <color indexed="81"/>
            <rFont val="Tahoma"/>
            <family val="2"/>
          </rPr>
          <t>12/7/2011: incl. uitg. Reisverk.van G&amp;D en Overheidsdiensten invoer van G&amp;D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38" authorId="12">
      <text>
        <r>
          <rPr>
            <b/>
            <sz val="9"/>
            <color indexed="81"/>
            <rFont val="Tahoma"/>
            <family val="2"/>
          </rPr>
          <t>12/7/2011: incl. uitg. Reisverk.van G&amp;D en Overheidsdiensten invoer van G&amp;D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38" authorId="12">
      <text>
        <r>
          <rPr>
            <b/>
            <sz val="9"/>
            <color indexed="81"/>
            <rFont val="Tahoma"/>
            <family val="2"/>
          </rPr>
          <t>12/7/2011: incl. uitg. Reisverk.van G&amp;D en Overheidsdiensten invoer van G&amp;D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38" authorId="12">
      <text>
        <r>
          <rPr>
            <b/>
            <sz val="9"/>
            <color indexed="81"/>
            <rFont val="Tahoma"/>
            <family val="2"/>
          </rPr>
          <t>12/7/2011: incl. uitg. Reisverk.van G&amp;D en Overheidsdiensten invoer van G&amp;D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638" authorId="12">
      <text>
        <r>
          <rPr>
            <b/>
            <sz val="9"/>
            <color indexed="81"/>
            <rFont val="Tahoma"/>
            <family val="2"/>
          </rPr>
          <t>12/7/2011: incl. uitg. Reisverk.van G&amp;D en Overheidsdiensten invoer van G&amp;D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40" authorId="12">
      <text>
        <r>
          <rPr>
            <b/>
            <sz val="9"/>
            <color indexed="81"/>
            <rFont val="Tahoma"/>
            <family val="2"/>
          </rPr>
          <t xml:space="preserve">12/7/2011: zie r623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40" authorId="12">
      <text>
        <r>
          <rPr>
            <b/>
            <sz val="9"/>
            <color indexed="81"/>
            <rFont val="Tahoma"/>
            <family val="2"/>
          </rPr>
          <t xml:space="preserve">12/7/2011: zie r623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40" authorId="12">
      <text>
        <r>
          <rPr>
            <b/>
            <sz val="9"/>
            <color indexed="81"/>
            <rFont val="Tahoma"/>
            <family val="2"/>
          </rPr>
          <t xml:space="preserve">12/7/2011: zie r623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40" authorId="12">
      <text>
        <r>
          <rPr>
            <b/>
            <sz val="9"/>
            <color indexed="81"/>
            <rFont val="Tahoma"/>
            <family val="2"/>
          </rPr>
          <t xml:space="preserve">12/7/2011: zie r623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41" authorId="12">
      <text>
        <r>
          <rPr>
            <b/>
            <sz val="9"/>
            <color indexed="81"/>
            <rFont val="Tahoma"/>
            <family val="2"/>
          </rPr>
          <t xml:space="preserve">12/7/2011: zie r623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41" authorId="12">
      <text>
        <r>
          <rPr>
            <b/>
            <sz val="9"/>
            <color indexed="81"/>
            <rFont val="Tahoma"/>
            <family val="2"/>
          </rPr>
          <t xml:space="preserve">12/7/2011: zie r623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41" authorId="12">
      <text>
        <r>
          <rPr>
            <b/>
            <sz val="9"/>
            <color indexed="81"/>
            <rFont val="Tahoma"/>
            <family val="2"/>
          </rPr>
          <t xml:space="preserve">12/7/2011: zie r623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41" authorId="12">
      <text>
        <r>
          <rPr>
            <b/>
            <sz val="9"/>
            <color indexed="81"/>
            <rFont val="Tahoma"/>
            <family val="2"/>
          </rPr>
          <t xml:space="preserve">12/7/2011: zie r623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45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45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45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45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46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46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46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46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47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47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47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47" authorId="12">
      <text>
        <r>
          <rPr>
            <b/>
            <sz val="9"/>
            <color indexed="81"/>
            <rFont val="Tahoma"/>
            <family val="2"/>
          </rPr>
          <t xml:space="preserve">11/7/2011: zie r638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49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49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49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49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649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50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50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50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50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650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51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51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51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51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651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53" authorId="12">
      <text>
        <r>
          <rPr>
            <b/>
            <sz val="9"/>
            <color indexed="81"/>
            <rFont val="Tahoma"/>
            <family val="2"/>
          </rPr>
          <t>11/7/2011: incl.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53" authorId="12">
      <text>
        <r>
          <rPr>
            <b/>
            <sz val="9"/>
            <color indexed="81"/>
            <rFont val="Tahoma"/>
            <family val="2"/>
          </rPr>
          <t>11/7/2011: incl.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53" authorId="12">
      <text>
        <r>
          <rPr>
            <b/>
            <sz val="9"/>
            <color indexed="81"/>
            <rFont val="Tahoma"/>
            <family val="2"/>
          </rPr>
          <t>11/7/2011: incl.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53" authorId="12">
      <text>
        <r>
          <rPr>
            <b/>
            <sz val="9"/>
            <color indexed="81"/>
            <rFont val="Tahoma"/>
            <family val="2"/>
          </rPr>
          <t>11/7/2011: incl.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653" authorId="12">
      <text>
        <r>
          <rPr>
            <b/>
            <sz val="9"/>
            <color indexed="81"/>
            <rFont val="Tahoma"/>
            <family val="2"/>
          </rPr>
          <t>11/7/2011: incl.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55" authorId="12">
      <text>
        <r>
          <rPr>
            <b/>
            <sz val="9"/>
            <color indexed="81"/>
            <rFont val="Tahoma"/>
            <family val="2"/>
          </rPr>
          <t>11/7/2011: incl. kap.opbr.uitgaven naar het btl, 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55" authorId="12">
      <text>
        <r>
          <rPr>
            <b/>
            <sz val="9"/>
            <color indexed="81"/>
            <rFont val="Tahoma"/>
            <family val="2"/>
          </rPr>
          <t>11/7/2011: incl. kap.opbr.uitgaven naar het btl, 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55" authorId="12">
      <text>
        <r>
          <rPr>
            <b/>
            <sz val="9"/>
            <color indexed="81"/>
            <rFont val="Tahoma"/>
            <family val="2"/>
          </rPr>
          <t>11/7/2011: incl. kap.opbr.uitgaven naar het btl, 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55" authorId="12">
      <text>
        <r>
          <rPr>
            <b/>
            <sz val="9"/>
            <color indexed="81"/>
            <rFont val="Tahoma"/>
            <family val="2"/>
          </rPr>
          <t>11/7/2011: incl. kap.opbr.uitgaven naar het btl, 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655" authorId="12">
      <text>
        <r>
          <rPr>
            <b/>
            <sz val="9"/>
            <color indexed="81"/>
            <rFont val="Tahoma"/>
            <family val="2"/>
          </rPr>
          <t>11/7/2011: incl. kap.opbr.uitgaven naar het btl,  pers arbeidsink en onlich. zkn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56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56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56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56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57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657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57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657" authorId="12">
      <text>
        <r>
          <rPr>
            <b/>
            <sz val="9"/>
            <color indexed="81"/>
            <rFont val="Tahoma"/>
            <family val="2"/>
          </rPr>
          <t xml:space="preserve">11/7/2011: zie r640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660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60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60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60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61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H661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I661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J661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K661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G662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H662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I662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J662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K662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G663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H663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I663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J663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K663" authorId="0">
      <text>
        <r>
          <rPr>
            <b/>
            <sz val="8"/>
            <color indexed="81"/>
            <rFont val="Tahoma"/>
            <family val="2"/>
          </rPr>
          <t>12/7/2012: zie r645</t>
        </r>
      </text>
    </comment>
    <comment ref="BG666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666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666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666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66" authorId="0">
      <text>
        <r>
          <rPr>
            <b/>
            <sz val="8"/>
            <color indexed="81"/>
            <rFont val="Tahoma"/>
            <family val="2"/>
          </rPr>
          <t>12/7/2012: incl. Part.schenk., Migratie en Overig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667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H667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I667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J667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K667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G668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H668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I668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J668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K668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G669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H669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I669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J669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K669" authorId="0">
      <text>
        <r>
          <rPr>
            <b/>
            <sz val="8"/>
            <color indexed="81"/>
            <rFont val="Tahoma"/>
            <family val="2"/>
          </rPr>
          <t>12/7/2012: zie r651</t>
        </r>
      </text>
    </comment>
    <comment ref="B671" authorId="0">
      <text>
        <r>
          <rPr>
            <sz val="8"/>
            <color indexed="81"/>
            <rFont val="Tahoma"/>
            <family val="2"/>
          </rPr>
          <t xml:space="preserve">12/7/2011: vanaf 2007 wordt dat deel van langl kap. verk. part.sect meegenomen, dat betr. heeft op mutatie r/c saldo's
</t>
        </r>
      </text>
    </comment>
    <comment ref="BD682" authorId="1">
      <text>
        <r>
          <rPr>
            <b/>
            <sz val="8"/>
            <color indexed="81"/>
            <rFont val="Tahoma"/>
            <family val="2"/>
          </rPr>
          <t>12/2/09: CBvS, conform totaal monres, incl Schulden aan niet ingezetenen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682" authorId="1">
      <text>
        <r>
          <rPr>
            <b/>
            <sz val="8"/>
            <color indexed="81"/>
            <rFont val="Tahoma"/>
            <family val="2"/>
          </rPr>
          <t>12/2/09: CBvS, conform totaal monres, incl Schulden aan niet ingezetenen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682" authorId="1">
      <text>
        <r>
          <rPr>
            <b/>
            <sz val="8"/>
            <color indexed="81"/>
            <rFont val="Tahoma"/>
            <family val="2"/>
          </rPr>
          <t xml:space="preserve">23/9/12 CBvS-statistieken tabel 6 Internationale Reserves en VV positie
</t>
        </r>
      </text>
    </comment>
    <comment ref="BG682" authorId="1">
      <text>
        <r>
          <rPr>
            <b/>
            <sz val="8"/>
            <color indexed="81"/>
            <rFont val="Tahoma"/>
            <family val="2"/>
          </rPr>
          <t xml:space="preserve">23/9/12 CBvS-statistieken tabel 6 Internationale Reserves en VV positie
</t>
        </r>
      </text>
    </comment>
    <comment ref="BH682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I682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J682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K682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L682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M682" authorId="1">
      <text>
        <r>
          <rPr>
            <b/>
            <sz val="8"/>
            <color indexed="81"/>
            <rFont val="Tahoma"/>
            <family val="2"/>
          </rPr>
          <t>12/5/15 CBvS-statistieken tabel 6 Internationale Reserves en VV positie</t>
        </r>
      </text>
    </comment>
    <comment ref="BN682" authorId="1">
      <text>
        <r>
          <rPr>
            <b/>
            <sz val="8"/>
            <color indexed="81"/>
            <rFont val="Tahoma"/>
            <family val="2"/>
          </rPr>
          <t>12/5/15 CBvS-statistieken tabel 6 Internationale Reserves en VV positie</t>
        </r>
      </text>
    </comment>
    <comment ref="BO682" authorId="1">
      <text>
        <r>
          <rPr>
            <b/>
            <sz val="8"/>
            <color indexed="81"/>
            <rFont val="Tahoma"/>
            <family val="2"/>
          </rPr>
          <t xml:space="preserve">6/1/2016:  CBvS-statistieken tabel 6 Internationale Reserves en VV positie; t/m Okt 2015
</t>
        </r>
      </text>
    </comment>
    <comment ref="CM682" authorId="1">
      <text>
        <r>
          <rPr>
            <b/>
            <sz val="8"/>
            <color indexed="81"/>
            <rFont val="Tahoma"/>
            <family val="2"/>
          </rPr>
          <t xml:space="preserve">7/12/12: CBvS-statistieken tabel 6 Internationale Reserves en VV positie
</t>
        </r>
      </text>
    </comment>
    <comment ref="BM685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O685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M686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O686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M687" authorId="13">
      <text>
        <r>
          <rPr>
            <b/>
            <sz val="8"/>
            <color indexed="81"/>
            <rFont val="Tahoma"/>
            <family val="2"/>
          </rPr>
          <t xml:space="preserve">okt 2013
</t>
        </r>
      </text>
    </comment>
    <comment ref="BO687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M688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O688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M689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6 Internationale Reserves en VV positie
</t>
        </r>
      </text>
    </comment>
    <comment ref="BO689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M690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VI.3 in Compendium
</t>
        </r>
      </text>
    </comment>
    <comment ref="BO690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M691" authorId="1">
      <text>
        <r>
          <rPr>
            <b/>
            <sz val="8"/>
            <color indexed="81"/>
            <rFont val="Tahoma"/>
            <family val="2"/>
          </rPr>
          <t xml:space="preserve">10/3/14 CBvS-statistieken tabel 7
</t>
        </r>
      </text>
    </comment>
    <comment ref="BO691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I693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J693" authorId="0">
      <text>
        <r>
          <rPr>
            <b/>
            <sz val="8"/>
            <color indexed="81"/>
            <rFont val="Tahoma"/>
            <family val="2"/>
          </rPr>
          <t>10/3/14: CBvS: Tabel 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693" authorId="0">
      <text>
        <r>
          <rPr>
            <b/>
            <sz val="8"/>
            <color indexed="81"/>
            <rFont val="Tahoma"/>
            <family val="2"/>
          </rPr>
          <t>10/3/14: CBvS: Tabel 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693" authorId="0">
      <text>
        <r>
          <rPr>
            <b/>
            <sz val="8"/>
            <color indexed="81"/>
            <rFont val="Tahoma"/>
            <family val="2"/>
          </rPr>
          <t>10/3/14: CBvS: Tabel 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693" authorId="0">
      <text>
        <r>
          <rPr>
            <b/>
            <sz val="8"/>
            <color indexed="81"/>
            <rFont val="Tahoma"/>
            <family val="2"/>
          </rPr>
          <t xml:space="preserve">22/5/15: CBvS: Tabel 5
</t>
        </r>
      </text>
    </comment>
    <comment ref="BN693" authorId="0">
      <text>
        <r>
          <rPr>
            <b/>
            <sz val="8"/>
            <color indexed="81"/>
            <rFont val="Tahoma"/>
            <family val="2"/>
          </rPr>
          <t xml:space="preserve">22/5/15: CBvS: Tabel 5
</t>
        </r>
      </text>
    </comment>
    <comment ref="BO693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O694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O695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O696" authorId="10">
      <text>
        <r>
          <rPr>
            <b/>
            <sz val="9"/>
            <color indexed="81"/>
            <rFont val="Tahoma"/>
            <charset val="1"/>
          </rPr>
          <t>okt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I700" authorId="2">
      <text>
        <r>
          <rPr>
            <b/>
            <sz val="8"/>
            <color indexed="81"/>
            <rFont val="Tahoma"/>
            <family val="2"/>
          </rPr>
          <t xml:space="preserve"> 20/7/2010: incl. USD 125,4 mln uhv SDR allocatie, conform boekingsinstructies van het IMF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703" authorId="1">
      <text>
        <r>
          <rPr>
            <b/>
            <sz val="8"/>
            <color indexed="81"/>
            <rFont val="Tahoma"/>
            <family val="2"/>
          </rPr>
          <t>Bron: CBvS (14/1/09)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703" authorId="1">
      <text>
        <r>
          <rPr>
            <b/>
            <sz val="8"/>
            <color indexed="81"/>
            <rFont val="Tahoma"/>
            <family val="2"/>
          </rPr>
          <t>Bron: CBvS (14/1/09)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703" authorId="1">
      <text>
        <r>
          <rPr>
            <b/>
            <sz val="8"/>
            <color indexed="81"/>
            <rFont val="Tahoma"/>
            <family val="2"/>
          </rPr>
          <t>Bron: CBvS (17/3/09)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703" authorId="1">
      <text>
        <r>
          <rPr>
            <b/>
            <sz val="8"/>
            <color indexed="81"/>
            <rFont val="Tahoma"/>
            <family val="2"/>
          </rPr>
          <t>Bron: CBvS (17/3/09)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707" authorId="0">
      <text>
        <r>
          <rPr>
            <b/>
            <sz val="8"/>
            <color indexed="81"/>
            <rFont val="Tahoma"/>
            <family val="2"/>
          </rPr>
          <t>30/5/12: Website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707" authorId="0">
      <text>
        <r>
          <rPr>
            <b/>
            <sz val="8"/>
            <color indexed="81"/>
            <rFont val="Tahoma"/>
            <family val="2"/>
          </rPr>
          <t>5/5/15: Website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707" authorId="0">
      <text>
        <r>
          <rPr>
            <b/>
            <sz val="8"/>
            <color indexed="81"/>
            <rFont val="Tahoma"/>
            <charset val="1"/>
          </rPr>
          <t>4/1/2016: Schatting obv de eerste drie kwartalen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BK764" authorId="2">
      <text>
        <r>
          <rPr>
            <b/>
            <sz val="8"/>
            <color indexed="81"/>
            <rFont val="Tahoma"/>
            <family val="2"/>
          </rPr>
          <t xml:space="preserve">20/1/11: CBvS heeft de aan- en verkoopkoers voor de USD aangepast tot resp. SRD3,35 en SRD 3,25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764" authorId="4">
      <text>
        <r>
          <rPr>
            <b/>
            <sz val="9"/>
            <color indexed="81"/>
            <rFont val="Tahoma"/>
            <family val="2"/>
          </rPr>
          <t xml:space="preserve">bron ABS
</t>
        </r>
      </text>
    </comment>
    <comment ref="B765" authorId="14">
      <text>
        <r>
          <rPr>
            <sz val="8"/>
            <color indexed="81"/>
            <rFont val="Tahoma"/>
            <family val="2"/>
          </rPr>
          <t xml:space="preserve">Debetrente
</t>
        </r>
      </text>
    </comment>
    <comment ref="BG765" authorId="1">
      <text>
        <r>
          <rPr>
            <b/>
            <sz val="8"/>
            <color indexed="81"/>
            <rFont val="Tahoma"/>
            <family val="2"/>
          </rPr>
          <t xml:space="preserve">23/9/13: CBvS-statistieken tabel 12
</t>
        </r>
      </text>
    </comment>
    <comment ref="BH765" authorId="1">
      <text>
        <r>
          <rPr>
            <b/>
            <sz val="8"/>
            <color indexed="81"/>
            <rFont val="Tahoma"/>
            <family val="2"/>
          </rPr>
          <t xml:space="preserve">23/9/13: CBvS-statistieken tabel 12
</t>
        </r>
      </text>
    </comment>
    <comment ref="BI765" authorId="1">
      <text>
        <r>
          <rPr>
            <b/>
            <sz val="8"/>
            <color indexed="81"/>
            <rFont val="Tahoma"/>
            <family val="2"/>
          </rPr>
          <t xml:space="preserve">23/9/13: CBvS-statistieken tabel 12
</t>
        </r>
      </text>
    </comment>
    <comment ref="BJ765" authorId="1">
      <text>
        <r>
          <rPr>
            <b/>
            <sz val="8"/>
            <color indexed="81"/>
            <rFont val="Tahoma"/>
            <family val="2"/>
          </rPr>
          <t xml:space="preserve">10/3/14: CBvS-statistieken tabel 12
</t>
        </r>
      </text>
    </comment>
    <comment ref="BK765" authorId="1">
      <text>
        <r>
          <rPr>
            <b/>
            <sz val="8"/>
            <color indexed="81"/>
            <rFont val="Tahoma"/>
            <family val="2"/>
          </rPr>
          <t xml:space="preserve">10/3/14: CBvS-statistieken tabel 12
</t>
        </r>
      </text>
    </comment>
    <comment ref="BL765" authorId="1">
      <text>
        <r>
          <rPr>
            <b/>
            <sz val="8"/>
            <color indexed="81"/>
            <rFont val="Tahoma"/>
            <family val="2"/>
          </rPr>
          <t xml:space="preserve">10/3/14: CBvS-statistieken tabel 12
</t>
        </r>
      </text>
    </comment>
    <comment ref="BM765" authorId="1">
      <text>
        <r>
          <rPr>
            <b/>
            <sz val="8"/>
            <color indexed="81"/>
            <rFont val="Tahoma"/>
            <family val="2"/>
          </rPr>
          <t xml:space="preserve">10/3/14: CBvS-statistieken tabel 12
</t>
        </r>
      </text>
    </comment>
    <comment ref="BN765" authorId="1">
      <text>
        <r>
          <rPr>
            <b/>
            <sz val="8"/>
            <color indexed="81"/>
            <rFont val="Tahoma"/>
            <family val="2"/>
          </rPr>
          <t xml:space="preserve">19/5/15: CBvS-statistieken tabel 12; 
</t>
        </r>
      </text>
    </comment>
    <comment ref="BO765" authorId="1">
      <text>
        <r>
          <rPr>
            <b/>
            <sz val="8"/>
            <color indexed="81"/>
            <rFont val="Tahoma"/>
            <family val="2"/>
          </rPr>
          <t xml:space="preserve">22/10/15: CBvS-statistieken tabel 12; t/m Aug 2015
</t>
        </r>
      </text>
    </comment>
    <comment ref="CC765" authorId="1">
      <text>
        <r>
          <rPr>
            <b/>
            <sz val="8"/>
            <color indexed="81"/>
            <rFont val="Tahoma"/>
            <family val="2"/>
          </rPr>
          <t xml:space="preserve">6/12/12: CBvS-statistieken tabel 12
</t>
        </r>
      </text>
    </comment>
    <comment ref="CM765" authorId="1">
      <text>
        <r>
          <rPr>
            <b/>
            <sz val="8"/>
            <color indexed="81"/>
            <rFont val="Tahoma"/>
            <family val="2"/>
          </rPr>
          <t xml:space="preserve">6/12/12: CBvS-statistieken tabel 12
</t>
        </r>
      </text>
    </comment>
    <comment ref="BG771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H771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I771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J771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K771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L771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M771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N771" authorId="0">
      <text>
        <r>
          <rPr>
            <b/>
            <sz val="8"/>
            <color indexed="81"/>
            <rFont val="Tahoma"/>
            <family val="2"/>
          </rPr>
          <t xml:space="preserve">22/5/15: CBvS: Tabel 5
</t>
        </r>
      </text>
    </comment>
    <comment ref="BO771" authorId="0">
      <text>
        <r>
          <rPr>
            <b/>
            <sz val="8"/>
            <color indexed="81"/>
            <rFont val="Tahoma"/>
            <family val="2"/>
          </rPr>
          <t xml:space="preserve">11/12/15: CBvS: Tabel 5;    t/m Okt 2015
</t>
        </r>
      </text>
    </comment>
    <comment ref="BG772" authorId="0">
      <text>
        <r>
          <rPr>
            <b/>
            <sz val="8"/>
            <color indexed="81"/>
            <rFont val="Tahoma"/>
            <family val="2"/>
          </rPr>
          <t>10/3/14: CBvS: Tabel 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772" authorId="0">
      <text>
        <r>
          <rPr>
            <b/>
            <sz val="8"/>
            <color indexed="81"/>
            <rFont val="Tahoma"/>
            <family val="2"/>
          </rPr>
          <t>10/3/14: CBvS: Tabel 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772" authorId="0">
      <text>
        <r>
          <rPr>
            <b/>
            <sz val="8"/>
            <color indexed="81"/>
            <rFont val="Tahoma"/>
            <family val="2"/>
          </rPr>
          <t>10/3/14: CBvS: Tabel 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772" authorId="0">
      <text>
        <r>
          <rPr>
            <b/>
            <sz val="8"/>
            <color indexed="81"/>
            <rFont val="Tahoma"/>
            <family val="2"/>
          </rPr>
          <t>10/3/14: CBvS: Tabel 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772" authorId="0">
      <text>
        <r>
          <rPr>
            <b/>
            <sz val="8"/>
            <color indexed="81"/>
            <rFont val="Tahoma"/>
            <family val="2"/>
          </rPr>
          <t>10/3/14: CBvS: Tabel 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772" authorId="0">
      <text>
        <r>
          <rPr>
            <b/>
            <sz val="8"/>
            <color indexed="81"/>
            <rFont val="Tahoma"/>
            <family val="2"/>
          </rPr>
          <t xml:space="preserve">11/5/15: CBvS: Tabel 5
</t>
        </r>
      </text>
    </comment>
    <comment ref="BM772" authorId="0">
      <text>
        <r>
          <rPr>
            <b/>
            <sz val="8"/>
            <color indexed="81"/>
            <rFont val="Tahoma"/>
            <family val="2"/>
          </rPr>
          <t xml:space="preserve">22/5/15: CBvS: Tabel 5
</t>
        </r>
      </text>
    </comment>
    <comment ref="BN772" authorId="0">
      <text>
        <r>
          <rPr>
            <b/>
            <sz val="8"/>
            <color indexed="81"/>
            <rFont val="Tahoma"/>
            <family val="2"/>
          </rPr>
          <t xml:space="preserve">22/5/15: CBvS: Tabel 5
</t>
        </r>
      </text>
    </comment>
    <comment ref="BO772" authorId="0">
      <text>
        <r>
          <rPr>
            <b/>
            <sz val="8"/>
            <color indexed="81"/>
            <rFont val="Tahoma"/>
            <family val="2"/>
          </rPr>
          <t xml:space="preserve">11/12/15: CBvS: Tabel 5;    t/m Okt 2015
</t>
        </r>
      </text>
    </comment>
    <comment ref="BG783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783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783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783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786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786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786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786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788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788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788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788" authorId="1">
      <text>
        <r>
          <rPr>
            <b/>
            <sz val="8"/>
            <color indexed="81"/>
            <rFont val="Tahoma"/>
            <family val="2"/>
          </rPr>
          <t>12/2/09: CBvS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795" authorId="1">
      <text>
        <r>
          <rPr>
            <sz val="8"/>
            <color indexed="81"/>
            <rFont val="Tahoma"/>
            <family val="2"/>
          </rPr>
          <t xml:space="preserve">3/3/10: BIS, tabel: enkele belangrijke statistieken bauxietsector Suriname
</t>
        </r>
      </text>
    </comment>
    <comment ref="BI795" authorId="1">
      <text>
        <r>
          <rPr>
            <sz val="8"/>
            <color indexed="81"/>
            <rFont val="Tahoma"/>
            <family val="2"/>
          </rPr>
          <t xml:space="preserve">3/3/10: BIS, tabel: enkele belangrijke statistieken bauxietsector Suriname
</t>
        </r>
      </text>
    </comment>
    <comment ref="BJ795" authorId="1">
      <text>
        <r>
          <rPr>
            <sz val="8"/>
            <color indexed="81"/>
            <rFont val="Tahoma"/>
            <family val="2"/>
          </rPr>
          <t xml:space="preserve">21/3/11: BIS, tabel: enkele belangrijke statistieken bauxietsector Suriname
</t>
        </r>
      </text>
    </comment>
    <comment ref="BK795" authorId="1">
      <text>
        <r>
          <rPr>
            <sz val="8"/>
            <color indexed="81"/>
            <rFont val="Tahoma"/>
            <family val="2"/>
          </rPr>
          <t xml:space="preserve">23/3/12: BIS, tabel: Data Auinaardesector
</t>
        </r>
      </text>
    </comment>
    <comment ref="BL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M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N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O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P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Q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R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S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T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BU795" authorId="11">
      <text>
        <r>
          <rPr>
            <b/>
            <sz val="9"/>
            <color indexed="81"/>
            <rFont val="Tahoma"/>
            <family val="2"/>
          </rPr>
          <t>cijfers 2012-2021; UPDATE MOENSIE (26/2/2014)</t>
        </r>
      </text>
    </comment>
    <comment ref="CC795" authorId="1">
      <text>
        <r>
          <rPr>
            <sz val="8"/>
            <color indexed="81"/>
            <rFont val="Tahoma"/>
            <family val="2"/>
          </rPr>
          <t xml:space="preserve">1/8/12: CBvS, tabel: Projections Bauxite &amp; Alumina production indicators
</t>
        </r>
      </text>
    </comment>
    <comment ref="CM795" authorId="1">
      <text>
        <r>
          <rPr>
            <sz val="8"/>
            <color indexed="81"/>
            <rFont val="Tahoma"/>
            <family val="2"/>
          </rPr>
          <t xml:space="preserve">1/8/12: CBvS, tabel: Projections Bauxite &amp; Alumina production indicators
</t>
        </r>
      </text>
    </comment>
    <comment ref="BG798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H798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I798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J798" authorId="1">
      <text>
        <r>
          <rPr>
            <sz val="8"/>
            <color indexed="81"/>
            <rFont val="Tahoma"/>
            <family val="2"/>
          </rPr>
          <t xml:space="preserve">Bron: Staatsolie nieuws 1e kwartaal 2011 (29/5/12)
</t>
        </r>
      </text>
    </comment>
    <comment ref="BK798" authorId="1">
      <text>
        <r>
          <rPr>
            <sz val="8"/>
            <color indexed="81"/>
            <rFont val="Tahoma"/>
            <family val="2"/>
          </rPr>
          <t xml:space="preserve">Bron: Staatsolie nieuws 1e kwartaal 2011 (29/5/12)
</t>
        </r>
      </text>
    </comment>
    <comment ref="BL79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79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79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79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79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79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798" authorId="5">
      <text>
        <r>
          <rPr>
            <b/>
            <sz val="8"/>
            <color indexed="81"/>
            <rFont val="Tahoma"/>
            <family val="2"/>
          </rPr>
          <t>20/2/2013: Bron: Staatsolie: Gegevens voor macro-economische behandeling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798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CM798" authorId="1">
      <text>
        <r>
          <rPr>
            <sz val="8"/>
            <color indexed="81"/>
            <rFont val="Tahoma"/>
            <family val="2"/>
          </rPr>
          <t xml:space="preserve">Bron: Staatsolie (22/2/10)
</t>
        </r>
      </text>
    </comment>
    <comment ref="BD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799" authorId="0">
      <text>
        <r>
          <rPr>
            <sz val="8"/>
            <color indexed="81"/>
            <rFont val="Tahoma"/>
            <family val="2"/>
          </rPr>
          <t xml:space="preserve">18/2/2014: Tabel Kernindicatoren 2012 (IAMGOLD)
</t>
        </r>
      </text>
    </comment>
    <comment ref="BM799" authorId="0">
      <text>
        <r>
          <rPr>
            <sz val="8"/>
            <color indexed="81"/>
            <rFont val="Tahoma"/>
            <family val="2"/>
          </rPr>
          <t xml:space="preserve">18/2/2014: Tabel Kernindicatoren (IAMGOLD)
</t>
        </r>
      </text>
    </comment>
    <comment ref="BN799" authorId="0">
      <text>
        <r>
          <rPr>
            <sz val="8"/>
            <color indexed="81"/>
            <rFont val="Tahoma"/>
            <family val="2"/>
          </rPr>
          <t xml:space="preserve">27/5/2015: Bron IAMGOLD
zie file Kernindicatoren 2014
</t>
        </r>
      </text>
    </comment>
    <comment ref="CC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799" authorId="5">
      <text>
        <r>
          <rPr>
            <b/>
            <sz val="8"/>
            <color indexed="81"/>
            <rFont val="Tahoma"/>
            <family val="2"/>
          </rPr>
          <t>21/2/11: IAMGOld &amp; DWT19/2/11 (Inv.Surgold 2004-2010 tOt $75 mln en voor de komende mnd tot $25 mln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801" authorId="14">
      <text>
        <r>
          <rPr>
            <sz val="8"/>
            <color indexed="81"/>
            <rFont val="Tahoma"/>
            <family val="2"/>
          </rPr>
          <t xml:space="preserve">Bron: E.C Joint annual Report 2008 &amp; Jaarversl LVV, 2006
</t>
        </r>
      </text>
    </comment>
    <comment ref="BG801" authorId="14">
      <text>
        <r>
          <rPr>
            <sz val="8"/>
            <color indexed="81"/>
            <rFont val="Tahoma"/>
            <family val="2"/>
          </rPr>
          <t xml:space="preserve">Bron: Jaarversl LVV, 2007  (7/4/09)
</t>
        </r>
      </text>
    </comment>
    <comment ref="BH801" authorId="14">
      <text>
        <r>
          <rPr>
            <sz val="8"/>
            <color indexed="81"/>
            <rFont val="Tahoma"/>
            <family val="2"/>
          </rPr>
          <t xml:space="preserve">Bron:Menke / VRE  (7/4/09)
</t>
        </r>
      </text>
    </comment>
    <comment ref="BI801" authorId="14">
      <text>
        <r>
          <rPr>
            <sz val="8"/>
            <color indexed="81"/>
            <rFont val="Tahoma"/>
            <family val="2"/>
          </rPr>
          <t xml:space="preserve">Bron:Menke / VRE  (7/4/09)
</t>
        </r>
      </text>
    </comment>
    <comment ref="BJ801" authorId="2">
      <text>
        <r>
          <rPr>
            <b/>
            <sz val="8"/>
            <color indexed="81"/>
            <rFont val="Tahoma"/>
            <family val="2"/>
          </rPr>
          <t xml:space="preserve"> Bron: S. Chedie / (Adron) (17/11/10).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801" authorId="2">
      <text>
        <r>
          <rPr>
            <b/>
            <sz val="8"/>
            <color indexed="81"/>
            <rFont val="Tahoma"/>
            <family val="2"/>
          </rPr>
          <t xml:space="preserve"> Bron: S. Chedie / (Adron) (17/11/10).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802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802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802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802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802" authorId="1">
      <text>
        <r>
          <rPr>
            <b/>
            <sz val="8"/>
            <color indexed="81"/>
            <rFont val="Tahoma"/>
            <family val="2"/>
          </rPr>
          <t>22/10/12: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802" authorId="1">
      <text>
        <r>
          <rPr>
            <b/>
            <sz val="8"/>
            <color indexed="81"/>
            <rFont val="Tahoma"/>
            <family val="2"/>
          </rPr>
          <t>19/2/13: Bron: SBBS (tabel kenindicat. SBBS 2012) t/m DEC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802" authorId="1">
      <text>
        <r>
          <rPr>
            <b/>
            <sz val="8"/>
            <color indexed="81"/>
            <rFont val="Tahoma"/>
            <family val="2"/>
          </rPr>
          <t>12/3/14: Bron: SBBS (tabel kenindicat. t/m DEC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802" authorId="0">
      <text>
        <r>
          <rPr>
            <b/>
            <sz val="8"/>
            <color indexed="81"/>
            <rFont val="Tahoma"/>
            <family val="2"/>
          </rPr>
          <t>28/5/2015: FAI; Kernindicatoren FAI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802" authorId="0">
      <text>
        <r>
          <rPr>
            <b/>
            <sz val="8"/>
            <color indexed="81"/>
            <rFont val="Tahoma"/>
            <family val="2"/>
          </rPr>
          <t>28/5/2015: FAI; Kernindicatoren FAI 2015/ schatting SPS obv realisatie t/m juli 2015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802" authorId="1">
      <text>
        <r>
          <rPr>
            <b/>
            <sz val="8"/>
            <color indexed="81"/>
            <rFont val="Tahoma"/>
            <family val="2"/>
          </rPr>
          <t>6/12/12: Bron: SBBS (tabel kenindicat. SBBS 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802" authorId="1">
      <text>
        <r>
          <rPr>
            <b/>
            <sz val="8"/>
            <color indexed="81"/>
            <rFont val="Tahoma"/>
            <family val="2"/>
          </rPr>
          <t>10/12/12: Bron: SBBS (tabel kenindicat. SBBS 2012) t/m sept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807" authorId="0">
      <text>
        <r>
          <rPr>
            <b/>
            <sz val="8"/>
            <color indexed="81"/>
            <rFont val="Tahoma"/>
            <family val="2"/>
          </rPr>
          <t>13/7/12: JAP-Luchthaven totaal USD 29,5 voor 2010-2011 (DWT 13/7/2012)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807" authorId="0">
      <text>
        <r>
          <rPr>
            <b/>
            <sz val="8"/>
            <color indexed="81"/>
            <rFont val="Tahoma"/>
            <family val="2"/>
          </rPr>
          <t>13/7/12: JAP-Luchthaven totaal USD 29,5 voor 2010-2011 (DWT 13/7/2012)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807" authorId="0">
      <text>
        <r>
          <rPr>
            <b/>
            <sz val="8"/>
            <color indexed="81"/>
            <rFont val="Tahoma"/>
            <family val="2"/>
          </rPr>
          <t>13/7/12: JAP-Luchthaven totaal USD 70 voor 2012-2015 (DWT 13/7/2012)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807" authorId="0">
      <text>
        <r>
          <rPr>
            <b/>
            <sz val="8"/>
            <color indexed="81"/>
            <rFont val="Tahoma"/>
            <family val="2"/>
          </rPr>
          <t>13/7/12: JAP-Luchthaven totaal USD 70 voor 2012-2015 (DWT 13/7/2012)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807" authorId="0">
      <text>
        <r>
          <rPr>
            <b/>
            <sz val="8"/>
            <color indexed="81"/>
            <rFont val="Tahoma"/>
            <family val="2"/>
          </rPr>
          <t>13/7/12: JAP-Luchthaven totaal USD 70 voor 2012-2015 (DWT 13/7/2012)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807" authorId="0">
      <text>
        <r>
          <rPr>
            <b/>
            <sz val="8"/>
            <color indexed="81"/>
            <rFont val="Tahoma"/>
            <family val="2"/>
          </rPr>
          <t>13/7/12: JAP-Luchthaven totaal USD 70 voor 2012-2015 (DWT 13/7/2012)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807" authorId="0">
      <text>
        <r>
          <rPr>
            <b/>
            <sz val="8"/>
            <color indexed="81"/>
            <rFont val="Tahoma"/>
            <family val="2"/>
          </rPr>
          <t>13/7/12: JAP-Luchthaven totaal USD 70 voor 2012-2015 (DWT 13/7/2012)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807" authorId="0">
      <text>
        <r>
          <rPr>
            <b/>
            <sz val="8"/>
            <color indexed="81"/>
            <rFont val="Tahoma"/>
            <family val="2"/>
          </rPr>
          <t>13/7/12: JAP-Luchthaven totaal USD 70 voor 2012-2015 (DWT 13/7/2012)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826" authorId="9">
      <text>
        <r>
          <rPr>
            <sz val="8"/>
            <color indexed="81"/>
            <rFont val="Tahoma"/>
            <family val="2"/>
          </rPr>
          <t xml:space="preserve">Bron: Staatsolie
vanwege daling winst cbvs en dividend staatsolie </t>
        </r>
      </text>
    </comment>
    <comment ref="BE831" authorId="4">
      <text>
        <r>
          <rPr>
            <b/>
            <sz val="9"/>
            <color indexed="81"/>
            <rFont val="Tahoma"/>
            <family val="2"/>
          </rPr>
          <t xml:space="preserve">even gezet op helft van weredmartktprijs
</t>
        </r>
      </text>
    </comment>
    <comment ref="BO831" authorId="4">
      <text>
        <r>
          <rPr>
            <b/>
            <sz val="9"/>
            <color indexed="81"/>
            <rFont val="Tahoma"/>
            <family val="2"/>
          </rPr>
          <t xml:space="preserve">Omdat Rosebel geen winst maakt, ligt de kostprijs kennelijk dicht bij de marktprijs
</t>
        </r>
      </text>
    </comment>
    <comment ref="B849" authorId="5">
      <text>
        <r>
          <rPr>
            <b/>
            <sz val="8"/>
            <color indexed="81"/>
            <rFont val="Tahoma"/>
            <family val="2"/>
          </rPr>
          <t>17/2/11: Bron: IAMGold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850" authorId="5">
      <text>
        <r>
          <rPr>
            <b/>
            <sz val="8"/>
            <color indexed="81"/>
            <rFont val="Tahoma"/>
            <family val="2"/>
          </rPr>
          <t>25/6/12: Bron: IAMGold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850" authorId="5">
      <text>
        <r>
          <rPr>
            <b/>
            <sz val="8"/>
            <color indexed="81"/>
            <rFont val="Tahoma"/>
            <family val="2"/>
          </rPr>
          <t>25/6/12: Bron: IAMGold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850" authorId="5">
      <text>
        <r>
          <rPr>
            <b/>
            <sz val="8"/>
            <color indexed="81"/>
            <rFont val="Tahoma"/>
            <family val="2"/>
          </rPr>
          <t>25/6/12: Bron: IAMGold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850" authorId="5">
      <text>
        <r>
          <rPr>
            <b/>
            <sz val="8"/>
            <color indexed="81"/>
            <rFont val="Tahoma"/>
            <family val="2"/>
          </rPr>
          <t>25/6/12: Bron: IAMGold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850" authorId="5">
      <text>
        <r>
          <rPr>
            <b/>
            <sz val="8"/>
            <color indexed="81"/>
            <rFont val="Tahoma"/>
            <family val="2"/>
          </rPr>
          <t>25/6/12: Bron: IAMGold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850" authorId="5">
      <text>
        <r>
          <rPr>
            <b/>
            <sz val="8"/>
            <color indexed="81"/>
            <rFont val="Tahoma"/>
            <family val="2"/>
          </rPr>
          <t>25/6/12: Bron: IAMGold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850" authorId="5">
      <text>
        <r>
          <rPr>
            <b/>
            <sz val="8"/>
            <color indexed="81"/>
            <rFont val="Tahoma"/>
            <family val="2"/>
          </rPr>
          <t>25/6/12: Bron: IAMGold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854" authorId="0">
      <text>
        <r>
          <rPr>
            <b/>
            <sz val="8"/>
            <color indexed="81"/>
            <rFont val="Tahoma"/>
            <family val="2"/>
          </rPr>
          <t>31/7/2014: T/m eind 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856" authorId="0">
      <text>
        <r>
          <rPr>
            <b/>
            <sz val="8"/>
            <color indexed="81"/>
            <rFont val="Tahoma"/>
            <family val="2"/>
          </rPr>
          <t>31/7/2014: T/m eind 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872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BM873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BM874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BM875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BM876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BM877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BL879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BM879" authorId="5">
      <text>
        <r>
          <rPr>
            <b/>
            <sz val="8"/>
            <color indexed="81"/>
            <rFont val="Tahoma"/>
            <family val="2"/>
          </rPr>
          <t>7/3/2014: Bron: DWT 28/2/2014: Overheidskrant/tabel Deviezencommissie</t>
        </r>
      </text>
    </comment>
    <comment ref="D964" authorId="8">
      <text>
        <r>
          <rPr>
            <b/>
            <sz val="8"/>
            <color indexed="81"/>
            <rFont val="Tahoma"/>
            <family val="2"/>
          </rPr>
          <t>18/2/10: Tabel 2010-2015: Toelicting recente updat S.O.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966" authorId="0">
      <text>
        <r>
          <rPr>
            <b/>
            <sz val="8"/>
            <color indexed="81"/>
            <rFont val="Tahoma"/>
            <family val="2"/>
          </rPr>
          <t>Bron: Staatsolie (20/2/2013)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966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966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966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966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966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966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966" authorId="0">
      <text>
        <r>
          <rPr>
            <b/>
            <sz val="8"/>
            <color indexed="81"/>
            <rFont val="Tahoma"/>
            <family val="2"/>
          </rPr>
          <t>Bron: Staatsolie (4/2/2014); peildatum 29/1/2014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970" authorId="5">
      <text>
        <r>
          <rPr>
            <b/>
            <sz val="8"/>
            <color indexed="81"/>
            <rFont val="Tahoma"/>
            <family val="2"/>
          </rPr>
          <t>25/3/2011: Bron: Staatsolie,CBvS/(Menke)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970" authorId="5">
      <text>
        <r>
          <rPr>
            <b/>
            <sz val="8"/>
            <color indexed="81"/>
            <rFont val="Tahoma"/>
            <family val="2"/>
          </rPr>
          <t>25/3/2011: Bron: Staatsolie,CBvS/(Menke)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970" authorId="5">
      <text>
        <r>
          <rPr>
            <b/>
            <sz val="8"/>
            <color indexed="81"/>
            <rFont val="Tahoma"/>
            <family val="2"/>
          </rPr>
          <t>25/3/2011:  schatting SPS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970" authorId="5">
      <text>
        <r>
          <rPr>
            <b/>
            <sz val="8"/>
            <color indexed="81"/>
            <rFont val="Tahoma"/>
            <family val="2"/>
          </rPr>
          <t>25/3/2011:  schatting SPS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970" authorId="5">
      <text>
        <r>
          <rPr>
            <b/>
            <sz val="8"/>
            <color indexed="81"/>
            <rFont val="Tahoma"/>
            <family val="2"/>
          </rPr>
          <t>25/3/2011:  schatting SPS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71" authorId="5">
      <text>
        <r>
          <rPr>
            <b/>
            <sz val="8"/>
            <color indexed="81"/>
            <rFont val="Tahoma"/>
            <family val="2"/>
          </rPr>
          <t>25/3/2011: Bron: Staatsolie/(Menke)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971" authorId="5">
      <text>
        <r>
          <rPr>
            <b/>
            <sz val="8"/>
            <color indexed="81"/>
            <rFont val="Tahoma"/>
            <family val="2"/>
          </rPr>
          <t>25/3/2011: Bron: Staatsolie/(Menke)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971" authorId="5">
      <text>
        <r>
          <rPr>
            <b/>
            <sz val="8"/>
            <color indexed="81"/>
            <rFont val="Tahoma"/>
            <family val="2"/>
          </rPr>
          <t>25/3/2011: Bron: Staatsolie/(Menke)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971" authorId="5">
      <text>
        <r>
          <rPr>
            <b/>
            <sz val="8"/>
            <color indexed="81"/>
            <rFont val="Tahoma"/>
            <family val="2"/>
          </rPr>
          <t>25/3/2011: Bron: Staatsolie/(Menke)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971" authorId="5">
      <text>
        <r>
          <rPr>
            <b/>
            <sz val="8"/>
            <color indexed="81"/>
            <rFont val="Tahoma"/>
            <family val="2"/>
          </rPr>
          <t>25/3/2011: Bron: Staatsolie/(Menke)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971" authorId="5">
      <text>
        <r>
          <rPr>
            <b/>
            <sz val="8"/>
            <color indexed="81"/>
            <rFont val="Tahoma"/>
            <family val="2"/>
          </rPr>
          <t>25/3/2011: Bron: Staatsolie/(Menke)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977" authorId="0">
      <text>
        <r>
          <rPr>
            <b/>
            <sz val="8"/>
            <color indexed="81"/>
            <rFont val="Tahoma"/>
            <family val="2"/>
          </rPr>
          <t>DWT 8/1/2014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977" authorId="0">
      <text>
        <r>
          <rPr>
            <b/>
            <sz val="8"/>
            <color indexed="81"/>
            <rFont val="Tahoma"/>
            <family val="2"/>
          </rPr>
          <t>DWT 8/1/2014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979" authorId="2">
      <text>
        <r>
          <rPr>
            <b/>
            <sz val="8"/>
            <color indexed="81"/>
            <rFont val="Tahoma"/>
            <family val="2"/>
          </rPr>
          <t xml:space="preserve"> 31/1/11: Bron: Jaarverslag Staatsolie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89" authorId="1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Referenctie prijs $/bbl.</t>
        </r>
      </text>
    </comment>
    <comment ref="BO102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102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102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102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102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102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037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P1037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Q1037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R1037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S1037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T1037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O1051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P1051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Q1051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R1051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S1051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T1051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O1054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P1054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Q1054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R1054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S1054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T1054" authorId="0">
      <text>
        <r>
          <rPr>
            <b/>
            <sz val="8"/>
            <color indexed="81"/>
            <rFont val="Tahoma"/>
            <family val="2"/>
          </rPr>
          <t xml:space="preserve">9/12/2015: SO data: Staatsolie projecties </t>
        </r>
      </text>
    </comment>
    <comment ref="BO1062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62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62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62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62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62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63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63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63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63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63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63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64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64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64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64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64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64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6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6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6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6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6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6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6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6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6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6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6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6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67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67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67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67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67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67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N1070" authorId="0">
      <text>
        <r>
          <rPr>
            <b/>
            <sz val="8"/>
            <color indexed="81"/>
            <rFont val="Tahoma"/>
            <family val="2"/>
          </rPr>
          <t>6/8/2015: Bron: Staatsolie</t>
        </r>
      </text>
    </comment>
    <comment ref="BO107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7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7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7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7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7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71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71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71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71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71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71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N1072" authorId="0">
      <text>
        <r>
          <rPr>
            <b/>
            <sz val="8"/>
            <color indexed="81"/>
            <rFont val="Tahoma"/>
            <family val="2"/>
          </rPr>
          <t>6/8/2015: Bron: Staatsolie</t>
        </r>
      </text>
    </comment>
    <comment ref="BO1072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1072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1072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1072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1072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1072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1074" authorId="0">
      <text>
        <r>
          <rPr>
            <b/>
            <sz val="8"/>
            <color indexed="81"/>
            <rFont val="Tahoma"/>
            <family val="2"/>
          </rPr>
          <t>6/8/2015: Bron: Staatsolie</t>
        </r>
      </text>
    </comment>
    <comment ref="BO107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7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7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7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7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7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7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7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7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7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7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76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K1078" authorId="0">
      <text>
        <r>
          <rPr>
            <b/>
            <sz val="8"/>
            <color indexed="81"/>
            <rFont val="Tahoma"/>
            <family val="2"/>
          </rPr>
          <t>21/5/14: in SRD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078" authorId="0">
      <text>
        <r>
          <rPr>
            <b/>
            <sz val="8"/>
            <color indexed="81"/>
            <rFont val="Tahoma"/>
            <family val="2"/>
          </rPr>
          <t>21/5/14: in SRD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078" authorId="0">
      <text>
        <r>
          <rPr>
            <b/>
            <sz val="8"/>
            <color indexed="81"/>
            <rFont val="Tahoma"/>
            <family val="2"/>
          </rPr>
          <t>21/5/14: in SRD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078" authorId="0">
      <text>
        <r>
          <rPr>
            <b/>
            <sz val="8"/>
            <color indexed="81"/>
            <rFont val="Tahoma"/>
            <family val="2"/>
          </rPr>
          <t>21/5/14: excl. bitumen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1078" authorId="0">
      <text>
        <r>
          <rPr>
            <b/>
            <sz val="8"/>
            <color indexed="81"/>
            <rFont val="Tahoma"/>
            <family val="2"/>
          </rPr>
          <t>21/5/14: excl. bitumen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1078" authorId="0">
      <text>
        <r>
          <rPr>
            <b/>
            <sz val="8"/>
            <color indexed="81"/>
            <rFont val="Tahoma"/>
            <family val="2"/>
          </rPr>
          <t>21/5/14: excl. bitumen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1078" authorId="0">
      <text>
        <r>
          <rPr>
            <b/>
            <sz val="8"/>
            <color indexed="81"/>
            <rFont val="Tahoma"/>
            <family val="2"/>
          </rPr>
          <t>21/5/14: excl. bitumen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1078" authorId="0">
      <text>
        <r>
          <rPr>
            <b/>
            <sz val="8"/>
            <color indexed="81"/>
            <rFont val="Tahoma"/>
            <family val="2"/>
          </rPr>
          <t>21/5/14: excl. bitumen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1078" authorId="0">
      <text>
        <r>
          <rPr>
            <b/>
            <sz val="8"/>
            <color indexed="81"/>
            <rFont val="Tahoma"/>
            <family val="2"/>
          </rPr>
          <t>21/5/14: excl. bitumen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U1078" authorId="0">
      <text>
        <r>
          <rPr>
            <b/>
            <sz val="8"/>
            <color indexed="81"/>
            <rFont val="Tahoma"/>
            <family val="2"/>
          </rPr>
          <t>21/5/14: excl. bitumen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08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8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8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8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8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8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8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8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Q108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R108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S108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T108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O1089" authorId="0">
      <text>
        <r>
          <rPr>
            <b/>
            <sz val="8"/>
            <color indexed="81"/>
            <rFont val="Tahoma"/>
            <family val="2"/>
          </rPr>
          <t>5/1/2015: Bron Staatsolie (deze prijs volgt de prijs van brentolie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P108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Q108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R108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108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1089" authorId="0">
      <text>
        <r>
          <rPr>
            <b/>
            <sz val="8"/>
            <color indexed="81"/>
            <rFont val="Tahoma"/>
            <family val="2"/>
          </rPr>
          <t>5/8/2015: SO data 15-20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O1090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90" authorId="0">
      <text>
        <r>
          <rPr>
            <b/>
            <sz val="8"/>
            <color indexed="81"/>
            <rFont val="Tahoma"/>
            <family val="2"/>
          </rPr>
          <t>5/1/2016: Bron: Staatsolie</t>
        </r>
      </text>
    </comment>
    <comment ref="BQ1090" authorId="0">
      <text>
        <r>
          <rPr>
            <b/>
            <sz val="8"/>
            <color indexed="81"/>
            <rFont val="Tahoma"/>
            <family val="2"/>
          </rPr>
          <t>3/12/2015: SO data: Staatsolie projecties (68.3)</t>
        </r>
      </text>
    </comment>
    <comment ref="BR1090" authorId="0">
      <text>
        <r>
          <rPr>
            <b/>
            <sz val="8"/>
            <color indexed="81"/>
            <rFont val="Tahoma"/>
            <family val="2"/>
          </rPr>
          <t>3/12/2015: SO data: Staatsolie projecties  (73.8)</t>
        </r>
      </text>
    </comment>
    <comment ref="BS1090" authorId="0">
      <text>
        <r>
          <rPr>
            <b/>
            <sz val="8"/>
            <color indexed="81"/>
            <rFont val="Tahoma"/>
            <family val="2"/>
          </rPr>
          <t>3/12/2015: SO data: Staatsolie projecties (80.1)</t>
        </r>
      </text>
    </comment>
    <comment ref="BT1090" authorId="0">
      <text>
        <r>
          <rPr>
            <b/>
            <sz val="8"/>
            <color indexed="81"/>
            <rFont val="Tahoma"/>
            <family val="2"/>
          </rPr>
          <t>3/12/2015: SO data: Staatsolie projecties (86.5)</t>
        </r>
      </text>
    </comment>
    <comment ref="BN1092" authorId="4">
      <text>
        <r>
          <rPr>
            <b/>
            <sz val="9"/>
            <color indexed="81"/>
            <rFont val="Tahoma"/>
            <family val="2"/>
          </rPr>
          <t xml:space="preserve">geprikt op basis eerdee som 2015
</t>
        </r>
      </text>
    </comment>
    <comment ref="BO1095" authorId="0">
      <text>
        <r>
          <rPr>
            <b/>
            <sz val="8"/>
            <color indexed="81"/>
            <rFont val="Tahoma"/>
            <family val="2"/>
          </rPr>
          <t xml:space="preserve">3/12/2015: SO data: Staatsolie projecties </t>
        </r>
      </text>
    </comment>
    <comment ref="BP1095" authorId="0">
      <text>
        <r>
          <rPr>
            <b/>
            <sz val="8"/>
            <color indexed="81"/>
            <rFont val="Tahoma"/>
            <family val="2"/>
          </rPr>
          <t>3/12/2015: SO data: Staatsolie projecties (77.6)</t>
        </r>
      </text>
    </comment>
    <comment ref="BQ1095" authorId="0">
      <text>
        <r>
          <rPr>
            <b/>
            <sz val="8"/>
            <color indexed="81"/>
            <rFont val="Tahoma"/>
            <family val="2"/>
          </rPr>
          <t>3/12/2015: SO data: Staatsolie projecties (91.6)</t>
        </r>
      </text>
    </comment>
    <comment ref="BR1095" authorId="0">
      <text>
        <r>
          <rPr>
            <b/>
            <sz val="8"/>
            <color indexed="81"/>
            <rFont val="Tahoma"/>
            <family val="2"/>
          </rPr>
          <t>3/12/2015: SO data: Staatsolie projecties (97.0)</t>
        </r>
      </text>
    </comment>
    <comment ref="BS1095" authorId="0">
      <text>
        <r>
          <rPr>
            <b/>
            <sz val="8"/>
            <color indexed="81"/>
            <rFont val="Tahoma"/>
            <family val="2"/>
          </rPr>
          <t>3/12/2015: SO data: Staatsolie projecties (103.7)</t>
        </r>
      </text>
    </comment>
    <comment ref="BT1095" authorId="0">
      <text>
        <r>
          <rPr>
            <b/>
            <sz val="8"/>
            <color indexed="81"/>
            <rFont val="Tahoma"/>
            <family val="2"/>
          </rPr>
          <t>3/12/2015: SO data: Staatsolie projecties (110.7)</t>
        </r>
      </text>
    </comment>
    <comment ref="BN1121" authorId="0">
      <text>
        <r>
          <rPr>
            <b/>
            <sz val="8"/>
            <color indexed="81"/>
            <rFont val="Tahoma"/>
            <family val="2"/>
          </rPr>
          <t>7/8/2015: Aangezien de nieuwe raffinaderij in December 2014 van start ging, werden de import vervangende producten pas in 2015 geproduceerd</t>
        </r>
      </text>
    </comment>
    <comment ref="BO1123" authorId="15">
      <text>
        <r>
          <rPr>
            <sz val="9"/>
            <color indexed="81"/>
            <rFont val="Tahoma"/>
            <family val="2"/>
          </rPr>
          <t xml:space="preserve">14/3/2014Assumptie:De waarden van de SO producten die lokaal worden gebruikt, worden afgetrokken van de totale importen
Het gaat om efect in constante prijzen, daarom lokale afzet t-1 *  olieprijs t/olieprijst-1
</t>
        </r>
      </text>
    </comment>
    <comment ref="BP1123" authorId="15">
      <text>
        <r>
          <rPr>
            <sz val="9"/>
            <color indexed="81"/>
            <rFont val="Tahoma"/>
            <family val="2"/>
          </rPr>
          <t>14/3/2014Assumptie:De waarden van de SO producten die lokaal worden gebruikt, worden afgetrokken van de totale importen</t>
        </r>
      </text>
    </comment>
    <comment ref="BQ1123" authorId="15">
      <text>
        <r>
          <rPr>
            <sz val="9"/>
            <color indexed="81"/>
            <rFont val="Tahoma"/>
            <family val="2"/>
          </rPr>
          <t>14/3/2014Assumptie:De waarden van de SO producten die lokaal worden gebruikt, worden afgetrokken van de totale importen</t>
        </r>
      </text>
    </comment>
    <comment ref="BR1123" authorId="15">
      <text>
        <r>
          <rPr>
            <sz val="9"/>
            <color indexed="81"/>
            <rFont val="Tahoma"/>
            <family val="2"/>
          </rPr>
          <t>14/3/2014Assumptie:De waarden van de SO producten die lokaal worden gebruikt, worden afgetrokken van de totale importen</t>
        </r>
      </text>
    </comment>
    <comment ref="BS1123" authorId="15">
      <text>
        <r>
          <rPr>
            <sz val="9"/>
            <color indexed="81"/>
            <rFont val="Tahoma"/>
            <family val="2"/>
          </rPr>
          <t>14/3/2014Assumptie:De waarden van de SO producten die lokaal worden gebruikt, worden afgetrokken van de totale importen</t>
        </r>
      </text>
    </comment>
    <comment ref="BT1123" authorId="15">
      <text>
        <r>
          <rPr>
            <sz val="9"/>
            <color indexed="81"/>
            <rFont val="Tahoma"/>
            <family val="2"/>
          </rPr>
          <t>7//8/2015Assumptie:De waarden van de SO producten die lokaal worden gebruikt, worden afgetrokken van de totale importen</t>
        </r>
      </text>
    </comment>
    <comment ref="BU1123" authorId="15">
      <text>
        <r>
          <rPr>
            <sz val="9"/>
            <color indexed="81"/>
            <rFont val="Tahoma"/>
            <family val="2"/>
          </rPr>
          <t>14/3/2014Assumptie:De waarden van de SO producten die lokaal worden gebruikt, worden afgetrokken van de totale importen</t>
        </r>
      </text>
    </comment>
    <comment ref="B1127" authorId="0">
      <text>
        <r>
          <rPr>
            <b/>
            <sz val="8"/>
            <color indexed="81"/>
            <rFont val="Tahoma"/>
            <family val="2"/>
          </rPr>
          <t>21/5/2014: Excl. exporten suiker en ethanol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  <author>hoepel.i</author>
    <author>compaq CQ61</author>
  </authors>
  <commentList>
    <comment ref="BS1" authorId="0">
      <text>
        <r>
          <rPr>
            <b/>
            <sz val="8"/>
            <color indexed="81"/>
            <rFont val="Tahoma"/>
            <family val="2"/>
          </rPr>
          <t>31/1/11: maatr. Conf overheidsbegr 2011, incl koersaanp en aanpass. governmenttake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M1" authorId="0">
      <text>
        <r>
          <rPr>
            <b/>
            <sz val="8"/>
            <color indexed="81"/>
            <rFont val="Tahoma"/>
            <family val="2"/>
          </rPr>
          <t>31/1/11: maatr. Conf overheidsbegr 2011, incl koersaanp en aanpass. governmenttake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O1" authorId="0">
      <text>
        <r>
          <rPr>
            <b/>
            <sz val="8"/>
            <color indexed="81"/>
            <rFont val="Tahoma"/>
            <family val="2"/>
          </rPr>
          <t>31/1/11: maatr. Conf overheidsbegr 2011, incl koersaanp en aanpass. governmenttake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S1" authorId="0">
      <text>
        <r>
          <rPr>
            <b/>
            <sz val="8"/>
            <color indexed="81"/>
            <rFont val="Tahoma"/>
            <family val="2"/>
          </rPr>
          <t>31/1/11: maatr. Conf overheidsbegr 2011, incl koersaanp en aanpass. governmenttake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5" authorId="1">
      <text>
        <r>
          <rPr>
            <b/>
            <sz val="8"/>
            <color indexed="81"/>
            <rFont val="Tahoma"/>
            <family val="2"/>
          </rPr>
          <t>6/1/2015: Bauxiet expert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5" authorId="1">
      <text>
        <r>
          <rPr>
            <b/>
            <sz val="8"/>
            <color indexed="81"/>
            <rFont val="Tahoma"/>
            <family val="2"/>
          </rPr>
          <t>6/1/2015: Bauxiet expert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Y5" authorId="1">
      <text>
        <r>
          <rPr>
            <b/>
            <sz val="8"/>
            <color indexed="81"/>
            <rFont val="Tahoma"/>
            <family val="2"/>
          </rPr>
          <t>6/1/2015: Bauxiet expert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Z5" authorId="1">
      <text>
        <r>
          <rPr>
            <b/>
            <sz val="8"/>
            <color indexed="81"/>
            <rFont val="Tahoma"/>
            <family val="2"/>
          </rPr>
          <t>6/1/2015: Bauxiet expert</t>
        </r>
        <r>
          <rPr>
            <sz val="8"/>
            <color indexed="81"/>
            <rFont val="Tahoma"/>
            <family val="2"/>
          </rPr>
          <t xml:space="preserve">
+200</t>
        </r>
      </text>
    </comment>
    <comment ref="BS5" authorId="1">
      <text>
        <r>
          <rPr>
            <b/>
            <sz val="8"/>
            <color indexed="81"/>
            <rFont val="Tahoma"/>
            <family val="2"/>
          </rPr>
          <t xml:space="preserve"> 7/11/2014: de Exporten zullen in 2015 afnemen met 67%</t>
        </r>
      </text>
    </comment>
    <comment ref="CO5" authorId="1">
      <text>
        <r>
          <rPr>
            <b/>
            <sz val="8"/>
            <color indexed="81"/>
            <rFont val="Tahoma"/>
            <family val="2"/>
          </rPr>
          <t xml:space="preserve"> 7/11/2014: de Exporten zullen in 2015 afnemen met 67%</t>
        </r>
      </text>
    </comment>
    <comment ref="CU5" authorId="1">
      <text>
        <r>
          <rPr>
            <b/>
            <sz val="8"/>
            <color indexed="81"/>
            <rFont val="Tahoma"/>
            <family val="2"/>
          </rPr>
          <t>Scenario1:exportvolume op 360 mt</t>
        </r>
        <r>
          <rPr>
            <sz val="8"/>
            <color indexed="81"/>
            <rFont val="Tahoma"/>
            <family val="2"/>
          </rPr>
          <t xml:space="preserve">
per 1 juli 2014
</t>
        </r>
      </text>
    </comment>
    <comment ref="CV5" authorId="1">
      <text>
        <r>
          <rPr>
            <b/>
            <sz val="8"/>
            <color indexed="81"/>
            <rFont val="Tahoma"/>
            <family val="2"/>
          </rPr>
          <t xml:space="preserve"> 7/11/2014: de Exporten zullen in 2015 afnemen met 67%</t>
        </r>
      </text>
    </comment>
    <comment ref="FD5" authorId="1">
      <text>
        <r>
          <rPr>
            <b/>
            <sz val="8"/>
            <color indexed="81"/>
            <rFont val="Tahoma"/>
            <family val="2"/>
          </rPr>
          <t>Scenario1:exportvolume op 360 mt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M5" authorId="1">
      <text>
        <r>
          <rPr>
            <b/>
            <sz val="8"/>
            <color indexed="81"/>
            <rFont val="Tahoma"/>
            <family val="2"/>
          </rPr>
          <t>Scenario1:exportvolume op 360 mt</t>
        </r>
        <r>
          <rPr>
            <sz val="8"/>
            <color indexed="81"/>
            <rFont val="Tahoma"/>
            <family val="2"/>
          </rPr>
          <t xml:space="preserve">
per 1 juli 2014
</t>
        </r>
      </text>
    </comment>
    <comment ref="BS7" authorId="1">
      <text>
        <r>
          <rPr>
            <b/>
            <sz val="8"/>
            <color indexed="81"/>
            <rFont val="Tahoma"/>
            <family val="2"/>
          </rPr>
          <t>13/11/2014 Exporten  Newmont</t>
        </r>
      </text>
    </comment>
    <comment ref="CO7" authorId="1">
      <text>
        <r>
          <rPr>
            <b/>
            <sz val="8"/>
            <color indexed="81"/>
            <rFont val="Tahoma"/>
            <family val="2"/>
          </rPr>
          <t>13/11/2014 Exporten  Newmont</t>
        </r>
      </text>
    </comment>
    <comment ref="CX7" authorId="1">
      <text>
        <r>
          <rPr>
            <b/>
            <sz val="8"/>
            <color indexed="81"/>
            <rFont val="Tahoma"/>
            <family val="2"/>
          </rPr>
          <t>13/11/2014 Exporten  Newmont</t>
        </r>
      </text>
    </comment>
    <comment ref="FM7" authorId="1">
      <text>
        <r>
          <rPr>
            <b/>
            <sz val="8"/>
            <color indexed="81"/>
            <rFont val="Tahoma"/>
            <family val="2"/>
          </rPr>
          <t>Scenario1:exportvolume op 360 mt</t>
        </r>
        <r>
          <rPr>
            <sz val="8"/>
            <color indexed="81"/>
            <rFont val="Tahoma"/>
            <family val="2"/>
          </rPr>
          <t xml:space="preserve">
per 1 juli 2014
</t>
        </r>
      </text>
    </comment>
    <comment ref="W9" authorId="1">
      <text>
        <r>
          <rPr>
            <b/>
            <sz val="8"/>
            <color indexed="81"/>
            <rFont val="Tahoma"/>
            <family val="2"/>
          </rPr>
          <t>15/10/2015: bron LVV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9" authorId="1">
      <text>
        <r>
          <rPr>
            <b/>
            <sz val="8"/>
            <color indexed="81"/>
            <rFont val="Tahoma"/>
            <family val="2"/>
          </rPr>
          <t>15/10/2015: bron LVV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10" authorId="1">
      <text>
        <r>
          <rPr>
            <b/>
            <sz val="8"/>
            <color indexed="81"/>
            <rFont val="Tahoma"/>
            <family val="2"/>
          </rPr>
          <t>15/10/2015: schade aanplant a.g.v. Mocobacterie (bron:LVV)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M16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N16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O16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FP16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FQ16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FR16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FS16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FT16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BS18" authorId="1">
      <text>
        <r>
          <rPr>
            <b/>
            <sz val="8"/>
            <color indexed="81"/>
            <rFont val="Tahoma"/>
            <family val="2"/>
          </rPr>
          <t xml:space="preserve"> 7/11/2014: de investeringen zullen in 2015 afnemen met 67%</t>
        </r>
      </text>
    </comment>
    <comment ref="CO18" authorId="1">
      <text>
        <r>
          <rPr>
            <b/>
            <sz val="8"/>
            <color indexed="81"/>
            <rFont val="Tahoma"/>
            <family val="2"/>
          </rPr>
          <t xml:space="preserve"> 7/11/2014: de investeringen zullen in 2015 afnemen met 67%</t>
        </r>
      </text>
    </comment>
    <comment ref="CU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CV18" authorId="1">
      <text>
        <r>
          <rPr>
            <b/>
            <sz val="8"/>
            <color indexed="81"/>
            <rFont val="Tahoma"/>
            <family val="2"/>
          </rPr>
          <t xml:space="preserve"> 7/11/2014: de investeringen zullen in 2015 afnemen met 67%</t>
        </r>
      </text>
    </comment>
    <comment ref="CW18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CX18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CY18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CZ18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DA18" authorId="1">
      <text>
        <r>
          <rPr>
            <b/>
            <sz val="8"/>
            <color indexed="81"/>
            <rFont val="Tahoma"/>
            <family val="2"/>
          </rPr>
          <t>vanaf 2016 geen investeringen aluinaardesector</t>
        </r>
      </text>
    </comment>
    <comment ref="FD18" authorId="1">
      <text>
        <r>
          <rPr>
            <b/>
            <sz val="8"/>
            <color indexed="81"/>
            <rFont val="Tahoma"/>
            <family val="2"/>
          </rPr>
          <t>Scenario2: de investeringen blijven vanaf 2013 constant</t>
        </r>
      </text>
    </comment>
    <comment ref="FE18" authorId="1">
      <text>
        <r>
          <rPr>
            <b/>
            <sz val="8"/>
            <color indexed="81"/>
            <rFont val="Tahoma"/>
            <family val="2"/>
          </rPr>
          <t>Scenario2: de investeringen blijven vanaf 2013 constant</t>
        </r>
      </text>
    </comment>
    <comment ref="FF18" authorId="1">
      <text>
        <r>
          <rPr>
            <b/>
            <sz val="8"/>
            <color indexed="81"/>
            <rFont val="Tahoma"/>
            <family val="2"/>
          </rPr>
          <t>Scenario2: de investeringen blijven vanaf 2013 constant</t>
        </r>
      </text>
    </comment>
    <comment ref="FG18" authorId="1">
      <text>
        <r>
          <rPr>
            <b/>
            <sz val="8"/>
            <color indexed="81"/>
            <rFont val="Tahoma"/>
            <family val="2"/>
          </rPr>
          <t>Scenario2: de investeringen blijven vanaf 2013 constant</t>
        </r>
      </text>
    </comment>
    <comment ref="FH18" authorId="1">
      <text>
        <r>
          <rPr>
            <b/>
            <sz val="8"/>
            <color indexed="81"/>
            <rFont val="Tahoma"/>
            <family val="2"/>
          </rPr>
          <t>Scenario2: de investeringen blijven vanaf 2013 constant</t>
        </r>
      </text>
    </comment>
    <comment ref="FI18" authorId="1">
      <text>
        <r>
          <rPr>
            <b/>
            <sz val="8"/>
            <color indexed="81"/>
            <rFont val="Tahoma"/>
            <family val="2"/>
          </rPr>
          <t>Scenario2: de investeringen blijven vanaf 2013 constant</t>
        </r>
      </text>
    </comment>
    <comment ref="FJ18" authorId="1">
      <text>
        <r>
          <rPr>
            <b/>
            <sz val="8"/>
            <color indexed="81"/>
            <rFont val="Tahoma"/>
            <family val="2"/>
          </rPr>
          <t>Scenario2: de investeringen blijven vanaf 2013 constant</t>
        </r>
      </text>
    </comment>
    <comment ref="FK18" authorId="1">
      <text>
        <r>
          <rPr>
            <b/>
            <sz val="8"/>
            <color indexed="81"/>
            <rFont val="Tahoma"/>
            <family val="2"/>
          </rPr>
          <t>Scenario2: de investeringen blijven vanaf 2013 constant</t>
        </r>
      </text>
    </comment>
    <comment ref="FM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N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O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P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Q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R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S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FT18" authorId="1">
      <text>
        <r>
          <rPr>
            <b/>
            <sz val="8"/>
            <color indexed="81"/>
            <rFont val="Tahoma"/>
            <family val="2"/>
          </rPr>
          <t xml:space="preserve"> de investeringen blijven vanaf 2013 constant</t>
        </r>
      </text>
    </comment>
    <comment ref="BS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U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O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P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Q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R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X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Y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Z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A20" authorId="1">
      <text>
        <r>
          <rPr>
            <b/>
            <sz val="8"/>
            <color indexed="81"/>
            <rFont val="Tahoma"/>
            <family val="2"/>
          </rPr>
          <t>13/11/2014: Invest Newmont (tot USD 900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D23" authorId="1">
      <text>
        <r>
          <rPr>
            <b/>
            <sz val="8"/>
            <color indexed="81"/>
            <rFont val="Tahoma"/>
            <family val="2"/>
          </rPr>
          <t>Scenario6: de investeringen van Suralco  tbv Nassau; de overheidsinveste-ring (r44)moet ook meegenomen worden</t>
        </r>
      </text>
    </comment>
    <comment ref="FE23" authorId="1">
      <text>
        <r>
          <rPr>
            <b/>
            <sz val="8"/>
            <color indexed="81"/>
            <rFont val="Tahoma"/>
            <family val="2"/>
          </rPr>
          <t>Scenario6: de investeringen van Suralco  tbv Nassau; de overheidsinveste-ring (r44)moet ook meegenomen worden</t>
        </r>
      </text>
    </comment>
    <comment ref="FF23" authorId="1">
      <text>
        <r>
          <rPr>
            <b/>
            <sz val="8"/>
            <color indexed="81"/>
            <rFont val="Tahoma"/>
            <family val="2"/>
          </rPr>
          <t>Scenario6: de investeringen van Suralco  tbv Nassau; de overheidsinveste-ring (r44)moet ook meegenomen worden</t>
        </r>
      </text>
    </comment>
    <comment ref="FG23" authorId="1">
      <text>
        <r>
          <rPr>
            <b/>
            <sz val="8"/>
            <color indexed="81"/>
            <rFont val="Tahoma"/>
            <family val="2"/>
          </rPr>
          <t>Scenario6: de investeringen van Suralco  tbv Nassau; de overheidsinveste-ring (r44)moet ook meegenomen worden</t>
        </r>
      </text>
    </comment>
    <comment ref="FH23" authorId="1">
      <text>
        <r>
          <rPr>
            <b/>
            <sz val="8"/>
            <color indexed="81"/>
            <rFont val="Tahoma"/>
            <family val="2"/>
          </rPr>
          <t>Scenario6: de investeringen van Suralco  tbv Nassau; de overheidsinveste-ring (r44)moet ook meegenomen worden</t>
        </r>
      </text>
    </comment>
    <comment ref="FI23" authorId="1">
      <text>
        <r>
          <rPr>
            <b/>
            <sz val="8"/>
            <color indexed="81"/>
            <rFont val="Tahoma"/>
            <family val="2"/>
          </rPr>
          <t>Scenario6: de investeringen van Suralco  tbv Nassau; de overheidsinveste-ring (r44)moet ook meegenomen worden</t>
        </r>
      </text>
    </comment>
    <comment ref="FJ23" authorId="1">
      <text>
        <r>
          <rPr>
            <b/>
            <sz val="8"/>
            <color indexed="81"/>
            <rFont val="Tahoma"/>
            <family val="2"/>
          </rPr>
          <t>Scenario6: de investeringen van Suralco  tbv Nassau; de overheidsinveste-ring (r44)moet ook meegenomen worden</t>
        </r>
      </text>
    </comment>
    <comment ref="FK23" authorId="1">
      <text>
        <r>
          <rPr>
            <b/>
            <sz val="8"/>
            <color indexed="81"/>
            <rFont val="Tahoma"/>
            <family val="2"/>
          </rPr>
          <t>Scenario6: de investeringen van Suralco  tbv Nassau; de overheidsinveste-ring (r44)moet ook meegenomen worden</t>
        </r>
      </text>
    </comment>
    <comment ref="BS33" authorId="1">
      <text>
        <r>
          <rPr>
            <sz val="8"/>
            <color indexed="81"/>
            <rFont val="Tahoma"/>
            <family val="2"/>
          </rPr>
          <t xml:space="preserve">Goudprijs daalt naar USD1200/ troy-ounce
</t>
        </r>
      </text>
    </comment>
    <comment ref="BT33" authorId="1">
      <text>
        <r>
          <rPr>
            <sz val="8"/>
            <color indexed="81"/>
            <rFont val="Tahoma"/>
            <family val="2"/>
          </rPr>
          <t xml:space="preserve">Goudprijs daalt naar USD1100/ troy-ounce
</t>
        </r>
      </text>
    </comment>
    <comment ref="CO33" authorId="1">
      <text>
        <r>
          <rPr>
            <sz val="8"/>
            <color indexed="81"/>
            <rFont val="Tahoma"/>
            <family val="2"/>
          </rPr>
          <t xml:space="preserve">Goudprijs daalt naar USD1200/ troy-ounce
</t>
        </r>
      </text>
    </comment>
    <comment ref="CP33" authorId="1">
      <text>
        <r>
          <rPr>
            <sz val="8"/>
            <color indexed="81"/>
            <rFont val="Tahoma"/>
            <family val="2"/>
          </rPr>
          <t xml:space="preserve">Goudprijs daalt naar USD1100/ troy-ounce
</t>
        </r>
      </text>
    </comment>
    <comment ref="CV33" authorId="1">
      <text>
        <r>
          <rPr>
            <sz val="8"/>
            <color indexed="81"/>
            <rFont val="Tahoma"/>
            <family val="2"/>
          </rPr>
          <t xml:space="preserve">Goudprijs daalt naar USD1100/ troy-ounce
</t>
        </r>
      </text>
    </comment>
    <comment ref="BS43" authorId="1">
      <text>
        <r>
          <rPr>
            <b/>
            <sz val="8"/>
            <color indexed="81"/>
            <rFont val="Tahoma"/>
            <family val="2"/>
          </rPr>
          <t>Brendtprijs daalt naar USD 84,28 / barrel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43" authorId="1">
      <text>
        <r>
          <rPr>
            <b/>
            <sz val="8"/>
            <color indexed="81"/>
            <rFont val="Tahoma"/>
            <family val="2"/>
          </rPr>
          <t>Crudeprijs daalt naar USD 70: Brendtprijs daalt naar USD 73,74/ barrel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U43" authorId="1">
      <text>
        <r>
          <rPr>
            <b/>
            <sz val="8"/>
            <color indexed="81"/>
            <rFont val="Tahoma"/>
            <family val="2"/>
          </rPr>
          <t>Brentprijs daalt naar USD 70/ barrel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O43" authorId="1">
      <text>
        <r>
          <rPr>
            <b/>
            <sz val="8"/>
            <color indexed="81"/>
            <rFont val="Tahoma"/>
            <family val="2"/>
          </rPr>
          <t>Brendtprijs daalt naar USD 84,28 / barrel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P43" authorId="1">
      <text>
        <r>
          <rPr>
            <b/>
            <sz val="8"/>
            <color indexed="81"/>
            <rFont val="Tahoma"/>
            <family val="2"/>
          </rPr>
          <t>Crudeprijs daalt naar USD 70: Brendtprijs daalt naar USD 73,74/ barrel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Q43" authorId="1">
      <text>
        <r>
          <rPr>
            <b/>
            <sz val="8"/>
            <color indexed="81"/>
            <rFont val="Tahoma"/>
            <family val="2"/>
          </rPr>
          <t>Brentprijs daalt naar USD 70/ barrel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W44" authorId="1">
      <text>
        <r>
          <rPr>
            <b/>
            <sz val="8"/>
            <color indexed="81"/>
            <rFont val="Tahoma"/>
            <family val="2"/>
          </rPr>
          <t>Jaarlijkse overheidsinvest. Van $8 mln voor onderhoud krachtcentrale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vanaf 2016</t>
        </r>
      </text>
    </comment>
    <comment ref="FD44" authorId="1">
      <text>
        <r>
          <rPr>
            <b/>
            <sz val="8"/>
            <color indexed="81"/>
            <rFont val="Tahoma"/>
            <family val="2"/>
          </rPr>
          <t>Scenario4: de investeringen van de Overheid tbv Nassau</t>
        </r>
      </text>
    </comment>
    <comment ref="FE44" authorId="1">
      <text>
        <r>
          <rPr>
            <b/>
            <sz val="8"/>
            <color indexed="81"/>
            <rFont val="Tahoma"/>
            <family val="2"/>
          </rPr>
          <t>Scenario4: de investeringen van de Overheid tbv Nassau</t>
        </r>
      </text>
    </comment>
    <comment ref="FF44" authorId="1">
      <text>
        <r>
          <rPr>
            <b/>
            <sz val="8"/>
            <color indexed="81"/>
            <rFont val="Tahoma"/>
            <family val="2"/>
          </rPr>
          <t>Scenario4: de investeringen van de Overheid tbv Nassau</t>
        </r>
      </text>
    </comment>
    <comment ref="FG44" authorId="1">
      <text>
        <r>
          <rPr>
            <b/>
            <sz val="8"/>
            <color indexed="81"/>
            <rFont val="Tahoma"/>
            <family val="2"/>
          </rPr>
          <t>Scenario4: de investeringen van de Overheid tbv Nassau</t>
        </r>
      </text>
    </comment>
    <comment ref="FH44" authorId="1">
      <text>
        <r>
          <rPr>
            <b/>
            <sz val="8"/>
            <color indexed="81"/>
            <rFont val="Tahoma"/>
            <family val="2"/>
          </rPr>
          <t>Scenario4: de investeringen van de Overheid tbv Nassau</t>
        </r>
      </text>
    </comment>
    <comment ref="FO44" authorId="1">
      <text>
        <r>
          <rPr>
            <b/>
            <sz val="8"/>
            <color indexed="81"/>
            <rFont val="Tahoma"/>
            <family val="2"/>
          </rPr>
          <t>Jaarlijkse overheidsinvest. Van $8 mln voor onderhoud krachtcentrale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vanaf 2016</t>
        </r>
      </text>
    </comment>
    <comment ref="DH47" authorId="2">
      <text>
        <r>
          <rPr>
            <sz val="9"/>
            <color indexed="81"/>
            <rFont val="Tahoma"/>
            <family val="2"/>
          </rPr>
          <t>Mining company taxes, Casinobelasting</t>
        </r>
      </text>
    </comment>
    <comment ref="DK47" authorId="2">
      <text>
        <r>
          <rPr>
            <sz val="9"/>
            <color indexed="81"/>
            <rFont val="Tahoma"/>
            <family val="2"/>
          </rPr>
          <t>Mining company taxes, Casinobelasting</t>
        </r>
      </text>
    </comment>
    <comment ref="DM47" authorId="2">
      <text>
        <r>
          <rPr>
            <sz val="9"/>
            <color indexed="81"/>
            <rFont val="Tahoma"/>
            <family val="2"/>
          </rPr>
          <t>Mining company taxes, Casinobelasting</t>
        </r>
      </text>
    </comment>
    <comment ref="DO47" authorId="2">
      <text>
        <r>
          <rPr>
            <sz val="9"/>
            <color indexed="81"/>
            <rFont val="Tahoma"/>
            <family val="2"/>
          </rPr>
          <t>Mining company taxes, Casinobelasting</t>
        </r>
      </text>
    </comment>
    <comment ref="DQ47" authorId="2">
      <text>
        <r>
          <rPr>
            <sz val="9"/>
            <color indexed="81"/>
            <rFont val="Tahoma"/>
            <family val="2"/>
          </rPr>
          <t>Mining company taxes, Casinobelasting</t>
        </r>
      </text>
    </comment>
    <comment ref="AW48" authorId="1">
      <text>
        <r>
          <rPr>
            <b/>
            <sz val="8"/>
            <color indexed="81"/>
            <rFont val="Tahoma"/>
            <family val="2"/>
          </rPr>
          <t>1/9/2015: Government take SRD 0,40 per ltr extra; inkomsten overheid circa SRD 10 mln per maand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48" authorId="0">
      <text>
        <r>
          <rPr>
            <b/>
            <sz val="8"/>
            <color indexed="81"/>
            <rFont val="Tahoma"/>
            <family val="2"/>
          </rPr>
          <t xml:space="preserve"> 1/2/11: betreft  de teruggedraaide aanpassing van accijns op avd en bier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U48" authorId="0">
      <text>
        <r>
          <rPr>
            <b/>
            <sz val="8"/>
            <color indexed="81"/>
            <rFont val="Tahoma"/>
            <family val="2"/>
          </rPr>
          <t xml:space="preserve"> 1/2/11: incl. de teruggedraaide aanpassing van accijns op avd en bier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V48" authorId="1">
      <text>
        <r>
          <rPr>
            <b/>
            <sz val="8"/>
            <color indexed="81"/>
            <rFont val="Tahoma"/>
            <family val="2"/>
          </rPr>
          <t>1/9/2015: Government take SRD 0,40 per ltr extra; inkomsten overheid circa SRD 10 mln per maand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C48" authorId="1">
      <text>
        <r>
          <rPr>
            <b/>
            <sz val="8"/>
            <color indexed="81"/>
            <rFont val="Tahoma"/>
            <family val="2"/>
          </rPr>
          <t>1/9/2015: Government take SRD 0,40 per ltr extra; inkomsten overheid circa SRD 10 mln per maand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O48" authorId="0">
      <text>
        <r>
          <rPr>
            <b/>
            <sz val="8"/>
            <color indexed="81"/>
            <rFont val="Tahoma"/>
            <family val="2"/>
          </rPr>
          <t xml:space="preserve"> 1/2/11: betreft  de teruggedraaide aanpassing van accijns op avd en bier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Q48" authorId="0">
      <text>
        <r>
          <rPr>
            <b/>
            <sz val="8"/>
            <color indexed="81"/>
            <rFont val="Tahoma"/>
            <family val="2"/>
          </rPr>
          <t xml:space="preserve"> 1/2/11: incl. de teruggedraaide aanpassing van accijns op avd en bier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R48" authorId="0">
      <text>
        <r>
          <rPr>
            <b/>
            <sz val="8"/>
            <color indexed="81"/>
            <rFont val="Tahoma"/>
            <family val="2"/>
          </rPr>
          <t xml:space="preserve"> 1/2/11: betreft  de teruggedraaide aanpassing van accijns op avd en bier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H48" authorId="0">
      <text>
        <r>
          <rPr>
            <b/>
            <sz val="8"/>
            <color indexed="81"/>
            <rFont val="Tahoma"/>
            <family val="2"/>
          </rPr>
          <t xml:space="preserve">Consumptiontax, accijnzen, governmenttake op benzine,,  2% verhoging accijnzen, accijns op alcohol en tabak </t>
        </r>
      </text>
    </comment>
    <comment ref="DK48" authorId="0">
      <text>
        <r>
          <rPr>
            <b/>
            <sz val="8"/>
            <color indexed="81"/>
            <rFont val="Tahoma"/>
            <family val="2"/>
          </rPr>
          <t xml:space="preserve">Consumptiontax, accijnzen, governmenttake op benzine,,  2% verhoging accijnzen, accijns op alcohol en tabak </t>
        </r>
      </text>
    </comment>
    <comment ref="DM48" authorId="0">
      <text>
        <r>
          <rPr>
            <b/>
            <sz val="8"/>
            <color indexed="81"/>
            <rFont val="Tahoma"/>
            <family val="2"/>
          </rPr>
          <t xml:space="preserve">Consumptiontax, accijnzen, governmenttake op benzine,,  2% verhoging accijnzen, accijns op alcohol en tabak </t>
        </r>
      </text>
    </comment>
    <comment ref="DO48" authorId="0">
      <text>
        <r>
          <rPr>
            <b/>
            <sz val="8"/>
            <color indexed="81"/>
            <rFont val="Tahoma"/>
            <family val="2"/>
          </rPr>
          <t xml:space="preserve">Consumptiontax, accijnzen, governmenttake op benzine,,  2% verhoging accijnzen, accijns op alcohol en tabak </t>
        </r>
      </text>
    </comment>
    <comment ref="DQ48" authorId="0">
      <text>
        <r>
          <rPr>
            <b/>
            <sz val="8"/>
            <color indexed="81"/>
            <rFont val="Tahoma"/>
            <family val="2"/>
          </rPr>
          <t xml:space="preserve">Consumptiontax, accijnzen, governmenttake op benzine,,  2% verhoging accijnzen, accijns op alcohol en tabak </t>
        </r>
      </text>
    </comment>
    <comment ref="BS51" authorId="1">
      <text>
        <r>
          <rPr>
            <b/>
            <sz val="8"/>
            <color indexed="81"/>
            <rFont val="Tahoma"/>
            <family val="2"/>
          </rPr>
          <t>10/11/2014:  0,4*(150.000*165)/2*2mnd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51" authorId="1">
      <text>
        <r>
          <rPr>
            <b/>
            <sz val="8"/>
            <color indexed="81"/>
            <rFont val="Tahoma"/>
            <family val="2"/>
          </rPr>
          <t xml:space="preserve">10/11/2014:  0,4*(150.000*165)/2*(12-2) mnd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O51" authorId="1">
      <text>
        <r>
          <rPr>
            <b/>
            <sz val="8"/>
            <color indexed="81"/>
            <rFont val="Tahoma"/>
            <family val="2"/>
          </rPr>
          <t>10/11/2014:  0,4*(150.000*165)/2*2mnd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P51" authorId="1">
      <text>
        <r>
          <rPr>
            <b/>
            <sz val="8"/>
            <color indexed="81"/>
            <rFont val="Tahoma"/>
            <family val="2"/>
          </rPr>
          <t xml:space="preserve">10/11/2014:  0,4*(150.000*165)/2*(12-2) mnd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51" authorId="1">
      <text>
        <r>
          <rPr>
            <b/>
            <sz val="8"/>
            <color indexed="81"/>
            <rFont val="Tahoma"/>
            <family val="2"/>
          </rPr>
          <t>10/11/2014:  0,4*(150.000*165)/2*2mnd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V51" authorId="1">
      <text>
        <r>
          <rPr>
            <b/>
            <sz val="8"/>
            <color indexed="81"/>
            <rFont val="Tahoma"/>
            <family val="2"/>
          </rPr>
          <t xml:space="preserve">10/11/2014:  0,4*(150.000*165)/2*12 mnd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53" authorId="1">
      <text>
        <r>
          <rPr>
            <sz val="8"/>
            <color indexed="81"/>
            <rFont val="Tahoma"/>
            <family val="2"/>
          </rPr>
          <t xml:space="preserve">extra uitg. agv. Prijsaanpassing energie
</t>
        </r>
      </text>
    </comment>
    <comment ref="CV53" authorId="1">
      <text>
        <r>
          <rPr>
            <sz val="8"/>
            <color indexed="81"/>
            <rFont val="Tahoma"/>
            <family val="2"/>
          </rPr>
          <t xml:space="preserve">extra uitg. agv. Prijsaanpassing energie
</t>
        </r>
      </text>
    </comment>
    <comment ref="FM53" authorId="1">
      <text>
        <r>
          <rPr>
            <sz val="8"/>
            <color indexed="81"/>
            <rFont val="Tahoma"/>
            <family val="2"/>
          </rPr>
          <t xml:space="preserve">extra uitg. agv. Prijsaanpassing energie
</t>
        </r>
      </text>
    </comment>
    <comment ref="FN53" authorId="1">
      <text>
        <r>
          <rPr>
            <sz val="8"/>
            <color indexed="81"/>
            <rFont val="Tahoma"/>
            <family val="2"/>
          </rPr>
          <t xml:space="preserve">extra uitg. agv. Prijsaanpassing energie
</t>
        </r>
      </text>
    </comment>
    <comment ref="BS54" authorId="1">
      <text>
        <r>
          <rPr>
            <b/>
            <sz val="8"/>
            <color indexed="81"/>
            <rFont val="Tahoma"/>
            <family val="2"/>
          </rPr>
          <t>2 mnd Verhoging AOV naar SRD 600 en AKB naar SRD 50 p/m:  75*2*50.800 + 20*2*96.870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54" authorId="1">
      <text>
        <r>
          <rPr>
            <b/>
            <sz val="8"/>
            <color indexed="81"/>
            <rFont val="Tahoma"/>
            <family val="2"/>
          </rPr>
          <t>10 mnd Verhoging AOV naar SRD 600 en AKB naar SRD 50 p/m:  75*10*50.800 + 20*10*96.870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O54" authorId="1">
      <text>
        <r>
          <rPr>
            <b/>
            <sz val="8"/>
            <color indexed="81"/>
            <rFont val="Tahoma"/>
            <family val="2"/>
          </rPr>
          <t>2 mnd Verhoging AOV naar SRD 600 en AKB naar SRD 50 p/m:  75*2*50.800 + 20*2*96.870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P54" authorId="1">
      <text>
        <r>
          <rPr>
            <b/>
            <sz val="8"/>
            <color indexed="81"/>
            <rFont val="Tahoma"/>
            <family val="2"/>
          </rPr>
          <t>10 mnd Verhoging AOV naar SRD 600 en AKB naar SRD 50 p/m:  75*10*50.800 + 20*10*96.870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54" authorId="1">
      <text>
        <r>
          <rPr>
            <b/>
            <sz val="8"/>
            <color indexed="81"/>
            <rFont val="Tahoma"/>
            <family val="2"/>
          </rPr>
          <t>2 mnd Verhoging AOV naar SRD 600 en AKB naar SRD 50 p/m:  75*2*50.800 + 20*2*96.870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V54" authorId="1">
      <text>
        <r>
          <rPr>
            <b/>
            <sz val="8"/>
            <color indexed="81"/>
            <rFont val="Tahoma"/>
            <family val="2"/>
          </rPr>
          <t>10 mnd Verhoging AOV naar SRD 600 en AKB naar SRD 50 p/m:  75*10*50.800 + 20*10*96.870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H54" authorId="0">
      <text>
        <r>
          <rPr>
            <b/>
            <sz val="8"/>
            <color indexed="81"/>
            <rFont val="Tahoma"/>
            <family val="2"/>
          </rPr>
          <t>Bijdrage aan  disabled people, AKB en  AOV</t>
        </r>
      </text>
    </comment>
    <comment ref="DK54" authorId="0">
      <text>
        <r>
          <rPr>
            <b/>
            <sz val="8"/>
            <color indexed="81"/>
            <rFont val="Tahoma"/>
            <family val="2"/>
          </rPr>
          <t>Bijdrage aan  disabled people, AKB en  AOV</t>
        </r>
      </text>
    </comment>
    <comment ref="DM54" authorId="0">
      <text>
        <r>
          <rPr>
            <b/>
            <sz val="8"/>
            <color indexed="81"/>
            <rFont val="Tahoma"/>
            <family val="2"/>
          </rPr>
          <t>Bijdrage aan  disabled people, AKB en  AOV</t>
        </r>
      </text>
    </comment>
    <comment ref="DO54" authorId="0">
      <text>
        <r>
          <rPr>
            <b/>
            <sz val="8"/>
            <color indexed="81"/>
            <rFont val="Tahoma"/>
            <family val="2"/>
          </rPr>
          <t>Bijdrage aan  disabled people, AKB en  AOV</t>
        </r>
      </text>
    </comment>
    <comment ref="DQ54" authorId="0">
      <text>
        <r>
          <rPr>
            <b/>
            <sz val="8"/>
            <color indexed="81"/>
            <rFont val="Tahoma"/>
            <family val="2"/>
          </rPr>
          <t>Bijdrage aan  disabled people, AKB en  AOV</t>
        </r>
      </text>
    </comment>
    <comment ref="BT55" authorId="1">
      <text>
        <r>
          <rPr>
            <b/>
            <sz val="8"/>
            <color indexed="81"/>
            <rFont val="Tahoma"/>
            <family val="2"/>
          </rPr>
          <t>Werkgevers bijdrage pensioen = 1,5% loonsom part.sect.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P55" authorId="1">
      <text>
        <r>
          <rPr>
            <b/>
            <sz val="8"/>
            <color indexed="81"/>
            <rFont val="Tahoma"/>
            <family val="2"/>
          </rPr>
          <t>Werkgevers bijdrage pensioen = 1,5% loonsom part.sect.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H67" authorId="0">
      <text>
        <r>
          <rPr>
            <b/>
            <sz val="8"/>
            <color indexed="81"/>
            <rFont val="Tahoma"/>
            <family val="2"/>
          </rPr>
          <t>extra invoerrechten vanwege koersaanpassing</t>
        </r>
      </text>
    </comment>
    <comment ref="DK67" authorId="0">
      <text>
        <r>
          <rPr>
            <b/>
            <sz val="8"/>
            <color indexed="81"/>
            <rFont val="Tahoma"/>
            <family val="2"/>
          </rPr>
          <t>extra invoerrechten vanwege koersaanpassing</t>
        </r>
      </text>
    </comment>
    <comment ref="DM67" authorId="0">
      <text>
        <r>
          <rPr>
            <b/>
            <sz val="8"/>
            <color indexed="81"/>
            <rFont val="Tahoma"/>
            <family val="2"/>
          </rPr>
          <t>extra invoerrechten vanwege koersaanpassing</t>
        </r>
      </text>
    </comment>
    <comment ref="DO67" authorId="0">
      <text>
        <r>
          <rPr>
            <b/>
            <sz val="8"/>
            <color indexed="81"/>
            <rFont val="Tahoma"/>
            <family val="2"/>
          </rPr>
          <t>extra invoerrechten vanwege koersaanpassing</t>
        </r>
      </text>
    </comment>
    <comment ref="DQ67" authorId="0">
      <text>
        <r>
          <rPr>
            <b/>
            <sz val="8"/>
            <color indexed="81"/>
            <rFont val="Tahoma"/>
            <family val="2"/>
          </rPr>
          <t>extra invoerrechten vanwege koersaanpassing</t>
        </r>
      </text>
    </comment>
    <comment ref="DH69" authorId="0">
      <text>
        <r>
          <rPr>
            <b/>
            <sz val="8"/>
            <color indexed="81"/>
            <rFont val="Tahoma"/>
            <family val="2"/>
          </rPr>
          <t>additionele uitgaven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K69" authorId="0">
      <text>
        <r>
          <rPr>
            <b/>
            <sz val="8"/>
            <color indexed="81"/>
            <rFont val="Tahoma"/>
            <family val="2"/>
          </rPr>
          <t>additionele uitgaven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M69" authorId="0">
      <text>
        <r>
          <rPr>
            <b/>
            <sz val="8"/>
            <color indexed="81"/>
            <rFont val="Tahoma"/>
            <family val="2"/>
          </rPr>
          <t>additionele uitgaven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O69" authorId="0">
      <text>
        <r>
          <rPr>
            <b/>
            <sz val="8"/>
            <color indexed="81"/>
            <rFont val="Tahoma"/>
            <family val="2"/>
          </rPr>
          <t>additionele uitgaven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Q69" authorId="0">
      <text>
        <r>
          <rPr>
            <b/>
            <sz val="8"/>
            <color indexed="81"/>
            <rFont val="Tahoma"/>
            <family val="2"/>
          </rPr>
          <t>additionele uitgaven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72" authorId="0">
      <text>
        <r>
          <rPr>
            <b/>
            <sz val="8"/>
            <color indexed="81"/>
            <rFont val="Tahoma"/>
            <family val="2"/>
          </rPr>
          <t xml:space="preserve"> 1/2/11: betreft. de teruggedraaide aanpassing van OB op gas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U72" authorId="0">
      <text>
        <r>
          <rPr>
            <b/>
            <sz val="8"/>
            <color indexed="81"/>
            <rFont val="Tahoma"/>
            <family val="2"/>
          </rPr>
          <t xml:space="preserve"> 1/2/11: betreft. de teruggedraaide aanpassing van OB op gas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O72" authorId="0">
      <text>
        <r>
          <rPr>
            <b/>
            <sz val="8"/>
            <color indexed="81"/>
            <rFont val="Tahoma"/>
            <family val="2"/>
          </rPr>
          <t xml:space="preserve"> 1/2/11: betreft. de teruggedraaide aanpassing van OB op gas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Q72" authorId="0">
      <text>
        <r>
          <rPr>
            <b/>
            <sz val="8"/>
            <color indexed="81"/>
            <rFont val="Tahoma"/>
            <family val="2"/>
          </rPr>
          <t xml:space="preserve"> 1/2/11: betreft. de teruggedraaide aanpassing van OB op gas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L78" authorId="1">
      <text>
        <r>
          <rPr>
            <b/>
            <sz val="8"/>
            <color indexed="81"/>
            <rFont val="Tahoma"/>
            <family val="2"/>
          </rPr>
          <t>vanaf 2018</t>
        </r>
      </text>
    </comment>
    <comment ref="BS79" authorId="1">
      <text>
        <r>
          <rPr>
            <b/>
            <sz val="8"/>
            <color indexed="81"/>
            <rFont val="Tahoma"/>
            <family val="2"/>
          </rPr>
          <t>10/11/2014:  0,6*(150.000*165)/2*2 mnd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T79" authorId="1">
      <text>
        <r>
          <rPr>
            <b/>
            <sz val="8"/>
            <color indexed="81"/>
            <rFont val="Tahoma"/>
            <family val="2"/>
          </rPr>
          <t xml:space="preserve">10/11/2014:  0,6*(150.000*165)/2*(12-2) mnd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O79" authorId="1">
      <text>
        <r>
          <rPr>
            <b/>
            <sz val="8"/>
            <color indexed="81"/>
            <rFont val="Tahoma"/>
            <family val="2"/>
          </rPr>
          <t>10/11/2014:  0,6*(150.000*165)/2*2 mnd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P79" authorId="1">
      <text>
        <r>
          <rPr>
            <b/>
            <sz val="8"/>
            <color indexed="81"/>
            <rFont val="Tahoma"/>
            <family val="2"/>
          </rPr>
          <t xml:space="preserve">10/11/2014:  0,6*(150.000*165)/2*(12-2) mnd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79" authorId="1">
      <text>
        <r>
          <rPr>
            <b/>
            <sz val="8"/>
            <color indexed="81"/>
            <rFont val="Tahoma"/>
            <family val="2"/>
          </rPr>
          <t>10/11/2014:  0,6*(150.000*165)/2*2 mnd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V79" authorId="1">
      <text>
        <r>
          <rPr>
            <b/>
            <sz val="8"/>
            <color indexed="81"/>
            <rFont val="Tahoma"/>
            <family val="2"/>
          </rPr>
          <t xml:space="preserve">10/11/2014:  0,6*(150.000*165)/2*12 mnd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S81" authorId="1">
      <text>
        <r>
          <rPr>
            <b/>
            <sz val="8"/>
            <color indexed="81"/>
            <rFont val="Tahoma"/>
            <family val="2"/>
          </rPr>
          <t xml:space="preserve"> 7/11/2014: de importen zullen in 2015 afnemen met 67%</t>
        </r>
      </text>
    </comment>
    <comment ref="CO81" authorId="1">
      <text>
        <r>
          <rPr>
            <b/>
            <sz val="8"/>
            <color indexed="81"/>
            <rFont val="Tahoma"/>
            <family val="2"/>
          </rPr>
          <t xml:space="preserve"> 7/11/2014: de importen zullen in 2015 afnemen met 67%</t>
        </r>
      </text>
    </comment>
    <comment ref="CV81" authorId="1">
      <text>
        <r>
          <rPr>
            <b/>
            <sz val="8"/>
            <color indexed="81"/>
            <rFont val="Tahoma"/>
            <family val="2"/>
          </rPr>
          <t xml:space="preserve"> 7/11/2014: de importen zullen in 2015 afnemen met 67%</t>
        </r>
      </text>
    </comment>
  </commentList>
</comments>
</file>

<file path=xl/comments4.xml><?xml version="1.0" encoding="utf-8"?>
<comments xmlns="http://schemas.openxmlformats.org/spreadsheetml/2006/main">
  <authors>
    <author>hoepel.i</author>
    <author>Marein van Schaaijk</author>
    <author>compaq CQ61</author>
  </authors>
  <commentList>
    <comment ref="B16" authorId="0">
      <text>
        <r>
          <rPr>
            <b/>
            <sz val="8"/>
            <color indexed="81"/>
            <rFont val="Tahoma"/>
            <family val="2"/>
          </rPr>
          <t>5/8/2015: Vanaf 2015 Crude  by pass</t>
        </r>
      </text>
    </comment>
    <comment ref="B37" authorId="0">
      <text>
        <r>
          <rPr>
            <b/>
            <sz val="8"/>
            <color indexed="81"/>
            <rFont val="Tahoma"/>
            <family val="2"/>
          </rPr>
          <t>5/8/2015: Vanaf 2015 Crude  by pass</t>
        </r>
      </text>
    </comment>
    <comment ref="BM38" authorId="1">
      <text>
        <r>
          <rPr>
            <b/>
            <sz val="9"/>
            <color indexed="81"/>
            <rFont val="Tahoma"/>
            <family val="2"/>
          </rPr>
          <t xml:space="preserve">nodig ter berekening export in prijzen voortafgaand jaar
</t>
        </r>
      </text>
    </comment>
    <comment ref="BG182" authorId="2">
      <text>
        <r>
          <rPr>
            <b/>
            <sz val="9"/>
            <color indexed="81"/>
            <rFont val="Tahoma"/>
            <family val="2"/>
          </rPr>
          <t xml:space="preserve">12/7/2011: incl. MGWN en MOWN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82" authorId="2">
      <text>
        <r>
          <rPr>
            <b/>
            <sz val="9"/>
            <color indexed="81"/>
            <rFont val="Tahoma"/>
            <family val="2"/>
          </rPr>
          <t xml:space="preserve">12/7/2011: incl. MGWN en MOWN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82" authorId="2">
      <text>
        <r>
          <rPr>
            <b/>
            <sz val="9"/>
            <color indexed="81"/>
            <rFont val="Tahoma"/>
            <family val="2"/>
          </rPr>
          <t xml:space="preserve">12/7/2011: incl. MGWN en MOWN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82" authorId="2">
      <text>
        <r>
          <rPr>
            <b/>
            <sz val="9"/>
            <color indexed="81"/>
            <rFont val="Tahoma"/>
            <family val="2"/>
          </rPr>
          <t xml:space="preserve">12/7/2011: incl. MGWN en MOWN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83" authorId="2">
      <text>
        <r>
          <rPr>
            <b/>
            <sz val="9"/>
            <color indexed="81"/>
            <rFont val="Tahoma"/>
            <family val="2"/>
          </rPr>
          <t>12/7/2011; Zie MBWN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83" authorId="2">
      <text>
        <r>
          <rPr>
            <b/>
            <sz val="9"/>
            <color indexed="81"/>
            <rFont val="Tahoma"/>
            <family val="2"/>
          </rPr>
          <t>12/7/2011; Zie MBWN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83" authorId="2">
      <text>
        <r>
          <rPr>
            <b/>
            <sz val="9"/>
            <color indexed="81"/>
            <rFont val="Tahoma"/>
            <family val="2"/>
          </rPr>
          <t>12/7/2011; Zie MBWN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83" authorId="2">
      <text>
        <r>
          <rPr>
            <b/>
            <sz val="9"/>
            <color indexed="81"/>
            <rFont val="Tahoma"/>
            <family val="2"/>
          </rPr>
          <t>12/7/2011; Zie MBWN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84" authorId="2">
      <text>
        <r>
          <rPr>
            <b/>
            <sz val="9"/>
            <color indexed="81"/>
            <rFont val="Tahoma"/>
            <family val="2"/>
          </rPr>
          <t>12/7/2011; Zie MBWN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84" authorId="2">
      <text>
        <r>
          <rPr>
            <b/>
            <sz val="9"/>
            <color indexed="81"/>
            <rFont val="Tahoma"/>
            <family val="2"/>
          </rPr>
          <t>12/7/2011; Zie MBWN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84" authorId="2">
      <text>
        <r>
          <rPr>
            <b/>
            <sz val="9"/>
            <color indexed="81"/>
            <rFont val="Tahoma"/>
            <family val="2"/>
          </rPr>
          <t>12/7/2011; Zie MBWN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84" authorId="2">
      <text>
        <r>
          <rPr>
            <b/>
            <sz val="9"/>
            <color indexed="81"/>
            <rFont val="Tahoma"/>
            <family val="2"/>
          </rPr>
          <t>12/7/2011; Zie MBWN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86" authorId="2">
      <text>
        <r>
          <rPr>
            <b/>
            <sz val="9"/>
            <color indexed="81"/>
            <rFont val="Tahoma"/>
            <family val="2"/>
          </rPr>
          <t>11/7/2011; Zie ZEBWN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86" authorId="2">
      <text>
        <r>
          <rPr>
            <b/>
            <sz val="9"/>
            <color indexed="81"/>
            <rFont val="Tahoma"/>
            <family val="2"/>
          </rPr>
          <t>11/7/2011; Zie ZEBWN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86" authorId="2">
      <text>
        <r>
          <rPr>
            <b/>
            <sz val="9"/>
            <color indexed="81"/>
            <rFont val="Tahoma"/>
            <family val="2"/>
          </rPr>
          <t>11/7/2011; Zie ZEBWN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86" authorId="2">
      <text>
        <r>
          <rPr>
            <b/>
            <sz val="9"/>
            <color indexed="81"/>
            <rFont val="Tahoma"/>
            <family val="2"/>
          </rPr>
          <t>11/7/2011; Zie ZEBWN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87" authorId="2">
      <text>
        <r>
          <rPr>
            <b/>
            <sz val="9"/>
            <color indexed="81"/>
            <rFont val="Tahoma"/>
            <family val="2"/>
          </rPr>
          <t>11/7/2011; Zie ZOEWN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87" authorId="2">
      <text>
        <r>
          <rPr>
            <b/>
            <sz val="9"/>
            <color indexed="81"/>
            <rFont val="Tahoma"/>
            <family val="2"/>
          </rPr>
          <t>11/7/2011; Zie ZOEWN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87" authorId="2">
      <text>
        <r>
          <rPr>
            <b/>
            <sz val="9"/>
            <color indexed="81"/>
            <rFont val="Tahoma"/>
            <family val="2"/>
          </rPr>
          <t>11/7/2011; Zie ZOEWN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87" authorId="2">
      <text>
        <r>
          <rPr>
            <b/>
            <sz val="9"/>
            <color indexed="81"/>
            <rFont val="Tahoma"/>
            <family val="2"/>
          </rPr>
          <t>11/7/2011; Zie ZOEWN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88" authorId="2">
      <text>
        <r>
          <rPr>
            <b/>
            <sz val="9"/>
            <color indexed="81"/>
            <rFont val="Tahoma"/>
            <family val="2"/>
          </rPr>
          <t xml:space="preserve">11/7/2011: incl. LEGWN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88" authorId="2">
      <text>
        <r>
          <rPr>
            <b/>
            <sz val="9"/>
            <color indexed="81"/>
            <rFont val="Tahoma"/>
            <family val="2"/>
          </rPr>
          <t xml:space="preserve">11/7/2011: incl. LEGWN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88" authorId="2">
      <text>
        <r>
          <rPr>
            <b/>
            <sz val="9"/>
            <color indexed="81"/>
            <rFont val="Tahoma"/>
            <family val="2"/>
          </rPr>
          <t xml:space="preserve">11/7/2011: incl. LEGWN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88" authorId="2">
      <text>
        <r>
          <rPr>
            <b/>
            <sz val="9"/>
            <color indexed="81"/>
            <rFont val="Tahoma"/>
            <family val="2"/>
          </rPr>
          <t xml:space="preserve">11/7/2011: incl. LEGWN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89" authorId="2">
      <text>
        <r>
          <rPr>
            <b/>
            <sz val="9"/>
            <color indexed="81"/>
            <rFont val="Tahoma"/>
            <family val="2"/>
          </rPr>
          <t xml:space="preserve">11/7/2011: incl. LBEWN en ZBEWN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89" authorId="2">
      <text>
        <r>
          <rPr>
            <b/>
            <sz val="9"/>
            <color indexed="81"/>
            <rFont val="Tahoma"/>
            <family val="2"/>
          </rPr>
          <t xml:space="preserve">11/7/2011: incl. LBEWN en ZBEWN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89" authorId="2">
      <text>
        <r>
          <rPr>
            <b/>
            <sz val="9"/>
            <color indexed="81"/>
            <rFont val="Tahoma"/>
            <family val="2"/>
          </rPr>
          <t xml:space="preserve">11/7/2011: incl. LBEWN en ZBEWN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89" authorId="2">
      <text>
        <r>
          <rPr>
            <b/>
            <sz val="9"/>
            <color indexed="81"/>
            <rFont val="Tahoma"/>
            <family val="2"/>
          </rPr>
          <t xml:space="preserve">11/7/2011: incl. LBEWN en ZBEWN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90" authorId="2">
      <text>
        <r>
          <rPr>
            <b/>
            <sz val="9"/>
            <color indexed="81"/>
            <rFont val="Tahoma"/>
            <family val="2"/>
          </rPr>
          <t>11/7/2011; Zie ZOEWN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90" authorId="2">
      <text>
        <r>
          <rPr>
            <b/>
            <sz val="9"/>
            <color indexed="81"/>
            <rFont val="Tahoma"/>
            <family val="2"/>
          </rPr>
          <t>11/7/2011; Zie ZOEWN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90" authorId="2">
      <text>
        <r>
          <rPr>
            <b/>
            <sz val="9"/>
            <color indexed="81"/>
            <rFont val="Tahoma"/>
            <family val="2"/>
          </rPr>
          <t>11/7/2011; Zie ZOEWN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90" authorId="2">
      <text>
        <r>
          <rPr>
            <b/>
            <sz val="9"/>
            <color indexed="81"/>
            <rFont val="Tahoma"/>
            <family val="2"/>
          </rPr>
          <t>11/7/2011; Zie ZOEWN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93" authorId="2">
      <text>
        <r>
          <rPr>
            <b/>
            <sz val="9"/>
            <color indexed="81"/>
            <rFont val="Tahoma"/>
            <family val="2"/>
          </rPr>
          <t xml:space="preserve">12/7/2011: incl. OEOWN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93" authorId="2">
      <text>
        <r>
          <rPr>
            <b/>
            <sz val="9"/>
            <color indexed="81"/>
            <rFont val="Tahoma"/>
            <family val="2"/>
          </rPr>
          <t xml:space="preserve">12/7/2011: incl. OEOWN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93" authorId="2">
      <text>
        <r>
          <rPr>
            <b/>
            <sz val="9"/>
            <color indexed="81"/>
            <rFont val="Tahoma"/>
            <family val="2"/>
          </rPr>
          <t xml:space="preserve">12/7/2011: incl. OEOWN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93" authorId="2">
      <text>
        <r>
          <rPr>
            <b/>
            <sz val="9"/>
            <color indexed="81"/>
            <rFont val="Tahoma"/>
            <family val="2"/>
          </rPr>
          <t xml:space="preserve">12/7/2011: incl. OEOWN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94" authorId="2">
      <text>
        <r>
          <rPr>
            <b/>
            <sz val="9"/>
            <color indexed="81"/>
            <rFont val="Tahoma"/>
            <family val="2"/>
          </rPr>
          <t xml:space="preserve">12/7/2011: incl. OOEWN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94" authorId="2">
      <text>
        <r>
          <rPr>
            <b/>
            <sz val="9"/>
            <color indexed="81"/>
            <rFont val="Tahoma"/>
            <family val="2"/>
          </rPr>
          <t xml:space="preserve">12/7/2011: incl. OOEWN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94" authorId="2">
      <text>
        <r>
          <rPr>
            <b/>
            <sz val="9"/>
            <color indexed="81"/>
            <rFont val="Tahoma"/>
            <family val="2"/>
          </rPr>
          <t xml:space="preserve">12/7/2011: incl. OOEWN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94" authorId="2">
      <text>
        <r>
          <rPr>
            <b/>
            <sz val="9"/>
            <color indexed="81"/>
            <rFont val="Tahoma"/>
            <family val="2"/>
          </rPr>
          <t xml:space="preserve">12/7/2011: incl. OOEWN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95" authorId="2">
      <text>
        <r>
          <rPr>
            <b/>
            <sz val="9"/>
            <color indexed="81"/>
            <rFont val="Tahoma"/>
            <family val="2"/>
          </rPr>
          <t>12/7/2011; Zie OEGWN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95" authorId="2">
      <text>
        <r>
          <rPr>
            <b/>
            <sz val="9"/>
            <color indexed="81"/>
            <rFont val="Tahoma"/>
            <family val="2"/>
          </rPr>
          <t>12/7/2011; Zie OEGWN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95" authorId="2">
      <text>
        <r>
          <rPr>
            <b/>
            <sz val="9"/>
            <color indexed="81"/>
            <rFont val="Tahoma"/>
            <family val="2"/>
          </rPr>
          <t>12/7/2011; Zie OEGWN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95" authorId="2">
      <text>
        <r>
          <rPr>
            <b/>
            <sz val="9"/>
            <color indexed="81"/>
            <rFont val="Tahoma"/>
            <family val="2"/>
          </rPr>
          <t>12/7/2011; Zie OEGWN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96" authorId="2">
      <text>
        <r>
          <rPr>
            <b/>
            <sz val="9"/>
            <color indexed="81"/>
            <rFont val="Tahoma"/>
            <family val="2"/>
          </rPr>
          <t>12/7/2011; Zie OGEWN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H196" authorId="2">
      <text>
        <r>
          <rPr>
            <b/>
            <sz val="9"/>
            <color indexed="81"/>
            <rFont val="Tahoma"/>
            <family val="2"/>
          </rPr>
          <t>12/7/2011; Zie OGEWN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96" authorId="2">
      <text>
        <r>
          <rPr>
            <b/>
            <sz val="9"/>
            <color indexed="81"/>
            <rFont val="Tahoma"/>
            <family val="2"/>
          </rPr>
          <t>12/7/2011; Zie OGEWN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96" authorId="2">
      <text>
        <r>
          <rPr>
            <b/>
            <sz val="9"/>
            <color indexed="81"/>
            <rFont val="Tahoma"/>
            <family val="2"/>
          </rPr>
          <t>12/7/2011; Zie OGEWN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06" authorId="0">
      <text>
        <r>
          <rPr>
            <b/>
            <sz val="8"/>
            <color indexed="81"/>
            <rFont val="Tahoma"/>
            <family val="2"/>
          </rPr>
          <t>Voorheen 'Nog te rubriceren posten'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N206" authorId="1">
      <text>
        <r>
          <rPr>
            <b/>
            <sz val="9"/>
            <color indexed="81"/>
            <rFont val="Tahoma"/>
            <family val="2"/>
          </rPr>
          <t xml:space="preserve">11/4/2013: Gemiddelde afgelopen 10 jaar
</t>
        </r>
      </text>
    </comment>
    <comment ref="B227" authorId="0">
      <text>
        <r>
          <rPr>
            <b/>
            <sz val="8"/>
            <color indexed="81"/>
            <rFont val="Tahoma"/>
            <family val="2"/>
          </rPr>
          <t>1/11/2012: Vanaf 2013 Belasting Toegevoegde waarde (BTW)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65" authorId="0">
      <text>
        <r>
          <rPr>
            <b/>
            <sz val="8"/>
            <color indexed="81"/>
            <rFont val="Tahoma"/>
            <family val="2"/>
          </rPr>
          <t>Debetrente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374" authorId="1">
      <text>
        <r>
          <rPr>
            <sz val="9"/>
            <color indexed="81"/>
            <rFont val="Tahoma"/>
            <family val="2"/>
          </rPr>
          <t xml:space="preserve">het werkloosheidspercentage groeit gelijk op met het hosselaarspercentage
</t>
        </r>
      </text>
    </comment>
    <comment ref="BM374" authorId="1">
      <text>
        <r>
          <rPr>
            <sz val="9"/>
            <color indexed="81"/>
            <rFont val="Tahoma"/>
            <family val="2"/>
          </rPr>
          <t xml:space="preserve">het werkloosheidspercentage groeit gelijk op met het hosselaarspercentage
</t>
        </r>
      </text>
    </comment>
    <comment ref="BJ375" authorId="1">
      <text>
        <r>
          <rPr>
            <sz val="9"/>
            <color indexed="81"/>
            <rFont val="Tahoma"/>
            <family val="2"/>
          </rPr>
          <t>verondersteld gelijk op te groeien met tot ec. Actieven minus arbeidsplaatysen</t>
        </r>
      </text>
    </comment>
    <comment ref="BI376" authorId="1">
      <text>
        <r>
          <rPr>
            <sz val="9"/>
            <color indexed="81"/>
            <rFont val="Tahoma"/>
            <family val="2"/>
          </rPr>
          <t xml:space="preserve">gesteld op 50% van verschil economisch actieven minus arbeidplaatsen
</t>
        </r>
      </text>
    </comment>
    <comment ref="BJ376" authorId="1">
      <text>
        <r>
          <rPr>
            <b/>
            <sz val="9"/>
            <color indexed="81"/>
            <rFont val="Tahoma"/>
            <family val="2"/>
          </rPr>
          <t xml:space="preserve">dit is de saldopost
</t>
        </r>
      </text>
    </comment>
    <comment ref="BJ377" authorId="1">
      <text>
        <r>
          <rPr>
            <b/>
            <sz val="9"/>
            <color indexed="81"/>
            <rFont val="Tahoma"/>
            <family val="2"/>
          </rPr>
          <t xml:space="preserve">assumptie: groeit gelijk met bevoling 16/64
</t>
        </r>
      </text>
    </comment>
  </commentList>
</comments>
</file>

<file path=xl/comments5.xml><?xml version="1.0" encoding="utf-8"?>
<comments xmlns="http://schemas.openxmlformats.org/spreadsheetml/2006/main">
  <authors>
    <author>hoepel.i</author>
  </authors>
  <commentList>
    <comment ref="A108" authorId="0">
      <text>
        <r>
          <rPr>
            <b/>
            <sz val="8"/>
            <color indexed="81"/>
            <rFont val="Tahoma"/>
            <family val="2"/>
          </rPr>
          <t>inclusief loonsom overheid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Hoepel</author>
    <author>Shakita</author>
    <author>Hoepla</author>
  </authors>
  <commentList>
    <comment ref="AZ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A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C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2" authorId="0">
      <text>
        <r>
          <rPr>
            <b/>
            <sz val="8"/>
            <color indexed="81"/>
            <rFont val="Tahoma"/>
            <family val="2"/>
          </rPr>
          <t>2/3/11: Statistische bijlage LVV; tabel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2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J12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K12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L12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M12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N12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D14" authorId="2">
      <text>
        <r>
          <rPr>
            <b/>
            <sz val="8"/>
            <color indexed="81"/>
            <rFont val="Tahoma"/>
            <family val="2"/>
          </rPr>
          <t>27/5/09: Jaarverslag Hakrinbank 2008, blz 26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4" authorId="2">
      <text>
        <r>
          <rPr>
            <b/>
            <sz val="8"/>
            <color indexed="81"/>
            <rFont val="Tahoma"/>
            <family val="2"/>
          </rPr>
          <t>27/5/09: Jaarverslag Hakrinbank 2008, blz 26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4" authorId="2">
      <text>
        <r>
          <rPr>
            <b/>
            <sz val="8"/>
            <color indexed="81"/>
            <rFont val="Tahoma"/>
            <family val="2"/>
          </rPr>
          <t>27/5/09: Jaarverslag Hakrinbank 2008, blz 26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4" authorId="2">
      <text>
        <r>
          <rPr>
            <b/>
            <sz val="8"/>
            <color indexed="81"/>
            <rFont val="Tahoma"/>
            <family val="2"/>
          </rPr>
          <t>27/5/09: Jaarverslag Hakrinbank 2008, blz 26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4" authorId="2">
      <text>
        <r>
          <rPr>
            <b/>
            <sz val="8"/>
            <color indexed="81"/>
            <rFont val="Tahoma"/>
            <family val="2"/>
          </rPr>
          <t>27/5/09: Jaarverslag Hakrinbank 2008, blz 26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4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J14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K14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L14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M14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  <comment ref="BN14" authorId="1">
      <text>
        <r>
          <rPr>
            <b/>
            <sz val="8"/>
            <color indexed="81"/>
            <rFont val="Tahoma"/>
            <family val="2"/>
          </rPr>
          <t>16/10/2014: Jaarplan 2015; Tabel 3.1.6: Kernindicatoren van de rijstsector</t>
        </r>
      </text>
    </comment>
  </commentList>
</comments>
</file>

<file path=xl/sharedStrings.xml><?xml version="1.0" encoding="utf-8"?>
<sst xmlns="http://schemas.openxmlformats.org/spreadsheetml/2006/main" count="8529" uniqueCount="4685">
  <si>
    <t xml:space="preserve">en de directie van SPS, de Centrale Bank van Suriname (CBvS), het Ministerie van Planning en </t>
  </si>
  <si>
    <t xml:space="preserve">aanname is gepleegd in afwachting van de herschikking van de binnenlandse schuld. </t>
  </si>
  <si>
    <t>56. KBOWN</t>
  </si>
  <si>
    <t>De belangrijkste vergelijkingen zijn:</t>
  </si>
  <si>
    <t>Rijst export heffing</t>
  </si>
  <si>
    <t>8. TRISPN= TRISPN(-1)*TRIWPN/TRIWPN(-1)*PKRSQ/PKRSQ(-1)</t>
  </si>
  <si>
    <t>= Surinaamse prijs triplex, jaar t-1</t>
  </si>
  <si>
    <t xml:space="preserve">geëxporteerde houtproducten (dus niet slechts triplex). Bron van de wereldmarktprijs: MINISTERIE </t>
  </si>
  <si>
    <t>Overdrachten om niet uit schenkingen</t>
  </si>
  <si>
    <t>RAFDBN X RAFSPN</t>
  </si>
  <si>
    <t xml:space="preserve">aanwas in de potentiële beroepsbevolking. De werkloosheid  bestaat dus uit die van het voorgaand jaar </t>
  </si>
  <si>
    <t xml:space="preserve">3. het ter beschikking zijn indien de trainees vragen c.q. problemen hebben bij het uitvoeren van de </t>
  </si>
  <si>
    <t>opdrachten,</t>
  </si>
  <si>
    <t xml:space="preserve">(BACWPN/BACWPN(-1)) en in de wisselkoers (PKRSQ/PKRSQ(-1)). De wereldmarktprijs is de prijs </t>
  </si>
  <si>
    <t>= Overdrachten om niet uit schenkingen, jaar t</t>
  </si>
  <si>
    <t xml:space="preserve">verstrekken m.b.t. de geldschepping t.b.v. de Staat. De cijfers uit de Monetaire Tabellen liggen lager. </t>
  </si>
  <si>
    <t>Staatsolie, juni 2008</t>
  </si>
  <si>
    <t>Min. van LVV, afd. Landbouwstatistiek, tabel A-7, mei 2008</t>
  </si>
  <si>
    <r>
      <t xml:space="preserve">Naturalisatie  </t>
    </r>
    <r>
      <rPr>
        <i/>
        <sz val="12"/>
        <rFont val="Times New Roman"/>
        <family val="1"/>
      </rPr>
      <t>(NBO)</t>
    </r>
  </si>
  <si>
    <t>uitvoerprijsindex</t>
  </si>
  <si>
    <t>invoerprijsindex</t>
  </si>
  <si>
    <t xml:space="preserve">MINISTERIE VAN LANDBOUW, VEETEELT, VISSERIJ EN BOSBOUW; VISSERIJ DIENST. </t>
  </si>
  <si>
    <t>Link met Microblok</t>
  </si>
  <si>
    <t>14. BMWN</t>
  </si>
  <si>
    <t xml:space="preserve">= </t>
  </si>
  <si>
    <t xml:space="preserve">ZBESBWN+ZBESBWN(-1)))*(1+TDGQ/100). De coëfficiënten geven de mate aan waarin </t>
  </si>
  <si>
    <t>Oliedata uit Energiemodule d.d. 21 dec 2015</t>
  </si>
  <si>
    <t>Export Fuel Oil (stook olie)</t>
  </si>
  <si>
    <t>Export Gasoil</t>
  </si>
  <si>
    <t>Export Gasoline</t>
  </si>
  <si>
    <t>Export Bitumen</t>
  </si>
  <si>
    <t>Export Sulfuric Acid</t>
  </si>
  <si>
    <t>mln. SRD</t>
  </si>
  <si>
    <t>dus substitutie</t>
  </si>
  <si>
    <t>Exportvolume Ruwe olie in barrels</t>
  </si>
  <si>
    <t>Totale export</t>
  </si>
  <si>
    <t>= Netto particuliere leningen van de overheid uit het buitenland, jaar t</t>
  </si>
  <si>
    <t xml:space="preserve">diverse bestanddelen van de totale afzetwaarde (VWN) exclusief de lonen van de overheid (LOWN). </t>
  </si>
  <si>
    <t xml:space="preserve">Per definitie is de Bruto toegevoegde waarde van de bedrijven tegen marktprijzen (YBWN) gelijk aan </t>
  </si>
  <si>
    <t xml:space="preserve"> ZOBWN(-1)</t>
  </si>
  <si>
    <t xml:space="preserve">Het beschikbaar loon en steuninkomen (LBESBWN) is per definitie gelijk aan het totaal van de </t>
  </si>
  <si>
    <t>grootste deel van de importen valt deze sector toe (kapitaalgoederen en grondstoffen).</t>
  </si>
  <si>
    <t>Ad. 1. Suritax</t>
  </si>
  <si>
    <t xml:space="preserve">ontwikkeling van de inkomensverdeling van deze groepen en de mate waarin zij onder een becijferde </t>
  </si>
  <si>
    <t>armoedegrens liggen.</t>
  </si>
  <si>
    <t xml:space="preserve">Statisch gedeelte: Door gebruik te maken van de uitvoer van het Suryamodel is het aantal personen </t>
  </si>
  <si>
    <t xml:space="preserve">altijd met andere statistieken stroken (zie liquiditeitscreatie in de Monetaire Tabellen van CBvS). </t>
  </si>
  <si>
    <t>Verschillende bronnen; zie hieronder tabel aangegeven</t>
  </si>
  <si>
    <t>Bron:</t>
  </si>
  <si>
    <t xml:space="preserve">Mogelijk kan de relatie bekeken worden tussen leningen, vreemde valuta bezittingen en de productie. </t>
  </si>
  <si>
    <t>consumptieprijs (SPS)</t>
  </si>
  <si>
    <t>reele groei BBP via Productie (SPS)</t>
  </si>
  <si>
    <t>Saldo op de Kapitaalrekening</t>
  </si>
  <si>
    <t>Surgold (Participatie Newmont mijn)</t>
  </si>
  <si>
    <t>Costprice gold US$ per troy ounce</t>
  </si>
  <si>
    <t>costprice goud in US$ per troy ounce</t>
  </si>
  <si>
    <t xml:space="preserve">door de mutatie in de loonsom van de bedrijven (LBWN/LBWN(-1)) te delen door de mutatie in het </t>
  </si>
  <si>
    <t xml:space="preserve">exporthoeveelheden en investeringen per exportproduct, afhankelijk van verwachtingen, </t>
  </si>
  <si>
    <t>Binnenlandse Staatsschuld exclusief de geconsolideerde vlottende Staatsschuld</t>
  </si>
  <si>
    <t>Wereldmarktprijs Rijst in metrieke ton</t>
  </si>
  <si>
    <t xml:space="preserve">Loonsom van de bedrijven                      </t>
  </si>
  <si>
    <t>hebben tot de mutatie in de geldhoeveelheid (LIQWD), correct zijn.</t>
  </si>
  <si>
    <t>80. LIQWD</t>
  </si>
  <si>
    <t xml:space="preserve"> MOOWN</t>
  </si>
  <si>
    <t xml:space="preserve">CGWN*79)/(CGPI/100) + (IOWN*77+IBWN*45)/(IPI/100. De hulpvariabele van de vraag naar </t>
  </si>
  <si>
    <t>Rentevoet (USA Treasury bill rate) op extern uitstaande overheidsmiddelen</t>
  </si>
  <si>
    <t>Norm Liquiditeitsquote</t>
  </si>
  <si>
    <t>I.4</t>
  </si>
  <si>
    <t xml:space="preserve">hun hele inkomen zullen opgeven en daarover belasting betalen. Landbouwers: ook voor deze groep </t>
  </si>
  <si>
    <t>15. IBMWN= IBMWN(-1)*(1+IPP/100)+(INV_MUTWN*PKRSQ)</t>
  </si>
  <si>
    <t xml:space="preserve">gebruikt bij de schatting van de importen t.b.v. bedrijven. </t>
  </si>
  <si>
    <t>112.   HVNI2</t>
  </si>
  <si>
    <t xml:space="preserve">economie) zich bevinden. </t>
  </si>
  <si>
    <t>waarvan Loonbelasting</t>
  </si>
  <si>
    <t>TDGLWN</t>
  </si>
  <si>
    <t xml:space="preserve">mutaties en aantallen worden berekend (zoals hoeveel het aantal mensen onder de armoedegrens </t>
  </si>
  <si>
    <t>ondergrens aluinaarde prijs fonds</t>
  </si>
  <si>
    <t>Exportvolume Aluinaarde in metrieke ton</t>
  </si>
  <si>
    <t>Transport, Storage and Communication</t>
  </si>
  <si>
    <t>Financial Institutions</t>
  </si>
  <si>
    <t>Real Estate and Business Services</t>
  </si>
  <si>
    <t>Public Administration and Defence</t>
  </si>
  <si>
    <t>Education</t>
  </si>
  <si>
    <t>Health</t>
  </si>
  <si>
    <t>Personal, Social and Other Community Services</t>
  </si>
  <si>
    <t>Gross Domestic Product (formal sector)</t>
  </si>
  <si>
    <t>Gross Domestic Product (informal sector minus FISIM)</t>
  </si>
  <si>
    <t>Gross Domestic Product at market prices</t>
  </si>
  <si>
    <t>Concentrechtinv+uitv</t>
  </si>
  <si>
    <t>Leges</t>
  </si>
  <si>
    <t>? de presentatie van de VES+ variant (maatregelen voor budgettaire en monetaire stabiliteit)</t>
  </si>
  <si>
    <t xml:space="preserve">indeling wordt verwezen naar het hoofdstuk “ Structuur van het aangepaste model”. Voor de </t>
  </si>
  <si>
    <t>ALAEMN</t>
  </si>
  <si>
    <t>ALUEMN</t>
  </si>
  <si>
    <t>AOLVN</t>
  </si>
  <si>
    <t>BACEDN</t>
  </si>
  <si>
    <t>GAREDN</t>
  </si>
  <si>
    <t>HOUEKN</t>
  </si>
  <si>
    <t>Er wordt dus niet gewerkt met het saldo van de CBvS.</t>
  </si>
  <si>
    <t>77. SDKRWN</t>
  </si>
  <si>
    <t xml:space="preserve"> KNEOWN</t>
  </si>
  <si>
    <t xml:space="preserve">het geïnvesteerd vermogen door bedrijven van het vorig jaar (BVWN(-1) gecorrigeerd voor 9% (0.09) </t>
  </si>
  <si>
    <t xml:space="preserve">investeringsprijsmutatie </t>
  </si>
  <si>
    <t>volume mutatie goederenuitvoer</t>
  </si>
  <si>
    <t>INV_RAFDBN</t>
  </si>
  <si>
    <t>ExportvolumeTriplex in m3</t>
  </si>
  <si>
    <t xml:space="preserve">Belangrijk is de betalingsbalanssteun in 2001 en 2002. Hierdoor is het mogelijk de Handels- en </t>
  </si>
  <si>
    <t xml:space="preserve">meegenomen. Wat wel mogelijk is, is om van de aanwezige sectoren het gemiddeld loon uit te rekenen </t>
  </si>
  <si>
    <t xml:space="preserve">          trekkingen (disb)</t>
  </si>
  <si>
    <t xml:space="preserve">de opzet gericht is op het Microblok (productie t.b.v. de export). Bij benadering is er wel wat te </t>
  </si>
  <si>
    <t>6. Mobilisatie betalingsbalanssteun (1)</t>
  </si>
  <si>
    <t>Acute sociale maatregelen</t>
  </si>
  <si>
    <t>= Afschrijvingen van de overheid, jaar t</t>
  </si>
  <si>
    <t>IC        Schenkingen</t>
  </si>
  <si>
    <t>II        Uitgaven en Leningen minus aflossingen</t>
  </si>
  <si>
    <t>IIA       Lopende Uitgaven</t>
  </si>
  <si>
    <t xml:space="preserve"> OGEWN(-1)</t>
  </si>
  <si>
    <t>= Overheidsinvesteringen uit verdragmiddelen, jaar t</t>
  </si>
  <si>
    <t xml:space="preserve">PKRSQ </t>
  </si>
  <si>
    <t>proporties is teruggebracht en de deviezenvoorraad stijgt omdat de exporten zijn verbeterd.</t>
  </si>
  <si>
    <t>gedragsvergelijkingen</t>
  </si>
  <si>
    <t xml:space="preserve">de actuele uitvoerwaarde van de belangrijkste exportproducten, jaar t. De uitvoerwaarde van de </t>
  </si>
  <si>
    <t>Realisatie</t>
  </si>
  <si>
    <t>Becijferde liquiditeitsquote LIQWN/BBPMP</t>
  </si>
  <si>
    <t>= Het beschikbaar loon en steuninkomen, jaar t</t>
  </si>
  <si>
    <t xml:space="preserve"> BWN(-1)</t>
  </si>
  <si>
    <t>= Uitvoer van goederen en diensten door de bedrijven, jaar t-1</t>
  </si>
  <si>
    <t xml:space="preserve"> BPP</t>
  </si>
  <si>
    <t>emigratiesaldo som vanaf'54</t>
  </si>
  <si>
    <t>(ABAN/ABAN(-1)-1) plus 30% (0.3) van de mutatie in de potentiële beroepsbevolking (((B1664N-</t>
  </si>
  <si>
    <t>dialoog met de trainees,</t>
  </si>
  <si>
    <t>International Financial Statistics) .</t>
  </si>
  <si>
    <t>Inleiding</t>
  </si>
  <si>
    <t>Het trainingsprogramma januari  – april 2001</t>
  </si>
  <si>
    <t>gewijzigde Overheidsbegroting</t>
  </si>
  <si>
    <t>= Goederen en diensten door de overheid aan de bedrijven, jaar t</t>
  </si>
  <si>
    <t>= Netto materiele consumptie overheid, jaar t-1</t>
  </si>
  <si>
    <t>= (?(Exporthoeveelheden(t)*exportprijzen(t-1)/)BMWN(-1)-1)*100</t>
  </si>
  <si>
    <t xml:space="preserve">= Loonsom van de bedrijven, jaar t -1                      </t>
  </si>
  <si>
    <t>idem zonder micro correctie</t>
  </si>
  <si>
    <t>idem geijkt op micro 1999</t>
  </si>
  <si>
    <t>Schenkingsmiddelen cf.FIN</t>
  </si>
  <si>
    <t>17. Hervatting samenwerking Financiën-Financiën Nederland (O)</t>
  </si>
  <si>
    <t xml:space="preserve">zal dan ook worden aangegeven wat de tekortkomingen van dit model zijn (wat het model wel en niet </t>
  </si>
  <si>
    <t>LIQWN(-1)</t>
  </si>
  <si>
    <t>NBO (uit overz dir.bel)</t>
  </si>
  <si>
    <t xml:space="preserve">? link MICROBLOK die bestaat uit BMWN en IBMWN (regels 98 t/m 100). De derde link </t>
  </si>
  <si>
    <t xml:space="preserve">Surinaamse samenleving met zich mee, dat niet slechts de traditionele sectoren en macro-rekeningen in </t>
  </si>
  <si>
    <t xml:space="preserve">programma's door te rekenen, maar geen bewijskracht heeft, omdat de onverklaarde variantie in de </t>
  </si>
  <si>
    <t>Werkgelegenheidspercentage</t>
  </si>
  <si>
    <t>Bruto Binnenlandsprodukt marktprijzen x Sf miljard</t>
  </si>
  <si>
    <t>Materiële uitgaven uit eigen middelen (projecten)</t>
  </si>
  <si>
    <t xml:space="preserve">De indirecte belastingen op de belangrijkste exportproducten (overige indirecte belastingen op </t>
  </si>
  <si>
    <t xml:space="preserve">  Een programma voor stabilisatie van de Surinaamse economie. Vereniging van Economisten in </t>
  </si>
  <si>
    <t>Wereldmarktprijzen in US$ (Surinaamse exportprijzen)</t>
  </si>
  <si>
    <t>Voorlopige cijfers/schattingen</t>
  </si>
  <si>
    <t>er van uit dat deze importen ook door deze vergelijking worden gedekt. Bron: Betalingsbalans CBvS.</t>
  </si>
  <si>
    <t>66. MOWN</t>
  </si>
  <si>
    <t>Binnenlandse Staatsschuld</t>
  </si>
  <si>
    <t>Buitenlandse Staatsschuld</t>
  </si>
  <si>
    <t xml:space="preserve">is deze sector belangrijk voor de vorming van het inkomen bij gezinnen (loon- en winstinkomen) en de </t>
  </si>
  <si>
    <t>? een stijging van de wisselkoers van Sf 396 voor de US-dollar in 1996 tot ca. Sf 3000 in 2000.</t>
  </si>
  <si>
    <t>Surinaamse prijs geraffineerde aardolieproducten</t>
  </si>
  <si>
    <t>(ABS) en de discussies met sociale partners</t>
  </si>
  <si>
    <t xml:space="preserve">Ink.overdr. om niet van overheid aan gezin. uit eigen middelen (projecten)(OOGWNB1) </t>
  </si>
  <si>
    <t>GOUWN</t>
  </si>
  <si>
    <t>EKAP</t>
  </si>
  <si>
    <t>BASELINE, nog de nodige aanpassingen worden gemaakt, zodat zowel de sectoren als de macro-</t>
  </si>
  <si>
    <t>LMAWN</t>
  </si>
  <si>
    <t xml:space="preserve">combinatie van sociaal economische groep  en inkomensklasse. In tabel 2 (op de volgende pagina) is </t>
  </si>
  <si>
    <t xml:space="preserve">prijs van het voorgaand jaar (RAFSPN(-1)), de mutatie in de wereldmarktprijs van geraffineerde </t>
  </si>
  <si>
    <t>Surinaamseprijs Garnalen SRD/ton</t>
  </si>
  <si>
    <t xml:space="preserve">van het microblok met het model. Voorheen was deze vergelijking als volgt gedefinieerd: IBMWN= </t>
  </si>
  <si>
    <t>inkomensoverdr.om niet van buitl.</t>
  </si>
  <si>
    <t xml:space="preserve">   overige inkomsten:</t>
  </si>
  <si>
    <t>kapitaaloverdr.om niet van gezin.</t>
  </si>
  <si>
    <t>kapitaaloverdr.om niet van buitl.</t>
  </si>
  <si>
    <t xml:space="preserve">  uitgaven:</t>
  </si>
  <si>
    <t xml:space="preserve">gewerkt, waarbij de productie afhankelijk is van de investeringsbeslissing en de </t>
  </si>
  <si>
    <t xml:space="preserve">       Winstuitk uit overh.deelnemingen</t>
  </si>
  <si>
    <t>BRON: SPS, MAART 2005</t>
  </si>
  <si>
    <t>INVESTERINGEN IN DE EXPORTSECTOREN IN MLN USD</t>
  </si>
  <si>
    <t xml:space="preserve">“tegenvallers” is het met de inzet van de participanten toch gelukt het programma af te ronden. </t>
  </si>
  <si>
    <t>Landbouwstatistieken van het Ministerie van LVV; Tabel B-1 (mei  2008)</t>
  </si>
  <si>
    <t>Landbouwstatistieken van het Ministerie van LVV; Tabel B-6 (mei  2008)</t>
  </si>
  <si>
    <t xml:space="preserve">Doordat voor alle variabelen, die van invloed zijn op het uiteindelijke netto inkomen, toekomende </t>
  </si>
  <si>
    <t xml:space="preserve">van  exportgoederen maakt de economie als geheel heel gevoelig voor schommelingen in </t>
  </si>
  <si>
    <t>wereldmarktprijzen.</t>
  </si>
  <si>
    <t>Bij het realiseren van het doel zullen de volgende stappen worden ondernomen:</t>
  </si>
  <si>
    <t xml:space="preserve">investeringen t.o.v. het vorig jaar (volume mutatie; INV_MUTWN*PKRSQ). Bij de invulling van het </t>
  </si>
  <si>
    <t>? de wereldmarktprijzen in SRG (regels 81 t/m 96)</t>
  </si>
  <si>
    <t>= Mutatie in de reële exportvolume, jaar  t</t>
  </si>
  <si>
    <t xml:space="preserve">op de kapitaalmarkt en betalingsbalanssteun is ontvangen.  Dit in tegenstelling tot Ongewijzigd </t>
  </si>
  <si>
    <t xml:space="preserve">? de beschrijving van de gehanteerde beleidsmaatregelen (zie hoofdstuk 4), </t>
  </si>
  <si>
    <t xml:space="preserve">rekeningen voorkomen. Op dit moment is dat nog niet het geval, maar zal tijdens de volgende training </t>
  </si>
  <si>
    <t>? Aanhoudende geldschepping als gevolg van de wijze financiering.</t>
  </si>
  <si>
    <t>belastingquotes</t>
  </si>
  <si>
    <t>hulpvariabelen import</t>
  </si>
  <si>
    <t>= Kapitaaloverdrachten om niet van het buitenland aan de overheid, jaar t</t>
  </si>
  <si>
    <t xml:space="preserve"> ZEBWN(-1)</t>
  </si>
  <si>
    <t xml:space="preserve">van de bruto investeringen van de bedrijven van het voorgaand jaar  (IBWN(-1)). Deze investeringen </t>
  </si>
  <si>
    <t xml:space="preserve">werkelijkheid belasting wordt geheven. Een andere groep waarover met zekerheid is te zeggen dat zij </t>
  </si>
  <si>
    <t xml:space="preserve">geen belasting betalen is de groep werklozen. Wat betreft de AOV’ers gaat waarschijnlijk een zelfde </t>
  </si>
  <si>
    <t>= Omzetbelasting op de importen, jaar t</t>
  </si>
  <si>
    <t>vol</t>
  </si>
  <si>
    <t>4. toelichting op (mogelijke problemen met) cijfers uit het bron materiaal,</t>
  </si>
  <si>
    <t>7. beschrijven van de varianten.</t>
  </si>
  <si>
    <t xml:space="preserve">Mid-year population  </t>
  </si>
  <si>
    <t xml:space="preserve">(MBWN(-1)+MOWN(-1) +(MGWN(-1)) en voor 75% (0.75) door de importen van het actueel jaar </t>
  </si>
  <si>
    <t>(MBWN+MOWN+MGWN).</t>
  </si>
  <si>
    <t>25. TOWN</t>
  </si>
  <si>
    <t xml:space="preserve">    ,,    oude reeks</t>
  </si>
  <si>
    <t>Surinaamseprijs Toerisme SRD/toerist</t>
  </si>
  <si>
    <t>gembest/toerist</t>
  </si>
  <si>
    <t>Directe belastingen</t>
  </si>
  <si>
    <t>21. TDGWN</t>
  </si>
  <si>
    <t xml:space="preserve"> OOGWNP+OOGWNB1+OOGWNB3</t>
  </si>
  <si>
    <t xml:space="preserve"> SOEWN(-1)+HSOEWN+MIDWN+KEOWN</t>
  </si>
  <si>
    <t>SOBWN1+VLTSCH</t>
  </si>
  <si>
    <t xml:space="preserve">De procentuele mutatie in de reële uitvoerwaarde (BVP) wordt per definitie bepaald door de mutatie in </t>
  </si>
  <si>
    <t>-OOGWN-OOEWN+KASTWN -LMAWN</t>
  </si>
  <si>
    <t xml:space="preserve">en de kapitaaloverdrachten om niet van het buitenland aan de overheid in het actueel jaar (KNEOWN). </t>
  </si>
  <si>
    <t>120.   GDBOWN</t>
  </si>
  <si>
    <t>Netto materiele overheidsconsumptie</t>
  </si>
  <si>
    <t xml:space="preserve">jaar (GOUSPN(-1)), de mutatie in de wereldmarktprijs van goud  (GOUWPN/GOUWPN(-1)) en in de </t>
  </si>
  <si>
    <t xml:space="preserve">wisselkoers (PKRSQ/PKRSQ(-1)). De wereldmarktprijs is de berekende prijs die de CENTRALE </t>
  </si>
  <si>
    <t>UOM</t>
  </si>
  <si>
    <t>afzetwaarde in %</t>
  </si>
  <si>
    <t>liquiditeitsquote</t>
  </si>
  <si>
    <t>maken.</t>
  </si>
  <si>
    <t xml:space="preserve">Methodiek: </t>
  </si>
  <si>
    <t>koers3</t>
  </si>
  <si>
    <t xml:space="preserve"> realisatie</t>
  </si>
  <si>
    <t xml:space="preserve"> BEVAN(-1)*1.01365-MIGAN</t>
  </si>
  <si>
    <t xml:space="preserve"> B166N(-1)*(1+B1664P/100)</t>
  </si>
  <si>
    <t xml:space="preserve"> MITAN(-1)+MIGAN</t>
  </si>
  <si>
    <t xml:space="preserve">voor de mutatie in de exportprijs (BPP) en de reële exportvolume (BMVP). Realisaties van de export </t>
  </si>
  <si>
    <t xml:space="preserve">alcoholvrije dranken), belasting op publieke vermakelijkheden, verbruiksbelasting op motorbrandstof </t>
  </si>
  <si>
    <t>hulpvariabele vraag naar arbeid</t>
  </si>
  <si>
    <t>hulpvariabele vraag naar invoer</t>
  </si>
  <si>
    <t xml:space="preserve">Het saldo op de betalingsbalans (SDBBWN) is per definitie gelijk aan de som van het saldo op de </t>
  </si>
  <si>
    <t>Inkomensoverdrachten om niet van de overheid aan de gezinnen</t>
  </si>
  <si>
    <t>? structuur van het aangepaste model in spreadsheet vorm (de herallocatie van variabelen)</t>
  </si>
  <si>
    <t xml:space="preserve">zeggen over de omvang van de binnenlandse economie, maar expliciete schattingen zijn niet te </t>
  </si>
  <si>
    <t xml:space="preserve">die de bauxietmaatschappijen in Suriname in werkelijkheid ontvangen voor dit product. Bron van de </t>
  </si>
  <si>
    <t>Overdrachten om niet uit eigen middelen (projecten)</t>
  </si>
  <si>
    <t>I.2.4</t>
  </si>
  <si>
    <t>BBP per hoofd</t>
  </si>
  <si>
    <t>1. een aangepaste beschrijving van het model en de modelvergelijkingen (zie hoofdstukken 1 t/m 3),</t>
  </si>
  <si>
    <t>afdeling Economische Aangelegenheden (1)</t>
  </si>
  <si>
    <t>10. presenteren van de baseline scenario ongewijzigd beleid, de varianten en de VES+ variant.</t>
  </si>
  <si>
    <t>2. Voedselhulp aan kinderen van sociaal zwakkeren op lagere scholen, crèches etc. (1)</t>
  </si>
  <si>
    <t>opbrengst per hectare in Sf</t>
  </si>
  <si>
    <t xml:space="preserve">gemiddelde heffing op de import (invoerrechten, TMWN) is 8% (0.08). De import waarover </t>
  </si>
  <si>
    <t xml:space="preserve">staatsschuld van het voorgaand jaar (ZOBWN(-1)). Aangezien de Centrale Bank de kassier is van de </t>
  </si>
  <si>
    <t>De consumptieprijsindex (CGPI) is een definitie vergelijking.</t>
  </si>
  <si>
    <t>105.   IPI</t>
  </si>
  <si>
    <t xml:space="preserve">overheid (KNEOWN), de netto ontwikkelingsleningen (MIDWN), de netto particuliere leningen aan de </t>
  </si>
  <si>
    <t>HOOFDTABEL  FLASHREPORT</t>
  </si>
  <si>
    <t xml:space="preserve">wereldmarktprijzen bepalen sterk het beeld van de exporten en ontvangsten van de overheid. De </t>
  </si>
  <si>
    <t>met de consumptieprijs-mutatie (1+CGPP/100-1).</t>
  </si>
  <si>
    <t>92. IBVP</t>
  </si>
  <si>
    <t>rente buitenlandse overheidsschuld</t>
  </si>
  <si>
    <t xml:space="preserve">voornamelijk te gebruiken voor trainingsdoeleinden. T.z.t. moet SPS haar eigen realisaties invullen en </t>
  </si>
  <si>
    <t>terug gaan naar een eigen versie.</t>
  </si>
  <si>
    <t>Overheidsinvesteringen uit buitenlandse leningen</t>
  </si>
  <si>
    <t>I.2.5</t>
  </si>
  <si>
    <t>Consentrecht inv + uitv</t>
  </si>
  <si>
    <t>retributie (bauxiet)</t>
  </si>
  <si>
    <t>Winst CBvS</t>
  </si>
  <si>
    <t>DSB</t>
  </si>
  <si>
    <t>Self Reliance</t>
  </si>
  <si>
    <t>Overige dividend</t>
  </si>
  <si>
    <t>Goud (energielevering)</t>
  </si>
  <si>
    <t>Royalties</t>
  </si>
  <si>
    <t>Inkomsten uit staatsdomeinen</t>
  </si>
  <si>
    <t>Overigen (excl. royalties en energie)</t>
  </si>
  <si>
    <t xml:space="preserve">investeringen van de bedrijven worden verder bepaald door de gemiddelde procentuele mutatie in de </t>
  </si>
  <si>
    <t xml:space="preserve">Het bruto-netto traject: </t>
  </si>
  <si>
    <t xml:space="preserve">gemaakt. De Vereniging van Economisten in Suriname (VES) heeft naar aanleiding hiervan een </t>
  </si>
  <si>
    <t>Exportvolume Natuursteen in ton</t>
  </si>
  <si>
    <t>= Totale afzet  in mln. Srg, jaar t-1</t>
  </si>
  <si>
    <t xml:space="preserve">De centrale overheid is vanwege haar grootte als werkgever niet alleen van belang voor het karakter </t>
  </si>
  <si>
    <t xml:space="preserve">zijn. Het VES+ scenario laat zien hoe duurzame monetaire stabiliteit kan worden gerealiseerd. </t>
  </si>
  <si>
    <t>Winsttransfers bauxietmij.</t>
  </si>
  <si>
    <t>Subsidies en bijdragen overheidsbedrijven en -diensten: (SUBWN)</t>
  </si>
  <si>
    <t xml:space="preserve">evenals de aantallen uit het Surya model. Winsten van grote bedrijven en het aantal werknemers </t>
  </si>
  <si>
    <t>2. Beschrijving van het SURYA MODEL</t>
  </si>
  <si>
    <t>transacties worden onderscheiden:</t>
  </si>
  <si>
    <t xml:space="preserve">voorgaand  jaar (TOESPN(-1)), de mutatie in de wereldmarktprijs van toerisme  </t>
  </si>
  <si>
    <t xml:space="preserve">o Alle experimenten om het model te verbeteren worden vastgelegd ongeacht als die nu wel </t>
  </si>
  <si>
    <t>= Invoer van goederen en diensten door de overheid, jaar t-1</t>
  </si>
  <si>
    <t xml:space="preserve"> MGWN(-1)</t>
  </si>
  <si>
    <t xml:space="preserve">De overdrachten om niet uit schenkingsmiddelen in SRG is gelijk aan de US-dollar waarde, zoals uit de </t>
  </si>
  <si>
    <t>Wereldmarktprijs/gecalculeerde prijs aluminium</t>
  </si>
  <si>
    <t xml:space="preserve">het mogelijk om hen een vast percentage van de bevolking te laten zijn, op basis van historische </t>
  </si>
  <si>
    <t xml:space="preserve">de loonbelasting (0.13*LBESBWN) het grootst. De inning van de inkomstenbelasting wordt hier </t>
  </si>
  <si>
    <t>'= 0,5*SURR/100*SOBWN(-1)</t>
  </si>
  <si>
    <t>Verschillen overall saldo Flashreport / Suryamodel</t>
  </si>
  <si>
    <t>1. Jaarlijkse exportgroei in de rijstsector van 20% tussen 2002 en 2005.</t>
  </si>
  <si>
    <t xml:space="preserve">(SURR) en de binnenlandse staatsschuld van het voorgaand jaar  (SOBWN(-1)). De rentevoet wordt </t>
  </si>
  <si>
    <t>Surinaamse prijs aluminium</t>
  </si>
  <si>
    <t>Surinaamse prijs in SRD</t>
  </si>
  <si>
    <t>= Herwaardering buitenlandse staatsschuld, jaar t</t>
  </si>
  <si>
    <t>Het karakter van de Surinaamse economie</t>
  </si>
  <si>
    <t>HOUT</t>
  </si>
  <si>
    <t>BACOVEN</t>
  </si>
  <si>
    <t>"= CMOWN+CGWN+IOWN+IBWN+BWN-MBWN-MOWN-MGWN</t>
  </si>
  <si>
    <t>deviezenvoorraad</t>
  </si>
  <si>
    <t>125.   LBESBWN= LBWN+LOWN+LEGWN-LBEWN+OEGWN-OGEWN-OGOWN+OOGWN</t>
  </si>
  <si>
    <t xml:space="preserve">De onderhavige cursus, waarvan dit document een weergave is, is een voorloper van een cursus die </t>
  </si>
  <si>
    <t>74. KEBWN= 0,2*IBWN-20*PKRSQ)</t>
  </si>
  <si>
    <t>PARAMARIBO JANUARI  TOT APRIL 2001, Scheveningen mei 2001</t>
  </si>
  <si>
    <t xml:space="preserve">worden gemaakt. Voor de zelfstandigen kan, behalve naar het verschil in groei van de groep van 15 tot </t>
  </si>
  <si>
    <t>bijschatten, RAS)</t>
  </si>
  <si>
    <t>Stichting Planbureau Suriname</t>
  </si>
  <si>
    <t>Jan – Apr 2001</t>
  </si>
  <si>
    <t>Draaiboek SURYA MODEL 2001 VERSIE: MEI 2001</t>
  </si>
  <si>
    <t>MICROBLOK</t>
  </si>
  <si>
    <t>LIQT=LIQWN/BBPMP</t>
  </si>
  <si>
    <t>INV_ALAEMN</t>
  </si>
  <si>
    <t>INV_ALUEMN</t>
  </si>
  <si>
    <t>INV_AOLVN</t>
  </si>
  <si>
    <t>INV_BACEDN</t>
  </si>
  <si>
    <t xml:space="preserve">totale importen van het (MBWN+MOWN+MGWN)/(MBWN(-1)+MOWN(-1)+MGWN(-1)) te </t>
  </si>
  <si>
    <t xml:space="preserve">=WWQN(-1)-0,4*(ABAN/ABAN(-1)*100+0,3*((B1664N-AOAN)/(B1664(-1)-     </t>
  </si>
  <si>
    <t>AOAN(-1)-1)*100</t>
  </si>
  <si>
    <t>Daarnaast is het de bedoeling om inzicht te geven in de totale belasting en premie opbrengsten.</t>
  </si>
  <si>
    <t>= Totale omzetbelasting, jaar t</t>
  </si>
  <si>
    <t>Invoerprijsmutatie</t>
  </si>
  <si>
    <t xml:space="preserve">naar respectieve uitgaven uit schenkingsmiddelen (Projecten), B1 naar geprojecteerde bestedingen te </t>
  </si>
  <si>
    <t>BBPmp lopende prijzen</t>
  </si>
  <si>
    <t>waarbij de volgende sectoren onderscheiden kunnen worden:</t>
  </si>
  <si>
    <t>gem koers Sf/$ officieel</t>
  </si>
  <si>
    <t>"=[Suryamodel24feb06b.xls]Model!B267</t>
  </si>
  <si>
    <t>TOEWPN(-1)</t>
  </si>
  <si>
    <t xml:space="preserve"> YBWN  + LOWN. Het Bruto Binnenlands</t>
  </si>
  <si>
    <t xml:space="preserve"> BBPmp + TKWN + SUBWN</t>
  </si>
  <si>
    <t>LBBWN(-1)*(1+(0.75*CGPP+0.25*CGPP(-1))/100)*ABAN/ABAN(-1)</t>
  </si>
  <si>
    <t xml:space="preserve">medewerkers verder kunnen worden getraind en hoe men kennis kan maken met de nieuwste </t>
  </si>
  <si>
    <t xml:space="preserve">1. Het is zaak te beklemtonen, dat een macro model wel een handig hulpmiddel is om economische </t>
  </si>
  <si>
    <t xml:space="preserve">buitenland (KEOWN). De realisaties zijn een afgeleide van de definitievergelijking. Er wordt dus niet </t>
  </si>
  <si>
    <t xml:space="preserve">buitenlandse Staatsschuld (SOEWN) en de gemiddelde rentevoet za. gemeten door de "treasury bill </t>
  </si>
  <si>
    <t>126.   ZBESBWN= YBWN-LBWN +ZEBWN-ZEWN+ZOEWN-ZBOWN+ZOBWN+SUBWN-</t>
  </si>
  <si>
    <t xml:space="preserve">stellen en prognoses te maken (de zgn. primaire variabelen) en afgeleide variabelen die ondersteunend </t>
  </si>
  <si>
    <t>= Indirecte belastingdruk, jaar t-1</t>
  </si>
  <si>
    <t xml:space="preserve">(RIJSPN(-1)), de mutatie in de wereldmarktprijs van rijst  (RIJWPN/RIJWPN(-1)) en in de wisselkoers </t>
  </si>
  <si>
    <t>officiële deviezen in maanden invoer</t>
  </si>
  <si>
    <t xml:space="preserve"> ((HVNI1/HVNI1(-1))-1)*100</t>
  </si>
  <si>
    <t xml:space="preserve"> ' HVNA2'*(1+YBVP/100)</t>
  </si>
  <si>
    <t xml:space="preserve"> ' BVWN'(-1)*(1-0.09)+IBWN</t>
  </si>
  <si>
    <t xml:space="preserve">(POVERTY MODULE) op te nemen die een indruk moet geven van de inkomensverdeling van enkele </t>
  </si>
  <si>
    <t xml:space="preserve">wel, dat indien er gefinancierd wordt via het hoofdelijk omslagstelsel, hierbij worden lopende uitgaven </t>
  </si>
  <si>
    <t>BEVAN(-1)</t>
  </si>
  <si>
    <t>= Goederen en diensten door de overheid aan de gezinnen, jaar t-1</t>
  </si>
  <si>
    <t>HOUWPN</t>
  </si>
  <si>
    <t>RIJWPN</t>
  </si>
  <si>
    <t>TRIWPN</t>
  </si>
  <si>
    <t>RAFWPN</t>
  </si>
  <si>
    <t>GOUWPN</t>
  </si>
  <si>
    <t>VISWPN</t>
  </si>
  <si>
    <t xml:space="preserve">Export volume </t>
  </si>
  <si>
    <t xml:space="preserve">BMWN  </t>
  </si>
  <si>
    <t>RAFDBN</t>
  </si>
  <si>
    <t>OEOWN</t>
  </si>
  <si>
    <t>Hydro</t>
  </si>
  <si>
    <t>Offshore participation</t>
  </si>
  <si>
    <t>Subtotal Projects</t>
  </si>
  <si>
    <t>Total Investments</t>
  </si>
  <si>
    <t>Staatsolie's Investments (share)</t>
  </si>
  <si>
    <t>Production (crude 000 bbls)</t>
  </si>
  <si>
    <t>Production (000 bbls)</t>
  </si>
  <si>
    <t>Fuel Oil</t>
  </si>
  <si>
    <t>Gasoil</t>
  </si>
  <si>
    <t>Gasoline</t>
  </si>
  <si>
    <t>Bitumen</t>
  </si>
  <si>
    <t>Sulfuric Acid</t>
  </si>
  <si>
    <t>Export (000 bbls)</t>
  </si>
  <si>
    <t xml:space="preserve">STAATSOLIE DATA </t>
  </si>
  <si>
    <t>Lokale afzet (waarden)</t>
  </si>
  <si>
    <t>Totale Importreductie</t>
  </si>
  <si>
    <t>x1000 USD</t>
  </si>
  <si>
    <t>x1000 SRD</t>
  </si>
  <si>
    <t>Mutatie importreductie</t>
  </si>
  <si>
    <t>Revenue (USD)</t>
  </si>
  <si>
    <t>Prijzen (deze prijzen zijn afgeleid v/d opbrengsten)</t>
  </si>
  <si>
    <t xml:space="preserve">  Algemeen Bureau voor de Statistiek, Statistische Jaarboeken.</t>
  </si>
  <si>
    <t xml:space="preserve">Investeringen in Mln US-dollar </t>
  </si>
  <si>
    <t xml:space="preserve">“Suriname – IMF 2001 Article IV Consultation Final Statement”. TECHNISCHE BASELINE is </t>
  </si>
  <si>
    <t xml:space="preserve">het vorig jaar (HPEPWI(-1)/MPI(-1) zou verwachten, en de feitelijke omvang van de werkgelegenheid </t>
  </si>
  <si>
    <t>Accijns bier</t>
  </si>
  <si>
    <t>Accijns T &amp; S</t>
  </si>
  <si>
    <t xml:space="preserve">of niet het beoogde resultaat hebben bereikt. Hierdoor kan veel onnodig denkwerk </t>
  </si>
  <si>
    <t xml:space="preserve">De Surinaamse prijs van aluminium (ALUSPN) is afhankelijk van de Surinaamse prijs van het </t>
  </si>
  <si>
    <t>= Arbeidsplaatsen bij de bedrijven * 1000, jaar t-1</t>
  </si>
  <si>
    <t>= Indirecte belastingdruk, jaar t</t>
  </si>
  <si>
    <t xml:space="preserve">cursisten zoveel als mogelijk bekend te maken met de vele facetten van het gebruik van het model. De </t>
  </si>
  <si>
    <t>OEGWN</t>
  </si>
  <si>
    <t>= Saldo op de Betalingsbalans op kasbasis in mln. Srg, jaar t</t>
  </si>
  <si>
    <r>
      <t xml:space="preserve">Totale Buitenlandse schuld in mln. USD - </t>
    </r>
    <r>
      <rPr>
        <b/>
        <sz val="7.5"/>
        <rFont val="Arial"/>
        <family val="2"/>
      </rPr>
      <t>def. Wet op de Staatsschuld</t>
    </r>
  </si>
  <si>
    <t>Binnenlandse schuld naar crediteur</t>
  </si>
  <si>
    <t>1. Maximale loonaanpassing van 25% gedurende stabilisatiefase (1)</t>
  </si>
  <si>
    <t>Bevolking                  *1000</t>
  </si>
  <si>
    <t xml:space="preserve">toekomst ook dit percentage aangepast dient te worden. Voor de aanpassing van deze vergelijking t.b.v. </t>
  </si>
  <si>
    <t xml:space="preserve">383). Deze regels zijn bedoeld om de becijferingen van de variabelen BMWN, BMVP en BPP te </t>
  </si>
  <si>
    <t>vergemakkelijken.</t>
  </si>
  <si>
    <t xml:space="preserve"> 2007
in SRD.
Miljoen</t>
  </si>
  <si>
    <t>Ontvangsten volgens de CBvS</t>
  </si>
  <si>
    <t>RIJEDN(-1) X RIJSPN</t>
  </si>
  <si>
    <t xml:space="preserve">loonbelasting, Vermogensbelasting, Huurwaarde belasting, Successie- en overgangsrechten en Loterij </t>
  </si>
  <si>
    <t xml:space="preserve">werkelijke importen. De wegingsfactor schijnt over de afgelopen jaren vrij stabiel te zijn. </t>
  </si>
  <si>
    <t>Schenkingsmiddelen</t>
  </si>
  <si>
    <t>De reële bruto investeringen</t>
  </si>
  <si>
    <t xml:space="preserve">ook rekening gehouden met AKB en FB om goed inzicht te krijgen in de netto inkomens. Iets dat de </t>
  </si>
  <si>
    <t>= Bruto investeringen in de exportsector, jaar t-1</t>
  </si>
  <si>
    <t xml:space="preserve">? De deviezenvoorraad blijft op het niveau van 2000, m.a.w. niet boven een maand import, maar ook   </t>
  </si>
  <si>
    <t xml:space="preserve">Door de jaren heen is het gemiddelde belastingpercentage aangepast voor veranderingen in de </t>
  </si>
  <si>
    <t xml:space="preserve">voor het maken van prognoses nodig is te beschikken over tenminste twee jaar aan historische data van </t>
  </si>
  <si>
    <t>Indirecte belastingen belangrijkste exportproducten</t>
  </si>
  <si>
    <t>exportprijs olie</t>
  </si>
  <si>
    <t>20. Het moderniseren van de infrastructuur bij de Centrale Begrotings Boekhouding. (3)</t>
  </si>
  <si>
    <t xml:space="preserve">prijsverlagende subsidies (SUBWN) en de indirecte belastingen op de belangrijkste exportproducten </t>
  </si>
  <si>
    <t xml:space="preserve">? de financiering van deze tekorten d.m.v. kredieten van de Centrale Bank van  Suriname. In 2000 </t>
  </si>
  <si>
    <t xml:space="preserve">De taken toebedeeld aan de afdeling Macro-Economische planning van de Stichting Planbureau </t>
  </si>
  <si>
    <t>II.5.5</t>
  </si>
  <si>
    <t xml:space="preserve">inkomstenbelasting op lichamen. Het inkomen waarover belasting geheven wordt, wordt bepaald door </t>
  </si>
  <si>
    <t>HVNI2</t>
  </si>
  <si>
    <t>Minerale producten (o.a. ruwe olie)</t>
  </si>
  <si>
    <t>MVP</t>
  </si>
  <si>
    <t>decompositie % prijs particuliere consumptie</t>
  </si>
  <si>
    <t>II.5.8</t>
  </si>
  <si>
    <t xml:space="preserve">consumptieprijsmutatie </t>
  </si>
  <si>
    <t>3. Liberalisatie internationaal lopend verkeer (2)</t>
  </si>
  <si>
    <t xml:space="preserve">De herwaardering van de goud- en deviezenvoorraad (GOUWN) wordt bepaald door de </t>
  </si>
  <si>
    <t>= Consumptieprijsmutatie, jaar t</t>
  </si>
  <si>
    <t xml:space="preserve">(ALAWPN/ALAWPN(-1)) en in de wisselkoers (PKRSQ/PKRSQ(-1)). De wereldmarktprijs is de prijs </t>
  </si>
  <si>
    <t>Netto winst excl. Bauxiet en Goud</t>
  </si>
  <si>
    <t>= Surinaamse prijs goud, jaar t-1</t>
  </si>
  <si>
    <t>= Wereldmarktprijs goud, jaar t</t>
  </si>
  <si>
    <t>gezinsconsumptie (vol.)</t>
  </si>
  <si>
    <t>overheidsconsumptie (vol.)</t>
  </si>
  <si>
    <t>De indeling van het exogeen blok is als volgt:</t>
  </si>
  <si>
    <t>1. het MICROBLOK die bestaat uit:</t>
  </si>
  <si>
    <t>REELP</t>
  </si>
  <si>
    <t>ABAN</t>
  </si>
  <si>
    <t>AOAN</t>
  </si>
  <si>
    <t>BEVAN</t>
  </si>
  <si>
    <t>B1664N</t>
  </si>
  <si>
    <t>WWQN</t>
  </si>
  <si>
    <t>Uitvoer van goederen en diensten door bedrijven (BWN)</t>
  </si>
  <si>
    <t xml:space="preserve">De aandacht is dan voornamelijk op de begroting, de geldschepping en de monetaire reserve. De </t>
  </si>
  <si>
    <t xml:space="preserve">structurele en feitelijke vraag naar arbeid en dat de doorwerking van een verandering in de structurele </t>
  </si>
  <si>
    <t>de vervangen door de groei van de toegevoegde waarde in de particuliere sector een goede alternatief.</t>
  </si>
  <si>
    <t>Overige hulpvariabelen</t>
  </si>
  <si>
    <t xml:space="preserve">Dienstenbalans. Het saldo verbetert met ca. US$ 47 mln t.o.v. 2000. De negatieve cijfers tussen </t>
  </si>
  <si>
    <t xml:space="preserve">tot eind april een gericht trainingsprogramma opgesteld voor het macro model team, zodanig dat ze </t>
  </si>
  <si>
    <t xml:space="preserve">daarna in staat zijn de nodige berekeningen ten behoeve van het MOP uit te voeren. Het team bestaat </t>
  </si>
  <si>
    <t>afschrijvingen van de bedrijven</t>
  </si>
  <si>
    <t>BASIS INPUT SECTOR BUITENLAND:</t>
  </si>
  <si>
    <t xml:space="preserve">belastingdrempel en belastingschijven. Het aangepaste percentage is verkregen middels calibratie. Dit </t>
  </si>
  <si>
    <t>Groei rijstexport</t>
  </si>
  <si>
    <t>check BBP (moet 0 zijn)</t>
  </si>
  <si>
    <t>aan afschrijvingen en de bruto investeringen van de bedrijven (IBWN).</t>
  </si>
  <si>
    <t xml:space="preserve">door de mutatie in de bruto-investeringen van de bedrijven (IBWN/IBWN(-1)) te defleren met de </t>
  </si>
  <si>
    <t>investeringsprijsmutatie (1+IPP/100-1).</t>
  </si>
  <si>
    <t>93. IOVP</t>
  </si>
  <si>
    <t>IOWN(-1)</t>
  </si>
  <si>
    <t>vol.mut.btw.bedr.Bedrijfstakmethode</t>
  </si>
  <si>
    <t>statistisch verschil btw bedrijven</t>
  </si>
  <si>
    <t>arbeidsplaatsen overheid</t>
  </si>
  <si>
    <t>arbeidsplaatsen totaal</t>
  </si>
  <si>
    <t>bevolking</t>
  </si>
  <si>
    <t>reele groei BBP per hoofd</t>
  </si>
  <si>
    <t>opgenomen in KEOWN.</t>
  </si>
  <si>
    <t>55. KEOWN= KEOWN*PKRSQ</t>
  </si>
  <si>
    <t>Structuur van het aangepaste model (TECHNISCHE BASELINE )</t>
  </si>
  <si>
    <t>BWN(-1)</t>
  </si>
  <si>
    <t>IBMWN(-1)</t>
  </si>
  <si>
    <t>Tabel 3.1.4 Handel met handelsblokken: kwartaal importen in US dollar, Handelsstatistieken</t>
  </si>
  <si>
    <r>
      <t xml:space="preserve">Consentrecht* inv + uitv </t>
    </r>
    <r>
      <rPr>
        <i/>
        <sz val="10"/>
        <rFont val="Arial"/>
        <family val="2"/>
      </rPr>
      <t>(NBO)</t>
    </r>
  </si>
  <si>
    <r>
      <t xml:space="preserve">Retributie bauxiet* </t>
    </r>
    <r>
      <rPr>
        <i/>
        <sz val="10"/>
        <rFont val="Arial"/>
        <family val="2"/>
      </rPr>
      <t>(NBO)</t>
    </r>
  </si>
  <si>
    <r>
      <t xml:space="preserve">Retributie aluinaarde* </t>
    </r>
    <r>
      <rPr>
        <i/>
        <sz val="10"/>
        <rFont val="Arial"/>
        <family val="2"/>
      </rPr>
      <t>(NBO</t>
    </r>
    <r>
      <rPr>
        <sz val="10"/>
        <rFont val="Arial"/>
        <family val="2"/>
      </rPr>
      <t>)</t>
    </r>
  </si>
  <si>
    <t>GAREDN X GARSPN(-1)</t>
  </si>
  <si>
    <t xml:space="preserve">6. In de Nationale Rekeningen van het ABS is de sterk toegenomen goudsector niet opgenomen. Hier </t>
  </si>
  <si>
    <t xml:space="preserve">in de Surinaamse economie (geen of weinig huishoudonderzoeken). In het model is de </t>
  </si>
  <si>
    <t>Beschrijving van de Modelvergelijkingen</t>
  </si>
  <si>
    <t>BEDRIJVEN</t>
  </si>
  <si>
    <t>GEZINNEN</t>
  </si>
  <si>
    <t>4. Consumptie en besparingen (voor zover toepasbaar) uit het beschikbaar inkomen.</t>
  </si>
  <si>
    <t>RAFSPN</t>
  </si>
  <si>
    <t>GOUSPN</t>
  </si>
  <si>
    <t>NATSPN</t>
  </si>
  <si>
    <t>geraadpleegd worden (CBvS, Min v Fin, ABS, IMF enz.)</t>
  </si>
  <si>
    <t>Rest van de wereld excl olie</t>
  </si>
  <si>
    <t>Totaal =1,00</t>
  </si>
  <si>
    <t>Prijsmutatie in US$</t>
  </si>
  <si>
    <t xml:space="preserve">betreffend jaar almede het gemiddelde van alle jaren waarin hetzelfde belastingregime gangbaar is. </t>
  </si>
  <si>
    <t>22. TDBWN</t>
  </si>
  <si>
    <t xml:space="preserve"> TDBWN(-1)</t>
  </si>
  <si>
    <t xml:space="preserve">(BEVAN(-1)) gecorrigeerd met de natuurlijke aanwas  van ca. 1% (1.01365) minus het migratiesaldo </t>
  </si>
  <si>
    <t>NATEKN X NATSPN(-1)</t>
  </si>
  <si>
    <t>TOEVN X TOESPN(-1)</t>
  </si>
  <si>
    <t>VISEKN X VISSPN(-1)</t>
  </si>
  <si>
    <t>CBvS</t>
  </si>
  <si>
    <t>total</t>
  </si>
  <si>
    <t>goudsector. Maar dan dienen de lonen van deze sector apart becijferd en meegenomen te worden.</t>
  </si>
  <si>
    <t>Suriname. Paramaribo, 6 oktober 2000.</t>
  </si>
  <si>
    <t xml:space="preserve">  Idem, blz 16 en 17.</t>
  </si>
  <si>
    <t>Raming rest van de wereld excl olie</t>
  </si>
  <si>
    <t>KEOWN</t>
  </si>
  <si>
    <t>KBOWN</t>
  </si>
  <si>
    <t xml:space="preserve">dienstenbalans te financieren (en de wisselkoers te ondersteunen). </t>
  </si>
  <si>
    <t>= Surinaamse prijs natuursteen, jaar t-1</t>
  </si>
  <si>
    <t xml:space="preserve">uit de medewerkers van de afdeling MEP: drs. Lilian Tangali-Menke (hoofd MEP), drs. Malty </t>
  </si>
  <si>
    <t>? Diverse literatuur (zie literatuurlijst)</t>
  </si>
  <si>
    <t>VWN</t>
  </si>
  <si>
    <t>YIWN</t>
  </si>
  <si>
    <t>VWP</t>
  </si>
  <si>
    <t xml:space="preserve">   Overheid</t>
  </si>
  <si>
    <t xml:space="preserve">netto materiële overheidsconsumptie (CMOWN), de loonsom van de overheid (LOWN), de </t>
  </si>
  <si>
    <t>Lopende rekening</t>
  </si>
  <si>
    <t>Totale Dienstenverkeer (ontvangsten)</t>
  </si>
  <si>
    <t>Invoer</t>
  </si>
  <si>
    <t xml:space="preserve">nieuw beleid o.b.v. het aanpassingsprogramma zoals voorgesteld door de VES (VES+ variant) </t>
  </si>
  <si>
    <t xml:space="preserve">De inkomensoverdrachten om niet van het buitenland aan de overheid  zijn schenkingen die als </t>
  </si>
  <si>
    <t xml:space="preserve">beschikking zullen zijn. Deze post moet “geupdate” worden, maar het is nog moeilijk de scheiding te </t>
  </si>
  <si>
    <t xml:space="preserve">is de inflatie nog ca 52%. Dit is voornamelijk het gevolg van de afschaffing van de subsidies en de </t>
  </si>
  <si>
    <t xml:space="preserve">10 procentpunten, waarvan 8 procentpunten tussen 2000 – 2002. De totale consumptie daalt het </t>
  </si>
  <si>
    <t>39. CMOWNB2</t>
  </si>
  <si>
    <t>De reële exporten</t>
  </si>
  <si>
    <t>: BWN*44 / (BPI/100)</t>
  </si>
  <si>
    <t>Indirect taxes</t>
  </si>
  <si>
    <t>Kapitaal uit het buitenl. Aan bedr.</t>
  </si>
  <si>
    <t>Officiele netto buitenl.kapitaaal aan bedr.</t>
  </si>
  <si>
    <t xml:space="preserve">in de waarde van de gezinsconsumptie (CGWN/CGWN(-1)) te defleren met de consumptieprijsmutatie </t>
  </si>
  <si>
    <t>koers</t>
  </si>
  <si>
    <t>Omzetbelasting op de toegevoegde waarde</t>
  </si>
  <si>
    <t>INV_GOUEDN</t>
  </si>
  <si>
    <t>INV_NATEKN</t>
  </si>
  <si>
    <t>INV_TOEVN</t>
  </si>
  <si>
    <t>INV_VISEKN</t>
  </si>
  <si>
    <t>VLTSCH(-1)</t>
  </si>
  <si>
    <t>BVWN(-1)</t>
  </si>
  <si>
    <t>3. aantal personen binnen een inkomensgroep dat onder de poverty line zit;</t>
  </si>
  <si>
    <t xml:space="preserve">systematisch in beeld te brengen, hiaten in de cijfers bij te schatten, toekomst scenario's te </t>
  </si>
  <si>
    <t>Totaal uitgaven, incl uit schenkingen en leningen minus aflossingen</t>
  </si>
  <si>
    <t xml:space="preserve">LINK MICROBLOK </t>
  </si>
  <si>
    <t>saldo Goederen en diensten rekening</t>
  </si>
  <si>
    <t>Saldo op de kapitaalrekening op kasbasis (C+B)</t>
  </si>
  <si>
    <t>Statistische verschil (rubriek D in BoP CBvS</t>
  </si>
  <si>
    <t>Overige NBO Ontvangsten uit ODB</t>
  </si>
  <si>
    <t>Overige NBO Ontvangsten uit OIA</t>
  </si>
  <si>
    <t xml:space="preserve">  </t>
  </si>
  <si>
    <t>goed.en d.door bedr.aan overheid</t>
  </si>
  <si>
    <t xml:space="preserve">  waarvan bruto invest.overheid</t>
  </si>
  <si>
    <t xml:space="preserve">  P.M. directe invoer:zie boven</t>
  </si>
  <si>
    <t>afschrijvingen</t>
  </si>
  <si>
    <t xml:space="preserve">daarna de vergelijkingen individueel besproken worden zoals die in het SURYA MODEL zijn </t>
  </si>
  <si>
    <t>45. OOGWNB3= OOGWN3(-1)*LOWN/LOWN(-1)</t>
  </si>
  <si>
    <t>OOGWN3(-1)</t>
  </si>
  <si>
    <t>Ministerie van Landbouw, Veeteelt, Visserij en Bosbouw; Landsbosbeheer</t>
  </si>
  <si>
    <t xml:space="preserve">het voorgaand jaar (SOBWN1(-1)), de netto particuliere leningen aan de overheid uit het binnenland </t>
  </si>
  <si>
    <t xml:space="preserve">(STUSECO) heeft met het SPS, en anderzijds uit de bijzondere situatie waarin de huidige regering (en </t>
  </si>
  <si>
    <t>Geconsolideerde vlottende Staatsschuld</t>
  </si>
  <si>
    <t>Netto ontwikkelingsleningen</t>
  </si>
  <si>
    <t>? belastingquotes (regels 236 t/m 238)</t>
  </si>
  <si>
    <t xml:space="preserve">beste resultaten worden gezocht. </t>
  </si>
  <si>
    <t>Exogenen monetair</t>
  </si>
  <si>
    <t>Noord Amerika</t>
  </si>
  <si>
    <t xml:space="preserve">De afzetwaarde exclusief de loonsom van de overheid en de exporten (YIWN) is per definitie gelijk </t>
  </si>
  <si>
    <t xml:space="preserve">Ministerie van Landbouw, Veeteelt, Visserij en Bosbouw; Visserijdienst, Sail, </t>
  </si>
  <si>
    <t xml:space="preserve">Inkomensoverdrachten om niet van het buitenland aan de gezinnen </t>
  </si>
  <si>
    <t>= Saldo particulier kapitaal uit het buitenland , jaar t</t>
  </si>
  <si>
    <t xml:space="preserve"> KEOWN</t>
  </si>
  <si>
    <t>de toevoeging van de vreemde valuta bezittingen tot het geldbegrip in Suriname)</t>
  </si>
  <si>
    <t>81. DEVWN</t>
  </si>
  <si>
    <t>DEVWN(-1)</t>
  </si>
  <si>
    <t>Het Buitenland</t>
  </si>
  <si>
    <t>netto ontwikkelingsleningen</t>
  </si>
  <si>
    <t>FIN/CBvS</t>
  </si>
  <si>
    <t>Loonsom van de overheid</t>
  </si>
  <si>
    <t xml:space="preserve">De samenstelling van de POVERTY MODULE geschiedt door de heer Jurrie de Hart in het kader van </t>
  </si>
  <si>
    <t>P.M.ink.overdrachten B&gt;O hieronder</t>
  </si>
  <si>
    <t xml:space="preserve">d het beleid van eind jaren negentig hyperinflatie en koopkrachtverlies een voortdurend verschijnsel </t>
  </si>
  <si>
    <r>
      <t xml:space="preserve">Aanvraag restitutie </t>
    </r>
    <r>
      <rPr>
        <i/>
        <sz val="10"/>
        <rFont val="Arial"/>
        <family val="2"/>
      </rPr>
      <t>(NBO)</t>
    </r>
  </si>
  <si>
    <t>Nationale Reken.</t>
  </si>
  <si>
    <t>Koersen</t>
  </si>
  <si>
    <t>Stocks</t>
  </si>
  <si>
    <t>blanco=</t>
  </si>
  <si>
    <t>definitievergelijking</t>
  </si>
  <si>
    <t xml:space="preserve">breuk </t>
  </si>
  <si>
    <t>Micro Blok</t>
  </si>
  <si>
    <t>GPS</t>
  </si>
  <si>
    <t xml:space="preserve">meegenomen. De hoogte van de AOV-uitkering is bekend bij de overheid en natuurlijk ook bij de </t>
  </si>
  <si>
    <t>netto reële loon bedrijven</t>
  </si>
  <si>
    <t xml:space="preserve">Het aanpassen van het macro model bestond uit het veranderen van de opzet van de spreadsheet versie </t>
  </si>
  <si>
    <t>GARSPN(-1)</t>
  </si>
  <si>
    <t>? de variabelen m.b.t. de overheidsschulden (regels 169 t/m 173)</t>
  </si>
  <si>
    <t>Saldo Lopende rekening</t>
  </si>
  <si>
    <t>Kapitaal rekening</t>
  </si>
  <si>
    <t>In % finale afzet bedrijven:</t>
  </si>
  <si>
    <t>Perunage</t>
  </si>
  <si>
    <t>De invoerprijsmutatie (MPP) is slechts afhankelijk van de wisselkoersontwikkeling (PKRSQ/PKRSQ(-</t>
  </si>
  <si>
    <t xml:space="preserve">3. Jaarlijkse additionele investeringen uit de schenkingsmiddelen van US$ 20 in de rijstsector en </t>
  </si>
  <si>
    <t>toerisme.</t>
  </si>
  <si>
    <t>Legenda : O   = onmiddellijk</t>
  </si>
  <si>
    <t xml:space="preserve">1   = eerste kwartaal van uitvoering </t>
  </si>
  <si>
    <t xml:space="preserve"> ABAN</t>
  </si>
  <si>
    <t>? de variabelen m.b.t. de financiering van de begroting (regels 161 t/m 164)</t>
  </si>
  <si>
    <t>realisaties voor de economische groei en de inflatie. Zie ook PKRSQ, YBVP en CGPP.</t>
  </si>
  <si>
    <t>1. ALASPN= ALASPN(-1)*(ALAWPN/ALAWPN(-1))*(PKRSQ/PKRSQ(-1))</t>
  </si>
  <si>
    <t>3. AOLSPN=AOLSPN(-1)*AOLWPN/AOLWPN(-1)*PKRSQ/PKRSQ(-1)</t>
  </si>
  <si>
    <t>= Surinaamse prijs aardolie, jaar t-1</t>
  </si>
  <si>
    <t>= Wereldmarktprijs aardolie, jaar t</t>
  </si>
  <si>
    <t xml:space="preserve">staatsschuld exclusief de geconsolideerde vlottende staatsschuld (SOBWN1) en de geconsolideerde </t>
  </si>
  <si>
    <t>= Surinaamse prijs aluinaarde, jaar t-1</t>
  </si>
  <si>
    <t>10. GOUSPN = GOUSPN(-1)*GOUWPN/GOUWPN(-1)*PKRSQ/PKRSQ(-1)</t>
  </si>
  <si>
    <t>Overige inkomsten uit staatsdomeinen</t>
  </si>
  <si>
    <t>dividend:</t>
  </si>
  <si>
    <t>Telesur</t>
  </si>
  <si>
    <t>Totaal NBO</t>
  </si>
  <si>
    <t>Uitvoerprijsindex</t>
  </si>
  <si>
    <t>Investeringsprijsindex</t>
  </si>
  <si>
    <t>Vervolgingskosten  [Dir.Bel.]</t>
  </si>
  <si>
    <t>winst per ha in $ p.j.</t>
  </si>
  <si>
    <t>'=macmicdata!B314</t>
  </si>
  <si>
    <t>Inkomensoverdrachten om niet van de gezinnen aan de overheid</t>
  </si>
  <si>
    <t xml:space="preserve">afgestudeerde Nederlandse econoom, voor een periode van zes maanden als stagiaire aan te stellen. </t>
  </si>
  <si>
    <t xml:space="preserve">veranderingen in de belastingdrempel en belastingschijven. Het aangepaste percentage is verkregen </t>
  </si>
  <si>
    <t xml:space="preserve">niveau van het voorgaand jaar (OGOWN(-1)) en de mutatie in de totale loonsom </t>
  </si>
  <si>
    <t>Inkomensoverdrachten om niet van de gezinnen aan het buitenland (OGEWN)</t>
  </si>
  <si>
    <t>Overig (OEOWN)</t>
  </si>
  <si>
    <t xml:space="preserve">Deze variabele is nog niet echt actief in het model. De bedoeling was/is om de schenkingen beter te </t>
  </si>
  <si>
    <t xml:space="preserve">mutatie in de bruto toegevoegde waarde van bedrijven tegen marktprijzen  (1+YBVP/100)-1. </t>
  </si>
  <si>
    <t xml:space="preserve">van Suriname. De totalen per inkomensklasse zijn nu bekend. Naast de aantallen per inkomensklasse </t>
  </si>
  <si>
    <t>= Werelmarktprijs aluminium, jaar t-1</t>
  </si>
  <si>
    <t xml:space="preserve">gezinnen af te trekken (-MOWN-MGWN). Ook hier zijn de realisaties uit de Betalingsbalans van de </t>
  </si>
  <si>
    <t>CBvS laag. Zie BWN.</t>
  </si>
  <si>
    <t>Nieuwe producten</t>
  </si>
  <si>
    <t>Wereldmarktprijs nieuwe producten</t>
  </si>
  <si>
    <t>Surinaamse prijs nieuwe producten</t>
  </si>
  <si>
    <t xml:space="preserve">ontwikkeling van de inflatie (CGPP). Naarmate de prijzen stijgen zullen mensen meer geld naar het </t>
  </si>
  <si>
    <t>loonsom  overheid in %BBP</t>
  </si>
  <si>
    <t>landsdienaren in % bevolking</t>
  </si>
  <si>
    <t xml:space="preserve">  aandelen in BBPin %</t>
  </si>
  <si>
    <t>Consumptie gezinnen</t>
  </si>
  <si>
    <t xml:space="preserve">een spanningsgrootheid die de structurele vraag naar arbeid weergeeft. De variabele geeft de relatie aan </t>
  </si>
  <si>
    <t xml:space="preserve">voor de sectorrekeningen (bedrijven, de overheid, gezinnen en het buitenland). Daarna volgen het </t>
  </si>
  <si>
    <t>invoer goed+dienst.door bedrijven</t>
  </si>
  <si>
    <t>invoer goed.+dienst.door overheid</t>
  </si>
  <si>
    <t xml:space="preserve">sociaal beleid, hebben de noodzaak voor het opnieuw aanpassen van de economie tot een verplichting </t>
  </si>
  <si>
    <t>Overheidsgaranties (niet afgeroepen) in mln. USD</t>
  </si>
  <si>
    <t xml:space="preserve">de productie daarvan stopgezet) Goud, Aardolie, Geraffineerde aardolieproducten, Natuursteen </t>
  </si>
  <si>
    <t xml:space="preserve">(momenteel niet opgenomen), Rijstproducten, Bacove/Bananen, Garnalen, Vis, Rondhout, Verwerkte </t>
  </si>
  <si>
    <t>houtproducten en Toerisme.</t>
  </si>
  <si>
    <t xml:space="preserve"> (0.9*LBESBWN+0.2*ZBESBWN+0.2*ZBESBWN(-1))*(1-TDGQ/100)</t>
  </si>
  <si>
    <t>BPI(-1)</t>
  </si>
  <si>
    <t>= Goederen en diensten door de overheid aan de bedrijven, jaar t-1</t>
  </si>
  <si>
    <t xml:space="preserve">vooral de vervangingsinvesteringen en voorraden, is besloten slechts met de vervangingsinvesteringen </t>
  </si>
  <si>
    <t xml:space="preserve">LANDBOUW, VEETEELT, VISSERIJ EN BOSBOUW. In gevallen waarbij de bovengenoemde prijs </t>
  </si>
  <si>
    <t>idem + toegerekende rentelasten</t>
  </si>
  <si>
    <t>loonkosten+invoerprijs</t>
  </si>
  <si>
    <t xml:space="preserve">= Overig inkomen naar het buitenland, jaar t            </t>
  </si>
  <si>
    <t>Fiscale boete [Ind.Bel.]</t>
  </si>
  <si>
    <t>Consentrecht [Ind.Bel.]</t>
  </si>
  <si>
    <t>Endogenen Microblok</t>
  </si>
  <si>
    <t>Norm maximum tekort 5% BBP</t>
  </si>
  <si>
    <t xml:space="preserve">later in het jaar gepland is. Deze cursus heeft dus een voorbereidende karakter, met het doel de </t>
  </si>
  <si>
    <t>IIIA3     CBvS overigen (netto)</t>
  </si>
  <si>
    <t xml:space="preserve">          Verschillen</t>
  </si>
  <si>
    <t xml:space="preserve">De overheidsinvesteringen uit buitenlandse leningen (IOWNB2) in Srg. zijn gelijk aan de </t>
  </si>
  <si>
    <t>= Wereldmarktprijs goud, jaar t-1</t>
  </si>
  <si>
    <t xml:space="preserve">Wereldmarktprijs/gecalculeerde prijs aluinaarde </t>
  </si>
  <si>
    <t xml:space="preserve"> 100*(TKWN-SUBWN-' TKBWN')/(CMOWN+CGWN+IOWN+IBWN)</t>
  </si>
  <si>
    <t>129.   VWP= (VWN/VWN(-1)-1)*100</t>
  </si>
  <si>
    <t>VWN(-1)</t>
  </si>
  <si>
    <t>t/m</t>
  </si>
  <si>
    <t>OGEOWN</t>
  </si>
  <si>
    <t xml:space="preserve">Inkomensoverdrachten om niet van de overheid </t>
  </si>
  <si>
    <t>OOGEWN</t>
  </si>
  <si>
    <t>Totaal Indirecte Belastingen</t>
  </si>
  <si>
    <t>Refinery production (b)</t>
  </si>
  <si>
    <t>Export volume (a)</t>
  </si>
  <si>
    <t>a/b</t>
  </si>
  <si>
    <t xml:space="preserve">een voorbeeld gegeven voor landsdienaren, naast landsdienaren gebeurt dit natuurlijk ook voor de </t>
  </si>
  <si>
    <t xml:space="preserve">concept structureel aanpassingsprogramma opgesteld en die in oktober 2000 aan de Minister van </t>
  </si>
  <si>
    <t>= Bevolking 16/64 jaar * 1000, jaar t -1</t>
  </si>
  <si>
    <t>=  Natuurlijke aanwas bevolking  16/64 jaar, jaar t</t>
  </si>
  <si>
    <t xml:space="preserve">hoeveel deze zelfstandigen verdienen.  Later bij opsplitsing van de overigen kan voor landbouwers </t>
  </si>
  <si>
    <t xml:space="preserve">Vanwege veranderingen in de economie schijnen de wegingsfactoren niet meer actueel te zijn. Echter is </t>
  </si>
  <si>
    <t>= Binnenlandse staatsschuld in mln.Srg, jaar t-1</t>
  </si>
  <si>
    <t>= Werelmarktprijs aluminium, jaar t</t>
  </si>
  <si>
    <t>= (MBWN(-1)+MOWN(-1)+MGWN(-</t>
  </si>
  <si>
    <t>II.5.6</t>
  </si>
  <si>
    <t>II.5.7</t>
  </si>
  <si>
    <t>INDIREKTE BELASTINGEN IN SRD</t>
  </si>
  <si>
    <t>Ontvangsten vlgs de CBvS</t>
  </si>
  <si>
    <t>Inkomsten</t>
  </si>
  <si>
    <t xml:space="preserve">bestedingen in de economie exclusief de loonsom overheid. We weten dat Y = C + I + X - M, waarbij </t>
  </si>
  <si>
    <t>AOV [Dir.Bel]</t>
  </si>
  <si>
    <t>4. de belasting en sociale premie opbrengsten.</t>
  </si>
  <si>
    <t>Het inkomenssimulatiemodel bestaat uit drie onderdelen:</t>
  </si>
  <si>
    <t>1. Suritax</t>
  </si>
  <si>
    <t>2. Inkomensverdeling</t>
  </si>
  <si>
    <t>Verandering netto prijs/kosten index</t>
  </si>
  <si>
    <t xml:space="preserve">beroepsbevolking. De grootste vrager naar/verschaffer van arbeid is de overheid. Op de Arbeidsmarkt </t>
  </si>
  <si>
    <t>TRISPN(-1)</t>
  </si>
  <si>
    <t>RIJSPN(-1)</t>
  </si>
  <si>
    <t>HOUSPN(-1)</t>
  </si>
  <si>
    <t xml:space="preserve">Ten opzichte van Ongewijzigd Beleid leveren de maatregelen zoals voorgesteld in het VES document </t>
  </si>
  <si>
    <t>de verwachte resultaten.</t>
  </si>
  <si>
    <t>= Aantal arbeidsplaatsen bij de bedrijven * 1000, jaar t</t>
  </si>
  <si>
    <t>6. de variabelen m.b.t. de monetaire sfeer (regels 189 t/m 202)</t>
  </si>
  <si>
    <t>Mutatie in de volume van de gezinsconsumptie</t>
  </si>
  <si>
    <t>Consumptieprijsindex</t>
  </si>
  <si>
    <t>OVERHEID</t>
  </si>
  <si>
    <t>Inkomsten:</t>
  </si>
  <si>
    <t>instituten. Bron: Betalingsbalans CBvS.</t>
  </si>
  <si>
    <t xml:space="preserve">   lopende uitgaven:</t>
  </si>
  <si>
    <t>Zeevergunningrecht en andere visvergunningen</t>
  </si>
  <si>
    <t xml:space="preserve">2. Een geraamde inkomensverdeling voor een zestal groepen: werknemers bedrijven; landsdienaren; </t>
  </si>
  <si>
    <t xml:space="preserve">bedragen afgetrokken voor verzekeringen. Na vermindering van eventuele aftrekken en de belasting </t>
  </si>
  <si>
    <t xml:space="preserve">investeringsprojecten. Zie beneden. Voorheen waren de overheidsinvesteringen een functie van de </t>
  </si>
  <si>
    <t xml:space="preserve">(SAS), waarbij de inkomstenbelasting vooraf wordt geïnt, is het nodig ook deze vergelijking opnieuw </t>
  </si>
  <si>
    <t>w.v. Geconsolideerde schuld bij de CBvS in mln. SRD</t>
  </si>
  <si>
    <t>Primaire inkomens:</t>
  </si>
  <si>
    <t xml:space="preserve">Met een macro economisch model heeft men een hulpmiddel om de informatie betreffende het verleden </t>
  </si>
  <si>
    <t>Goederen uitvoer</t>
  </si>
  <si>
    <t xml:space="preserve">VAN LANDBOUW, VEETEELT, VISSERIJ EN BOSBOUW; DIENST LANDSBOSBEHEER. In </t>
  </si>
  <si>
    <t>Goudwaarde export</t>
  </si>
  <si>
    <t>Inkomensoverdrachten om niet van de gezinnen aan het buitenland</t>
  </si>
  <si>
    <t>Wereldmarktprijs Garnalen in ton</t>
  </si>
  <si>
    <t>bijzondere berekening</t>
  </si>
  <si>
    <t>dit jaar?</t>
  </si>
  <si>
    <t>unit</t>
  </si>
  <si>
    <t>YEAR</t>
  </si>
  <si>
    <t>PRIMAIRE INPUT</t>
  </si>
  <si>
    <t>idem geijkt op micro</t>
  </si>
  <si>
    <t>idem, ook +ind.bel.</t>
  </si>
  <si>
    <t>Drs Malty Dwarkasing</t>
  </si>
  <si>
    <t xml:space="preserve">die het bacove/bananen bedrijf SURLAND in werkelijkheid ontvangt voor dit product. Bron van de </t>
  </si>
  <si>
    <t xml:space="preserve">TECHNISCHE BASELINE kan worden beschouwd als een weergave van de ontwikkelingen tussen </t>
  </si>
  <si>
    <t xml:space="preserve">maken. Zo is het bijvoorbeeld met dit model niet mogelijk aan te geven waar de dienstensector een </t>
  </si>
  <si>
    <t>buitenland van het voorgaand  jaar (ZEBWN(-1), Bron: CENTRALE BETAALDIENST</t>
  </si>
  <si>
    <t xml:space="preserve">door de mutatie in de loonsom van de overheid (LOWN/LOWN(-1)) te delen door de mutatie in het </t>
  </si>
  <si>
    <t>? de volume van de exportproducten (regels 4 t/m 17)</t>
  </si>
  <si>
    <t xml:space="preserve">van de overheid. Hierdoor moet het dan mogelijk zijn een betere prognoses te maken van deze </t>
  </si>
  <si>
    <t>VES+ VARIANT: MONETAIRE EN BUDGETTAIRE STABILITEIT</t>
  </si>
  <si>
    <t>13. VISSPN= VISSPN(-1)*VISWPN/VISWPN(-1)*PKRSQ/PKRSQ(-1)</t>
  </si>
  <si>
    <t>3.654.8</t>
  </si>
  <si>
    <t>5.887.5</t>
  </si>
  <si>
    <t>61.9</t>
  </si>
  <si>
    <t>113.1</t>
  </si>
  <si>
    <t>= wereldmarktprijs triplex, jaar t-1</t>
  </si>
  <si>
    <t>c. enkele varianten op basis van de TECHNISCHE BASELINE.</t>
  </si>
  <si>
    <t>? Een basis te leggen om de modelontwikkeling in Suriname te documenteren zodat:</t>
  </si>
  <si>
    <t xml:space="preserve">Dynamisch gedeelte: Het aantal landsdienaren, werknemers bij bedrijven en werklozen komt ook voor </t>
  </si>
  <si>
    <t>Leningen minus aflossingen</t>
  </si>
  <si>
    <t>CPI inflatie Suriname</t>
  </si>
  <si>
    <t>karakteristieken van de Surinaamse economie.</t>
  </si>
  <si>
    <t xml:space="preserve">? De realisatie van het begrotingsevenwicht, zoals gedefinieerd, wordt gelijk na de </t>
  </si>
  <si>
    <t>(ALAEMN*ALASPN)+(AOLVN*AOLSPN)+BACEDN*BACSPN)+(GAREDN*GARSPN)+</t>
  </si>
  <si>
    <t xml:space="preserve">1)) geldt, aangezien de rente achteraf wordt uitgekeerd. De realisaties komen uit de Betalingsbalans. Er </t>
  </si>
  <si>
    <t xml:space="preserve">van de binnenlandse schuld van het Ministerie van Financiën aan de CBvS in 1994. Deze </t>
  </si>
  <si>
    <t xml:space="preserve">= Wereldmarktprijs vis, jaar t </t>
  </si>
  <si>
    <t xml:space="preserve">De invoer van goederen en diensten door de bedrijven (MBWN) wordt bepaald door de invoer  van het </t>
  </si>
  <si>
    <t>Hakrinbank</t>
  </si>
  <si>
    <t>overall balance MinFIN</t>
  </si>
  <si>
    <t xml:space="preserve">Saldo Lopende rekening  </t>
  </si>
  <si>
    <t>BBP</t>
  </si>
  <si>
    <t xml:space="preserve">worden gesteld, dat bekend is wat zij in totaal bewerken en wat deze productie oplevert.  Door dit te </t>
  </si>
  <si>
    <t>2. het verstrekken van opdrachten inclusief begeleidende instructies t.b.v. de uitvoering,</t>
  </si>
  <si>
    <t xml:space="preserve">   rente binnenlandse overheidsschuld bij de CB.v.S (geconsol.schuld.)</t>
  </si>
  <si>
    <t>Gegevens Goud</t>
  </si>
  <si>
    <t>proj</t>
  </si>
  <si>
    <t>Volume</t>
  </si>
  <si>
    <t>eenheid</t>
  </si>
  <si>
    <t xml:space="preserve">Productie erts (tonnes milled) </t>
  </si>
  <si>
    <t xml:space="preserve">       overige Andere Inkomsten</t>
  </si>
  <si>
    <t>x1000 Tonne</t>
  </si>
  <si>
    <t>Productie goud</t>
  </si>
  <si>
    <t>x 1000 Ounce</t>
  </si>
  <si>
    <t>Export goud</t>
  </si>
  <si>
    <t>Exportprijs</t>
  </si>
  <si>
    <t>USD/tr.oz</t>
  </si>
  <si>
    <t>x $1 mln</t>
  </si>
  <si>
    <t>Overheidsinkomsten</t>
  </si>
  <si>
    <t>Inkomstenbelasting</t>
  </si>
  <si>
    <t>Overige belasting</t>
  </si>
  <si>
    <t>Dividend</t>
  </si>
  <si>
    <t>Royalties (6.5%)</t>
  </si>
  <si>
    <t>Royalty in kind (oz)</t>
  </si>
  <si>
    <t>Pers/gemidd</t>
  </si>
  <si>
    <t xml:space="preserve"> MOWN(-1)</t>
  </si>
  <si>
    <t>Finale afzet categorieën in constante prijzen van 1990</t>
  </si>
  <si>
    <t>mln SRD (prices 1990)</t>
  </si>
  <si>
    <t>Prijsindices finale afzet categoriën (100=1990)</t>
  </si>
  <si>
    <t>invoer (vol.)</t>
  </si>
  <si>
    <t xml:space="preserve">(LBWN/LBWN(-1)/(ABAN/ABAN(-1)), de gemiddelde inflatie vanuit de importlanden (MPP) en de </t>
  </si>
  <si>
    <t>Subsidies en bijdragen aan sportbonden:</t>
  </si>
  <si>
    <t>= Directe belastingdruk, jaar t</t>
  </si>
  <si>
    <t>omdat het gering aantal exportproducten toch het economisch gezicht van Suriname bepalen.</t>
  </si>
  <si>
    <t>Geldschepping in % BBPmp</t>
  </si>
  <si>
    <t>Tot. overb. 32</t>
  </si>
  <si>
    <t>HULPVARIABELEN nodig in gedragsvergelijkingen</t>
  </si>
  <si>
    <t xml:space="preserve">geldschepping die het gevolg is van de financiering van de tekorten leidt tot inflatie. Tevens leidt de </t>
  </si>
  <si>
    <t xml:space="preserve">van twee jaar geleden  (HVNA2(-2)) die de vraag naar arbeid aangeven. De variabele (HVNA1(-1)) is </t>
  </si>
  <si>
    <t>Kapitaal ontvangsten</t>
  </si>
  <si>
    <t>KNGOWN</t>
  </si>
  <si>
    <t>CMOWNB3</t>
  </si>
  <si>
    <t xml:space="preserve">verhaal op, zolang ze geen ander pensioeninkomen hebben. Bij opsplitsing van de groep overigen doen </t>
  </si>
  <si>
    <t>Materiële uitgaven uit verdragsmiddelen</t>
  </si>
  <si>
    <t xml:space="preserve">De Surinaamse economie wordt gekenmerkt als een kleine open economie met een grote centrale </t>
  </si>
  <si>
    <t xml:space="preserve">overheid. </t>
  </si>
  <si>
    <t xml:space="preserve">Deze hulpvariabele is nodig om de omzetbelasting op importen te bepalen. </t>
  </si>
  <si>
    <t xml:space="preserve">m.b.t. de realisatie. Uitgegaan is van de veronderstelling dat alle realisaties die uiteindelijk geleid </t>
  </si>
  <si>
    <t>geen kleur=definitie</t>
  </si>
  <si>
    <t>Quote</t>
  </si>
  <si>
    <t>*1000</t>
  </si>
  <si>
    <t>Index</t>
  </si>
  <si>
    <t xml:space="preserve">omdat de meeste exportsectoren in de Surinaamse bestaan uit een of een paar bedrijven of qua omvang </t>
  </si>
  <si>
    <t xml:space="preserve">KBOWN (Netto particuliere leningen van de overheid uit het binnenland) </t>
  </si>
  <si>
    <t>Inflatie</t>
  </si>
  <si>
    <t>worden vermeden, vooral m.b.t. experimenten die minder geslaagd zijn.</t>
  </si>
  <si>
    <t>LOWN(-1)</t>
  </si>
  <si>
    <t>SOBWN(-1)</t>
  </si>
  <si>
    <t>SOBWN1(-1)</t>
  </si>
  <si>
    <t>ALAEMN X ALASPN(-1)</t>
  </si>
  <si>
    <t>ALUEMN X ALUSPN(-1)</t>
  </si>
  <si>
    <t>BACEDN X BACSPN(-1)</t>
  </si>
  <si>
    <t xml:space="preserve"> Aantal ambtenaren in loondienst bij de overheid</t>
  </si>
  <si>
    <t xml:space="preserve">Vreemde valuta deposito's van ingezetenen </t>
  </si>
  <si>
    <t xml:space="preserve">Toename in de geldhoeveelheid </t>
  </si>
  <si>
    <t>Overige indirekte belastingen door bedrijven (TKBWN):</t>
  </si>
  <si>
    <t>Diversen</t>
  </si>
  <si>
    <t>Consentrecht</t>
  </si>
  <si>
    <t xml:space="preserve">model besproken zoals het Microblok, de Bedrijven, de Overheid, het Buitenland, de Gezinnen, de </t>
  </si>
  <si>
    <t>WWQN(-1)</t>
  </si>
  <si>
    <t>YBWN(-1)</t>
  </si>
  <si>
    <t>materiele consumptie overheid</t>
  </si>
  <si>
    <t>bevolking tussen 16 en 64 jaar (in het arbeidspotentieel,  1+B1664P/100). Bron: ABS</t>
  </si>
  <si>
    <t>87. WWQN</t>
  </si>
  <si>
    <t xml:space="preserve">     Productie geraffineerde olie</t>
  </si>
  <si>
    <t xml:space="preserve">niet verwerkte geëxporteerde houtproducten, teruggebracht tot het equivalent rondhout. Bron van de </t>
  </si>
  <si>
    <t xml:space="preserve">aan de lokale afzet van goederen en diensten. </t>
  </si>
  <si>
    <t xml:space="preserve">Door de liberalisatie van de internationale handel in 1999, zijn velen afgeschaft. </t>
  </si>
  <si>
    <t>raming aantal economisch actieven, zie in logboek bij 24 juli 2012</t>
  </si>
  <si>
    <t>economisch actieven</t>
  </si>
  <si>
    <t>werkloosheid*1000</t>
  </si>
  <si>
    <t>werkloosheid % (in % van arbeidsplaatsen plus werklozen)</t>
  </si>
  <si>
    <t>Particuliere sector</t>
  </si>
  <si>
    <t xml:space="preserve">? De deviezenvoorraad wordt behouden door de afname van de binnenlandse bestedingen en de </t>
  </si>
  <si>
    <t xml:space="preserve">voorgaand jaar (GARSPN(-1)), de mutatie in de wereldmarktprijs van garnalen </t>
  </si>
  <si>
    <t>= Binnenlandse staatschuld excl. geconsolideerde staatsschuld, jaar t-1</t>
  </si>
  <si>
    <t>'=macmicdata! 275</t>
  </si>
  <si>
    <t>winst per hectare in SF</t>
  </si>
  <si>
    <t>zie Mamidas regel 264 en volgende:</t>
  </si>
  <si>
    <t>Kostprijs op basis SPS 1963</t>
  </si>
  <si>
    <t>= Prijsverlagende subsidies, jaar t-1</t>
  </si>
  <si>
    <t>beperkingen te demonstreren.</t>
  </si>
  <si>
    <t>Export</t>
  </si>
  <si>
    <t>Import</t>
  </si>
  <si>
    <t xml:space="preserve">  waarde in mln.SRD</t>
  </si>
  <si>
    <t>Norm Liquiditeitsquote, historische cijfer dat ligt tussen 0.20 en 0.25</t>
  </si>
  <si>
    <t>Exogenen Arbeidsmarkt</t>
  </si>
  <si>
    <t>= Het geïnvesteerd vermogen door bedrijven, jaar t</t>
  </si>
  <si>
    <t>= Index trendmatige arbeidsproductiviteit, jaar t</t>
  </si>
  <si>
    <t xml:space="preserve">totale omzetbelasting (TOWN). Voor de bespreking van de afzonderlijke delen, zie betreffende </t>
  </si>
  <si>
    <t>Overig inkomen van bedrijven aan buitenland</t>
  </si>
  <si>
    <t xml:space="preserve">BBP naar bedrijfstakken </t>
  </si>
  <si>
    <t>in lopende prijzen</t>
  </si>
  <si>
    <t>Gross Domestic Product at basic prices (formal+informal sector)</t>
  </si>
  <si>
    <t xml:space="preserve">gemiddeld bruto inkomen worden berekend. Werklozen verdienen eigenlijk niets, maar iedereen weet </t>
  </si>
  <si>
    <t xml:space="preserve">restport en per definitie gelijk aan: de goederen en diensten door de overheid aan bedrijven  </t>
  </si>
  <si>
    <t>variant, zie het hoofdstuk “De VES+ variant”. Bron: CEBUMA</t>
  </si>
  <si>
    <t xml:space="preserve">wereldmarktprijs: Staatsolie Maatschappij Suriname. In gevallen waarbij de bovengenoemde prijs niet </t>
  </si>
  <si>
    <t>Ontvangsten op OP gelegen aanslagen (nbo)</t>
  </si>
  <si>
    <t>Intrest( nbo)</t>
  </si>
  <si>
    <t>realisaties waaraan getwijfeld wordt, te toetsen op hun aannemelijkheid.</t>
  </si>
  <si>
    <t xml:space="preserve">IOWNP </t>
  </si>
  <si>
    <t xml:space="preserve">57. MIDOWN= TDGWN+TDBWN+TKWN+ZBOWN-ZOBWN-ZOEWN +OGOWN+OEOWN </t>
  </si>
  <si>
    <t xml:space="preserve">Direkte belasting </t>
  </si>
  <si>
    <t>prijs per ton in Sf</t>
  </si>
  <si>
    <t>netto particuliere leningen</t>
  </si>
  <si>
    <t>KOWN</t>
  </si>
  <si>
    <t xml:space="preserve">  w.v.kapitaal bedrijven aan overheid</t>
  </si>
  <si>
    <t>herwaardering staatsschuld buitenland</t>
  </si>
  <si>
    <t xml:space="preserve">  verandering in geldhoeveelheid:</t>
  </si>
  <si>
    <t>primaire+secundaire liquiditeiten</t>
  </si>
  <si>
    <t xml:space="preserve">Nederlandse ontwikkelingshulp </t>
  </si>
  <si>
    <t>PRIJZEN:</t>
  </si>
  <si>
    <t>uitvoerprijsmutatie</t>
  </si>
  <si>
    <t>ABS/SPS</t>
  </si>
  <si>
    <t>De kerngegevens geven een verkorte weergave van de resultaten van Ongewijzigd Beleid.</t>
  </si>
  <si>
    <t>Kerngegevens Ongewijzigd Beleid 2001- 2005</t>
  </si>
  <si>
    <t>reële groei BBP</t>
  </si>
  <si>
    <t xml:space="preserve">Saldo Totale Dienst </t>
  </si>
  <si>
    <t xml:space="preserve">IIIA1     CBvS (Geconsolideerde schuld) </t>
  </si>
  <si>
    <t xml:space="preserve">cijfers gebaseerd. Verder zijn er een aantal exportsectoren geïntroduceerd, waarvan hun vraag naar </t>
  </si>
  <si>
    <t xml:space="preserve">arbeid niet in de arbeidsvergelijking is opgenomen. Aan de andere kant is dat heel moeilijk, omdat </t>
  </si>
  <si>
    <t xml:space="preserve">overheid (indirecte belastingen) alsmede overmakingen naar de overheid (directe belastingen). Het </t>
  </si>
  <si>
    <t xml:space="preserve">Het niveau van de bruto-investeringen van de bedrijven (IBWN) wordt primair bepaald door het niveau </t>
  </si>
  <si>
    <t>Rente van de overheid aan het binnenland</t>
  </si>
  <si>
    <t>Surinaamseprijs Natuursteen SRD/ton</t>
  </si>
  <si>
    <t>________________________________</t>
  </si>
  <si>
    <t>BASIS INPUT SECTOR BEDRIJVEN:</t>
  </si>
  <si>
    <t>Af te leveren producten</t>
  </si>
  <si>
    <t>Vereniging van Economisten in Suriname (VES) d.d. oktober 2000 zoals:</t>
  </si>
  <si>
    <t>Omzetbelasting</t>
  </si>
  <si>
    <t>Vermogensbelasting</t>
  </si>
  <si>
    <t xml:space="preserve">koers is gevonden waarbij de deviezenvoorraad net niet negatief wordt. Het blijkt dat bij voortzetting </t>
  </si>
  <si>
    <t xml:space="preserve">overig inkomen naar buitenland            </t>
  </si>
  <si>
    <t>ink.over.om n.naar buit.van gezin</t>
  </si>
  <si>
    <t>BWN</t>
  </si>
  <si>
    <t>MBWN</t>
  </si>
  <si>
    <t>MGWN</t>
  </si>
  <si>
    <t>MOWN</t>
  </si>
  <si>
    <t>Inkomens:</t>
  </si>
  <si>
    <t>LEGWN</t>
  </si>
  <si>
    <t>LBEWN</t>
  </si>
  <si>
    <t>ZEBWN</t>
  </si>
  <si>
    <t>ZBEWN</t>
  </si>
  <si>
    <t>OGEWN</t>
  </si>
  <si>
    <t xml:space="preserve">HVNI2 is evenals HVNI1 een hulpvariabele voor de vraag naar importen. Deze variabele heeft geen </t>
  </si>
  <si>
    <t xml:space="preserve">Verder kunnen de behoeften van de consument en de producent slechts voor een klein deel bevredigd </t>
  </si>
  <si>
    <t>Beleid, waar financieringstekorten zich continu voor doen.</t>
  </si>
  <si>
    <t>Geraffineerde olie</t>
  </si>
  <si>
    <t xml:space="preserve">Toerisme </t>
  </si>
  <si>
    <t xml:space="preserve">Natuursteen </t>
  </si>
  <si>
    <t>Consumptie quote</t>
  </si>
  <si>
    <t>Hulpvariabele consumptie gez.</t>
  </si>
  <si>
    <t>16. Aanpassing tarieven van niet-belasting vorderingen (3)</t>
  </si>
  <si>
    <t>BMWN(-1)</t>
  </si>
  <si>
    <t>ALAWPN(-1)</t>
  </si>
  <si>
    <t>ALUWPN(-1)</t>
  </si>
  <si>
    <t>= Uitvoerprijsmutatie, jaar t</t>
  </si>
  <si>
    <t xml:space="preserve"> BMVP</t>
  </si>
  <si>
    <t>MPP</t>
  </si>
  <si>
    <t>MPI</t>
  </si>
  <si>
    <t>HVNA1</t>
  </si>
  <si>
    <t>HVNA2</t>
  </si>
  <si>
    <t>SDBBWN</t>
  </si>
  <si>
    <t>Som actuele volume x prijs vorig jaar</t>
  </si>
  <si>
    <t>9. kerngegevens (regels 264 t/m 280)</t>
  </si>
  <si>
    <t xml:space="preserve">5. Dit model maakt schattingen over de omvang van de binnenlandse economie niet mogelijk omdat </t>
  </si>
  <si>
    <t>Uitgaven:</t>
  </si>
  <si>
    <t>Materiale uitgaven</t>
  </si>
  <si>
    <t>SPS projectenlijst, gecorrigeerd voor de wisselkoers.</t>
  </si>
  <si>
    <t xml:space="preserve">monetair overzicht, de arbeidsmarkt en de sheet middelen en bestedingen die de interne consistentie </t>
  </si>
  <si>
    <t>Dividendbelasting</t>
  </si>
  <si>
    <t>? beschrijving van de update (benodigde data en databronnen)</t>
  </si>
  <si>
    <t>BACEWN</t>
  </si>
  <si>
    <t xml:space="preserve">wisselkoers (PKRSQ/PKRSQ(-1)). De wereldmarktprijs is de gemiddelde prijs van alle verwerkte </t>
  </si>
  <si>
    <t>Geldhoeveelheid in mln.Srg</t>
  </si>
  <si>
    <t>Deviezenvoorraad in mln.Srg.</t>
  </si>
  <si>
    <t>Resultaten model variant</t>
  </si>
  <si>
    <t xml:space="preserve">inkomen die een bepaalde combinatie genereert. Door dit voor alle combinaties, binnen een groep te </t>
  </si>
  <si>
    <t xml:space="preserve">Commissie Inventarisatie Staatsschuld ” zijn niet meegenomen vanwege de onduidelijkheid van </t>
  </si>
  <si>
    <t>Arbeidsmarkt</t>
  </si>
  <si>
    <t xml:space="preserve">feitelijke reële afzet is a.g.v. de import van goederen en diensten. De mutatie in deze vergelijking wordt </t>
  </si>
  <si>
    <t>Doelstelling: wederopbouw monetaire reserve en stabilisatie van de wisselkoers</t>
  </si>
  <si>
    <t xml:space="preserve">Maatregelen: </t>
  </si>
  <si>
    <t>1. Gefaseerde unificatie van de wisselkoers (O)</t>
  </si>
  <si>
    <t>Bron: Betalingsbalans CBvS.</t>
  </si>
  <si>
    <t>Inkomensoverdrachten om niet van het buitenland aan de overheid</t>
  </si>
  <si>
    <t>II.4.4</t>
  </si>
  <si>
    <t>Kapitaaloverdrachten om niet van de gezinnen aan de overheid</t>
  </si>
  <si>
    <t>1.686.0</t>
  </si>
  <si>
    <t>2.059.4</t>
  </si>
  <si>
    <t>615.9</t>
  </si>
  <si>
    <t>1.200.5</t>
  </si>
  <si>
    <t>1.979.5</t>
  </si>
  <si>
    <t>In dit document komen m.b.t. het macro model aan de orde:</t>
  </si>
  <si>
    <t>? de beschrijving van het model (wat kan wel en wat kan niet)</t>
  </si>
  <si>
    <t xml:space="preserve">erg moeilijk is vast te stellen, daarnaast is het ook nog maar de vraag of personen binnen deze groep </t>
  </si>
  <si>
    <t xml:space="preserve">schuld van ca. Sf 504 mld en een buitenlandse schuld van ca. $506 mln. In dit document is echter </t>
  </si>
  <si>
    <t>Businesses</t>
  </si>
  <si>
    <t xml:space="preserve">van de overheid (LOWN/LOWN(-1)). Voor de aanpassing van deze vergelijking t.b.v. de VES+ </t>
  </si>
  <si>
    <t>GAREDN X GARSPN</t>
  </si>
  <si>
    <t>HOUEKN X HOUSPN</t>
  </si>
  <si>
    <t xml:space="preserve">gecorrigeerd voor prijs en volume mutaties. In het kader van de realisaties geeft het macro model </t>
  </si>
  <si>
    <t>m3</t>
  </si>
  <si>
    <t xml:space="preserve">het saldo op de kapitaalrekening  (SDKRWN) en de netto particuliere leningen van de overheid uit het </t>
  </si>
  <si>
    <t>Voor de bronvermelding, zie exportvolume boven en Surinaamse prijzen beneden.</t>
  </si>
  <si>
    <t xml:space="preserve">overheid. Dit is de reële feitelijke afzet. De vergelijking bestond uit drie delen, gelijk de delen van de </t>
  </si>
  <si>
    <t>1))*(1+MPP/100)*(1+0,75*HVNI2/100+0,25*HVNI2(-1)/100)-MOWN-MGWN</t>
  </si>
  <si>
    <t xml:space="preserve"> MPP</t>
  </si>
  <si>
    <t xml:space="preserve"> RIJSPN(-1)*RIJWPN/RIJWPN(-1)*PKRSQ/PKRSQ(-1)</t>
  </si>
  <si>
    <t xml:space="preserve">De exportproducten die in het Microblok aan de orde komen zijn Aluinaarde, Aluminium (voorlopig is </t>
  </si>
  <si>
    <t xml:space="preserve">cijfers van CBvS, alhoewel de mutaties in de deviezenvoorraad zoals bijgehouden door CBvS niet </t>
  </si>
  <si>
    <t>VISEKN(-1) X VISSPN</t>
  </si>
  <si>
    <t>ALAEMN X ALASPN</t>
  </si>
  <si>
    <t>ALUEMN X ALUSPN</t>
  </si>
  <si>
    <t>SOEWN(-1)*(' PKRSQ'/' PKRSQ'(-1)-1)</t>
  </si>
  <si>
    <t xml:space="preserve">van het saldo op de handels- en dienstenbalans (BWN-MBWN-MOWN-MGWN), het saldo op de </t>
  </si>
  <si>
    <t>SRD*1000</t>
  </si>
  <si>
    <t xml:space="preserve">schenkingen bepalen in heel grote mate de investeringen van de overheid en in sommige gevallen ook </t>
  </si>
  <si>
    <t>de sociale uitkeringen.</t>
  </si>
  <si>
    <t xml:space="preserve">gefinancierd door lopende inkomsten, dat hun opbrengsten gelijk moeten zijn aan de te betalen AOV, </t>
  </si>
  <si>
    <t xml:space="preserve">Afschrijvingen van de overheid </t>
  </si>
  <si>
    <t>= IBWN*(1+0,9*IBMWN(-1)/IBWN(-1)*(IBMWN/IBMWN(-1)-</t>
  </si>
  <si>
    <t>boel enigszins vereenvoudigd is het feit dat is Suriname iedereen gelijk is, wat betreft de fiscus.</t>
  </si>
  <si>
    <t xml:space="preserve">Projectenlijst SPS. M.b.t. de schuldenlast dient deze variabele verder te worden </t>
  </si>
  <si>
    <t>HVNA1(-1)</t>
  </si>
  <si>
    <t xml:space="preserve">De materiële uitgaven van de overheid is per definitie gelijk aan de samenstellende delen (zie verdere </t>
  </si>
  <si>
    <t>Overheidsmaatregelen</t>
  </si>
  <si>
    <t>= Rentevoet USA, jaar t-1</t>
  </si>
  <si>
    <t xml:space="preserve"> DEVWN</t>
  </si>
  <si>
    <t>= Deviezenvoorraad in mln.Srg., jaar t</t>
  </si>
  <si>
    <t xml:space="preserve">Het aantal arbeidsplaatsen bij de overheid (AOAN) is in eerste instantie constant gehouden. Bron: </t>
  </si>
  <si>
    <t>CEBUMA.</t>
  </si>
  <si>
    <t>85. BEVAN</t>
  </si>
  <si>
    <t>= Bevolking * 1000, jaar t-1</t>
  </si>
  <si>
    <t>= Migratiesaldo, emigratie-immigratie * 1000, jaar t</t>
  </si>
  <si>
    <t xml:space="preserve">volume deel van deze vergelijking is voorzichtigheid geboden. De volume kan namelijk ook dalen </t>
  </si>
  <si>
    <t>natuurlijke aanwas ,,   in %</t>
  </si>
  <si>
    <t>emigratiesaldo             *1000</t>
  </si>
  <si>
    <t>KOERSEN:</t>
  </si>
  <si>
    <t>quote</t>
  </si>
  <si>
    <t>EA-importen:marktwaarde- officiele waarde</t>
  </si>
  <si>
    <t>Leges, diverse rechten en opbrengsten van verstrekte vergunningen:</t>
  </si>
  <si>
    <t xml:space="preserve">Aan het eind wordt besloten met wat in de toekomst nog gedaan kan of moet worden om het model te </t>
  </si>
  <si>
    <t>verbeteren.</t>
  </si>
  <si>
    <t>Subsidies</t>
  </si>
  <si>
    <t>Directe Belastingen</t>
  </si>
  <si>
    <t xml:space="preserve">gevoerde beleid. Dit is een consequentie van de openheid en kleinschaligheid van de economie </t>
  </si>
  <si>
    <t xml:space="preserve">(internationaal zijn prijzen en hoeveelheden vanuit Suriname niet te beïnvloeden). Verder is deze sector </t>
  </si>
  <si>
    <t>Endogenen arbeidsmarkt</t>
  </si>
  <si>
    <t>83. ABAN</t>
  </si>
  <si>
    <t>BBPmp</t>
  </si>
  <si>
    <t xml:space="preserve">overmakingen in geld. Op dit moment was het nog niet goed in te brengen vanwege dubbeltellingen. </t>
  </si>
  <si>
    <t>gevolg van de loonsverhoging en de instandhouding van de sociale uitkeringen.</t>
  </si>
  <si>
    <t xml:space="preserve">worden proportioneel verdeeld over de gerealiseerde directe belastingen bedrijven en de directe </t>
  </si>
  <si>
    <t>belastingen gezinnen.</t>
  </si>
  <si>
    <t>23. TKWN</t>
  </si>
  <si>
    <t xml:space="preserve">modelvergelijkingen) omdat vele van kwalitatieve aard zijn. De belangrijkste zijn echter wel </t>
  </si>
  <si>
    <t xml:space="preserve">(GARWPN/GARWPN(-1)) en in de wisselkoers (PKRSQ/PKRSQ(-1)). De wereldmarktprijs is een </t>
  </si>
  <si>
    <t xml:space="preserve">gewogen gemiddelde die de garnalenbedrijven (SAIL, GUIANA SEAFOOD, NAMOOMA, COMAS) </t>
  </si>
  <si>
    <t xml:space="preserve">landsdienaren, werknemers bij bedrijven, werklozen en AOV’ers. In tweede instantie kan de groep </t>
  </si>
  <si>
    <t>lonen dus de kapitaalvlucht vertegenwoordigen. Bron: Betalingsbalans CBvS.</t>
  </si>
  <si>
    <t>69. ZEBWN</t>
  </si>
  <si>
    <t xml:space="preserve"> USAR(-1)</t>
  </si>
  <si>
    <t xml:space="preserve">         *</t>
  </si>
  <si>
    <t xml:space="preserve">ramingen. Het is dus van belang om of het extern deel van de voorgenomen investeringen goed door te </t>
  </si>
  <si>
    <t>Invoerrechten (TMWN):</t>
  </si>
  <si>
    <t>64% van het totaal aan werkzamen emplooi biedt (ca. 40% van de beroepsbevolking).</t>
  </si>
  <si>
    <t>Doel van het model is inzicht geven in:</t>
  </si>
  <si>
    <t xml:space="preserve">dat er bijgewerkt wordt. De vraag rijst dan in hoeverre dat gedeelte van de economie moet worden </t>
  </si>
  <si>
    <t>I. Op de Binnenlandse schuld (ZOBWN):</t>
  </si>
  <si>
    <t>= Wereldmarktprijs hout, jaar t</t>
  </si>
  <si>
    <t>arbeidsplaatsen overheid   *1000</t>
  </si>
  <si>
    <t>Gedurende de trainingsperiode zal de documentatie m.b.t. het model worden opgezet.</t>
  </si>
  <si>
    <t>De tijdschema</t>
  </si>
  <si>
    <t xml:space="preserve">moeten worden vastgesteld. Het aantal AOV’ers is bekend bij de overheid. Daarnaast staan er ook </t>
  </si>
  <si>
    <t>investeringen (IOWN+IBWN) en de export (BWN) vermindert met de import (-MBWN-MOWN-</t>
  </si>
  <si>
    <t>61. SOBWN1= ((SOBWN1(-1)+KBOWN+MOOWN))*( SOBWN1(-1)+KBOWN+MOOWN)&gt;0)</t>
  </si>
  <si>
    <t>IOWN.</t>
  </si>
  <si>
    <t>37. CMOWNP</t>
  </si>
  <si>
    <t>? de variabelen m.b.t. de transfers (regels 187 t/m 189)</t>
  </si>
  <si>
    <t>104.  CGPI</t>
  </si>
  <si>
    <t>CGPI(-1)</t>
  </si>
  <si>
    <t>geinvesteerd vermogen bedrijven</t>
  </si>
  <si>
    <t xml:space="preserve">financieren uit eigen middelen maar anders dan de reguliere, B2 naar bestedingen te financieren uit </t>
  </si>
  <si>
    <t xml:space="preserve">krachten in de economie. Dit maakt het vinden van een relatief optimale wisselkoers t.b.v. </t>
  </si>
  <si>
    <t xml:space="preserve">De kas-/transverschillen van de overheid (KASTWN) zijn exogeen en gelijk aan 0 (nul). M.b.t. de </t>
  </si>
  <si>
    <t>Wereldmarktprijs Vis in ton</t>
  </si>
  <si>
    <t>116.   KTEWN</t>
  </si>
  <si>
    <t>= Overig inkomen uit het buitenland aan bedrijven, jaar t-1</t>
  </si>
  <si>
    <t>Planbureau en de afdelingsbibliotheek van MEP.</t>
  </si>
  <si>
    <t xml:space="preserve">Becijferd als gemiddelde tussen 1980 en 2000. Bron: Algemeen Bureau voor de </t>
  </si>
  <si>
    <t>uitvoer (vol.)</t>
  </si>
  <si>
    <t xml:space="preserve">veranderen, bijvoorbeeld: belastingtarieven, sociale premies, kinderbijslag, hoogte AOV. Daarnaast is </t>
  </si>
  <si>
    <t>Exportvolume bacove (bananen) in tonnen</t>
  </si>
  <si>
    <t>Exportvolume garnalen in tonnen</t>
  </si>
  <si>
    <t>Exportvolume rondhout in kubieke meter</t>
  </si>
  <si>
    <t>Exportvolume rijstproducten in tonnen</t>
  </si>
  <si>
    <t>17. IBWN</t>
  </si>
  <si>
    <t>1. Goederen en dienstentransacties en de vorming van de toegevoegde waarde.</t>
  </si>
  <si>
    <t>hulpvariabelen arbeidsmarkt</t>
  </si>
  <si>
    <t>overige hulpvariabelen</t>
  </si>
  <si>
    <t>Saldi:</t>
  </si>
  <si>
    <t>Microblok (BMWN, BMVP &amp; BPP)</t>
  </si>
  <si>
    <t>Monetaire autoriteiten en Deviezenbanken</t>
  </si>
  <si>
    <t>Verschillen in afwijking van Base line</t>
  </si>
  <si>
    <t>= Gecumuleerd saldo particulier kapitaal uit het buitenland, jaar t-1</t>
  </si>
  <si>
    <t xml:space="preserve">verandering in de structurele vraag naar arbeid zich pas na 7 jaar volledig heeft doorgewerkt in de </t>
  </si>
  <si>
    <t>Loonsom uit het buitenland (LEGWN)</t>
  </si>
  <si>
    <t>Pers arbeidsinkomen</t>
  </si>
  <si>
    <t>Onlichamelijke zaken</t>
  </si>
  <si>
    <t>Loonsom naar het buitenland (LBEWN)</t>
  </si>
  <si>
    <t xml:space="preserve">Het hiernavolgende is een beschrijving van het armoede model (POVERTY MODULE) dat </t>
  </si>
  <si>
    <t>De saldi op de begroting</t>
  </si>
  <si>
    <t>Zegelrechten (visa- en zegelmachine)</t>
  </si>
  <si>
    <t xml:space="preserve">in het actueel jaar (ABAN) aan.  De coëfficiënt van 0.05 geeft aan dat er een relatie bestaat tussen de </t>
  </si>
  <si>
    <t>forfait om in te zien hoeveel een bepaalde combinatie hieraan bijdraagt.</t>
  </si>
  <si>
    <t xml:space="preserve">De geleverde goederen en diensten van bedrijven aan de overheid (GDBOWN) is gemaakt tot een </t>
  </si>
  <si>
    <t>Totaal exportwaarde microblok</t>
  </si>
  <si>
    <t>afzetwaarde</t>
  </si>
  <si>
    <t>afzetwaarde excl uitvoer en overheid</t>
  </si>
  <si>
    <t xml:space="preserve">CMOWNB2 zijn semi-gedragsvergelijkingen en CMOWNB3 is een gedragsvergelijking. De P verwijst </t>
  </si>
  <si>
    <t>= Saldo kapitaalrekening, jaar t</t>
  </si>
  <si>
    <t>Overigen (personen)</t>
  </si>
  <si>
    <t>deflator BBP (via bestedingen)</t>
  </si>
  <si>
    <t xml:space="preserve">De negatieve resultaten zijn het gevolg van het voorgezette budgettaire beleid en de wijze van </t>
  </si>
  <si>
    <t xml:space="preserve">financiering van de tekorten. Het voortgezette beleid m.b.t. de als bijzonder gedefinieerde </t>
  </si>
  <si>
    <t>BetBal</t>
  </si>
  <si>
    <t>Crude verwerking</t>
  </si>
  <si>
    <t>Geraffineerde producten</t>
  </si>
  <si>
    <t>Prod</t>
  </si>
  <si>
    <t>Herwaardering goud- en deviezenvoorraad</t>
  </si>
  <si>
    <t xml:space="preserve">(een) sheet opgenomen. De keuze hiervoor is om referenties tussen sheets te vermijden indien er fouten </t>
  </si>
  <si>
    <t>Suikerrriet</t>
  </si>
  <si>
    <t>Ethanol</t>
  </si>
  <si>
    <t>Suiker</t>
  </si>
  <si>
    <t>Export Afzet:</t>
  </si>
  <si>
    <t>Lokale afzet:</t>
  </si>
  <si>
    <t>Lokale prijzen:</t>
  </si>
  <si>
    <t>Exportprijzen:</t>
  </si>
  <si>
    <t>Arbeidsplaatsen</t>
  </si>
  <si>
    <t>Permanent</t>
  </si>
  <si>
    <t>Seasonal</t>
  </si>
  <si>
    <t>MML</t>
  </si>
  <si>
    <t>(x1000 ton)</t>
  </si>
  <si>
    <t>USD/L</t>
  </si>
  <si>
    <t>USD/ton</t>
  </si>
  <si>
    <t>liters</t>
  </si>
  <si>
    <t>Revenue and grants</t>
  </si>
  <si>
    <t>Revenue</t>
  </si>
  <si>
    <t>Current Revenue</t>
  </si>
  <si>
    <t>Tax revenue</t>
  </si>
  <si>
    <t>Direct taxes</t>
  </si>
  <si>
    <t>Non-tax revenue</t>
  </si>
  <si>
    <t>Grants</t>
  </si>
  <si>
    <t>Bauxitesector</t>
  </si>
  <si>
    <t>Capital Revenue</t>
  </si>
  <si>
    <t>Expenditure and net lending</t>
  </si>
  <si>
    <t>Current expenditure</t>
  </si>
  <si>
    <t>Total Capital expenditure</t>
  </si>
  <si>
    <t>Statistical discrepancy</t>
  </si>
  <si>
    <t>Overall balance</t>
  </si>
  <si>
    <t>Current balance</t>
  </si>
  <si>
    <t xml:space="preserve">Overzicht kleinschalige Goudexport </t>
  </si>
  <si>
    <t>DWT/Deviezencommissie</t>
  </si>
  <si>
    <t>Hoeveelheid</t>
  </si>
  <si>
    <t>Waarde</t>
  </si>
  <si>
    <t>gram</t>
  </si>
  <si>
    <t>mlnUSD</t>
  </si>
  <si>
    <t>Milieuheffing</t>
  </si>
  <si>
    <t>1000 Troy-ounce</t>
  </si>
  <si>
    <t>Inkomsten staat</t>
  </si>
  <si>
    <t>Retributie</t>
  </si>
  <si>
    <t>Statistiek- en Consentrecht</t>
  </si>
  <si>
    <t>Concessiegelden</t>
  </si>
  <si>
    <t>Koersmarge</t>
  </si>
  <si>
    <t>Staatsinkomsten bauxietsector (excl. LB)</t>
  </si>
  <si>
    <t>Staatsinkomsten (excl. LB)</t>
  </si>
  <si>
    <t>Bruto personeelskosten (incl. LB)</t>
  </si>
  <si>
    <t>Betaling lokale leveranciers</t>
  </si>
  <si>
    <t>Directe Macro-economische bijdrage Bauxietsector</t>
  </si>
  <si>
    <t>USD in Millions</t>
  </si>
  <si>
    <t>Production</t>
  </si>
  <si>
    <t>Refinery Expansion</t>
  </si>
  <si>
    <t>- Pipeline to retailers</t>
  </si>
  <si>
    <t>- Operational Readiness &amp; Start Up</t>
  </si>
  <si>
    <t>Business Development</t>
  </si>
  <si>
    <t>Other</t>
  </si>
  <si>
    <t>Subtotal Staatsolie</t>
  </si>
  <si>
    <t>SPCS</t>
  </si>
  <si>
    <t>Subtotal Suritex &amp; SPCS</t>
  </si>
  <si>
    <t>Projects</t>
  </si>
  <si>
    <t>Berekeningen SPS</t>
  </si>
  <si>
    <t>Lokale afzet (volumes)</t>
  </si>
  <si>
    <t>Bron ABS,Statistical papers -7, dec.2008</t>
  </si>
  <si>
    <t>componenten</t>
  </si>
  <si>
    <t>= Geldhoeveelheid in mln.Srg, jaar t-1</t>
  </si>
  <si>
    <t>= Toename van de geldhoeveelheid, jaar t</t>
  </si>
  <si>
    <t xml:space="preserve">vergelijking t.b.v. de VES+ variant, zie het hoofdstuk “De VES+ variant”. Bron: CEBUMA. </t>
  </si>
  <si>
    <t>41. SUBWN =SUBWN(-1)</t>
  </si>
  <si>
    <t>SUBWN(-1)</t>
  </si>
  <si>
    <t xml:space="preserve">belasting. Van dit totaal zijn de inkomstenbelasting op natuurlijke personen (0.13*ZBESBWN(-1)) en </t>
  </si>
  <si>
    <t xml:space="preserve">4. waarden die in databronnen in US-dollars zijn genomineerd (regels 283 t/m 335). Het betreft hier </t>
  </si>
  <si>
    <t xml:space="preserve">te brengen. Echter dienen de importen uit schenkingen beter in kaart te worden gebracht, alsmede de </t>
  </si>
  <si>
    <t xml:space="preserve">Over het algemeen kan gezegd worden dat de maatregelen de beoogde effecten bereiken, indien vooral </t>
  </si>
  <si>
    <t xml:space="preserve">TECHNISCHE BASELINE is in eerste instantie opgezet als een model in een spreadsheet </t>
  </si>
  <si>
    <t>Inkomensoverdrachten, ontvangsten:</t>
  </si>
  <si>
    <t>Inkomensoverdrachten, uitgaven:</t>
  </si>
  <si>
    <t>Particulier Kapitaalverkeer:</t>
  </si>
  <si>
    <t>Langlopend Overheidslening (MIDWN)</t>
  </si>
  <si>
    <t>= Loonsom van de overheid, jaar t-1</t>
  </si>
  <si>
    <t>van TurboABS</t>
  </si>
  <si>
    <t>N.B.</t>
  </si>
  <si>
    <t>Retributie aluinaarde [Ind.Bel.]</t>
  </si>
  <si>
    <t>Retributie bauxiet [Ind.Bel]</t>
  </si>
  <si>
    <t>Bijdragen</t>
  </si>
  <si>
    <t xml:space="preserve">marktprijzen (BBPmp) minus de indirecte belastingen (TKWN)  plus de prijsverlagende subsidies </t>
  </si>
  <si>
    <t>(SUBWN): BBPfk</t>
  </si>
  <si>
    <t>= Hulpvariabele vraag naar arbeid, jaar t-2</t>
  </si>
  <si>
    <t>YIWN(-1)</t>
  </si>
  <si>
    <t xml:space="preserve">De materiële uitgaven in SRG uit buitenlandse middelen is gelijk aan de US-dollar waarde gecorrigeerd </t>
  </si>
  <si>
    <t>Bouwvergunningrecht</t>
  </si>
  <si>
    <t>Materiële uitgaven</t>
  </si>
  <si>
    <t>SubtotII</t>
  </si>
  <si>
    <t>Herwaardering van de goud-en deviezenvoorraad (GOUWN)</t>
  </si>
  <si>
    <t>Alle hulpvariabelen zijn definitievergelijkingen</t>
  </si>
  <si>
    <t xml:space="preserve">cursisten reeds een voorproefje hebben mogen geven van hetgeen tot dan was opgedaan. Deze is </t>
  </si>
  <si>
    <t>van Dr. van Schaaijk hebben bijgedragen tot het succes van deze cursus.</t>
  </si>
  <si>
    <t xml:space="preserve">Vergunnings- en concessierechten voor het ontginnen van andere delfstoffen dan
bauxiet </t>
  </si>
  <si>
    <t>Inkomsten uit overh.bedr. en diensten</t>
  </si>
  <si>
    <t>Boetes en transacties</t>
  </si>
  <si>
    <t>Olie</t>
  </si>
  <si>
    <t>Natuursteen en kaolien en etc.</t>
  </si>
  <si>
    <t xml:space="preserve">Tijdens dit traject wordt voor alle groepen voorgerekend wat hun netto inkomen is. In eerste instantie </t>
  </si>
  <si>
    <t xml:space="preserve">Deze smalle basis heeft haar implicaties voor de werkgelegenheid en de rol van de overheid. Een klein </t>
  </si>
  <si>
    <t xml:space="preserve">voorgaand jaar (BACSPN(-1)), de mutatie in de wereldmarktprijs van bacoven </t>
  </si>
  <si>
    <t xml:space="preserve">A. Lopende rekening, exclusief Groep E </t>
  </si>
  <si>
    <t xml:space="preserve">C. Financiële rekening, exclusief Groep E </t>
  </si>
  <si>
    <t xml:space="preserve">D. Statistische verschillen </t>
  </si>
  <si>
    <t xml:space="preserve">E. Financierings items </t>
  </si>
  <si>
    <t xml:space="preserve">Internationale reserves (2) </t>
  </si>
  <si>
    <t>Bron: Centrale Bank van Suriname</t>
  </si>
  <si>
    <t>* Voorlopige cijfers.</t>
  </si>
  <si>
    <t>(1) Kwartaaldata zijn gecumuleerd.</t>
  </si>
  <si>
    <t>(2) Een minteken duidt op een toename in de reserves.</t>
  </si>
  <si>
    <t>(I) / nieuw tabel 15</t>
  </si>
  <si>
    <t>Bijlagen / Tabel</t>
  </si>
  <si>
    <t>(II) / nieuw tabel 15</t>
  </si>
  <si>
    <t>? overheidsschuld (regels 331 t/m 333)</t>
  </si>
  <si>
    <t>TOESPN</t>
  </si>
  <si>
    <t>VISSPN</t>
  </si>
  <si>
    <t>Schenking tbv NIO</t>
  </si>
  <si>
    <t>Investeringen in garnalen</t>
  </si>
  <si>
    <t>? betalingbalans (regels 283 t/m 323)</t>
  </si>
  <si>
    <t>? monetair (regels 325 t/m 329)</t>
  </si>
  <si>
    <t>Afschrijvingen van de overheid (DOWN)</t>
  </si>
  <si>
    <t>kosten per ton</t>
  </si>
  <si>
    <t>kosten per ha</t>
  </si>
  <si>
    <t xml:space="preserve">blok is wel van invloed op de rest van de economie, maar niet omgekeerd. Dit maakt het model </t>
  </si>
  <si>
    <t>loonkosten p.e.p. mutatie</t>
  </si>
  <si>
    <t>beschikbaar loon-steuninkomen</t>
  </si>
  <si>
    <t xml:space="preserve">   quoten (ratio's)</t>
  </si>
  <si>
    <t xml:space="preserve">een vertraging van 3 maanden, automatisch worden aangepast voor inflatie . </t>
  </si>
  <si>
    <t>19. DBWN</t>
  </si>
  <si>
    <t xml:space="preserve"> BVWN</t>
  </si>
  <si>
    <t>Obligatie leningen totaal in mln. SRD</t>
  </si>
  <si>
    <t>Totaal "Intrest e.a. kosten"</t>
  </si>
  <si>
    <t>Inkomensoverdrachten om niet  aan de overheid</t>
  </si>
  <si>
    <t xml:space="preserve">Het is niet mogelijk geweest alle maatregelen te operationaliseren in termen van het model (en </t>
  </si>
  <si>
    <t>9. RAFSPN= RAFSPN(-1)*RAFWPN/RAFWPN(-1)*PKRSQ/PKRSQ(-1)</t>
  </si>
  <si>
    <t xml:space="preserve">Dynamisch gedeelte: Op basis van ramingen voor de toekomst wordt elk jaar een nieuwe verdeling </t>
  </si>
  <si>
    <t xml:space="preserve">Het saldo op de lopende rekening van de betalingsbalans (SDLRWN) is per definitie gelijk aan de som </t>
  </si>
  <si>
    <t>Retributie bauxiet en aluinaarde</t>
  </si>
  <si>
    <t>Niet-Belasting Ontvangsten (CBvS)</t>
  </si>
  <si>
    <t>I         Ontvangsten en Schenkingen</t>
  </si>
  <si>
    <t xml:space="preserve">IA        Lopende Ontvangsten   </t>
  </si>
  <si>
    <t xml:space="preserve">De Surinaamse prijs van toerisme  (TOESPN) is afhankelijk van de Surinaamse prijs van het </t>
  </si>
  <si>
    <t>Overheidsinvesteringen (IOWN):</t>
  </si>
  <si>
    <t>Exportvolume Vis in ton</t>
  </si>
  <si>
    <t>aantal arbeidsplaatsen bij de overheid (AOAN/AOAN(-1)).</t>
  </si>
  <si>
    <t>Indices</t>
  </si>
  <si>
    <t>P.M.ink.overdrachten O&gt;B hieronder</t>
  </si>
  <si>
    <t>BASIS INPUT SECTOR OVERHEID:</t>
  </si>
  <si>
    <t>goed.en d.door overheid aan bedr.</t>
  </si>
  <si>
    <t>FIN</t>
  </si>
  <si>
    <t>gem.koers Sf/$ op parallelmarkt</t>
  </si>
  <si>
    <t xml:space="preserve">geldt, dat hun inkomen moeilijk is vast te stellen. Als dit eenmaal is vastgesteld dan kan wel belasting </t>
  </si>
  <si>
    <t>HOUEKN(-1) X HOUSPN</t>
  </si>
  <si>
    <t>wordt gewerkt met de prijs voor diesel (International Financial Statistics) .</t>
  </si>
  <si>
    <t xml:space="preserve">Om ervoor te zorgen dat de deviezenvoorraad niet geheel wegvalt als gevolg van deze vraag, moet de </t>
  </si>
  <si>
    <t xml:space="preserve"> CGPP</t>
  </si>
  <si>
    <t xml:space="preserve">geneigd zullen zijn om hun looninkomen in vreemde valuta lokaal aan te houden. Dit moet m.b.t de </t>
  </si>
  <si>
    <t xml:space="preserve">valuta hiervoor te bepalen is dan wordt deze vermenigvuldigd met de wisselkoers. In geval van </t>
  </si>
  <si>
    <t>CbvS, info aan SPS (BoP/ Primaire inkomens (uitg))</t>
  </si>
  <si>
    <t xml:space="preserve">= Werelmarktprijs aluinaarde, jaar t </t>
  </si>
  <si>
    <t xml:space="preserve">2001 is het in principe nodig te beschikken over de realisaties van alle primaire variabelen over de </t>
  </si>
  <si>
    <t>goed.en d.door overheid aan gez.</t>
  </si>
  <si>
    <t>overig ink.naar overh.van bedr.</t>
  </si>
  <si>
    <t>Investeringen in verwerkte houtproducten</t>
  </si>
  <si>
    <t>4. Gefaseerde liberalisatie kapitaalverkeer (3)</t>
  </si>
  <si>
    <t xml:space="preserve">stabiliteit (MinFIN), koopkracht/armoede beheersing (Ministerie Arbeid/Sociale Zaken en </t>
  </si>
  <si>
    <t xml:space="preserve">arbeidsproductiviteit (TA) en het aantal arbeidsplaatsen bij de bedrijven (ABAN) van het actueel jaar. </t>
  </si>
  <si>
    <t xml:space="preserve">inkomsten betreffen inkomsten uithoofde van de beleggingen van de gemiddelde deviezenreserve in het </t>
  </si>
  <si>
    <t>Koers SRD/US$</t>
  </si>
  <si>
    <t>niet beschikbaar is, wordt gewerkt met de LME prijs (International Financial Statistics, IMF).</t>
  </si>
  <si>
    <t>2. ALUSPN = ALUSPN(-1)*ALUWPN/ALUWPN(-1)*PKRSQ/PKRSQ(-1)</t>
  </si>
  <si>
    <t>= Surinaamse prijs aluminium, jaar t-1</t>
  </si>
  <si>
    <t>4. het draaien van een variant met de actuele situatie (ongewijzigd beleid),</t>
  </si>
  <si>
    <t>effect loonvoet</t>
  </si>
  <si>
    <t>effect invoerkosten</t>
  </si>
  <si>
    <t>effect verandering belastingdruk</t>
  </si>
  <si>
    <t>effect add factor</t>
  </si>
  <si>
    <t>totaal raming</t>
  </si>
  <si>
    <t>realisatie</t>
  </si>
  <si>
    <t xml:space="preserve">Dit stuk is expliciet erbij gehaald om de rol van enkele belangrijke elementen extra te belichten, </t>
  </si>
  <si>
    <t>= Werkloosheid, jaar t-1</t>
  </si>
  <si>
    <t>GARSPN</t>
  </si>
  <si>
    <t>HOUSPN</t>
  </si>
  <si>
    <t>loonsom overheid</t>
  </si>
  <si>
    <t>SCENARIO-3</t>
  </si>
  <si>
    <t>SCENARIO-2</t>
  </si>
  <si>
    <t xml:space="preserve">GDOGWN - IOWN + GDBOWN + DOWN + LOWN + CGWN), de totale investeringen (IBWN + </t>
  </si>
  <si>
    <t>netto winst in % geinves. vermogen bed.</t>
  </si>
  <si>
    <t>Waarde in mln. SRD</t>
  </si>
  <si>
    <t>MET MEDEWERKING VAN Dr. M van SCHAAIJK</t>
  </si>
  <si>
    <t>STUSECO</t>
  </si>
  <si>
    <t>Uitvoer van goederen en diensten door bedrijven</t>
  </si>
  <si>
    <t xml:space="preserve">Saldo Lopende Rekening </t>
  </si>
  <si>
    <t>Zie I.2.4</t>
  </si>
  <si>
    <t xml:space="preserve">neerwaards gecorrigeerd voor de kwaliteit van het goud en administratiekosten. Bron van de </t>
  </si>
  <si>
    <t>Totale binnenlandse schuld incl. afgeroepen overheidsgaranties en</t>
  </si>
  <si>
    <t>Internationale inflatie excl. olie in SRD</t>
  </si>
  <si>
    <t xml:space="preserve"> CMOWNP*PKRSQ</t>
  </si>
  <si>
    <t xml:space="preserve"> CMOWNB1*PKRSQ</t>
  </si>
  <si>
    <t xml:space="preserve"> CMOWNB2*PKRSQ</t>
  </si>
  <si>
    <t xml:space="preserve"> CMOWNB3(-1)*AOAN/AOAN(-1)</t>
  </si>
  <si>
    <t xml:space="preserve">gehanteerd. Deze beschrijving zal worden voorafgegaan door het beschouwen van de belangrijkste </t>
  </si>
  <si>
    <t xml:space="preserve">overigen nader worden geanalyseerd. Deze groep is dan op te splitsen in zelfstandigen, landbouwers, </t>
  </si>
  <si>
    <t>= Rentevoet USA (Treasury bill rate), jaar t</t>
  </si>
  <si>
    <t xml:space="preserve"> 2005
in SRD.
Miljoen</t>
  </si>
  <si>
    <t xml:space="preserve">verschillende wegingsfactoren die het gewicht van de bestedingselementen in de economie bepalen in </t>
  </si>
  <si>
    <t xml:space="preserve">belangrijke rol zou kunnen spelen of wat de effecten op de economie als geheel zouden zijn indien </t>
  </si>
  <si>
    <t xml:space="preserve">De winstovermaking van bedrijven naar het buitenland (ZBEWN) hangt af van het totale geïnvesteerd </t>
  </si>
  <si>
    <t>Dekkingsgraad (import per maand)</t>
  </si>
  <si>
    <t>Monetaire reserve in miljoen USD</t>
  </si>
  <si>
    <t>Wisselkoers in  USD</t>
  </si>
  <si>
    <t>op de lopende dienst is gelijk aan: MIDOWN – IOWN - LMAWN.</t>
  </si>
  <si>
    <t>Bruto toegev. Waarde bedrijven</t>
  </si>
  <si>
    <t>Loonsom bedrijven</t>
  </si>
  <si>
    <t>Winst</t>
  </si>
  <si>
    <t>deze sheet is afkomstig uit mamiabc 27 febr 2006</t>
  </si>
  <si>
    <t xml:space="preserve">de gezinsconsumptie van de twee voorgaande jaren  (CGWN(-1)/CGWN(-2)). Bij de importen door </t>
  </si>
  <si>
    <t xml:space="preserve">heeft daarover een schatting gemaakt. Gerelateerd aan de geschatte consumptie laat dit een procentuele </t>
  </si>
  <si>
    <t xml:space="preserve">m.a.w. de overheid leent niet (of kan niet lenen) maar lost ook niet af. Deze aanname is gepleegd met </t>
  </si>
  <si>
    <t>Investeringsprijsmutatie</t>
  </si>
  <si>
    <t xml:space="preserve">gesteld op 0 (nul). Dit vanwege het feit dat die moeilijk voorspelbaar zijn. De realisaties worden echter </t>
  </si>
  <si>
    <t xml:space="preserve">werkzaam waren.  Op basis van deze gegevens kunnen schattingen worden gemaakt voor het heden. </t>
  </si>
  <si>
    <t>Namoona, Guiana Seafood, Comas</t>
  </si>
  <si>
    <t xml:space="preserve">Het beleid van de overheid m.b.t. inkomsten en bestedingen kan van invloed zijn op de geldschepping </t>
  </si>
  <si>
    <t>rijstproductie</t>
  </si>
  <si>
    <t xml:space="preserve">Het beschikbaar winstinkomen, inclusief afschrijvingen (ZBESBWN) is per definitie gelijk aan de som </t>
  </si>
  <si>
    <t xml:space="preserve">deze lijn zitten. Het model vergelijkt namelijk de ingevoerde poverty line met de netto jaarinkomens in </t>
  </si>
  <si>
    <t xml:space="preserve">van de overheid (ZOBWN - ZBOWN) en de prijsverlagende subsidies (SUBWN) vermindert met de </t>
  </si>
  <si>
    <t>indirecte belastingen (TKWN).</t>
  </si>
  <si>
    <t>127.   VWN</t>
  </si>
  <si>
    <t>Investeringen van bedrijven (autonome deel)</t>
  </si>
  <si>
    <t xml:space="preserve"> 2006
in SRD.
Miljoen</t>
  </si>
  <si>
    <r>
      <t xml:space="preserve">Omzetbelasting* </t>
    </r>
    <r>
      <rPr>
        <i/>
        <sz val="12"/>
        <rFont val="Times New Roman"/>
        <family val="1"/>
      </rPr>
      <t>(Ind.Bel)</t>
    </r>
  </si>
  <si>
    <t xml:space="preserve">(EXCEL2000). Het model (alle vergelijkingen en data die nodig zijn om het model te draaien) is in 1 </t>
  </si>
  <si>
    <t xml:space="preserve">Verschillen tussen de becijferde mutatie uit de definitievergelijking en de realisatie van de CBvS zijn </t>
  </si>
  <si>
    <t>afgeboekt op de kas/transverschillen (KTEWN).</t>
  </si>
  <si>
    <t>Endogenen monetair</t>
  </si>
  <si>
    <t>79. LIQWN</t>
  </si>
  <si>
    <t>Direkte Belastingen gezinnen (TDGWN):</t>
  </si>
  <si>
    <t xml:space="preserve">DIENST LANDSBOSBEHEER. In gevallen waarbij de bovengenoemde prijs niet beschikbaar is, </t>
  </si>
  <si>
    <t>de uitvoerwaarde (BWN/BWN(-1)) te defleren met de uitvoerprijsmutatie (1+BPP/100).</t>
  </si>
  <si>
    <t>96. MVP</t>
  </si>
  <si>
    <t>Stabilisatiefonds</t>
  </si>
  <si>
    <t xml:space="preserve">De veronderstelling is dat de gemiddelde deviezenvoorraad (DEVWN+DEVWN(-1))/2) in het </t>
  </si>
  <si>
    <t xml:space="preserve">De koopkracht van het loon- en steuninkomen wordt bepaald door de mutatie in het beschikbaar loon- </t>
  </si>
  <si>
    <t>Goederen en diensten:</t>
  </si>
  <si>
    <t xml:space="preserve">voortaan in staat zijn zelfstandig het model te updaten, een draaiboek op te stellen en het model te </t>
  </si>
  <si>
    <t xml:space="preserve">opgezet economisch plan, nooit sprake kan zijn van een geïsoleerde (ceteris paribus) benadering. De </t>
  </si>
  <si>
    <t xml:space="preserve">Het SURYA model bestaat verder uit een aantal sheets. De eerste sheet is het macro model zelf. Alle </t>
  </si>
  <si>
    <t>Migratiesaldo, emigratie -immigratie</t>
  </si>
  <si>
    <t>Index trendmatige arbeidsproduktiviteit</t>
  </si>
  <si>
    <t xml:space="preserve">Zo is onlangs besloten het reeds gangbare macro model aan te passen en een armoede module </t>
  </si>
  <si>
    <t>= Uitvoer van goederen en diensten door de bedrijven, jaar t</t>
  </si>
  <si>
    <t>tewerkstelling van de beroepsbevolking.</t>
  </si>
  <si>
    <t xml:space="preserve">Indirecte belasting </t>
  </si>
  <si>
    <t xml:space="preserve">Indirecte belastingen </t>
  </si>
  <si>
    <t>Verschil Indirecte Belastingen (Fin/Surya)</t>
  </si>
  <si>
    <t>BB</t>
  </si>
  <si>
    <t>Flash-report</t>
  </si>
  <si>
    <t>Flash-rep &amp; Jaarpl.</t>
  </si>
  <si>
    <t>Jaarplan</t>
  </si>
  <si>
    <t>IIC       Totale Kapitaaluitgaven</t>
  </si>
  <si>
    <t>IIC2      Schenkingen</t>
  </si>
  <si>
    <t xml:space="preserve">          Tekort/surplus lopende rekening</t>
  </si>
  <si>
    <t xml:space="preserve">          Tekort/surplus totale rekening</t>
  </si>
  <si>
    <t xml:space="preserve">uitgewerkt (zowel tekst als prototype in Excel) en van april tot begin oktober zal Jurrie de Hart in </t>
  </si>
  <si>
    <t>Suriname hieraan verder werken.</t>
  </si>
  <si>
    <t>Doel van de training</t>
  </si>
  <si>
    <t>inkomensoverdrachten overig van buitenland naar overheid</t>
  </si>
  <si>
    <t>IIA4      - Intrest</t>
  </si>
  <si>
    <t>= Consumptie gezinnen, jaar t-1</t>
  </si>
  <si>
    <t>= Consumptie gezinnen, jaar t-2</t>
  </si>
  <si>
    <t xml:space="preserve">De invoer van goederen en diensten door de gezinnen (MGWN) wordt bepaald door de verhouding van </t>
  </si>
  <si>
    <t>van het model, het “updaten” van het model en het toevoegen van enkele sheets die de macro-</t>
  </si>
  <si>
    <t>De index van de loonkosten per export product (HPEPWI) is een definitie vergelijking.</t>
  </si>
  <si>
    <t>1.256.1</t>
  </si>
  <si>
    <t>2.254.6</t>
  </si>
  <si>
    <t>3.839.3</t>
  </si>
  <si>
    <t>8.582.8</t>
  </si>
  <si>
    <t>14.627.4</t>
  </si>
  <si>
    <t xml:space="preserve">die vervangen door leningen van andere landen (vnl Brazilië als grootste schuldeiser) en internationale </t>
  </si>
  <si>
    <t xml:space="preserve">HVNI1 is een hulpvariabele voor de vraag naar importen. Deze variabele geeft aan hoe groot de </t>
  </si>
  <si>
    <t>= Invoer van goederen en diensten door de gezinnen, jaar t</t>
  </si>
  <si>
    <t>gehouden van 27 februari tot 2 maart (zie bijlage voor het workshopprogramma)</t>
  </si>
  <si>
    <t>KNEOWNC</t>
  </si>
  <si>
    <t xml:space="preserve">KEOWN </t>
  </si>
  <si>
    <t xml:space="preserve">  De naamgeving IMF is toegevoegd, omdat de meeste realisatiecijfers voortkomen uit het document </t>
  </si>
  <si>
    <t>SCHULDEN</t>
  </si>
  <si>
    <t xml:space="preserve">1)) vermeerdert met het saldo op de betalingsbalans in het actueel jaar (SDBBWN). </t>
  </si>
  <si>
    <t>82. REELP</t>
  </si>
  <si>
    <t>= ((((1-TDGQ)*LBESBWN)/((1-TDGQ(-1))*LBESBWN(-1)))/(1+CGPP/100)-</t>
  </si>
  <si>
    <t>Natuursteen</t>
  </si>
  <si>
    <t xml:space="preserve">(GDOBWN), de goederen en diensten door de overheid aan de gezinnen (GDOGWN), de bruto </t>
  </si>
  <si>
    <t xml:space="preserve">vermindert met zij die in het arbeidsproductieproces zijn opgenomen en vermeerdert met de natuurlijke </t>
  </si>
  <si>
    <t>toegevoegde waarde excl. export</t>
  </si>
  <si>
    <t>Overige inkomsten uit staatsbedrijven en -diensten</t>
  </si>
  <si>
    <t>= Aantal arbeidsplaatsen bij de overheid * 1000, jaar t-1</t>
  </si>
  <si>
    <t>mln.SRD.</t>
  </si>
  <si>
    <t>kas/transverschil overheid</t>
  </si>
  <si>
    <t>afzetwaarde bedrijven</t>
  </si>
  <si>
    <t xml:space="preserve">(MPP) en de mutatie in de importvolume. De importvolumemutatie wordt bepaald door de </t>
  </si>
  <si>
    <t xml:space="preserve">hulpvariabele voor de vraag naar invoergoederen (HVNI2). Deze hulpvariabele wordt bepaald door de </t>
  </si>
  <si>
    <t>De deviezenvoorraad (DEVWN) is per definitie gelijk aan de voorraad van het vorig jaar (DEVWN(-</t>
  </si>
  <si>
    <t>gekozen voor de cijfers van het IMF.</t>
  </si>
  <si>
    <t>64. MBWN</t>
  </si>
  <si>
    <t>invoerprijsmutatie</t>
  </si>
  <si>
    <t>monetaire financiering overheid</t>
  </si>
  <si>
    <t xml:space="preserve">7. RIJSPN = </t>
  </si>
  <si>
    <t xml:space="preserve">de som van de totale consumptie exclusief de lonen bij de overheid (CMOWN+CGWN), de totale </t>
  </si>
  <si>
    <t xml:space="preserve"> ((CGWN/CGWN(-1))/(1+CGPP/100)-1)*100</t>
  </si>
  <si>
    <t xml:space="preserve">Dit kan bijvoorbeeld door een historische trend door te trekken of de landbouwers een vast percentage </t>
  </si>
  <si>
    <t xml:space="preserve">afwenteling van de verandering in de indirecte belastingen op de consumenten (TKQ-TKQ(-1)). De </t>
  </si>
  <si>
    <t xml:space="preserve">(TOEWPN/TOEWPN(-1)) en in de wisselkoers (PKRSQ/PKRSQ(-1)). De wereldmarktprijs is de prijs </t>
  </si>
  <si>
    <t xml:space="preserve"> IBMWN(-1)</t>
  </si>
  <si>
    <t>Inkomensoverdrachten om niet van de overheid aan het buitenland</t>
  </si>
  <si>
    <t>= Wereldmarktprijs bacoven, jaar t-1</t>
  </si>
  <si>
    <t xml:space="preserve">Suriname heeft een relatief grote arbeidsmarkt. Een kwart van de totale bevolking behoort tot de </t>
  </si>
  <si>
    <t xml:space="preserve">De bijzondere situatie waarin de Surinaamse regering verkeert, zijn o.a. de diverse opgaven die in </t>
  </si>
  <si>
    <t>Bauxiet Instituut Suriname, 19 mei 2008</t>
  </si>
  <si>
    <t>Bauxiet Instituut Suriname, mei 2008</t>
  </si>
  <si>
    <t xml:space="preserve">Belangrijk is om daarbij op te merken dat naast de  VES+ beleidsplannen aanvullende maatregelen </t>
  </si>
  <si>
    <t xml:space="preserve">Het aanpassen van de opzet omvatte het opnieuw rangschikken van de verschillende variabelen zodat </t>
  </si>
  <si>
    <t>LBWN</t>
  </si>
  <si>
    <t>= Bruto investeringen van de overheid, jaar t</t>
  </si>
  <si>
    <t xml:space="preserve">voortgezet. Ongewijzigd Beleid is exclusief de introductie van maatregelen voor budgettaire en </t>
  </si>
  <si>
    <t>monetaire stabiliteit. De assumpties van Ongewijzigd Beleid zijn:</t>
  </si>
  <si>
    <t xml:space="preserve">? De lonen bij de overheid volgen met enige vertraging de lonen van de particuliere sector. Deze </t>
  </si>
  <si>
    <t>Add factoren (autonome termen</t>
  </si>
  <si>
    <t>naar add factoren</t>
  </si>
  <si>
    <t>Overige gegevens van CBvS:</t>
  </si>
  <si>
    <t>Kapitaalopbrengsten naar het buitenland (ZEWN)</t>
  </si>
  <si>
    <t xml:space="preserve">? een begrotingstekort op de Lopende Dienst van ca. 9% in termen van het Bruto </t>
  </si>
  <si>
    <t>share CBVS in net foreign assets</t>
  </si>
  <si>
    <t>ratio</t>
  </si>
  <si>
    <t>Deviezenvoorraad TOT</t>
  </si>
  <si>
    <t>Deviezenvoorraad CBVS</t>
  </si>
  <si>
    <t>deviezen in maanden invoer na 2007 alleen van CBVS</t>
  </si>
  <si>
    <t>deviezenvoorraad TOT</t>
  </si>
  <si>
    <t>deviezenvoorraad CBvS</t>
  </si>
  <si>
    <t xml:space="preserve">= Afzetwaarde exclusief de exporten en de loonsom van de overheid in mln. Srg, jaar </t>
  </si>
  <si>
    <t>t-1</t>
  </si>
  <si>
    <t>Investeringen in rijstproducten</t>
  </si>
  <si>
    <t>aanpassing, omdat in dat jaar de binnenlandse bestedingen het meest worden onderdrukt.</t>
  </si>
  <si>
    <t>= Kapitaalimport door de bedrijven, jaar t-1</t>
  </si>
  <si>
    <t>Import Suriname  in mln. US$</t>
  </si>
  <si>
    <t>mln.US $</t>
  </si>
  <si>
    <t>Investeringen in bacove/bananen</t>
  </si>
  <si>
    <t>Surinaamse prijs aardolie</t>
  </si>
  <si>
    <t xml:space="preserve">    Importwaarde aardoliesector</t>
  </si>
  <si>
    <t xml:space="preserve">Verschillen tussen het becijferde saldo uit de definitievergelijking en de realisatie van het IMF zijn </t>
  </si>
  <si>
    <t>Netto reële lonen overheid</t>
  </si>
  <si>
    <t xml:space="preserve">Suriname, brengen met zich mee dat het instrumentarium voor het zo goed mogelijk kunnen uitvoeren </t>
  </si>
  <si>
    <t>Trekkingen op buitenlandse leningen</t>
  </si>
  <si>
    <t>aantal arbeidsplaatsen bij de bedrijven (ABAN/ABAN(-1)).</t>
  </si>
  <si>
    <t xml:space="preserve">In dit hoofdstuk zal een korte beschrijving gegeven worden van het macro model als geheel en zullen </t>
  </si>
  <si>
    <t>Ter ondersteuning van het Poverty Reduction Beleid.</t>
  </si>
  <si>
    <t>89. YBVP</t>
  </si>
  <si>
    <t>6. HOUSPN= HOUSPN(-1)*HOUWPN/HOUWPN(-1)*PKRSQ/PKRSQ(-1)</t>
  </si>
  <si>
    <t>= Surinaamse prijs hout, jaar t-1</t>
  </si>
  <si>
    <t xml:space="preserve">     Aluinaardeproductie</t>
  </si>
  <si>
    <t xml:space="preserve">verschillende inkomensgroepen en totale inkomenssommen binnen deze groepen wordt een gemiddeld </t>
  </si>
  <si>
    <t>w.o,: Winst v/d CBvS</t>
  </si>
  <si>
    <t>Entrepotrecht [Ind.Bel.]</t>
  </si>
  <si>
    <t>Naturalisatie [Dir.Bel]</t>
  </si>
  <si>
    <t>= Hulpvariabele vraag naar invoer, jaar t</t>
  </si>
  <si>
    <t xml:space="preserve"> HVNI2(-1)</t>
  </si>
  <si>
    <t xml:space="preserve">BELASTINGEN. Door de jaren heen is het gemiddelde belastingpercentage aangepast voor </t>
  </si>
  <si>
    <t>Consumptie</t>
  </si>
  <si>
    <t xml:space="preserve">   Particulier </t>
  </si>
  <si>
    <t xml:space="preserve">de schatting van de invloed van de schenkingen op de mutatie van de deviezenvoorraad beter in beeld </t>
  </si>
  <si>
    <t>= Geconsolideerde vlottende staatsschuld, jaar t</t>
  </si>
  <si>
    <t xml:space="preserve">respectieve uitstaande schuld. Voor de aanpassing van deze vergelijking t.b.v. de VES+ variant, zie het </t>
  </si>
  <si>
    <t xml:space="preserve">economische problemen met het model zullen bestuderen. Dit als verdere training in het opdoen van </t>
  </si>
  <si>
    <t>staatsschuld buitenland  ,,</t>
  </si>
  <si>
    <t>2.  Introductie uniform kasreserve percentage (1)</t>
  </si>
  <si>
    <t>Rente van de overheid aan het buitenland</t>
  </si>
  <si>
    <t xml:space="preserve">Doel: Het laatste gedeelte van het model heeft twee doelen. Het hoofddoel is om aan te geven hoeveel </t>
  </si>
  <si>
    <t>NBO mndstaten</t>
  </si>
  <si>
    <t>versch</t>
  </si>
  <si>
    <t>schenkingen</t>
  </si>
  <si>
    <t>NBO  (nieuwe indeling)</t>
  </si>
  <si>
    <t xml:space="preserve">jaarlijks met 5% toenam. Dit geldt nog voor de jaren 1997 – 1999. De extra investeringen dienen van </t>
  </si>
  <si>
    <t>Financiën aangeboden .</t>
  </si>
  <si>
    <t>Olieprijs Brent</t>
  </si>
  <si>
    <t>US$ barrel</t>
  </si>
  <si>
    <t>CPB</t>
  </si>
  <si>
    <t xml:space="preserve">de afname van de bestedingen, maar ook de neutrale financiering van de begroting. Er is geleend </t>
  </si>
  <si>
    <t>Wereldmarktprijs Natuursteen in ton</t>
  </si>
  <si>
    <t>wordt gewerkt met de prijs voor round wood (International Financial Statistics) .</t>
  </si>
  <si>
    <t>= Surinaamse prijs rijst, jaar t-1</t>
  </si>
  <si>
    <t>= Wereldmarktprijs rijst, jaar t</t>
  </si>
  <si>
    <t>Bruto toegevoegde waarde van bedrijven, mp nominaal</t>
  </si>
  <si>
    <t xml:space="preserve">Volume growth rates </t>
  </si>
  <si>
    <t>in prijzen van 2007</t>
  </si>
  <si>
    <t xml:space="preserve">van genoemde taken periodiek moeten worden bijgesteld. Voorts brengen ontwikkelingen in de </t>
  </si>
  <si>
    <t>6. Stopzetting subsidies aan staatsbedrijven (1)</t>
  </si>
  <si>
    <t>(((CMOWN+CGWN)/(1+CGPP/100)+(IBWN+IOWN)/(1+IPP/100)+BWN/(1+BPP/100)-</t>
  </si>
  <si>
    <t>(MBWN+MOWN+MGWN)/(1+MPP/100))/YBWN(-1)-1)*100</t>
  </si>
  <si>
    <t>29. TKGWN</t>
  </si>
  <si>
    <t>= 0.04*CGWN</t>
  </si>
  <si>
    <t>Invoer van goederen en diensten door bedrijven</t>
  </si>
  <si>
    <t>ingebouwd om geen negatieve schulden in het model te genereren.   Bron: SPS</t>
  </si>
  <si>
    <t>Centrale Bank van Suriname (CBvS)</t>
  </si>
  <si>
    <t>Geologische Mijnbouwkundige Dienst</t>
  </si>
  <si>
    <t>Stichting Toerisme Suriname</t>
  </si>
  <si>
    <t xml:space="preserve">Onder de invoerrechten vallen Statistiekrecht, Kosten in-, uit- en doorvoer en invoerheffingen. De </t>
  </si>
  <si>
    <t>NATSPN(-1)</t>
  </si>
  <si>
    <t>GOUSPN(-1)</t>
  </si>
  <si>
    <t>RAFSPN(-1)</t>
  </si>
  <si>
    <t xml:space="preserve">De vraag naar arbeid wordt dus enerzijds bepaald door de kosten (neerwaarts) en anderzijds door de </t>
  </si>
  <si>
    <t xml:space="preserve">kunnen eveneens worden ontleend aan het Suryamodel. Met behulp van deze gegevens kan een </t>
  </si>
  <si>
    <t>Surinaamse prijs rijstproducten</t>
  </si>
  <si>
    <t>Surinaamse prijs verwerkte houtproducten</t>
  </si>
  <si>
    <t>Surinaamse prijs goud</t>
  </si>
  <si>
    <t>Liquiditeitsquote</t>
  </si>
  <si>
    <t>LIQT</t>
  </si>
  <si>
    <t>TKQ(-1)</t>
  </si>
  <si>
    <t>NADERE BEREKENINGEN (in MLN SRD)</t>
  </si>
  <si>
    <t xml:space="preserve">inkomens van AOV’ers kan worden verondersteld dat deze aan de inflatie worden aangepast of dat zij </t>
  </si>
  <si>
    <t>deviezen in maanden invoer</t>
  </si>
  <si>
    <t>12. TOESPN= TOESPN(-1)*TOEWPN/TOEWPN(-1)*PKRSQ/PKRSQ(-1)</t>
  </si>
  <si>
    <t>= Surinaamse prijs toerisme, jaar t-1</t>
  </si>
  <si>
    <t>= Wereldmarktprijs toerisme, jaar t</t>
  </si>
  <si>
    <t>= Wereldmarktprijs toerisme, jaar t-1</t>
  </si>
  <si>
    <t xml:space="preserve">1)) en in de wisselkoers (PKRSQ/PKRSQ(-1)). De wereldmarktprijs is de gemiddelde prijs van alle </t>
  </si>
  <si>
    <t>schatting informele sector, excl. werklozen</t>
  </si>
  <si>
    <t>schatting hosselaars, incl. werklozen</t>
  </si>
  <si>
    <t>Sheet Shadow</t>
  </si>
  <si>
    <t xml:space="preserve">In afwijking van </t>
  </si>
  <si>
    <t>Migratiesaldo, emigratie-immigratie *1000</t>
  </si>
  <si>
    <t xml:space="preserve">geld nodig hebben om hun reguliere uitgaven te plegen. Echter blijft het niveau van de buitenlandse </t>
  </si>
  <si>
    <t xml:space="preserve">De Centrale Overheid </t>
  </si>
  <si>
    <t>HOUEKN X HOUSPN(-1)</t>
  </si>
  <si>
    <t>effecten gedurende de aanpassingsperiode.</t>
  </si>
  <si>
    <t xml:space="preserve">deze variabele uit de invoerrechten op hout. Vroeger vielen meerdere belastingheffingen hieronder. </t>
  </si>
  <si>
    <t>te werken. Echter wordt bij de becijferingen wel rekening gehouden met deze tekortkomingen.</t>
  </si>
  <si>
    <t>KapiItaaluitgaven</t>
  </si>
  <si>
    <t>Overheidsinvesteringen uit eigen middelen (projecten)</t>
  </si>
  <si>
    <t>loonvoet overheid</t>
  </si>
  <si>
    <t>1)) en een exogene inflatie uit het buitenland (1,5).</t>
  </si>
  <si>
    <t>Procentuele mutatie in de totale afzet</t>
  </si>
  <si>
    <t>Hulpvariabele t.b.v. de becijfering van OBMWN</t>
  </si>
  <si>
    <t>Beschikbaar loon-en steuninkomen</t>
  </si>
  <si>
    <t>Totale afzet</t>
  </si>
  <si>
    <t>Niet-belasting Ontvangsten in SRD</t>
  </si>
  <si>
    <t>Totaal Niet-belasting Ontvangsten:</t>
  </si>
  <si>
    <t>Inkomsten uit staatseigendommen</t>
  </si>
  <si>
    <t>Overige (niet-belasting middelen)</t>
  </si>
  <si>
    <t>Investeringen</t>
  </si>
  <si>
    <t xml:space="preserve">De investeringsprijsindex (IPI) is een definitie vergelijking. </t>
  </si>
  <si>
    <t>106.   BPI</t>
  </si>
  <si>
    <t xml:space="preserve">De mutatie in de exportvolume van het microblok is per definitie gelijk aan de totale uitvoerwaarde </t>
  </si>
  <si>
    <t xml:space="preserve">Groepen: De groepen die in eerste instantie worden onderscheiden zijn: landsdienaren, werknemers </t>
  </si>
  <si>
    <t>= Consumptieprijsindex, jaar t</t>
  </si>
  <si>
    <t>= Investeringsprijsindex, jaar t</t>
  </si>
  <si>
    <t>De materiële uitgaven in SRG uit eigen middelen maar anders dan de reguliere is gelijk aan de US-</t>
  </si>
  <si>
    <t xml:space="preserve">Saldo op de betalingsbalans </t>
  </si>
  <si>
    <t>BoP in US$</t>
  </si>
  <si>
    <t>Saldo op de lopende rekening op kasbasis</t>
  </si>
  <si>
    <t>128.   YIWN</t>
  </si>
  <si>
    <t xml:space="preserve">werd als gevolg hiervan ook duidelijk dat maatregelen nooit slechts enkelvoudig zijn, maar een goed </t>
  </si>
  <si>
    <t>(CGPP) bepaald.</t>
  </si>
  <si>
    <t>Mutatie in de reële exportvolume</t>
  </si>
  <si>
    <t>Procentuele mutatie in de uitvoervolume (reëel)</t>
  </si>
  <si>
    <t>II.10.2</t>
  </si>
  <si>
    <t xml:space="preserve">Consumptieprijsmutatie </t>
  </si>
  <si>
    <t xml:space="preserve">Hetzelfde geldt voor de netto binnenlandse schuld (KBOWN) </t>
  </si>
  <si>
    <t>42. OOGWN</t>
  </si>
  <si>
    <t>= Inkomensoverdrachten om niet van de overheid aan gezinnen, jaar t</t>
  </si>
  <si>
    <t>omschrijving beneden).</t>
  </si>
  <si>
    <t>trend in arbeidsproductiviteit</t>
  </si>
  <si>
    <t>groei ton/ha</t>
  </si>
  <si>
    <t>ton per hectare</t>
  </si>
  <si>
    <t>BEREKENINGEN:</t>
  </si>
  <si>
    <t>"=[Suryamodel24feb06b.xls]Model!B317</t>
  </si>
  <si>
    <t>"=[Suryamodel24feb06b.xls]Model!B246</t>
  </si>
  <si>
    <t>wordt gewerkt met de shrimp prijs (International Financial Statistics, IMF).</t>
  </si>
  <si>
    <t>Natuurlijke aanwas bevolking  16/64 jaar in procenten</t>
  </si>
  <si>
    <t>II.1</t>
  </si>
  <si>
    <t>II.1.1</t>
  </si>
  <si>
    <t>Surinaamse prijs aluinaarde</t>
  </si>
  <si>
    <t>Overheidsdiensten Invoer van goederen en diensten door  overheid (MOWN)</t>
  </si>
  <si>
    <t>Procentuele mutatie in de loonkosten p.e.p.</t>
  </si>
  <si>
    <t>Beschikbaar winstinkomen</t>
  </si>
  <si>
    <t xml:space="preserve">MGWN(-1) wordt rechtgetrokken door de invoer van goederen en diensten door de overheid en de </t>
  </si>
  <si>
    <t xml:space="preserve">De afschrijvingen van de overheid (DOWN) zijn per definitie gelijk aan 0 (nul). De afschrijvingen van </t>
  </si>
  <si>
    <t>bevolking 16/64            *1000</t>
  </si>
  <si>
    <t>werkloosheid %</t>
  </si>
  <si>
    <t>Wisselkoers $/Euro</t>
  </si>
  <si>
    <t>Kapitaalopbrengsten ontvangsten Overig inkomen van het buitenland aan de bedrijven; Kap.opbr. (ZEBWN)</t>
  </si>
  <si>
    <t>later in het jaar zeker worden afgerond.</t>
  </si>
  <si>
    <t xml:space="preserve">teneinde na te gaan in welke mate de resultaten overeenkomen met hetgeen logischerwijs verwacht mag </t>
  </si>
  <si>
    <t xml:space="preserve">De totale afzet (VWN) wordt per definitie bepaald door de totale consumptie (MOWN - GDOBWN - </t>
  </si>
  <si>
    <t xml:space="preserve">aantallen in Suritax. In tabel 1 is de personele inkomensverdeling van het ABS in de meest rechtse </t>
  </si>
  <si>
    <t>Doelstelling: opvang van de directe sociale effecten van de stabilisatiemaatregelen</t>
  </si>
  <si>
    <t>5. Herschikking buitenlandse schuld (2)</t>
  </si>
  <si>
    <t xml:space="preserve">Goederen en diensten door de bedrijven aan de overheid </t>
  </si>
  <si>
    <t xml:space="preserve">De “update” heeft geleid tot een basisvariant dat TECHNISCHE BASELINE genoemd is. </t>
  </si>
  <si>
    <t>tabel 14/10/12</t>
  </si>
  <si>
    <t>tabel 13/9/11</t>
  </si>
  <si>
    <t>Tabel 8/2/5</t>
  </si>
  <si>
    <t>10% Verhoging loonsom ambtenaren</t>
  </si>
  <si>
    <t>10% Verhoging loonsom ambtenaren +10% toelage Onderwijzers</t>
  </si>
  <si>
    <t xml:space="preserve">6. Financiële transacties: de financiering van investeringen uit besparingen van derden t.b.v. de </t>
  </si>
  <si>
    <t>particuliere sector.</t>
  </si>
  <si>
    <t xml:space="preserve">Deze paragraaf moet een aanzet zijn tot het Documentair Informatie Systeem m.b.t. de opzet van het </t>
  </si>
  <si>
    <t>GemBest/Toerist</t>
  </si>
  <si>
    <t xml:space="preserve">bejaarden zonder pensioen, bejaarden met pensioen, werklozen, overigen </t>
  </si>
  <si>
    <t>HVNI1(-1)</t>
  </si>
  <si>
    <t>1000KG</t>
  </si>
  <si>
    <t>HOUEWN</t>
  </si>
  <si>
    <t>, ,1000M3</t>
  </si>
  <si>
    <t>1000M3</t>
  </si>
  <si>
    <t>VISEWN</t>
  </si>
  <si>
    <t>oil export mln.SRD</t>
  </si>
  <si>
    <t>= Bruto investeringen van de bedrijven, jaar t</t>
  </si>
  <si>
    <t>voornamelijk betalingsbalansgegevens.</t>
  </si>
  <si>
    <t>= Invoerrechten op de importen van de bedrijven, jaar t</t>
  </si>
  <si>
    <t>Surinaamseprijs Bacoven SRD/ton</t>
  </si>
  <si>
    <t xml:space="preserve">De doorrekening van de scenarios Ongewijzigd Beleid en VES+ demonstreert, dat bij voortzetting van </t>
  </si>
  <si>
    <t xml:space="preserve">allerlei varianten te draaien en studies ermee te verrichten. </t>
  </si>
  <si>
    <t>consumptieve bested.</t>
  </si>
  <si>
    <t>-huishoudens</t>
  </si>
  <si>
    <t>-overheid</t>
  </si>
  <si>
    <t>-bedrijven</t>
  </si>
  <si>
    <t>Voorraadverandering</t>
  </si>
  <si>
    <t>Exporten</t>
  </si>
  <si>
    <t>Importen</t>
  </si>
  <si>
    <t>BBP productiemethode.</t>
  </si>
  <si>
    <t xml:space="preserve">Ook niet de schattingsmethodieken de gehanteerd zijn. Hiervoor wordt verwezen naar de verschillende </t>
  </si>
  <si>
    <t xml:space="preserve">beleggingen van delen van de deviezenvoorraad (DEVWN) door de Centrale Bank in het buitenland. </t>
  </si>
  <si>
    <t>= Inkomensoverdrachten om niet van gezinnen aan de overheid, jaar t</t>
  </si>
  <si>
    <t>aangepast voor de bevindingen van de Commissie Inventarisatie Staatsschuld. Bron: SPS</t>
  </si>
  <si>
    <t>60. SOBWN</t>
  </si>
  <si>
    <t>II.5.9</t>
  </si>
  <si>
    <t>II.6</t>
  </si>
  <si>
    <t>Buitenlandse staatsschuld in mln.Srg</t>
  </si>
  <si>
    <t xml:space="preserve">vorig jaar gedeeld door de uitvoerwaarde van de belangrijkste exportproducten van het voorgaand jaar </t>
  </si>
  <si>
    <t xml:space="preserve">(BMWN(-1)). </t>
  </si>
  <si>
    <t>100.   MPP</t>
  </si>
  <si>
    <t>= Hulpvariabele vraag naar arbeid, jaar t</t>
  </si>
  <si>
    <t xml:space="preserve"> TA</t>
  </si>
  <si>
    <t>= Surinaamse prijs  bacoven, jaar t-1</t>
  </si>
  <si>
    <t>= Wereldmarktprijs bacoven, jaar t</t>
  </si>
  <si>
    <t>in ton</t>
  </si>
  <si>
    <t>Export volume</t>
  </si>
  <si>
    <t xml:space="preserve">? De voorgenomen schenkingsmiddelen en de bestedingen tussen 2001 en 2005 zijn zoals die </t>
  </si>
  <si>
    <t>70. ZOEWN</t>
  </si>
  <si>
    <t>economische groei.</t>
  </si>
  <si>
    <t>bijlage I en II),</t>
  </si>
  <si>
    <t>Materiële uitgaven uit buitenlandse leningen</t>
  </si>
  <si>
    <t xml:space="preserve">Naast het voorgaande is gedurende het trainingsprogramma ook een workshop gehouden, waarbij de </t>
  </si>
  <si>
    <t xml:space="preserve">De  indirecte belastingen (TKWN) bestaan uit de som van de indirecte belastingen op de belangrijkste </t>
  </si>
  <si>
    <t xml:space="preserve">AOLVN X AOLSPN </t>
  </si>
  <si>
    <t xml:space="preserve">deel van de beroepsbevolking kan in de productiesector geaccommodeerd worden. Het ABS geeft aan </t>
  </si>
  <si>
    <t>netto winstquote in % toegev.waarde bed.</t>
  </si>
  <si>
    <t xml:space="preserve">zijn ook de aantallen per sociaal economische groep bekend, zie hiervoor de eerder uitgelegde </t>
  </si>
  <si>
    <t>Huurwaardebelasting</t>
  </si>
  <si>
    <t>Drs Shakita Kisoensingh</t>
  </si>
  <si>
    <t xml:space="preserve"> II.4.4</t>
  </si>
  <si>
    <t>aanbodkrachten en de exogene aan het gevoerde monetair beleid.</t>
  </si>
  <si>
    <t xml:space="preserve">Projectenlijst Stichting Planbureau Suriname </t>
  </si>
  <si>
    <t>(SPS)</t>
  </si>
  <si>
    <t>,,</t>
  </si>
  <si>
    <t xml:space="preserve">3. De secundaire inkomenverdeling: de vorming en verdeling van het beschikbaar inkomen als gevolg </t>
  </si>
  <si>
    <t>Kapitaal:</t>
  </si>
  <si>
    <t>KEBWN</t>
  </si>
  <si>
    <t>SDLRWN</t>
  </si>
  <si>
    <t>SDKRWN</t>
  </si>
  <si>
    <t>LIQWN</t>
  </si>
  <si>
    <t>LIQWD</t>
  </si>
  <si>
    <t>DEVWN</t>
  </si>
  <si>
    <t>31. OGOWN</t>
  </si>
  <si>
    <t xml:space="preserve"> OGOWN(-1)</t>
  </si>
  <si>
    <t>103.   LOAWP= ((LOWN/LOWN(-1))/(AOAN/AOAN(-1))-1)*100</t>
  </si>
  <si>
    <t>= Arbeidsplaatsen bij de overheid * 1000, jaar t</t>
  </si>
  <si>
    <t xml:space="preserve">gegevens. Het aantal AOV’ers kan worden bepaald aan de hand van demografische verwachtingen of </t>
  </si>
  <si>
    <t xml:space="preserve">van invloed zijn op de inflatie zijn de procentuele mutatie in het gemiddeld loon van bedrijven </t>
  </si>
  <si>
    <t>Landbouwstatistieken van het Ministerie van LVV; Onderdirectoraat Visserijdienst, Tabel A-6  (mei 2008)</t>
  </si>
  <si>
    <t xml:space="preserve">De uitvoerprijsmutatie (BPP) is per definitie gelijk aan de totale uitvoerwaarde met volumen van het </t>
  </si>
  <si>
    <t>102.   LBABPP = ((LBWN/LBWN(-1))/(ABAN/ABAN(-1))-1)*100</t>
  </si>
  <si>
    <t>Zie I.2.5</t>
  </si>
  <si>
    <t xml:space="preserve">Huisvesting), productie van diverse sectoren en overheidsuitgaven (diverse ministeries), monitoring </t>
  </si>
  <si>
    <t>SURYA MODEL</t>
  </si>
  <si>
    <t>TRIWPN(-1)</t>
  </si>
  <si>
    <t>HVNA2(-2)</t>
  </si>
  <si>
    <t>B1664N(-1)</t>
  </si>
  <si>
    <t xml:space="preserve">overheidsinvesteringen. Het heffingspercentage is 5% (0.05). Ook hier is een wegingsfactor berekend </t>
  </si>
  <si>
    <t>Totaal Directe Belastingen</t>
  </si>
  <si>
    <t>Totale v.o</t>
  </si>
  <si>
    <t>Saldo op de betalingsbalans</t>
  </si>
  <si>
    <t>II.8</t>
  </si>
  <si>
    <t>Extra investeringen in het Microblok</t>
  </si>
  <si>
    <t xml:space="preserve">De invoer van goederen en diensten door de overheid (MOWN) wordt voor 10% (0.1) bepaald door de </t>
  </si>
  <si>
    <t>3. Beschrijving van de modelvergelijkingen</t>
  </si>
  <si>
    <t xml:space="preserve">4. De presentatie van de modelvarianten </t>
  </si>
  <si>
    <t>import (OBMWN) en de omzetbelasting op de toegevoegde waarde (BTW).</t>
  </si>
  <si>
    <t>GDOBWN(-1)</t>
  </si>
  <si>
    <t>YIWP</t>
  </si>
  <si>
    <t>1. de koopkrachtontwikkeling van verschillende inkomensgroepen;</t>
  </si>
  <si>
    <t>Productie crude</t>
  </si>
  <si>
    <t>MMbbls</t>
  </si>
  <si>
    <t>Verkoop producten</t>
  </si>
  <si>
    <t>Export prijs</t>
  </si>
  <si>
    <t>$/bbl.</t>
  </si>
  <si>
    <t>Mln. USD</t>
  </si>
  <si>
    <t>Omzet</t>
  </si>
  <si>
    <t xml:space="preserve">Rente van de overheid </t>
  </si>
  <si>
    <t>Inkomstbel. Bauxietmij. SAS</t>
  </si>
  <si>
    <t>Tabel 5.7.a Statistical Yearbook 2004 ABS</t>
  </si>
  <si>
    <t>MRX totale monetaire reserve</t>
  </si>
  <si>
    <t>Mutatie deviezenvorraad in USD</t>
  </si>
  <si>
    <t>a. een variant met de resultaten bij Ongewijzigd Beleid,</t>
  </si>
  <si>
    <t xml:space="preserve">vermindert met de invoer van goederen en diensten door de overheid (MOWN) en de afschrijvingen </t>
  </si>
  <si>
    <t xml:space="preserve">verleden door verschillende economen zijn samengesteld aan de hand van verschillende variaties </t>
  </si>
  <si>
    <t>Deviezenvoorraad in mln. SRD.</t>
  </si>
  <si>
    <t>koers SRD/$</t>
  </si>
  <si>
    <t>rentevoet Suriname</t>
  </si>
  <si>
    <t xml:space="preserve">buitenland in het actueel jaar  (KEOWN). Deze vergelijking/de realisaties dienen nog deels te worden </t>
  </si>
  <si>
    <t>(MIGAN). Bron: ABS</t>
  </si>
  <si>
    <t>86. B1664N</t>
  </si>
  <si>
    <t>Directe belastingen van de gezinnen aan de overheid?</t>
  </si>
  <si>
    <t xml:space="preserve">bijstand te verlenen aan enkele van de voornoemde instituten. Zo heeft hij in begin jaren negentig een </t>
  </si>
  <si>
    <t>9. Herschikking/conversie binnenlandse schuld (1)</t>
  </si>
  <si>
    <t>10. Consolidatie schuld bij de Centrale Bank (O)</t>
  </si>
  <si>
    <t xml:space="preserve">3. De wisselkoers is exogeen en dus niet geheel goede weerspiegeling van de vraag en aanbod </t>
  </si>
  <si>
    <t xml:space="preserve">/transverschil betalingsbalans (KTEWN). De realisaties zijn een afgeleide van de definitievergelijking. </t>
  </si>
  <si>
    <t xml:space="preserve">inkomens bovenin komen te staan. Door een poverty line te kiezen in cel 1 van tabel 2 is het mogelijk </t>
  </si>
  <si>
    <t>voorkomen in het MOP. Dit is ongeveer gelijk aan het niveau van de lopende projecten.</t>
  </si>
  <si>
    <t>? Geen overheidsleningen uit het Buitenland.</t>
  </si>
  <si>
    <t>WAM kosten [Ind.Bel]</t>
  </si>
  <si>
    <t xml:space="preserve">ontwikkeld. </t>
  </si>
  <si>
    <t xml:space="preserve"> OGOWN(-1)*(LBWN+LOWN)/(LBWN(-1)+LOWN(-1))</t>
  </si>
  <si>
    <t xml:space="preserve"> KNEOWN*PKRSQ</t>
  </si>
  <si>
    <t xml:space="preserve"> OEOWN(-1)</t>
  </si>
  <si>
    <t>Binnenlandsprodukt tegen marktprijzen (BBPmp) en een totaal tekort van ca. 5%,</t>
  </si>
  <si>
    <t xml:space="preserve">buitenland van het voorgaand jaar (ZOEWN(-1)). Met de introductie van het Self Assessment System </t>
  </si>
  <si>
    <t>Rijst Instituut Suriname, Ministerie van Landbouw, Veeteelt, Visserij en Bosbouw</t>
  </si>
  <si>
    <t>Opbrengst van electrische energie Afobakka</t>
  </si>
  <si>
    <t xml:space="preserve">  Suriname – IMF 2001 Article IV Consultation Final Statement.</t>
  </si>
  <si>
    <t xml:space="preserve">sector. De gewijzigde opzet is beter, zodat ZEWN niet meer van toepassing is. Bron: Betalingsbalans </t>
  </si>
  <si>
    <t>CBvS.</t>
  </si>
  <si>
    <t>Balans Inkomensoverdrachten om niet</t>
  </si>
  <si>
    <t>72. OEGWN</t>
  </si>
  <si>
    <t xml:space="preserve"> OEGWN(-1)</t>
  </si>
  <si>
    <t>stat.verschil tekort/schuld mutatie</t>
  </si>
  <si>
    <t xml:space="preserve">positief effect op de deviezenvoorraad. Vervolgens wordt enkele keren een variant gedraaid, tot die </t>
  </si>
  <si>
    <t xml:space="preserve">wordt de vraag en het aanbod van arbeidsplaatsen bepaald, alsmede de werkloosheid.  Deze is afgeleid </t>
  </si>
  <si>
    <t>? de presentatie van de varianten (geïsoleerde ceteris paribus benadering)</t>
  </si>
  <si>
    <t>= ((((1-0,25*(HPEPWI(-1)/MPI(-1)-1))*HVNA2/1000)/(TA/100)-</t>
  </si>
  <si>
    <t>ABAN)/ABAN)*100</t>
  </si>
  <si>
    <t xml:space="preserve"> HPEPWI(-1)</t>
  </si>
  <si>
    <t xml:space="preserve">bekend. Verder is voor veel inkomensgroepen bekend hoe de verdeling ongeveer is. In eerste instantie </t>
  </si>
  <si>
    <t>HPEPWI(-1)</t>
  </si>
  <si>
    <t>"=[Suryamodel24feb06b.xls]Model!b332</t>
  </si>
  <si>
    <t>"=[Suryamodel24feb06b.xls]Model!b264</t>
  </si>
  <si>
    <t xml:space="preserve">van de Surinaamse economie. Dit overzicht is belangrijk, omdat het Surya Model, net als elk ander </t>
  </si>
  <si>
    <t>ABS, NR, 2005</t>
  </si>
  <si>
    <t>Min. v. Fin., 2006</t>
  </si>
  <si>
    <t>Wereldmarktprijs aardolie</t>
  </si>
  <si>
    <t xml:space="preserve">opgenomen. De doelstellingen en maatregelen zoals die in het model zijn verwerkt, zijn in bijlage II </t>
  </si>
  <si>
    <t>Belasting op belangrijke exportprodukten</t>
  </si>
  <si>
    <t>TKGWN</t>
  </si>
  <si>
    <t xml:space="preserve">jaar worden afgerond. Het betreft hier de toevoeging van een Staat van Middelen en Bestedingen (Flow </t>
  </si>
  <si>
    <t>= Cumulatief migratiesaldo vanaf  '54, jaar t-1</t>
  </si>
  <si>
    <t>? De overdrachten van de overheid aan gezinnen volgen automatisch de loonsverhogingen.</t>
  </si>
  <si>
    <t>Omzetbelasting op importen (OBMWN)</t>
  </si>
  <si>
    <t>RAFFINADERIJ</t>
  </si>
  <si>
    <t>NATUURSTEEN</t>
  </si>
  <si>
    <t>TRIPLEX</t>
  </si>
  <si>
    <t xml:space="preserve">macro-economisch model, een gestileerde weergave van de betreffende economie behoort te zijn, </t>
  </si>
  <si>
    <t>Invoer van goederen en diensten door de gezinnen</t>
  </si>
  <si>
    <t>Invoer van goederen en diensten door de overheid</t>
  </si>
  <si>
    <t>w.o. Verg v verr. v/d Hypotheekbew.</t>
  </si>
  <si>
    <t>rente van overheid aan bedrijven</t>
  </si>
  <si>
    <t>Stichting Toerisme Suriname,  "Suriname Visitor Survey 2004"</t>
  </si>
  <si>
    <t xml:space="preserve">De netto particuliere leningen van de overheid uit het buitenland (KEOWN) in Srg., zijn gelijk aan de </t>
  </si>
  <si>
    <t>1. De bedrijfshuishouding</t>
  </si>
  <si>
    <t>2. De overheid</t>
  </si>
  <si>
    <t>toeg.waarde excl. export %mut.</t>
  </si>
  <si>
    <t>OUTPUT (niet nodig voor draaien model)</t>
  </si>
  <si>
    <t xml:space="preserve">KERNGEGEVENS </t>
  </si>
  <si>
    <t xml:space="preserve">  % mutaties</t>
  </si>
  <si>
    <t>in % BBP</t>
  </si>
  <si>
    <t>Deviezenvoorraad</t>
  </si>
  <si>
    <t>perunage</t>
  </si>
  <si>
    <t>= Saldo op de Lopende rekening op kasbasis in mln. Srg, jaar t</t>
  </si>
  <si>
    <t>in constante prijzen</t>
  </si>
  <si>
    <t>minus FISIM</t>
  </si>
  <si>
    <t>Gross Domestic Product (informal sector)</t>
  </si>
  <si>
    <t>plus Taxes less subsidies on product</t>
  </si>
  <si>
    <t>Overheid SBI 91</t>
  </si>
  <si>
    <t>update27/1/07</t>
  </si>
  <si>
    <t xml:space="preserve">gemaakt. Daarbij moet in acht worden genomen dat het ABS niet elk jaar een nieuw onderzoek doet. </t>
  </si>
  <si>
    <t xml:space="preserve">  indices 1973=100</t>
  </si>
  <si>
    <t xml:space="preserve"> in startjaar (1990)hier exogeen!</t>
  </si>
  <si>
    <t>garnalen export mln.SRD</t>
  </si>
  <si>
    <t>GAREWN</t>
  </si>
  <si>
    <t>voortzetting van deze benadering.</t>
  </si>
  <si>
    <t>Het macro model (SURYA MODEL)</t>
  </si>
  <si>
    <t>= Buitenlandse staatsschuld in mln.Srg, jaar t-1</t>
  </si>
  <si>
    <t xml:space="preserve">bevolkingsgroei, conform de raming in het Surya model. De groep overigen is vast te stellen door te </t>
  </si>
  <si>
    <t>Directe Belastingen (exl. Indir.bel &amp; NBO)</t>
  </si>
  <si>
    <t xml:space="preserve">De indirecte belastingdruk (TKQ) is per definitie gelijk aan de indirecte belastingen (TKWN) minus de </t>
  </si>
  <si>
    <t xml:space="preserve"> KNEOWN+MIDWN+KEBWN+KEOWN</t>
  </si>
  <si>
    <t>OVERHEID in Mln US-dollar</t>
  </si>
  <si>
    <t>I.2.1</t>
  </si>
  <si>
    <t>Construction</t>
  </si>
  <si>
    <t>Trade</t>
  </si>
  <si>
    <t xml:space="preserve"> Restaurants and Hotels</t>
  </si>
  <si>
    <t>mutatie deviezenvoorraad</t>
  </si>
  <si>
    <t xml:space="preserve">overeenkomen met de macro-rekeningen. Echter moet, in de huidige macro model TECHNISCHE </t>
  </si>
  <si>
    <t>vis en visproducten export mln.SRD</t>
  </si>
  <si>
    <t>olie</t>
  </si>
  <si>
    <t>van de productiefactoren arbeid en kapitaal.</t>
  </si>
  <si>
    <t>indirecte belastingdruk</t>
  </si>
  <si>
    <t>'=[Mamiabc2004mei15.xls]MODEL!D101</t>
  </si>
  <si>
    <t xml:space="preserve">getoetst op mutaties in de loonontwikkelingen van ambtenaren (SURITAX). De armoede module is een </t>
  </si>
  <si>
    <t>II.10.1</t>
  </si>
  <si>
    <t>Lopende begrotingssaldo (in mln SRD)</t>
  </si>
  <si>
    <t>Totale begrotingssaldo (in mln SRD)</t>
  </si>
  <si>
    <t>Lopende begrotingssaldo (in % v/h BBP)</t>
  </si>
  <si>
    <t>Totale begrotingssaldo (in % v/h BBP)</t>
  </si>
  <si>
    <t>BBP (in mln SRD)</t>
  </si>
  <si>
    <t>kapitaalimport bedrijven vanaf'90</t>
  </si>
  <si>
    <t xml:space="preserve">   variabelen, gebaseerd op GPS</t>
  </si>
  <si>
    <t xml:space="preserve">consumptie gezinnen, CGWN; bruto investeringen van de overheid, IOWN en bruto investeringen van </t>
  </si>
  <si>
    <t>= Totale afzet in mln. Srg, jaar t</t>
  </si>
  <si>
    <t>: (IOWN*77+IBWN*45) / (IPI/100)</t>
  </si>
  <si>
    <t xml:space="preserve">worden. Bij elke scenario is ten opzichte van de TECHNISCHE BASELINE een variant geplaatst, die </t>
  </si>
  <si>
    <t>= Arbeidsplaatsen bedrijven * 1000, jaar t</t>
  </si>
  <si>
    <t xml:space="preserve">de STUSECO telewerken formule. Dr. van Schaaijk is reeds geruime tijd pro deo bezig technische </t>
  </si>
  <si>
    <t xml:space="preserve">economie. Dit is de basis van het Surya Model. Daarna worden de afzonderlijke onderdelen van het </t>
  </si>
  <si>
    <t xml:space="preserve">In het Microblok worden de productievolumen (voor aardolie) en exporthoeveelheden exogeen </t>
  </si>
  <si>
    <t>directe belastingen van bedrijven</t>
  </si>
  <si>
    <t>directe belastingen van gezinnen</t>
  </si>
  <si>
    <t>inkomensoverdr.om niet van gezin.</t>
  </si>
  <si>
    <t xml:space="preserve">zal, onder begeleiding van Dr. M van Schaaijk, tussen 12 maart en 1 oktober 2001 hieraan werken, </t>
  </si>
  <si>
    <t>= Inkomensoverdrachten om niet naar buitenland van gezinnen, jaar t</t>
  </si>
  <si>
    <t>accommoderen.</t>
  </si>
  <si>
    <t>De indeling van het model is als volgt:</t>
  </si>
  <si>
    <t>idem voor bedrijfsklasse &gt;74 ha</t>
  </si>
  <si>
    <t>'=macmicdata!B312</t>
  </si>
  <si>
    <t>'=macmicdata!B311</t>
  </si>
  <si>
    <t>invoerprijs totaal</t>
  </si>
  <si>
    <t>loonkosten p.e.p.</t>
  </si>
  <si>
    <t>idem trend</t>
  </si>
  <si>
    <t>verhoging van de accijnzen. Na de aanpassingsperiode daalt de inflatie tot ca. 2,5%.</t>
  </si>
  <si>
    <t>Belastingquotes</t>
  </si>
  <si>
    <t>109.   TDGQ</t>
  </si>
  <si>
    <t>= Directe belastingen gezinnen, jaar t</t>
  </si>
  <si>
    <t>Ongewijzigd Beleid</t>
  </si>
  <si>
    <t xml:space="preserve">o.b.v. de historische ontwikkeling verder groeien. Het landbouwinkomen is moeilijk te schatten voor de </t>
  </si>
  <si>
    <t>prijs per micro product</t>
  </si>
  <si>
    <t>= ABAN(-1)*(1+(0,05*HVNA1(-1)/100+HVNA2(-1)/HVNA2(-2)</t>
  </si>
  <si>
    <t>bevolking                  *1000</t>
  </si>
  <si>
    <t>alsmede de financiële stromen t.b.v. de overheid en particuliere sector.</t>
  </si>
  <si>
    <t>De Gezinnen</t>
  </si>
  <si>
    <t xml:space="preserve">MGWN). Het Bruto Binnenlands Product tegen marktprijzen (BBPmp) kan bepaald worden door de </t>
  </si>
  <si>
    <t>Omzetbelasting (TOWN);</t>
  </si>
  <si>
    <t>Omzetbelasting op de Produktie (BTW)</t>
  </si>
  <si>
    <t>Int. Inflatie in US$ tbv invoerprijs</t>
  </si>
  <si>
    <t>inflatie USA in US$</t>
  </si>
  <si>
    <t>index trend arbeidsproductiviteit</t>
  </si>
  <si>
    <t>index</t>
  </si>
  <si>
    <t xml:space="preserve">overheid op kasbasis (MIDOWN) minus de kapitaaloverdrachten om niet van het buitenland aan de </t>
  </si>
  <si>
    <t>Suryamodel</t>
  </si>
  <si>
    <t>Wisselkoers SRG/USD becijferd als jaargemiddelde</t>
  </si>
  <si>
    <t>verwijzing naar sheet DataInput</t>
  </si>
  <si>
    <t>III       Financiering (netto)</t>
  </si>
  <si>
    <t xml:space="preserve">IOWN) en de uitvoer van goederen en diensten door de bedrijven (BWN). De totale consumptie van de </t>
  </si>
  <si>
    <t xml:space="preserve">koopkrachtontwikkeling van verschillende inkomensgroepen, ook inzicht in de koopkrachtontwikkeling </t>
  </si>
  <si>
    <t>binnen deze groepen.</t>
  </si>
  <si>
    <t>= Invoerrechten, jaar t</t>
  </si>
  <si>
    <t xml:space="preserve"> CGWN</t>
  </si>
  <si>
    <t>= Omzetbelasting op de toegevoegde waarde, jaar t</t>
  </si>
  <si>
    <t>Trendmatige arbeidsproductiviteit. Gegeven en vast op 60</t>
  </si>
  <si>
    <t>Schulden</t>
  </si>
  <si>
    <t xml:space="preserve">SECTOR OVERHEID </t>
  </si>
  <si>
    <t xml:space="preserve">De kas-/transverschillen op de betalingsbalans (KTEWN) zijn exogeen en gelijk aan 0 (nul). M.b.t. de </t>
  </si>
  <si>
    <t xml:space="preserve"> KNGOWN(-1)</t>
  </si>
  <si>
    <t xml:space="preserve"> LOWN'(-1)*(AOAN/AOAN(-1))</t>
  </si>
  <si>
    <t xml:space="preserve">De Surinaamse prijs van geraffineerde aardolieproducten  (RAFSPN) is afhankelijk van de Surinaamse </t>
  </si>
  <si>
    <t>Lending rate gewogen gemiddelde</t>
  </si>
  <si>
    <t xml:space="preserve">toegevoegd zal worden aan het SURYA MODEL. Dit model is een verdere verbijzondering van </t>
  </si>
  <si>
    <t>= Overheidsinvesteringen uit Buitenlandse leningen, jaar t</t>
  </si>
  <si>
    <t>Controle op Bron Data</t>
  </si>
  <si>
    <t xml:space="preserve">Het Buitenland reageert voornamelijk op wijzigingen in de binnenlandse economie als gevolg van het </t>
  </si>
  <si>
    <t>Overall Balance  (+ is overschot)/Surplus Tot. Rek.</t>
  </si>
  <si>
    <t>KTOWN</t>
  </si>
  <si>
    <t>Kas trans verschil overheidsfin.</t>
  </si>
  <si>
    <t>zijn aan de primaire variabelen (de zgn. secundaire variabelen).</t>
  </si>
  <si>
    <t>systeem: SPS met Suryamodel, CBvS met CBMOD model en ABS met TurboABS.</t>
  </si>
  <si>
    <t xml:space="preserve">SUJAFI, COMAS). In gevallen waarbij de bovengenoemde prijs niet beschikbaar is, wordt gewerkt </t>
  </si>
  <si>
    <t>netto prijs/kosten index</t>
  </si>
  <si>
    <t>Macro variabelen uit Mamiabc 15mei2003</t>
  </si>
  <si>
    <t xml:space="preserve">beschouwing genomen moeten worden, maar dat ook andere aspecten van die samenleving binnen het </t>
  </si>
  <si>
    <t xml:space="preserve">monitoring gebeuren moeten worden meegenomen. Een van deze aspecten is armoede. </t>
  </si>
  <si>
    <t>Consumptie overheid</t>
  </si>
  <si>
    <t>Investeringen bedrijven</t>
  </si>
  <si>
    <t>Investeringen overheid</t>
  </si>
  <si>
    <t>Investeringen totaal</t>
  </si>
  <si>
    <t xml:space="preserve">IBMWN(-1)*(1+IPP/100)*1.05, waarbij werd verondersteld dat de exportvolume in het Microblok </t>
  </si>
  <si>
    <t xml:space="preserve">Doel: Dit gedeelte van het model laat de inkomensverdeling naar de verschillende groepen zien. In </t>
  </si>
  <si>
    <t xml:space="preserve">De POVERTY MODULE  draait ook deels op outputresultaten van het SURYA MODEL, maar er zijn </t>
  </si>
  <si>
    <t>Statistisch verschil ZBEWN</t>
  </si>
  <si>
    <t xml:space="preserve">(TKBWN) gedeeld door de binnenlandse bestedingen (materiële consumptie overheid, CMOWN; </t>
  </si>
  <si>
    <t>IIC1      Kapitaaluitgaven (IOWNB)</t>
  </si>
  <si>
    <t>zie regel 352 in het model</t>
  </si>
  <si>
    <t xml:space="preserve">betreft, mag worden aangenomen dat hetgeen middels de VES+ variant is aangetoond een goed beeld </t>
  </si>
  <si>
    <t>II.5.2</t>
  </si>
  <si>
    <t xml:space="preserve">? Monetair wordt het inflatiedoel niet in het jaar van aanpassing bereikt, maar wel in 2002. In 2001 </t>
  </si>
  <si>
    <t>Doelstelling: Begrotingsevenwicht per eind 2002/ monetair-neutrale financiering van tekorten</t>
  </si>
  <si>
    <t>materiele lopende uitgaven</t>
  </si>
  <si>
    <t xml:space="preserve">Netto winst </t>
  </si>
  <si>
    <t>Consumptieprijsmutatie</t>
  </si>
  <si>
    <t>= Overdrachten om niet uit eigen middelen, jaar t</t>
  </si>
  <si>
    <t>defleren met de invoerprijsmutatie ((1+MPP/100)-1).</t>
  </si>
  <si>
    <t>97. CGPP</t>
  </si>
  <si>
    <t>= 0,24*((LBWN/LBWN(-1))/(ABAN/ABAN)-1)*100+0,76*MPP+TKQ-</t>
  </si>
  <si>
    <t>26. OBMWN= 0,65*(0.07*(MBWN+MGWN+TMWN2))</t>
  </si>
  <si>
    <t>Hulpvariabele  vraag naar invoer</t>
  </si>
  <si>
    <t>? een daling van monetaire reserves van ca. $21 mln (tussen 1997 – 1999 continu dalend),</t>
  </si>
  <si>
    <t>? een buitenlandse schuld van ca. $181 mln en een binnenlandse schuld van ca. Sf194 mld ,</t>
  </si>
  <si>
    <t xml:space="preserve">Alternatieve berekening: </t>
  </si>
  <si>
    <t xml:space="preserve">18. Versnelde implementatie van het door de IDB gefinancierde Financieel Informatiesysteem voor de </t>
  </si>
  <si>
    <t>kunnen worden gemaakt.</t>
  </si>
  <si>
    <t xml:space="preserve">1. een korte overzicht van de structuur van het model in de vorm van een hoorcollege inclusief </t>
  </si>
  <si>
    <t xml:space="preserve">Bij de goederen en diensten door de overheid aan de bedrijven  (GDOBWN) betreft het o.a. zaken </t>
  </si>
  <si>
    <t xml:space="preserve">De procentuele mutatie in de invoervolume (MVP) wordt per definitie bepaald door de  mutatie in de </t>
  </si>
  <si>
    <t xml:space="preserve">investeringen in de exportsector wordt bepaald door het aandeel dat deze investeringen hebben gehad </t>
  </si>
  <si>
    <t>MBWN(-1)</t>
  </si>
  <si>
    <t>MGWN(-1)</t>
  </si>
  <si>
    <t>MOWN(-1)</t>
  </si>
  <si>
    <t>Endogenen schulden</t>
  </si>
  <si>
    <t>59. SOEWN</t>
  </si>
  <si>
    <t>verwerkt bij de volgende training omdat nog heel veel uitgezocht dient te worden.</t>
  </si>
  <si>
    <t xml:space="preserve">De lijst van variabelen is gerangschikt in de volgorde zoals die voorkomen in de aangepaste </t>
  </si>
  <si>
    <t xml:space="preserve">spreadsheet TECHNISCHE BASELINE. </t>
  </si>
  <si>
    <t>I.</t>
  </si>
  <si>
    <t>I.1</t>
  </si>
  <si>
    <t>I.1.1</t>
  </si>
  <si>
    <t xml:space="preserve">vraag naar arbeid voor een zevende deel doorwerkt op de feitelijke vraag. Dit betekent dat een </t>
  </si>
  <si>
    <t>beschikbaar is zoals de betalingsbalans, de monetaire tabellen enz.</t>
  </si>
  <si>
    <t>= Loonsom naar het buitenland, jaar t-1</t>
  </si>
  <si>
    <t>ABAN(-1)</t>
  </si>
  <si>
    <t xml:space="preserve">voorraden moeten worden meegenomen. Aangezien het vaak niet mogelijk is opgaven te verkrijgen van </t>
  </si>
  <si>
    <t xml:space="preserve">o.b.v. de belangrijkste sectoren in de economie en de noodzakelijke elementen die in het model </t>
  </si>
  <si>
    <t xml:space="preserve">voorkomen. </t>
  </si>
  <si>
    <t xml:space="preserve">SUBWN </t>
  </si>
  <si>
    <t>Bauxietsector werknemers</t>
  </si>
  <si>
    <t xml:space="preserve">Statisch gedeelte: Recent heeft het ABS een onderzoek gedaan naar de personele inkomensverdeling </t>
  </si>
  <si>
    <t>BUREAU VOOR DE STAATSSCHULD</t>
  </si>
  <si>
    <t xml:space="preserve">van de Stichting Planbureau Suriname (SPS) is enerzijds voortgevloeid uit de historische </t>
  </si>
  <si>
    <t xml:space="preserve">samenwerking die de Stichting ter Bevordering van de Studie van de Surinaamse Economie </t>
  </si>
  <si>
    <t xml:space="preserve">koopkrachtontwikkeling van o.a. ambtenaren kan simuleren. </t>
  </si>
  <si>
    <t>Kas- transverschil monetair</t>
  </si>
  <si>
    <t xml:space="preserve">65 jaar minus de groei van de groepen werknemers, landsdienaren en werklozen, ook een </t>
  </si>
  <si>
    <t xml:space="preserve">De directe belastingen van bedrijven aan de overheid bestaat uit de inkomstenbelasting op lichamen, </t>
  </si>
  <si>
    <t>Overige niet belasting ontvangsten</t>
  </si>
  <si>
    <t xml:space="preserve">De economische ontwikkelingen tussen 1996 – 2000, maar voornamelijk het gevoerde economisch en </t>
  </si>
  <si>
    <t xml:space="preserve">te verkrijgen (De VES+ variant). </t>
  </si>
  <si>
    <t xml:space="preserve">De veronderstellingen </t>
  </si>
  <si>
    <t>Loonkosten p.e.p. index</t>
  </si>
  <si>
    <t>Gewogen Wereldmarktprijs/gecalculeerde prijs voor rijstproducten</t>
  </si>
  <si>
    <t>Wereldmarktprijs verwerkte houtproducten</t>
  </si>
  <si>
    <t>= Loonkosten p.e.p.index, jaar t-1</t>
  </si>
  <si>
    <t>Saldo Handels- en Dienstenbalans</t>
  </si>
  <si>
    <t>Geselecteerde indicatoren</t>
  </si>
  <si>
    <t>Reele Produktie en Reeel Inkomen</t>
  </si>
  <si>
    <t>67. LEGWN</t>
  </si>
  <si>
    <t>Tabel I.A.3</t>
  </si>
  <si>
    <t xml:space="preserve">OEOWN - OOGWN - OOEWN) en de kas\transverschillen (KASTWN) vermindert met de som van de </t>
  </si>
  <si>
    <t>technologische ontwikkelingen op dit gebied. Dit in het bijzonder in verband met het nieuwe MOP.</t>
  </si>
  <si>
    <t xml:space="preserve">schenkingsmiddelen zijn hier nog buiten beschouwing gelaten. </t>
  </si>
  <si>
    <t>`</t>
  </si>
  <si>
    <t>wk, govttake,subs.bush.,pens.verh +18% part.sect</t>
  </si>
  <si>
    <t xml:space="preserve">wk, govttake,subs.bush.,pens.verh </t>
  </si>
  <si>
    <t>wk</t>
  </si>
  <si>
    <t>Alle Overheidsmaatr. en koersaanp.</t>
  </si>
  <si>
    <t xml:space="preserve">de lokale markt. Het open karakter van de economie is een afgeleide van de kleinschaligheid. </t>
  </si>
  <si>
    <t>TOESPN(-1)</t>
  </si>
  <si>
    <t>46. OOEWN =OOEWN(-1)*(1+CGPP/100)</t>
  </si>
  <si>
    <t xml:space="preserve"> OOEWN(-1)</t>
  </si>
  <si>
    <t xml:space="preserve">arbeid is afhankelijk van de reële afzet (bestedingen) in de economie exclusief de reële lonen bij de </t>
  </si>
  <si>
    <t xml:space="preserve">sociale groepen in de samenleving en het effect daarvan op de aantallen mensen in armoede en de </t>
  </si>
  <si>
    <t>inkomensoverdrachten overig van overheid naar buitenland</t>
  </si>
  <si>
    <t xml:space="preserve">(VISSPN(-1)), de mutatie in de wereldmarktprijs van vis  (VISWPN/VISWPN(-1)) en in de </t>
  </si>
  <si>
    <t>KTBBWN</t>
  </si>
  <si>
    <t>Statistisch verschil Bet Bal.</t>
  </si>
  <si>
    <t>16. YBWN</t>
  </si>
  <si>
    <t>Mutatie Deviezenvoorraad in mln.USD x -1</t>
  </si>
  <si>
    <t>Mutatie Deviezenvoorraad in mln.USD</t>
  </si>
  <si>
    <t>Investeringen in rondhout</t>
  </si>
  <si>
    <t xml:space="preserve">in de bruto investeringen van bedrijven in het voorgaand jaar (IBMWN(-1)/IBWN(-1)) gecorrigeerd </t>
  </si>
  <si>
    <t>= Loonsom naar het buitenland, jaar t</t>
  </si>
  <si>
    <t>geldhoeveelheid</t>
  </si>
  <si>
    <t>Procentuele mutatie in het gemiddeld loon van de overheid</t>
  </si>
  <si>
    <t xml:space="preserve">                    Overzicht Staatsschuld 2000 - juni 2005, Ministerie van Financien, Bureau voor de Staatsschuld</t>
  </si>
  <si>
    <t xml:space="preserve">betalingsbalanssteun. </t>
  </si>
  <si>
    <t xml:space="preserve">onderling verband door verschillende instanties moeten worden gerealiseerd zoals, de monetaire </t>
  </si>
  <si>
    <t xml:space="preserve">kwam namelijk naar voren dat er een relatie was tussen conjunctuur en aantal zelfstandigen. Verder is </t>
  </si>
  <si>
    <t>MICRO BLOK</t>
  </si>
  <si>
    <t>uitvoerwaarde producten prijzen voorafgaand jaar</t>
  </si>
  <si>
    <t>uitvoerwaarde prod. hieronder</t>
  </si>
  <si>
    <t>Export goud (in%)</t>
  </si>
  <si>
    <t>Groei toerisme</t>
  </si>
  <si>
    <t>= Directe belastingen van bedrijven aan de overheid, jaar t-1</t>
  </si>
  <si>
    <t xml:space="preserve"> ZEWN(-1)</t>
  </si>
  <si>
    <t>Direkte belastingdruk</t>
  </si>
  <si>
    <t>BBP bestedingsmethode met inpassing over de bestedingscomponenten (miljoenSRD)</t>
  </si>
  <si>
    <t xml:space="preserve">kleinschaligheid en open karakter zijn typerend voor de rol van de overheid, de handel en de </t>
  </si>
  <si>
    <t>Lopende Uitgaven</t>
  </si>
  <si>
    <t>Saldo Lopende Dienst (Overheidsbesparingen)</t>
  </si>
  <si>
    <t xml:space="preserve">aanpassingsperiode bereikt. In 2003 is er dus een overschot op de Lopende Dienst. Tussen 2000 </t>
  </si>
  <si>
    <t>opbrengsten per ha in $ p.j.</t>
  </si>
  <si>
    <t>is de sector wel opgenomen, zodat de cijfers in het model afwijken van die van het ABS.</t>
  </si>
  <si>
    <t>Liquiditeitscreatie t.b.v de Overheid</t>
  </si>
  <si>
    <t>Kredietverlening aan de private sector</t>
  </si>
  <si>
    <t>Overige oorzaken liquiditeitscreatie</t>
  </si>
  <si>
    <t>Liquiditeitscreatie uit het buitenland</t>
  </si>
  <si>
    <t xml:space="preserve">(BVWN). Dit geïnvesteerd vermogen bestaat uit de som van de boekwaarde en de waarde van de </t>
  </si>
  <si>
    <t>nieuwe investeringen.</t>
  </si>
  <si>
    <t xml:space="preserve">en 2003 dalen de lopende uitgaven met ca. 9 procentpunten (van ca. 41% naar 32% van het </t>
  </si>
  <si>
    <t>De opzet van TECHNISCHE BASELINE</t>
  </si>
  <si>
    <t>(II) / nieuw tabel 5</t>
  </si>
  <si>
    <t xml:space="preserve"> (IV)/ nieuw tabel 6</t>
  </si>
  <si>
    <t>(XII-3) / nieuw tabel 12</t>
  </si>
  <si>
    <t>Blok tbv berekening invoerprijs</t>
  </si>
  <si>
    <t>Diverse</t>
  </si>
  <si>
    <t>Einde</t>
  </si>
  <si>
    <t>Datainput</t>
  </si>
  <si>
    <t xml:space="preserve">BANK van SURINAME hanteert voor de opkoop van goud. Deze is de LME prijs voor goud, </t>
  </si>
  <si>
    <t>mln.SRD</t>
  </si>
  <si>
    <t>investeringen bedrijven totaal</t>
  </si>
  <si>
    <t>Nederlandse hulp</t>
  </si>
  <si>
    <t>78. SDBBWN= SDLRWN+SDKRWN+GOUWN</t>
  </si>
  <si>
    <t>Afschrijvingen van de overheid</t>
  </si>
  <si>
    <t>Lopende inkomsten</t>
  </si>
  <si>
    <t>TRIEKN X TRISPN(-1)</t>
  </si>
  <si>
    <t>b. de VES+ variant</t>
  </si>
  <si>
    <t>gemigreerde personen van het voorgaand jaar (MITAN(-1)) en het migratiesaldo (emigratie-</t>
  </si>
  <si>
    <t xml:space="preserve">worden geheven, zoals hierboven staat beschreven. Te allen tijde zal in acht moeten worden genomen, </t>
  </si>
  <si>
    <t>dat niet iedereen in Suriname belasting zal betalen.</t>
  </si>
  <si>
    <t>BMWN(-1)-1)*100)/YIWN(-1)</t>
  </si>
  <si>
    <t>Niet opgenomen gecommiteerde leningen in mln. USD</t>
  </si>
  <si>
    <t xml:space="preserve">(LEGWN - LBEWN), de netto inkomensoverdrachten om niet uit het buitenland aan gezinnen </t>
  </si>
  <si>
    <t xml:space="preserve">andere sheets zijn afgeleid uit de eerste en zijn in feite output sheets. Oorspronkelijk waren deze sheets </t>
  </si>
  <si>
    <t>CMOWNB2</t>
  </si>
  <si>
    <t>Transfers</t>
  </si>
  <si>
    <t>OOGWNB1</t>
  </si>
  <si>
    <t>Exportvolume aluminium in tonnen</t>
  </si>
  <si>
    <t>Exportvolume aardolie in barrels</t>
  </si>
  <si>
    <t>Wereldmarktprijs geraffineerde aardolieproducten</t>
  </si>
  <si>
    <t>Overheidsschenkingen KNEOWNC</t>
  </si>
  <si>
    <t>Nog te rubriceren posten KTEWN</t>
  </si>
  <si>
    <t>Deviezen A+B DEVWN CBvS</t>
  </si>
  <si>
    <t>Wijzigiging Netto btl actief SDBBWN</t>
  </si>
  <si>
    <t xml:space="preserve">De overheidsinvesteringen uit eigen middelen (IOWNB1) in Srg. zijn gelijk aan de </t>
  </si>
  <si>
    <t>Aluinaarde</t>
  </si>
  <si>
    <t>Tot. Schatkistprom</t>
  </si>
  <si>
    <t>BTW</t>
  </si>
  <si>
    <t>TKBWN</t>
  </si>
  <si>
    <t xml:space="preserve">het microblok van het actueel jaar. De actuele exportwaarde is het product van de exportvolume (regels </t>
  </si>
  <si>
    <t>Financieringstekort van de overheid</t>
  </si>
  <si>
    <t xml:space="preserve">opgegeven door de GEOLOGISCHE MIJNBOUWKUNDIGE DIENST of die voor natural stone </t>
  </si>
  <si>
    <t>AOLWN</t>
  </si>
  <si>
    <t>,, 1000barrels</t>
  </si>
  <si>
    <t>1000barrels</t>
  </si>
  <si>
    <t>groenten export mln.Sf</t>
  </si>
  <si>
    <t>Goud export in mln. SF</t>
  </si>
  <si>
    <t>,, 1000 KG</t>
  </si>
  <si>
    <t xml:space="preserve">  secundair verleden, primair bij raming</t>
  </si>
  <si>
    <t>waarde, zoals uit de SPS projectenlijst, gecorrigeerd voor de wisselkoers (PKRSQ).</t>
  </si>
  <si>
    <t>Surinaamseprijs Aardolie SRD/barrel</t>
  </si>
  <si>
    <t>voor 1996 t/m 2001 is de oude reeks gekoppeld aan de nieuwe die in 2002 start.</t>
  </si>
  <si>
    <t xml:space="preserve">    Importwaarde goud-&amp; aardoliesector</t>
  </si>
  <si>
    <t>Herwaarderingsverschillen (mem item)</t>
  </si>
  <si>
    <t>overheid in % BBP</t>
  </si>
  <si>
    <t>verschil realisatie - raming</t>
  </si>
  <si>
    <t xml:space="preserve">toekomstige ontwikkelingen van invloed kunnen zijn op de vorm van het model. Toch is echter de </t>
  </si>
  <si>
    <t xml:space="preserve">= Consumptieprijsmutatie, jaar t </t>
  </si>
  <si>
    <t xml:space="preserve"> CGPP(-1)</t>
  </si>
  <si>
    <t xml:space="preserve">dat in 1994 ca.18% van zij die tewerk zijn gesteld emplooi vonden in de productiesector, terwijl de </t>
  </si>
  <si>
    <t>van overheidsingrijpen (belastingen en sociale premies) en transfers uit het buitenland.</t>
  </si>
  <si>
    <t xml:space="preserve">De procentuele mutatie in de loonkosten per eenheid product (HPEPWP) wordt per definitie bepaald </t>
  </si>
  <si>
    <t>De Bedrijven</t>
  </si>
  <si>
    <t>= Arbeidsplaatsen bij de bedrijven * 1000, jaar t</t>
  </si>
  <si>
    <t>Inkomensoverdrachten om niet van het buitenland aan de gezinnen (OEGWN)</t>
  </si>
  <si>
    <t>Levensonderhoud</t>
  </si>
  <si>
    <t>Raffinaderij</t>
  </si>
  <si>
    <t>Goud</t>
  </si>
  <si>
    <t>Schulden aan diverse binnenlandse bedrijven in mln. SRD</t>
  </si>
  <si>
    <t>Hout (Industrieel rondhout)</t>
  </si>
  <si>
    <t>beschikbaar is, wordt gewerkt met de “crude oil prijs” (International Financial Statistics, IMF).</t>
  </si>
  <si>
    <t>ABS, SPS, monpc-file, jan. feb.2006</t>
  </si>
  <si>
    <t>Update Realisatiecijfers overheidsvariabelen door SPS</t>
  </si>
  <si>
    <t>= Inkomensoverdrachten om niet uit buitenland aan gezinnen, jaar t</t>
  </si>
  <si>
    <t xml:space="preserve">buitenlandse schuld groter zijn. Tot 15 november 2000 wordt melding gemaakt van een binnenlandse </t>
  </si>
  <si>
    <t>rijst prijs per ton, index</t>
  </si>
  <si>
    <t>RIJEDN X RIJSPN(-1)</t>
  </si>
  <si>
    <t xml:space="preserve">Tabel 2: bruto netto traject landsdienaar </t>
  </si>
  <si>
    <t>volume</t>
  </si>
  <si>
    <t>Dienstenverkeer: Vervoer</t>
  </si>
  <si>
    <t>Wereldmarktprijs/gecalculeerde prijs goud</t>
  </si>
  <si>
    <t xml:space="preserve">doen en dit daarna op te tellen komt men tot de totale belasting opbrengsten en de totale bruto </t>
  </si>
  <si>
    <t>Conclusie</t>
  </si>
  <si>
    <t>in % p.j.</t>
  </si>
  <si>
    <t>Kapitaalontvangsten</t>
  </si>
  <si>
    <t>Directe belastingen van de bedrijven aan de overheid</t>
  </si>
  <si>
    <t>Subsidie</t>
  </si>
  <si>
    <t>= Beschikbaar winstinkomen in mln. Srg, jaar t</t>
  </si>
  <si>
    <t xml:space="preserve">Loonbelasting </t>
  </si>
  <si>
    <t xml:space="preserve">Dividend </t>
  </si>
  <si>
    <t>Verkoopprijzen:</t>
  </si>
  <si>
    <t xml:space="preserve">Staatsolie Maatschappij Suriname. In gevallen waarbij de bovengenoemde prijs niet beschikbaar is, </t>
  </si>
  <si>
    <t xml:space="preserve">opgegeven door STICHTING TOERISME SURINAME. </t>
  </si>
  <si>
    <t>Winstbelasting Goudsector</t>
  </si>
  <si>
    <t>Groei van de economie in procenten</t>
  </si>
  <si>
    <t>Nationaal Inkomen per Capita (US-dollars)</t>
  </si>
  <si>
    <t>Binnenlandse  Bestedingen in procenten BBPmp</t>
  </si>
  <si>
    <t>58. MOOWN= -MIDOWN-KNEOWN-MIDWN-KBOWN-KEOWN</t>
  </si>
  <si>
    <t xml:space="preserve">van de monetaire financiering van eind jaren negentig, jaarlijks ruim een verdubbeling van de koers </t>
  </si>
  <si>
    <t>EKAP(-1)</t>
  </si>
  <si>
    <t>basisscen voor nw begroting 2010</t>
  </si>
  <si>
    <t xml:space="preserve">Investeringsprijsmutatie </t>
  </si>
  <si>
    <t>Inkomensoverdrachten om niet van de overheid aan gezinnen (OOGWN)</t>
  </si>
  <si>
    <t>1. Structuur van het aangepaste model</t>
  </si>
  <si>
    <t>TRAINING SURYA MODEL</t>
  </si>
  <si>
    <t>STICHTING PLANBUREAU SURINAME</t>
  </si>
  <si>
    <t>Lijst van variabelen</t>
  </si>
  <si>
    <t xml:space="preserve">De varianten hadden op verschillende aspecten betrekking met als doel de cursisten een goed gevoel te </t>
  </si>
  <si>
    <t>HULPVARIABELEN</t>
  </si>
  <si>
    <t>volume mutaties</t>
  </si>
  <si>
    <t>BMVP</t>
  </si>
  <si>
    <t>BVP</t>
  </si>
  <si>
    <t xml:space="preserve">saldo particulier kapitaal uit het buitenland (KEBWN) en de netto particuliere leningen uit het </t>
  </si>
  <si>
    <t>? Taxtot en Forsa in Curalysemodel, Dienst Economische Zaken Curaçao</t>
  </si>
  <si>
    <t xml:space="preserve">toekomst. Gesteld zou kunnen worden, dat het landbouwinkomen een vast percentage is van het BNP, </t>
  </si>
  <si>
    <t>Som volume vorig jaar x actuele prijs</t>
  </si>
  <si>
    <t>BBP per hoofd cp 2000 in US$ 2001</t>
  </si>
  <si>
    <t>US$</t>
  </si>
  <si>
    <t>Koopkrachtmutatie loon- en steuntrekkers</t>
  </si>
  <si>
    <t xml:space="preserve">Crude </t>
  </si>
  <si>
    <t>Aantal werknemers</t>
  </si>
  <si>
    <t>pers.</t>
  </si>
  <si>
    <t>Real</t>
  </si>
  <si>
    <t>Gegevens Staatsolie</t>
  </si>
  <si>
    <t>Staatsolie</t>
  </si>
  <si>
    <t xml:space="preserve">De training heeft als doel de medewerkers van de afdeling MEP zowel de kennis als de vaardigheden </t>
  </si>
  <si>
    <t>= Kapitaaloverdrachten om niet van het buitenland, jaar t</t>
  </si>
  <si>
    <t xml:space="preserve">= Wisselkoers SRG/USD, jaar t </t>
  </si>
  <si>
    <t>RAFDBN(-1) X RAFSPN</t>
  </si>
  <si>
    <t xml:space="preserve">? een beschrijving van overige aanpassingen die, gegeven de opdracht, noodzakelijk waren </t>
  </si>
  <si>
    <t>RIJST</t>
  </si>
  <si>
    <t>GARNALEN</t>
  </si>
  <si>
    <t>VIS</t>
  </si>
  <si>
    <t>(TOERISME)</t>
  </si>
  <si>
    <t>TOTAAL</t>
  </si>
  <si>
    <t xml:space="preserve">zijn afkomstig van CEBUMA en gecorrigeerd voor componenten die feitelijk niet tot de loonsom </t>
  </si>
  <si>
    <t>LBEWN(-1)*(1+' CGPP'/100)</t>
  </si>
  <si>
    <t>USAR(-1)/100*(DEVWN+DEVWN(-1))/2</t>
  </si>
  <si>
    <t xml:space="preserve"> (EKAP(-1)&gt;0)*0.2*EKAP(-1)*(' ZBESBWN'(-1)/' BVWN'(-1))</t>
  </si>
  <si>
    <t>AOLWPN(-1)</t>
  </si>
  <si>
    <t>BACWPN(-1)</t>
  </si>
  <si>
    <t>GARWPN(-1)</t>
  </si>
  <si>
    <t>HOUWPN(-1)</t>
  </si>
  <si>
    <t>RIJWPN(-1)</t>
  </si>
  <si>
    <t>Simulaties</t>
  </si>
  <si>
    <t>in %</t>
  </si>
  <si>
    <t xml:space="preserve"> 0.08*((MBWN(-1)+MGWN(-1))*0.25+(MBWN+MGWN)*0.75)</t>
  </si>
  <si>
    <t xml:space="preserve">De levering van goederen en diensten van de overheid aan gezinnen (GDOGWN) heeft hetzelfde </t>
  </si>
  <si>
    <t xml:space="preserve">van de bedrijven (IBWN) en de wisselkoers (PKRSQ). De realisatie is moeilijk in lijn te krijgen met de </t>
  </si>
  <si>
    <t>Statistiek (ABS)</t>
  </si>
  <si>
    <t xml:space="preserve">Invoerprijsmutatie </t>
  </si>
  <si>
    <t>? de variabelen m.b.t. de overheidsinkomsten (regels 112 t/m 131)</t>
  </si>
  <si>
    <t>? de variabelen m.b.t. de overheidsuitgaven (regels 133 t/m 159)</t>
  </si>
  <si>
    <t xml:space="preserve">rekeningen weergeven. Het laatste is nog niet volledig en zal bij de volgende trainingssessie later in het </t>
  </si>
  <si>
    <t xml:space="preserve">met het aantal personen binnen een combinatie, inzicht te krijgen in de hoeveelheid belasting en bruto </t>
  </si>
  <si>
    <t>Uitvoerwaarde van de belangrijkste exportproducten</t>
  </si>
  <si>
    <t>Stichting Bosbouw en Bostoezicht (S.B.B), 2005</t>
  </si>
  <si>
    <t xml:space="preserve">tussen de werkgelegenheidsomvang die men bij de feitelijke afzet (HVNA2) en prijsverhoudingen van </t>
  </si>
  <si>
    <t xml:space="preserve">voorgaand jaar (NATSPN(-1)), de mutatie in de wereldmarktprijs van natuursteen  </t>
  </si>
  <si>
    <t xml:space="preserve">Materiele overheidsconsumptie uit  verdragsmiddelen (CMOWNP) </t>
  </si>
  <si>
    <t xml:space="preserve">Ink.overdr.om niet van overheid aan gezin.  uit verdr.mid.  (OOGWNP) </t>
  </si>
  <si>
    <t xml:space="preserve">Overheidsinvesteringen uit verdragsmiddelen (IOWNP) </t>
  </si>
  <si>
    <t>Internationale inflatie</t>
  </si>
  <si>
    <t>1. Een update van Suritax</t>
  </si>
  <si>
    <t>Taken van de trainer</t>
  </si>
  <si>
    <t>MPI(-1)</t>
  </si>
  <si>
    <t>verschaft van wat verwacht mag worden indien dit beleid zou worden uitgevoerd.</t>
  </si>
  <si>
    <t>van de arbeidsmarkt altijd heel goed doorgenomen worden met de sectorspecialisten.</t>
  </si>
  <si>
    <t>1000 troy ounce</t>
  </si>
  <si>
    <t>1000 toeristen</t>
  </si>
  <si>
    <t xml:space="preserve">en het geïnvesteerd vermogen van bedrijven van het voorgaand jaar (BVWN(-1)). De vergelijking gaat </t>
  </si>
  <si>
    <t xml:space="preserve">Doelstelling: Onmiddellijke stopzetting van inflatoire geldcreatie en verlaging inflatie tot onder 10% </t>
  </si>
  <si>
    <t>per eind 2001</t>
  </si>
  <si>
    <t>Rijst</t>
  </si>
  <si>
    <t>Bacoven</t>
  </si>
  <si>
    <t>Garnalen</t>
  </si>
  <si>
    <t>Hout</t>
  </si>
  <si>
    <t>Vis</t>
  </si>
  <si>
    <t xml:space="preserve">  volume % mutaties</t>
  </si>
  <si>
    <t xml:space="preserve">zijn over het algemeen stapelgoederen. Deze smalle productiebasis en de geringe lokale verwerking </t>
  </si>
  <si>
    <t>ABS atst jaarb 2007 tabel 57a</t>
  </si>
  <si>
    <t>naar kerngegevens</t>
  </si>
  <si>
    <t xml:space="preserve"> </t>
  </si>
  <si>
    <t>naar legenda</t>
  </si>
  <si>
    <t>Computernaam</t>
  </si>
  <si>
    <t>= Uitvoerprijs index, jaar t-1</t>
  </si>
  <si>
    <t>= Consumptie gezinnen, jaar t</t>
  </si>
  <si>
    <t xml:space="preserve">? Alhoewel de inflatie in 2001hoog is, stijgt de koopkracht van het looninkomen ca. 6%. Dit is het </t>
  </si>
  <si>
    <t>BETAALDIENST.</t>
  </si>
  <si>
    <t>Uitgaven</t>
  </si>
  <si>
    <t xml:space="preserve">Materiele overheidsconsumptie uit eigen middelen (projecten)(CMOWNB1) </t>
  </si>
  <si>
    <t xml:space="preserve">ABS of het Ministerie van Handel in Industrie zou hierin kunnen voorzien. In de huidige versie is </t>
  </si>
  <si>
    <t>Tabel 5.5 Statistical Yearbook 2004 ABS</t>
  </si>
  <si>
    <t>Asean</t>
  </si>
  <si>
    <t>Caricom</t>
  </si>
  <si>
    <t>Mercosur</t>
  </si>
  <si>
    <t>Nafta</t>
  </si>
  <si>
    <t xml:space="preserve">bruto inkomen berekend voor elke inkomensgroep. Voor elk van deze gemiddelde bruto inkomens </t>
  </si>
  <si>
    <t>de bedrijven, IBWN).</t>
  </si>
  <si>
    <t>Hulpvariabelen import</t>
  </si>
  <si>
    <t xml:space="preserve">voornemens m.b.t. de particuliere sector, de herschikking van de Staatsschuld en de </t>
  </si>
  <si>
    <t>= Invoer van goederen en diensten door de bedrijven, jaar t-1</t>
  </si>
  <si>
    <t xml:space="preserve">Doel: Inzicht verschaffen in de koopkrachtontwikkeling van verschillende inkomensgroepen door de </t>
  </si>
  <si>
    <t>jaren.</t>
  </si>
  <si>
    <t>Deviezenvoorraad in mln.SRD</t>
  </si>
  <si>
    <t xml:space="preserve">8. het invoegen van de beleidsmaatregelen zoals verwoord in het document van de Vereniging van </t>
  </si>
  <si>
    <t>in 1000</t>
  </si>
  <si>
    <t>Extra winsttransfers naar buitenland</t>
  </si>
  <si>
    <t xml:space="preserve">op de definiëring van MPP is het effect van veranderingen in de wisselkoers ook 76% (0.76) op de </t>
  </si>
  <si>
    <t>kunnen presenteren (waarop gelet moet worden bij het presenteren van resultaten).</t>
  </si>
  <si>
    <t xml:space="preserve"> 0.12*(' ZBESBWN'(-1)+TDBWN(-1)+ZBEWN(-1)+ZOEWN(-1))</t>
  </si>
  <si>
    <t xml:space="preserve"> TKBWN+TMWN+0.04*CGWN+TOWN</t>
  </si>
  <si>
    <t xml:space="preserve">1. het begrijpen van de relaties binnen het model en werking van het model (de mogelijkheden en </t>
  </si>
  <si>
    <t>? Aanhoudende inflatie en afname van de koopkracht.</t>
  </si>
  <si>
    <t>? Toenemende tekorten op de begroting.</t>
  </si>
  <si>
    <t xml:space="preserve">Prognoses worden verkregen op basis van geschatte vergelijkingen uit tijdreeksen. Vandaar dat het </t>
  </si>
  <si>
    <t>Overheidsmaatregelen (exl Fiso)</t>
  </si>
  <si>
    <t xml:space="preserve">BBPmp). Als dit evenwel zo snel gerealiseerd kan worden, dient nog bekeken te worden tegen de </t>
  </si>
  <si>
    <t xml:space="preserve">achtergrond van de nog te herschikken binnen- en buitenlandse schuld. </t>
  </si>
  <si>
    <t xml:space="preserve">van de bevolking te laten zijn. Dit laatste is niet een van de eerste opties, omdat bij een economische </t>
  </si>
  <si>
    <t>verschil CBvS-OIA</t>
  </si>
  <si>
    <t>deze exogene variabele omvat de middelen uithoofde van de verdragsrelatie Nederland en Suriname.</t>
  </si>
  <si>
    <t>33. OEOWN</t>
  </si>
  <si>
    <t>afwachting van de herschikking van de binnenlandse schuld. Bron: IMF</t>
  </si>
  <si>
    <t xml:space="preserve">te bezien. De realisaties zijn afkomstig van het ONDERDIRECTORAAT DIRECTE BELASTINGEN. </t>
  </si>
  <si>
    <t xml:space="preserve">   rente binnenlanse overheidsschuld bij de Algemene Banken</t>
  </si>
  <si>
    <t>prijs/kosten index</t>
  </si>
  <si>
    <t>grens</t>
  </si>
  <si>
    <t xml:space="preserve">kolom, waar het getal 1 staat ingevuld, te zien. De onderste rij, waar 2 staat ingevuld, geeft de aantallen </t>
  </si>
  <si>
    <t>NATEKN(-1) X NATSPN</t>
  </si>
  <si>
    <t>overmakingen reëel constant. Bron: Betalingsbalans CBvS.</t>
  </si>
  <si>
    <t>73. OGEWN</t>
  </si>
  <si>
    <t xml:space="preserve">prijzen, waarbij actuele waarden vaak worden berekend uit de waarde van het voorgaand jaar </t>
  </si>
  <si>
    <t>DEVWN CBvS</t>
  </si>
  <si>
    <t>Surinaamseprijs Rijst SRD/metrieke ton</t>
  </si>
  <si>
    <t xml:space="preserve">De overmakingen van lonen naar het buitenland (LBEWN) worden bepaald door de ontwikkeling van </t>
  </si>
  <si>
    <t xml:space="preserve">benutten als hulpmiddel bij MOP, Jaarplannen en ad hoc studies. Vervolgens werd van begin januari </t>
  </si>
  <si>
    <t xml:space="preserve">arbeidsplaatsen (ABAN (-1)) en hulpvariabelen van het voorgaand jaar  (HVNA1(-1), HVNA2(-1)) en </t>
  </si>
  <si>
    <t>USD</t>
  </si>
  <si>
    <t xml:space="preserve">naar een vergelijkbaar land kijken om te zien hoeveel personen daar, procentueel gezien, werkzaam </t>
  </si>
  <si>
    <t>Netto ontwikkelingsleningen van de overheid uit buitenland (projecten)</t>
  </si>
  <si>
    <t>I.3</t>
  </si>
  <si>
    <t>Wisselkoers SRG/USD, 1990-1993 is SRG/NLG</t>
  </si>
  <si>
    <t xml:space="preserve">Rentevoet op leningen particuliere sector aan de Staat </t>
  </si>
  <si>
    <t>= Netto particuliere leningen uit het buitenland, jaar t</t>
  </si>
  <si>
    <t>Wereldmarktprijs garnalen</t>
  </si>
  <si>
    <t>1)+0.6*(YBVP(-1)+YBVP(-2))/200)</t>
  </si>
  <si>
    <t xml:space="preserve"> IBWN(-1)</t>
  </si>
  <si>
    <t>= Bruto investeringen van de bedrijven, jaar t-1</t>
  </si>
  <si>
    <r>
      <t xml:space="preserve">Num. Platen Rij- en Voertuigen </t>
    </r>
    <r>
      <rPr>
        <i/>
        <sz val="10"/>
        <rFont val="Arial"/>
        <family val="2"/>
      </rPr>
      <t>(NBO)</t>
    </r>
  </si>
  <si>
    <t>= Consumptieprijsindex, jaar t-1</t>
  </si>
  <si>
    <t>De reële consumptie</t>
  </si>
  <si>
    <t>: (CMOWN*83 + CGWN*79) / (CGPI/100).</t>
  </si>
  <si>
    <t xml:space="preserve">Materiele overheidsconsumptie uit buitenlandse leningen (CMOWNB2) </t>
  </si>
  <si>
    <t xml:space="preserve">wordt vervolgens in Suritax een netto gemiddeld inkomen voorgerekend. Om meer inzicht te geven in </t>
  </si>
  <si>
    <t>Bruto toegevoegde waarde van de bedrijven, marktprijzen, nominaal</t>
  </si>
  <si>
    <t>drastisch daalt en de werkgelegenheid in de productieve sector flink stijgt</t>
  </si>
  <si>
    <t>De Poverty Module</t>
  </si>
  <si>
    <t xml:space="preserve">wordt op basis van het gezonde verstand gezocht naar een redelijke verdeling. (en daarna m.b.v. </t>
  </si>
  <si>
    <t>IIIB      Buitenlands (netto)</t>
  </si>
  <si>
    <t>MITAN</t>
  </si>
  <si>
    <t>TDGQ</t>
  </si>
  <si>
    <t xml:space="preserve">De mutatie in de volume van de overheidsconsumptie (CMOVP) wordt per definitie bepaald door de </t>
  </si>
  <si>
    <t xml:space="preserve">4. De schattingen uit de Arbeidsmarkt moeten altijd met de nodig voorzichtigheid worden benaderd. </t>
  </si>
  <si>
    <t>uitvoerwaarde in mln Sf</t>
  </si>
  <si>
    <t>BRON:</t>
  </si>
  <si>
    <t>RIJSPN</t>
  </si>
  <si>
    <t>TRISPN</t>
  </si>
  <si>
    <t>= Netto materiële consumptie overheid, jaar t</t>
  </si>
  <si>
    <t xml:space="preserve">= (VWN(-1)*VWP-LOWN(-1)*(LOWN/LOWN(-1)-1)*100-BWN(-1)* (BMWN/ </t>
  </si>
  <si>
    <t>aandelen in invoer  in SRD</t>
  </si>
  <si>
    <t>EU</t>
  </si>
  <si>
    <t xml:space="preserve">= Saldo op de betalingsbalans in mln. Srg, jaar t </t>
  </si>
  <si>
    <t>De investeringsprijsmutatie volgt de ontwikkeling van de inflatie (CGPP) (zie 97).</t>
  </si>
  <si>
    <t>99. BPP</t>
  </si>
  <si>
    <t xml:space="preserve">Het was (is) dus noodzakelijk het scheefgetrokken beleid c.q. economie weer op spoor te krijgen. Na </t>
  </si>
  <si>
    <t>Ontvangsten</t>
  </si>
  <si>
    <t>verandering in mln us$vreemde valutatgoeden van ingezetenen</t>
  </si>
  <si>
    <t>mln us$</t>
  </si>
  <si>
    <t>Exportvolume Aluminium in metrieke ton</t>
  </si>
  <si>
    <t xml:space="preserve">van het gecumuleerd saldo particulier kapitaal uit het buitenland van het voorgaand jaar (EKAP(-1)), </t>
  </si>
  <si>
    <t>totale invoerwaarde</t>
  </si>
  <si>
    <t>olie invoer Suriname</t>
  </si>
  <si>
    <t xml:space="preserve"> de Bruto investeringen van BEDRIJVEN</t>
  </si>
  <si>
    <t xml:space="preserve"> de gezinsconsumptie</t>
  </si>
  <si>
    <t>Internationale inflatie excl. olie in USD</t>
  </si>
  <si>
    <t xml:space="preserve">De Surinaamse prijs van triplex  (TRISPN) is afhankelijk van de Surinaamse prijs van het voorgaand </t>
  </si>
  <si>
    <t>Endogenen hulpvariabelen</t>
  </si>
  <si>
    <t>de VES+ variant, zie het hoofdstuk “De VES+ variant”.</t>
  </si>
  <si>
    <t>Niet belastingontvangsten</t>
  </si>
  <si>
    <t>30. ZBOWN</t>
  </si>
  <si>
    <t>Berekeningen</t>
  </si>
  <si>
    <t>verschillen</t>
  </si>
  <si>
    <t>Revenue (USD)mutatie</t>
  </si>
  <si>
    <t>lokale afzetwaarden</t>
  </si>
  <si>
    <t>exportwaarden</t>
  </si>
  <si>
    <t>exportwaarden conform data-input</t>
  </si>
  <si>
    <t>lokale afzetwaarden conform datainput(exl bitumen)</t>
  </si>
  <si>
    <t>Opbrengsten vlgs lokaal verbr + exporten</t>
  </si>
  <si>
    <t>Opbrengsten vlgs cijfers SO</t>
  </si>
  <si>
    <t>lokale afzetwaarden (excl ethanol &amp;suiker)</t>
  </si>
  <si>
    <t>Totale mutatie; dus export + importsubstitutie</t>
  </si>
  <si>
    <t>Totale mutatie; dus export + importsubstitutie, excl lokale afzet suiker en ethanol</t>
  </si>
  <si>
    <t>Mutatie conform belangrijk deel data Staatsolie</t>
  </si>
  <si>
    <t>Mutatie (SRD)</t>
  </si>
  <si>
    <t xml:space="preserve">met de prijsopgaven van HET MINISTERIE VAN LANDBOUW, VEETEELT, VISSERIJ EN </t>
  </si>
  <si>
    <t>consumptieprijs Eurogebied in Euro (%-mutatie)</t>
  </si>
  <si>
    <t>B4</t>
  </si>
  <si>
    <t>B2</t>
  </si>
  <si>
    <t xml:space="preserve">De omvang van de bevolking tussen 16 en 64 jaar (het arbeidspotentieel, B1664N) wordt bepaald door </t>
  </si>
  <si>
    <t xml:space="preserve">kennelijk niet alle bestedingen zijn meegenomen. De schulden zijn namelijk niet helemaal verwerkt. </t>
  </si>
  <si>
    <t>16</t>
  </si>
  <si>
    <t xml:space="preserve">verandert, alsmede de mutatie van hun gemiddelde koopkracht). Die berekeningen kunnen zowel </t>
  </si>
  <si>
    <t>ramingen als beleidsvarianten betreffen.</t>
  </si>
  <si>
    <t>Directe belastingen van de gezinnen aan de overheid</t>
  </si>
  <si>
    <t>Indirecte belastingen</t>
  </si>
  <si>
    <t>Invoerrechten</t>
  </si>
  <si>
    <t xml:space="preserve">jaar (TRISPN(-1)), de mutatie in de wereldmarktprijs van triplex  (TRIWPN/TRIWPN(-1)) en in de </t>
  </si>
  <si>
    <t xml:space="preserve">HVNA1 is een hulpvariabele van de vraag naar arbeid, die per definitie wordt bepaald door de </t>
  </si>
  <si>
    <t>Overigen (nbo)</t>
  </si>
  <si>
    <t>Totaal Indirecte Belastingen(excl. NBO)</t>
  </si>
  <si>
    <t>Vanuit ODB (+OIA)</t>
  </si>
  <si>
    <t xml:space="preserve">mln USD </t>
  </si>
  <si>
    <t xml:space="preserve">Toekomstige aantallen per inkomensgroep en inkomensklasse zullen dus veranderen, maar hoe? De </t>
  </si>
  <si>
    <t xml:space="preserve">macro model (in dit geval TECHNISCHE BASELINE). Dit macro model is een voortzetting van het </t>
  </si>
  <si>
    <t>Indirecte belastingdruk</t>
  </si>
  <si>
    <t>Betalingsbalans in USD miljoenen</t>
  </si>
  <si>
    <t xml:space="preserve">van het macro model weergeeft. Er zijn nog een aantal additionele sheets toegevoegd die meer </t>
  </si>
  <si>
    <t>6. de arbeidsmarkt (regels 76 t/m 79)</t>
  </si>
  <si>
    <t>Ad. 2. Inkomensverdeling</t>
  </si>
  <si>
    <t xml:space="preserve">(0.07). De wegingsfactor van 0.65 is verkregen door de werkelijke omzetbelasting op importen te delen </t>
  </si>
  <si>
    <t xml:space="preserve">buitenland, de overheid en gezinnen. De grootste toegevoegde waarde wordt in deze sector behaald en </t>
  </si>
  <si>
    <t>INV_GAREDN</t>
  </si>
  <si>
    <t>INV_HOUEKN</t>
  </si>
  <si>
    <t>INV_RIJEDN</t>
  </si>
  <si>
    <t>beschikbaar winstinkomen</t>
  </si>
  <si>
    <t>middelenoverschotoverheid(+)</t>
  </si>
  <si>
    <t>Aanvraag restitutie [Ind.Bel]</t>
  </si>
  <si>
    <t xml:space="preserve">toevoeging gedaan aan het macro model waar de effecten van veranderingen in de economie werden </t>
  </si>
  <si>
    <t xml:space="preserve">de overdracht van rente door de overheid aan de Centrale Bank m.b.t. de binnenlandse (vlottende) </t>
  </si>
  <si>
    <t xml:space="preserve">zich een aantal problemen voor. Eerder werd namelijk al genoemd dat voor zelfstandigen het inkomen </t>
  </si>
  <si>
    <t>Endogenen betalingsbalans</t>
  </si>
  <si>
    <t xml:space="preserve">investeringen van de overheid (IOWN) en de netto materiële overheidsconsumptie (CMOWN) </t>
  </si>
  <si>
    <t>De uitvoerprijsindex (BPI) is een definitie vergelijking.</t>
  </si>
  <si>
    <t>meest en wel met ca. 11 procentpunten, waarvan ca. 7 procentpunten tussen 2000 - 2002.</t>
  </si>
  <si>
    <t>38. CMOWNB1</t>
  </si>
  <si>
    <t>De armoede module (POVERTY MODULE)</t>
  </si>
  <si>
    <t>= 0,08*((MBWN(-1)+MOWN(-1)+MGWN(-</t>
  </si>
  <si>
    <t>1))*0,25+(MBWN+MOWN+MGWN)*0,75)</t>
  </si>
  <si>
    <t xml:space="preserve"> MBWN(-1)</t>
  </si>
  <si>
    <t xml:space="preserve">verschiet liggen, wordt het rechterlid nog gecorrigeerd voor de procentuele verhoging. De realisaties </t>
  </si>
  <si>
    <t xml:space="preserve">de directe en indirecte belastingen (TDBWN + TDGWN + TKWN), het netto overig inkomen aan de </t>
  </si>
  <si>
    <t xml:space="preserve">  Legenda niet van toepassing. Het model rekent op jaar basis.</t>
  </si>
  <si>
    <t xml:space="preserve">verdeling van exogeen, endogeen, kerngegevens, gerealiseerde waarden in US-dollars en </t>
  </si>
  <si>
    <t xml:space="preserve">  ISS, 1999, helaas tot 1997</t>
  </si>
  <si>
    <t xml:space="preserve">exogene. De endogene is dan de wisselkoers die uitdrukking geeft aan de algemene vraag- en </t>
  </si>
  <si>
    <t xml:space="preserve">De herwaardering van de buitenlandse staatsschuld (HSOEWN) is een hulpvariabele bij de bepaling </t>
  </si>
  <si>
    <t xml:space="preserve">Deze tekortkoming kan worden opgevangen als weer met de z.g. prijskostenverhoudingen wordt </t>
  </si>
  <si>
    <t>Monetair</t>
  </si>
  <si>
    <t>minerale producten</t>
  </si>
  <si>
    <t>de post kas/transferverschillen (KASTWN) te groot maken. Bron: IMF</t>
  </si>
  <si>
    <t>49. DOWN</t>
  </si>
  <si>
    <t>Retributie inz. in-, uit- en doorvoer</t>
  </si>
  <si>
    <t>Entrepotgelden</t>
  </si>
  <si>
    <t>Tot NBO vlgs Titel III Middelen begroting</t>
  </si>
  <si>
    <t>Wereldmarktprijs bacoven</t>
  </si>
  <si>
    <t>Uitvoer van goederen en diensten door de bedrijven</t>
  </si>
  <si>
    <t>immigratie) van het actueel jaar (MIGAN). Bron: ABS</t>
  </si>
  <si>
    <t>Exportvolume Bacoven in ton</t>
  </si>
  <si>
    <t>Exportvolume Garnalen in ton</t>
  </si>
  <si>
    <t>Exportvolume Hout in m3</t>
  </si>
  <si>
    <t xml:space="preserve">Het cumulatief migratiesaldo vanaf 1954 (MITAN) wordt bepaald door het totaal van reeds </t>
  </si>
  <si>
    <t>= Wereldmarktprijs geraffineerde aardolieproducten, jaar t-1</t>
  </si>
  <si>
    <t>= Loonsom van de overheid, jaar t</t>
  </si>
  <si>
    <t xml:space="preserve"> LOWN(-1)</t>
  </si>
  <si>
    <t xml:space="preserve">Het is wel mogelijk in het huidig model een endogene wisselkoers te introduceren, naast een </t>
  </si>
  <si>
    <t>= Aantal arbeidsplaatsen bij de overheid * 1000, jaar t</t>
  </si>
  <si>
    <t xml:space="preserve">  Stichting Planbureau Suriname, januari 2001</t>
  </si>
  <si>
    <t xml:space="preserve">loonsom van de bedrijven (LBWN) en van de overheid (LOWN), de netto loonsom uit het buitenland </t>
  </si>
  <si>
    <t xml:space="preserve">Dit scenario geeft aan wat zou kunnen gebeuren indien het beleid van eind jaren negentig zou worden </t>
  </si>
  <si>
    <t xml:space="preserve">Vanwege bijzondere werkzaamheden in het kader van het MOP en het armoede seminar, is het niet </t>
  </si>
  <si>
    <t>mogelijk andere, nog niet gedefinieerde groepen.</t>
  </si>
  <si>
    <t xml:space="preserve">reeds gecommitteerd zijn of waarvan men redelijkerwijs mag verwachten dat die goedgekeurd zullen </t>
  </si>
  <si>
    <t>? De databronnen voor de verschillende vergelijkingen\variabelen vast te leggen.</t>
  </si>
  <si>
    <t>gelijk aan 1.365. Becijferd als gemiddelde tussen 1980 en 2000. Bron: ABS</t>
  </si>
  <si>
    <t>lending rate gewogen gemiddelde</t>
  </si>
  <si>
    <t>3. Herziening wetgeving Centrale Bank van Suriname (2)</t>
  </si>
  <si>
    <t>Q3</t>
  </si>
  <si>
    <t>Q4</t>
  </si>
  <si>
    <t>Q1</t>
  </si>
  <si>
    <t xml:space="preserve">verschillend inkomensniveau (gemiddeld, twee maal gemiddeld en een half van het gemiddelde). Later </t>
  </si>
  <si>
    <t xml:space="preserve">  Cijfers hier genoemd zullen verschillen van die in het VES document. De cijfers gebruikt bij het </t>
  </si>
  <si>
    <t xml:space="preserve">Het geïnvesteerd vermogen door de bedrijven (BVWN) wordt per definitie bepaald door de som van  </t>
  </si>
  <si>
    <t>Wereldmarktprijs Triplex in m3</t>
  </si>
  <si>
    <t xml:space="preserve">van de buitenlandse staatsschuld (SOEWN). De variabele geeft de verandering van de buitenlandse </t>
  </si>
  <si>
    <t xml:space="preserve">Ontwikkelingssamenwerking (PLOS) en oude bekenden van de Vereniging van Economisten in </t>
  </si>
  <si>
    <t xml:space="preserve">wereldmarktprijs is de gemiddelde prijs die het bedrijf STAATSOLIE MAATSCHAPPIJ SURINAME </t>
  </si>
  <si>
    <r>
      <t xml:space="preserve">Vervolgingskosten  </t>
    </r>
    <r>
      <rPr>
        <i/>
        <sz val="12"/>
        <rFont val="Times New Roman"/>
        <family val="1"/>
      </rPr>
      <t>(NBO)</t>
    </r>
  </si>
  <si>
    <t>= Inkomensoverdrachten om niet van de overheid aan het buitenland, jaar t-1</t>
  </si>
  <si>
    <t>Totaal inkomsten excl schenkingen</t>
  </si>
  <si>
    <t xml:space="preserve">   waarde in mln.SRD.</t>
  </si>
  <si>
    <t xml:space="preserve">kas/transverschil buitenland  </t>
  </si>
  <si>
    <t>Schenkingen</t>
  </si>
  <si>
    <t>KNEOWN</t>
  </si>
  <si>
    <t>Mln.US$.</t>
  </si>
  <si>
    <t>12*deviezen CBvS/invoer</t>
  </si>
  <si>
    <t>nr.month</t>
  </si>
  <si>
    <t>Winst Quote</t>
  </si>
  <si>
    <t>OVERIGE OUTPUT:</t>
  </si>
  <si>
    <t>volume part.consumptie</t>
  </si>
  <si>
    <t>volume overheidsconsumptie</t>
  </si>
  <si>
    <t>uitvoervolumemutatie</t>
  </si>
  <si>
    <t xml:space="preserve">zou mogelijk, m.b.t. de belegging van buitenlandse middelen, een drempel kunnen worden ingebouwd </t>
  </si>
  <si>
    <t>Surinaamseprijs Aluinaarde in mln. SRD/metrieke ton</t>
  </si>
  <si>
    <t xml:space="preserve">maken tussen ontwikkelings- en particuliere leningen. Alle externe leningen zijn in dit model </t>
  </si>
  <si>
    <t xml:space="preserve">Binnen deze blokken is dan zoveel mogelijk geprobeerd de vier sectoren en de hulpvariabelen te </t>
  </si>
  <si>
    <t xml:space="preserve">    Importwaarde Rest Economie</t>
  </si>
  <si>
    <t>koers SRD/$ parrallelmarkt</t>
  </si>
  <si>
    <t xml:space="preserve">  in % BBP</t>
  </si>
  <si>
    <t xml:space="preserve">Naast het macro model kwam ook de armoede module aan de orde. De armoede module zal bestaan uit </t>
  </si>
  <si>
    <t>drie elementen:</t>
  </si>
  <si>
    <t>indirecte bel. (gezinsconsumptie)</t>
  </si>
  <si>
    <t>Spaarquote/Consumptie gezinnen</t>
  </si>
  <si>
    <t xml:space="preserve">trendmatige arbeidsproductiviteit </t>
  </si>
  <si>
    <t>deviezenvoorraad CBvS   in mln.Sf.</t>
  </si>
  <si>
    <t>%</t>
  </si>
  <si>
    <t>Geinvesteerd vermogen door bedrijven</t>
  </si>
  <si>
    <t>KNEOWNP</t>
  </si>
  <si>
    <t xml:space="preserve">lopende rekening op kasbasis (SDLRWN), het saldo op de kapitaalrekening (SDKRWN) en de </t>
  </si>
  <si>
    <t xml:space="preserve">financiële middelen aan de overheid worden verstrekt. Bron: BETALINGSBALANS, CBVS. </t>
  </si>
  <si>
    <t>t.b.v. de VES+ variant, zie het hoofdstuk “De VES+ variant”. Bron: IMF</t>
  </si>
  <si>
    <t>Monetair).</t>
  </si>
  <si>
    <t xml:space="preserve">ondersteund door aanvullende assumpties. Eerst zal Ongewijzigd Beleid worden gepresenteerd. Die </t>
  </si>
  <si>
    <t xml:space="preserve">overig deel van de particuliere sector ook hier plaats. De levering van goederen en diensten is aan het </t>
  </si>
  <si>
    <t>Overdrachten om niet uit lopende activiteiten</t>
  </si>
  <si>
    <t>VVEGWN</t>
  </si>
  <si>
    <t xml:space="preserve">De dubbeltelling als gevolg van het indirekt schatten van MBWN via MBWN(-1), MOWN(-1) en </t>
  </si>
  <si>
    <t xml:space="preserve"> LBESBWN(-1)</t>
  </si>
  <si>
    <t xml:space="preserve">bedrijven, TKBWN) wordt gelijk gesteld aan de laatste gerealiseerde waarde. In de praktijk bestaat </t>
  </si>
  <si>
    <t xml:space="preserve">Invoerrechten </t>
  </si>
  <si>
    <t xml:space="preserve">Inkomst.belasting nat.personen SAS </t>
  </si>
  <si>
    <t xml:space="preserve">De geconsolideerde vlottende staatsschuld  (VLTSCH) is gelijk aan de geconsolideerde staatsschuld </t>
  </si>
  <si>
    <t>MOOWN</t>
  </si>
  <si>
    <t>SOEWN</t>
  </si>
  <si>
    <t>SOBWN</t>
  </si>
  <si>
    <t>SOBWN1</t>
  </si>
  <si>
    <t>VLTSCH</t>
  </si>
  <si>
    <t>Definitie vergelijking zonder verdere toepassing in het model.</t>
  </si>
  <si>
    <t xml:space="preserve">De inkomensoverdrachten om niet uit het buitenland aan gezinnen (OEGWN) worden bepaald door het </t>
  </si>
  <si>
    <t xml:space="preserve"> EKAP(-1)+SDKRWN-' MIDWN'-' KNEOWN'+' KEOWN'</t>
  </si>
  <si>
    <t>de dienstensector met een bepaald percentage zou groeien.</t>
  </si>
  <si>
    <t xml:space="preserve">waarbij de Stichting Planbureau Suriname hem een stageplaats heeft toegewezen. De navolgende </t>
  </si>
  <si>
    <r>
      <t xml:space="preserve">Loterijbelasting* </t>
    </r>
    <r>
      <rPr>
        <i/>
        <sz val="12"/>
        <rFont val="Times New Roman"/>
        <family val="1"/>
      </rPr>
      <t>(Ind.Bel.)</t>
    </r>
  </si>
  <si>
    <t>2005
in SRD.
Miljoen</t>
  </si>
  <si>
    <t>2006
in SRD.
Miljoen</t>
  </si>
  <si>
    <t>De Handels- en dienstenbalans</t>
  </si>
  <si>
    <t>63. BWN</t>
  </si>
  <si>
    <t xml:space="preserve">Kapitaaloverdrachten om niet van het buitenland aan de overheid </t>
  </si>
  <si>
    <t>I.2.2</t>
  </si>
  <si>
    <t>De geldhoeveelheid (LIQWN) is per definitie gelijk aan de hoeveelheid van het vorig jaar  (LIQWN(-</t>
  </si>
  <si>
    <t xml:space="preserve">gemiddelde van alle jaren waarin hetzelfde belastingregime gangbaar is. </t>
  </si>
  <si>
    <t xml:space="preserve">M.b.t. realisaties worden bij de directe belastingen ook overige belastingsoorten opgeteld. Deze </t>
  </si>
  <si>
    <t>mln SRD</t>
  </si>
  <si>
    <t xml:space="preserve">aangepast voor de bevindingen van de Commissie Inventarisatie Staatschuld. </t>
  </si>
  <si>
    <t>Inkomensoverdrachten om niet van het buitenland aan de gezinnen</t>
  </si>
  <si>
    <t>II.7.4</t>
  </si>
  <si>
    <t xml:space="preserve">? In de aanpassingsjaren zijn er spaaroverschotten op de begroting. Deze zijn deels het gevolg van </t>
  </si>
  <si>
    <t>SPS projectenlijst, gecorrigeerd voor de wisselkoers (PKRSQ).</t>
  </si>
  <si>
    <t>VISSPN(-1)</t>
  </si>
  <si>
    <t>zouden ontstaan.</t>
  </si>
  <si>
    <t>rijst$/metric ton prijs</t>
  </si>
  <si>
    <t>Overheidskapitaalverkeer</t>
  </si>
  <si>
    <t>Saldo Kapitaalrekening</t>
  </si>
  <si>
    <t>Middelenoverschot van de overheid op kasbasis</t>
  </si>
  <si>
    <t xml:space="preserve">worden aan de gevonden resultaten, alsmede de soort berekeningen die wel en niet met dit model </t>
  </si>
  <si>
    <t>= wereldmarktprijs triplex, jaar t</t>
  </si>
  <si>
    <t xml:space="preserve">76. SDLRWN= BWN-MBWN-MOWN-MGWN+LEGWN-LBEWN+ZEBWN -ZEWN+ </t>
  </si>
  <si>
    <t>ZOEWN +OEGWN-OGEWN +OEOWN -OOEWN+KTEWN</t>
  </si>
  <si>
    <t>= Loonsom uit het buitenland, jaar t</t>
  </si>
  <si>
    <t xml:space="preserve">onder de poverty line zitten. Ook voor volgende jaren wordt dit gedaan, waardoor zal blijken hoe het </t>
  </si>
  <si>
    <t>= Inkomensoverdrachten om niet naar het buitenland van gezinnen, jaar t-1</t>
  </si>
  <si>
    <t>Niet belasting ontvangsten</t>
  </si>
  <si>
    <t>overheid (LOWN) bij elkaar op te tellen: BBPmp</t>
  </si>
  <si>
    <t xml:space="preserve">(en inflatie), de schuldvorming en de kapitaalstromen (leningen van binnen- en buitenland). Ook de </t>
  </si>
  <si>
    <t xml:space="preserve">1)/MPI(-1)) en door de hulpvariabele van de vraag naar arbeid (HVNA2), de index trendmatige </t>
  </si>
  <si>
    <t>? overige hulpvariabelen (regels 245 t/m 262)</t>
  </si>
  <si>
    <t>Inkomensoverdr. &amp; bijdr aan sportbonden</t>
  </si>
  <si>
    <t xml:space="preserve"> Schenkingen</t>
  </si>
  <si>
    <t>Surinaamse prijzen</t>
  </si>
  <si>
    <t xml:space="preserve">zijn in de landbouw. Dit hoeft niet perse een land op dit moment te zijn, maar kan ook een land zijn dat </t>
  </si>
  <si>
    <t>Exportvolume Aardolie in barrels</t>
  </si>
  <si>
    <t xml:space="preserve">C + I + X aangeven de totale bestedingen (hier excl. de loonsom overheid). De getallen zijn de </t>
  </si>
  <si>
    <t xml:space="preserve">van de variabelen naar sectoren, in didactisch opzicht beter toegankelijker. Het sluit namelijk beter aan </t>
  </si>
  <si>
    <t>2. het nalopen van de vergelijkingen en de bedoeling van die vergelijkingen duidelijk maken,</t>
  </si>
  <si>
    <t>kerngegevens</t>
  </si>
  <si>
    <t>BoP</t>
  </si>
  <si>
    <t>27. BTW= 0,5*(0.05*(IBWN+CGWN+CMOWN))</t>
  </si>
  <si>
    <t>productiviteit (opwaarts).</t>
  </si>
  <si>
    <t>6. verslaglegging over de vorderingen van de trainees en de resultaten.</t>
  </si>
  <si>
    <t>Materiele uitgaven uit schenkingen</t>
  </si>
  <si>
    <t>5. Indexering sociale voorzieningen (60%) (1)</t>
  </si>
  <si>
    <t>Statistisch verschil geldhoeveelheid</t>
  </si>
  <si>
    <t xml:space="preserve">Ink.overdr. om niet van overheid aan gezinnen uit lop. activ. (begroting)(OOGWNB3) </t>
  </si>
  <si>
    <t>overheidsinvesteringen (vol.)</t>
  </si>
  <si>
    <t>export micro-blok (vol.)</t>
  </si>
  <si>
    <t xml:space="preserve">omschrijving beneden). Deze opsplitsing is gemaakt om het niveau van de schatting van deze </t>
  </si>
  <si>
    <t xml:space="preserve">en die te corrigeren voor het totaal aantal werkzamen in de particuliere sector. Die informatie is wel </t>
  </si>
  <si>
    <t>en deviezenvoorraad gelijk is aan de deviezenvoorraad van het vorig jaar (DEVWN(-1)).</t>
  </si>
  <si>
    <t>118.   BVWN</t>
  </si>
  <si>
    <t>? beschrijving van de variabelen</t>
  </si>
  <si>
    <t>ALAEMN(-1) X ALASPN</t>
  </si>
  <si>
    <t>ALUEMN(-1) X ALUSPN</t>
  </si>
  <si>
    <t>Exportwaarde bauxietsector</t>
  </si>
  <si>
    <t>daalt de koopkracht continu.</t>
  </si>
  <si>
    <t>Invoer van goederen en diensten (totaal)</t>
  </si>
  <si>
    <t xml:space="preserve">definitie gelijk aan de verhouding tussen de reële bruto toegevoegde waarde en nominale bruto </t>
  </si>
  <si>
    <t xml:space="preserve">Eerst wordt de VES+ variant op zich besproken en dan de vergelijking met Ongewijzigd Beleid aan de </t>
  </si>
  <si>
    <t>ALUMINIUM</t>
  </si>
  <si>
    <t>AARDOLIE</t>
  </si>
  <si>
    <t xml:space="preserve">of een percentage van het winstinkomen, dat gezien de economische situatie van Suriname aannemelijk </t>
  </si>
  <si>
    <t xml:space="preserve">lijkt. </t>
  </si>
  <si>
    <t xml:space="preserve">aanpassing moet gezien worden als de gemiddelde loonsverhoging voor zowel de "strategische" als </t>
  </si>
  <si>
    <t>de "niet strategische" beroepen.</t>
  </si>
  <si>
    <t xml:space="preserve">       Exportwaarde goudsector</t>
  </si>
  <si>
    <t>GDP market prices real growth ABS/SPS</t>
  </si>
  <si>
    <t xml:space="preserve">schommelingen in de wisselkoers (PKRSQ/PKRSQ(-1)-1), waarbij wordt verondersteld dat de goud-  </t>
  </si>
  <si>
    <t>niet negatief. Dit is van invloed op de wisselkoersaanpassing.</t>
  </si>
  <si>
    <t xml:space="preserve">om niet uit lopende activiteiten van het voorgaand jaar (OOGWNB3(-1)) en de mutatie in de loonsom </t>
  </si>
  <si>
    <t>Wereldmarktprijs rondhout</t>
  </si>
  <si>
    <t xml:space="preserve">Gewaakt moet worden dat niet teveel groepen een omvang hebben die op basis van het verleden wordt </t>
  </si>
  <si>
    <t xml:space="preserve">   prijs % mutatie</t>
  </si>
  <si>
    <t>Winsttransfers Goudsector</t>
  </si>
  <si>
    <t>Goudwaarde</t>
  </si>
  <si>
    <t>Brutowinst Goudsector</t>
  </si>
  <si>
    <t>Kosten indicatie Goudsector</t>
  </si>
  <si>
    <t>Werkgelegenheid Goudsector</t>
  </si>
  <si>
    <t>Winsttransfers bauxietsector (=deel van ZBEWN)</t>
  </si>
  <si>
    <t>Binnenlandse staatsschuld excl. de geconsolideerde vlottende staatsschuld</t>
  </si>
  <si>
    <t xml:space="preserve">De omzetbelasting op de toegevoegde waarde (BTW) wordt geheven op de bestedingen, exclusief </t>
  </si>
  <si>
    <t>? volume mutaties (regels 213 t/m 221)</t>
  </si>
  <si>
    <t>? prijsmutaties (regels 222 t/m 229)</t>
  </si>
  <si>
    <t>? indices (regels 230 t/m 235)</t>
  </si>
  <si>
    <t>monetair</t>
  </si>
  <si>
    <t xml:space="preserve">2. De exportopbrengsten en investeringen in het Microblok zijn in deze versie exogeen, m.a.w. dit </t>
  </si>
  <si>
    <t xml:space="preserve">apart in een spreadsheet bepaald als het gemiddelde percentage tussen de werkelijk betaalde rente en de </t>
  </si>
  <si>
    <t xml:space="preserve">indien er wel wordt geïnvesteerd, doch het niveau lager is dan dat van het vorig jaar. Dit is de 2-de link </t>
  </si>
  <si>
    <t>Andere Inkomsten:</t>
  </si>
  <si>
    <t>DOWN</t>
  </si>
  <si>
    <t>IOWN</t>
  </si>
  <si>
    <t>Saldo:</t>
  </si>
  <si>
    <t>MIDOWN</t>
  </si>
  <si>
    <t xml:space="preserve">= Overig inkomen naar het buitenland, jaar t-1            </t>
  </si>
  <si>
    <t xml:space="preserve"> ZOEWN(-1)</t>
  </si>
  <si>
    <t xml:space="preserve">De consumptieprijsmutatie (CGPP) is gedefinieerd o.b.v. de "cost push" benadering. De factoren die </t>
  </si>
  <si>
    <t>= Indirecte belastingen belangrijkste exportproducten, jaar t</t>
  </si>
  <si>
    <t xml:space="preserve"> TMWN</t>
  </si>
  <si>
    <t>CGWN</t>
  </si>
  <si>
    <t xml:space="preserve">met aantallen per groep onder de poverty line gaat door de jaren, alsmede hun netto inkomen per </t>
  </si>
  <si>
    <t>= Prijsverlagende subsidies, jaar t</t>
  </si>
  <si>
    <t>(1+CGPP/100).</t>
  </si>
  <si>
    <t xml:space="preserve">inkomens per groep, in de cellen 5. Dit kan ook zo worden gedaan voor de premies, verzekeringen en </t>
  </si>
  <si>
    <t xml:space="preserve">daling van ca 25% zien (m.a.w. de gemiddelde heffing daalt naar 3%). Het kan dus zijn dat in de </t>
  </si>
  <si>
    <t>? hulpvariabelen import (regels 239 t/m 241)</t>
  </si>
  <si>
    <t xml:space="preserve">In elk geval is duidelijk op te merken dat het begrotingstekort wordt teruggedrongen (de overheid </t>
  </si>
  <si>
    <t>USAR</t>
  </si>
  <si>
    <t>ARBEIDSMARKT</t>
  </si>
  <si>
    <t>MIGAN</t>
  </si>
  <si>
    <t>TA</t>
  </si>
  <si>
    <t>B1664P</t>
  </si>
  <si>
    <t>KASTWN</t>
  </si>
  <si>
    <t>KTEWN</t>
  </si>
  <si>
    <t>De indeling van het endogeen blok is als volgt:</t>
  </si>
  <si>
    <t xml:space="preserve">beroepsgroepen binnen de overheid roept steeds om aanpassing van de lonen en sociale uitkeringen. De </t>
  </si>
  <si>
    <t xml:space="preserve">van het voorgaand jaar (VLTSCH(-1)) vermindert met de aflossing van Srg. 360 miljoen per jaar. De </t>
  </si>
  <si>
    <t xml:space="preserve">De investeringen in de exportsector worden bepaald door het investeringsniveau van het vorig jaar </t>
  </si>
  <si>
    <t xml:space="preserve">die reeds in Surirax zijn uitgelegd, namelijk die per sociaal economische groep. Door deze totalen </t>
  </si>
  <si>
    <t xml:space="preserve">tegenover elkaar te zetten, moet een verdeling naar inkomensgroep ontstaan. De resultaten zullen te </t>
  </si>
  <si>
    <t>buitenland overmaken, wat dus duidt op kapitaalvlucht. Bron: Betalingsbalans CBvS.</t>
  </si>
  <si>
    <t xml:space="preserve">invoerrechten wordt geheven, wordt voor 25% (0.25) bepaald door de import van het voorgaand jaar </t>
  </si>
  <si>
    <t xml:space="preserve">prijzen en de arbeidsmarkt. </t>
  </si>
  <si>
    <t xml:space="preserve">In de sectoren kunnen, geheel in overeenstemming met de Nationale Rekeningen, de volgende </t>
  </si>
  <si>
    <t>III</t>
  </si>
  <si>
    <t>Fin.nota &amp; kwart.versl CBvS</t>
  </si>
  <si>
    <t>gedragsvergelijking</t>
  </si>
  <si>
    <t>in ABS</t>
  </si>
  <si>
    <t>Hulpvar.</t>
  </si>
  <si>
    <t>= Invoerprijsmutatie, jaar t</t>
  </si>
  <si>
    <t xml:space="preserve">inflatie is hier indirect gekoppeld aan de ontwikkeling van de wisselkoers middels MPP. De </t>
  </si>
  <si>
    <t xml:space="preserve">vergelijking geeft aan dat het inflatoir effect van de lonen op de prijzen 24% (0.24) is en van de </t>
  </si>
  <si>
    <t>Arbeidsmarkt en de externe factoren. Aan het eind worden de tekortkomingen besproken.</t>
  </si>
  <si>
    <t xml:space="preserve">In deze modelversie zijn de overheidsinvesteringen exogeen en bepaald uit de voorgenomen  </t>
  </si>
  <si>
    <t>= Invoer van goederen en diensten door de bedrijven,  jaar t</t>
  </si>
  <si>
    <t xml:space="preserve"> ABS</t>
  </si>
  <si>
    <t xml:space="preserve">wereldmarktprijs: SURLAND. In gevallen waarbij de bovengenoemde prijs niet beschikbaar is, wordt </t>
  </si>
  <si>
    <t xml:space="preserve">? Vast te leggen op welke manier TECHNISCHE BASELINE is opgezet en welke de redenen zijn </t>
  </si>
  <si>
    <t>geweest om het in de huidige vorm op te zetten.</t>
  </si>
  <si>
    <t>De redenen om te kiezen voor een nieuwe vorm van indeling zijn als volgt:</t>
  </si>
  <si>
    <t xml:space="preserve">en werknemers ook voor de volgende jaren m.b.v. het Surya model worden berekend. Voor de </t>
  </si>
  <si>
    <t xml:space="preserve">voorafgaand jaar. Dit geeft op zich weer aanleiding tot het aanpassen van de lonen bij zowel de </t>
  </si>
  <si>
    <t xml:space="preserve">overheid als de particuliere sector. Dit leidt tot een loon-prijsspiraal met negatieve invloeden voor de </t>
  </si>
  <si>
    <t>Exportvolume aluinaarde in tonnen</t>
  </si>
  <si>
    <t>RIJEDN</t>
  </si>
  <si>
    <t>TRIEKN</t>
  </si>
  <si>
    <t>Loonbelasting</t>
  </si>
  <si>
    <t xml:space="preserve">gedragsvergelijking) betreffen schenkingen uit hoofde van bilaterale of multilaterale relaties van de </t>
  </si>
  <si>
    <t xml:space="preserve"> HPEPWI(-1)*(1+HPEPWP/100)</t>
  </si>
  <si>
    <t xml:space="preserve">publicaties van de hand van Dr. Marein van Schaaijk, alsmede de verschillende draaiboeken die in het </t>
  </si>
  <si>
    <t>= Beschikbaar loon- en steuninkomen, jaar t</t>
  </si>
  <si>
    <t xml:space="preserve"> ZBESBWN</t>
  </si>
  <si>
    <t>= Inkomensoverdrachten om niet van verheid aan het buitenland, jaar t</t>
  </si>
  <si>
    <t xml:space="preserve">Staat wordt dit verschuldigd bedrag dus teruggestort in de kas van de overheid. Het overig deel van de </t>
  </si>
  <si>
    <t xml:space="preserve">    Importwaarde goudsector</t>
  </si>
  <si>
    <t xml:space="preserve"> Lening minus aflossingen</t>
  </si>
  <si>
    <t xml:space="preserve">Binnen de blokken voor de exogene en endogene variabelen is getracht een onderverdeling te maken </t>
  </si>
  <si>
    <t xml:space="preserve">volgende cursus is gericht op het verder aanpassen van het model, waarbij de volwas cursisten actuele </t>
  </si>
  <si>
    <t xml:space="preserve">indien de maatregelen in dat kader duidelijker zijn. Echter, wat het stabilisatie deel van het beleid </t>
  </si>
  <si>
    <r>
      <t xml:space="preserve">idem in </t>
    </r>
    <r>
      <rPr>
        <b/>
        <sz val="10"/>
        <rFont val="Times New Roman"/>
        <family val="1"/>
      </rPr>
      <t>mln</t>
    </r>
    <r>
      <rPr>
        <sz val="10"/>
        <rFont val="Times New Roman"/>
        <family val="1"/>
      </rPr>
      <t xml:space="preserve"> $</t>
    </r>
  </si>
  <si>
    <t>=macmicdata!B78</t>
  </si>
  <si>
    <t>rijst(gepeld)</t>
  </si>
  <si>
    <t>"=1000*[Suryamodel24feb06b.xls]Model!b68</t>
  </si>
  <si>
    <t xml:space="preserve">Op basis van input uit het macro model kan met de armoede module de effecten op de netto inkomens </t>
  </si>
  <si>
    <t xml:space="preserve">3. kerngegevens, te gebruiken om verschillen tussen varianten zichtbaar te maken (regels 264 t/m </t>
  </si>
  <si>
    <t>282)</t>
  </si>
  <si>
    <t xml:space="preserve">Desalniettemin is uitgegaan van de veronderstelling dat het IMF een goed beeld heeft kunnen </t>
  </si>
  <si>
    <t xml:space="preserve">2    = tweede kwartaal </t>
  </si>
  <si>
    <t xml:space="preserve">3   = derde kwartaal </t>
  </si>
  <si>
    <t xml:space="preserve">vermogen als winstinkomen naar het buitenland wordt overgemaakt. Voorheen werd de overmaking </t>
  </si>
  <si>
    <t xml:space="preserve">kwantificeren en beleidssimulaties uit te voeren. Diverse instanties hebben al ervaring met zo'n </t>
  </si>
  <si>
    <t>reele groei BBP  ABS en via bedrijfstakken</t>
  </si>
  <si>
    <t xml:space="preserve">aan te brengen zodat zijn het macro model voor betreffende toepassingen kunnen gebruiken. Aan het </t>
  </si>
  <si>
    <t>43. OOGWNP= OOGWNP*PKRSQ</t>
  </si>
  <si>
    <t>Verschil (Bel CBvS-Tot Dir Bel)</t>
  </si>
  <si>
    <t xml:space="preserve">vlottende staatsschuld in het actueel jaar (VLTSCH). </t>
  </si>
  <si>
    <t xml:space="preserve">= Consumptieprijsmutatie, jaar t-1 </t>
  </si>
  <si>
    <t>= Wereldmarktprijs garnalen, jaar t</t>
  </si>
  <si>
    <t>= Wereldmarktprijs garnalen, jaar t-1</t>
  </si>
  <si>
    <t>afhankelijk van aanpassingen van toekomstige updates.</t>
  </si>
  <si>
    <t>internationale prijs in $ 1959=100</t>
  </si>
  <si>
    <t>"=[Suryamodel24feb06b.xls]Model!B19</t>
  </si>
  <si>
    <t>rijst(gepeld) 1000 ton</t>
  </si>
  <si>
    <t>uitvoerhoeveelheid</t>
  </si>
  <si>
    <t>'=macmicdata!B79</t>
  </si>
  <si>
    <t xml:space="preserve">= Investeringsprijsmutatie, jaar t </t>
  </si>
  <si>
    <t xml:space="preserve">Met de huidige opzet wordt nagegaan hoe beschikbare kennis in Suriname kan worden opgefrist, </t>
  </si>
  <si>
    <t>DBWN</t>
  </si>
  <si>
    <t>overall balance (overschot +)</t>
  </si>
  <si>
    <t>Betalingsbalans in US$</t>
  </si>
  <si>
    <t>bruto toegev.waarde bedrijven(m)</t>
  </si>
  <si>
    <t>bruto investeringen bedrijven</t>
  </si>
  <si>
    <t>= Middelenoverschot van de overheid op kasbasis in mln. Srg, jaar t</t>
  </si>
  <si>
    <t xml:space="preserve">De buitenlandse staatsschuld  (SOEWN) is per definitie gelijk aan de som van de uitstaande </t>
  </si>
  <si>
    <t>Arbeidsproduktiviteit</t>
  </si>
  <si>
    <t xml:space="preserve">     Padiproductie</t>
  </si>
  <si>
    <t xml:space="preserve">beschouwing gelaten, uitgaande van de veronderstelling dat de commerciële banken a.g.v. de </t>
  </si>
  <si>
    <t xml:space="preserve">mutatie in de waarde van de netto materiële overheidsconsumptie (CMOWN/CMOWN(-1)) te defleren </t>
  </si>
  <si>
    <t>= Wereldmarktprijs rijst, jaar t-1</t>
  </si>
  <si>
    <t xml:space="preserve">Product tegen factorkosten (BBPfk) kan bepaald worden uit het Bruto Binnenlands Product tegen </t>
  </si>
  <si>
    <t>tbv MONETAIR OVERZICHT :</t>
  </si>
  <si>
    <t xml:space="preserve">  sector buitenland:</t>
  </si>
  <si>
    <t xml:space="preserve">Deze is begin maart met zijn werkzaamheden in Nederland  part time begonnen op het kantoor van Dr. </t>
  </si>
  <si>
    <t xml:space="preserve">Marein van Schaaijk. De eerste opzet van de SURITAX/POVERTY MODULE is inmiddels al </t>
  </si>
  <si>
    <t>Part. Schenkingen</t>
  </si>
  <si>
    <t>Migratie</t>
  </si>
  <si>
    <t>Overig (OOEWN)</t>
  </si>
  <si>
    <t>123.   HSOEWN</t>
  </si>
  <si>
    <t>(inclusief de rationalisatie achter de aanpassing, zie bijlage I en II).</t>
  </si>
  <si>
    <t>reele groei BBP  ABS</t>
  </si>
  <si>
    <t>reele groei BBP via bestedingen</t>
  </si>
  <si>
    <t>Hier zal worden volstaan met de bronvermelding. Zie voor de omschrijving de “Lijst van variabelen”</t>
  </si>
  <si>
    <t xml:space="preserve">feitelijke vraag, of dat het 7 jaar duurt voordat het aantal arbeidsplaatsen zich heeft aangepast aan een </t>
  </si>
  <si>
    <t xml:space="preserve">de mutatie in de bruto-investeringen van de overheid (IOWN/IOWN(-1)) te defleren met de </t>
  </si>
  <si>
    <t>5. GARSPN= GARSPN(-1)*GARWPN/GARWPN(-1)*PKRSQ/PKRSQ(-1)</t>
  </si>
  <si>
    <t xml:space="preserve">De Surinaamse prijs van aluinaarde (ALASPN) is afhankelijk van de Surinaamse prijs van het </t>
  </si>
  <si>
    <t>= Surinaamse prijs geraffineerde aardolieproducten, jaar t-1</t>
  </si>
  <si>
    <t xml:space="preserve">werknemers werkzaam in de bedrijven (ABAN/ABAN(-1)). Verondersteld wordt dat deze lonen, met </t>
  </si>
  <si>
    <t>Goederen en diensten door de overheid aan de bedrijven</t>
  </si>
  <si>
    <t>MLN USD</t>
  </si>
  <si>
    <t xml:space="preserve">Arbeidsmarktstatistieken zijn in Suriname altijd zwak geweest en de vergelijkingen zijn op deze </t>
  </si>
  <si>
    <t>verhouding van de loonkostenindex p.e.p en de invoerprijsindex van het voorgaand jaar (HPEPWI(-</t>
  </si>
  <si>
    <t xml:space="preserve">    ,,  in mln SRD</t>
  </si>
  <si>
    <t>foreign assets CBvS</t>
  </si>
  <si>
    <t>SRD mln</t>
  </si>
  <si>
    <t>net foreign assets CBvS</t>
  </si>
  <si>
    <t>foreign assets other Depository Corporations</t>
  </si>
  <si>
    <t>net foreign assets other Depository Corporations</t>
  </si>
  <si>
    <t>CBVS tabel 6</t>
  </si>
  <si>
    <t>CBVS Tabel IV.3 in Compendium</t>
  </si>
  <si>
    <t>som</t>
  </si>
  <si>
    <t>CBVS Tabel IV.3 in Compendium en Tabel 7</t>
  </si>
  <si>
    <t>Broad Money (M2)</t>
  </si>
  <si>
    <t>CBVS Tabel IV.3 in Compendium en Tabel 5</t>
  </si>
  <si>
    <t>Geldhoeveelheid (M1)</t>
  </si>
  <si>
    <t>M2</t>
  </si>
  <si>
    <t>claims on the government net</t>
  </si>
  <si>
    <t>total net foreign assets DC</t>
  </si>
  <si>
    <t>other (claims on other resident sectors etc.)</t>
  </si>
  <si>
    <t>Toename in de geldhoeveelheid M2</t>
  </si>
  <si>
    <t>Geldhoeveelheid (M2) in mln. SRD</t>
  </si>
  <si>
    <t xml:space="preserve">DEVWN </t>
  </si>
  <si>
    <t>Geldhoeveelheid in mln. US$</t>
  </si>
  <si>
    <t>Vreemde valuta deposito's van ingezetenen in US$</t>
  </si>
  <si>
    <t xml:space="preserve">gedraaid met een hogere koers. Een hogere koers leidt tot meer inflatie, minder import en heeft een </t>
  </si>
  <si>
    <t>II.9</t>
  </si>
  <si>
    <t xml:space="preserve">Het middelen overschot van de overheid op kasbasis (MIDOWN) is per definitie gelijk aan de som van </t>
  </si>
  <si>
    <t>MGWN               = Invoer van goederen en diensten door de gezinnen, jaar t</t>
  </si>
  <si>
    <t>Exportprijzen in US$</t>
  </si>
  <si>
    <r>
      <t xml:space="preserve">Premie AOV </t>
    </r>
    <r>
      <rPr>
        <i/>
        <sz val="12"/>
        <rFont val="Times New Roman"/>
        <family val="1"/>
      </rPr>
      <t>(NBO)</t>
    </r>
  </si>
  <si>
    <t xml:space="preserve">6. het definiëren van de varianten en het draaien daarvan om te zien in welke mate de </t>
  </si>
  <si>
    <t xml:space="preserve">(0.9*LBESBWN*(1+TDGQ/100)) en het beschikbaar winstinkomen van het huidig en vorig jaar (0.2*( </t>
  </si>
  <si>
    <t>65. MGWN</t>
  </si>
  <si>
    <t xml:space="preserve">realisaties is deze variabele gebruikt om de verschillen te bepalen tussen het resultaat van het saldo op </t>
  </si>
  <si>
    <t>Power and Energy</t>
  </si>
  <si>
    <t xml:space="preserve">Goudexport </t>
  </si>
  <si>
    <t xml:space="preserve">     Goudexport (Cambior)</t>
  </si>
  <si>
    <t xml:space="preserve">     Goudexport (Overige)</t>
  </si>
  <si>
    <t>Cummulatie saldo particulier kapitaal uit het buitenland.</t>
  </si>
  <si>
    <t xml:space="preserve">middels calibratie. Dit percentage wordt bij elke update bekeken op plausibiliteit, zowel voor het </t>
  </si>
  <si>
    <t>Procentuele mutatie in de invoervolume</t>
  </si>
  <si>
    <t>= Rente van de overheid aan het buitenland, jaar t-1</t>
  </si>
  <si>
    <t>%punt</t>
  </si>
  <si>
    <t>IBWN(-1)</t>
  </si>
  <si>
    <t>LBWN(-1)</t>
  </si>
  <si>
    <t>= Hulpvariabele vraag naar invoer, jaar t-1</t>
  </si>
  <si>
    <t>loon en steuninkomen (LBESBWN).</t>
  </si>
  <si>
    <t xml:space="preserve">LIQWD </t>
  </si>
  <si>
    <t xml:space="preserve">   De variant Ongewijzigd Beleid</t>
  </si>
  <si>
    <t xml:space="preserve">   De VES+ variant</t>
  </si>
  <si>
    <t>Bron: Flash-report 2001 - 2004</t>
  </si>
  <si>
    <t>Directe Loonbelastingdruk</t>
  </si>
  <si>
    <t>TDGLQ</t>
  </si>
  <si>
    <t>BI</t>
  </si>
  <si>
    <t xml:space="preserve">2. de opzet zoveel mogelijk te maken naar de vorm waarin de data t.b.v. het model uit de databronnen </t>
  </si>
  <si>
    <t>rente van overheid aan buitenland</t>
  </si>
  <si>
    <t>prijsverlagende subsidies</t>
  </si>
  <si>
    <t>inkomensoverdr.om niet aan gezin.</t>
  </si>
  <si>
    <t>inkomensoverdr.om niet aan buitl.</t>
  </si>
  <si>
    <t>Uitgaven reisverkeer Invoer van goederen en diensten door gezinnen; Reisverkeer (MGWN)</t>
  </si>
  <si>
    <t>= Overig inkomen uit het buitenland aan de bedrijven, jaar t</t>
  </si>
  <si>
    <t>ZEWN</t>
  </si>
  <si>
    <t xml:space="preserve">stabiliteit (CBvS), economische groei (SPS, MOP), ontwikkelingsinvesteringen (PLOS), financiële </t>
  </si>
  <si>
    <t>Aflossingen en interest betal. op binnenlandse leningen</t>
  </si>
  <si>
    <t xml:space="preserve">inkomen van de Centrale Bank aan het eind van het jaar aan de overheid. Op de eerste plaats betreft het </t>
  </si>
  <si>
    <t xml:space="preserve">hoofd. </t>
  </si>
  <si>
    <t xml:space="preserve">buitenlandse staatsschuld (SOEWN(-1)), de herwaardering van de buitenlandse staatsschuld </t>
  </si>
  <si>
    <t>hout en houtproducten export mln.SRD</t>
  </si>
  <si>
    <t xml:space="preserve"> HVNI2</t>
  </si>
  <si>
    <t>4. de financiering van de begroting (regels 66 t/m 68)</t>
  </si>
  <si>
    <t xml:space="preserve">rekeningen weergeven is besloten om de leesbaarheid van de resultaten te bevorderen. Gebleken is dat </t>
  </si>
  <si>
    <t>zijn de ontvangsten loon- en winstinkomen en transfers van de overheid en het buitenland.</t>
  </si>
  <si>
    <t>prijsmutaties</t>
  </si>
  <si>
    <t>BPP</t>
  </si>
  <si>
    <t>ZBESBWN</t>
  </si>
  <si>
    <t>Overheidsinkomsten:</t>
  </si>
  <si>
    <t xml:space="preserve">Inkomstenbelasting </t>
  </si>
  <si>
    <t>= Wisselkoers SRG/USD, jaar t</t>
  </si>
  <si>
    <t xml:space="preserve">schulden en bestedingen kunnen derhalve ondergewaardeerd zijn. T.z.t. zullen deze cijfers worden </t>
  </si>
  <si>
    <t>Kredietverlening aan de private sector en overige</t>
  </si>
  <si>
    <t>Triplex in m3(incl. gezaagd hout)</t>
  </si>
  <si>
    <t xml:space="preserve">in evenwicht brengen van de begroting, daarvan afgezien. Voor de aanpassing van deze vergelijking </t>
  </si>
  <si>
    <t>langl kap verkeer part sector</t>
  </si>
  <si>
    <t>belastingdruk domestic private sector</t>
  </si>
  <si>
    <t>Staatsolie Maatschappij Suriname</t>
  </si>
  <si>
    <t>5. het controleren in welke mate de resultaten van de opdrachten overeenkomen met de gewenste,</t>
  </si>
  <si>
    <t>De presentatie van de modelvarianten</t>
  </si>
  <si>
    <t>Endogenen overheid</t>
  </si>
  <si>
    <t>ALAWPN</t>
  </si>
  <si>
    <t>ALUWPN</t>
  </si>
  <si>
    <t>AOLWPN</t>
  </si>
  <si>
    <t>BACWPN</t>
  </si>
  <si>
    <t>GARWPN</t>
  </si>
  <si>
    <t>Maatregelen:</t>
  </si>
  <si>
    <t xml:space="preserve">karakter als GDOBWN. De vraag van de gezinnen naar goederen en diensten van de overheid is </t>
  </si>
  <si>
    <t xml:space="preserve">constant (GDOGWN(-1)). De nominale uitgaven worden door de ontwikkeling van het algemeen </t>
  </si>
  <si>
    <t>Goederen en diensten van de overheid aan de gezinnen</t>
  </si>
  <si>
    <t>IIIA3     - Subsidies en Bijdragen</t>
  </si>
  <si>
    <t xml:space="preserve">exportproducten (TKBWN), de invoerrechten (TMWN) , de consumptiebelasting (0.04*CGWN) en de </t>
  </si>
  <si>
    <t>Overheidsbegroting in procenten BBPmp</t>
  </si>
  <si>
    <t>Lopende Ontvangsten</t>
  </si>
  <si>
    <t>The Sum of current volume x price last year</t>
  </si>
  <si>
    <t>The Sum of volume last year x current prijs</t>
  </si>
  <si>
    <t>INVESTMENTS MICROBLOK</t>
  </si>
  <si>
    <t>BAUXITEBLOCK</t>
  </si>
  <si>
    <t>Exportvalue bauxitesector</t>
  </si>
  <si>
    <t>Profittransfers bauxitesector (=part of ZBEWN)</t>
  </si>
  <si>
    <t>Tax on profit bauxitesector</t>
  </si>
  <si>
    <t>Grossprofit Bauxitesector</t>
  </si>
  <si>
    <t>Costindicator Bauxitesector</t>
  </si>
  <si>
    <t>Employee's Bauxitesector</t>
  </si>
  <si>
    <t>Goldsector</t>
  </si>
  <si>
    <t>Exportvalue Goldsector</t>
  </si>
  <si>
    <t>Transfer on profit Goldsector</t>
  </si>
  <si>
    <t>Tax on profit Goldsector</t>
  </si>
  <si>
    <t>Grossprofit Goldsector</t>
  </si>
  <si>
    <t>Costindicator Goldsector</t>
  </si>
  <si>
    <t>Employee's Goldesector</t>
  </si>
  <si>
    <t>LINK MICROBLOCK (see also TKBWN)</t>
  </si>
  <si>
    <t>Exportvalue most important exportproducts</t>
  </si>
  <si>
    <t>Gross investments  exportsector</t>
  </si>
  <si>
    <t>BALANCE of PAYEMENTS</t>
  </si>
  <si>
    <t>Goods and sevices:</t>
  </si>
  <si>
    <t>Import of Goods &amp; Services by the government</t>
  </si>
  <si>
    <t>Incomes</t>
  </si>
  <si>
    <t>Other income to abroad from the private sector</t>
  </si>
  <si>
    <t>Other transfers from abroad to the government</t>
  </si>
  <si>
    <t>Other transfers from the government to abroad</t>
  </si>
  <si>
    <t>Capital</t>
  </si>
  <si>
    <t>Official netto foreign Capital to the private sector</t>
  </si>
  <si>
    <t>Grand (conform definition CBvS)</t>
  </si>
  <si>
    <t>Grand (conform definition Government)</t>
  </si>
  <si>
    <t>Debts</t>
  </si>
  <si>
    <t>Statistical discrepancy export</t>
  </si>
  <si>
    <t>Statistical discrepancy ZBEWN</t>
  </si>
  <si>
    <t>Statistical discrepancy Deficit/Debt mutation</t>
  </si>
  <si>
    <t>Financing:</t>
  </si>
  <si>
    <t>Balance:</t>
  </si>
  <si>
    <t>Stabilization Fund</t>
  </si>
  <si>
    <t>= Procentuele mutatie in de totale afzet, jaar t</t>
  </si>
  <si>
    <t>68. LBEWN</t>
  </si>
  <si>
    <t>officiële deviezen voorraad in mln US$</t>
  </si>
  <si>
    <t>Exogenen Microblok</t>
  </si>
  <si>
    <t>Bacove</t>
  </si>
  <si>
    <t>Triplex</t>
  </si>
  <si>
    <t>Toerisme</t>
  </si>
  <si>
    <t>Eenheid: mln. SRD tenzij anders vermeld</t>
  </si>
  <si>
    <t xml:space="preserve">hand van de kerngegeven. Bij de bespreking van de VES+ variant wordt voornamelijk gelet op de </t>
  </si>
  <si>
    <t>Invoer van goederen en diensten door de bedrijven</t>
  </si>
  <si>
    <t>BB tabellen</t>
  </si>
  <si>
    <t>I</t>
  </si>
  <si>
    <t>I &amp;II</t>
  </si>
  <si>
    <t>II</t>
  </si>
  <si>
    <t xml:space="preserve">5. nadere berekeningen m.b.t. het MICROBLOK (de verzameling exportproducten) (regels 336 t/m </t>
  </si>
  <si>
    <t>Inkomensoverdrachten:(OOGWN)</t>
  </si>
  <si>
    <t>Koopkracht beschikbaar loon en overgedragen inkomen</t>
  </si>
  <si>
    <t>consumer price index</t>
  </si>
  <si>
    <t>4. de variabelen m.b.t. de overheid (regels 111 t/m 173)</t>
  </si>
  <si>
    <t xml:space="preserve">nemen met de sectorspecialisten of de vergelijking opnieuw te bezien m.b.t. de verklarende variabele. </t>
  </si>
  <si>
    <t>KTMBWN</t>
  </si>
  <si>
    <t>Indirecte belastingen gezinsconsumptie</t>
  </si>
  <si>
    <t>Goudblokje</t>
  </si>
  <si>
    <t>= Beschikbaar loon-steuninkomen, jaar t</t>
  </si>
  <si>
    <t xml:space="preserve">Procentuele mutatie in de loonkosten p.e.p. </t>
  </si>
  <si>
    <t xml:space="preserve">     Bacovenproductie</t>
  </si>
  <si>
    <t>grotendeels gewerkt is met cijfers van het IMF . Tot het toevoegen van enkele sheets die de macro-</t>
  </si>
  <si>
    <t xml:space="preserve">bepaald. De prijsvorming in Surinaamse guldens is een functie van de wereldmarktprijzen (exogeen) en </t>
  </si>
  <si>
    <t>de wisselkoers (exogeen).</t>
  </si>
  <si>
    <t>4. Voorbereiding moderniseringsplan overheid (2)</t>
  </si>
  <si>
    <r>
      <t xml:space="preserve">achterstallige betalingen in mln. SRD - </t>
    </r>
    <r>
      <rPr>
        <b/>
        <sz val="8"/>
        <rFont val="Arial"/>
        <family val="2"/>
      </rPr>
      <t>internationale def.</t>
    </r>
  </si>
  <si>
    <t>investeringen van bedrijven (vol.)</t>
  </si>
  <si>
    <t xml:space="preserve">Statisch gedeelte: Voor landsdienaren en  werknemers bij bedrijven geldt, dat hun inkomen uit het </t>
  </si>
  <si>
    <t>Cursusleider</t>
  </si>
  <si>
    <t>Totaal economisch actieven</t>
  </si>
  <si>
    <t xml:space="preserve">de subsidies van het voorafgaand jaar te corrigeren voor inflatie. Echter is hier, vooral m.b.t. het weer </t>
  </si>
  <si>
    <t>? een jaarlijkse geldschepping van ca. 3,5% (1998 – 2000),</t>
  </si>
  <si>
    <t>? een inflatie van tussen 20% - 100% (1998 – 2000),</t>
  </si>
  <si>
    <t xml:space="preserve">prijspeil (CGPP) bepaald. </t>
  </si>
  <si>
    <t xml:space="preserve">rijstproducten. Bron van de wereldmarktprijs: RIJST INSTITUUT SURINAM, MINISTERIE VAN </t>
  </si>
  <si>
    <t>q1</t>
  </si>
  <si>
    <t>q2</t>
  </si>
  <si>
    <t>q3</t>
  </si>
  <si>
    <t>q4</t>
  </si>
  <si>
    <t>Direkte Belastingen (Ontvanger der Directe Belastingen)</t>
  </si>
  <si>
    <t>Afwijkingen t.o.v. Ongewijzigd Beleid</t>
  </si>
  <si>
    <t>Statistiekrechten Inv + uitv</t>
  </si>
  <si>
    <t>Accijns AVD</t>
  </si>
  <si>
    <t>Houtuitv.</t>
  </si>
  <si>
    <t>Kosten In-Uit-Do</t>
  </si>
  <si>
    <t>Rij en voertuigen</t>
  </si>
  <si>
    <t>Accijns gedest.</t>
  </si>
  <si>
    <t>Publieke verm.</t>
  </si>
  <si>
    <t>indirecte belastingen</t>
  </si>
  <si>
    <t xml:space="preserve"> waarvan opbrengst invoerrechten</t>
  </si>
  <si>
    <t>= Bruto toegevoegde waarde van de bedrijven, jaar t</t>
  </si>
  <si>
    <t xml:space="preserve">met de cijfers van het ABS. Echter zijn deze niet volledig omdat niet alle sectoren worden </t>
  </si>
  <si>
    <t>Surinaamseprijs Aluminium SRD/metrieke ton</t>
  </si>
  <si>
    <t xml:space="preserve">De export  (BWN) wordt bepaald door het niveau van de export van het voorgaand jaar gecorrigeerd </t>
  </si>
  <si>
    <t xml:space="preserve">Verandering in loonbelasting </t>
  </si>
  <si>
    <t>Bruto winst excl. Bauxiet en Goud</t>
  </si>
  <si>
    <t>Toename Stabilisatiefonds</t>
  </si>
  <si>
    <t xml:space="preserve">netto particuliere leningen van de overheid uit het buitenland (KEOWN) in US-dollar vermenigvuldigt </t>
  </si>
  <si>
    <t xml:space="preserve">In de maand december 2000 bezocht Dr. Marein van Schaaijk Suriname en sprak o.a. met medewerkers </t>
  </si>
  <si>
    <t>= Uitvoer van goederen en diensten door de bedrijven , jaar t-1</t>
  </si>
  <si>
    <t xml:space="preserve">Werk. Ontvangsten via de CBvS </t>
  </si>
  <si>
    <t xml:space="preserve">variant ten opzichte van de TECHNISCHE BASELINE is steeds geschiedt op basis van een aantal </t>
  </si>
  <si>
    <t>Volume mutaties</t>
  </si>
  <si>
    <t>variabele. Bron: Betalingsbalans CBvS</t>
  </si>
  <si>
    <t xml:space="preserve">= Loonsom van de bedrijven, jaar t-1                      </t>
  </si>
  <si>
    <t xml:space="preserve">de inflatie (CGPP). De vergelijking suggereert dat als gevolg van sterke prijsstijgingen mensen minder </t>
  </si>
  <si>
    <t>3. de benodigde data t.b.v. het updaten van het model kunnen halen uit bron documenten,</t>
  </si>
  <si>
    <t>4. het kunnen controleren van de data op consistentie,</t>
  </si>
  <si>
    <t>vervolg cursusdocument),</t>
  </si>
  <si>
    <t>de Nationale Rekeningen plus Sectorrekeningen</t>
  </si>
  <si>
    <t>volledig in te kunnen vullen</t>
  </si>
  <si>
    <t>Betalingsbalans in MLN US$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</si>
  <si>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</si>
  <si>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</si>
  <si>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</si>
  <si>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</si>
  <si>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</si>
  <si>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</si>
  <si>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</si>
  <si>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</si>
  <si>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</si>
  <si>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</si>
  <si>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</si>
  <si>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</si>
  <si>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</si>
  <si>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</si>
  <si>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</si>
  <si>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</si>
  <si>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</si>
  <si>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</si>
  <si>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</si>
  <si>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</si>
  <si>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</si>
  <si>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</si>
  <si>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</si>
  <si>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</si>
  <si>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</si>
  <si>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</si>
  <si>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</si>
  <si>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</si>
  <si>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</si>
  <si>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</si>
  <si>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</si>
  <si>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</si>
  <si>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</si>
  <si>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</si>
  <si>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</si>
  <si>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</si>
  <si>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</si>
  <si>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</si>
  <si>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</si>
  <si>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</si>
  <si>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</si>
  <si>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</si>
  <si>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</si>
  <si>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</si>
  <si>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</si>
  <si>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</si>
  <si>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</si>
  <si>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</si>
  <si>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</si>
  <si>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</si>
  <si>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</si>
  <si>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</si>
  <si>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</si>
  <si>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</si>
  <si>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</si>
  <si>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</si>
  <si>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</si>
  <si>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</si>
  <si>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</si>
  <si>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</si>
  <si>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</si>
  <si>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</si>
  <si>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</si>
  <si>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</si>
  <si>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</si>
  <si>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</si>
  <si>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</si>
  <si>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</si>
  <si>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= Overheidsinvesteringen uit eigen middelen, jaar t</t>
  </si>
  <si>
    <t xml:space="preserve">          Totaal Belastingontvangsten</t>
  </si>
  <si>
    <t xml:space="preserve">          - Bauxietsector</t>
  </si>
  <si>
    <t>IA1       - Direkte belastingen</t>
  </si>
  <si>
    <t>IA2       - Indirekte belastingen</t>
  </si>
  <si>
    <t>Surinaamseprijs Goud SRD/Troy ounce</t>
  </si>
  <si>
    <t>Wereldmarktprijs Goud/troy ounce</t>
  </si>
  <si>
    <t>BBP Bestedingenmeth.</t>
  </si>
  <si>
    <t xml:space="preserve">gemiddeld inkomen. Door dit voor meerdere jaren te doen ontstaat naast inzicht in de </t>
  </si>
  <si>
    <t xml:space="preserve">worden naar de historische trend of naar landen die vergelijkbaar zijn met Suriname, maar verder zijn </t>
  </si>
  <si>
    <t>? beschrijving van de modelvergelijkingen, inclusief de aanpassingen</t>
  </si>
  <si>
    <t xml:space="preserve">De huidige training van het economisch kader van de afdeling Macro Economische Planning (MEP) </t>
  </si>
  <si>
    <t>aluinaarde exportwaarde mln.SRD</t>
  </si>
  <si>
    <t>ALAEWN</t>
  </si>
  <si>
    <t>gem in % p.j.</t>
  </si>
  <si>
    <t>productiegroei</t>
  </si>
  <si>
    <t>arbeidsproductiviteit</t>
  </si>
  <si>
    <t>prijs per ton</t>
  </si>
  <si>
    <t>overig</t>
  </si>
  <si>
    <t>ton per ha</t>
  </si>
  <si>
    <t>waarvan</t>
  </si>
  <si>
    <t>Terugstorting vlgs liq.ovz</t>
  </si>
  <si>
    <t xml:space="preserve"> ((IOWN/IOWN(-1))/(1+IPP/100)-1)*100</t>
  </si>
  <si>
    <t xml:space="preserve"> (((BWN/BWN(-1))/(1+BPP/100))-1)*100</t>
  </si>
  <si>
    <t>o Met gemak voortgebouwd kan worden aan toekomstige modellen</t>
  </si>
  <si>
    <t>= Invoer van goederen en diensten door de overheid, jaar t</t>
  </si>
  <si>
    <t xml:space="preserve">De Surinaamse prijs van garnalen  (GARSPN) is afhankelijk van de Surinaamse prijs van het </t>
  </si>
  <si>
    <t xml:space="preserve">buitenlandse leningen en B3 naar bestedingen die voortvloeien uit de “normale”, reguliere activiteiten </t>
  </si>
  <si>
    <t>VISEKN X VISSPN</t>
  </si>
  <si>
    <t>Zalmijn. Dwarkasing en Khoesial, RIS, SPS en LVV, Paramaribo, Oct 2001</t>
  </si>
  <si>
    <t>CGWN+ IBWN+IOWN+BWN</t>
  </si>
  <si>
    <t>TOEVN X TOESPN</t>
  </si>
  <si>
    <t>(hosselaars/zelfstandigen).</t>
  </si>
  <si>
    <t>= Bruto investeringen in de exportsector, jaar t</t>
  </si>
  <si>
    <t xml:space="preserve"> YBVP(-1)</t>
  </si>
  <si>
    <t>= Groei bruto toegevoegde waarde bedrijven tegen marktprijzen (reëel) , jaar t-1</t>
  </si>
  <si>
    <t>Staatsschuld totaal</t>
  </si>
  <si>
    <t>updat 15/5/07</t>
  </si>
  <si>
    <t xml:space="preserve">Directe Belastingen </t>
  </si>
  <si>
    <t xml:space="preserve">De gezinsconsumptie is de som van het beschikbaar loon- en steuninkomen </t>
  </si>
  <si>
    <t>INVESTERINGEN MICROBLOK</t>
  </si>
  <si>
    <t>Beschrijving van de resultaten</t>
  </si>
  <si>
    <t xml:space="preserve">dollar waarde, zoals uit de SPS projectenlijst, gecorrigeerd voor de wisselkoers (PKRSQ). </t>
  </si>
  <si>
    <t xml:space="preserve">als een bedrijf kunnen worden beschouwd. Het apart nemen van exportsectoren is verder van belang,  </t>
  </si>
  <si>
    <t>2. een beschrijving van:</t>
  </si>
  <si>
    <t>Surinaamse prijs natuursteen</t>
  </si>
  <si>
    <t>3. het updaten van de start- en exogene waarden voor de jaren 1996 – 2000 (zie voetnoot 1),</t>
  </si>
  <si>
    <t>Bruto investeringen in de exportsector</t>
  </si>
  <si>
    <t>beschikbaar is, wordt gewerkt met de LME prijs voor goud (International Financial Statistics) .</t>
  </si>
  <si>
    <t xml:space="preserve">conditie VLTSCH(-1)&gt;0 is ingebouwd om geen negatieve schulden in het model te genereren. Bron: </t>
  </si>
  <si>
    <t>SPS.</t>
  </si>
  <si>
    <t xml:space="preserve">altijd mogelijk geweest te beschikken over de medewerkers van de afdeling MEP om het </t>
  </si>
  <si>
    <t xml:space="preserve">wel ingevuld, maar vormen een heel klein deel van de overheidsontvangsten. Bron: CENTRALE </t>
  </si>
  <si>
    <t xml:space="preserve">variabelen. Alle realisaties zijn afkomstig van het ONDERDIRECTORAAT INVOERRECHTEN EN </t>
  </si>
  <si>
    <t>ACCIJNZEN.</t>
  </si>
  <si>
    <t>24. TMWN</t>
  </si>
  <si>
    <t>Verschil Directe Belastingen (Fin/Surya)</t>
  </si>
  <si>
    <t xml:space="preserve">                             : overig part. Diensten</t>
  </si>
  <si>
    <t xml:space="preserve">De reguliere materiële uitgaven worden bepaald door het bestaand niveau (CMOWNB3) gecorrigeerd </t>
  </si>
  <si>
    <t xml:space="preserve"> de materiële consumptie van de overheid</t>
  </si>
  <si>
    <t xml:space="preserve"> TKBWN(-1)</t>
  </si>
  <si>
    <t>ZOBWN(-1)+0.7*ZEBWN(-1)</t>
  </si>
  <si>
    <t xml:space="preserve">jaar (AOLSPN(-1)), de mutatie in de wereldmarktprijs van aardolie (AOLWPN/AOLWPN(-1)) en in </t>
  </si>
  <si>
    <t xml:space="preserve">sectorspecialisten te polsen over het huidig en toekomstig verloop van productie, </t>
  </si>
  <si>
    <t xml:space="preserve">19. Het instellen van controle procedures ter voorkoming van budgetoverschrijdingen en ter </t>
  </si>
  <si>
    <t>GOUEDN</t>
  </si>
  <si>
    <t>NATEKN</t>
  </si>
  <si>
    <t>TOEVN</t>
  </si>
  <si>
    <t>VISEKN</t>
  </si>
  <si>
    <t>Surinaamse prijs in SRG</t>
  </si>
  <si>
    <t>ALASPN</t>
  </si>
  <si>
    <t>ALUSPN</t>
  </si>
  <si>
    <t>AOLSPN</t>
  </si>
  <si>
    <t xml:space="preserve">het buitenland wordt overgemaakt (ZBEWN(-1)) en de renteovermakingen van de overheid naar het </t>
  </si>
  <si>
    <t xml:space="preserve">Gewogen gemiddelde van uitstaande leningen en respectieve rentevoeten. </t>
  </si>
  <si>
    <t xml:space="preserve">het ook mogelijk om deze variabelen in de toekomst te laten ontwikkelen op grond van te maken </t>
  </si>
  <si>
    <t xml:space="preserve">(IBMWN(-1)), gecorrigeerd voor de investeringsprijsmutatie (1+IPP/100) en de toename van de </t>
  </si>
  <si>
    <t xml:space="preserve">kwaliteitsverandering van het materieel leven, zij het op een elementaire  manier. Eerder was reeds een </t>
  </si>
  <si>
    <t>GDP market prices (formal + informel sector)</t>
  </si>
  <si>
    <t xml:space="preserve">Tussen 2000 – 2002 daalt de import met ca. US$ 25 mln. Dit is vnl. het gevolg van het afnemen </t>
  </si>
  <si>
    <t>van de binnenlandse bestedingen.</t>
  </si>
  <si>
    <t xml:space="preserve">uit het buitenland nihil zijn, m.a.w. de overheid leent niet (of kan niet lenen) maar lost ook niet af. Deze </t>
  </si>
  <si>
    <t>AOAN(-1)</t>
  </si>
  <si>
    <t>II.5.4</t>
  </si>
  <si>
    <t>Zie I.2.3</t>
  </si>
  <si>
    <t xml:space="preserve">wisselkoers steeds worden aangepast. Deze jaarlijkse aanpassing is steeds het dubbele van het </t>
  </si>
  <si>
    <t>Goederen en diensten door de bedrijven aan de overheid</t>
  </si>
  <si>
    <t>II.10.4</t>
  </si>
  <si>
    <t>II.10.5</t>
  </si>
  <si>
    <t>II.10.6</t>
  </si>
  <si>
    <t>Hulpvariabele vraag naar arbeid</t>
  </si>
  <si>
    <t>II.10.7</t>
  </si>
  <si>
    <t>groei rijstproductie</t>
  </si>
  <si>
    <t>arbeidsproductiviteit trend</t>
  </si>
  <si>
    <t>LINK MICROBLOK (zie ook TKBWN)</t>
  </si>
  <si>
    <t>RAFWPN(-1)</t>
  </si>
  <si>
    <t>GOUWPN(-1)</t>
  </si>
  <si>
    <t>NATWPN(-1)</t>
  </si>
  <si>
    <t xml:space="preserve">(KBOWN) en het financieringstekort (MOOWN). Deze vergelijking is geïntroduceerd na consolidatie </t>
  </si>
  <si>
    <t>ALUINAARDE</t>
  </si>
  <si>
    <t>Omschrijving</t>
  </si>
  <si>
    <t>2001
in SRG.
Miljoen</t>
  </si>
  <si>
    <t>GOUEDN X GOUSPN(-1)</t>
  </si>
  <si>
    <t xml:space="preserve">= Procentuele mutatie in de loonkosten p.e.p., jaar t </t>
  </si>
  <si>
    <t>geraamde exogenen</t>
  </si>
  <si>
    <t xml:space="preserve">bijdrage geleverd aan het economisch model van de SPS en midden jaren negentig aan dat van de </t>
  </si>
  <si>
    <t xml:space="preserve">MAATSCHAPPIJ SURINAME in werkelijkheid ontvangt voor dit product. Bron van de </t>
  </si>
  <si>
    <t>investeringsprijsindex</t>
  </si>
  <si>
    <t>4. BACSPN = BACSPN(-1)*BACWPN/BACWPN(-1)*PKRSQ/PKRSQ(-1)</t>
  </si>
  <si>
    <t>loonvoet bedrijven</t>
  </si>
  <si>
    <t>reele groei BBP</t>
  </si>
  <si>
    <t>arbeidsplaatsen bedrijven</t>
  </si>
  <si>
    <t>loon koopkracht</t>
  </si>
  <si>
    <t xml:space="preserve">  quotes</t>
  </si>
  <si>
    <t>werkloosheidspercentage</t>
  </si>
  <si>
    <t>koers Sf/$</t>
  </si>
  <si>
    <t>winst (cash flow)</t>
  </si>
  <si>
    <t>financieringstekort</t>
  </si>
  <si>
    <t xml:space="preserve">hosselaars. Voor de landbouwers is het vaststellen van hun aantal lastig. Recente gegevens zijn </t>
  </si>
  <si>
    <t xml:space="preserve">voorgaand jaar (MBWN(-1)+MOWN(-1)+MGWN(-1)) gecorrigeerd voor de importprijsmutatie </t>
  </si>
  <si>
    <t>Buitenland in miljoenen USD</t>
  </si>
  <si>
    <t>Binnenland in miljarden Sf</t>
  </si>
  <si>
    <t xml:space="preserve">de VES resultaten te plaatsen tegen die van Ongewijzigd Beleid. Voor de volledigheid wordt de </t>
  </si>
  <si>
    <t>beleidsmatrix   zoals door de VES voorgesteld weergegeven:</t>
  </si>
  <si>
    <t>Begroting</t>
  </si>
  <si>
    <t>= Surinaamse prijs vis, jaar t-1</t>
  </si>
  <si>
    <t xml:space="preserve">de introductie van een of meer beleidsmaatregelen inhield. Het bezien van de resultaten van elke </t>
  </si>
  <si>
    <t xml:space="preserve"> Bruto investeringen in de exportsector</t>
  </si>
  <si>
    <t xml:space="preserve"> DEVWN(-1)</t>
  </si>
  <si>
    <t>waarde consumptie gezinnen</t>
  </si>
  <si>
    <t>SIM export</t>
  </si>
  <si>
    <t xml:space="preserve">     Aardolieproductie </t>
  </si>
  <si>
    <t>= Bruto investeringen van de overheid, jaar t-1</t>
  </si>
  <si>
    <t xml:space="preserve">totale bevolking in de leeftijd van 15 tot 65 jaar te verminderen met de som van het aantal </t>
  </si>
  <si>
    <t>= Inkomensoverdrachten om niet van overheid aan de gezinnen, jaar t</t>
  </si>
  <si>
    <t xml:space="preserve">overheid wordt bepaald door (MOWN - GDOBWN - GDOGWN - IOWN + GDBOWN + DOWN + </t>
  </si>
  <si>
    <t>LOWN).</t>
  </si>
  <si>
    <t>Particulier kapitaal uit buitenland in miljoen USD</t>
  </si>
  <si>
    <t>? hulpvariabelen arbeidsmarkt (regels 242 t/m 244)</t>
  </si>
  <si>
    <t>IIA2      - Overige goederen en diensten (CMOWNB3)</t>
  </si>
  <si>
    <t>IIA1      - Lonen en Salarissen (LOWN)</t>
  </si>
  <si>
    <t>Boete en transacties</t>
  </si>
  <si>
    <t>Totaal NBO (CBvS)</t>
  </si>
  <si>
    <t>Som Lopende rek en Kaprek.</t>
  </si>
  <si>
    <t xml:space="preserve">voorafgaand aan het Surya Model. Deze documenten liggen in de algemene bibliotheek van het </t>
  </si>
  <si>
    <t xml:space="preserve">balans van de primaire inkomens (LEGWN-LBEWN) + (ZEBWN-ZEWN+ZOEWN), het saldo op de </t>
  </si>
  <si>
    <t xml:space="preserve">De belangrijkste exportproducten liggen in de extractieve  en de landbouw sfeer. De exportgoederen </t>
  </si>
  <si>
    <t xml:space="preserve">21. Het ontwikkelen en implementeren van een geautomatiseerd integraal begrotingbewaking- </t>
  </si>
  <si>
    <t>systeem.(3)</t>
  </si>
  <si>
    <t xml:space="preserve">belangrijkste exportproducten is de som van de actuele exportwaarden van de individuele producten uit </t>
  </si>
  <si>
    <t xml:space="preserve">opnieuw te bezien. De realisaties zijn afkomstig van het ONDERDIRECTORAAT DIRECTE </t>
  </si>
  <si>
    <t xml:space="preserve">Surya model komt en dat hierover belasting is te heffen. Dit zijn ook groepen waarvoor in </t>
  </si>
  <si>
    <t xml:space="preserve">In het model is de exportsector weergegeven als een aparte grootheid, namelijk het Microblok. Micro, </t>
  </si>
  <si>
    <t>(HOUEKN*HOUSPN)+(RIJEDN*RIJSPN)+(0.3*RAFDBN*RAFSPN)+(GOUEDN*GOUSP</t>
  </si>
  <si>
    <t>N)+(NATEKN*NATSPN)+(TOEVN*TOESPN)+(VISEKN*VISSPN)</t>
  </si>
  <si>
    <t xml:space="preserve">    Importwaarde bauxietsector</t>
  </si>
  <si>
    <t xml:space="preserve">Legenda: </t>
  </si>
  <si>
    <t>Saldo op de Lopende rekening op kasbasis</t>
  </si>
  <si>
    <t xml:space="preserve">Saldo kapitaalrekening </t>
  </si>
  <si>
    <t>BACEDN X BACSPN</t>
  </si>
  <si>
    <t xml:space="preserve"> OBMWN+BTW</t>
  </si>
  <si>
    <t>Exportvolume alle micro producten</t>
  </si>
  <si>
    <t>exportvolume per product:</t>
  </si>
  <si>
    <t>Investeringen per micro product</t>
  </si>
  <si>
    <t xml:space="preserve">bruto-netto traject en wat als hierin het een en ander wordt veranderd? Verschillende variabelen zijn te </t>
  </si>
  <si>
    <t>AOAN)/(B1664N(-1) - AOAN(-1))-1).</t>
  </si>
  <si>
    <t>88. MITAN</t>
  </si>
  <si>
    <t>MITAN(-1)</t>
  </si>
  <si>
    <t>? Suritax, prototype 1996, SPS/ Stuseco</t>
  </si>
  <si>
    <t>gelinkt aan model</t>
  </si>
  <si>
    <t>Deviezenvoorraad CBvS in mln US$</t>
  </si>
  <si>
    <t>Totale deviezen voorraad in mln US$</t>
  </si>
  <si>
    <t>3. het model didactisch toegankelijker te maken.</t>
  </si>
  <si>
    <t xml:space="preserve">van de economie, maar ook vanwege haar invloed als beleidsmaker (regulering). Verder genereert de </t>
  </si>
  <si>
    <t>Aluminium</t>
  </si>
  <si>
    <t>Export Volumina:</t>
  </si>
  <si>
    <t>RIJEDN X RIJSPN</t>
  </si>
  <si>
    <t>TRIEKN X TRISPN</t>
  </si>
  <si>
    <t>= Overdrachten om niet uit lopende activiteiten, jaar t-1</t>
  </si>
  <si>
    <t xml:space="preserve">De overdrachten om niet uit de lopende activiteiten (OOGWN3) worden bepaald door de overdrachten </t>
  </si>
  <si>
    <t>= Inkomensoverdrachten om niet van overheid aan buitenland, jaar t</t>
  </si>
  <si>
    <t>Prijzen</t>
  </si>
  <si>
    <t>Volumina</t>
  </si>
  <si>
    <t>Quotes</t>
  </si>
  <si>
    <t>Zie I.2.2</t>
  </si>
  <si>
    <t>GOUEDN(-1) X GOUSPN</t>
  </si>
  <si>
    <t xml:space="preserve">om te zien hoeveel personen onder deze lijn zitten en ook hoeveel personen per inkomensgroep onder </t>
  </si>
  <si>
    <r>
      <t xml:space="preserve">Fiscale boete </t>
    </r>
    <r>
      <rPr>
        <i/>
        <sz val="10"/>
        <rFont val="Arial"/>
        <family val="2"/>
      </rPr>
      <t>(NBO)</t>
    </r>
  </si>
  <si>
    <t>EXOGENE VARIABELEN</t>
  </si>
  <si>
    <t xml:space="preserve">per saldo het gevolg van de betalingsbalanssteun. De afroming van liquiditeiten door de overheid </t>
  </si>
  <si>
    <t xml:space="preserve">is resp. ca. 4,5% en 9% in 2001 en 2002. </t>
  </si>
  <si>
    <t xml:space="preserve">? Het succes m.b.t. de betalingsbalans is te merken in de verbetering van de Handels- en </t>
  </si>
  <si>
    <t>Binnenlandse staatsschuld in mln.Srg</t>
  </si>
  <si>
    <t>Idem</t>
  </si>
  <si>
    <t>Surland NV</t>
  </si>
  <si>
    <t>mln USD</t>
  </si>
  <si>
    <t>BPI(-1)*(1+BPP/100)</t>
  </si>
  <si>
    <t xml:space="preserve">(NATWPN/NATWPN(-1)) en in de wisselkoers (PKRSQ/PKRSQ(-1)). De wereldmarktprijs is de prijs </t>
  </si>
  <si>
    <t xml:space="preserve">1. Aanpassing sociale uitkeringen met 60%, ter gedeeltelijke compensatie van de verwachte inflatie </t>
  </si>
  <si>
    <t>voor 2000 (1)</t>
  </si>
  <si>
    <t>overiginkomen buitl.aan bedrijven</t>
  </si>
  <si>
    <t xml:space="preserve">lagere schattingen geeft dan gemeten door het ABS. Deze vergelijking behoeft nog aanpassing voor </t>
  </si>
  <si>
    <t>in  mln SRD</t>
  </si>
  <si>
    <t xml:space="preserve">De mutatie in de volume van de gezinsconsumptie (CGVP) wordt per definitie bepaald door de mutatie </t>
  </si>
  <si>
    <t xml:space="preserve">                     Projectenlijst 2001 - 2004, Jaarplannen 2002 - 2005, Stichting Planbureau Suriname</t>
  </si>
  <si>
    <t xml:space="preserve">kennis van het Surya model over te dragen aan de medewerkers van de afdeling, zodanig dat deze </t>
  </si>
  <si>
    <t>gelijk die bij OBMWN, zij het dat deze minder betrouwbaar is vanwege IBWN en CGWN.</t>
  </si>
  <si>
    <t>28. TKBWN</t>
  </si>
  <si>
    <t>= Uitvoerprijsindex, jaar t</t>
  </si>
  <si>
    <t xml:space="preserve">Er wordt verondersteld dat er geen ontwikkelingsleningen uit het buitenland meer voor Suriname ter </t>
  </si>
  <si>
    <t>Zie II.7.2</t>
  </si>
  <si>
    <t>Totale Deviezsnres. in mnd.invoer</t>
  </si>
  <si>
    <t xml:space="preserve">Aangezien de trainees reeds redelijk bekend zijn met het macro model en het aanleren het beste </t>
  </si>
  <si>
    <t xml:space="preserve"> Aantal ambtenaren</t>
  </si>
  <si>
    <t>buitenland wordt belegd waarvoor de rentevoet (Treasury Bill Rate) van het voorgaand jaar (USAR(-</t>
  </si>
  <si>
    <t xml:space="preserve">Het financieringstekort van de overheid (MOOWN) is gelijk aan het middelenoverschot van de </t>
  </si>
  <si>
    <t xml:space="preserve">Productiebedrijven zullen winstgevend zijn als ze produceren voor een grotere buitenlandse markt. </t>
  </si>
  <si>
    <t xml:space="preserve">De inkomensoverdrachten om niet van gezinnen aan de overheid (OGOWN) worden bepaald door het </t>
  </si>
  <si>
    <t xml:space="preserve"> ' DEVWN'(-1)*(PKRSQ/PKRSQ(-1))</t>
  </si>
  <si>
    <t>GOUEDN X GOUSPN</t>
  </si>
  <si>
    <t>NATEKN X NATSPN</t>
  </si>
  <si>
    <t xml:space="preserve">voorgaand jaar (ALASPN(-1)), de mutatie in de wereldmarktprijs van aluinaarde </t>
  </si>
  <si>
    <t xml:space="preserve">relatie tot de vraag naar arbeid. </t>
  </si>
  <si>
    <t xml:space="preserve">voor de mutatie in de bruto investeringen in de exportsector (IBMWN/IBMWN(-1) -1). De bruto </t>
  </si>
  <si>
    <t>Materiele overheidsconsumptie uit lopende activiteiten (begroting)(CMOWNB3)</t>
  </si>
  <si>
    <t xml:space="preserve">Prijsverlagende subsidies (SUBWN) </t>
  </si>
  <si>
    <t>De kapitaaloverdrachten om niet van het buitenland aan de overheid (KNEOWN als semi-</t>
  </si>
  <si>
    <t>loonsom uit buitenland</t>
  </si>
  <si>
    <t>begroting 2010</t>
  </si>
  <si>
    <t>projectie 2010</t>
  </si>
  <si>
    <t xml:space="preserve">Alhoewel de indeling is gedaan volgens een bepaalde principe is die niet vastomlijnd, omdat </t>
  </si>
  <si>
    <t>2007
in SRD.
Miljoen</t>
  </si>
  <si>
    <t xml:space="preserve">          Tekort/surplus tot rek. Surya (excl. Verschil Flash)</t>
  </si>
  <si>
    <t xml:space="preserve">(MBWN+MGWN) en de invoerrechten op deze importen (TMWN2). Het heffingspercentage is 7% </t>
  </si>
  <si>
    <t>Gross investments of governmenet</t>
  </si>
  <si>
    <t>lower limit of the alumina price fund</t>
  </si>
  <si>
    <t>Monetary financing Government</t>
  </si>
  <si>
    <t>Waarvan winstbelasting Goud en  Bauxietmij.</t>
  </si>
  <si>
    <t xml:space="preserve">vergelijking/de realisaties dienen nog deels te worden aangepast voor de bevindingen van de </t>
  </si>
  <si>
    <t xml:space="preserve">Commissie Inventarisatie Staatsschuld. De conditie (SOBWN1(-1)+KBOWN+MOOWN)&gt;0) is </t>
  </si>
  <si>
    <t>PKRSQ(-1)</t>
  </si>
  <si>
    <t>= Geconsolideerde vlottende staatsschuld, jaar t-1</t>
  </si>
  <si>
    <t>6. problemen oplossen die zich voor kunnen doen bij het draaien van het model,</t>
  </si>
  <si>
    <t>SOEWN(-1)</t>
  </si>
  <si>
    <t>13. Optrekken belastingvrije grens (O)</t>
  </si>
  <si>
    <t xml:space="preserve">(ALUWPN/ALUWPN(-1)) en in de wisselkoers (PKRSQ/PKRSQ(-1)). De wereldmarktprijs is de prijs </t>
  </si>
  <si>
    <t xml:space="preserve">voor nieuwe sectoren de vraag naar arbeid moeilijk in te schatten is. Dus moeten de schattingen </t>
  </si>
  <si>
    <t>Invoer van goederen en diensten door gezinnen</t>
  </si>
  <si>
    <t>AKB, de pensioenen, leges, boetes, enz. Bron: CENTRALE BETAALDIENST EN CEBUMA</t>
  </si>
  <si>
    <t>32. KNEOWN</t>
  </si>
  <si>
    <t>Bruto toegevoegde waarde van de bedrijven tegen marktprijzen (reëel)</t>
  </si>
  <si>
    <t xml:space="preserve">uit van de veronderstelling dat, met in achtneming van de rentabiliteit, 20% (0.2) van het geïnvesteerd </t>
  </si>
  <si>
    <t>ALUSPN(-1)</t>
  </si>
  <si>
    <t>verandering in de structurele vraag naar arbeid. Bron: ABS</t>
  </si>
  <si>
    <t>84. AOAN</t>
  </si>
  <si>
    <t>Resource Enveloppe</t>
  </si>
  <si>
    <t>Resource Enveloppe - Uitg en Leningen minus Afloss Schenkingen</t>
  </si>
  <si>
    <t>Loonkosten</t>
  </si>
  <si>
    <t xml:space="preserve"> Toename van de investeringen in US-dollars t.o.v. vorig jaar</t>
  </si>
  <si>
    <t>INV_MUTWN =</t>
  </si>
  <si>
    <t xml:space="preserve">De overheidsinvesteringen uit verdragsmiddelen (IOWNP) in Srg. zijn gelijk aan de </t>
  </si>
  <si>
    <t xml:space="preserve">overheidsinvesteringen uit verdragsmiddelen (IOWNP) in US-DOLLAR, zoals uit de SPS </t>
  </si>
  <si>
    <t xml:space="preserve"> TDGQ(-1)</t>
  </si>
  <si>
    <t>= Directe belastingdruk, jaar t-1</t>
  </si>
  <si>
    <t>= Indirecte belastingen, jaar t</t>
  </si>
  <si>
    <t>Geldhoeveelheid in mln. SRD</t>
  </si>
  <si>
    <t>Plan van aanpak</t>
  </si>
  <si>
    <t>Indirekte Belastingen (TKWN)(Ontvanger der Invoerrechten en Accijnzen):</t>
  </si>
  <si>
    <t>(dit gebeurt in Suritax) kunnen in dit gedeelte de uitkomsten van simulaties worden bekeken</t>
  </si>
  <si>
    <t xml:space="preserve">Het gecumuleerd saldo particulier kapitaal uit het buitenland (EKAP) is per definitie gelijk aan de som </t>
  </si>
  <si>
    <t>= Wereldmarktprijs natuursteen, jaar t</t>
  </si>
  <si>
    <t>? saldi van de betalingsbalans (regels 193 t/m 196)</t>
  </si>
  <si>
    <t xml:space="preserve">wisselkoers (PKRSQ/PKRSQ(-1)). De wereldmarktprijs is de prijs opgegeven door HET </t>
  </si>
  <si>
    <t>transfers van overheid aan gezinnen</t>
  </si>
  <si>
    <t>winstbelasting excl bauxiet</t>
  </si>
  <si>
    <t xml:space="preserve">aantal landsdienaren </t>
  </si>
  <si>
    <t xml:space="preserve">aan de som van de binnenlandse staatsschuld exclusief de geconsolideerde vlottende staatsschuld van </t>
  </si>
  <si>
    <t xml:space="preserve">Procentuele mutatie in de afzetwaarde exclusief de  exporten en de loonsom </t>
  </si>
  <si>
    <t xml:space="preserve">van de </t>
  </si>
  <si>
    <t>overheid</t>
  </si>
  <si>
    <t xml:space="preserve">de ontwikkelingen binnen een groep wordt behalve voor de categorie van  het gemiddelde loon ook een </t>
  </si>
  <si>
    <t>= Rente van de overheid aan het buitenland, jaar t</t>
  </si>
  <si>
    <t>Lening minus aflossingen</t>
  </si>
  <si>
    <t>Arbeidsplaatsen bij de overheid   *1000</t>
  </si>
  <si>
    <t>Inkomstenbel</t>
  </si>
  <si>
    <t>Loonbel. Personen</t>
  </si>
  <si>
    <t>NBO</t>
  </si>
  <si>
    <t>Dirbel</t>
  </si>
  <si>
    <t>Div</t>
  </si>
  <si>
    <t>Geconsolideerde vlottende staatsschuld</t>
  </si>
  <si>
    <t>II.7</t>
  </si>
  <si>
    <t>II.7.1</t>
  </si>
  <si>
    <t>"=[Suryamodel24feb06b.xls]Model!b261</t>
  </si>
  <si>
    <t xml:space="preserve">stroomlijnen, zodat duidelijker is welk deel in natura binnenkomt en welk deel in geld. Op die manier is </t>
  </si>
  <si>
    <t xml:space="preserve">door de becijferde omzetbelasting op importen. Deze becijferde omzetbelasting is gelijk aan 7% van de </t>
  </si>
  <si>
    <t xml:space="preserve">verdere functie in het model dan aan te geven in welke mate de feitelijke afzet t.b.v. de importen van </t>
  </si>
  <si>
    <t>bedrijven verandert.</t>
  </si>
  <si>
    <t>consumptieprijspeil (1+CGPP/100).</t>
  </si>
  <si>
    <t xml:space="preserve">   De veronderstellingen bij de scenarios</t>
  </si>
  <si>
    <t xml:space="preserve">niet van het buitenland aan de overheid (KNEOWN), de netto ontwikkelingsleningen (MIDWN), het </t>
  </si>
  <si>
    <t>met als norm de minimale reserve van 3 maanden import. Bron: Betalingsbalans CBvS.</t>
  </si>
  <si>
    <t>Nummerplaten rij- en voertuigen [Ind.Bel]</t>
  </si>
  <si>
    <t xml:space="preserve">aantal aanvullende beleidsmaatregelen (vandaar VES+ variant) door te rekenen en te bezien in welke </t>
  </si>
  <si>
    <t xml:space="preserve">gewerkt met het saldo van de CBvS. Voorts worden de schenkingsmiddelen uit de projectenlijst SPS </t>
  </si>
  <si>
    <t>herwaardering goud-en deviezenvoorraad e.d.</t>
  </si>
  <si>
    <t xml:space="preserve"> P.M.kapitaaloverdrachten om niet</t>
  </si>
  <si>
    <t xml:space="preserve">  sector overheid:</t>
  </si>
  <si>
    <t>35. LOWN</t>
  </si>
  <si>
    <t xml:space="preserve">overheidsinvesteringen uit eigen middelen (IOWNB1) in US-DOLLAR anders dan de reguliere, </t>
  </si>
  <si>
    <t>vermenigvuldigt met de wisselkoers (PKRSQ). Bron: SPS projectenlijst</t>
  </si>
  <si>
    <t>53. IOWNB2= IOWNB2*PKRSQ</t>
  </si>
  <si>
    <t xml:space="preserve">bij de gangbare presentatie van data in de documenten de verschillende instituten die daarvoor </t>
  </si>
  <si>
    <t xml:space="preserve">Naar aanleiding hiervan en in het kader van deze training is gemeend de VES+ variant, inclusief een </t>
  </si>
  <si>
    <t>OGEWN(-1)*(1+CGPP/100)</t>
  </si>
  <si>
    <t xml:space="preserve">overheid uit het binnenland (KBOWN) en de netto particuliere leningen aan de overheid uit het </t>
  </si>
  <si>
    <t xml:space="preserve">cijfers in het ISS rapport  (Niek de Jong c.s.). Mochten er geen recente gegevens bekend zijn dan moet </t>
  </si>
  <si>
    <t>Winstbelasting Bauxietmij.</t>
  </si>
  <si>
    <t>voorgaand  jaar (HOUSPN(-1)), de mutatie in de wereldmarktprijs van hout  (HOUWPN/HOUWPN(-</t>
  </si>
  <si>
    <t>De VES+ variant</t>
  </si>
  <si>
    <t>Exportvolume verwerkte houtproducten in kubieke meter</t>
  </si>
  <si>
    <t>Exportvolume geraffineerde aardolie producten in barrels</t>
  </si>
  <si>
    <t>Exportvolume goud in gram</t>
  </si>
  <si>
    <t>Private consumptie</t>
  </si>
  <si>
    <t>index (1990 = 100)</t>
  </si>
  <si>
    <t xml:space="preserve">van de bruto toegevoegde waarde exclusief de loonsom van de bedrijven  (YBWN - LBWN), het netto </t>
  </si>
  <si>
    <t xml:space="preserve">gezinsconsumptie het belangrijkste wat deze sector typeert. Verder dient het als bron voor arbeid en </t>
  </si>
  <si>
    <t>van scenario’s.</t>
  </si>
  <si>
    <t xml:space="preserve">  waarde in mld.Sf</t>
  </si>
  <si>
    <t xml:space="preserve">de primaire variabelen, geteld vanaf het eerste jaar van prognose. Dus voor een prognose over jaar </t>
  </si>
  <si>
    <t>Exportvolume Toerisme in aantal toeristen</t>
  </si>
  <si>
    <t>ZOBWN</t>
  </si>
  <si>
    <t xml:space="preserve">mate dit conceptprogramma de daadwerkelijk beoogde doelen kan bereiken. Voorts is het interessant </t>
  </si>
  <si>
    <t>1. het updaten te vergemakkelijken</t>
  </si>
  <si>
    <t xml:space="preserve">    ,,</t>
  </si>
  <si>
    <t>7. Herschikking buitenlandse schuld (2)</t>
  </si>
  <si>
    <t>8. Mobilisatie van betalingsbalanssteun (1)</t>
  </si>
  <si>
    <t xml:space="preserve">Bruto toegevoegde waarde van de bedrijven tegen marktprijzen (YBWN) en de loonsom van de </t>
  </si>
  <si>
    <t>bepaald. Dit in verband met de ontwikkeling die een land als Suriname kan doormaken.</t>
  </si>
  <si>
    <t xml:space="preserve">Bruto inkomens: </t>
  </si>
  <si>
    <t xml:space="preserve">Indir. Belastingen (uit overz dir.bel, excl loterijbel) </t>
  </si>
  <si>
    <t xml:space="preserve">gezinnen moet ook worden meegenomen de importen (ontvangsten) van geschenkpakketten. We gaan </t>
  </si>
  <si>
    <t xml:space="preserve">delen door hun aantal ontstaat een indicatie voor hun gemiddelde bruto inkomen. </t>
  </si>
  <si>
    <t xml:space="preserve">Dynamisch gedeelte: Net zoals in het statische gedeelte kunnen de bruto inkomens van landsdienaren </t>
  </si>
  <si>
    <t xml:space="preserve">prognoses heel bewerkelijk. Het is wel mogelijk, met de hantering van een exogene wisselkoers, </t>
  </si>
  <si>
    <t xml:space="preserve">rate" van de USA (USAR). Voorheen werd SOEWN bepaald door de ontwikkelingsleningen. Nu zijn </t>
  </si>
  <si>
    <t>Saldi betalingsbalans</t>
  </si>
  <si>
    <t>volume mutatie invoer</t>
  </si>
  <si>
    <t>investeringen totaal</t>
  </si>
  <si>
    <t>IVP</t>
  </si>
  <si>
    <t xml:space="preserve">investeringen bedrijven </t>
  </si>
  <si>
    <t xml:space="preserve">  Overheid</t>
  </si>
  <si>
    <t>? de variabelen m.b.t. de kapitaalrekening (regels 190 t/m 192)</t>
  </si>
  <si>
    <t>Aardolie</t>
  </si>
  <si>
    <t xml:space="preserve">door deze groep te nemen als een vast percentage van de bevolking. Bij de landbouwers kan gekeken </t>
  </si>
  <si>
    <t xml:space="preserve"> LIQWN(-1)+LIQWD</t>
  </si>
  <si>
    <t>MOOWN+SDBBWN</t>
  </si>
  <si>
    <t>Totaal</t>
  </si>
  <si>
    <t>Ministerie van Landbouw, Veeteelt, Visserij en Bosbouw; Visserijdienst</t>
  </si>
  <si>
    <t xml:space="preserve">presentatie houdt in de resultaten indien het beleid van eind jaren negentig zou worden gecontinueerd. </t>
  </si>
  <si>
    <t>= Invoer van goederen en diensten door de gezinnen, jaar t-1</t>
  </si>
  <si>
    <t xml:space="preserve"> MBWN</t>
  </si>
  <si>
    <t>2. de inkomensverdeling van verschillende inkomensgroepen;</t>
  </si>
  <si>
    <t xml:space="preserve">Index trendmatige  arbeidsproductiviteit </t>
  </si>
  <si>
    <t>Bauxiet Instituut Suriname</t>
  </si>
  <si>
    <t>niet beschikbaar is, wordt gewerkt met de prijs voor cargo rice (International Financial Statistics) .</t>
  </si>
  <si>
    <t>Wereldmarktprijs natuursteen</t>
  </si>
  <si>
    <t xml:space="preserve">van belang om de kapitaaltransfers (voornamelijk ontwikkelingshulp) tot uitdrukking te brengen </t>
  </si>
  <si>
    <t>Drs Saskia Wallerlei</t>
  </si>
  <si>
    <t xml:space="preserve">((LBWN+LOWN)/(LBWN(-1)+(LOWN(-1)). Onder deze post vallen de overdrachten zoals AOV, </t>
  </si>
  <si>
    <t xml:space="preserve">importen 76% (0.76), terwijl de mutatie in de indirecte belastingen volledig wordt afgewenteld. Gelet </t>
  </si>
  <si>
    <t>122.  GDOGWN</t>
  </si>
  <si>
    <t xml:space="preserve"> GDOGWN(-1)</t>
  </si>
  <si>
    <t xml:space="preserve">2. De primaire inkomensverdeling: de vorming en verdeling van inkomen als gevolg van het inzetten </t>
  </si>
  <si>
    <t>Surinaamse prijs  bacoven/bananen</t>
  </si>
  <si>
    <t>Surinaamse prijs garnalen</t>
  </si>
  <si>
    <t>Surinaamse prijs rondhout</t>
  </si>
  <si>
    <t xml:space="preserve">“gentlement agreement” niet geldscheppend zijn. Dit is echter niet correct en verdient aanpassing (incl. </t>
  </si>
  <si>
    <t>SUBWN</t>
  </si>
  <si>
    <t>OOGWNB3</t>
  </si>
  <si>
    <t>OOEWN</t>
  </si>
  <si>
    <t>OOGWN</t>
  </si>
  <si>
    <t>Intrest</t>
  </si>
  <si>
    <t>ZOEWN</t>
  </si>
  <si>
    <t>Inkomensoverdrachten om niet van het buitenland aan de  overheid</t>
  </si>
  <si>
    <t>Overig inkomen naar het buitenland van overheid; Verschil op Kap.opbr. (ZOEWN)</t>
  </si>
  <si>
    <t>Inhoudsopgave draaiboek SURYA-Model</t>
  </si>
  <si>
    <t>Achtergrond</t>
  </si>
  <si>
    <t>bedroeg deze kredietverstrekking ca. Sf 52 mld of ca. 6% van het BBPmp,</t>
  </si>
  <si>
    <t>= Beschikbaar loon-en steuninkomen, jaar t-1</t>
  </si>
  <si>
    <t xml:space="preserve">nodig zijn om groei te bevorderen zoals een arbeidsmarktbeleid, waarbij het aantal landsdienaren </t>
  </si>
  <si>
    <t>ENDOGENE VARIABELEN</t>
  </si>
  <si>
    <t>Investeringen in geraffineerde aardolieproducten</t>
  </si>
  <si>
    <t>Investeringen in goud</t>
  </si>
  <si>
    <t>Investeringen in natuursteen</t>
  </si>
  <si>
    <t>Investeringen in toerisme</t>
  </si>
  <si>
    <t>I.2</t>
  </si>
  <si>
    <t>119.   EKAP</t>
  </si>
  <si>
    <t>Under construction!</t>
  </si>
  <si>
    <t xml:space="preserve">De materiële uitgaven uit schenkingsmiddelen in SRG is gelijk aan de US-dollar waarde, zoals uit de </t>
  </si>
  <si>
    <t>financieringssaldo in % BBP (+=tekort)</t>
  </si>
  <si>
    <t>financieringssaldo in mln SRD (+=tekort)</t>
  </si>
  <si>
    <t>Consumptiebelasting (TKGWN):</t>
  </si>
  <si>
    <t xml:space="preserve">1996 – 2000, waarbij voor 2001 – 2005 geen maatregelen zijn ingevoerd. Het is dus de basis om </t>
  </si>
  <si>
    <t>= Rente van de overheid aan de bedrijven, jaar t-1</t>
  </si>
  <si>
    <t xml:space="preserve">62. VLTSCH </t>
  </si>
  <si>
    <t>Groei ambtenarensalarissen extra</t>
  </si>
  <si>
    <t>Surinaamseprijs Rafinaderij produkten SRD/barrel</t>
  </si>
  <si>
    <t>IB         Kapitaalontvangsten</t>
  </si>
  <si>
    <t>realisaties worden die wel opgenomen uit de Betalingsbalans. Bron: Betalingsbalans CBvS</t>
  </si>
  <si>
    <t>Overheidsconsumptie</t>
  </si>
  <si>
    <t xml:space="preserve">de wisselkoers (PKRSQ/PKRSQ(-1)). De wereldmarktprijs is de prijs die het bedrijf STAATSOLIE </t>
  </si>
  <si>
    <t xml:space="preserve">UNDP enz) voor projecten en programma's (w.o. humanitaire hulp programma's zoals het Sociaal </t>
  </si>
  <si>
    <t>rentevoet USA</t>
  </si>
  <si>
    <t xml:space="preserve">eind van de cursus moeten de trainees in staat zijn om individueel of in groepsverband het volgende te </t>
  </si>
  <si>
    <t>kunnen:</t>
  </si>
  <si>
    <t>gemiddelde groei per jaar 1963-1999</t>
  </si>
  <si>
    <t>kostprijs per ton</t>
  </si>
  <si>
    <t>micro</t>
  </si>
  <si>
    <t>prijs/kostenquote</t>
  </si>
  <si>
    <t>390.3</t>
  </si>
  <si>
    <t>533.4</t>
  </si>
  <si>
    <t>861.6</t>
  </si>
  <si>
    <t xml:space="preserve">2001 waarbij, als gevolg van het steeds toenemend gebrek aan cijfermateriaal, voor deze exercitie </t>
  </si>
  <si>
    <t xml:space="preserve"> GDOBWN+GDOGWN+IOWN+CMOWN-MOWN-DOWN</t>
  </si>
  <si>
    <t xml:space="preserve">(GDOBWN(-1)). De nominale uitgaven worden door de ontwikkeling van het algemeen prijspeil </t>
  </si>
  <si>
    <t>22</t>
  </si>
  <si>
    <t>Bronnen: Flashreport 2001 - 2004, Ministerie van Financien, Afdeling Economische Aangelegenheden</t>
  </si>
  <si>
    <t xml:space="preserve">prijsverlagende subsidies (SUBWN) en lening minus aflossingen (LMAWN). Het middelen overschot </t>
  </si>
  <si>
    <t>ton</t>
  </si>
  <si>
    <t>110.   TKQ</t>
  </si>
  <si>
    <t xml:space="preserve">De VES+ variant kan met enige aanpassing worden uitgebouwd tot de doorrekening van het MOP, </t>
  </si>
  <si>
    <t>w</t>
  </si>
  <si>
    <t xml:space="preserve">2001 – 2005 zijn het gevolg van het niet meenemen van productie en investeringsvoornemens. </t>
  </si>
  <si>
    <t xml:space="preserve">       Pensioengelden (niet gestorte inhoudingen)</t>
  </si>
  <si>
    <t>Invoerprijs Suriname</t>
  </si>
  <si>
    <t>Bruto investeringen van de overheid</t>
  </si>
  <si>
    <t xml:space="preserve"> TKBWN</t>
  </si>
  <si>
    <t xml:space="preserve">kernvariabelen zoals dat weergeven is in de betreffende tabellen genaamd KERNGEGEVENS. </t>
  </si>
  <si>
    <t xml:space="preserve">van renteovermakingen van de overheid (ZOEWN) en de winstovermakingen van de particuliere </t>
  </si>
  <si>
    <t>wood (International Financial Statistics).</t>
  </si>
  <si>
    <t>uitvoer goed.+dienst.door bedr.</t>
  </si>
  <si>
    <t xml:space="preserve">Statisch Profiel Surinaamse Economie </t>
  </si>
  <si>
    <t xml:space="preserve">worden door de goederen voortgebracht door de lokale markt. Import is dus noodzakelijk. Deze </t>
  </si>
  <si>
    <t xml:space="preserve">Het saldo particulier kapitaal uit het buitenland  (KEBWN) is afhankelijk van de bruto investeringen </t>
  </si>
  <si>
    <t xml:space="preserve">Daarnaast is het mogelijk, door de belasting afdrachten en de bruto jaarinkomens te vermenigvuldigen </t>
  </si>
  <si>
    <t>investeringen  overheid</t>
  </si>
  <si>
    <t xml:space="preserve">  Voor de wijze hoe de maatregelen in het model zijn ingevoerd, wordt verwezen naar bijlage I.</t>
  </si>
  <si>
    <t>schuld in mln. Sf. als gevolg van de wisselkoersontwikkeling (PKRSQ/PKRSQ(-1)-1).</t>
  </si>
  <si>
    <t xml:space="preserve">124.   TMWN2 </t>
  </si>
  <si>
    <t>Zeer voorlopig geschatte waarde van deviezentegoeden van ingezetenen in vreemde valuta bij banken in het buitenland</t>
  </si>
  <si>
    <t xml:space="preserve">stand. Verder vindt de vorming van kapitaal (investeringen en vermogen) m.b.t. het Microblok en </t>
  </si>
  <si>
    <t xml:space="preserve">van winstinkomen naar het buitenland als een variabele meegenomen (ZEWN) welke dan de som was </t>
  </si>
  <si>
    <t xml:space="preserve">De Surinaamse prijs van natuursteen  (NATSPN) is afhankelijk van de Surinaamse prijs van het </t>
  </si>
  <si>
    <t>NATWPN</t>
  </si>
  <si>
    <t>TOEWPN</t>
  </si>
  <si>
    <t xml:space="preserve">De loonsom van de overheid (LOWN) wordt bepaald door de loonsom van het vorig jaar gecorrigeerd </t>
  </si>
  <si>
    <t xml:space="preserve"> PKRSQ(-1)</t>
  </si>
  <si>
    <t>Wereldmarktprijs Goud</t>
  </si>
  <si>
    <t xml:space="preserve">arbeidsproductiviteit </t>
  </si>
  <si>
    <t>kostenindices</t>
  </si>
  <si>
    <t>Ontvangsten u.h.v. O.I.A.</t>
  </si>
  <si>
    <t>Werkgelegenheid</t>
  </si>
  <si>
    <t>maatr. Jan 2011</t>
  </si>
  <si>
    <t>ALASPN(-1)</t>
  </si>
  <si>
    <t xml:space="preserve">op basis van deze gegevens een raming worden gemaakt voor het heden, bijvoorbeeld o.b.v. de </t>
  </si>
  <si>
    <t xml:space="preserve"> ABAN(-1)</t>
  </si>
  <si>
    <t>ZBESBWN(-1)    = Beschikbaar winstinkomen in mln. Srg, jaar t-1</t>
  </si>
  <si>
    <t>11. NATSPN= NATSPN(-1)*NATWPN/NATWPN(-1)*PKRSQ/PKRSQ(-1)</t>
  </si>
  <si>
    <t xml:space="preserve">Het saldo op de kapitaalrekening (SDKRWN) is per definitie gelijk aan de kapitaaloverdrachten om </t>
  </si>
  <si>
    <t>Actueel scenario</t>
  </si>
  <si>
    <t xml:space="preserve">Dit macro model is een fusie van de gangbare economische theorie en de unieke Surinaamse situatie. </t>
  </si>
  <si>
    <t xml:space="preserve">veronderstellingen te maken over het aandeel van de winst van grote bedrijven, kan gekeken worden </t>
  </si>
  <si>
    <t>Aflossingen op buitenlandse leningen in mln. USD</t>
  </si>
  <si>
    <t>Interest betalingen op buitenlandse leningen in mln. USD</t>
  </si>
  <si>
    <t>Andere betalingen: commitment en management fees</t>
  </si>
  <si>
    <t>= Wereldmarktprijs natuursteen, jaar t-1</t>
  </si>
  <si>
    <t>Kernindicatoren SBB 2007</t>
  </si>
  <si>
    <t>Herwaardering goud-en deviezenvoorraad.</t>
  </si>
  <si>
    <t xml:space="preserve">Geinvesteerd vermogen door de bedrijven </t>
  </si>
  <si>
    <t xml:space="preserve"> SDBBWN</t>
  </si>
  <si>
    <t>"= IOWNP+IOWNB1+IOWNB2</t>
  </si>
  <si>
    <t>""= IOWNP*PKRSQ</t>
  </si>
  <si>
    <t>SCENARIO-1</t>
  </si>
  <si>
    <t>SCENARIO-4</t>
  </si>
  <si>
    <t>Totale binnenlandse schuld incl. alle overheidsgaranties, niet getrok-</t>
  </si>
  <si>
    <t>Omzetbelasting     (IND.BEL)</t>
  </si>
  <si>
    <t xml:space="preserve">de sectorspecialisten c.q. organisaties en bedrijven actief in de sectoren verzameld te worden. </t>
  </si>
  <si>
    <t>Exogenen bedrijven</t>
  </si>
  <si>
    <t xml:space="preserve"> ,, hoeveelheid in 1000MT</t>
  </si>
  <si>
    <t>1000MT</t>
  </si>
  <si>
    <t xml:space="preserve">percentage wordt bij elke update bekeken op plausibiliteit, zowel voor het betreffend jaar almede het </t>
  </si>
  <si>
    <t xml:space="preserve">een relatief optimale wisselkoers te vinden indien voor een geselecteerd aantal indicatoren, de </t>
  </si>
  <si>
    <t>= Kas-/transverschil overheid in mln. Srg, jaar t</t>
  </si>
  <si>
    <t>onmogelijkheden),</t>
  </si>
  <si>
    <t>Herwaardering buitenlandse staatsschuld</t>
  </si>
  <si>
    <t>OOGWNP</t>
  </si>
  <si>
    <t>KapiItaal uitgaven</t>
  </si>
  <si>
    <t>IOWNP</t>
  </si>
  <si>
    <t>IOWNB1</t>
  </si>
  <si>
    <t>IOWNB2</t>
  </si>
  <si>
    <t>Financiering:</t>
  </si>
  <si>
    <t>MIDWN</t>
  </si>
  <si>
    <t>= Buitenlandse staatsschuld in mln.Srg, jaar t</t>
  </si>
  <si>
    <t>rest</t>
  </si>
  <si>
    <t>deviezenvoorraad    in mln.SRD.</t>
  </si>
  <si>
    <t>saldo kapitaalrekening</t>
  </si>
  <si>
    <t xml:space="preserve">toekomst zijn simulaties toe te passen. Wat gebeurt er als niets wordt veranderd, in de variabelen in het </t>
  </si>
  <si>
    <t xml:space="preserve">het updaten en draaien van het model vergemakkelijkt wordt. Ook het is model, door het onderbrengen </t>
  </si>
  <si>
    <t>INV_MUTWN</t>
  </si>
  <si>
    <t xml:space="preserve">vermogen uit het buitenland in Suriname (indien die positief is ((EKAP(-1)&gt;0), en de rentabiliteit. De </t>
  </si>
  <si>
    <t xml:space="preserve">Bij deze training is gebruik gemaakt van de faciliteiten van de medewerkers zoals die voorkomen op </t>
  </si>
  <si>
    <t>5. het weten hoe de belangrijkste beleidsmaatregelen in te voeren in het model,</t>
  </si>
  <si>
    <t xml:space="preserve">Reële BBP per hoofd </t>
  </si>
  <si>
    <t>berekend door de elementen daarvan te defleren met hun overeenkomstige prijsmutaties. Bron: SPS</t>
  </si>
  <si>
    <t>90. CGVP</t>
  </si>
  <si>
    <t xml:space="preserve">de betalingsbalanssteun. </t>
  </si>
  <si>
    <t>De resultaten:</t>
  </si>
  <si>
    <t xml:space="preserve">Investeringen Overheid </t>
  </si>
  <si>
    <t xml:space="preserve">bevolking, deze is dus te achterhalen. De totale bruto inkomens van overigen kunnen worden berekend </t>
  </si>
  <si>
    <t xml:space="preserve">  het macro model (SURYA MODEL)</t>
  </si>
  <si>
    <t xml:space="preserve">worden premies voor pensioenen door zowel werkgever als werknemer afgedragen. Ook worden </t>
  </si>
  <si>
    <t xml:space="preserve">wereldmarktprijs: BAUXIET INSTITUUT SURINAME. In gevallen waarbij de bovengenoemde prijs </t>
  </si>
  <si>
    <t>De resultaten</t>
  </si>
  <si>
    <t xml:space="preserve">Het model kent een exogene wisselkoers. In eerste instantie zijn de berekeningen uitgevoerd met een </t>
  </si>
  <si>
    <t>II.3</t>
  </si>
  <si>
    <t>II.4</t>
  </si>
  <si>
    <t xml:space="preserve">Suriname, in het bijzonder het analyseren en monitoren van de economische ontwikkelingen in </t>
  </si>
  <si>
    <t>GDOBWN(-1)*(1+CGPP/100)</t>
  </si>
  <si>
    <t xml:space="preserve"> DOGWN(-1)*(1+' CGPP'/100)</t>
  </si>
  <si>
    <t>worden gepresenteerd waarna de verschillende indicatoren besproken zullen worden.</t>
  </si>
  <si>
    <t>Het algemeen overzicht van de economie</t>
  </si>
  <si>
    <t>II.2</t>
  </si>
  <si>
    <t>YWBN</t>
  </si>
  <si>
    <t xml:space="preserve">     Garnalenproductie</t>
  </si>
  <si>
    <t>kg</t>
  </si>
  <si>
    <t>arbeidsplaatsen bedrijven  *1000</t>
  </si>
  <si>
    <t>BOP in US$</t>
  </si>
  <si>
    <t xml:space="preserve">de groei bruto toegevoegde waarde van bedrijven tegen marktprijzen (YBVP). De mutatie in de bruto </t>
  </si>
  <si>
    <t>Mutatie in de volume van de overheidsconsumptie</t>
  </si>
  <si>
    <t xml:space="preserve">? Geen aflossing van buitenlandse schulden (de nieuwe schulden uit het document “Rapport van de </t>
  </si>
  <si>
    <t xml:space="preserve">rentevoet wordt hierdoor beïnvloed, maar komt in het model niet als zodanig tot uitdrukking (zie </t>
  </si>
  <si>
    <t>Kapitaalcoefficient</t>
  </si>
  <si>
    <t>INV_TRIEKN</t>
  </si>
  <si>
    <t>II.1.2</t>
  </si>
  <si>
    <t>Uitvoerwaarde van de belangrijkste exportprodukten</t>
  </si>
  <si>
    <t>geldhoeveelheid in % v/d deviezenvoorr.</t>
  </si>
  <si>
    <t xml:space="preserve">De Surinaamse prijs van aardolie (AOLSPN) is afhankelijk van de Surinaamse prijs van het voorgaand </t>
  </si>
  <si>
    <t>Wereldmarktprijs Hout in m3</t>
  </si>
  <si>
    <t xml:space="preserve">afgewogen geheel van meerdere tegelijkertijd. Hiermee is dan ook aangeven dat er bij een goed </t>
  </si>
  <si>
    <t xml:space="preserve">BOSBOUW; VISSERIJ DIENST. In gevallen waarbij de bovengenoemde prijs niet beschikbaar is, </t>
  </si>
  <si>
    <t>115.   KASTWN</t>
  </si>
  <si>
    <t>15. Verhoging voertuigenbelasting op personenauto’s (2)</t>
  </si>
  <si>
    <t>Brutowinst bauxietsector</t>
  </si>
  <si>
    <t>Surinaamse prijs toerisme</t>
  </si>
  <si>
    <t xml:space="preserve">Surinaamse prijs vis </t>
  </si>
  <si>
    <t>WAM kosten</t>
  </si>
  <si>
    <t>Faciliteiten en organisatie:</t>
  </si>
  <si>
    <t xml:space="preserve">Netto materiële consumptie van de overheid </t>
  </si>
  <si>
    <t xml:space="preserve">mln SRD tenzij aanders aangegeven </t>
  </si>
  <si>
    <t xml:space="preserve">kan de groep overigen worden gesplitst in zelfstandigen, landbouwers, hosselaars. </t>
  </si>
  <si>
    <t>= Bruto toegevoegde waarde van de bedrijven, jaar t-1</t>
  </si>
  <si>
    <t xml:space="preserve">Ministerie van Financiën afd Economische Aangelegenheden, Betalingsbalans CBvS, </t>
  </si>
  <si>
    <t xml:space="preserve">moeilijk te verkrijgen, wel was in het verleden vaak bekend hoeveel personen binnen deze sector </t>
  </si>
  <si>
    <t>Goudprijs in USD per kwartaal</t>
  </si>
  <si>
    <t xml:space="preserve">111.   HVNI1=BWN*0,29/(BPI/100)+0,55* (CMOWN+CGWN)/(CGPI/100) </t>
  </si>
  <si>
    <t>MAMIABC2005,  een update en modernisering van Mamiabc, een spreadsheetversie van Macmic zie 'Een macro model van een micro economie', dr. Marein Van Schaaijk, 1991</t>
  </si>
  <si>
    <t xml:space="preserve">De loonsom uit het buitenland (LEGWN) is nihil verondersteld. Indien wel een waarde in vreemde </t>
  </si>
  <si>
    <t>financieringstekort in % BBP</t>
  </si>
  <si>
    <t xml:space="preserve">De directe belastingdruk (TDGQ) is per definitie gelijk aan de verhouding tussen de directe belastingen </t>
  </si>
  <si>
    <t xml:space="preserve">= Loonsom van de bedrijven, jaar t                      </t>
  </si>
  <si>
    <t xml:space="preserve"> LOWN</t>
  </si>
  <si>
    <t>Exportvolume Goud in Troy-ounce</t>
  </si>
  <si>
    <t>Norm maximum tekort 2.5% BBP</t>
  </si>
  <si>
    <t>de overheid, totaal netto inkomen.</t>
  </si>
  <si>
    <t>GOUD</t>
  </si>
  <si>
    <t>= Hulpvariabele vraag naar arbeid, jaar t-1</t>
  </si>
  <si>
    <t>II. Op de buitenlandse schuld (ZOEWN):</t>
  </si>
  <si>
    <t xml:space="preserve">door binnenlandse leningen. Die bestedingen zijn over het algemeen de reguliere. Zie ook OOGWN en </t>
  </si>
  <si>
    <t xml:space="preserve">Economisten in Suriname (VES) en, voor zover kwantificeerbaar, draaien daarvan (herstel </t>
  </si>
  <si>
    <t>scenario),</t>
  </si>
  <si>
    <t>Exogenen overheid</t>
  </si>
  <si>
    <t>HSOEWN</t>
  </si>
  <si>
    <t xml:space="preserve">met de mutatie van het aantal ambtenaren (AOAN). Indien m.b.t. de projecties loonsverhogingen in het </t>
  </si>
  <si>
    <t xml:space="preserve">De Surinaamse prijs van rijst  (RIJSPN) is afhankelijk van de Surinaamse prijs van het voorgaand jaar </t>
  </si>
  <si>
    <t>HVNA2(-1)</t>
  </si>
  <si>
    <t xml:space="preserve">bevolking 16/64           </t>
  </si>
  <si>
    <t xml:space="preserve">Kapitaal </t>
  </si>
  <si>
    <t xml:space="preserve">Schenkingen </t>
  </si>
  <si>
    <t>hoe de schulden zijn ontstaan. Het verband met de bestedingen is vooralsnog moeilijk te leggen).</t>
  </si>
  <si>
    <t>Verwachte resultaten</t>
  </si>
  <si>
    <t>= Surinaamse prijs garnalen, jaar t-1</t>
  </si>
  <si>
    <t xml:space="preserve">De aantallen voor de andere groepen komen niet uit het Suryamodel en zullen op een ander manier </t>
  </si>
  <si>
    <t xml:space="preserve">ontvangt voor alle verwerkte geëxporteerde aardolieproducten. Bron van de wereldmarktprijs: </t>
  </si>
  <si>
    <t xml:space="preserve">De bedoeling van deze paragraaf is een korte overzicht te geven van de belangrijkste karakteristieken </t>
  </si>
  <si>
    <t xml:space="preserve">de betalingsbalans zoals die per definitie bepaald is, en het werkelijk tekort. Dit cijfer kan veranderen </t>
  </si>
  <si>
    <t>117.   GOUWN</t>
  </si>
  <si>
    <t xml:space="preserve">Omschrijving: Uitgangspunt is het jaar 2000. Op basis van gegevens over de aantallen binnen </t>
  </si>
  <si>
    <t>Kapitaal uitgaven</t>
  </si>
  <si>
    <t>Saldo partikulier kapitaal uit het buitenland (KEBWN_OFF)</t>
  </si>
  <si>
    <t>Kortlopend overheidslening (KEOWN)</t>
  </si>
  <si>
    <t xml:space="preserve">De bespreking van de modelvergelijkingen zal geschieden overeenkomstig de nieuwe indeling zoals die </t>
  </si>
  <si>
    <t>= Wisselkoers SRG/USD, jaar t-1</t>
  </si>
  <si>
    <t>5. het documenteren van ongewijzigd beleid.</t>
  </si>
  <si>
    <t>in % mutaties</t>
  </si>
  <si>
    <t>KERNGEGEVENS</t>
  </si>
  <si>
    <t>Wereldmarktprijs Bacoven in ton</t>
  </si>
  <si>
    <t>? saldi van de overheidsbegroting (regels 165 t/m 167)</t>
  </si>
  <si>
    <t>2002
in SRG.
Miljoen</t>
  </si>
  <si>
    <t>2003
in SRG.
Miljoen</t>
  </si>
  <si>
    <t>2004
in SRD.
Miljoen</t>
  </si>
  <si>
    <t xml:space="preserve">de volgende jaren uit het Surya model. Voor de andere groepen zullen veronderstellingen moeten </t>
  </si>
  <si>
    <t>invoer uit Mimadas7sept02.XLS</t>
  </si>
  <si>
    <t>jaar</t>
  </si>
  <si>
    <t xml:space="preserve">buitenland van het actueel jaar (KEOWN) vermindert met de netto ontwikkelingsleningen (MIDWN) </t>
  </si>
  <si>
    <t>Gewogen invoerprijsmutatie Suriname in SRD</t>
  </si>
  <si>
    <t>II.7.2</t>
  </si>
  <si>
    <t>Inflow Stabilization Fund</t>
  </si>
  <si>
    <t>Surplus Government Budget (on Cash base)</t>
  </si>
  <si>
    <t>Net Development loans</t>
  </si>
  <si>
    <t>Net Foreign Development loans of the Government</t>
  </si>
  <si>
    <t>unit wage costs index</t>
  </si>
  <si>
    <t>export price index</t>
  </si>
  <si>
    <t>bevolking totaal gem van hoge en lage variany</t>
  </si>
  <si>
    <t>*1001</t>
  </si>
  <si>
    <t>ABS Bevolingsprojecties 2012-2032, SIC no 305, juni 2014</t>
  </si>
  <si>
    <t>bevolking 16/65 gemiddelde van hoge en lage variant</t>
  </si>
  <si>
    <t>*1002</t>
  </si>
  <si>
    <t>ABS Bevolingsprojecties 2012-2032, SIC no 305, juni 2015</t>
  </si>
  <si>
    <t xml:space="preserve">door te kijken naar de totale winsten behaald binnen de totale economie. Door daarna </t>
  </si>
  <si>
    <t xml:space="preserve">bestedingen beheersbaarder te maken en de foutmarge te verkleinen. CMOWNP, CMOWNB1 en </t>
  </si>
  <si>
    <t xml:space="preserve">handel een even groot deel voor haar rekening nam. De overheid is de grootste werkgever die aan ca. </t>
  </si>
  <si>
    <t>? De subsidies en de materiële uitgaven blijven reëel constant.</t>
  </si>
  <si>
    <t>BACEDN(-1) X BACSPN</t>
  </si>
  <si>
    <t xml:space="preserve">hoofdstuk “De VES+ variant”. Bron: Ministerie van Financiën, afd Economische Aangelegenheden, </t>
  </si>
  <si>
    <t>Centrale Betaaldienst.</t>
  </si>
  <si>
    <t>48. LMAWN</t>
  </si>
  <si>
    <t>TRIEKN(-1) X TRISPN</t>
  </si>
  <si>
    <t>Buitenlandse schuld naar crediteur</t>
  </si>
  <si>
    <r>
      <t>Totale Buitenlandse schuld in mln. USD -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internationale def.</t>
    </r>
  </si>
  <si>
    <t>Central Government external Debt</t>
  </si>
  <si>
    <t>Central Government local Debt</t>
  </si>
  <si>
    <t>Government Local Debt, excl….</t>
  </si>
  <si>
    <t>Total Government Debt</t>
  </si>
  <si>
    <t>Valuation changes government Debt</t>
  </si>
  <si>
    <t>????????</t>
  </si>
  <si>
    <t>Wages of enterprises</t>
  </si>
  <si>
    <t>value of consumption of households</t>
  </si>
  <si>
    <t>Consumer price (change)</t>
  </si>
  <si>
    <t>Investment price (change)</t>
  </si>
  <si>
    <t>helpvariable import demand</t>
  </si>
  <si>
    <t xml:space="preserve">helpvariable import </t>
  </si>
  <si>
    <t>Helpvariable consumption households</t>
  </si>
  <si>
    <t>consumption quote</t>
  </si>
  <si>
    <t>price changes</t>
  </si>
  <si>
    <t>Export price (change)</t>
  </si>
  <si>
    <t>Import price (change)</t>
  </si>
  <si>
    <t>International inflation (excl oil in SRD)</t>
  </si>
  <si>
    <t>Weighted import price (change) in USD</t>
  </si>
  <si>
    <t>International inflation (excl oil in USD)</t>
  </si>
  <si>
    <t>Direct Tax burden</t>
  </si>
  <si>
    <t>Indirect Tax burden</t>
  </si>
  <si>
    <t>Direct wage tax burden</t>
  </si>
  <si>
    <t>Tax burden of domestc private sector</t>
  </si>
  <si>
    <t>burden of taxation</t>
  </si>
  <si>
    <t>Percentage change of labour costs</t>
  </si>
  <si>
    <t>Percentage change of the average labour costs private sector</t>
  </si>
  <si>
    <t>Percentage change of the average labour costs government sector</t>
  </si>
  <si>
    <t>HOUSEHOLDS</t>
  </si>
  <si>
    <t>volume changes</t>
  </si>
  <si>
    <t>Broad Money/monetary supply</t>
  </si>
  <si>
    <t>Change in primary &amp; secondary liquid money</t>
  </si>
  <si>
    <t>Liquid from abraod</t>
  </si>
  <si>
    <t xml:space="preserve">vrije som, kan belasting worden geheven. Dit gebeurt volgens verschillende schijven. Overigens wordt </t>
  </si>
  <si>
    <t xml:space="preserve">gevallen waarbij de bovengenoemde prijs niet beschikbaar is, wordt gewerkt met de prijs voor ply </t>
  </si>
  <si>
    <t>2. Afvloeiing van spookambtenaren (1)</t>
  </si>
  <si>
    <t>3. Reactivering Personeelsstop (O)</t>
  </si>
  <si>
    <t>4. Ontwikkeling binnenlandse geld- en kapitaalmarkt (3)</t>
  </si>
  <si>
    <t>Externe sector</t>
  </si>
  <si>
    <t>BETALINGSBALANS</t>
  </si>
  <si>
    <t xml:space="preserve">= MOWN-GDOBWN-GDOGWN-IOWN+GDBOWN+DOWN+LOWN+ </t>
  </si>
  <si>
    <t>94. BMVP</t>
  </si>
  <si>
    <t xml:space="preserve">economie met 1 procentpunt t.o.v. Ongewijzigd Beleid. Dat is ook te verwachten in het jaar van </t>
  </si>
  <si>
    <t xml:space="preserve">te vinden is in bijvoorbeeld in de spreadsheet file BASELINE_IMF. Voor de oriëntatie op deze </t>
  </si>
  <si>
    <t xml:space="preserve">? de gevolgde procedures bij het updaten van de waarden in het model (op te nemen in het </t>
  </si>
  <si>
    <t xml:space="preserve">Overheidsinvesteringen uit begroting </t>
  </si>
  <si>
    <t>Trekkingen op buitenlandse leningen in mln. USD</t>
  </si>
  <si>
    <t>Schuldenlast betalingen</t>
  </si>
  <si>
    <t>CBvS/FIN</t>
  </si>
  <si>
    <t xml:space="preserve">Het “updaten” omvatte het verwerken van de reeds bekende (realisatie) cijfers voor de jaren 1996 t/m </t>
  </si>
  <si>
    <t>107.   MPI</t>
  </si>
  <si>
    <t>Balans Primaire Inkomens</t>
  </si>
  <si>
    <t xml:space="preserve">  Uit het Rapport van de Commissie Inventarisatie Staatsschuld blijkt dat zowel de binnen- als </t>
  </si>
  <si>
    <t xml:space="preserve">(IOWN) Naderhand zal deze vergelijking worden aangepast voor de meer exogene delen in de import </t>
  </si>
  <si>
    <t xml:space="preserve">? Het prijsniveau bedraagt in 2001 iets meer dan 50%, maar daalt daarna tot ca 2,5%. Bij </t>
  </si>
  <si>
    <t>Ongewijzigd Beleid is er sprake van aanhoudende prijsstijging.</t>
  </si>
  <si>
    <t>BVWN</t>
  </si>
  <si>
    <t>YBVP</t>
  </si>
  <si>
    <t>IBVP</t>
  </si>
  <si>
    <t>IPP</t>
  </si>
  <si>
    <t>HPEPWP</t>
  </si>
  <si>
    <t>LBABPP</t>
  </si>
  <si>
    <t>indices</t>
  </si>
  <si>
    <t>BPI</t>
  </si>
  <si>
    <t>IPI</t>
  </si>
  <si>
    <t>HPEPWI</t>
  </si>
  <si>
    <t>LBESBWN</t>
  </si>
  <si>
    <t>CGVP</t>
  </si>
  <si>
    <t>CGPP</t>
  </si>
  <si>
    <t>CGPI</t>
  </si>
  <si>
    <t>= Groei bruto toegevoegde waarde van bedrijven tegen marktprijzen, jaar t</t>
  </si>
  <si>
    <t xml:space="preserve">Uit: Onderzoek naar Bedrijfsomgevingsfactoren waaronder kostprijsontwikkelingen in de rijstsector in 1999-2000, </t>
  </si>
  <si>
    <t>'=macmicdata!275</t>
  </si>
  <si>
    <t xml:space="preserve">3. een drietal varianten gebaseerd op de beleidsvoornemens zoals o.a. geformuleerd door de </t>
  </si>
  <si>
    <t>= Rente van de overheid aan het binnenland, jaar t</t>
  </si>
  <si>
    <t>Netto particuliere leningen van de overheid uit het binnenland</t>
  </si>
  <si>
    <t xml:space="preserve">realisaties zijn ingevuld, CGWN en PKRSQ zodanig worden aangepast dat die aansluiten bij de </t>
  </si>
  <si>
    <t>BACSPN(-1)</t>
  </si>
  <si>
    <t>AOLSPN(-1)</t>
  </si>
  <si>
    <t xml:space="preserve">            Monetary authorities </t>
  </si>
  <si>
    <t xml:space="preserve">            Banken </t>
  </si>
  <si>
    <t xml:space="preserve">            Overige sectoren </t>
  </si>
  <si>
    <t xml:space="preserve">     5. Overige financieel verkeer: passiva </t>
  </si>
  <si>
    <t xml:space="preserve">           Monetaire autoriteiten </t>
  </si>
  <si>
    <t xml:space="preserve">           Centrale overheid </t>
  </si>
  <si>
    <t xml:space="preserve">           Banken </t>
  </si>
  <si>
    <t xml:space="preserve">           Overige sectoren </t>
  </si>
  <si>
    <t xml:space="preserve">  Totaal, Groep A tot en met Groep C </t>
  </si>
  <si>
    <t>IINFLS</t>
  </si>
  <si>
    <t>IINFL$</t>
  </si>
  <si>
    <t>TSTABF</t>
  </si>
  <si>
    <t>HOSS</t>
  </si>
  <si>
    <t>ECONA</t>
  </si>
  <si>
    <t>WTRFWAU</t>
  </si>
  <si>
    <t>KSTINDBAU</t>
  </si>
  <si>
    <t>BAUWERK</t>
  </si>
  <si>
    <t>GOUEDNXGOUSPN</t>
  </si>
  <si>
    <t>WTRFGOU</t>
  </si>
  <si>
    <t>STVZBEWN</t>
  </si>
  <si>
    <t>TDBWWN</t>
  </si>
  <si>
    <t>GMPPUSD</t>
  </si>
  <si>
    <r>
      <t>EXPVOL</t>
    </r>
    <r>
      <rPr>
        <sz val="8"/>
        <rFont val="Times New Roman"/>
        <family val="1"/>
      </rPr>
      <t>(t-1)</t>
    </r>
    <r>
      <rPr>
        <sz val="12"/>
        <rFont val="Times New Roman"/>
        <family val="1"/>
      </rPr>
      <t>XEXPPR</t>
    </r>
    <r>
      <rPr>
        <sz val="8"/>
        <rFont val="Times New Roman"/>
        <family val="1"/>
      </rPr>
      <t>(t</t>
    </r>
    <r>
      <rPr>
        <sz val="12"/>
        <rFont val="Times New Roman"/>
        <family val="1"/>
      </rPr>
      <t>)</t>
    </r>
  </si>
  <si>
    <t>OVBAL</t>
  </si>
  <si>
    <t>LIQCOVH</t>
  </si>
  <si>
    <t>KREDBRIV</t>
  </si>
  <si>
    <t>LIQCBUI</t>
  </si>
  <si>
    <t>Componenten BBP conform data Surya</t>
  </si>
  <si>
    <t>Tabel A</t>
  </si>
  <si>
    <t>Tabel B</t>
  </si>
  <si>
    <t>Groeipercentages behorende bij tabel B</t>
  </si>
  <si>
    <t>Groeipercentages behorende bij tabel A</t>
  </si>
  <si>
    <t>? Tekorten op de begroting worden opgevangen middels kredietverstrekking van de Centrale Bank.</t>
  </si>
  <si>
    <t xml:space="preserve">Dwarkasing, drs. Saskia Wallerlei en drs Shakita Kisoensingh. </t>
  </si>
  <si>
    <t>= Netto particuliere leningen aan de overheid uit het buitenland, jaar t</t>
  </si>
  <si>
    <t xml:space="preserve">3. Saldo inkomensrekening </t>
  </si>
  <si>
    <t xml:space="preserve">      1. Directe investeringen </t>
  </si>
  <si>
    <t xml:space="preserve">              Directe investeringen in het buitenland</t>
  </si>
  <si>
    <t xml:space="preserve">              Aandelen</t>
  </si>
  <si>
    <t>Omzetbelasting (totaal)</t>
  </si>
  <si>
    <t xml:space="preserve">eerste instantie voor het jaar 2000, maar daarna is het de bedoeling om dit gedeelte ook dynamisch te </t>
  </si>
  <si>
    <t xml:space="preserve">De kleinschaligheid komt tot uitdrukking in de omvang van de bevolking (kleine binnenlandse markt) </t>
  </si>
  <si>
    <t xml:space="preserve">3. Een bruto-netto berekening voor ieder van de circa dertig onderscheiden categorieën plus </t>
  </si>
  <si>
    <t xml:space="preserve">doorberekening met aantallen naar: totale bruto inkomens, opbrengst belastingen en premies voor </t>
  </si>
  <si>
    <t xml:space="preserve">De binnenlandse staatsschuld exclusief de geconsolideerde vlottende staatsschuld (SOBWN1) is gelijk </t>
  </si>
  <si>
    <t xml:space="preserve">of de overheid moet mee willen betalen.  </t>
  </si>
  <si>
    <t>= Arbeidsplaatsen bij de overheid * 1000, jaar t-1</t>
  </si>
  <si>
    <t>5. De armoede module</t>
  </si>
  <si>
    <t>Direkte Belastingen (Centrale Bank van Suriname)</t>
  </si>
  <si>
    <t>Direkte Belastingen bedrijven (TDBWN):</t>
  </si>
  <si>
    <t>2. het model kunnen updaten m.b.t. de start- en exogene waarden,</t>
  </si>
  <si>
    <t xml:space="preserve">vaststelling van de verantwoordelijkheid voor de budgetbewaking en de tegenmaatregelen in geval </t>
  </si>
  <si>
    <t>van overschrijdingen (2)</t>
  </si>
  <si>
    <t>= Directe belastingen van de gezinnen aan de overheid, jaar t</t>
  </si>
  <si>
    <t xml:space="preserve">? een tekort op de Lopende Rekening van de Betalingsbalans van ca. $148 mln, waarvan ca. $74 mln </t>
  </si>
  <si>
    <t>op de Handels- en Dienstenbalans,</t>
  </si>
  <si>
    <t>CMOWNP</t>
  </si>
  <si>
    <t>CMOWNB1</t>
  </si>
  <si>
    <t xml:space="preserve">Procentuele mutatie in het gemiddeld loon de bedrijven </t>
  </si>
  <si>
    <t>II.10.3</t>
  </si>
  <si>
    <t>loonkosten p.e.p.index</t>
  </si>
  <si>
    <t xml:space="preserve">   balansgrootheden</t>
  </si>
  <si>
    <t>others</t>
  </si>
  <si>
    <t>Total</t>
  </si>
  <si>
    <t>invoerwaarde olie in US$</t>
  </si>
  <si>
    <t xml:space="preserve">financieringstekort zoals die per definitie bepaald is, en het werkelijk tekort. Dit cijfer kan veranderen </t>
  </si>
  <si>
    <t>* 1000</t>
  </si>
  <si>
    <t>Staatsschuld aan het eind v.h jaar</t>
  </si>
  <si>
    <t xml:space="preserve">wereldmarktprijs: Centrale Bank van Suriname. In gevallen waarbij de bovengenoemde prijs niet </t>
  </si>
  <si>
    <t>Exportvolume natuursteen in kubieke meter</t>
  </si>
  <si>
    <t xml:space="preserve">De omvang van de bevolking (BEVAN) is gelijk aan de bestaande omvang van de bevolking </t>
  </si>
  <si>
    <t xml:space="preserve">trainingsprogramma volgens plan af te werken. In verband hiermee is zoals gepland niet in december </t>
  </si>
  <si>
    <t>5 t/m 17) en de Surinaamse prijs (regels 84 t/m 96).</t>
  </si>
  <si>
    <t xml:space="preserve"> MPI(-1)*(1+MPP/100)</t>
  </si>
  <si>
    <t>GDOBWN</t>
  </si>
  <si>
    <t>GDOGWN</t>
  </si>
  <si>
    <t>ZBOWN</t>
  </si>
  <si>
    <t>OGOWN</t>
  </si>
  <si>
    <t>Lonen en salarissen</t>
  </si>
  <si>
    <t>LOWN</t>
  </si>
  <si>
    <t>CMOWN</t>
  </si>
  <si>
    <t>Verbruiksbel. Motorbrandstof</t>
  </si>
  <si>
    <t>Omzetbelasting *</t>
  </si>
  <si>
    <t>Tabel IA2</t>
  </si>
  <si>
    <r>
      <t xml:space="preserve">Entreporecht </t>
    </r>
    <r>
      <rPr>
        <i/>
        <sz val="10"/>
        <rFont val="Arial"/>
        <family val="2"/>
      </rPr>
      <t>(NBO)</t>
    </r>
  </si>
  <si>
    <t>,, hoeveelheid in1000MT</t>
  </si>
  <si>
    <t>rijst exportwaarde in mln.SRD</t>
  </si>
  <si>
    <t>RIJEWN</t>
  </si>
  <si>
    <t>,, 1000MT</t>
  </si>
  <si>
    <t>bacoven en bananen export mln.SRD</t>
  </si>
  <si>
    <t xml:space="preserve">herwaardering van de goud- en deviezenvoorraad (GOUWN). De realisaties zijn in lijn gebracht met de </t>
  </si>
  <si>
    <t xml:space="preserve">? de wijze van operationalisering van de respectieve beleidsmaatregelen in het model (zie </t>
  </si>
  <si>
    <t>101.   HPEPWP= ((LBWN/LBWN(-1))/(1+YBVP/100)-1)*100</t>
  </si>
  <si>
    <t xml:space="preserve">De werkloosheid (WWQN) wordt bepaald door de reeds bestaande werklozen (WWON(-1)) </t>
  </si>
  <si>
    <t>bedacht, te behouden.</t>
  </si>
  <si>
    <t>-1))</t>
  </si>
  <si>
    <t>= Aantal arbeidsplaatsen bij de bedrijven * 1000, jaar t-1</t>
  </si>
  <si>
    <t xml:space="preserve">De natuurlijke aanwas van de bevolking tussen 16 en 64 jaar (B1664P) is exogeen en </t>
  </si>
  <si>
    <t>Staatsschuld in % BBP</t>
  </si>
  <si>
    <t xml:space="preserve">de cellen 3. Indien deze inkomens lager zijn dan de grens leest het de aantallen uit de cellen 4 af en telt </t>
  </si>
  <si>
    <t xml:space="preserve">voorgerekend voor elk van de in het tweede onderdeel, in het gearceerde gebied van tabel 1, gevonden </t>
  </si>
  <si>
    <t xml:space="preserve">tegelijkertijd een consistent geheel van economische indicatoren aan, die gebruikt kunnen worden om </t>
  </si>
  <si>
    <t>Groei goudexport</t>
  </si>
  <si>
    <t xml:space="preserve">het afronden van zijn doctoraal studie in de economie aan de Vrije Universiteit van Amsterdam. Hij </t>
  </si>
  <si>
    <t xml:space="preserve">De afschrijvingen van bedrijven (DBWN) zijn gesteld op 9% (0.09) van het geïnvesteerd vermogen </t>
  </si>
  <si>
    <t>AOV</t>
  </si>
  <si>
    <t>Loterijbelasting</t>
  </si>
  <si>
    <t>Casinobelasting</t>
  </si>
  <si>
    <t>bruto toegev.waarde bedr.(vol.)</t>
  </si>
  <si>
    <t xml:space="preserve">tien jaar geleden dezelfde ontwikkeling als Suriname doormaakte. Wel moet er  op gelet worden op </t>
  </si>
  <si>
    <t>Toename in de geldhoeveelheid</t>
  </si>
  <si>
    <t xml:space="preserve">Veronderstelt wordt dat de netto particuliere leningen t.b.v. de overheid uit het binnenland nihil zijn, </t>
  </si>
  <si>
    <t>Nettoverandering in de Monetaire Reserve</t>
  </si>
  <si>
    <t>Belasting op de gezinsconsumptie</t>
  </si>
  <si>
    <t xml:space="preserve"> IBMWN</t>
  </si>
  <si>
    <t>netto prijs/kosten index rijst</t>
  </si>
  <si>
    <t>Overheidsinvesteringen uit schenkingen</t>
  </si>
  <si>
    <t>= Inkomensoverdrachten om niet van gezinnen aan de overheid, jaar t-1</t>
  </si>
  <si>
    <t xml:space="preserve"> LBWN</t>
  </si>
  <si>
    <t>Procentuele mutatie in het gemiddeld loon van de bedrijven</t>
  </si>
  <si>
    <t xml:space="preserve">De kapitaaloverdrachten om niet van de gezinnen aan de overheid (KNGOWN) waaronder de </t>
  </si>
  <si>
    <t xml:space="preserve">De subsidies nemen nominaal niet toe. Het is ook mogelijk de subsidies reëel constant te houden door </t>
  </si>
  <si>
    <t xml:space="preserve">mag worden verwacht. </t>
  </si>
  <si>
    <t xml:space="preserve">door de mutatie in de loonsom van de bedrijven (LBWN/LBWN(-1))  te delen door de procentuele </t>
  </si>
  <si>
    <t xml:space="preserve">invoering van de maatregelen zijn de volgende resultaten verkregen. Eerst zullen de kerngegevens </t>
  </si>
  <si>
    <t xml:space="preserve">toegevoegde waarde van het vorig jaar verminderd met 1. De reële bruto toegevoegde waarde wordt </t>
  </si>
  <si>
    <t xml:space="preserve">SURITAX, een module die o.b.v. enkele outputresultaten van het SURYA MODEL de </t>
  </si>
  <si>
    <t>Prijsverlagende subsidies</t>
  </si>
  <si>
    <t>Beschikbaar loon- en steuninkomen</t>
  </si>
  <si>
    <t>idem, bron IMF</t>
  </si>
  <si>
    <t>invoer minerale producten in mln SRD</t>
  </si>
  <si>
    <t xml:space="preserve">5. Kapitaaltransacties: de financiering van investeringen uit besparingen en afschrijvingen t.b.v. de </t>
  </si>
  <si>
    <t>Goederen en diensten van de overheid aan de bedrijven</t>
  </si>
  <si>
    <t>GAREDN(-1) X GARSPN</t>
  </si>
  <si>
    <t>Werk.Ontv. Vlgs de CBvS</t>
  </si>
  <si>
    <t>Inkomstenbelasting:</t>
  </si>
  <si>
    <t xml:space="preserve"> 0.1*CMOWN+0.2*IOWN</t>
  </si>
  <si>
    <t>VISWPN(-1)</t>
  </si>
  <si>
    <t>CGWN(-1)</t>
  </si>
  <si>
    <t>CGWN(-2)</t>
  </si>
  <si>
    <t xml:space="preserve">bedrijven, AOV’ers, werklozen, overigen. En binnen iedere groep zijn enkele categorieën met een </t>
  </si>
  <si>
    <t>Alumina</t>
  </si>
  <si>
    <t>Crude oil</t>
  </si>
  <si>
    <t>Petroleum</t>
  </si>
  <si>
    <t>Sugar</t>
  </si>
  <si>
    <t>Gold</t>
  </si>
  <si>
    <t>(Natural) stone</t>
  </si>
  <si>
    <t>Rice</t>
  </si>
  <si>
    <t>Banana</t>
  </si>
  <si>
    <t>Shrimps</t>
  </si>
  <si>
    <t>Fish</t>
  </si>
  <si>
    <t>Timber</t>
  </si>
  <si>
    <t>Plywood</t>
  </si>
  <si>
    <t>Tourism</t>
  </si>
  <si>
    <t>New products</t>
  </si>
  <si>
    <t>Exportprices in mln US$</t>
  </si>
  <si>
    <t>MICROBLOCK</t>
  </si>
  <si>
    <t>Surinamese price in SRD</t>
  </si>
  <si>
    <t>OTHER CALCULATIONS (in MLN SRD)</t>
  </si>
  <si>
    <t>Microblock (BMWN, BMVP &amp; BPP)</t>
  </si>
  <si>
    <t>Total exportvalue microblock</t>
  </si>
  <si>
    <t>netto particuliere leningen van de overheid uit het buitenland.</t>
  </si>
  <si>
    <t>II.7.3</t>
  </si>
  <si>
    <t>PARTICULIERE SECTOR</t>
  </si>
  <si>
    <t>MONETAIRE SECTOR</t>
  </si>
  <si>
    <t>Balance of capital account</t>
  </si>
  <si>
    <t>Causes of changes in the broad money</t>
  </si>
  <si>
    <t xml:space="preserve">Cash /accruel discrepancy monetarry </t>
  </si>
  <si>
    <t>Statistical discrepancy Broad money</t>
  </si>
  <si>
    <t>Alteration foreign stock in USD</t>
  </si>
  <si>
    <t>Depreciation of the Government</t>
  </si>
  <si>
    <t>Net private loans from abraod</t>
  </si>
  <si>
    <t>Wage bill to abroad</t>
  </si>
  <si>
    <t>Rest income from abroad to enterprises</t>
  </si>
  <si>
    <t xml:space="preserve">Rest income to abroad </t>
  </si>
  <si>
    <t>Average lending rate</t>
  </si>
  <si>
    <t>Net Private loans of the Government from abroad</t>
  </si>
  <si>
    <t>Net Development loans of the Government from abroad</t>
  </si>
  <si>
    <t>Balance</t>
  </si>
  <si>
    <t xml:space="preserve">Valuation changes </t>
  </si>
  <si>
    <t>Balance BoP</t>
  </si>
  <si>
    <t>Export of Goods &amp; Services by companies</t>
  </si>
  <si>
    <t>Transfers from abroad to households</t>
  </si>
  <si>
    <t>Import of Goods &amp; Services by enterprises</t>
  </si>
  <si>
    <t>Import of Goods &amp; Services by households</t>
  </si>
  <si>
    <t>Wagesbill from abroad</t>
  </si>
  <si>
    <t>Transfers to abroad from households</t>
  </si>
  <si>
    <t>of which Wages taxes</t>
  </si>
  <si>
    <t>from which Profit taxes of the bauxitesector</t>
  </si>
  <si>
    <t>Importduties</t>
  </si>
  <si>
    <t>Tax on imports</t>
  </si>
  <si>
    <t>Tax on production</t>
  </si>
  <si>
    <t>Tax on important export products</t>
  </si>
  <si>
    <t>Tax on consumption households</t>
  </si>
  <si>
    <t>Enterprises &amp; property income</t>
  </si>
  <si>
    <t>Administative fees &amp; incidental</t>
  </si>
  <si>
    <t>Other nontax revenues</t>
  </si>
  <si>
    <t>Transfers to the government</t>
  </si>
  <si>
    <t>Expenditures</t>
  </si>
  <si>
    <t>Wages and salaries Government</t>
  </si>
  <si>
    <t>Goods and services from grants (current)</t>
  </si>
  <si>
    <t>Transfersto other levels of government, households, etc.</t>
  </si>
  <si>
    <t>loans excl amortization</t>
  </si>
  <si>
    <t>Transfers of the government to abroad</t>
  </si>
  <si>
    <t>Capital expenditures</t>
  </si>
  <si>
    <t>Subsidies on prices</t>
  </si>
  <si>
    <t>Gros investments of government</t>
  </si>
  <si>
    <t>Interest from government to enerprises</t>
  </si>
  <si>
    <t>= Financieringstekort van de overheid in mln. Srg, jaar t</t>
  </si>
  <si>
    <t xml:space="preserve">  de armoede module (POVERTY MODULE)</t>
  </si>
  <si>
    <t>= Invoer van goederen en diensten door de bedrijven, jaar t</t>
  </si>
  <si>
    <t xml:space="preserve"> MOWN</t>
  </si>
  <si>
    <t xml:space="preserve"> MGWN</t>
  </si>
  <si>
    <t xml:space="preserve">geconsumeerd wordt uit de respectieve inkomens. Bij het aanpassen van de realisaties van de economie </t>
  </si>
  <si>
    <t xml:space="preserve">van de overheid. Er is geen speciale variabele gecreëerd die verwijst naar bestedingen gefinancierd </t>
  </si>
  <si>
    <t xml:space="preserve">gebruikt (KNEOWN) en niet die opgenomen op de Betalingsbalans van CBvS (KNEOWNC). </t>
  </si>
  <si>
    <t xml:space="preserve">voor veranderingen in het aantal ambtenaren (AOAN/AOAN(-1). Voor de aanpassing van deze </t>
  </si>
  <si>
    <t xml:space="preserve">gezinnen (TDGWN) en de som van het beschikbaar winstinkomen (ZBESBWN) en het beschikbaar </t>
  </si>
  <si>
    <t>34. KNGOWN</t>
  </si>
  <si>
    <t xml:space="preserve">De directe belastingen van gezinnen is de som van de inkomstenbelasting op natuurlijke personen, de </t>
  </si>
  <si>
    <t xml:space="preserve">rentabiliteit wordt bepaald door de verhouding tussen het beschikbaar winstinkomen (ZBESBWN(-1)) </t>
  </si>
  <si>
    <t xml:space="preserve">Na de aanpassing van het model zijn voor de periode 2001 – 2005, verschillende scenarios gedraaid, </t>
  </si>
  <si>
    <t>De tekortkomingen</t>
  </si>
  <si>
    <t xml:space="preserve">Uit de beschrijving van de economie en het model valt op dat er een aantal tekortkomingen zijn waar te </t>
  </si>
  <si>
    <t>nemen.</t>
  </si>
  <si>
    <t>3. Povertymodule</t>
  </si>
  <si>
    <t>Dit onderzoek bouwt voort op:</t>
  </si>
  <si>
    <t>Drs Imro San A Jong</t>
  </si>
  <si>
    <t>Drs Lilian Menke-Tangali</t>
  </si>
  <si>
    <t>Kapitaaloverdrachten om niet van het buitenland aan de overheid</t>
  </si>
  <si>
    <t>bauxiet</t>
  </si>
  <si>
    <t>Inkomst.belasting (goud)</t>
  </si>
  <si>
    <t>SubtotI</t>
  </si>
  <si>
    <t>10. gerealiseerde exogene waarden in US-dollars opgedeeld naar:</t>
  </si>
  <si>
    <t>Mutatie in de volume van de investeringen van de overheid</t>
  </si>
  <si>
    <t xml:space="preserve">1)) vermeerdert met de toename van de geldhoeveelheid (LIQWD). Er zijn geen aanpassingen gemaakt </t>
  </si>
  <si>
    <t xml:space="preserve">De Surinaamse prijs van vis  (VISSPN) is afhankelijk van de Surinaamse prijs van het voorgaand jaar </t>
  </si>
  <si>
    <t xml:space="preserve">veronderstellingen. Bijvoorbeeld, dat het belastingtarief niet verandert. Voor pensioenpremies geldt </t>
  </si>
  <si>
    <t xml:space="preserve">successie- en overgangsrechten, worden nominaal constant verondersteld Voorheen werd deze post </t>
  </si>
  <si>
    <t xml:space="preserve">                     </t>
  </si>
  <si>
    <t>Cambior maandcijfer</t>
  </si>
  <si>
    <t xml:space="preserve"> ZBESBWN(-1)</t>
  </si>
  <si>
    <t>= Beschikbaar winstinkomen in mln. Srg, jaar t-1</t>
  </si>
  <si>
    <t>Hulpvariabele vraag naar invoer</t>
  </si>
  <si>
    <t xml:space="preserve"> (TDGWN/(' ZBESBWN'+' LBESBWN'))*100</t>
  </si>
  <si>
    <t>= Directe belastingen van de bedrijven aan de overheid, jaar t</t>
  </si>
  <si>
    <t xml:space="preserve">Tegen deze achtergrond heeft de directie van de SPS, met tussenkomst van Dr. van Schaaijk, eind 2000 </t>
  </si>
  <si>
    <t>2. Jaarlijkse groei van het toerisme van 10% tussen 2002 en 2005.</t>
  </si>
  <si>
    <t xml:space="preserve">realisaties is deze variabele gebruikt om de verschillen te bepalen tussen het resultaat van het </t>
  </si>
  <si>
    <t>Wereldmarktprijs toerisme</t>
  </si>
  <si>
    <t xml:space="preserve">Wereldmarktprijs vis </t>
  </si>
  <si>
    <t>I.1.3</t>
  </si>
  <si>
    <t>TKBWN is bij de indirecte belastingen ondergebracht.</t>
  </si>
  <si>
    <t>2. de variabelen m.b.t. de bedrijven (regels 102 t/m 106)</t>
  </si>
  <si>
    <t>3. de variabelen m.b.t. de gezinnen (regels 108 t/m 109)</t>
  </si>
  <si>
    <t xml:space="preserve">wereldmarktprijs: MINISTERIE VAN LANDBOUW, VEETEELT, VISSERIJ EN BOSBOUW; </t>
  </si>
  <si>
    <t xml:space="preserve">De sector Gezinnen moet gezien worden als een afgeleide.  Dit wordt in de praktijk ook zo behandeld </t>
  </si>
  <si>
    <t>11. Oprichting Bureau voor de staatsschuld (1)</t>
  </si>
  <si>
    <t>12. Verhoging Accijnzen (1)</t>
  </si>
  <si>
    <t xml:space="preserve">andere groepen. Per groep worden de combinaties gerangschikt naar inkomen, zodat de laagste </t>
  </si>
  <si>
    <t xml:space="preserve">Onder de consumptie belasting vallen alle accijnzen (op gedestilleerd, bier, rooktabak en sigaren, </t>
  </si>
  <si>
    <t xml:space="preserve">(PKRSQ/PKRSQ(-1)). De wereldmarktprijs is de gewogen gemiddelde prijs voor geëxporteerde </t>
  </si>
  <si>
    <t xml:space="preserve">materiële overheidsconsumptie (CMOWN), voor 20% (0.2) door de bruto overheidsinvesteringen </t>
  </si>
  <si>
    <t>tegen prijzen van het voorgaand jaar gedeeld door de exportwaarde van het voorgaand jaar (BMWN(-</t>
  </si>
  <si>
    <t xml:space="preserve">1)) verminderd met 1. </t>
  </si>
  <si>
    <t>95. BVP</t>
  </si>
  <si>
    <t>veranderingen in de monetaire sfeer. Bron: ABS</t>
  </si>
  <si>
    <t>98. IPP</t>
  </si>
  <si>
    <t>= 0,24*((LBWN/LBWN(-1)/(ABAN/ABAN(-1))-1)*100+0,76*MPP+</t>
  </si>
  <si>
    <t>TKQ-TKQ(-1)</t>
  </si>
  <si>
    <t>= Wereldmarktprijs geraffineerde aardolieproducten, jaar t</t>
  </si>
  <si>
    <t xml:space="preserve">  lopende inkomsten:</t>
  </si>
  <si>
    <t>Rentevoet Suriname:</t>
  </si>
  <si>
    <t xml:space="preserve">ROWR (rente buitenlandse overheidschuld) </t>
  </si>
  <si>
    <t>Participanten</t>
  </si>
  <si>
    <t>projectenlijst, vermenigvuldigt met de wisselkoers (PKRSQ).</t>
  </si>
  <si>
    <t>52. IOWNB1= IOWNB1*PKRSQ</t>
  </si>
  <si>
    <t>LBEWN(-1)</t>
  </si>
  <si>
    <t>130.   YIWP</t>
  </si>
  <si>
    <t>Endogenen gezinnen</t>
  </si>
  <si>
    <t>20. CGWN</t>
  </si>
  <si>
    <t xml:space="preserve"> LBESBWN</t>
  </si>
  <si>
    <t>3. Het buitenland, en</t>
  </si>
  <si>
    <t xml:space="preserve">4. De gezinshuishouding </t>
  </si>
  <si>
    <t xml:space="preserve">De procentuele mutatie in het gemiddeld loon van de bedrijven (LBABPP) wordt per definitie bepaald </t>
  </si>
  <si>
    <t>semi-gedragsvergelijkingen</t>
  </si>
  <si>
    <t>Unit</t>
  </si>
  <si>
    <t xml:space="preserve">Deze variabele, leningen minus aflossingen, is nieuw ingevoerd. Weglating van deze bestedingen zou </t>
  </si>
  <si>
    <t xml:space="preserve">inkomen berekend voor een categorie met een twee maal gemiddeld inkomen en met een half maal </t>
  </si>
  <si>
    <t>II.4.1</t>
  </si>
  <si>
    <t xml:space="preserve">Directe belastingen </t>
  </si>
  <si>
    <t>II.4.2</t>
  </si>
  <si>
    <t>ink.overdr.om n.uit buit.aan gez.</t>
  </si>
  <si>
    <t>2. de inkomsten van de overheid (regels 51 t/m 53)</t>
  </si>
  <si>
    <t>3. de uitgaven van de overheid (regels 54 t/m 68)</t>
  </si>
  <si>
    <t xml:space="preserve">USAR </t>
  </si>
  <si>
    <t>= Binnenlandse schuld excl. de geconsolideerde vlottende staatsschuld, jaar t</t>
  </si>
  <si>
    <t xml:space="preserve">= Wereldmarktprijs vis, jaar t-1 </t>
  </si>
  <si>
    <t xml:space="preserve">De loonsom van de bedrijven (LBWN) wordt bepaald door de loonsom van het voorgaand jaar </t>
  </si>
  <si>
    <t>1. het opstellen van een plan van aanpak waarin de belangrijkste opdrachten zijn verwerkt,</t>
  </si>
  <si>
    <t>= Herwaardering goud- en deviezenvoorraad, jaar t</t>
  </si>
  <si>
    <t xml:space="preserve">De productie en toegevoegde waarde uit het Microblok komen in deze sector van de economie tot </t>
  </si>
  <si>
    <t xml:space="preserve">SPS. Verder is ook gebruik gemaakt van data uit verschillende bronnen. Ook de medewerking en tips </t>
  </si>
  <si>
    <t>Statistisch verschil uitvoer</t>
  </si>
  <si>
    <t>I.2.3</t>
  </si>
  <si>
    <t>gewerkt met de banana prijs (International Financial Statistics, IMF).</t>
  </si>
  <si>
    <t xml:space="preserve">overheid (ZBOWN - ZOBWN - ZOEWN), de netto inkomensoverdrachten om niet (OGOWN + </t>
  </si>
  <si>
    <t xml:space="preserve">gestart, maar in januari en heeft de training ook een maand langer geduurd. Ondanks deze </t>
  </si>
  <si>
    <t>rente Suriname</t>
  </si>
  <si>
    <t>II.5.1</t>
  </si>
  <si>
    <t xml:space="preserve">Het aantal arbeidsplaatsen bij de bedrijven (ABAN) wordt bepaald door de reeds bestaande </t>
  </si>
  <si>
    <t>Verschillen</t>
  </si>
  <si>
    <t xml:space="preserve">Ambtenaren </t>
  </si>
  <si>
    <t>Loonbel personen</t>
  </si>
  <si>
    <t xml:space="preserve">gemiddelden inmiddels bekend zijn (zie Suritax). Daarnaast zijn de grenzen van de lonen vaak </t>
  </si>
  <si>
    <t>Arbeidsplaatsen bij de bedrijven  *1000</t>
  </si>
  <si>
    <t>Indices:</t>
  </si>
  <si>
    <t>Invoer van goederen en diensten door overheid</t>
  </si>
  <si>
    <t>Loonsom uit het buitenland</t>
  </si>
  <si>
    <t xml:space="preserve">en motorrijtuigenbelasting. Het percentage van 4% is een gemiddelde heffing en die wordt elk jaar </t>
  </si>
  <si>
    <t>= Geïnvesteerd vermogen door de bedrijven, jaar t-1</t>
  </si>
  <si>
    <t>= Arbeidsplaatsen bedrijven * 1000, jaar t-1</t>
  </si>
  <si>
    <t xml:space="preserve">worden (KNEOWN exogeen in US-dollar: regel 53) en de wisselkoers (PKRSQ). Het grootste deel van </t>
  </si>
  <si>
    <t>Wereldmarktprijs Aluminium in metrieke ton</t>
  </si>
  <si>
    <t>uitvoerprijs</t>
  </si>
  <si>
    <t>consumptieprijs</t>
  </si>
  <si>
    <t>invoerprijs</t>
  </si>
  <si>
    <t>Lopende uitgaven</t>
  </si>
  <si>
    <t>= Inkomensoverdrachten om niet uit het buitenland aan gezinnen, jaar t-1</t>
  </si>
  <si>
    <t xml:space="preserve"> PKRSQ</t>
  </si>
  <si>
    <t>= 0,07*(ZBESBWN(-1)+LBESBWN</t>
  </si>
  <si>
    <t>CBvS. De huidige training op SPS is het uiteindelijk resultaat geweest van zijn consultaties.</t>
  </si>
  <si>
    <t>aanpassing van deze vergelijking t.b.v. de VES+ variant, zie het hoofdstuk “De VES+ variant”.</t>
  </si>
  <si>
    <t>36. CMOWN</t>
  </si>
  <si>
    <t xml:space="preserve">en het klein assortiment aan exportgoederen, en goederen en diensten geproduceerd ten behoeven van </t>
  </si>
  <si>
    <t>Surinaamseprijs Hout SRD/m3</t>
  </si>
  <si>
    <t xml:space="preserve">natuurlijk behoudens de voor- en nadelen van de gekozen principes om het model te construeren. Hier </t>
  </si>
  <si>
    <t xml:space="preserve">mensen in welke inkomensgroepen onder de poverty line zitten en wat daarbij hun netto inkomen is. </t>
  </si>
  <si>
    <t xml:space="preserve"> TOWN</t>
  </si>
  <si>
    <t>in MLN SRD</t>
  </si>
  <si>
    <t xml:space="preserve">Dynamisch: Het bruto-netto traject wordt voor meerdere jaren getoond. In het gedeelte over de </t>
  </si>
  <si>
    <t>Kap verk part sector (kort)</t>
  </si>
  <si>
    <t xml:space="preserve">Kas-/transverschil overheid </t>
  </si>
  <si>
    <t xml:space="preserve">Kas-/transverschil betalingsbalans  </t>
  </si>
  <si>
    <t xml:space="preserve">Suriname etc. over voortzetting van de modelmatige benadering van de Surinaamse economie middels </t>
  </si>
  <si>
    <t>Directe belastingdruk</t>
  </si>
  <si>
    <t>Gegevens voor macro-economische behandeling</t>
  </si>
  <si>
    <t xml:space="preserve">     Statistischverschil</t>
  </si>
  <si>
    <t>Capital transfers into the SWF</t>
  </si>
  <si>
    <t>wisselkoers (PKRSQ). Meerdere bronnen zijn mogelijk: SPS, Ministerie van Financiën, CBvS.</t>
  </si>
  <si>
    <t>De financiering van de begroting</t>
  </si>
  <si>
    <t>54. MIDWN</t>
  </si>
  <si>
    <t>doorrekenen van de maatregelen zijn afkomstig van het IMF en Stichting Planbureau Suriname.</t>
  </si>
  <si>
    <t xml:space="preserve">(WWQN(-1)) minus 40% (0.4) van de mutatie in het aantal de arbeidsplaatsen bij de bedrijven </t>
  </si>
  <si>
    <t>Microblok</t>
  </si>
  <si>
    <t>realisatiecijfers</t>
  </si>
  <si>
    <r>
      <t xml:space="preserve">Successierecht </t>
    </r>
    <r>
      <rPr>
        <sz val="12"/>
        <color indexed="48"/>
        <rFont val="Times New Roman"/>
        <family val="1"/>
      </rPr>
      <t>(NBO)</t>
    </r>
  </si>
  <si>
    <t>Ontv liq. Overz</t>
  </si>
  <si>
    <t>Tot. ODB</t>
  </si>
  <si>
    <t>Tot. OIA</t>
  </si>
  <si>
    <t>? Microtax 88, simulatiemodel van Centraal Planbureau Nederland</t>
  </si>
  <si>
    <t>"=[Suryamodel24feb06b.xls]Model!B316</t>
  </si>
  <si>
    <t xml:space="preserve">(HSOEWN),  de netto ontwikkelingsleningen  (MIDWN) en de netto particuliere leningen uit het </t>
  </si>
  <si>
    <t xml:space="preserve">Er zijn ook nog extra overzichten t.b.v. de monetaire sfeer, de Nationale Rekeningen tegen constante </t>
  </si>
  <si>
    <t xml:space="preserve">  De realisaties voor de lonen in de particuliere sector moeten worden aangepast. Dit kan geschieden </t>
  </si>
  <si>
    <r>
      <t>ken middelen, excl. achterst. Betal.-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def. Wet op de Staatsschuld</t>
    </r>
  </si>
  <si>
    <t xml:space="preserve">Binnenlandse schuld naar instrument </t>
  </si>
  <si>
    <t>Schatkist papier in mln. SRD</t>
  </si>
  <si>
    <t>Invoer van goederen en diensten door bedrijven (MBWN)</t>
  </si>
  <si>
    <t xml:space="preserve">De overdrachten om niet uit eigen middelen maar anders dan de reguliere is gelijk aan de US-dollar </t>
  </si>
  <si>
    <t xml:space="preserve">          aflossingen</t>
  </si>
  <si>
    <t>updat 18/7/06</t>
  </si>
  <si>
    <t>CBvS, monetaire tabellen, bijl IV</t>
  </si>
  <si>
    <t>Totaal mutaties in de binnenlandse liquiditeitenmassa</t>
  </si>
  <si>
    <t>of Funds Table) en het weer inbrengen van de sectorrekeningen.</t>
  </si>
  <si>
    <t xml:space="preserve">van de overheid (DOWN). De levering van goederen en diensten uit hoofde van IOWN, CMOWN en </t>
  </si>
  <si>
    <t>? Verslechtering van de werkgelegenheid.</t>
  </si>
  <si>
    <t>+(IOWN*0,42+IBWN *0,55)/(IPI/100)</t>
  </si>
  <si>
    <t>MONETAIR</t>
  </si>
  <si>
    <t>PKRSQ</t>
  </si>
  <si>
    <t>SURR</t>
  </si>
  <si>
    <t xml:space="preserve">men minder bekend is met de opzet van de sectorrekeningen. </t>
  </si>
  <si>
    <t>Invoerprijsmutatie (Suriname voorlopig geschat)</t>
  </si>
  <si>
    <t>Consumptieprijs gezinnen (autonoom deel)</t>
  </si>
  <si>
    <t>Aflossingen en interest betal. op buitenlandse leningen</t>
  </si>
  <si>
    <t>idem geijkt</t>
  </si>
  <si>
    <t>totale macro kosten</t>
  </si>
  <si>
    <t>schenkingsmiddelen (IOWN = KNEOWN*0.8, zie dissertatie p.156-170)</t>
  </si>
  <si>
    <t>51. IOWNP</t>
  </si>
  <si>
    <t xml:space="preserve">De mutatie in de reële bruto toegevoegde waarde van bedrijven tegen marktprijzen (YBVP) is per </t>
  </si>
  <si>
    <t>BAUXIETBLOK</t>
  </si>
  <si>
    <t>beschrijving is van de hand van de heer Jurrie de Hart.</t>
  </si>
  <si>
    <t>Inkomenssimulatiemodel</t>
  </si>
  <si>
    <t>Landbouwstatistieken van het Ministerie van LVV; Onderdirectoraat Visserijdienst, Tabel A-6, mei 2008</t>
  </si>
  <si>
    <t>CBvS/afd O&amp;D, juni 2008</t>
  </si>
  <si>
    <t>CBvS, afd.O&amp;D, juni 2008</t>
  </si>
  <si>
    <t>DWT</t>
  </si>
  <si>
    <t>? de wereldmarktprijzen van de exportproducten in US$ (regels 19 t/m 32)</t>
  </si>
  <si>
    <t>? investeringen in het MICROBLOK in US$ (regels 34 t/m 48)</t>
  </si>
  <si>
    <t xml:space="preserve">De verandering in de geldschepping is per definitie gelijk aan de geldschepping door de overheid </t>
  </si>
  <si>
    <t xml:space="preserve">De mutatie in de volume van de investeringen van de bedrijven (IBVP) wordt per definitie bepaald </t>
  </si>
  <si>
    <t xml:space="preserve">? Ondanks de prijsstijging in 2001, blijft de koopkracht relatief op niveau. Bij Ongewijzigd Beleid </t>
  </si>
  <si>
    <t xml:space="preserve">loonsom van de bedrijven                      </t>
  </si>
  <si>
    <t>7. de variabelen m.b.t. de arbeidsmarkt (regels 204 t/m 210)</t>
  </si>
  <si>
    <t>8. de variabelen m.b.t. de hulpvariabelen (regels 212 t/m 262)</t>
  </si>
  <si>
    <t>Totaal inkomsten incl. schenkingen</t>
  </si>
  <si>
    <t xml:space="preserve">de overheid zijn een  hulpvariabele voor het bepalen van o.a. CMOVP. </t>
  </si>
  <si>
    <t>50. IOWN</t>
  </si>
  <si>
    <t>Exportvolume vis in tonnen</t>
  </si>
  <si>
    <t>I.1.2</t>
  </si>
  <si>
    <t>Wereldmarktprijzen in US-dollar</t>
  </si>
  <si>
    <t xml:space="preserve">Centrale Bank over de binnenlandse staatsschuld en is afhankelijk van de rentevoet in Suriname </t>
  </si>
  <si>
    <t xml:space="preserve">behoren. Hieronder vallen bijvoorbeeld de lonen van parastatale bedrijven en vormen van subsidies. </t>
  </si>
  <si>
    <t>3. Normalisering situatie bij SZF en RGD (1)</t>
  </si>
  <si>
    <t>Overige maatregelen</t>
  </si>
  <si>
    <t>AOLVN X AOLSPN(-1)</t>
  </si>
  <si>
    <t>RAFDBN X RAFSPN(-1)</t>
  </si>
  <si>
    <t xml:space="preserve">AOLVN(-1) X AOLSPN </t>
  </si>
  <si>
    <t xml:space="preserve">De mutatie in de volume van de investeringen van de overheid (IOVP) wordt per definitie bepaald door </t>
  </si>
  <si>
    <t xml:space="preserve">jaarlijkse aanpassing van het loon- en steuninkomen tot een grotere vraag naar o.a. importgoederen. </t>
  </si>
  <si>
    <t>Overheid</t>
  </si>
  <si>
    <t>2. Opbouw monetaire reserve middels actief portefeuillebeheer (O)</t>
  </si>
  <si>
    <t>Gewogen invoerprijsmutatie Suriname in US$</t>
  </si>
  <si>
    <t>'=macmicdata!B173</t>
  </si>
  <si>
    <t>RIJSTN</t>
  </si>
  <si>
    <t>productie in ton</t>
  </si>
  <si>
    <t>'=macmicdata!B160</t>
  </si>
  <si>
    <t>rijstareaal  (ha)</t>
  </si>
  <si>
    <t>beplant areaal</t>
  </si>
  <si>
    <t>"=[Suryamodel24feb06b.xls]Model!b34/1000</t>
  </si>
  <si>
    <t xml:space="preserve">Ministerie van Landbouw, Veeteelt, Visserij en Bosbouw; Landsbosbeheer </t>
  </si>
  <si>
    <t>08</t>
  </si>
  <si>
    <t>09</t>
  </si>
  <si>
    <t>10</t>
  </si>
  <si>
    <t>11</t>
  </si>
  <si>
    <t>12</t>
  </si>
  <si>
    <t>13</t>
  </si>
  <si>
    <t>14</t>
  </si>
  <si>
    <t>15</t>
  </si>
  <si>
    <t>Aflossingen op binnenlandse leningen in mln. SRD</t>
  </si>
  <si>
    <t>= Invoerprijsindex, jaar t-1</t>
  </si>
  <si>
    <t xml:space="preserve">De rente van de overheid aan het binnenland betreft de renteverplichtingen van de Staat aan de </t>
  </si>
  <si>
    <t>= Deviezenvoorraad in mln.Srg., jaar t-1</t>
  </si>
  <si>
    <t>opgenomen. Daarin wordt ook een gedetailleerde technische toelichting gegeven.</t>
  </si>
  <si>
    <t xml:space="preserve">van de groei van de beroepsbevolking t.o.v. de werkzamen. </t>
  </si>
  <si>
    <t>Externe factoren</t>
  </si>
  <si>
    <t>= Netto materiele consumptie overheid, jaar t</t>
  </si>
  <si>
    <t xml:space="preserve">CGWN   </t>
  </si>
  <si>
    <t>gem15-30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</si>
  <si>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</si>
  <si>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</si>
  <si>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</si>
  <si>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</si>
  <si>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</si>
  <si>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</si>
  <si>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</si>
  <si>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</si>
  <si>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</si>
  <si>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 xml:space="preserve">? Er is geen geldschepping zijdens de overheid, integendeel. De geldschepping in 2001 – 2002 is </t>
  </si>
  <si>
    <t>= Bevolking 16/64 jaar * 1000, jaar t</t>
  </si>
  <si>
    <t xml:space="preserve">simulaties van beleidsmaatregelen en alternatieve veronderstellingen t.a.v. exogenen en het maken </t>
  </si>
  <si>
    <t xml:space="preserve">ontwikkeling van een land het percentage werkende landbouwers verandert. Een andere mogelijkheid is </t>
  </si>
  <si>
    <t>= Netto particuliere leningen aan de overheid uit het binnenland, jaar t</t>
  </si>
  <si>
    <t xml:space="preserve">(LBWN(-1)) gecorrigeerd voor de inflatie (CGPP en CGPP(-1))) en de verandering in het aantal </t>
  </si>
  <si>
    <t xml:space="preserve">de omvang van het vorig jaar B1664N(-1) vermenigvuldigd met de natuurlijke aanwas van de </t>
  </si>
  <si>
    <t>= Overig inkomen naar de overheid van de bedrijven, jaar t</t>
  </si>
  <si>
    <t>TDGWN</t>
  </si>
  <si>
    <t>TDBWN</t>
  </si>
  <si>
    <t xml:space="preserve">Indirekte belasting </t>
  </si>
  <si>
    <t>TKWN</t>
  </si>
  <si>
    <t>TMWN</t>
  </si>
  <si>
    <t>TOWN</t>
  </si>
  <si>
    <t>OBMWN</t>
  </si>
  <si>
    <t>verschil</t>
  </si>
  <si>
    <t xml:space="preserve">bedrijven van het voorgaand jaar (TDBWN(-1)) en het overig inkomen van het voorgaand jaar dat naar </t>
  </si>
  <si>
    <t>9. het toetsen op plausibiliteit,</t>
  </si>
  <si>
    <t xml:space="preserve">hetgeen feitelijk is uitgevoerd. Verwerking van de cijfers van ASYCUDA of medewerking van het </t>
  </si>
  <si>
    <t xml:space="preserve">? Vermindering van de binnenlandse bestedingen. Tussen 2000 - 2005 dalen de bestedingen met ca. </t>
  </si>
  <si>
    <t>Beginwaarde uit oude Suryamodel</t>
  </si>
  <si>
    <t>Jaarplan SPS</t>
  </si>
  <si>
    <t>voornamelijk het wisselkoersbeleid.</t>
  </si>
  <si>
    <t>6. beleidsmaatregelen (alles na regel 386)</t>
  </si>
  <si>
    <t>De invoerprijsindex (MPI) is een definitie vergelijking.</t>
  </si>
  <si>
    <t>108.   HPEPWI</t>
  </si>
  <si>
    <t xml:space="preserve">Het overig inkomen uit het buitenland aan de bedrijven (ZEBWN) betreft de rentevergoedingen voor </t>
  </si>
  <si>
    <t>'=macmicdata!B315</t>
  </si>
  <si>
    <t xml:space="preserve">overheid inkomsten (zie Bedrijven, Buitenland en Gezinnen), ontvangt schenkingen en heeft ze ook </t>
  </si>
  <si>
    <t xml:space="preserve">(OEGWN - OGEWN) en de netto inkomensoverdrachten om niet van de overheid aan de gezinnen (- </t>
  </si>
  <si>
    <t>Loonkosten p.e.p.index</t>
  </si>
  <si>
    <t xml:space="preserve">Het overig inkomen van bedrijven aan de overheid (ZBOWN) betreft de overdrachten van het netto </t>
  </si>
  <si>
    <t>Credit loan to te private sector</t>
  </si>
  <si>
    <t>Creation of liquid for the governmen</t>
  </si>
  <si>
    <t>Goods &amp; services by the enterprises to the government</t>
  </si>
  <si>
    <t xml:space="preserve">liquidity ratio </t>
  </si>
  <si>
    <t>Capital coefficient</t>
  </si>
  <si>
    <t>Invest Capital by the private sector</t>
  </si>
  <si>
    <t>Disposable wages &amp; benefits</t>
  </si>
  <si>
    <t>Disposable profit income</t>
  </si>
  <si>
    <t>Net profit</t>
  </si>
  <si>
    <t>Gross profit excl.Bauxite &amp; Gold</t>
  </si>
  <si>
    <t>Net profit excl.Bauxite &amp; Gold</t>
  </si>
  <si>
    <t>Currency deposits of residents</t>
  </si>
  <si>
    <t>Net Good &amp; Services Government</t>
  </si>
  <si>
    <t>Marketvalue</t>
  </si>
  <si>
    <t>Marketvalue, excl export &amp; government</t>
  </si>
  <si>
    <t>Marketvalue in percent</t>
  </si>
  <si>
    <t>deflator BBP (by Expenditure)</t>
  </si>
  <si>
    <t>Net actual wage private sector</t>
  </si>
  <si>
    <t>Overall balance in % of GDP</t>
  </si>
  <si>
    <t>Total Government Debt In % of GDP</t>
  </si>
  <si>
    <t>Foreign reserve stock  in terms of month import</t>
  </si>
  <si>
    <t>GDPmp</t>
  </si>
  <si>
    <t>GDPmp (ABS)</t>
  </si>
  <si>
    <t>Net profit in % of gross value added enterprises</t>
  </si>
  <si>
    <t>Net profit in % ofinvested capital enterprises</t>
  </si>
  <si>
    <t>Value in mln SRD</t>
  </si>
  <si>
    <t>Norm maximum deficit 2.5% BBP</t>
  </si>
  <si>
    <t>Norm maximum deficit 5% BBP</t>
  </si>
  <si>
    <t>Main indicators</t>
  </si>
  <si>
    <t>Prices</t>
  </si>
  <si>
    <t>Actual GDP in terms of residents</t>
  </si>
  <si>
    <t>Net price/costs index rice</t>
  </si>
  <si>
    <t>Net actual wage government</t>
  </si>
  <si>
    <t xml:space="preserve">MAIN INDICATORS </t>
  </si>
  <si>
    <t>Real growth GDP by expenditure</t>
  </si>
  <si>
    <t>Real growth GDP by kind of economic activity (ABS)</t>
  </si>
  <si>
    <t>update op basis tm Dec 2013</t>
  </si>
  <si>
    <t>Export raff (ruwe olie)</t>
  </si>
  <si>
    <t>x1000barrels</t>
  </si>
  <si>
    <t>Sovereing wealth fund</t>
  </si>
  <si>
    <t>Middelenoverschot van de overheid op kasbasis excl schenkingsmidd</t>
  </si>
  <si>
    <t>Overall Balance  (+ is overschot)/Surplus Tot. Rek. Inclus schenkingsmidd en minus transfers to SWF</t>
  </si>
  <si>
    <t xml:space="preserve">Waarvan winstbelasting Goudsector en  Bauxietmij. 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</si>
  <si>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</si>
  <si>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</si>
  <si>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</si>
  <si>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</si>
  <si>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</si>
  <si>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</si>
  <si>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</si>
  <si>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</si>
  <si>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varianten waar deze benadering is gevolgd, waren slechts bedoeld om bepaalde effecten en hun </t>
  </si>
  <si>
    <t xml:space="preserve">veronderstelling gemaakt worden die rekening houdt met de economische situatie. Uit het ISS rapport </t>
  </si>
  <si>
    <t xml:space="preserve">spaart), geen sprake meer is van geldschepping vanuit de begroting, de inflatie naar hanteerbare </t>
  </si>
  <si>
    <t xml:space="preserve">              = Invoer van goederen en diensten door de bedrijven, jaar t</t>
  </si>
  <si>
    <t xml:space="preserve">MOWN       </t>
  </si>
  <si>
    <t xml:space="preserve">De variabele HVNA2 is een hulpvariabele van de vraag naar arbeid bij bedrijven en is afhankelijk van </t>
  </si>
  <si>
    <t>de veranderingen in de groei van de economische activiteiten in de particuliere sector (YBVP).</t>
  </si>
  <si>
    <t>1. Saldo goederenrekening</t>
  </si>
  <si>
    <t xml:space="preserve">      Exporten</t>
  </si>
  <si>
    <t xml:space="preserve">     Importen</t>
  </si>
  <si>
    <t>2. Saldo dienstenrekening</t>
  </si>
  <si>
    <t xml:space="preserve">      Diensten: credit</t>
  </si>
  <si>
    <t xml:space="preserve">             Transport</t>
  </si>
  <si>
    <t xml:space="preserve">             Overige </t>
  </si>
  <si>
    <t xml:space="preserve">      Diensten: debet </t>
  </si>
  <si>
    <t xml:space="preserve">       Inkomens: credit </t>
  </si>
  <si>
    <t xml:space="preserve">       Inkomens: debet </t>
  </si>
  <si>
    <t xml:space="preserve">4. Saldo goederen, diensten en inkomensrekening </t>
  </si>
  <si>
    <t xml:space="preserve">       Inkomensoverdrachten: credit </t>
  </si>
  <si>
    <t xml:space="preserve">       Inkomensoverdrachten: debet </t>
  </si>
  <si>
    <t xml:space="preserve">B. Vermogensoverdrachtenrekening, exclusief Groep E </t>
  </si>
  <si>
    <t xml:space="preserve">       Vermogensoverdrachtenrekening: credit </t>
  </si>
  <si>
    <t xml:space="preserve">       Vermogensoverdrachtenrekening: debet </t>
  </si>
  <si>
    <t xml:space="preserve">  Totaal, Groep A plus Groep B </t>
  </si>
  <si>
    <t xml:space="preserve">              Directe investeringen in Suriname </t>
  </si>
  <si>
    <t xml:space="preserve">      2. Beleggingen: activa</t>
  </si>
  <si>
    <t xml:space="preserve">             Effecten </t>
  </si>
  <si>
    <t xml:space="preserve">      3. Beleggingen: passiva</t>
  </si>
  <si>
    <t xml:space="preserve">            Effecten </t>
  </si>
  <si>
    <t xml:space="preserve">      4. Overig financieel verkeer: activa </t>
  </si>
  <si>
    <t>Aantal arbeidsplaatsten/gemidd.</t>
  </si>
  <si>
    <t>Statistische verschil (rubriek D in BoP CBvS)</t>
  </si>
  <si>
    <t>Nog te rebruceren posten op de bet. bal./D. Statistische verschillen</t>
  </si>
  <si>
    <t>BBPmp conform ABS- BBP Surya</t>
  </si>
  <si>
    <t>jaarlijkse groei conform BBP Surya</t>
  </si>
  <si>
    <t>jaarlijkse groei conform BBP ABS</t>
  </si>
  <si>
    <t>Componenten BBP conform data BBP ABS</t>
  </si>
  <si>
    <t xml:space="preserve">wordt voldaan aan de voorwaarden die gelden m.b.t. de kredietverlening van de particuliere sector en </t>
  </si>
  <si>
    <t>consumptieprijs (verschil SPS &amp; Surya)</t>
  </si>
  <si>
    <t>reele groei BBP (verschil SPS &amp; Surya)</t>
  </si>
  <si>
    <t>aluminium exportwaarde in mln.SRD</t>
  </si>
  <si>
    <t>ALUEWN</t>
  </si>
  <si>
    <t xml:space="preserve">De samenstelling van de vergelijkingen is gebaseerd op het systeem van de Nationale Rekeningen </t>
  </si>
  <si>
    <t xml:space="preserve">Op 2 maart is gesproken met het ABS, dat een uitdraai met een personele inkomensverdeling </t>
  </si>
  <si>
    <t xml:space="preserve">saldo betalingsbalans  Nog controleren!  </t>
  </si>
  <si>
    <t xml:space="preserve">   waarde % mutaties</t>
  </si>
  <si>
    <t>afzetwaarde %mut.</t>
  </si>
  <si>
    <t>w.v.Lange termijn leningen bij het Bankwezen in mln. SRD</t>
  </si>
  <si>
    <t>Invoerprijsindex</t>
  </si>
  <si>
    <t>Wereldmarktprijs Aardolie in barrels</t>
  </si>
  <si>
    <t>Netto particuliere leningen van de overheid uit het buitenland</t>
  </si>
  <si>
    <t>= Inkomensoverdrachten om niet van buitenland aan overheid, jaar t</t>
  </si>
  <si>
    <t xml:space="preserve">? In 2001, het jaar van doorvoering van de belangrijkste maatregelen, verandert de groei van de </t>
  </si>
  <si>
    <t xml:space="preserve">gelijkblijvende koers. Als dat leidt tot een negatieve deviezenvoorraad, wordt een nieuwe variant </t>
  </si>
  <si>
    <t>Winstbelasting bauxietsector</t>
  </si>
  <si>
    <t xml:space="preserve">Kostenindicatie bauxietsector </t>
  </si>
  <si>
    <t>Gegeven de uitgangssituatie in jaar 2000 waarbij o.a.:</t>
  </si>
  <si>
    <t>? een daling van de economische groei van ca. 4,5% ,</t>
  </si>
  <si>
    <t>Overig inkomen naar het buitenland van overheid</t>
  </si>
  <si>
    <t>LIQQTC</t>
  </si>
  <si>
    <t>Exportvolume toerisme gemeten in aantallen toeristen</t>
  </si>
  <si>
    <t>KEBWN_OFF</t>
  </si>
  <si>
    <t>Bruto investeringen bedrijven</t>
  </si>
  <si>
    <t>Uitvoer</t>
  </si>
  <si>
    <t>Agriculture, Animal Husbandry and Forestry</t>
  </si>
  <si>
    <t>Fishery</t>
  </si>
  <si>
    <t>Mining and Quarrying</t>
  </si>
  <si>
    <t>Manufacturing</t>
  </si>
  <si>
    <t>Gas, Water and Electricity</t>
  </si>
  <si>
    <t xml:space="preserve">jaren 1999 en 2000. Er kunnen prognoses gemaakt worden over waarden (niveau' s), volumes en </t>
  </si>
  <si>
    <t>IIIA2     Commercieel (schatkistprom.ntt)</t>
  </si>
  <si>
    <t xml:space="preserve">          Comm. Deposito</t>
  </si>
  <si>
    <t xml:space="preserve">          Particuliere inst. (schatkistprom)</t>
  </si>
  <si>
    <t>= kapitaaloverdrachten om niet van het buitenland aan de overheid, jaar t</t>
  </si>
  <si>
    <t xml:space="preserve"> MIDWN</t>
  </si>
  <si>
    <t xml:space="preserve"> KEBWN</t>
  </si>
  <si>
    <t xml:space="preserve">(MOOWN) en het saldo op de betalingsbalans (SDBBWN). De particuliere geldschepping is buiten </t>
  </si>
  <si>
    <t xml:space="preserve">In dit hoofdstuk zullen twee scenarios worden gepresenteerd: Ongewijzigd Beleid en een voorlopig </t>
  </si>
  <si>
    <t>1. Stopzetting voorschotten aan de Staat (O)</t>
  </si>
  <si>
    <t>30.5</t>
  </si>
  <si>
    <t>19.8</t>
  </si>
  <si>
    <t>193.1</t>
  </si>
  <si>
    <t>Netto materiële consumptie van de overheid uit lopende activiteiten</t>
  </si>
  <si>
    <t>II.5.3</t>
  </si>
  <si>
    <t xml:space="preserve">Statisch gedeelte: De totale bruto loonsom van landsdienaren en werknemers bij bedrijven komt, </t>
  </si>
  <si>
    <t>'=Model!B247</t>
  </si>
  <si>
    <t>= Goederen en diensten door de bedrijven aan de overheid, jaar t</t>
  </si>
  <si>
    <t>= Uitvoerwaarde van de belangrijkste exportproducten, jaar t-1</t>
  </si>
  <si>
    <t>Subsidies &amp; Bijdragen</t>
  </si>
  <si>
    <t>Input van SPS:</t>
  </si>
  <si>
    <t xml:space="preserve">betreffende het jaar 2000 toezegde. De directie SPS besloot om dhr. Jurrie de Hart, een bijna </t>
  </si>
  <si>
    <t xml:space="preserve">worden gehouden, waardoor een nieuwe verdeling is te maken. De inkomensklassen veranderen mee </t>
  </si>
  <si>
    <t>met de algemene trend onder de inkomens.</t>
  </si>
  <si>
    <t xml:space="preserve">het Beschikbaar winstinkomen van het vorig jaar (ZBESBWN(-1)), de directe belastingen van de </t>
  </si>
  <si>
    <t>voor de wisselkoers. Meerdere bronnen zijn mogelijk: SPS, Ministerie van Financiën, CBvS</t>
  </si>
  <si>
    <t>40. CMOWNB3</t>
  </si>
  <si>
    <t>Ad. 3. Povertymodule</t>
  </si>
  <si>
    <t>91. CMOVP= ((CMOWN/CMOWN(-1))/(1+CGPP/100)-1)*100</t>
  </si>
  <si>
    <t>CMOWN(-1)</t>
  </si>
  <si>
    <t xml:space="preserve">Het is hier niet de bedoeling dat wordt ingegaan op de theoretische achtergronden die geleid hebben tot </t>
  </si>
  <si>
    <t>71. ZBEWN</t>
  </si>
  <si>
    <t xml:space="preserve">namelijk de wereldmarktprijzen en de officiële transfers uit het buitenland (schenkingen). De </t>
  </si>
  <si>
    <t>BMWN</t>
  </si>
  <si>
    <t>IBMWN</t>
  </si>
  <si>
    <t>YBWN</t>
  </si>
  <si>
    <t>IBWN</t>
  </si>
  <si>
    <t>vol.mut. toegevoegde waarde bedr.</t>
  </si>
  <si>
    <t xml:space="preserve">aardolieproducten  (RAFWPN/RAFWPN(-1)) en in de wisselkoers (PKRSQ/PKRSQ(-1)). De </t>
  </si>
  <si>
    <t>IA3       Niet-belasting Ontvangsten</t>
  </si>
  <si>
    <t>OGOWN + OOGWN).</t>
  </si>
  <si>
    <t>Landtaxen, akkergelden, huren, erfpachten, recognities en grondhuur</t>
  </si>
  <si>
    <t>IIIA      Binnenlands (netto)</t>
  </si>
  <si>
    <t>balans van de inkomensoverdrachten om niet (OEGWN-OGEWN+OEOWN-OOEWN) en het kas-</t>
  </si>
  <si>
    <t>= kapitaaloverdrachten om niet van buitenland aan de overheid, jaar t</t>
  </si>
  <si>
    <t>= Netto ontwikkelingsleningen, jaar t</t>
  </si>
  <si>
    <t xml:space="preserve"> ((IBWN/IBWN(-1))/(1+IPP/100)-1)*100</t>
  </si>
  <si>
    <t xml:space="preserve">De omzetbelasting op de import (OBMWN) is afhankelijk van de particuliere importen </t>
  </si>
  <si>
    <t xml:space="preserve">beleidsmaatregelen van verplichte aard. Dit om de ordelijkheid en doelen waarvoor de nieuwe opzet is </t>
  </si>
  <si>
    <t>investeringsbeslissing weer afhankelijk is van de verhouding tussen de prijs en productiekosten.</t>
  </si>
  <si>
    <t>Overige leges, diverse rechten en opbrengsten van verstrekte vergunningen</t>
  </si>
  <si>
    <t xml:space="preserve">Inkomen overheidswaterleidingsbedrijven in de districten </t>
  </si>
  <si>
    <t xml:space="preserve">de constructie van het model als geheel en de verschillende vergelijkingen die het model samenstellen. </t>
  </si>
  <si>
    <t xml:space="preserve">Achtereenvolgens zullen aan de orde komen de belangrijkste karakteristieken van de Surinaamse </t>
  </si>
  <si>
    <t xml:space="preserve">= Werelmarktprijs aluinaarde, jaar t-1 </t>
  </si>
  <si>
    <t>Exportvolume nieuwe producten</t>
  </si>
  <si>
    <t>Nieuwe  producten</t>
  </si>
  <si>
    <t>mlnSRD</t>
  </si>
  <si>
    <t>mlnUS$</t>
  </si>
  <si>
    <t>Bauxiet Instituut Suriname, 2005</t>
  </si>
  <si>
    <t>Waarde particuliere consumptie (autonoom deel)</t>
  </si>
  <si>
    <t>Som van de extra investeringen t.o.v. het vorigjaar</t>
  </si>
  <si>
    <t>Investeringen aluinaarde</t>
  </si>
  <si>
    <t>Investeringen aluminium</t>
  </si>
  <si>
    <t>Investeringen in aardolie</t>
  </si>
  <si>
    <t>= Goederen en diensten door de overheid aan de gezinnen, jaar t</t>
  </si>
  <si>
    <t xml:space="preserve">aanwezig en redelijk volledig. Eventueel zou het laatste aangevuld kunnen worden met de cijfers uit de </t>
  </si>
  <si>
    <t xml:space="preserve">in Suriname in werkelijkheid ontvangen voor dit product. Bron van de wereldmarktprijs: SAIL, </t>
  </si>
  <si>
    <t>Exportvolume Rijst in metrieke ton</t>
  </si>
  <si>
    <t>IPI(-1)</t>
  </si>
  <si>
    <t>= Investeringsprijsindex, jaar t-1</t>
  </si>
  <si>
    <t>1000 ton</t>
  </si>
  <si>
    <t>1000 barrels</t>
  </si>
  <si>
    <t>1000 m3</t>
  </si>
  <si>
    <t>troy ounce</t>
  </si>
  <si>
    <t>Government</t>
  </si>
  <si>
    <t>Numbers of jobs, SY2002, ABS</t>
  </si>
  <si>
    <t>werkloosheid</t>
  </si>
  <si>
    <t xml:space="preserve">met de wisselkoers (PKRSQ). Voor 2001 en daarna is verondersteld dat de netto particuliere leningen </t>
  </si>
  <si>
    <t xml:space="preserve">  Particulier</t>
  </si>
  <si>
    <t xml:space="preserve">worden daarna gecorrigeerd voor de mutaties in de bruto investeringen in de exportsector (IBMWN) en </t>
  </si>
  <si>
    <t xml:space="preserve">  ISS, 1999, tabel A.2..2.11</t>
  </si>
  <si>
    <t>Training Surya Model</t>
  </si>
  <si>
    <t>www.CPB.nl</t>
  </si>
  <si>
    <t xml:space="preserve"> 1.5+(PKRSQPKRSQ(-1)-1)*100</t>
  </si>
  <si>
    <t xml:space="preserve"> CGPI(-1)*(1+CGPP/100)</t>
  </si>
  <si>
    <t xml:space="preserve"> IPI(-1)*(1+IPP/100)</t>
  </si>
  <si>
    <t>BACSPN</t>
  </si>
  <si>
    <t>TMWN2</t>
  </si>
  <si>
    <t>TKQ</t>
  </si>
  <si>
    <t>GDBOWN</t>
  </si>
  <si>
    <t>CMOVP</t>
  </si>
  <si>
    <t>IOVP</t>
  </si>
  <si>
    <t>LOAWP</t>
  </si>
  <si>
    <t>bespreking van de exogene variabelen wordt verwezen naar het hoofdstuk “Lijst van variabelen”.</t>
  </si>
  <si>
    <t xml:space="preserve">       overige bijdragen</t>
  </si>
  <si>
    <t>purchasing power of wage income and unemployment benefits</t>
  </si>
  <si>
    <t>employment of enterprises*1000</t>
  </si>
  <si>
    <t>employment businesses %</t>
  </si>
  <si>
    <t>employment of government*1000</t>
  </si>
  <si>
    <t>unemployment rate %</t>
  </si>
  <si>
    <t>labor productivity trend</t>
  </si>
  <si>
    <t>population*1000</t>
  </si>
  <si>
    <t>natural population growth 16-64</t>
  </si>
  <si>
    <t>migration balance (immi=-)*1000</t>
  </si>
  <si>
    <t>accumulated migration balance since 1979</t>
  </si>
  <si>
    <t>population 16/64 years*1000</t>
  </si>
  <si>
    <t>assesment informal sector,exl. Unemployed employee</t>
  </si>
  <si>
    <t>assesment informal sector,incl. Unemployed employee</t>
  </si>
  <si>
    <t>Exchange rate SRD/US$</t>
  </si>
  <si>
    <t>Direct taxes from households to the government</t>
  </si>
  <si>
    <t>Direct taxes from enterprises to the government</t>
  </si>
  <si>
    <t>Depreciation of enterprises</t>
  </si>
  <si>
    <t>Check GDP(=0)</t>
  </si>
  <si>
    <t>Gross Investments of enterprises</t>
  </si>
  <si>
    <t>Gross Value added of enterprises, nominal</t>
  </si>
  <si>
    <t>imports volume change</t>
  </si>
  <si>
    <t xml:space="preserve">Intrestrate Suriname </t>
  </si>
  <si>
    <t>Intrest USD</t>
  </si>
  <si>
    <t>Intrest Foreign Debt</t>
  </si>
  <si>
    <t>Foreign reserve stock (Total)</t>
  </si>
  <si>
    <t>Foreign reserve stock (CBvS)</t>
  </si>
  <si>
    <t>Statistical discrepancy BoP</t>
  </si>
  <si>
    <t>Balance of currrent account</t>
  </si>
  <si>
    <t>Inkomst.belasting Lich SAS (overige/incl.Staatsolie)</t>
  </si>
  <si>
    <t>ervaring met het model.</t>
  </si>
  <si>
    <t>beleidsmaatregelen beantwoorden aan de gestelde doelen,</t>
  </si>
  <si>
    <t>Interest betalingen op binnenlandse leningen in mln. SRD</t>
  </si>
  <si>
    <t>eind</t>
  </si>
  <si>
    <t>Financiële en Kapitaal balans</t>
  </si>
  <si>
    <t>5. de monetaire gegevens (regels 70 t/m 74)</t>
  </si>
  <si>
    <t xml:space="preserve">zoals het verlenen van vergunningen aan de bedrijven. Er wordt verondersteld dat de vraag van de </t>
  </si>
  <si>
    <t xml:space="preserve">bedrijven naar goederen en diensten van de overheid reëel niet toeneemt, m.a.w. de vraag is constant </t>
  </si>
  <si>
    <t xml:space="preserve">Daarna  volgt een korte termijn aanpassingsprogramma met het doel budgettaire en monetaire stabiliteit </t>
  </si>
  <si>
    <t xml:space="preserve">zien zijn in het gearceerde gedeelte. Overigens wordt het een en ander vereenvoudigd doordat </t>
  </si>
  <si>
    <t xml:space="preserve"> YBVP(-2)</t>
  </si>
  <si>
    <t>= Groei bruto toegevoegde waarde  bedrijven tegen marktprijzen (reëel), jaar t-2</t>
  </si>
  <si>
    <t>Wereldmarktprijs Aluinaarde in metrieke ton</t>
  </si>
  <si>
    <t>Surinaamseprijs Triplex SRD/m3</t>
  </si>
  <si>
    <t>*1000 (vanaf 2002)</t>
  </si>
  <si>
    <t xml:space="preserve">verondersteld met een jaar vertraging te geschieden. Met de introductie van het Self Assessment </t>
  </si>
  <si>
    <t xml:space="preserve">System (SAS), waarbij de inkomstenbelasting vooraf wordt geïnt, is het nodig deze vergelijking </t>
  </si>
  <si>
    <t>= Uitvoerwaarde van de belangrijkste exportproducten, jaar t</t>
  </si>
  <si>
    <t xml:space="preserve">De renteverplichtingen van de Staat t.o.v. het buitenland (ZOEWN) worden bepaald door de </t>
  </si>
  <si>
    <t xml:space="preserve">overheid met het buitenland. Deze omvatten alle middelen uit het buitenland (NHAS, EOF, IDB, </t>
  </si>
  <si>
    <t>Natuurlijke aanwas van de bevolking ts 16 en 64 jaar</t>
  </si>
  <si>
    <t xml:space="preserve">(inclusief de bauxietbedrijven) en de Dividendbelasting. Het grootste deel betreft de </t>
  </si>
  <si>
    <t>11. nadere berekeningen MICROBLOK (regels 336 t/m 383)</t>
  </si>
  <si>
    <t>IOWNB</t>
  </si>
  <si>
    <t xml:space="preserve">Wereldmarktprijs Toerisme </t>
  </si>
  <si>
    <t>sf</t>
  </si>
  <si>
    <t>srd</t>
  </si>
  <si>
    <t xml:space="preserve">bestedingen zoals lonen en salarissen, subsidies en transfers, interestbetalingen en investeringen. </t>
  </si>
  <si>
    <t>barrels</t>
  </si>
  <si>
    <t xml:space="preserve">= ((((MBWN+MOWN+MGWN)/(MBWN(-1)+MOWN(-1)+MGWN(-1)))/ </t>
  </si>
  <si>
    <t>De bovenstaande input is juist  voldoende om</t>
  </si>
  <si>
    <t>17</t>
  </si>
  <si>
    <t>18</t>
  </si>
  <si>
    <t>19</t>
  </si>
  <si>
    <t>20</t>
  </si>
  <si>
    <t>21</t>
  </si>
  <si>
    <t>RAFWPN (werkelijke prijs)</t>
  </si>
  <si>
    <t>? de variabelen m.b.t. de goederen en dienstenverkeer (regels 176 t/m 180)</t>
  </si>
  <si>
    <t>? de variabelen m.b.t. de primaire inkomens (regels 181 t/m 186)</t>
  </si>
  <si>
    <t xml:space="preserve">  In principe zouden alle investeringen (vervangings- en uitbreidingsinvesteringen, en investeringen in </t>
  </si>
  <si>
    <t xml:space="preserve">= Loonsom van de bedrijven, jaar t </t>
  </si>
  <si>
    <t xml:space="preserve">buitenland (KEOWN). De realisaties zijn in lijn gebracht met de cijfers van het IMF, alhoewel  </t>
  </si>
  <si>
    <t xml:space="preserve">bruto toegevoegde waarde tegen marktprijzen (YBVP(-1)/YBVP(-2)). Zie m.b.t. de verzameling van </t>
  </si>
  <si>
    <t>data ook IBMWN.</t>
  </si>
  <si>
    <t>.</t>
  </si>
  <si>
    <t>18. LBWN</t>
  </si>
  <si>
    <t xml:space="preserve"> LBWN(-1)</t>
  </si>
  <si>
    <t>geschiedt wanneer gelijk ermee wordt gewerkt, kunnen de taken van de trainer als volgt gedefinieerd:</t>
  </si>
  <si>
    <t xml:space="preserve"> ' DEVWN'(-1)+' SDBBWN'</t>
  </si>
  <si>
    <t xml:space="preserve"> AOAN(-1)</t>
  </si>
  <si>
    <t>HVNI1</t>
  </si>
  <si>
    <t xml:space="preserve">uitgegaan van schulden waarvan de bestedingen in kaart konden worden gebracht. De opgenomen </t>
  </si>
  <si>
    <t>VRE (juli  2008)</t>
  </si>
  <si>
    <t xml:space="preserve">Vangnet), betalingsbalanssteun, enz. De hoogte van KNEOWN is afhankelijk van de middelen die </t>
  </si>
  <si>
    <t xml:space="preserve">De Surinaamse prijs van rondhout (GARSPN) is afhankelijk van de Surinaamse prijs van het </t>
  </si>
  <si>
    <t xml:space="preserve">De inkomensoverdrachten om niet van de overheid aan het buitenland (OOEWN) blijven constant in </t>
  </si>
  <si>
    <t>reële termen. Bron: Betalingsbalans, CBvS</t>
  </si>
  <si>
    <t>47. ZOBWN</t>
  </si>
  <si>
    <t>= Rentevoet Suriname, jaar t</t>
  </si>
  <si>
    <t xml:space="preserve">voorgaand jaar (ALUSPN(-1)), de mutatie in de wereldmarktprijs van aluminium </t>
  </si>
  <si>
    <t xml:space="preserve">Omschrijving: Dit gedeelte bestaat uit een overzicht, waarbij het bruto-netto traject wordt </t>
  </si>
  <si>
    <t xml:space="preserve">Goederen en diensten door de overheid aan de gezinnen </t>
  </si>
  <si>
    <t>Bevolking 16/64 jaar   *1000</t>
  </si>
  <si>
    <t>Werkloosheid</t>
  </si>
  <si>
    <t>Gecummuleerde migratiesaldo vanaf'54</t>
  </si>
  <si>
    <t>II.10</t>
  </si>
  <si>
    <t>invoer goed.+dienst.door gezin.</t>
  </si>
  <si>
    <t>loonsom naar buitenland</t>
  </si>
  <si>
    <t xml:space="preserve">De binnenlandse staatsschuld  (SOBWN) is per definitie gelijk aan de som van de binnenlandse </t>
  </si>
  <si>
    <t xml:space="preserve"> CMOWNP+CMOWNB1+CMOWNB2+CMOWNB3</t>
  </si>
  <si>
    <t xml:space="preserve"> MPI(-1)</t>
  </si>
  <si>
    <t xml:space="preserve"> HVNA2</t>
  </si>
  <si>
    <t>Surinaamseprijs Vis SRD/ton</t>
  </si>
  <si>
    <t xml:space="preserve">meerdere inkomensgroepen meegenomen in de becijfering. Centraal staat o.a. de simulatie van de </t>
  </si>
  <si>
    <t xml:space="preserve">geven van wat de mogelijke effecten kunnen zijn en hoe de varianten in het model in te voegen. Voorts </t>
  </si>
  <si>
    <t xml:space="preserve">= Arbeidsplaatsen bij de bedrijven * 1000, jaar t  </t>
  </si>
  <si>
    <t>Consumptie belasting (Accijns op tabak, gedestilleerd enz.)</t>
  </si>
  <si>
    <t>II.4.3</t>
  </si>
  <si>
    <t>Zie I.2.1</t>
  </si>
  <si>
    <t>? Aanhoudende daling van de economische groei.</t>
  </si>
  <si>
    <t>De producten die uit deze training moeten voortkomen zijn:</t>
  </si>
  <si>
    <t>De belangrijkste karakteristieken van de Surinaamse economie</t>
  </si>
  <si>
    <t>GDP ABS Juni 2005</t>
  </si>
  <si>
    <t xml:space="preserve">verloop van de wisselkoers (PKRSQ). Naarmate de wisselkoers stijgt, zullen mensen nominaal meer </t>
  </si>
  <si>
    <t>Mutatie in de volume van de investeringen van de bedrijven</t>
  </si>
  <si>
    <t>Schenkingsmiddelen in geld (zoals geregistreerd door CBvS)</t>
  </si>
  <si>
    <t>II.7.5</t>
  </si>
  <si>
    <t xml:space="preserve">besloten om drs. Imro San A Jong te benoemen tot adviseur van de afdeling MEP met als opdracht zijn </t>
  </si>
  <si>
    <t xml:space="preserve"> ABS, Statistisch jaarboek 2004; blz 8</t>
  </si>
  <si>
    <t xml:space="preserve">Het Microblok </t>
  </si>
  <si>
    <t xml:space="preserve">winstinkomen uit het buitenland (ZEBWN - ZEWN + ZOEWN), het overig netto inkomen ontvangen </t>
  </si>
  <si>
    <t xml:space="preserve"> (VLTSCH(-1)-360)*(VLTSCH(-1)&gt;0)</t>
  </si>
  <si>
    <t xml:space="preserve"> BWN(-1)*(1+BPP/100)*(1+BMVP/100)</t>
  </si>
  <si>
    <t xml:space="preserve"> ' MGWN'(-1)*CGWN(-1)/CGWN(-2)</t>
  </si>
  <si>
    <t>investeringen in exportsector</t>
  </si>
  <si>
    <t>ind.bel.belangrijkste export</t>
  </si>
  <si>
    <t>consumptieprijsindex</t>
  </si>
  <si>
    <t>14. Invoering Onroerend goed belasting (3)</t>
  </si>
  <si>
    <t>De Arbeidsmarkt</t>
  </si>
  <si>
    <t xml:space="preserve">getoetst. Het blijkt dat deze schommelt tussen 3% en 4%, alhoewel het de laatste jaren meer naar 3% </t>
  </si>
  <si>
    <t>Kapitaalopbrengsten uitgaven (directe investeringen) Overig inkomen naar het buitenland van bedrijven ; Kap.opbr.uit Dir.Invest.(ZBEWN)</t>
  </si>
  <si>
    <t xml:space="preserve">Voor 2001 zijn de lonen geschat o.b.v. de realisaties van januari 2001 – maart 2001. Voor de </t>
  </si>
  <si>
    <t xml:space="preserve">kan). Het laatste is van belang m.b.t. de plausibiliteit, interpretatie en gewicht die gegeven moet\kan </t>
  </si>
  <si>
    <t xml:space="preserve">zoals gepresenteerd op de Betalingsbalans van de Centrale Bank van Suriname zijn vaak lager dan </t>
  </si>
  <si>
    <t>De kerngegevens: VES+ vs Ongewijzigd Beleid</t>
  </si>
  <si>
    <t>Overig inkomen van de bedrijven aan de overheid</t>
  </si>
  <si>
    <t>Materiele overheidsconsumptie (CMOWN):</t>
  </si>
  <si>
    <t>1)*100</t>
  </si>
  <si>
    <t>Uitvoerprijsmutatie</t>
  </si>
  <si>
    <t xml:space="preserve">De inkomensoverdrachten om niet van gezinnen naar het buitenland (OGEWN) hangt af van de </t>
  </si>
  <si>
    <t>Value of imports in US$ to main trading blocks</t>
  </si>
  <si>
    <t>44. OOGWNB1= OOGWNB1*PKRSQ</t>
  </si>
  <si>
    <t>Uit Update TurboABS, 21 September 2005</t>
  </si>
  <si>
    <t>ABS</t>
  </si>
  <si>
    <t>= Bevolking 16/64 jaar * 1000, jaar t-1</t>
  </si>
  <si>
    <t>TOEVN(-1) X TOESPN</t>
  </si>
  <si>
    <t xml:space="preserve">Afzetwaarde exclusief de exporten en de loonsom van de overheid </t>
  </si>
  <si>
    <t>= (?(Exporthoeveelheden(t-1)*exportprijzen(t))/BMWN(-1)-1)*100</t>
  </si>
  <si>
    <t xml:space="preserve">deze op in cel 2. Door dit voor alle groepen te doen, is uiteindelijk te zien hoeveel mensen in totaal </t>
  </si>
  <si>
    <t xml:space="preserve"> TDGQ</t>
  </si>
  <si>
    <t>= Wereldmarktprijs aardolie, jaar t-1</t>
  </si>
  <si>
    <t xml:space="preserve">waarden van tevoren worden vastgesteld, maar ook kan worden gekozen om deze zelf vast te stellen, </t>
  </si>
  <si>
    <t xml:space="preserve"> ABS, Census 2004. Cijfers gedefinieerd voor leeftijd 15-64 jr</t>
  </si>
  <si>
    <t>olie (loopt via data-input)</t>
  </si>
  <si>
    <t>immigratiesaldo per 1000</t>
  </si>
  <si>
    <t>Immigratiesaldo per1000</t>
  </si>
  <si>
    <t xml:space="preserve">als geheel wordt deze variabele gebruikt als “restpost”. Hiermee wordt bedoeld, dat wanneer alle </t>
  </si>
  <si>
    <t>De bedoeling van dit document is:</t>
  </si>
  <si>
    <t xml:space="preserve">neigt. In 2001 is de consumptiebelasting verhoogd en het Onderdirectoraat Invoerrechten en Accijnzen </t>
  </si>
  <si>
    <t>= Wereldmarktprijs hout, jaar t-1</t>
  </si>
  <si>
    <t>Bauxiet</t>
  </si>
  <si>
    <t xml:space="preserve">ontwikkelingen van de export per product, maar niet andersom. Het is dus van belang steeds de </t>
  </si>
  <si>
    <t>deviezenvoorraad in mln$</t>
  </si>
  <si>
    <t>Brentolie</t>
  </si>
  <si>
    <t>koers Euro/USD</t>
  </si>
  <si>
    <t xml:space="preserve">Toename ambtenarensalarissen (extra) </t>
  </si>
  <si>
    <t>IIB       Leninigen minus aflossingen (LMAWN)</t>
  </si>
  <si>
    <t>Indirecte Belastingen</t>
  </si>
  <si>
    <t>Overig inkomen naar het buitenland van bedrijven</t>
  </si>
  <si>
    <t>= Consumptieprijsmutatie , jaar t</t>
  </si>
  <si>
    <t>= Netto particuliere leningen uit het buitenland aan de overheid, jaar t</t>
  </si>
  <si>
    <t>Exportvolume Rafinaderij in barrels</t>
  </si>
  <si>
    <t>Invoer olie</t>
  </si>
  <si>
    <t>ABS, Basic Indicators 2006-I, juni 2006</t>
  </si>
  <si>
    <t>Q2</t>
  </si>
  <si>
    <t xml:space="preserve">wel geschikt voor het simuleren van effecten van alternatieve veronderstellingen ten aanzien van </t>
  </si>
  <si>
    <t>Goederen invoer</t>
  </si>
  <si>
    <t>SRD</t>
  </si>
  <si>
    <t>uitvoerprijs index (2007=100)</t>
  </si>
  <si>
    <t>invoerprijs (2007=100)</t>
  </si>
  <si>
    <t>Terms of trade</t>
  </si>
  <si>
    <t>Low Sulfur Diesel (Automotive Diesel)</t>
  </si>
  <si>
    <t xml:space="preserve">Exploratie &amp; production sustaining </t>
  </si>
  <si>
    <t>Crude bypass</t>
  </si>
  <si>
    <t>1. exogene variabelen (regels 1 t/m 80)</t>
  </si>
  <si>
    <t>2. endogene variabelen (regels 72 t/m 263)</t>
  </si>
  <si>
    <t>Totale omzetbelasting</t>
  </si>
  <si>
    <t>Omzetbelasting op de importen</t>
  </si>
  <si>
    <t>ROWR</t>
  </si>
  <si>
    <t xml:space="preserve">Het macro model maakt gebruik van variabelen die nodig zijn om de Nationale Rekeningen samen te </t>
  </si>
  <si>
    <t xml:space="preserve">De procentuele mutatie in het gemiddeld loon bij de overheid (LOAWP) wordt per definitie bepaald </t>
  </si>
  <si>
    <t xml:space="preserve">Het blijft echter moeilijk omdat particulier investeringsgedrag moeilijk in te schatten is. Bron: </t>
  </si>
  <si>
    <t>Betalingsbalans CBvS.</t>
  </si>
  <si>
    <t>75. KNEOWNC</t>
  </si>
  <si>
    <t>= Rente van de overheid aan de bedrijven, jaar t</t>
  </si>
  <si>
    <t>(1+MPP/100))-1)*100</t>
  </si>
  <si>
    <t xml:space="preserve">Loonsom naar het buitenland </t>
  </si>
  <si>
    <t>Overig inkomen van het buitenland aan de bedrijven</t>
  </si>
  <si>
    <t>,, 1000KG</t>
  </si>
  <si>
    <t xml:space="preserve">Voorheen werd deze variabele als volgt bepaald: HVNA2 = BWN*44/(BPI/100) + ((CMOWN*83 + </t>
  </si>
  <si>
    <t xml:space="preserve">cruciale variabelen in de orde van grootte van 50% ligt. M.a.w., dit model leent zich beter voor </t>
  </si>
  <si>
    <t>BBPmp conform ABS</t>
  </si>
  <si>
    <t>afgeboekt op de kas/transverschillen (KASTWN).</t>
  </si>
  <si>
    <t>Bruto investeringen van de bedrijven</t>
  </si>
  <si>
    <t>Loonsom van de bedrijven</t>
  </si>
  <si>
    <t>Afschrijvingen van de bedrijven</t>
  </si>
  <si>
    <t>Consumptie van de gezinnen</t>
  </si>
  <si>
    <t xml:space="preserve">7. het nagaan in welke mate de bekomen resultaten plausibel zijn, de gevonden resultaten in schrift </t>
  </si>
  <si>
    <t>investment price index</t>
  </si>
  <si>
    <t>import price index</t>
  </si>
  <si>
    <t>gross value added enterprises volume change</t>
  </si>
  <si>
    <t>private consumption volume change in %</t>
  </si>
  <si>
    <t>public consumption voolume change in %</t>
  </si>
  <si>
    <t>exports volume  change</t>
  </si>
  <si>
    <t>investments of enterprises volume  % change</t>
  </si>
  <si>
    <t>public investments volume % change</t>
  </si>
  <si>
    <t>12. beleidsmaatregelen (alle regels na 386)</t>
  </si>
  <si>
    <t xml:space="preserve">Beschrijving van het Surya Model </t>
  </si>
  <si>
    <t>5. de variabelen m.b.t. de betalingsbalans (regels 175 t/m 196)</t>
  </si>
  <si>
    <t>Hulpvariabelen arbeidsmarkt</t>
  </si>
  <si>
    <t>113.   HVNA1</t>
  </si>
  <si>
    <t>MOWN loopt via de bedrijven.</t>
  </si>
  <si>
    <t>121.   GDOBWN</t>
  </si>
  <si>
    <t>Invoer (autonoom deel)</t>
  </si>
  <si>
    <t>Oorzaken van de mutaties in de binnenlandse liquiditeitenmassa</t>
  </si>
  <si>
    <t xml:space="preserve">overheidsinvesteringen uit buitenlandse leningen  (IOWNB2) in US-DOLLAR vermenigvuldigt met de </t>
  </si>
  <si>
    <t xml:space="preserve">De Surinaamse prijs van goud  (GOUSPN) is afhankelijk van de Surinaamse prijs van het voorgaand  </t>
  </si>
  <si>
    <t xml:space="preserve">voor sommige groepen bekend, namelijk: die van landsdienaar, werknemer bij bedrijven en werklozen. </t>
  </si>
  <si>
    <t>Raming aantal:</t>
  </si>
  <si>
    <t>OEGWN(-1)*PKRSQ/PKRSQ(-1)</t>
  </si>
  <si>
    <t>TDBDPQ</t>
  </si>
  <si>
    <t xml:space="preserve">inflatie. In tijden dat de geldschepping t.b.v. de overheid groot is, is gebleken dat deze vergelijking </t>
  </si>
  <si>
    <t xml:space="preserve">De Surinaamse prijs van bacoven  (BACSPN) is afhankelijk van de Surinaamse prijs van het </t>
  </si>
  <si>
    <t xml:space="preserve">en steuninkomen (1-TDGQ)*LBESBWN)/(1-TDGQ(-1)*LBESBWN(-1) en de mutatie in het </t>
  </si>
  <si>
    <t>Saldo particulier kapitaal uit het buitenland</t>
  </si>
  <si>
    <t>geldhoeveelheid          ,,</t>
  </si>
  <si>
    <t>staatsschuld binnenland  ,,</t>
  </si>
  <si>
    <t>114.   HVNA2</t>
  </si>
  <si>
    <t>= Groei bruto toegevoegde waarde van de bedrijven tegen marktprijzen, jaar t</t>
  </si>
  <si>
    <t xml:space="preserve">aantallen per sociaal economische groep komen uit Suritax. De verdeling binnen een groep kan gelijk </t>
  </si>
  <si>
    <t xml:space="preserve">De totale omzetbelasting (TOWN) is per definitie gelijk aan de som van de omzetbelasting op de </t>
  </si>
  <si>
    <t xml:space="preserve">= Kas-/transverschil betalingsbalans in mln. Srg., jaar t  </t>
  </si>
  <si>
    <t>complement directe belastingdruk</t>
  </si>
  <si>
    <t>scen-2</t>
  </si>
  <si>
    <t>scen-1</t>
  </si>
  <si>
    <t>scen-3</t>
  </si>
  <si>
    <t>Finale afzet (vol)</t>
  </si>
  <si>
    <t>olie   Brent zie 11 regels lager</t>
  </si>
  <si>
    <t>Overige / Statistische verschillen</t>
  </si>
  <si>
    <t>GDP market prices real growth</t>
  </si>
  <si>
    <t>ICOR</t>
  </si>
  <si>
    <t>Winstbelasting goud sector</t>
  </si>
  <si>
    <t>GS</t>
  </si>
  <si>
    <r>
      <t xml:space="preserve">Gasoline </t>
    </r>
    <r>
      <rPr>
        <b/>
        <sz val="10"/>
        <rFont val="Arial"/>
        <family val="2"/>
      </rPr>
      <t>95 Ron</t>
    </r>
  </si>
  <si>
    <r>
      <rPr>
        <b/>
        <sz val="10"/>
        <rFont val="Arial"/>
        <family val="2"/>
      </rPr>
      <t>SO-Diesel</t>
    </r>
    <r>
      <rPr>
        <sz val="10"/>
        <rFont val="Arial"/>
        <family val="2"/>
      </rPr>
      <t xml:space="preserve"> (Gasoil)</t>
    </r>
  </si>
  <si>
    <t>Low Sulfur Diesel</t>
  </si>
  <si>
    <t>GOw2 (voorheen Suritex)</t>
  </si>
  <si>
    <t>beletspakket 2016 van 18dec 201516</t>
  </si>
  <si>
    <t>Idem I USD</t>
  </si>
  <si>
    <t>Gasoil (SO Diesel)</t>
  </si>
  <si>
    <t xml:space="preserve">pakket 5 jan </t>
  </si>
  <si>
    <t>GEMIDDELDE KOERS SRD/USD (PKRSQ)</t>
  </si>
  <si>
    <t>Suryamodel 7 jan 2016-Techn baseline</t>
  </si>
  <si>
    <t>Update suryamodel  :</t>
  </si>
</sst>
</file>

<file path=xl/styles.xml><?xml version="1.0" encoding="utf-8"?>
<styleSheet xmlns="http://schemas.openxmlformats.org/spreadsheetml/2006/main">
  <numFmts count="16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#,##0.0"/>
    <numFmt numFmtId="166" formatCode="0.0"/>
    <numFmt numFmtId="167" formatCode="0.000"/>
    <numFmt numFmtId="168" formatCode="_-* #,##0.0_-;_-* #,##0.0\-;_-* &quot;-&quot;??_-;_-@_-"/>
    <numFmt numFmtId="169" formatCode="_-* #,##0_-;_-* #,##0\-;_-* &quot;-&quot;??_-;_-@_-"/>
    <numFmt numFmtId="170" formatCode="_(* #,##0_);_(* \(#,##0\);_(* &quot;-&quot;??_);_(@_)"/>
    <numFmt numFmtId="171" formatCode="_(* #,##0.0_);_(* \(#,##0.0\);_(* &quot;-&quot;??_);_(@_)"/>
    <numFmt numFmtId="172" formatCode="0.00000"/>
    <numFmt numFmtId="173" formatCode="0.0000"/>
    <numFmt numFmtId="174" formatCode="_(* #,##0.000_);_(* \(#,##0.000\);_(* &quot;-&quot;??_);_(@_)"/>
    <numFmt numFmtId="175" formatCode="_-* #,##0.000000_-;_-* #,##0.000000\-;_-* &quot;-&quot;??_-;_-@_-"/>
    <numFmt numFmtId="176" formatCode="_(* #,##0.00000_);_(* \(#,##0.00000\);_(* &quot;-&quot;??_);_(@_)"/>
    <numFmt numFmtId="177" formatCode="_-* #,##0.000_-;_-* #,##0.000\-;_-* &quot;-&quot;??_-;_-@_-"/>
  </numFmts>
  <fonts count="131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1"/>
      <name val="Times New Roman"/>
      <family val="1"/>
    </font>
    <font>
      <b/>
      <sz val="8"/>
      <name val="Arial"/>
      <family val="2"/>
    </font>
    <font>
      <sz val="11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0"/>
      <name val="Times New Roman"/>
      <family val="1"/>
    </font>
    <font>
      <sz val="12"/>
      <color indexed="48"/>
      <name val="Times New Roman"/>
      <family val="1"/>
    </font>
    <font>
      <sz val="12"/>
      <color indexed="12"/>
      <name val="Times New Roman"/>
      <family val="1"/>
    </font>
    <font>
      <u/>
      <sz val="12"/>
      <color indexed="12"/>
      <name val="Times New Roman"/>
      <family val="1"/>
    </font>
    <font>
      <b/>
      <i/>
      <sz val="12"/>
      <name val="Times New Roman"/>
      <family val="1"/>
    </font>
    <font>
      <b/>
      <u/>
      <sz val="12"/>
      <color indexed="10"/>
      <name val="Times New Roman"/>
      <family val="1"/>
    </font>
    <font>
      <sz val="12"/>
      <color indexed="62"/>
      <name val="Times New Roman"/>
      <family val="1"/>
    </font>
    <font>
      <sz val="12"/>
      <color indexed="18"/>
      <name val="Times New Roman"/>
      <family val="1"/>
    </font>
    <font>
      <sz val="12"/>
      <color indexed="13"/>
      <name val="Times New Roman"/>
      <family val="1"/>
    </font>
    <font>
      <sz val="12"/>
      <color indexed="63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b/>
      <u/>
      <sz val="12"/>
      <color indexed="12"/>
      <name val="Times New Roman"/>
      <family val="1"/>
    </font>
    <font>
      <sz val="12"/>
      <color indexed="57"/>
      <name val="Times New Roman"/>
      <family val="1"/>
    </font>
    <font>
      <b/>
      <u/>
      <sz val="12"/>
      <name val="Times New Roman"/>
      <family val="1"/>
    </font>
    <font>
      <sz val="12"/>
      <color indexed="14"/>
      <name val="Times New Roman"/>
      <family val="1"/>
    </font>
    <font>
      <i/>
      <u/>
      <sz val="12"/>
      <name val="Times New Roman"/>
      <family val="1"/>
    </font>
    <font>
      <b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2"/>
      <color indexed="8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sz val="12"/>
      <color indexed="50"/>
      <name val="Times New Roman"/>
      <family val="1"/>
    </font>
    <font>
      <sz val="10"/>
      <color indexed="8"/>
      <name val="Arial"/>
      <family val="2"/>
    </font>
    <font>
      <b/>
      <sz val="20"/>
      <name val="Arial"/>
      <family val="2"/>
    </font>
    <font>
      <i/>
      <sz val="10"/>
      <color indexed="10"/>
      <name val="Arial"/>
      <family val="2"/>
    </font>
    <font>
      <b/>
      <sz val="20"/>
      <color indexed="10"/>
      <name val="Arial"/>
      <family val="2"/>
    </font>
    <font>
      <b/>
      <sz val="7.5"/>
      <name val="Arial"/>
      <family val="2"/>
    </font>
    <font>
      <sz val="9"/>
      <name val="Arial"/>
      <family val="2"/>
    </font>
    <font>
      <b/>
      <sz val="22"/>
      <color indexed="10"/>
      <name val="Times New Roman"/>
      <family val="1"/>
    </font>
    <font>
      <b/>
      <sz val="18"/>
      <name val="Arial"/>
      <family val="2"/>
    </font>
    <font>
      <sz val="16"/>
      <name val="Times New Roman"/>
      <family val="1"/>
    </font>
    <font>
      <b/>
      <sz val="16"/>
      <color indexed="14"/>
      <name val="Times New Roman"/>
      <family val="1"/>
    </font>
    <font>
      <b/>
      <sz val="12"/>
      <name val="Courier"/>
      <family val="3"/>
    </font>
    <font>
      <i/>
      <sz val="11"/>
      <name val="Times New Roman"/>
      <family val="1"/>
    </font>
    <font>
      <sz val="10"/>
      <color indexed="48"/>
      <name val="Arial"/>
      <family val="2"/>
    </font>
    <font>
      <i/>
      <sz val="8"/>
      <name val="Times New Roman"/>
      <family val="1"/>
    </font>
    <font>
      <sz val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9"/>
      <name val="Times New Roman"/>
      <family val="1"/>
    </font>
    <font>
      <sz val="12"/>
      <color indexed="9"/>
      <name val="Times New Roman"/>
      <family val="1"/>
    </font>
    <font>
      <sz val="10"/>
      <color indexed="9"/>
      <name val="Times New Roman"/>
      <family val="1"/>
    </font>
    <font>
      <b/>
      <sz val="14"/>
      <name val="Arial"/>
      <family val="2"/>
    </font>
    <font>
      <b/>
      <sz val="18"/>
      <name val="Times New Roman"/>
      <family val="1"/>
    </font>
    <font>
      <b/>
      <i/>
      <u/>
      <sz val="12"/>
      <color indexed="8"/>
      <name val="Times New Roman"/>
      <family val="1"/>
    </font>
    <font>
      <sz val="10"/>
      <color indexed="8"/>
      <name val="Arial Narrow"/>
      <family val="2"/>
    </font>
    <font>
      <sz val="8"/>
      <color indexed="8"/>
      <name val="Times New Roman"/>
      <family val="1"/>
    </font>
    <font>
      <sz val="10"/>
      <name val="Arial Narrow"/>
      <family val="2"/>
    </font>
    <font>
      <sz val="12"/>
      <color indexed="10"/>
      <name val="Times New Roman"/>
      <family val="1"/>
    </font>
    <font>
      <sz val="10"/>
      <name val="Arial"/>
      <family val="2"/>
    </font>
    <font>
      <i/>
      <sz val="12"/>
      <color indexed="10"/>
      <name val="Arial"/>
      <family val="2"/>
    </font>
    <font>
      <i/>
      <sz val="12"/>
      <color indexed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"/>
      <name val="Arial"/>
      <family val="2"/>
    </font>
    <font>
      <b/>
      <sz val="12"/>
      <color indexed="30"/>
      <name val="Arial"/>
      <family val="2"/>
    </font>
    <font>
      <b/>
      <sz val="11"/>
      <color indexed="8"/>
      <name val="Calibri"/>
      <family val="2"/>
    </font>
    <font>
      <b/>
      <i/>
      <sz val="12"/>
      <color indexed="8"/>
      <name val="Times New Roman"/>
      <family val="1"/>
    </font>
    <font>
      <b/>
      <sz val="12"/>
      <color indexed="9"/>
      <name val="Times New Roman"/>
      <family val="1"/>
    </font>
    <font>
      <sz val="12"/>
      <color indexed="9"/>
      <name val="Times New Roman"/>
      <family val="1"/>
    </font>
    <font>
      <b/>
      <sz val="14"/>
      <name val="Times New Roman"/>
      <family val="1"/>
    </font>
    <font>
      <b/>
      <sz val="12"/>
      <color indexed="9"/>
      <name val="Times New Roman"/>
      <family val="1"/>
    </font>
    <font>
      <b/>
      <sz val="12"/>
      <color indexed="10"/>
      <name val="Times New Roman"/>
      <family val="1"/>
    </font>
    <font>
      <sz val="10"/>
      <name val="Arial"/>
      <family val="2"/>
    </font>
    <font>
      <sz val="12"/>
      <color indexed="10"/>
      <name val="Times New Roman"/>
      <family val="1"/>
    </font>
    <font>
      <sz val="14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0"/>
      <name val="Cambria"/>
      <family val="1"/>
    </font>
    <font>
      <sz val="10"/>
      <name val="Cambria"/>
      <family val="1"/>
    </font>
    <font>
      <sz val="11"/>
      <color indexed="8"/>
      <name val="Arial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2"/>
      <color indexed="10"/>
      <name val="Times New Roman"/>
      <family val="1"/>
    </font>
    <font>
      <sz val="8"/>
      <name val="Arial"/>
      <family val="2"/>
    </font>
    <font>
      <sz val="12"/>
      <color indexed="10"/>
      <name val="Times New Roman"/>
      <family val="1"/>
    </font>
    <font>
      <b/>
      <sz val="11"/>
      <color indexed="10"/>
      <name val="Calibri"/>
      <family val="2"/>
    </font>
    <font>
      <b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sz val="12"/>
      <color indexed="8"/>
      <name val="Calibri"/>
      <family val="2"/>
    </font>
    <font>
      <sz val="12"/>
      <color indexed="10"/>
      <name val="Times New Roman"/>
      <family val="1"/>
    </font>
    <font>
      <sz val="10"/>
      <color indexed="10"/>
      <name val="Cambria"/>
      <family val="1"/>
    </font>
    <font>
      <sz val="10"/>
      <color indexed="10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</font>
    <font>
      <sz val="12"/>
      <color indexed="55"/>
      <name val="Times New Roman"/>
      <family val="1"/>
    </font>
    <font>
      <sz val="12"/>
      <color indexed="9"/>
      <name val="Times New Roman"/>
      <family val="1"/>
    </font>
    <font>
      <b/>
      <sz val="18"/>
      <color indexed="12"/>
      <name val="Times New Roman"/>
      <family val="1"/>
    </font>
    <font>
      <sz val="16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i/>
      <sz val="12"/>
      <color indexed="17"/>
      <name val="Times New Roman"/>
      <family val="1"/>
    </font>
    <font>
      <sz val="12"/>
      <color indexed="17"/>
      <name val="Times New Roman"/>
      <family val="1"/>
    </font>
    <font>
      <sz val="12"/>
      <color indexed="10"/>
      <name val="Times New Roman"/>
      <family val="1"/>
    </font>
    <font>
      <sz val="12"/>
      <color indexed="9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3" fillId="0" borderId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43" fontId="113" fillId="0" borderId="0" applyFont="0" applyFill="0" applyBorder="0" applyAlignment="0" applyProtection="0"/>
    <xf numFmtId="0" fontId="92" fillId="0" borderId="0"/>
    <xf numFmtId="0" fontId="3" fillId="0" borderId="0"/>
    <xf numFmtId="0" fontId="3" fillId="0" borderId="0"/>
    <xf numFmtId="0" fontId="3" fillId="0" borderId="0"/>
    <xf numFmtId="0" fontId="130" fillId="0" borderId="0"/>
    <xf numFmtId="0" fontId="130" fillId="0" borderId="0"/>
  </cellStyleXfs>
  <cellXfs count="1169">
    <xf numFmtId="0" fontId="0" fillId="0" borderId="0" xfId="0"/>
    <xf numFmtId="166" fontId="6" fillId="0" borderId="0" xfId="0" applyNumberFormat="1" applyFont="1"/>
    <xf numFmtId="166" fontId="6" fillId="2" borderId="0" xfId="0" applyNumberFormat="1" applyFont="1" applyFill="1"/>
    <xf numFmtId="0" fontId="6" fillId="0" borderId="0" xfId="0" applyFont="1"/>
    <xf numFmtId="166" fontId="14" fillId="0" borderId="0" xfId="0" applyNumberFormat="1" applyFont="1"/>
    <xf numFmtId="0" fontId="6" fillId="0" borderId="0" xfId="0" applyNumberFormat="1" applyFont="1"/>
    <xf numFmtId="165" fontId="6" fillId="2" borderId="0" xfId="0" applyNumberFormat="1" applyFont="1" applyFill="1"/>
    <xf numFmtId="165" fontId="6" fillId="0" borderId="0" xfId="0" applyNumberFormat="1" applyFont="1"/>
    <xf numFmtId="0" fontId="14" fillId="0" borderId="0" xfId="0" applyFont="1"/>
    <xf numFmtId="1" fontId="14" fillId="0" borderId="0" xfId="0" applyNumberFormat="1" applyFont="1"/>
    <xf numFmtId="0" fontId="6" fillId="3" borderId="0" xfId="0" applyFont="1" applyFill="1"/>
    <xf numFmtId="3" fontId="6" fillId="2" borderId="0" xfId="0" applyNumberFormat="1" applyFont="1" applyFill="1"/>
    <xf numFmtId="166" fontId="6" fillId="0" borderId="0" xfId="0" applyNumberFormat="1" applyFont="1" applyFill="1" applyBorder="1"/>
    <xf numFmtId="165" fontId="6" fillId="0" borderId="0" xfId="0" applyNumberFormat="1" applyFont="1" applyFill="1" applyBorder="1"/>
    <xf numFmtId="0" fontId="6" fillId="2" borderId="0" xfId="0" applyFont="1" applyFill="1"/>
    <xf numFmtId="3" fontId="6" fillId="0" borderId="0" xfId="0" applyNumberFormat="1" applyFont="1"/>
    <xf numFmtId="1" fontId="6" fillId="0" borderId="0" xfId="0" applyNumberFormat="1" applyFont="1"/>
    <xf numFmtId="166" fontId="18" fillId="0" borderId="0" xfId="0" applyNumberFormat="1" applyFont="1"/>
    <xf numFmtId="0" fontId="6" fillId="0" borderId="0" xfId="0" applyFont="1" applyFill="1"/>
    <xf numFmtId="0" fontId="6" fillId="0" borderId="0" xfId="0" applyNumberFormat="1" applyFont="1" applyFill="1"/>
    <xf numFmtId="0" fontId="8" fillId="0" borderId="0" xfId="0" applyNumberFormat="1" applyFont="1" applyFill="1"/>
    <xf numFmtId="166" fontId="6" fillId="2" borderId="0" xfId="0" applyNumberFormat="1" applyFont="1" applyFill="1" applyBorder="1"/>
    <xf numFmtId="1" fontId="6" fillId="4" borderId="0" xfId="0" applyNumberFormat="1" applyFont="1" applyFill="1"/>
    <xf numFmtId="1" fontId="6" fillId="5" borderId="0" xfId="0" applyNumberFormat="1" applyFont="1" applyFill="1"/>
    <xf numFmtId="0" fontId="6" fillId="0" borderId="0" xfId="0" applyFont="1" applyFill="1" applyAlignment="1"/>
    <xf numFmtId="166" fontId="6" fillId="0" borderId="0" xfId="0" applyNumberFormat="1" applyFont="1" applyFill="1"/>
    <xf numFmtId="0" fontId="6" fillId="4" borderId="0" xfId="0" applyFont="1" applyFill="1"/>
    <xf numFmtId="3" fontId="8" fillId="5" borderId="0" xfId="0" applyNumberFormat="1" applyFont="1" applyFill="1"/>
    <xf numFmtId="165" fontId="6" fillId="0" borderId="0" xfId="0" applyNumberFormat="1" applyFont="1" applyFill="1"/>
    <xf numFmtId="165" fontId="8" fillId="4" borderId="0" xfId="0" applyNumberFormat="1" applyFont="1" applyFill="1"/>
    <xf numFmtId="165" fontId="8" fillId="0" borderId="0" xfId="0" applyNumberFormat="1" applyFont="1" applyFill="1"/>
    <xf numFmtId="166" fontId="8" fillId="2" borderId="0" xfId="0" applyNumberFormat="1" applyFont="1" applyFill="1"/>
    <xf numFmtId="166" fontId="6" fillId="4" borderId="0" xfId="0" applyNumberFormat="1" applyFont="1" applyFill="1"/>
    <xf numFmtId="4" fontId="6" fillId="0" borderId="0" xfId="0" applyNumberFormat="1" applyFont="1" applyFill="1"/>
    <xf numFmtId="4" fontId="8" fillId="0" borderId="0" xfId="0" applyNumberFormat="1" applyFont="1" applyFill="1"/>
    <xf numFmtId="4" fontId="8" fillId="5" borderId="0" xfId="0" applyNumberFormat="1" applyFont="1" applyFill="1"/>
    <xf numFmtId="2" fontId="6" fillId="4" borderId="0" xfId="0" applyNumberFormat="1" applyFont="1" applyFill="1"/>
    <xf numFmtId="4" fontId="6" fillId="0" borderId="0" xfId="0" applyNumberFormat="1" applyFont="1" applyFill="1" applyBorder="1"/>
    <xf numFmtId="1" fontId="6" fillId="0" borderId="0" xfId="0" applyNumberFormat="1" applyFont="1" applyFill="1"/>
    <xf numFmtId="1" fontId="14" fillId="0" borderId="0" xfId="0" applyNumberFormat="1" applyFont="1" applyFill="1"/>
    <xf numFmtId="166" fontId="6" fillId="5" borderId="0" xfId="0" applyNumberFormat="1" applyFont="1" applyFill="1"/>
    <xf numFmtId="165" fontId="6" fillId="2" borderId="0" xfId="0" applyNumberFormat="1" applyFont="1" applyFill="1" applyBorder="1"/>
    <xf numFmtId="0" fontId="15" fillId="0" borderId="0" xfId="0" applyNumberFormat="1" applyFont="1" applyFill="1" applyBorder="1"/>
    <xf numFmtId="0" fontId="6" fillId="0" borderId="0" xfId="0" applyNumberFormat="1" applyFont="1" applyFill="1" applyBorder="1"/>
    <xf numFmtId="0" fontId="14" fillId="0" borderId="0" xfId="0" applyNumberFormat="1" applyFont="1" applyFill="1" applyBorder="1"/>
    <xf numFmtId="0" fontId="9" fillId="0" borderId="0" xfId="0" applyNumberFormat="1" applyFont="1" applyFill="1" applyBorder="1"/>
    <xf numFmtId="0" fontId="21" fillId="0" borderId="0" xfId="0" applyNumberFormat="1" applyFont="1" applyFill="1" applyBorder="1"/>
    <xf numFmtId="0" fontId="8" fillId="0" borderId="0" xfId="0" applyNumberFormat="1" applyFont="1" applyFill="1" applyBorder="1"/>
    <xf numFmtId="4" fontId="6" fillId="2" borderId="0" xfId="0" applyNumberFormat="1" applyFont="1" applyFill="1" applyBorder="1"/>
    <xf numFmtId="3" fontId="6" fillId="5" borderId="0" xfId="0" applyNumberFormat="1" applyFont="1" applyFill="1" applyBorder="1"/>
    <xf numFmtId="4" fontId="8" fillId="0" borderId="0" xfId="0" applyNumberFormat="1" applyFont="1" applyFill="1" applyBorder="1"/>
    <xf numFmtId="3" fontId="6" fillId="0" borderId="0" xfId="0" applyNumberFormat="1" applyFont="1" applyFill="1" applyBorder="1"/>
    <xf numFmtId="2" fontId="6" fillId="0" borderId="0" xfId="0" applyNumberFormat="1" applyFont="1"/>
    <xf numFmtId="0" fontId="6" fillId="6" borderId="0" xfId="0" applyNumberFormat="1" applyFont="1" applyFill="1"/>
    <xf numFmtId="0" fontId="6" fillId="6" borderId="0" xfId="0" applyNumberFormat="1" applyFont="1" applyFill="1" applyBorder="1"/>
    <xf numFmtId="0" fontId="8" fillId="6" borderId="0" xfId="0" applyNumberFormat="1" applyFont="1" applyFill="1"/>
    <xf numFmtId="0" fontId="24" fillId="7" borderId="0" xfId="0" applyNumberFormat="1" applyFont="1" applyFill="1"/>
    <xf numFmtId="0" fontId="6" fillId="7" borderId="0" xfId="0" applyNumberFormat="1" applyFont="1" applyFill="1" applyBorder="1"/>
    <xf numFmtId="0" fontId="6" fillId="7" borderId="0" xfId="0" applyNumberFormat="1" applyFont="1" applyFill="1"/>
    <xf numFmtId="0" fontId="19" fillId="7" borderId="0" xfId="10" applyNumberFormat="1" applyFont="1" applyFill="1" applyAlignment="1" applyProtection="1"/>
    <xf numFmtId="0" fontId="8" fillId="7" borderId="0" xfId="0" applyNumberFormat="1" applyFont="1" applyFill="1"/>
    <xf numFmtId="0" fontId="24" fillId="0" borderId="0" xfId="0" applyNumberFormat="1" applyFont="1" applyFill="1"/>
    <xf numFmtId="0" fontId="14" fillId="0" borderId="0" xfId="0" applyNumberFormat="1" applyFont="1" applyFill="1" applyAlignment="1">
      <alignment horizontal="center"/>
    </xf>
    <xf numFmtId="0" fontId="10" fillId="0" borderId="0" xfId="0" applyNumberFormat="1" applyFont="1" applyFill="1" applyBorder="1"/>
    <xf numFmtId="0" fontId="6" fillId="8" borderId="0" xfId="0" applyNumberFormat="1" applyFont="1" applyFill="1"/>
    <xf numFmtId="0" fontId="6" fillId="9" borderId="0" xfId="0" applyNumberFormat="1" applyFont="1" applyFill="1"/>
    <xf numFmtId="0" fontId="6" fillId="2" borderId="0" xfId="0" applyNumberFormat="1" applyFont="1" applyFill="1"/>
    <xf numFmtId="0" fontId="6" fillId="4" borderId="0" xfId="0" applyNumberFormat="1" applyFont="1" applyFill="1"/>
    <xf numFmtId="0" fontId="16" fillId="0" borderId="0" xfId="0" applyNumberFormat="1" applyFont="1" applyFill="1" applyBorder="1"/>
    <xf numFmtId="0" fontId="19" fillId="0" borderId="0" xfId="10" applyFont="1" applyAlignment="1" applyProtection="1"/>
    <xf numFmtId="0" fontId="15" fillId="2" borderId="0" xfId="0" applyNumberFormat="1" applyFont="1" applyFill="1" applyBorder="1"/>
    <xf numFmtId="0" fontId="14" fillId="2" borderId="0" xfId="0" applyNumberFormat="1" applyFont="1" applyFill="1" applyBorder="1"/>
    <xf numFmtId="0" fontId="9" fillId="2" borderId="0" xfId="0" applyNumberFormat="1" applyFont="1" applyFill="1" applyBorder="1"/>
    <xf numFmtId="3" fontId="8" fillId="0" borderId="1" xfId="0" applyNumberFormat="1" applyFont="1" applyFill="1" applyBorder="1"/>
    <xf numFmtId="3" fontId="6" fillId="5" borderId="0" xfId="0" applyNumberFormat="1" applyFont="1" applyFill="1"/>
    <xf numFmtId="3" fontId="6" fillId="9" borderId="0" xfId="0" applyNumberFormat="1" applyFont="1" applyFill="1"/>
    <xf numFmtId="3" fontId="6" fillId="0" borderId="0" xfId="0" applyNumberFormat="1" applyFont="1" applyFill="1"/>
    <xf numFmtId="3" fontId="6" fillId="5" borderId="0" xfId="3" applyNumberFormat="1" applyFont="1" applyFill="1"/>
    <xf numFmtId="4" fontId="8" fillId="0" borderId="1" xfId="0" applyNumberFormat="1" applyFont="1" applyFill="1" applyBorder="1"/>
    <xf numFmtId="3" fontId="8" fillId="9" borderId="0" xfId="0" applyNumberFormat="1" applyFont="1" applyFill="1"/>
    <xf numFmtId="3" fontId="8" fillId="0" borderId="0" xfId="0" applyNumberFormat="1" applyFont="1" applyFill="1"/>
    <xf numFmtId="4" fontId="25" fillId="0" borderId="0" xfId="0" applyNumberFormat="1" applyFont="1" applyFill="1" applyBorder="1"/>
    <xf numFmtId="2" fontId="26" fillId="0" borderId="0" xfId="0" applyNumberFormat="1" applyFont="1" applyFill="1"/>
    <xf numFmtId="2" fontId="6" fillId="0" borderId="0" xfId="0" applyNumberFormat="1" applyFont="1" applyFill="1"/>
    <xf numFmtId="2" fontId="8" fillId="0" borderId="0" xfId="0" applyNumberFormat="1" applyFont="1" applyFill="1"/>
    <xf numFmtId="3" fontId="27" fillId="0" borderId="0" xfId="10" applyNumberFormat="1" applyFont="1" applyFill="1" applyBorder="1" applyAlignment="1" applyProtection="1"/>
    <xf numFmtId="3" fontId="6" fillId="4" borderId="0" xfId="0" applyNumberFormat="1" applyFont="1" applyFill="1"/>
    <xf numFmtId="3" fontId="8" fillId="0" borderId="0" xfId="0" applyNumberFormat="1" applyFont="1" applyFill="1" applyBorder="1"/>
    <xf numFmtId="3" fontId="16" fillId="0" borderId="0" xfId="0" applyNumberFormat="1" applyFont="1" applyFill="1"/>
    <xf numFmtId="0" fontId="28" fillId="0" borderId="0" xfId="0" applyNumberFormat="1" applyFont="1" applyFill="1" applyBorder="1"/>
    <xf numFmtId="3" fontId="14" fillId="0" borderId="0" xfId="0" applyNumberFormat="1" applyFont="1" applyFill="1" applyBorder="1"/>
    <xf numFmtId="3" fontId="9" fillId="0" borderId="0" xfId="0" applyNumberFormat="1" applyFont="1" applyFill="1" applyBorder="1"/>
    <xf numFmtId="1" fontId="6" fillId="0" borderId="0" xfId="0" applyNumberFormat="1" applyFont="1" applyFill="1" applyBorder="1"/>
    <xf numFmtId="3" fontId="15" fillId="0" borderId="0" xfId="0" applyNumberFormat="1" applyFont="1" applyFill="1" applyBorder="1"/>
    <xf numFmtId="3" fontId="8" fillId="4" borderId="0" xfId="0" applyNumberFormat="1" applyFont="1" applyFill="1"/>
    <xf numFmtId="3" fontId="14" fillId="2" borderId="0" xfId="0" applyNumberFormat="1" applyFont="1" applyFill="1" applyBorder="1"/>
    <xf numFmtId="3" fontId="6" fillId="8" borderId="0" xfId="0" applyNumberFormat="1" applyFont="1" applyFill="1"/>
    <xf numFmtId="3" fontId="29" fillId="0" borderId="0" xfId="0" applyNumberFormat="1" applyFont="1" applyFill="1" applyBorder="1"/>
    <xf numFmtId="3" fontId="8" fillId="10" borderId="0" xfId="0" applyNumberFormat="1" applyFont="1" applyFill="1"/>
    <xf numFmtId="166" fontId="8" fillId="0" borderId="0" xfId="0" applyNumberFormat="1" applyFont="1" applyFill="1"/>
    <xf numFmtId="166" fontId="10" fillId="0" borderId="0" xfId="0" applyNumberFormat="1" applyFont="1" applyFill="1" applyBorder="1"/>
    <xf numFmtId="1" fontId="8" fillId="0" borderId="0" xfId="0" applyNumberFormat="1" applyFont="1" applyFill="1"/>
    <xf numFmtId="3" fontId="6" fillId="4" borderId="0" xfId="0" applyNumberFormat="1" applyFont="1" applyFill="1" applyBorder="1"/>
    <xf numFmtId="3" fontId="8" fillId="4" borderId="0" xfId="0" applyNumberFormat="1" applyFont="1" applyFill="1" applyBorder="1"/>
    <xf numFmtId="0" fontId="30" fillId="0" borderId="0" xfId="0" applyNumberFormat="1" applyFont="1" applyFill="1" applyBorder="1"/>
    <xf numFmtId="3" fontId="8" fillId="11" borderId="0" xfId="0" applyNumberFormat="1" applyFont="1" applyFill="1" applyBorder="1"/>
    <xf numFmtId="3" fontId="25" fillId="0" borderId="0" xfId="0" applyNumberFormat="1" applyFont="1" applyFill="1" applyBorder="1"/>
    <xf numFmtId="3" fontId="18" fillId="0" borderId="0" xfId="0" applyNumberFormat="1" applyFont="1" applyFill="1"/>
    <xf numFmtId="3" fontId="16" fillId="0" borderId="0" xfId="0" applyNumberFormat="1" applyFont="1" applyFill="1" applyBorder="1"/>
    <xf numFmtId="3" fontId="25" fillId="0" borderId="0" xfId="0" applyNumberFormat="1" applyFont="1" applyFill="1"/>
    <xf numFmtId="165" fontId="16" fillId="0" borderId="0" xfId="0" applyNumberFormat="1" applyFont="1" applyFill="1"/>
    <xf numFmtId="165" fontId="10" fillId="0" borderId="0" xfId="0" applyNumberFormat="1" applyFont="1" applyFill="1" applyBorder="1"/>
    <xf numFmtId="166" fontId="8" fillId="0" borderId="1" xfId="0" applyNumberFormat="1" applyFont="1" applyFill="1" applyBorder="1"/>
    <xf numFmtId="165" fontId="6" fillId="5" borderId="0" xfId="0" applyNumberFormat="1" applyFont="1" applyFill="1"/>
    <xf numFmtId="165" fontId="8" fillId="8" borderId="0" xfId="0" applyNumberFormat="1" applyFont="1" applyFill="1"/>
    <xf numFmtId="166" fontId="8" fillId="8" borderId="0" xfId="0" applyNumberFormat="1" applyFont="1" applyFill="1"/>
    <xf numFmtId="165" fontId="8" fillId="0" borderId="1" xfId="0" applyNumberFormat="1" applyFont="1" applyFill="1" applyBorder="1"/>
    <xf numFmtId="165" fontId="6" fillId="8" borderId="0" xfId="0" applyNumberFormat="1" applyFont="1" applyFill="1"/>
    <xf numFmtId="166" fontId="6" fillId="0" borderId="0" xfId="0" applyNumberFormat="1" applyFont="1" applyFill="1" applyAlignment="1"/>
    <xf numFmtId="166" fontId="6" fillId="11" borderId="0" xfId="0" applyNumberFormat="1" applyFont="1" applyFill="1"/>
    <xf numFmtId="2" fontId="8" fillId="0" borderId="0" xfId="0" applyNumberFormat="1" applyFont="1" applyFill="1" applyBorder="1"/>
    <xf numFmtId="2" fontId="6" fillId="0" borderId="0" xfId="0" applyNumberFormat="1" applyFont="1" applyFill="1" applyBorder="1"/>
    <xf numFmtId="3" fontId="22" fillId="0" borderId="0" xfId="0" applyNumberFormat="1" applyFont="1" applyFill="1" applyBorder="1"/>
    <xf numFmtId="0" fontId="6" fillId="12" borderId="0" xfId="0" applyFont="1" applyFill="1"/>
    <xf numFmtId="0" fontId="26" fillId="0" borderId="0" xfId="0" applyFont="1"/>
    <xf numFmtId="1" fontId="26" fillId="0" borderId="0" xfId="0" applyNumberFormat="1" applyFont="1"/>
    <xf numFmtId="1" fontId="26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center"/>
    </xf>
    <xf numFmtId="0" fontId="16" fillId="0" borderId="0" xfId="0" applyFont="1"/>
    <xf numFmtId="0" fontId="14" fillId="7" borderId="0" xfId="0" applyNumberFormat="1" applyFont="1" applyFill="1"/>
    <xf numFmtId="0" fontId="6" fillId="0" borderId="0" xfId="0" quotePrefix="1" applyFont="1"/>
    <xf numFmtId="4" fontId="6" fillId="0" borderId="0" xfId="0" applyNumberFormat="1" applyFont="1"/>
    <xf numFmtId="0" fontId="9" fillId="0" borderId="0" xfId="0" applyNumberFormat="1" applyFont="1" applyFill="1"/>
    <xf numFmtId="0" fontId="26" fillId="0" borderId="0" xfId="0" applyNumberFormat="1" applyFont="1" applyFill="1" applyBorder="1"/>
    <xf numFmtId="166" fontId="32" fillId="0" borderId="0" xfId="0" applyNumberFormat="1" applyFont="1" applyFill="1" applyBorder="1"/>
    <xf numFmtId="0" fontId="20" fillId="0" borderId="0" xfId="0" applyNumberFormat="1" applyFont="1" applyFill="1" applyBorder="1"/>
    <xf numFmtId="0" fontId="32" fillId="0" borderId="0" xfId="0" applyNumberFormat="1" applyFont="1" applyFill="1" applyBorder="1"/>
    <xf numFmtId="165" fontId="26" fillId="0" borderId="0" xfId="0" applyNumberFormat="1" applyFont="1" applyFill="1" applyBorder="1"/>
    <xf numFmtId="0" fontId="6" fillId="5" borderId="0" xfId="0" applyNumberFormat="1" applyFont="1" applyFill="1" applyBorder="1"/>
    <xf numFmtId="3" fontId="26" fillId="0" borderId="0" xfId="0" applyNumberFormat="1" applyFont="1" applyFill="1" applyBorder="1"/>
    <xf numFmtId="3" fontId="6" fillId="0" borderId="0" xfId="10" applyNumberFormat="1" applyFont="1" applyFill="1" applyBorder="1" applyAlignment="1" applyProtection="1"/>
    <xf numFmtId="0" fontId="6" fillId="10" borderId="0" xfId="0" applyFont="1" applyFill="1"/>
    <xf numFmtId="0" fontId="6" fillId="8" borderId="0" xfId="0" applyFont="1" applyFill="1"/>
    <xf numFmtId="2" fontId="14" fillId="2" borderId="0" xfId="0" applyNumberFormat="1" applyFont="1" applyFill="1"/>
    <xf numFmtId="2" fontId="8" fillId="2" borderId="0" xfId="0" applyNumberFormat="1" applyFont="1" applyFill="1"/>
    <xf numFmtId="0" fontId="8" fillId="2" borderId="0" xfId="0" applyNumberFormat="1" applyFont="1" applyFill="1"/>
    <xf numFmtId="3" fontId="15" fillId="2" borderId="0" xfId="0" applyNumberFormat="1" applyFont="1" applyFill="1"/>
    <xf numFmtId="0" fontId="15" fillId="2" borderId="0" xfId="0" applyFont="1" applyFill="1"/>
    <xf numFmtId="1" fontId="4" fillId="0" borderId="0" xfId="10" applyNumberFormat="1" applyFill="1" applyAlignment="1" applyProtection="1"/>
    <xf numFmtId="0" fontId="14" fillId="0" borderId="0" xfId="0" applyFont="1" applyFill="1"/>
    <xf numFmtId="0" fontId="0" fillId="0" borderId="0" xfId="0" applyFill="1"/>
    <xf numFmtId="3" fontId="8" fillId="2" borderId="0" xfId="0" applyNumberFormat="1" applyFont="1" applyFill="1"/>
    <xf numFmtId="1" fontId="6" fillId="9" borderId="0" xfId="0" applyNumberFormat="1" applyFont="1" applyFill="1"/>
    <xf numFmtId="0" fontId="26" fillId="0" borderId="0" xfId="0" applyNumberFormat="1" applyFont="1" applyFill="1"/>
    <xf numFmtId="3" fontId="8" fillId="8" borderId="0" xfId="0" applyNumberFormat="1" applyFont="1" applyFill="1"/>
    <xf numFmtId="1" fontId="6" fillId="8" borderId="0" xfId="0" applyNumberFormat="1" applyFont="1" applyFill="1"/>
    <xf numFmtId="3" fontId="8" fillId="10" borderId="0" xfId="0" applyNumberFormat="1" applyFont="1" applyFill="1" applyBorder="1"/>
    <xf numFmtId="3" fontId="6" fillId="10" borderId="0" xfId="0" applyNumberFormat="1" applyFont="1" applyFill="1" applyBorder="1"/>
    <xf numFmtId="3" fontId="6" fillId="10" borderId="0" xfId="0" applyNumberFormat="1" applyFont="1" applyFill="1"/>
    <xf numFmtId="1" fontId="6" fillId="10" borderId="0" xfId="0" applyNumberFormat="1" applyFont="1" applyFill="1"/>
    <xf numFmtId="3" fontId="25" fillId="10" borderId="0" xfId="0" applyNumberFormat="1" applyFont="1" applyFill="1" applyBorder="1"/>
    <xf numFmtId="3" fontId="29" fillId="10" borderId="0" xfId="0" applyNumberFormat="1" applyFont="1" applyFill="1" applyBorder="1"/>
    <xf numFmtId="166" fontId="8" fillId="0" borderId="0" xfId="0" applyNumberFormat="1" applyFont="1" applyFill="1" applyBorder="1"/>
    <xf numFmtId="1" fontId="8" fillId="2" borderId="0" xfId="0" applyNumberFormat="1" applyFont="1" applyFill="1"/>
    <xf numFmtId="0" fontId="39" fillId="0" borderId="0" xfId="0" applyFont="1"/>
    <xf numFmtId="1" fontId="39" fillId="0" borderId="0" xfId="0" applyNumberFormat="1" applyFont="1"/>
    <xf numFmtId="166" fontId="39" fillId="0" borderId="0" xfId="0" applyNumberFormat="1" applyFont="1"/>
    <xf numFmtId="1" fontId="39" fillId="2" borderId="0" xfId="0" applyNumberFormat="1" applyFont="1" applyFill="1"/>
    <xf numFmtId="1" fontId="39" fillId="8" borderId="0" xfId="0" applyNumberFormat="1" applyFont="1" applyFill="1"/>
    <xf numFmtId="1" fontId="39" fillId="14" borderId="0" xfId="0" applyNumberFormat="1" applyFont="1" applyFill="1"/>
    <xf numFmtId="1" fontId="39" fillId="15" borderId="0" xfId="0" applyNumberFormat="1" applyFont="1" applyFill="1"/>
    <xf numFmtId="167" fontId="39" fillId="0" borderId="0" xfId="0" applyNumberFormat="1" applyFont="1"/>
    <xf numFmtId="1" fontId="40" fillId="0" borderId="0" xfId="0" applyNumberFormat="1" applyFont="1"/>
    <xf numFmtId="166" fontId="39" fillId="8" borderId="0" xfId="0" applyNumberFormat="1" applyFont="1" applyFill="1"/>
    <xf numFmtId="166" fontId="39" fillId="10" borderId="0" xfId="0" applyNumberFormat="1" applyFont="1" applyFill="1"/>
    <xf numFmtId="1" fontId="39" fillId="0" borderId="0" xfId="0" applyNumberFormat="1" applyFont="1" applyFill="1"/>
    <xf numFmtId="169" fontId="39" fillId="0" borderId="0" xfId="3" applyNumberFormat="1" applyFont="1"/>
    <xf numFmtId="168" fontId="39" fillId="0" borderId="0" xfId="3" applyNumberFormat="1" applyFont="1"/>
    <xf numFmtId="1" fontId="40" fillId="0" borderId="0" xfId="0" applyNumberFormat="1" applyFont="1" applyFill="1"/>
    <xf numFmtId="1" fontId="39" fillId="5" borderId="0" xfId="0" applyNumberFormat="1" applyFont="1" applyFill="1"/>
    <xf numFmtId="1" fontId="39" fillId="4" borderId="0" xfId="0" applyNumberFormat="1" applyFont="1" applyFill="1"/>
    <xf numFmtId="166" fontId="39" fillId="4" borderId="0" xfId="0" applyNumberFormat="1" applyFont="1" applyFill="1"/>
    <xf numFmtId="166" fontId="39" fillId="4" borderId="0" xfId="0" quotePrefix="1" applyNumberFormat="1" applyFont="1" applyFill="1"/>
    <xf numFmtId="166" fontId="39" fillId="5" borderId="0" xfId="0" applyNumberFormat="1" applyFont="1" applyFill="1"/>
    <xf numFmtId="0" fontId="39" fillId="4" borderId="0" xfId="0" applyFont="1" applyFill="1"/>
    <xf numFmtId="168" fontId="39" fillId="5" borderId="0" xfId="3" applyNumberFormat="1" applyFont="1" applyFill="1"/>
    <xf numFmtId="0" fontId="39" fillId="2" borderId="0" xfId="0" applyFont="1" applyFill="1"/>
    <xf numFmtId="0" fontId="39" fillId="2" borderId="0" xfId="0" quotePrefix="1" applyFont="1" applyFill="1"/>
    <xf numFmtId="166" fontId="39" fillId="2" borderId="0" xfId="0" applyNumberFormat="1" applyFont="1" applyFill="1"/>
    <xf numFmtId="1" fontId="39" fillId="2" borderId="0" xfId="0" quotePrefix="1" applyNumberFormat="1" applyFont="1" applyFill="1"/>
    <xf numFmtId="166" fontId="39" fillId="15" borderId="0" xfId="0" applyNumberFormat="1" applyFont="1" applyFill="1"/>
    <xf numFmtId="166" fontId="40" fillId="0" borderId="0" xfId="0" applyNumberFormat="1" applyFont="1"/>
    <xf numFmtId="166" fontId="40" fillId="16" borderId="0" xfId="0" applyNumberFormat="1" applyFont="1" applyFill="1"/>
    <xf numFmtId="166" fontId="39" fillId="2" borderId="0" xfId="0" quotePrefix="1" applyNumberFormat="1" applyFont="1" applyFill="1"/>
    <xf numFmtId="3" fontId="41" fillId="0" borderId="0" xfId="0" applyNumberFormat="1" applyFont="1" applyFill="1" applyBorder="1"/>
    <xf numFmtId="166" fontId="6" fillId="8" borderId="0" xfId="0" applyNumberFormat="1" applyFont="1" applyFill="1"/>
    <xf numFmtId="0" fontId="6" fillId="9" borderId="0" xfId="0" applyFont="1" applyFill="1"/>
    <xf numFmtId="0" fontId="6" fillId="0" borderId="0" xfId="0" applyFont="1" applyAlignment="1">
      <alignment horizontal="center"/>
    </xf>
    <xf numFmtId="0" fontId="6" fillId="9" borderId="0" xfId="0" applyFont="1" applyFill="1" applyAlignment="1">
      <alignment horizontal="center"/>
    </xf>
    <xf numFmtId="0" fontId="6" fillId="6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6" fillId="7" borderId="0" xfId="0" applyNumberFormat="1" applyFont="1" applyFill="1" applyBorder="1" applyAlignment="1">
      <alignment horizontal="center"/>
    </xf>
    <xf numFmtId="0" fontId="4" fillId="0" borderId="0" xfId="10" applyNumberFormat="1" applyFill="1" applyAlignment="1" applyProtection="1">
      <alignment horizontal="center"/>
    </xf>
    <xf numFmtId="0" fontId="4" fillId="0" borderId="0" xfId="10" applyAlignment="1" applyProtection="1">
      <alignment horizontal="center"/>
    </xf>
    <xf numFmtId="0" fontId="6" fillId="0" borderId="0" xfId="0" applyNumberFormat="1" applyFont="1" applyFill="1" applyAlignment="1">
      <alignment horizontal="center"/>
    </xf>
    <xf numFmtId="0" fontId="15" fillId="2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Alignment="1">
      <alignment horizontal="center"/>
    </xf>
    <xf numFmtId="0" fontId="28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center"/>
    </xf>
    <xf numFmtId="3" fontId="6" fillId="1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3" fontId="6" fillId="10" borderId="0" xfId="0" applyNumberFormat="1" applyFont="1" applyFill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66" fontId="10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/>
    </xf>
    <xf numFmtId="0" fontId="39" fillId="0" borderId="0" xfId="0" applyFont="1" applyFill="1"/>
    <xf numFmtId="166" fontId="39" fillId="5" borderId="0" xfId="0" quotePrefix="1" applyNumberFormat="1" applyFont="1" applyFill="1"/>
    <xf numFmtId="0" fontId="4" fillId="0" borderId="0" xfId="10" applyNumberFormat="1" applyFill="1" applyAlignment="1" applyProtection="1"/>
    <xf numFmtId="0" fontId="4" fillId="0" borderId="0" xfId="10" applyNumberFormat="1" applyFill="1" applyBorder="1" applyAlignment="1" applyProtection="1"/>
    <xf numFmtId="166" fontId="26" fillId="0" borderId="0" xfId="0" applyNumberFormat="1" applyFont="1"/>
    <xf numFmtId="0" fontId="14" fillId="3" borderId="0" xfId="0" applyNumberFormat="1" applyFont="1" applyFill="1" applyBorder="1"/>
    <xf numFmtId="1" fontId="6" fillId="3" borderId="0" xfId="0" applyNumberFormat="1" applyFont="1" applyFill="1"/>
    <xf numFmtId="1" fontId="6" fillId="17" borderId="0" xfId="0" applyNumberFormat="1" applyFont="1" applyFill="1"/>
    <xf numFmtId="1" fontId="20" fillId="0" borderId="0" xfId="0" applyNumberFormat="1" applyFont="1"/>
    <xf numFmtId="166" fontId="14" fillId="0" borderId="0" xfId="0" applyNumberFormat="1" applyFont="1" applyFill="1"/>
    <xf numFmtId="166" fontId="6" fillId="13" borderId="0" xfId="0" applyNumberFormat="1" applyFont="1" applyFill="1"/>
    <xf numFmtId="171" fontId="3" fillId="0" borderId="5" xfId="3" applyNumberFormat="1" applyFont="1" applyFill="1" applyBorder="1"/>
    <xf numFmtId="171" fontId="3" fillId="0" borderId="5" xfId="3" applyNumberFormat="1" applyFont="1" applyFill="1" applyBorder="1" applyAlignment="1">
      <alignment vertical="top" wrapText="1"/>
    </xf>
    <xf numFmtId="171" fontId="3" fillId="0" borderId="8" xfId="3" applyNumberFormat="1" applyFont="1" applyFill="1" applyBorder="1"/>
    <xf numFmtId="171" fontId="3" fillId="0" borderId="9" xfId="3" applyNumberFormat="1" applyFont="1" applyFill="1" applyBorder="1"/>
    <xf numFmtId="171" fontId="3" fillId="0" borderId="11" xfId="3" applyNumberFormat="1" applyFont="1" applyFill="1" applyBorder="1"/>
    <xf numFmtId="171" fontId="3" fillId="0" borderId="12" xfId="3" applyNumberFormat="1" applyFont="1" applyFill="1" applyBorder="1"/>
    <xf numFmtId="171" fontId="3" fillId="0" borderId="0" xfId="3" applyNumberFormat="1" applyFont="1" applyFill="1" applyBorder="1"/>
    <xf numFmtId="0" fontId="0" fillId="0" borderId="0" xfId="0" applyFill="1" applyBorder="1"/>
    <xf numFmtId="0" fontId="35" fillId="0" borderId="0" xfId="0" applyFont="1" applyFill="1" applyBorder="1"/>
    <xf numFmtId="0" fontId="6" fillId="0" borderId="0" xfId="0" applyFont="1" applyFill="1" applyBorder="1"/>
    <xf numFmtId="166" fontId="0" fillId="0" borderId="0" xfId="0" applyNumberFormat="1" applyFill="1" applyBorder="1"/>
    <xf numFmtId="0" fontId="6" fillId="15" borderId="0" xfId="0" applyFont="1" applyFill="1"/>
    <xf numFmtId="0" fontId="16" fillId="0" borderId="0" xfId="0" applyFont="1" applyFill="1"/>
    <xf numFmtId="0" fontId="47" fillId="0" borderId="0" xfId="0" applyFont="1" applyFill="1" applyBorder="1"/>
    <xf numFmtId="171" fontId="48" fillId="0" borderId="0" xfId="3" applyNumberFormat="1" applyFont="1" applyFill="1" applyBorder="1"/>
    <xf numFmtId="1" fontId="6" fillId="15" borderId="0" xfId="0" applyNumberFormat="1" applyFont="1" applyFill="1"/>
    <xf numFmtId="3" fontId="6" fillId="15" borderId="0" xfId="0" applyNumberFormat="1" applyFont="1" applyFill="1"/>
    <xf numFmtId="164" fontId="6" fillId="0" borderId="0" xfId="3" applyFont="1" applyFill="1"/>
    <xf numFmtId="0" fontId="6" fillId="17" borderId="0" xfId="0" applyFont="1" applyFill="1"/>
    <xf numFmtId="166" fontId="6" fillId="17" borderId="0" xfId="0" applyNumberFormat="1" applyFont="1" applyFill="1"/>
    <xf numFmtId="0" fontId="3" fillId="0" borderId="0" xfId="0" applyFont="1"/>
    <xf numFmtId="3" fontId="6" fillId="3" borderId="0" xfId="0" applyNumberFormat="1" applyFont="1" applyFill="1" applyBorder="1"/>
    <xf numFmtId="1" fontId="0" fillId="0" borderId="0" xfId="0" applyNumberFormat="1"/>
    <xf numFmtId="1" fontId="35" fillId="0" borderId="0" xfId="0" applyNumberFormat="1" applyFont="1"/>
    <xf numFmtId="0" fontId="35" fillId="0" borderId="0" xfId="0" applyFont="1"/>
    <xf numFmtId="0" fontId="14" fillId="0" borderId="0" xfId="0" applyNumberFormat="1" applyFont="1" applyFill="1" applyBorder="1" applyAlignment="1">
      <alignment horizontal="center"/>
    </xf>
    <xf numFmtId="166" fontId="6" fillId="10" borderId="0" xfId="0" applyNumberFormat="1" applyFont="1" applyFill="1"/>
    <xf numFmtId="3" fontId="6" fillId="4" borderId="0" xfId="0" applyNumberFormat="1" applyFont="1" applyFill="1" applyBorder="1" applyAlignment="1"/>
    <xf numFmtId="3" fontId="6" fillId="5" borderId="0" xfId="0" applyNumberFormat="1" applyFont="1" applyFill="1" applyBorder="1" applyAlignment="1"/>
    <xf numFmtId="3" fontId="13" fillId="0" borderId="0" xfId="0" applyNumberFormat="1" applyFont="1" applyFill="1"/>
    <xf numFmtId="1" fontId="14" fillId="3" borderId="0" xfId="0" applyNumberFormat="1" applyFont="1" applyFill="1" applyBorder="1"/>
    <xf numFmtId="1" fontId="9" fillId="3" borderId="0" xfId="0" applyNumberFormat="1" applyFont="1" applyFill="1" applyBorder="1"/>
    <xf numFmtId="2" fontId="43" fillId="0" borderId="24" xfId="0" applyNumberFormat="1" applyFont="1" applyFill="1" applyBorder="1"/>
    <xf numFmtId="169" fontId="6" fillId="0" borderId="0" xfId="3" applyNumberFormat="1" applyFont="1" applyFill="1"/>
    <xf numFmtId="169" fontId="6" fillId="5" borderId="0" xfId="3" applyNumberFormat="1" applyFont="1" applyFill="1"/>
    <xf numFmtId="169" fontId="6" fillId="0" borderId="0" xfId="3" applyNumberFormat="1" applyFont="1"/>
    <xf numFmtId="166" fontId="6" fillId="3" borderId="0" xfId="0" applyNumberFormat="1" applyFont="1" applyFill="1"/>
    <xf numFmtId="1" fontId="6" fillId="0" borderId="0" xfId="3" applyNumberFormat="1" applyFont="1" applyFill="1"/>
    <xf numFmtId="1" fontId="35" fillId="0" borderId="0" xfId="3" applyNumberFormat="1" applyFont="1"/>
    <xf numFmtId="1" fontId="14" fillId="0" borderId="0" xfId="3" applyNumberFormat="1" applyFont="1"/>
    <xf numFmtId="1" fontId="6" fillId="0" borderId="0" xfId="3" applyNumberFormat="1" applyFont="1"/>
    <xf numFmtId="1" fontId="6" fillId="4" borderId="0" xfId="3" applyNumberFormat="1" applyFont="1" applyFill="1"/>
    <xf numFmtId="0" fontId="27" fillId="0" borderId="0" xfId="0" applyNumberFormat="1" applyFont="1" applyFill="1" applyBorder="1"/>
    <xf numFmtId="1" fontId="6" fillId="14" borderId="0" xfId="0" applyNumberFormat="1" applyFont="1" applyFill="1"/>
    <xf numFmtId="3" fontId="8" fillId="15" borderId="0" xfId="0" applyNumberFormat="1" applyFont="1" applyFill="1"/>
    <xf numFmtId="166" fontId="6" fillId="0" borderId="0" xfId="3" applyNumberFormat="1" applyFont="1"/>
    <xf numFmtId="0" fontId="6" fillId="0" borderId="0" xfId="0" quotePrefix="1" applyFont="1" applyFill="1"/>
    <xf numFmtId="0" fontId="6" fillId="18" borderId="0" xfId="0" applyFont="1" applyFill="1"/>
    <xf numFmtId="2" fontId="0" fillId="0" borderId="0" xfId="0" applyNumberFormat="1"/>
    <xf numFmtId="166" fontId="0" fillId="0" borderId="0" xfId="0" applyNumberFormat="1"/>
    <xf numFmtId="3" fontId="6" fillId="3" borderId="0" xfId="0" applyNumberFormat="1" applyFont="1" applyFill="1"/>
    <xf numFmtId="0" fontId="14" fillId="0" borderId="0" xfId="0" applyNumberFormat="1" applyFont="1" applyFill="1"/>
    <xf numFmtId="1" fontId="14" fillId="0" borderId="0" xfId="0" applyNumberFormat="1" applyFont="1" applyFill="1" applyBorder="1"/>
    <xf numFmtId="1" fontId="9" fillId="0" borderId="0" xfId="0" applyNumberFormat="1" applyFont="1" applyFill="1" applyBorder="1"/>
    <xf numFmtId="166" fontId="0" fillId="7" borderId="0" xfId="0" applyNumberFormat="1" applyFill="1"/>
    <xf numFmtId="3" fontId="6" fillId="2" borderId="0" xfId="0" applyNumberFormat="1" applyFont="1" applyFill="1" applyBorder="1"/>
    <xf numFmtId="167" fontId="39" fillId="5" borderId="0" xfId="0" applyNumberFormat="1" applyFont="1" applyFill="1"/>
    <xf numFmtId="0" fontId="13" fillId="0" borderId="0" xfId="0" applyFont="1"/>
    <xf numFmtId="166" fontId="13" fillId="19" borderId="0" xfId="0" applyNumberFormat="1" applyFont="1" applyFill="1"/>
    <xf numFmtId="166" fontId="13" fillId="0" borderId="0" xfId="0" applyNumberFormat="1" applyFont="1" applyFill="1"/>
    <xf numFmtId="166" fontId="13" fillId="0" borderId="0" xfId="0" applyNumberFormat="1" applyFont="1"/>
    <xf numFmtId="166" fontId="13" fillId="8" borderId="0" xfId="0" applyNumberFormat="1" applyFont="1" applyFill="1"/>
    <xf numFmtId="1" fontId="39" fillId="17" borderId="0" xfId="0" applyNumberFormat="1" applyFont="1" applyFill="1"/>
    <xf numFmtId="0" fontId="4" fillId="0" borderId="0" xfId="10" applyNumberFormat="1" applyFill="1" applyAlignment="1" applyProtection="1">
      <protection locked="0"/>
    </xf>
    <xf numFmtId="0" fontId="4" fillId="2" borderId="0" xfId="10" applyNumberFormat="1" applyFill="1" applyBorder="1" applyAlignment="1" applyProtection="1">
      <alignment horizontal="center"/>
    </xf>
    <xf numFmtId="168" fontId="6" fillId="2" borderId="0" xfId="3" applyNumberFormat="1" applyFont="1" applyFill="1" applyBorder="1"/>
    <xf numFmtId="166" fontId="6" fillId="2" borderId="0" xfId="3" applyNumberFormat="1" applyFont="1" applyFill="1" applyBorder="1"/>
    <xf numFmtId="166" fontId="6" fillId="0" borderId="0" xfId="3" applyNumberFormat="1" applyFont="1" applyFill="1"/>
    <xf numFmtId="1" fontId="6" fillId="14" borderId="0" xfId="0" applyNumberFormat="1" applyFont="1" applyFill="1" applyBorder="1"/>
    <xf numFmtId="3" fontId="6" fillId="13" borderId="0" xfId="0" applyNumberFormat="1" applyFont="1" applyFill="1" applyBorder="1" applyAlignment="1">
      <alignment horizontal="center"/>
    </xf>
    <xf numFmtId="165" fontId="6" fillId="13" borderId="0" xfId="0" applyNumberFormat="1" applyFont="1" applyFill="1" applyBorder="1" applyAlignment="1">
      <alignment horizontal="center"/>
    </xf>
    <xf numFmtId="169" fontId="17" fillId="0" borderId="0" xfId="3" applyNumberFormat="1" applyFont="1" applyFill="1" applyBorder="1"/>
    <xf numFmtId="169" fontId="6" fillId="14" borderId="0" xfId="3" applyNumberFormat="1" applyFont="1" applyFill="1" applyBorder="1"/>
    <xf numFmtId="3" fontId="6" fillId="14" borderId="0" xfId="0" applyNumberFormat="1" applyFont="1" applyFill="1" applyBorder="1"/>
    <xf numFmtId="164" fontId="6" fillId="0" borderId="0" xfId="3" applyFont="1"/>
    <xf numFmtId="166" fontId="13" fillId="2" borderId="0" xfId="0" applyNumberFormat="1" applyFont="1" applyFill="1"/>
    <xf numFmtId="1" fontId="42" fillId="2" borderId="0" xfId="0" applyNumberFormat="1" applyFont="1" applyFill="1"/>
    <xf numFmtId="166" fontId="42" fillId="2" borderId="0" xfId="0" applyNumberFormat="1" applyFont="1" applyFill="1"/>
    <xf numFmtId="164" fontId="8" fillId="0" borderId="0" xfId="3" applyFont="1" applyFill="1"/>
    <xf numFmtId="164" fontId="6" fillId="5" borderId="0" xfId="3" applyFont="1" applyFill="1"/>
    <xf numFmtId="164" fontId="9" fillId="0" borderId="0" xfId="3" applyFont="1" applyFill="1" applyBorder="1"/>
    <xf numFmtId="164" fontId="14" fillId="0" borderId="0" xfId="3" applyFont="1" applyFill="1" applyBorder="1"/>
    <xf numFmtId="164" fontId="6" fillId="2" borderId="0" xfId="3" applyFont="1" applyFill="1" applyBorder="1"/>
    <xf numFmtId="169" fontId="8" fillId="0" borderId="0" xfId="3" applyNumberFormat="1" applyFont="1" applyFill="1" applyBorder="1"/>
    <xf numFmtId="169" fontId="8" fillId="0" borderId="0" xfId="3" applyNumberFormat="1" applyFont="1" applyFill="1"/>
    <xf numFmtId="166" fontId="35" fillId="5" borderId="5" xfId="3" applyNumberFormat="1" applyFont="1" applyFill="1" applyBorder="1"/>
    <xf numFmtId="3" fontId="0" fillId="0" borderId="0" xfId="0" applyNumberFormat="1"/>
    <xf numFmtId="0" fontId="6" fillId="19" borderId="0" xfId="0" applyFont="1" applyFill="1"/>
    <xf numFmtId="166" fontId="13" fillId="20" borderId="0" xfId="0" applyNumberFormat="1" applyFont="1" applyFill="1"/>
    <xf numFmtId="3" fontId="68" fillId="0" borderId="0" xfId="0" applyNumberFormat="1" applyFont="1" applyFill="1" applyBorder="1"/>
    <xf numFmtId="164" fontId="68" fillId="0" borderId="0" xfId="3" applyFont="1" applyFill="1" applyBorder="1"/>
    <xf numFmtId="164" fontId="69" fillId="0" borderId="0" xfId="3" applyFont="1"/>
    <xf numFmtId="164" fontId="69" fillId="0" borderId="0" xfId="3" applyFont="1" applyFill="1"/>
    <xf numFmtId="1" fontId="69" fillId="0" borderId="0" xfId="0" applyNumberFormat="1" applyFont="1"/>
    <xf numFmtId="164" fontId="70" fillId="0" borderId="0" xfId="3" applyFont="1" applyFill="1" applyBorder="1"/>
    <xf numFmtId="2" fontId="69" fillId="0" borderId="0" xfId="3" applyNumberFormat="1" applyFont="1" applyFill="1"/>
    <xf numFmtId="1" fontId="3" fillId="0" borderId="0" xfId="0" applyNumberFormat="1" applyFont="1"/>
    <xf numFmtId="1" fontId="6" fillId="8" borderId="0" xfId="3" applyNumberFormat="1" applyFont="1" applyFill="1"/>
    <xf numFmtId="3" fontId="6" fillId="18" borderId="0" xfId="0" applyNumberFormat="1" applyFont="1" applyFill="1"/>
    <xf numFmtId="2" fontId="6" fillId="0" borderId="0" xfId="3" applyNumberFormat="1" applyFont="1" applyFill="1"/>
    <xf numFmtId="166" fontId="14" fillId="0" borderId="0" xfId="0" applyNumberFormat="1" applyFont="1" applyFill="1" applyBorder="1"/>
    <xf numFmtId="0" fontId="9" fillId="4" borderId="0" xfId="0" applyNumberFormat="1" applyFont="1" applyFill="1" applyBorder="1"/>
    <xf numFmtId="0" fontId="16" fillId="8" borderId="0" xfId="0" applyFont="1" applyFill="1"/>
    <xf numFmtId="3" fontId="8" fillId="0" borderId="0" xfId="3" applyNumberFormat="1" applyFont="1" applyFill="1"/>
    <xf numFmtId="3" fontId="14" fillId="9" borderId="0" xfId="0" applyNumberFormat="1" applyFont="1" applyFill="1"/>
    <xf numFmtId="166" fontId="8" fillId="0" borderId="0" xfId="3" applyNumberFormat="1" applyFont="1" applyFill="1"/>
    <xf numFmtId="0" fontId="6" fillId="19" borderId="0" xfId="0" applyFont="1" applyFill="1" applyAlignment="1">
      <alignment horizontal="center"/>
    </xf>
    <xf numFmtId="1" fontId="6" fillId="19" borderId="0" xfId="3" applyNumberFormat="1" applyFont="1" applyFill="1"/>
    <xf numFmtId="166" fontId="6" fillId="4" borderId="0" xfId="3" applyNumberFormat="1" applyFont="1" applyFill="1"/>
    <xf numFmtId="164" fontId="6" fillId="0" borderId="0" xfId="3" applyNumberFormat="1" applyFont="1" applyFill="1"/>
    <xf numFmtId="168" fontId="8" fillId="0" borderId="0" xfId="3" applyNumberFormat="1" applyFont="1" applyFill="1"/>
    <xf numFmtId="3" fontId="6" fillId="15" borderId="0" xfId="0" applyNumberFormat="1" applyFont="1" applyFill="1" applyBorder="1"/>
    <xf numFmtId="0" fontId="0" fillId="15" borderId="0" xfId="0" applyFill="1"/>
    <xf numFmtId="0" fontId="6" fillId="15" borderId="0" xfId="0" applyNumberFormat="1" applyFont="1" applyFill="1" applyBorder="1"/>
    <xf numFmtId="169" fontId="14" fillId="0" borderId="0" xfId="3" applyNumberFormat="1" applyFont="1" applyFill="1" applyBorder="1"/>
    <xf numFmtId="1" fontId="0" fillId="0" borderId="0" xfId="3" applyNumberFormat="1" applyFont="1"/>
    <xf numFmtId="0" fontId="10" fillId="0" borderId="0" xfId="0" applyFont="1" applyFill="1"/>
    <xf numFmtId="164" fontId="6" fillId="11" borderId="0" xfId="3" applyFont="1" applyFill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2" fontId="39" fillId="0" borderId="0" xfId="0" applyNumberFormat="1" applyFont="1"/>
    <xf numFmtId="166" fontId="39" fillId="0" borderId="0" xfId="0" applyNumberFormat="1" applyFont="1" applyFill="1"/>
    <xf numFmtId="166" fontId="39" fillId="21" borderId="0" xfId="0" applyNumberFormat="1" applyFont="1" applyFill="1"/>
    <xf numFmtId="3" fontId="6" fillId="20" borderId="0" xfId="0" applyNumberFormat="1" applyFont="1" applyFill="1" applyAlignment="1">
      <alignment horizontal="right"/>
    </xf>
    <xf numFmtId="1" fontId="39" fillId="20" borderId="0" xfId="0" applyNumberFormat="1" applyFont="1" applyFill="1"/>
    <xf numFmtId="0" fontId="9" fillId="8" borderId="0" xfId="0" quotePrefix="1" applyNumberFormat="1" applyFont="1" applyFill="1" applyBorder="1" applyAlignment="1">
      <alignment horizontal="right"/>
    </xf>
    <xf numFmtId="1" fontId="6" fillId="0" borderId="0" xfId="0" quotePrefix="1" applyNumberFormat="1" applyFont="1" applyFill="1"/>
    <xf numFmtId="1" fontId="8" fillId="8" borderId="0" xfId="0" applyNumberFormat="1" applyFont="1" applyFill="1"/>
    <xf numFmtId="166" fontId="8" fillId="8" borderId="0" xfId="3" applyNumberFormat="1" applyFont="1" applyFill="1"/>
    <xf numFmtId="0" fontId="6" fillId="14" borderId="0" xfId="0" applyFont="1" applyFill="1"/>
    <xf numFmtId="169" fontId="6" fillId="15" borderId="0" xfId="3" applyNumberFormat="1" applyFont="1" applyFill="1"/>
    <xf numFmtId="169" fontId="68" fillId="0" borderId="0" xfId="3" applyNumberFormat="1" applyFont="1" applyFill="1"/>
    <xf numFmtId="0" fontId="78" fillId="0" borderId="0" xfId="0" applyFont="1" applyFill="1" applyBorder="1"/>
    <xf numFmtId="168" fontId="68" fillId="0" borderId="0" xfId="3" applyNumberFormat="1" applyFont="1" applyFill="1" applyBorder="1"/>
    <xf numFmtId="169" fontId="8" fillId="9" borderId="0" xfId="3" applyNumberFormat="1" applyFont="1" applyFill="1"/>
    <xf numFmtId="169" fontId="8" fillId="2" borderId="0" xfId="3" applyNumberFormat="1" applyFont="1" applyFill="1"/>
    <xf numFmtId="169" fontId="6" fillId="8" borderId="0" xfId="3" applyNumberFormat="1" applyFont="1" applyFill="1"/>
    <xf numFmtId="166" fontId="18" fillId="0" borderId="0" xfId="0" applyNumberFormat="1" applyFont="1" applyFill="1"/>
    <xf numFmtId="164" fontId="6" fillId="15" borderId="0" xfId="3" applyFont="1" applyFill="1"/>
    <xf numFmtId="2" fontId="6" fillId="8" borderId="0" xfId="3" applyNumberFormat="1" applyFont="1" applyFill="1"/>
    <xf numFmtId="169" fontId="8" fillId="5" borderId="0" xfId="3" applyNumberFormat="1" applyFont="1" applyFill="1"/>
    <xf numFmtId="2" fontId="8" fillId="0" borderId="0" xfId="3" applyNumberFormat="1" applyFont="1" applyFill="1"/>
    <xf numFmtId="168" fontId="6" fillId="15" borderId="0" xfId="3" applyNumberFormat="1" applyFont="1" applyFill="1"/>
    <xf numFmtId="168" fontId="6" fillId="0" borderId="0" xfId="3" applyNumberFormat="1" applyFont="1" applyFill="1"/>
    <xf numFmtId="168" fontId="6" fillId="0" borderId="0" xfId="3" applyNumberFormat="1" applyFont="1" applyAlignment="1">
      <alignment horizontal="center"/>
    </xf>
    <xf numFmtId="0" fontId="9" fillId="7" borderId="0" xfId="0" applyNumberFormat="1" applyFont="1" applyFill="1" applyBorder="1"/>
    <xf numFmtId="0" fontId="9" fillId="22" borderId="0" xfId="0" applyNumberFormat="1" applyFont="1" applyFill="1" applyBorder="1"/>
    <xf numFmtId="0" fontId="9" fillId="23" borderId="0" xfId="0" applyNumberFormat="1" applyFont="1" applyFill="1" applyBorder="1"/>
    <xf numFmtId="1" fontId="6" fillId="23" borderId="0" xfId="0" applyNumberFormat="1" applyFont="1" applyFill="1"/>
    <xf numFmtId="166" fontId="6" fillId="23" borderId="0" xfId="3" applyNumberFormat="1" applyFont="1" applyFill="1"/>
    <xf numFmtId="0" fontId="9" fillId="5" borderId="0" xfId="0" applyNumberFormat="1" applyFont="1" applyFill="1" applyBorder="1"/>
    <xf numFmtId="0" fontId="9" fillId="3" borderId="0" xfId="0" applyNumberFormat="1" applyFont="1" applyFill="1" applyBorder="1"/>
    <xf numFmtId="0" fontId="9" fillId="21" borderId="0" xfId="0" applyNumberFormat="1" applyFont="1" applyFill="1" applyBorder="1"/>
    <xf numFmtId="0" fontId="9" fillId="24" borderId="0" xfId="0" applyNumberFormat="1" applyFont="1" applyFill="1" applyBorder="1"/>
    <xf numFmtId="0" fontId="9" fillId="18" borderId="0" xfId="0" applyNumberFormat="1" applyFont="1" applyFill="1" applyBorder="1"/>
    <xf numFmtId="16" fontId="6" fillId="0" borderId="0" xfId="0" quotePrefix="1" applyNumberFormat="1" applyFont="1" applyFill="1"/>
    <xf numFmtId="16" fontId="6" fillId="4" borderId="0" xfId="0" applyNumberFormat="1" applyFont="1" applyFill="1"/>
    <xf numFmtId="0" fontId="9" fillId="25" borderId="0" xfId="0" applyNumberFormat="1" applyFont="1" applyFill="1" applyBorder="1"/>
    <xf numFmtId="0" fontId="9" fillId="26" borderId="0" xfId="0" applyNumberFormat="1" applyFont="1" applyFill="1" applyBorder="1"/>
    <xf numFmtId="168" fontId="6" fillId="17" borderId="0" xfId="0" applyNumberFormat="1" applyFont="1" applyFill="1"/>
    <xf numFmtId="164" fontId="6" fillId="17" borderId="0" xfId="0" applyNumberFormat="1" applyFont="1" applyFill="1"/>
    <xf numFmtId="3" fontId="6" fillId="17" borderId="0" xfId="0" applyNumberFormat="1" applyFont="1" applyFill="1"/>
    <xf numFmtId="169" fontId="6" fillId="17" borderId="0" xfId="0" applyNumberFormat="1" applyFont="1" applyFill="1"/>
    <xf numFmtId="165" fontId="6" fillId="17" borderId="0" xfId="0" applyNumberFormat="1" applyFont="1" applyFill="1"/>
    <xf numFmtId="2" fontId="6" fillId="17" borderId="0" xfId="0" applyNumberFormat="1" applyFont="1" applyFill="1"/>
    <xf numFmtId="4" fontId="6" fillId="17" borderId="0" xfId="0" applyNumberFormat="1" applyFont="1" applyFill="1"/>
    <xf numFmtId="43" fontId="8" fillId="0" borderId="0" xfId="0" applyNumberFormat="1" applyFont="1" applyFill="1"/>
    <xf numFmtId="166" fontId="86" fillId="15" borderId="0" xfId="0" applyNumberFormat="1" applyFont="1" applyFill="1"/>
    <xf numFmtId="174" fontId="87" fillId="0" borderId="0" xfId="0" applyNumberFormat="1" applyFont="1" applyFill="1" applyBorder="1"/>
    <xf numFmtId="164" fontId="88" fillId="0" borderId="0" xfId="3" applyNumberFormat="1" applyFont="1" applyFill="1"/>
    <xf numFmtId="166" fontId="6" fillId="9" borderId="0" xfId="0" applyNumberFormat="1" applyFont="1" applyFill="1"/>
    <xf numFmtId="3" fontId="6" fillId="9" borderId="0" xfId="0" applyNumberFormat="1" applyFont="1" applyFill="1" applyBorder="1"/>
    <xf numFmtId="3" fontId="6" fillId="9" borderId="0" xfId="0" applyNumberFormat="1" applyFont="1" applyFill="1" applyBorder="1" applyAlignment="1">
      <alignment horizontal="center"/>
    </xf>
    <xf numFmtId="0" fontId="0" fillId="9" borderId="0" xfId="0" applyFill="1"/>
    <xf numFmtId="165" fontId="0" fillId="0" borderId="0" xfId="0" applyNumberFormat="1"/>
    <xf numFmtId="165" fontId="0" fillId="9" borderId="0" xfId="0" applyNumberFormat="1" applyFill="1"/>
    <xf numFmtId="3" fontId="8" fillId="18" borderId="0" xfId="0" applyNumberFormat="1" applyFont="1" applyFill="1"/>
    <xf numFmtId="165" fontId="0" fillId="0" borderId="0" xfId="0" applyNumberFormat="1" applyFill="1"/>
    <xf numFmtId="0" fontId="89" fillId="9" borderId="0" xfId="0" applyNumberFormat="1" applyFont="1" applyFill="1"/>
    <xf numFmtId="1" fontId="0" fillId="17" borderId="0" xfId="0" applyNumberFormat="1" applyFill="1"/>
    <xf numFmtId="166" fontId="0" fillId="4" borderId="0" xfId="0" applyNumberFormat="1" applyFill="1"/>
    <xf numFmtId="166" fontId="6" fillId="20" borderId="0" xfId="0" applyNumberFormat="1" applyFont="1" applyFill="1"/>
    <xf numFmtId="0" fontId="0" fillId="27" borderId="0" xfId="0" applyFill="1"/>
    <xf numFmtId="166" fontId="6" fillId="15" borderId="0" xfId="3" applyNumberFormat="1" applyFont="1" applyFill="1"/>
    <xf numFmtId="1" fontId="90" fillId="0" borderId="0" xfId="0" applyNumberFormat="1" applyFont="1" applyFill="1" applyBorder="1"/>
    <xf numFmtId="1" fontId="6" fillId="0" borderId="24" xfId="0" applyNumberFormat="1" applyFont="1" applyFill="1" applyBorder="1"/>
    <xf numFmtId="1" fontId="6" fillId="0" borderId="24" xfId="3" applyNumberFormat="1" applyFont="1" applyFill="1" applyBorder="1"/>
    <xf numFmtId="0" fontId="6" fillId="0" borderId="24" xfId="0" applyFont="1" applyFill="1" applyBorder="1"/>
    <xf numFmtId="166" fontId="6" fillId="0" borderId="24" xfId="0" applyNumberFormat="1" applyFont="1" applyFill="1" applyBorder="1"/>
    <xf numFmtId="0" fontId="0" fillId="9" borderId="24" xfId="0" applyFill="1" applyBorder="1"/>
    <xf numFmtId="0" fontId="0" fillId="0" borderId="24" xfId="0" applyBorder="1"/>
    <xf numFmtId="1" fontId="6" fillId="9" borderId="24" xfId="0" applyNumberFormat="1" applyFont="1" applyFill="1" applyBorder="1"/>
    <xf numFmtId="3" fontId="0" fillId="27" borderId="0" xfId="0" applyNumberFormat="1" applyFill="1"/>
    <xf numFmtId="166" fontId="6" fillId="28" borderId="0" xfId="0" applyNumberFormat="1" applyFont="1" applyFill="1"/>
    <xf numFmtId="1" fontId="6" fillId="0" borderId="25" xfId="0" applyNumberFormat="1" applyFont="1" applyFill="1" applyBorder="1"/>
    <xf numFmtId="1" fontId="6" fillId="0" borderId="26" xfId="0" applyNumberFormat="1" applyFont="1" applyFill="1" applyBorder="1"/>
    <xf numFmtId="1" fontId="14" fillId="0" borderId="26" xfId="0" applyNumberFormat="1" applyFont="1" applyFill="1" applyBorder="1"/>
    <xf numFmtId="1" fontId="9" fillId="0" borderId="26" xfId="0" applyNumberFormat="1" applyFont="1" applyFill="1" applyBorder="1"/>
    <xf numFmtId="3" fontId="6" fillId="0" borderId="26" xfId="0" applyNumberFormat="1" applyFont="1" applyFill="1" applyBorder="1"/>
    <xf numFmtId="0" fontId="6" fillId="0" borderId="26" xfId="0" applyNumberFormat="1" applyFont="1" applyFill="1" applyBorder="1"/>
    <xf numFmtId="4" fontId="6" fillId="0" borderId="26" xfId="0" applyNumberFormat="1" applyFont="1" applyFill="1" applyBorder="1"/>
    <xf numFmtId="3" fontId="8" fillId="0" borderId="26" xfId="0" applyNumberFormat="1" applyFont="1" applyFill="1" applyBorder="1"/>
    <xf numFmtId="3" fontId="16" fillId="0" borderId="26" xfId="0" applyNumberFormat="1" applyFont="1" applyFill="1" applyBorder="1"/>
    <xf numFmtId="166" fontId="6" fillId="0" borderId="26" xfId="0" applyNumberFormat="1" applyFont="1" applyFill="1" applyBorder="1"/>
    <xf numFmtId="166" fontId="6" fillId="0" borderId="26" xfId="3" applyNumberFormat="1" applyFont="1" applyFill="1" applyBorder="1"/>
    <xf numFmtId="1" fontId="6" fillId="0" borderId="26" xfId="3" applyNumberFormat="1" applyFont="1" applyFill="1" applyBorder="1"/>
    <xf numFmtId="0" fontId="6" fillId="28" borderId="0" xfId="0" applyFont="1" applyFill="1"/>
    <xf numFmtId="166" fontId="6" fillId="28" borderId="0" xfId="3" applyNumberFormat="1" applyFont="1" applyFill="1"/>
    <xf numFmtId="166" fontId="6" fillId="15" borderId="0" xfId="0" applyNumberFormat="1" applyFont="1" applyFill="1" applyBorder="1"/>
    <xf numFmtId="0" fontId="6" fillId="15" borderId="0" xfId="0" applyNumberFormat="1" applyFont="1" applyFill="1"/>
    <xf numFmtId="3" fontId="35" fillId="0" borderId="0" xfId="0" applyNumberFormat="1" applyFont="1"/>
    <xf numFmtId="1" fontId="0" fillId="2" borderId="0" xfId="3" applyNumberFormat="1" applyFont="1" applyFill="1"/>
    <xf numFmtId="166" fontId="34" fillId="0" borderId="0" xfId="3" applyNumberFormat="1" applyFont="1"/>
    <xf numFmtId="166" fontId="16" fillId="0" borderId="0" xfId="3" applyNumberFormat="1" applyFont="1" applyFill="1" applyBorder="1" applyProtection="1"/>
    <xf numFmtId="166" fontId="8" fillId="15" borderId="0" xfId="0" applyNumberFormat="1" applyFont="1" applyFill="1"/>
    <xf numFmtId="166" fontId="8" fillId="0" borderId="0" xfId="0" applyNumberFormat="1" applyFont="1"/>
    <xf numFmtId="166" fontId="35" fillId="0" borderId="0" xfId="3" applyNumberFormat="1" applyFont="1"/>
    <xf numFmtId="166" fontId="26" fillId="0" borderId="0" xfId="3" applyNumberFormat="1" applyFont="1" applyFill="1"/>
    <xf numFmtId="166" fontId="26" fillId="0" borderId="0" xfId="0" applyNumberFormat="1" applyFont="1" applyFill="1"/>
    <xf numFmtId="166" fontId="14" fillId="0" borderId="0" xfId="3" applyNumberFormat="1" applyFont="1" applyFill="1"/>
    <xf numFmtId="166" fontId="0" fillId="0" borderId="5" xfId="3" applyNumberFormat="1" applyFont="1" applyFill="1" applyBorder="1"/>
    <xf numFmtId="166" fontId="3" fillId="0" borderId="0" xfId="3" applyNumberFormat="1" applyFont="1"/>
    <xf numFmtId="166" fontId="3" fillId="0" borderId="0" xfId="3" applyNumberFormat="1" applyFont="1" applyFill="1" applyBorder="1"/>
    <xf numFmtId="166" fontId="6" fillId="25" borderId="0" xfId="3" applyNumberFormat="1" applyFont="1" applyFill="1"/>
    <xf numFmtId="166" fontId="6" fillId="5" borderId="0" xfId="3" applyNumberFormat="1" applyFont="1" applyFill="1"/>
    <xf numFmtId="166" fontId="6" fillId="9" borderId="0" xfId="3" applyNumberFormat="1" applyFont="1" applyFill="1"/>
    <xf numFmtId="166" fontId="0" fillId="5" borderId="5" xfId="3" applyNumberFormat="1" applyFont="1" applyFill="1" applyBorder="1"/>
    <xf numFmtId="166" fontId="6" fillId="15" borderId="0" xfId="0" applyNumberFormat="1" applyFont="1" applyFill="1"/>
    <xf numFmtId="166" fontId="3" fillId="11" borderId="0" xfId="3" applyNumberFormat="1" applyFont="1" applyFill="1"/>
    <xf numFmtId="169" fontId="35" fillId="0" borderId="0" xfId="3" applyNumberFormat="1" applyFont="1"/>
    <xf numFmtId="169" fontId="0" fillId="0" borderId="0" xfId="3" applyNumberFormat="1" applyFont="1"/>
    <xf numFmtId="0" fontId="91" fillId="14" borderId="0" xfId="0" applyFont="1" applyFill="1"/>
    <xf numFmtId="166" fontId="6" fillId="24" borderId="0" xfId="3" applyNumberFormat="1" applyFont="1" applyFill="1"/>
    <xf numFmtId="168" fontId="14" fillId="0" borderId="0" xfId="3" applyNumberFormat="1" applyFont="1" applyFill="1" applyBorder="1"/>
    <xf numFmtId="16" fontId="6" fillId="0" borderId="0" xfId="0" applyNumberFormat="1" applyFont="1" applyFill="1"/>
    <xf numFmtId="166" fontId="6" fillId="14" borderId="0" xfId="3" applyNumberFormat="1" applyFont="1" applyFill="1"/>
    <xf numFmtId="1" fontId="14" fillId="28" borderId="0" xfId="0" applyNumberFormat="1" applyFont="1" applyFill="1"/>
    <xf numFmtId="0" fontId="9" fillId="28" borderId="0" xfId="0" applyNumberFormat="1" applyFont="1" applyFill="1" applyBorder="1"/>
    <xf numFmtId="0" fontId="91" fillId="28" borderId="0" xfId="0" applyNumberFormat="1" applyFont="1" applyFill="1" applyBorder="1"/>
    <xf numFmtId="0" fontId="93" fillId="18" borderId="0" xfId="0" applyFont="1" applyFill="1"/>
    <xf numFmtId="166" fontId="36" fillId="0" borderId="0" xfId="0" applyNumberFormat="1" applyFont="1"/>
    <xf numFmtId="3" fontId="3" fillId="0" borderId="0" xfId="0" applyNumberFormat="1" applyFont="1"/>
    <xf numFmtId="166" fontId="0" fillId="29" borderId="0" xfId="0" applyNumberFormat="1" applyFill="1"/>
    <xf numFmtId="0" fontId="0" fillId="28" borderId="0" xfId="0" applyFill="1"/>
    <xf numFmtId="166" fontId="0" fillId="28" borderId="0" xfId="0" applyNumberFormat="1" applyFill="1"/>
    <xf numFmtId="1" fontId="0" fillId="28" borderId="0" xfId="0" applyNumberFormat="1" applyFill="1"/>
    <xf numFmtId="4" fontId="9" fillId="0" borderId="0" xfId="0" applyNumberFormat="1" applyFont="1" applyFill="1" applyBorder="1"/>
    <xf numFmtId="166" fontId="6" fillId="17" borderId="0" xfId="3" applyNumberFormat="1" applyFont="1" applyFill="1"/>
    <xf numFmtId="2" fontId="26" fillId="4" borderId="0" xfId="0" applyNumberFormat="1" applyFont="1" applyFill="1"/>
    <xf numFmtId="0" fontId="26" fillId="4" borderId="0" xfId="0" applyFont="1" applyFill="1"/>
    <xf numFmtId="0" fontId="20" fillId="4" borderId="0" xfId="0" applyFont="1" applyFill="1"/>
    <xf numFmtId="164" fontId="9" fillId="0" borderId="0" xfId="3" applyNumberFormat="1" applyFont="1" applyFill="1" applyBorder="1"/>
    <xf numFmtId="1" fontId="6" fillId="25" borderId="0" xfId="0" applyNumberFormat="1" applyFont="1" applyFill="1"/>
    <xf numFmtId="166" fontId="35" fillId="5" borderId="0" xfId="3" applyNumberFormat="1" applyFont="1" applyFill="1"/>
    <xf numFmtId="166" fontId="35" fillId="0" borderId="0" xfId="3" applyNumberFormat="1" applyFont="1" applyFill="1" applyBorder="1"/>
    <xf numFmtId="3" fontId="6" fillId="0" borderId="0" xfId="3" applyNumberFormat="1" applyFont="1" applyFill="1"/>
    <xf numFmtId="3" fontId="69" fillId="0" borderId="0" xfId="3" applyNumberFormat="1" applyFont="1" applyFill="1"/>
    <xf numFmtId="3" fontId="69" fillId="0" borderId="0" xfId="3" applyNumberFormat="1" applyFont="1"/>
    <xf numFmtId="3" fontId="8" fillId="5" borderId="0" xfId="3" applyNumberFormat="1" applyFont="1" applyFill="1"/>
    <xf numFmtId="166" fontId="3" fillId="0" borderId="0" xfId="0" applyNumberFormat="1" applyFont="1"/>
    <xf numFmtId="173" fontId="6" fillId="3" borderId="0" xfId="0" applyNumberFormat="1" applyFont="1" applyFill="1"/>
    <xf numFmtId="0" fontId="39" fillId="0" borderId="0" xfId="0" quotePrefix="1" applyFont="1"/>
    <xf numFmtId="1" fontId="0" fillId="25" borderId="0" xfId="0" applyNumberFormat="1" applyFill="1"/>
    <xf numFmtId="166" fontId="17" fillId="8" borderId="0" xfId="3" applyNumberFormat="1" applyFont="1" applyFill="1"/>
    <xf numFmtId="166" fontId="17" fillId="0" borderId="0" xfId="3" applyNumberFormat="1" applyFont="1" applyFill="1"/>
    <xf numFmtId="166" fontId="17" fillId="24" borderId="0" xfId="3" applyNumberFormat="1" applyFont="1" applyFill="1"/>
    <xf numFmtId="166" fontId="20" fillId="0" borderId="0" xfId="3" applyNumberFormat="1" applyFont="1" applyFill="1"/>
    <xf numFmtId="166" fontId="6" fillId="10" borderId="0" xfId="3" applyNumberFormat="1" applyFont="1" applyFill="1"/>
    <xf numFmtId="166" fontId="6" fillId="25" borderId="0" xfId="0" applyNumberFormat="1" applyFont="1" applyFill="1"/>
    <xf numFmtId="166" fontId="6" fillId="14" borderId="0" xfId="0" applyNumberFormat="1" applyFont="1" applyFill="1"/>
    <xf numFmtId="166" fontId="6" fillId="24" borderId="0" xfId="0" applyNumberFormat="1" applyFont="1" applyFill="1"/>
    <xf numFmtId="166" fontId="14" fillId="9" borderId="0" xfId="0" applyNumberFormat="1" applyFont="1" applyFill="1"/>
    <xf numFmtId="166" fontId="14" fillId="9" borderId="0" xfId="3" applyNumberFormat="1" applyFont="1" applyFill="1"/>
    <xf numFmtId="166" fontId="14" fillId="7" borderId="0" xfId="0" applyNumberFormat="1" applyFont="1" applyFill="1"/>
    <xf numFmtId="166" fontId="14" fillId="0" borderId="0" xfId="3" applyNumberFormat="1" applyFont="1"/>
    <xf numFmtId="166" fontId="6" fillId="23" borderId="0" xfId="0" applyNumberFormat="1" applyFont="1" applyFill="1"/>
    <xf numFmtId="166" fontId="6" fillId="9" borderId="0" xfId="0" applyNumberFormat="1" applyFont="1" applyFill="1" applyAlignment="1"/>
    <xf numFmtId="166" fontId="6" fillId="2" borderId="0" xfId="3" applyNumberFormat="1" applyFont="1" applyFill="1"/>
    <xf numFmtId="166" fontId="14" fillId="9" borderId="0" xfId="0" applyNumberFormat="1" applyFont="1" applyFill="1" applyAlignment="1"/>
    <xf numFmtId="166" fontId="62" fillId="0" borderId="0" xfId="0" applyNumberFormat="1" applyFont="1"/>
    <xf numFmtId="166" fontId="13" fillId="0" borderId="0" xfId="3" applyNumberFormat="1" applyFont="1"/>
    <xf numFmtId="166" fontId="11" fillId="0" borderId="0" xfId="0" applyNumberFormat="1" applyFont="1"/>
    <xf numFmtId="166" fontId="13" fillId="2" borderId="0" xfId="3" applyNumberFormat="1" applyFont="1" applyFill="1"/>
    <xf numFmtId="166" fontId="13" fillId="9" borderId="0" xfId="0" applyNumberFormat="1" applyFont="1" applyFill="1"/>
    <xf numFmtId="166" fontId="13" fillId="8" borderId="0" xfId="3" applyNumberFormat="1" applyFont="1" applyFill="1"/>
    <xf numFmtId="166" fontId="13" fillId="0" borderId="0" xfId="3" applyNumberFormat="1" applyFont="1" applyFill="1"/>
    <xf numFmtId="166" fontId="13" fillId="4" borderId="0" xfId="3" applyNumberFormat="1" applyFont="1" applyFill="1"/>
    <xf numFmtId="166" fontId="20" fillId="0" borderId="0" xfId="0" applyNumberFormat="1" applyFont="1" applyFill="1" applyAlignment="1"/>
    <xf numFmtId="166" fontId="8" fillId="2" borderId="0" xfId="3" applyNumberFormat="1" applyFont="1" applyFill="1"/>
    <xf numFmtId="166" fontId="20" fillId="0" borderId="0" xfId="0" applyNumberFormat="1" applyFont="1" applyFill="1"/>
    <xf numFmtId="166" fontId="26" fillId="5" borderId="0" xfId="0" applyNumberFormat="1" applyFont="1" applyFill="1"/>
    <xf numFmtId="166" fontId="8" fillId="4" borderId="0" xfId="0" applyNumberFormat="1" applyFont="1" applyFill="1"/>
    <xf numFmtId="166" fontId="16" fillId="0" borderId="0" xfId="0" applyNumberFormat="1" applyFont="1" applyFill="1"/>
    <xf numFmtId="166" fontId="25" fillId="0" borderId="0" xfId="0" applyNumberFormat="1" applyFont="1" applyFill="1"/>
    <xf numFmtId="166" fontId="17" fillId="0" borderId="0" xfId="0" applyNumberFormat="1" applyFont="1" applyFill="1"/>
    <xf numFmtId="166" fontId="0" fillId="0" borderId="0" xfId="3" applyNumberFormat="1" applyFont="1" applyFill="1"/>
    <xf numFmtId="166" fontId="5" fillId="15" borderId="0" xfId="0" applyNumberFormat="1" applyFont="1" applyFill="1"/>
    <xf numFmtId="166" fontId="5" fillId="0" borderId="0" xfId="0" applyNumberFormat="1" applyFont="1" applyFill="1"/>
    <xf numFmtId="166" fontId="5" fillId="15" borderId="0" xfId="9" applyNumberFormat="1" applyFont="1" applyFill="1"/>
    <xf numFmtId="166" fontId="6" fillId="20" borderId="0" xfId="3" applyNumberFormat="1" applyFont="1" applyFill="1"/>
    <xf numFmtId="166" fontId="0" fillId="20" borderId="0" xfId="0" applyNumberFormat="1" applyFill="1"/>
    <xf numFmtId="166" fontId="5" fillId="0" borderId="0" xfId="9" applyNumberFormat="1" applyFont="1" applyFill="1"/>
    <xf numFmtId="166" fontId="41" fillId="5" borderId="0" xfId="0" applyNumberFormat="1" applyFont="1" applyFill="1"/>
    <xf numFmtId="166" fontId="8" fillId="23" borderId="0" xfId="3" applyNumberFormat="1" applyFont="1" applyFill="1"/>
    <xf numFmtId="166" fontId="9" fillId="0" borderId="0" xfId="3" applyNumberFormat="1" applyFont="1" applyFill="1"/>
    <xf numFmtId="166" fontId="9" fillId="0" borderId="0" xfId="0" applyNumberFormat="1" applyFont="1" applyFill="1"/>
    <xf numFmtId="166" fontId="8" fillId="11" borderId="0" xfId="0" applyNumberFormat="1" applyFont="1" applyFill="1"/>
    <xf numFmtId="166" fontId="8" fillId="28" borderId="0" xfId="0" applyNumberFormat="1" applyFont="1" applyFill="1"/>
    <xf numFmtId="166" fontId="6" fillId="16" borderId="0" xfId="0" applyNumberFormat="1" applyFont="1" applyFill="1"/>
    <xf numFmtId="166" fontId="6" fillId="16" borderId="0" xfId="3" applyNumberFormat="1" applyFont="1" applyFill="1"/>
    <xf numFmtId="166" fontId="14" fillId="0" borderId="0" xfId="0" applyNumberFormat="1" applyFont="1" applyFill="1" applyAlignment="1" applyProtection="1">
      <alignment horizontal="left"/>
    </xf>
    <xf numFmtId="166" fontId="6" fillId="0" borderId="0" xfId="0" applyNumberFormat="1" applyFont="1" applyFill="1" applyAlignment="1" applyProtection="1">
      <alignment horizontal="left"/>
    </xf>
    <xf numFmtId="166" fontId="6" fillId="14" borderId="0" xfId="0" applyNumberFormat="1" applyFont="1" applyFill="1" applyAlignment="1"/>
    <xf numFmtId="166" fontId="18" fillId="5" borderId="0" xfId="0" applyNumberFormat="1" applyFont="1" applyFill="1"/>
    <xf numFmtId="166" fontId="40" fillId="9" borderId="0" xfId="0" applyNumberFormat="1" applyFont="1" applyFill="1"/>
    <xf numFmtId="166" fontId="39" fillId="9" borderId="0" xfId="0" applyNumberFormat="1" applyFont="1" applyFill="1"/>
    <xf numFmtId="166" fontId="42" fillId="0" borderId="0" xfId="0" applyNumberFormat="1" applyFont="1" applyFill="1"/>
    <xf numFmtId="166" fontId="74" fillId="0" borderId="1" xfId="0" applyNumberFormat="1" applyFont="1" applyBorder="1" applyAlignment="1" applyProtection="1">
      <alignment horizontal="right"/>
    </xf>
    <xf numFmtId="166" fontId="74" fillId="0" borderId="26" xfId="0" applyNumberFormat="1" applyFont="1" applyBorder="1" applyAlignment="1" applyProtection="1">
      <alignment horizontal="right"/>
    </xf>
    <xf numFmtId="166" fontId="7" fillId="0" borderId="26" xfId="3" applyNumberFormat="1" applyFont="1" applyBorder="1"/>
    <xf numFmtId="166" fontId="75" fillId="0" borderId="30" xfId="3" applyNumberFormat="1" applyFont="1" applyBorder="1"/>
    <xf numFmtId="166" fontId="75" fillId="0" borderId="0" xfId="3" applyNumberFormat="1" applyFont="1" applyBorder="1" applyProtection="1"/>
    <xf numFmtId="166" fontId="7" fillId="0" borderId="3" xfId="3" applyNumberFormat="1" applyFont="1" applyFill="1" applyBorder="1" applyProtection="1"/>
    <xf numFmtId="166" fontId="7" fillId="0" borderId="31" xfId="3" applyNumberFormat="1" applyFont="1" applyFill="1" applyBorder="1" applyProtection="1"/>
    <xf numFmtId="166" fontId="39" fillId="0" borderId="31" xfId="3" applyNumberFormat="1" applyFont="1" applyBorder="1" applyProtection="1"/>
    <xf numFmtId="166" fontId="39" fillId="0" borderId="3" xfId="3" applyNumberFormat="1" applyFont="1" applyBorder="1" applyProtection="1"/>
    <xf numFmtId="166" fontId="39" fillId="0" borderId="0" xfId="3" applyNumberFormat="1" applyFont="1" applyFill="1"/>
    <xf numFmtId="166" fontId="75" fillId="0" borderId="32" xfId="3" applyNumberFormat="1" applyFont="1" applyBorder="1"/>
    <xf numFmtId="166" fontId="7" fillId="0" borderId="26" xfId="3" applyNumberFormat="1" applyFont="1" applyFill="1" applyBorder="1" applyProtection="1"/>
    <xf numFmtId="166" fontId="7" fillId="0" borderId="0" xfId="3" applyNumberFormat="1" applyFont="1" applyFill="1" applyBorder="1" applyProtection="1"/>
    <xf numFmtId="166" fontId="7" fillId="0" borderId="0" xfId="3" applyNumberFormat="1" applyFont="1" applyBorder="1" applyProtection="1"/>
    <xf numFmtId="166" fontId="7" fillId="0" borderId="26" xfId="3" applyNumberFormat="1" applyFont="1" applyBorder="1" applyProtection="1"/>
    <xf numFmtId="166" fontId="74" fillId="0" borderId="1" xfId="0" applyNumberFormat="1" applyFont="1" applyFill="1" applyBorder="1" applyAlignment="1" applyProtection="1">
      <alignment horizontal="right"/>
    </xf>
    <xf numFmtId="166" fontId="74" fillId="0" borderId="26" xfId="0" applyNumberFormat="1" applyFont="1" applyFill="1" applyBorder="1" applyAlignment="1" applyProtection="1">
      <alignment horizontal="right"/>
    </xf>
    <xf numFmtId="166" fontId="7" fillId="0" borderId="2" xfId="3" applyNumberFormat="1" applyFont="1" applyBorder="1" applyProtection="1"/>
    <xf numFmtId="166" fontId="7" fillId="0" borderId="33" xfId="3" applyNumberFormat="1" applyFont="1" applyBorder="1" applyProtection="1"/>
    <xf numFmtId="166" fontId="0" fillId="0" borderId="1" xfId="0" applyNumberFormat="1" applyBorder="1"/>
    <xf numFmtId="166" fontId="0" fillId="0" borderId="26" xfId="0" applyNumberFormat="1" applyBorder="1"/>
    <xf numFmtId="166" fontId="0" fillId="0" borderId="26" xfId="0" applyNumberFormat="1" applyFill="1" applyBorder="1"/>
    <xf numFmtId="166" fontId="7" fillId="0" borderId="26" xfId="3" applyNumberFormat="1" applyFont="1" applyBorder="1" applyAlignment="1" applyProtection="1">
      <alignment horizontal="left"/>
    </xf>
    <xf numFmtId="166" fontId="7" fillId="0" borderId="32" xfId="3" applyNumberFormat="1" applyFont="1" applyBorder="1"/>
    <xf numFmtId="166" fontId="76" fillId="0" borderId="1" xfId="0" applyNumberFormat="1" applyFont="1" applyBorder="1"/>
    <xf numFmtId="166" fontId="76" fillId="0" borderId="26" xfId="0" applyNumberFormat="1" applyFont="1" applyBorder="1"/>
    <xf numFmtId="166" fontId="76" fillId="0" borderId="1" xfId="0" applyNumberFormat="1" applyFont="1" applyFill="1" applyBorder="1"/>
    <xf numFmtId="166" fontId="7" fillId="0" borderId="32" xfId="3" applyNumberFormat="1" applyFont="1" applyBorder="1" applyProtection="1"/>
    <xf numFmtId="166" fontId="39" fillId="0" borderId="26" xfId="3" applyNumberFormat="1" applyFont="1" applyBorder="1" applyAlignment="1" applyProtection="1">
      <alignment horizontal="left"/>
    </xf>
    <xf numFmtId="166" fontId="74" fillId="0" borderId="4" xfId="0" applyNumberFormat="1" applyFont="1" applyBorder="1" applyAlignment="1" applyProtection="1">
      <alignment horizontal="right"/>
    </xf>
    <xf numFmtId="166" fontId="74" fillId="0" borderId="5" xfId="0" applyNumberFormat="1" applyFont="1" applyBorder="1" applyAlignment="1" applyProtection="1">
      <alignment horizontal="right"/>
    </xf>
    <xf numFmtId="166" fontId="75" fillId="0" borderId="5" xfId="3" applyNumberFormat="1" applyFont="1" applyBorder="1"/>
    <xf numFmtId="166" fontId="75" fillId="0" borderId="34" xfId="3" applyNumberFormat="1" applyFont="1" applyBorder="1"/>
    <xf numFmtId="166" fontId="7" fillId="0" borderId="35" xfId="3" applyNumberFormat="1" applyFont="1" applyBorder="1" applyProtection="1"/>
    <xf numFmtId="166" fontId="7" fillId="0" borderId="5" xfId="3" applyNumberFormat="1" applyFont="1" applyBorder="1" applyProtection="1"/>
    <xf numFmtId="166" fontId="7" fillId="0" borderId="1" xfId="3" applyNumberFormat="1" applyFont="1" applyBorder="1" applyAlignment="1" applyProtection="1">
      <alignment horizontal="left"/>
    </xf>
    <xf numFmtId="166" fontId="7" fillId="0" borderId="3" xfId="3" applyNumberFormat="1" applyFont="1" applyBorder="1"/>
    <xf numFmtId="166" fontId="7" fillId="0" borderId="3" xfId="3" applyNumberFormat="1" applyFont="1" applyBorder="1" applyProtection="1"/>
    <xf numFmtId="166" fontId="74" fillId="0" borderId="1" xfId="0" applyNumberFormat="1" applyFont="1" applyBorder="1" applyProtection="1"/>
    <xf numFmtId="166" fontId="74" fillId="0" borderId="26" xfId="0" applyNumberFormat="1" applyFont="1" applyBorder="1" applyProtection="1"/>
    <xf numFmtId="166" fontId="7" fillId="0" borderId="1" xfId="3" applyNumberFormat="1" applyFont="1" applyBorder="1" applyProtection="1"/>
    <xf numFmtId="166" fontId="7" fillId="0" borderId="0" xfId="3" applyNumberFormat="1" applyFont="1" applyBorder="1"/>
    <xf numFmtId="166" fontId="39" fillId="0" borderId="26" xfId="3" applyNumberFormat="1" applyFont="1" applyBorder="1" applyProtection="1"/>
    <xf numFmtId="166" fontId="76" fillId="0" borderId="36" xfId="0" applyNumberFormat="1" applyFont="1" applyFill="1" applyBorder="1"/>
    <xf numFmtId="166" fontId="76" fillId="0" borderId="2" xfId="0" applyNumberFormat="1" applyFont="1" applyFill="1" applyBorder="1"/>
    <xf numFmtId="166" fontId="7" fillId="0" borderId="36" xfId="3" applyNumberFormat="1" applyFont="1" applyBorder="1"/>
    <xf numFmtId="166" fontId="7" fillId="0" borderId="2" xfId="3" applyNumberFormat="1" applyFont="1" applyBorder="1"/>
    <xf numFmtId="166" fontId="7" fillId="0" borderId="33" xfId="3" applyNumberFormat="1" applyFont="1" applyBorder="1"/>
    <xf numFmtId="166" fontId="40" fillId="0" borderId="0" xfId="0" applyNumberFormat="1" applyFont="1" applyFill="1"/>
    <xf numFmtId="166" fontId="39" fillId="0" borderId="6" xfId="3" applyNumberFormat="1" applyFont="1" applyBorder="1" applyProtection="1"/>
    <xf numFmtId="166" fontId="7" fillId="0" borderId="3" xfId="3" applyNumberFormat="1" applyFont="1" applyBorder="1" applyAlignment="1" applyProtection="1">
      <alignment horizontal="left"/>
    </xf>
    <xf numFmtId="166" fontId="75" fillId="0" borderId="26" xfId="3" applyNumberFormat="1" applyFont="1" applyBorder="1"/>
    <xf numFmtId="166" fontId="7" fillId="0" borderId="0" xfId="3" applyNumberFormat="1" applyFont="1"/>
    <xf numFmtId="166" fontId="39" fillId="0" borderId="0" xfId="3" applyNumberFormat="1" applyFont="1" applyBorder="1" applyProtection="1"/>
    <xf numFmtId="166" fontId="39" fillId="0" borderId="1" xfId="3" applyNumberFormat="1" applyFont="1" applyBorder="1" applyProtection="1"/>
    <xf numFmtId="166" fontId="39" fillId="0" borderId="26" xfId="3" applyNumberFormat="1" applyFont="1" applyFill="1" applyBorder="1" applyProtection="1"/>
    <xf numFmtId="166" fontId="39" fillId="0" borderId="1" xfId="3" applyNumberFormat="1" applyFont="1" applyFill="1" applyBorder="1" applyProtection="1"/>
    <xf numFmtId="166" fontId="74" fillId="0" borderId="26" xfId="3" applyNumberFormat="1" applyFont="1" applyBorder="1" applyAlignment="1" applyProtection="1">
      <alignment horizontal="left"/>
    </xf>
    <xf numFmtId="166" fontId="74" fillId="0" borderId="1" xfId="3" applyNumberFormat="1" applyFont="1" applyBorder="1" applyAlignment="1" applyProtection="1">
      <alignment horizontal="left"/>
    </xf>
    <xf numFmtId="166" fontId="76" fillId="0" borderId="1" xfId="3" applyNumberFormat="1" applyFont="1" applyBorder="1"/>
    <xf numFmtId="166" fontId="74" fillId="0" borderId="1" xfId="3" applyNumberFormat="1" applyFont="1" applyBorder="1" applyAlignment="1" applyProtection="1">
      <alignment horizontal="right"/>
    </xf>
    <xf numFmtId="166" fontId="74" fillId="0" borderId="26" xfId="3" applyNumberFormat="1" applyFont="1" applyBorder="1" applyAlignment="1" applyProtection="1">
      <alignment horizontal="right"/>
    </xf>
    <xf numFmtId="166" fontId="7" fillId="0" borderId="26" xfId="3" applyNumberFormat="1" applyFont="1" applyFill="1" applyBorder="1" applyAlignment="1" applyProtection="1">
      <alignment horizontal="left"/>
    </xf>
    <xf numFmtId="166" fontId="75" fillId="0" borderId="26" xfId="3" applyNumberFormat="1" applyFont="1" applyFill="1" applyBorder="1"/>
    <xf numFmtId="166" fontId="75" fillId="0" borderId="0" xfId="3" applyNumberFormat="1" applyFont="1" applyFill="1" applyBorder="1" applyProtection="1"/>
    <xf numFmtId="166" fontId="74" fillId="0" borderId="2" xfId="3" applyNumberFormat="1" applyFont="1" applyBorder="1" applyAlignment="1" applyProtection="1">
      <alignment horizontal="right"/>
    </xf>
    <xf numFmtId="166" fontId="76" fillId="0" borderId="36" xfId="3" applyNumberFormat="1" applyFont="1" applyBorder="1"/>
    <xf numFmtId="166" fontId="0" fillId="0" borderId="2" xfId="0" applyNumberFormat="1" applyBorder="1"/>
    <xf numFmtId="166" fontId="74" fillId="0" borderId="5" xfId="3" applyNumberFormat="1" applyFont="1" applyBorder="1" applyAlignment="1" applyProtection="1">
      <alignment horizontal="right"/>
    </xf>
    <xf numFmtId="166" fontId="7" fillId="0" borderId="35" xfId="3" applyNumberFormat="1" applyFont="1" applyBorder="1" applyAlignment="1" applyProtection="1">
      <alignment horizontal="left"/>
    </xf>
    <xf numFmtId="166" fontId="7" fillId="0" borderId="5" xfId="3" applyNumberFormat="1" applyFont="1" applyBorder="1"/>
    <xf numFmtId="166" fontId="7" fillId="0" borderId="35" xfId="3" applyNumberFormat="1" applyFont="1" applyBorder="1"/>
    <xf numFmtId="166" fontId="74" fillId="0" borderId="1" xfId="3" applyNumberFormat="1" applyFont="1" applyBorder="1" applyProtection="1"/>
    <xf numFmtId="166" fontId="74" fillId="0" borderId="26" xfId="3" applyNumberFormat="1" applyFont="1" applyBorder="1" applyProtection="1"/>
    <xf numFmtId="166" fontId="74" fillId="0" borderId="1" xfId="3" applyNumberFormat="1" applyFont="1" applyBorder="1"/>
    <xf numFmtId="166" fontId="39" fillId="0" borderId="32" xfId="3" applyNumberFormat="1" applyFont="1" applyBorder="1" applyProtection="1"/>
    <xf numFmtId="166" fontId="74" fillId="0" borderId="0" xfId="3" applyNumberFormat="1" applyFont="1" applyBorder="1" applyProtection="1"/>
    <xf numFmtId="166" fontId="74" fillId="0" borderId="1" xfId="3" applyNumberFormat="1" applyFont="1" applyFill="1" applyBorder="1" applyProtection="1"/>
    <xf numFmtId="166" fontId="74" fillId="0" borderId="26" xfId="3" applyNumberFormat="1" applyFont="1" applyFill="1" applyBorder="1" applyProtection="1"/>
    <xf numFmtId="166" fontId="39" fillId="15" borderId="0" xfId="0" applyNumberFormat="1" applyFont="1" applyFill="1" applyBorder="1"/>
    <xf numFmtId="166" fontId="39" fillId="0" borderId="0" xfId="0" applyNumberFormat="1" applyFont="1" applyFill="1" applyBorder="1"/>
    <xf numFmtId="166" fontId="6" fillId="3" borderId="0" xfId="0" applyNumberFormat="1" applyFont="1" applyFill="1" applyAlignment="1">
      <alignment wrapText="1"/>
    </xf>
    <xf numFmtId="166" fontId="50" fillId="0" borderId="0" xfId="0" applyNumberFormat="1" applyFont="1" applyFill="1"/>
    <xf numFmtId="166" fontId="54" fillId="0" borderId="0" xfId="0" applyNumberFormat="1" applyFont="1"/>
    <xf numFmtId="166" fontId="52" fillId="0" borderId="0" xfId="0" applyNumberFormat="1" applyFont="1"/>
    <xf numFmtId="166" fontId="35" fillId="0" borderId="0" xfId="0" applyNumberFormat="1" applyFont="1"/>
    <xf numFmtId="166" fontId="3" fillId="0" borderId="0" xfId="3" applyNumberFormat="1" applyFont="1" applyFill="1"/>
    <xf numFmtId="166" fontId="35" fillId="0" borderId="0" xfId="3" applyNumberFormat="1" applyFont="1" applyFill="1"/>
    <xf numFmtId="166" fontId="34" fillId="0" borderId="0" xfId="3" applyNumberFormat="1" applyFont="1" applyFill="1"/>
    <xf numFmtId="166" fontId="36" fillId="0" borderId="0" xfId="3" applyNumberFormat="1" applyFont="1"/>
    <xf numFmtId="166" fontId="3" fillId="5" borderId="0" xfId="0" applyNumberFormat="1" applyFont="1" applyFill="1"/>
    <xf numFmtId="166" fontId="3" fillId="5" borderId="0" xfId="3" applyNumberFormat="1" applyFont="1" applyFill="1"/>
    <xf numFmtId="166" fontId="26" fillId="4" borderId="0" xfId="3" applyNumberFormat="1" applyFont="1" applyFill="1"/>
    <xf numFmtId="166" fontId="3" fillId="10" borderId="0" xfId="3" applyNumberFormat="1" applyFont="1" applyFill="1"/>
    <xf numFmtId="166" fontId="26" fillId="14" borderId="0" xfId="3" applyNumberFormat="1" applyFont="1" applyFill="1"/>
    <xf numFmtId="166" fontId="36" fillId="11" borderId="0" xfId="3" applyNumberFormat="1" applyFont="1" applyFill="1"/>
    <xf numFmtId="166" fontId="3" fillId="15" borderId="0" xfId="0" applyNumberFormat="1" applyFont="1" applyFill="1"/>
    <xf numFmtId="166" fontId="26" fillId="11" borderId="0" xfId="3" applyNumberFormat="1" applyFont="1" applyFill="1"/>
    <xf numFmtId="166" fontId="35" fillId="8" borderId="0" xfId="3" applyNumberFormat="1" applyFont="1" applyFill="1"/>
    <xf numFmtId="166" fontId="47" fillId="0" borderId="0" xfId="0" applyNumberFormat="1" applyFont="1"/>
    <xf numFmtId="166" fontId="48" fillId="0" borderId="0" xfId="3" applyNumberFormat="1" applyFont="1"/>
    <xf numFmtId="166" fontId="60" fillId="0" borderId="0" xfId="0" applyNumberFormat="1" applyFont="1" applyFill="1"/>
    <xf numFmtId="166" fontId="59" fillId="0" borderId="0" xfId="0" applyNumberFormat="1" applyFont="1"/>
    <xf numFmtId="166" fontId="26" fillId="0" borderId="0" xfId="0" applyNumberFormat="1" applyFont="1" applyFill="1" applyBorder="1"/>
    <xf numFmtId="166" fontId="41" fillId="0" borderId="0" xfId="0" applyNumberFormat="1" applyFont="1" applyFill="1"/>
    <xf numFmtId="166" fontId="14" fillId="27" borderId="0" xfId="3" applyNumberFormat="1" applyFont="1" applyFill="1"/>
    <xf numFmtId="166" fontId="6" fillId="27" borderId="0" xfId="3" applyNumberFormat="1" applyFont="1" applyFill="1"/>
    <xf numFmtId="166" fontId="58" fillId="0" borderId="0" xfId="0" applyNumberFormat="1" applyFont="1"/>
    <xf numFmtId="166" fontId="3" fillId="0" borderId="28" xfId="3" applyNumberFormat="1" applyFont="1" applyBorder="1"/>
    <xf numFmtId="166" fontId="35" fillId="0" borderId="37" xfId="0" applyNumberFormat="1" applyFont="1" applyBorder="1" applyAlignment="1">
      <alignment vertical="top"/>
    </xf>
    <xf numFmtId="166" fontId="35" fillId="0" borderId="37" xfId="3" applyNumberFormat="1" applyFont="1" applyBorder="1" applyAlignment="1">
      <alignment vertical="top"/>
    </xf>
    <xf numFmtId="166" fontId="35" fillId="0" borderId="37" xfId="3" applyNumberFormat="1" applyFont="1" applyBorder="1" applyAlignment="1">
      <alignment horizontal="center" vertical="top" wrapText="1"/>
    </xf>
    <xf numFmtId="166" fontId="35" fillId="0" borderId="15" xfId="3" applyNumberFormat="1" applyFont="1" applyBorder="1" applyAlignment="1">
      <alignment horizontal="center" vertical="top" wrapText="1"/>
    </xf>
    <xf numFmtId="166" fontId="35" fillId="0" borderId="24" xfId="0" applyNumberFormat="1" applyFont="1" applyBorder="1"/>
    <xf numFmtId="166" fontId="35" fillId="0" borderId="24" xfId="3" applyNumberFormat="1" applyFont="1" applyBorder="1"/>
    <xf numFmtId="166" fontId="3" fillId="0" borderId="24" xfId="3" applyNumberFormat="1" applyFont="1" applyBorder="1"/>
    <xf numFmtId="166" fontId="3" fillId="0" borderId="17" xfId="3" applyNumberFormat="1" applyFont="1" applyBorder="1"/>
    <xf numFmtId="166" fontId="47" fillId="0" borderId="0" xfId="3" applyNumberFormat="1" applyFont="1"/>
    <xf numFmtId="166" fontId="35" fillId="0" borderId="13" xfId="0" applyNumberFormat="1" applyFont="1" applyBorder="1"/>
    <xf numFmtId="166" fontId="34" fillId="0" borderId="13" xfId="3" applyNumberFormat="1" applyFont="1" applyBorder="1"/>
    <xf numFmtId="166" fontId="35" fillId="0" borderId="13" xfId="3" applyNumberFormat="1" applyFont="1" applyBorder="1"/>
    <xf numFmtId="166" fontId="35" fillId="23" borderId="13" xfId="3" applyNumberFormat="1" applyFont="1" applyFill="1" applyBorder="1"/>
    <xf numFmtId="166" fontId="3" fillId="0" borderId="24" xfId="0" applyNumberFormat="1" applyFont="1" applyFill="1" applyBorder="1"/>
    <xf numFmtId="166" fontId="3" fillId="0" borderId="24" xfId="0" applyNumberFormat="1" applyFont="1" applyBorder="1"/>
    <xf numFmtId="166" fontId="35" fillId="0" borderId="24" xfId="0" applyNumberFormat="1" applyFont="1" applyFill="1" applyBorder="1"/>
    <xf numFmtId="166" fontId="35" fillId="0" borderId="0" xfId="3" applyNumberFormat="1" applyFont="1" applyBorder="1"/>
    <xf numFmtId="166" fontId="3" fillId="0" borderId="0" xfId="3" applyNumberFormat="1" applyFont="1" applyBorder="1"/>
    <xf numFmtId="166" fontId="33" fillId="0" borderId="24" xfId="0" applyNumberFormat="1" applyFont="1" applyFill="1" applyBorder="1"/>
    <xf numFmtId="166" fontId="35" fillId="0" borderId="17" xfId="3" applyNumberFormat="1" applyFont="1" applyBorder="1"/>
    <xf numFmtId="166" fontId="6" fillId="21" borderId="0" xfId="0" applyNumberFormat="1" applyFont="1" applyFill="1"/>
    <xf numFmtId="166" fontId="3" fillId="0" borderId="17" xfId="3" applyNumberFormat="1" applyFont="1" applyFill="1" applyBorder="1"/>
    <xf numFmtId="166" fontId="3" fillId="25" borderId="0" xfId="3" applyNumberFormat="1" applyFont="1" applyFill="1"/>
    <xf numFmtId="166" fontId="3" fillId="5" borderId="24" xfId="0" applyNumberFormat="1" applyFont="1" applyFill="1" applyBorder="1"/>
    <xf numFmtId="166" fontId="3" fillId="5" borderId="24" xfId="3" applyNumberFormat="1" applyFont="1" applyFill="1" applyBorder="1"/>
    <xf numFmtId="166" fontId="0" fillId="5" borderId="0" xfId="3" applyNumberFormat="1" applyFont="1" applyFill="1"/>
    <xf numFmtId="166" fontId="3" fillId="5" borderId="27" xfId="3" applyNumberFormat="1" applyFont="1" applyFill="1" applyBorder="1"/>
    <xf numFmtId="166" fontId="32" fillId="0" borderId="0" xfId="0" applyNumberFormat="1" applyFont="1" applyFill="1"/>
    <xf numFmtId="166" fontId="6" fillId="18" borderId="0" xfId="3" applyNumberFormat="1" applyFont="1" applyFill="1"/>
    <xf numFmtId="166" fontId="14" fillId="10" borderId="0" xfId="3" applyNumberFormat="1" applyFont="1" applyFill="1"/>
    <xf numFmtId="166" fontId="12" fillId="5" borderId="0" xfId="3" applyNumberFormat="1" applyFont="1" applyFill="1"/>
    <xf numFmtId="166" fontId="20" fillId="4" borderId="0" xfId="3" applyNumberFormat="1" applyFont="1" applyFill="1"/>
    <xf numFmtId="166" fontId="3" fillId="0" borderId="24" xfId="3" applyNumberFormat="1" applyFont="1" applyFill="1" applyBorder="1"/>
    <xf numFmtId="166" fontId="3" fillId="0" borderId="29" xfId="0" applyNumberFormat="1" applyFont="1" applyBorder="1"/>
    <xf numFmtId="166" fontId="3" fillId="0" borderId="29" xfId="3" applyNumberFormat="1" applyFont="1" applyBorder="1"/>
    <xf numFmtId="166" fontId="26" fillId="25" borderId="0" xfId="3" applyNumberFormat="1" applyFont="1" applyFill="1"/>
    <xf numFmtId="166" fontId="6" fillId="19" borderId="0" xfId="0" applyNumberFormat="1" applyFont="1" applyFill="1"/>
    <xf numFmtId="166" fontId="3" fillId="0" borderId="0" xfId="0" applyNumberFormat="1" applyFont="1" applyBorder="1"/>
    <xf numFmtId="166" fontId="6" fillId="7" borderId="0" xfId="0" applyNumberFormat="1" applyFont="1" applyFill="1"/>
    <xf numFmtId="166" fontId="3" fillId="0" borderId="38" xfId="0" applyNumberFormat="1" applyFont="1" applyFill="1" applyBorder="1"/>
    <xf numFmtId="166" fontId="3" fillId="0" borderId="38" xfId="3" applyNumberFormat="1" applyFont="1" applyFill="1" applyBorder="1"/>
    <xf numFmtId="166" fontId="3" fillId="0" borderId="18" xfId="0" applyNumberFormat="1" applyFont="1" applyFill="1" applyBorder="1"/>
    <xf numFmtId="166" fontId="3" fillId="0" borderId="18" xfId="3" applyNumberFormat="1" applyFont="1" applyFill="1" applyBorder="1"/>
    <xf numFmtId="166" fontId="6" fillId="0" borderId="0" xfId="3" applyNumberFormat="1" applyFont="1" applyFill="1" applyBorder="1"/>
    <xf numFmtId="166" fontId="26" fillId="19" borderId="0" xfId="0" applyNumberFormat="1" applyFont="1" applyFill="1"/>
    <xf numFmtId="166" fontId="3" fillId="0" borderId="39" xfId="0" applyNumberFormat="1" applyFont="1" applyFill="1" applyBorder="1"/>
    <xf numFmtId="166" fontId="3" fillId="0" borderId="39" xfId="3" applyNumberFormat="1" applyFont="1" applyFill="1" applyBorder="1"/>
    <xf numFmtId="166" fontId="6" fillId="7" borderId="0" xfId="3" applyNumberFormat="1" applyFont="1" applyFill="1"/>
    <xf numFmtId="166" fontId="48" fillId="0" borderId="24" xfId="0" applyNumberFormat="1" applyFont="1" applyBorder="1"/>
    <xf numFmtId="166" fontId="48" fillId="0" borderId="24" xfId="3" applyNumberFormat="1" applyFont="1" applyBorder="1"/>
    <xf numFmtId="166" fontId="14" fillId="5" borderId="0" xfId="0" applyNumberFormat="1" applyFont="1" applyFill="1"/>
    <xf numFmtId="166" fontId="14" fillId="17" borderId="0" xfId="3" applyNumberFormat="1" applyFont="1" applyFill="1"/>
    <xf numFmtId="166" fontId="14" fillId="15" borderId="0" xfId="0" applyNumberFormat="1" applyFont="1" applyFill="1"/>
    <xf numFmtId="166" fontId="15" fillId="0" borderId="0" xfId="0" applyNumberFormat="1" applyFont="1" applyFill="1"/>
    <xf numFmtId="166" fontId="16" fillId="0" borderId="0" xfId="3" applyNumberFormat="1" applyFont="1" applyFill="1"/>
    <xf numFmtId="166" fontId="17" fillId="15" borderId="0" xfId="3" applyNumberFormat="1" applyFont="1" applyFill="1"/>
    <xf numFmtId="166" fontId="6" fillId="8" borderId="0" xfId="3" applyNumberFormat="1" applyFont="1" applyFill="1"/>
    <xf numFmtId="166" fontId="35" fillId="0" borderId="0" xfId="0" applyNumberFormat="1" applyFont="1" applyFill="1"/>
    <xf numFmtId="166" fontId="58" fillId="0" borderId="0" xfId="0" applyNumberFormat="1" applyFont="1" applyFill="1"/>
    <xf numFmtId="166" fontId="3" fillId="0" borderId="0" xfId="0" applyNumberFormat="1" applyFont="1" applyFill="1"/>
    <xf numFmtId="166" fontId="35" fillId="15" borderId="0" xfId="3" applyNumberFormat="1" applyFont="1" applyFill="1"/>
    <xf numFmtId="166" fontId="35" fillId="0" borderId="24" xfId="3" applyNumberFormat="1" applyFont="1" applyFill="1" applyBorder="1"/>
    <xf numFmtId="166" fontId="48" fillId="0" borderId="24" xfId="0" applyNumberFormat="1" applyFont="1" applyFill="1" applyBorder="1"/>
    <xf numFmtId="166" fontId="3" fillId="19" borderId="24" xfId="0" applyNumberFormat="1" applyFont="1" applyFill="1" applyBorder="1"/>
    <xf numFmtId="166" fontId="48" fillId="0" borderId="24" xfId="3" applyNumberFormat="1" applyFont="1" applyFill="1" applyBorder="1"/>
    <xf numFmtId="166" fontId="3" fillId="0" borderId="24" xfId="3" applyNumberFormat="1" applyFont="1" applyFill="1" applyBorder="1" applyAlignment="1">
      <alignment horizontal="right"/>
    </xf>
    <xf numFmtId="166" fontId="3" fillId="0" borderId="27" xfId="3" applyNumberFormat="1" applyFont="1" applyFill="1" applyBorder="1"/>
    <xf numFmtId="166" fontId="3" fillId="10" borderId="24" xfId="3" applyNumberFormat="1" applyFont="1" applyFill="1" applyBorder="1"/>
    <xf numFmtId="166" fontId="3" fillId="10" borderId="0" xfId="3" applyNumberFormat="1" applyFont="1" applyFill="1" applyBorder="1"/>
    <xf numFmtId="166" fontId="36" fillId="0" borderId="24" xfId="0" applyNumberFormat="1" applyFont="1" applyFill="1" applyBorder="1"/>
    <xf numFmtId="166" fontId="6" fillId="21" borderId="0" xfId="3" applyNumberFormat="1" applyFont="1" applyFill="1"/>
    <xf numFmtId="166" fontId="3" fillId="19" borderId="29" xfId="0" applyNumberFormat="1" applyFont="1" applyFill="1" applyBorder="1"/>
    <xf numFmtId="166" fontId="48" fillId="0" borderId="29" xfId="0" applyNumberFormat="1" applyFont="1" applyFill="1" applyBorder="1"/>
    <xf numFmtId="166" fontId="48" fillId="0" borderId="29" xfId="3" applyNumberFormat="1" applyFont="1" applyFill="1" applyBorder="1"/>
    <xf numFmtId="166" fontId="3" fillId="0" borderId="29" xfId="3" applyNumberFormat="1" applyFont="1" applyFill="1" applyBorder="1"/>
    <xf numFmtId="166" fontId="36" fillId="19" borderId="24" xfId="0" applyNumberFormat="1" applyFont="1" applyFill="1" applyBorder="1"/>
    <xf numFmtId="166" fontId="49" fillId="0" borderId="24" xfId="0" applyNumberFormat="1" applyFont="1" applyFill="1" applyBorder="1"/>
    <xf numFmtId="166" fontId="47" fillId="0" borderId="24" xfId="0" applyNumberFormat="1" applyFont="1" applyFill="1" applyBorder="1"/>
    <xf numFmtId="166" fontId="47" fillId="0" borderId="24" xfId="3" applyNumberFormat="1" applyFont="1" applyFill="1" applyBorder="1"/>
    <xf numFmtId="166" fontId="63" fillId="0" borderId="0" xfId="3" applyNumberFormat="1" applyFont="1" applyFill="1"/>
    <xf numFmtId="166" fontId="83" fillId="0" borderId="24" xfId="0" applyNumberFormat="1" applyFont="1" applyFill="1" applyBorder="1"/>
    <xf numFmtId="166" fontId="35" fillId="0" borderId="0" xfId="0" applyNumberFormat="1" applyFont="1" applyBorder="1"/>
    <xf numFmtId="166" fontId="49" fillId="0" borderId="0" xfId="3" applyNumberFormat="1" applyFont="1" applyBorder="1"/>
    <xf numFmtId="166" fontId="3" fillId="0" borderId="0" xfId="0" applyNumberFormat="1" applyFont="1" applyFill="1" applyBorder="1"/>
    <xf numFmtId="166" fontId="35" fillId="15" borderId="24" xfId="3" applyNumberFormat="1" applyFont="1" applyFill="1" applyBorder="1"/>
    <xf numFmtId="166" fontId="48" fillId="5" borderId="24" xfId="3" applyNumberFormat="1" applyFont="1" applyFill="1" applyBorder="1"/>
    <xf numFmtId="166" fontId="3" fillId="4" borderId="0" xfId="3" applyNumberFormat="1" applyFont="1" applyFill="1"/>
    <xf numFmtId="166" fontId="35" fillId="5" borderId="24" xfId="0" applyNumberFormat="1" applyFont="1" applyFill="1" applyBorder="1"/>
    <xf numFmtId="166" fontId="35" fillId="5" borderId="0" xfId="0" applyNumberFormat="1" applyFont="1" applyFill="1" applyBorder="1"/>
    <xf numFmtId="166" fontId="35" fillId="15" borderId="24" xfId="0" applyNumberFormat="1" applyFont="1" applyFill="1" applyBorder="1"/>
    <xf numFmtId="166" fontId="35" fillId="0" borderId="24" xfId="0" applyNumberFormat="1" applyFont="1" applyBorder="1" applyAlignment="1">
      <alignment vertical="top"/>
    </xf>
    <xf numFmtId="166" fontId="35" fillId="0" borderId="24" xfId="3" applyNumberFormat="1" applyFont="1" applyBorder="1" applyAlignment="1">
      <alignment vertical="top"/>
    </xf>
    <xf numFmtId="166" fontId="35" fillId="0" borderId="24" xfId="3" applyNumberFormat="1" applyFont="1" applyBorder="1" applyAlignment="1">
      <alignment horizontal="right" vertical="top" wrapText="1"/>
    </xf>
    <xf numFmtId="166" fontId="35" fillId="0" borderId="24" xfId="0" applyNumberFormat="1" applyFont="1" applyFill="1" applyBorder="1" applyAlignment="1">
      <alignment vertical="top"/>
    </xf>
    <xf numFmtId="166" fontId="3" fillId="0" borderId="24" xfId="0" applyNumberFormat="1" applyFont="1" applyFill="1" applyBorder="1" applyAlignment="1">
      <alignment vertical="top"/>
    </xf>
    <xf numFmtId="166" fontId="3" fillId="0" borderId="24" xfId="3" applyNumberFormat="1" applyFont="1" applyBorder="1" applyAlignment="1">
      <alignment horizontal="right"/>
    </xf>
    <xf numFmtId="166" fontId="3" fillId="0" borderId="24" xfId="0" applyNumberFormat="1" applyFont="1" applyBorder="1" applyAlignment="1">
      <alignment vertical="top" wrapText="1"/>
    </xf>
    <xf numFmtId="166" fontId="3" fillId="0" borderId="24" xfId="3" applyNumberFormat="1" applyFont="1" applyBorder="1" applyAlignment="1">
      <alignment vertical="top" wrapText="1"/>
    </xf>
    <xf numFmtId="166" fontId="36" fillId="0" borderId="24" xfId="0" applyNumberFormat="1" applyFont="1" applyBorder="1"/>
    <xf numFmtId="166" fontId="3" fillId="0" borderId="24" xfId="0" applyNumberFormat="1" applyFont="1" applyFill="1" applyBorder="1" applyAlignment="1">
      <alignment vertical="top" wrapText="1"/>
    </xf>
    <xf numFmtId="166" fontId="35" fillId="0" borderId="24" xfId="0" applyNumberFormat="1" applyFont="1" applyFill="1" applyBorder="1" applyAlignment="1">
      <alignment wrapText="1"/>
    </xf>
    <xf numFmtId="166" fontId="48" fillId="0" borderId="24" xfId="0" applyNumberFormat="1" applyFont="1" applyBorder="1" applyAlignment="1">
      <alignment wrapText="1"/>
    </xf>
    <xf numFmtId="166" fontId="48" fillId="0" borderId="24" xfId="3" applyNumberFormat="1" applyFont="1" applyBorder="1" applyAlignment="1">
      <alignment wrapText="1"/>
    </xf>
    <xf numFmtId="166" fontId="3" fillId="0" borderId="27" xfId="3" applyNumberFormat="1" applyFont="1" applyBorder="1" applyAlignment="1">
      <alignment horizontal="right"/>
    </xf>
    <xf numFmtId="166" fontId="3" fillId="0" borderId="24" xfId="0" applyNumberFormat="1" applyFont="1" applyFill="1" applyBorder="1" applyAlignment="1">
      <alignment wrapText="1"/>
    </xf>
    <xf numFmtId="166" fontId="3" fillId="0" borderId="29" xfId="3" applyNumberFormat="1" applyFont="1" applyBorder="1" applyAlignment="1">
      <alignment horizontal="right"/>
    </xf>
    <xf numFmtId="166" fontId="36" fillId="0" borderId="24" xfId="0" applyNumberFormat="1" applyFont="1" applyFill="1" applyBorder="1" applyAlignment="1">
      <alignment wrapText="1"/>
    </xf>
    <xf numFmtId="166" fontId="48" fillId="0" borderId="24" xfId="3" applyNumberFormat="1" applyFont="1" applyBorder="1" applyAlignment="1">
      <alignment horizontal="right"/>
    </xf>
    <xf numFmtId="166" fontId="3" fillId="8" borderId="0" xfId="3" applyNumberFormat="1" applyFont="1" applyFill="1"/>
    <xf numFmtId="166" fontId="48" fillId="0" borderId="27" xfId="3" applyNumberFormat="1" applyFont="1" applyBorder="1" applyAlignment="1">
      <alignment horizontal="right"/>
    </xf>
    <xf numFmtId="166" fontId="36" fillId="0" borderId="24" xfId="0" applyNumberFormat="1" applyFont="1" applyBorder="1" applyAlignment="1">
      <alignment wrapText="1"/>
    </xf>
    <xf numFmtId="166" fontId="53" fillId="0" borderId="24" xfId="0" applyNumberFormat="1" applyFont="1" applyBorder="1" applyAlignment="1">
      <alignment wrapText="1"/>
    </xf>
    <xf numFmtId="166" fontId="53" fillId="0" borderId="24" xfId="3" applyNumberFormat="1" applyFont="1" applyBorder="1" applyAlignment="1">
      <alignment wrapText="1"/>
    </xf>
    <xf numFmtId="166" fontId="53" fillId="0" borderId="24" xfId="3" applyNumberFormat="1" applyFont="1" applyBorder="1"/>
    <xf numFmtId="166" fontId="36" fillId="0" borderId="24" xfId="3" applyNumberFormat="1" applyFont="1" applyBorder="1" applyAlignment="1">
      <alignment horizontal="right"/>
    </xf>
    <xf numFmtId="166" fontId="53" fillId="0" borderId="27" xfId="3" applyNumberFormat="1" applyFont="1" applyBorder="1" applyAlignment="1">
      <alignment horizontal="right"/>
    </xf>
    <xf numFmtId="166" fontId="36" fillId="0" borderId="24" xfId="3" applyNumberFormat="1" applyFont="1" applyBorder="1"/>
    <xf numFmtId="166" fontId="14" fillId="5" borderId="0" xfId="0" applyNumberFormat="1" applyFont="1" applyFill="1" applyBorder="1"/>
    <xf numFmtId="166" fontId="3" fillId="27" borderId="0" xfId="0" applyNumberFormat="1" applyFont="1" applyFill="1"/>
    <xf numFmtId="166" fontId="3" fillId="5" borderId="0" xfId="0" applyNumberFormat="1" applyFont="1" applyFill="1" applyBorder="1"/>
    <xf numFmtId="166" fontId="3" fillId="21" borderId="0" xfId="0" applyNumberFormat="1" applyFont="1" applyFill="1"/>
    <xf numFmtId="166" fontId="0" fillId="8" borderId="0" xfId="0" applyNumberFormat="1" applyFill="1"/>
    <xf numFmtId="166" fontId="0" fillId="24" borderId="0" xfId="3" applyNumberFormat="1" applyFont="1" applyFill="1"/>
    <xf numFmtId="166" fontId="0" fillId="4" borderId="0" xfId="3" applyNumberFormat="1" applyFont="1" applyFill="1"/>
    <xf numFmtId="166" fontId="0" fillId="18" borderId="0" xfId="0" applyNumberFormat="1" applyFill="1"/>
    <xf numFmtId="166" fontId="0" fillId="15" borderId="0" xfId="0" applyNumberFormat="1" applyFill="1"/>
    <xf numFmtId="166" fontId="0" fillId="24" borderId="0" xfId="0" applyNumberFormat="1" applyFill="1"/>
    <xf numFmtId="166" fontId="3" fillId="14" borderId="0" xfId="0" applyNumberFormat="1" applyFont="1" applyFill="1"/>
    <xf numFmtId="166" fontId="0" fillId="25" borderId="0" xfId="0" applyNumberFormat="1" applyFill="1"/>
    <xf numFmtId="166" fontId="33" fillId="9" borderId="0" xfId="0" applyNumberFormat="1" applyFont="1" applyFill="1"/>
    <xf numFmtId="166" fontId="3" fillId="9" borderId="0" xfId="0" applyNumberFormat="1" applyFont="1" applyFill="1"/>
    <xf numFmtId="166" fontId="3" fillId="9" borderId="0" xfId="3" applyNumberFormat="1" applyFont="1" applyFill="1"/>
    <xf numFmtId="166" fontId="35" fillId="0" borderId="0" xfId="0" applyNumberFormat="1" applyFont="1" applyFill="1" applyAlignment="1">
      <alignment horizontal="center"/>
    </xf>
    <xf numFmtId="166" fontId="35" fillId="0" borderId="2" xfId="3" applyNumberFormat="1" applyFont="1" applyFill="1" applyBorder="1"/>
    <xf numFmtId="166" fontId="0" fillId="5" borderId="5" xfId="0" applyNumberFormat="1" applyFill="1" applyBorder="1"/>
    <xf numFmtId="166" fontId="14" fillId="0" borderId="0" xfId="3" applyNumberFormat="1" applyFont="1" applyFill="1" applyBorder="1"/>
    <xf numFmtId="166" fontId="34" fillId="0" borderId="5" xfId="3" applyNumberFormat="1" applyFont="1" applyFill="1" applyBorder="1"/>
    <xf numFmtId="166" fontId="36" fillId="0" borderId="0" xfId="3" applyNumberFormat="1" applyFont="1" applyFill="1"/>
    <xf numFmtId="166" fontId="0" fillId="0" borderId="5" xfId="0" applyNumberFormat="1" applyFill="1" applyBorder="1"/>
    <xf numFmtId="166" fontId="38" fillId="0" borderId="5" xfId="3" applyNumberFormat="1" applyFont="1" applyFill="1" applyBorder="1"/>
    <xf numFmtId="166" fontId="38" fillId="0" borderId="32" xfId="3" applyNumberFormat="1" applyFont="1" applyFill="1" applyBorder="1"/>
    <xf numFmtId="166" fontId="38" fillId="0" borderId="0" xfId="3" applyNumberFormat="1" applyFont="1"/>
    <xf numFmtId="166" fontId="64" fillId="0" borderId="0" xfId="3" applyNumberFormat="1" applyFont="1" applyFill="1"/>
    <xf numFmtId="166" fontId="14" fillId="5" borderId="0" xfId="3" applyNumberFormat="1" applyFont="1" applyFill="1" applyBorder="1"/>
    <xf numFmtId="166" fontId="47" fillId="0" borderId="0" xfId="0" applyNumberFormat="1" applyFont="1" applyFill="1" applyBorder="1"/>
    <xf numFmtId="166" fontId="56" fillId="0" borderId="0" xfId="3" applyNumberFormat="1" applyFont="1" applyFill="1"/>
    <xf numFmtId="166" fontId="9" fillId="0" borderId="0" xfId="3" applyNumberFormat="1" applyFont="1" applyFill="1" applyBorder="1"/>
    <xf numFmtId="166" fontId="0" fillId="0" borderId="3" xfId="3" applyNumberFormat="1" applyFont="1" applyFill="1" applyBorder="1"/>
    <xf numFmtId="166" fontId="35" fillId="15" borderId="5" xfId="3" applyNumberFormat="1" applyFont="1" applyFill="1" applyBorder="1"/>
    <xf numFmtId="166" fontId="3" fillId="15" borderId="0" xfId="3" applyNumberFormat="1" applyFont="1" applyFill="1"/>
    <xf numFmtId="166" fontId="0" fillId="0" borderId="0" xfId="3" applyNumberFormat="1" applyFont="1" applyFill="1" applyBorder="1"/>
    <xf numFmtId="166" fontId="37" fillId="0" borderId="0" xfId="3" applyNumberFormat="1" applyFont="1" applyFill="1" applyBorder="1"/>
    <xf numFmtId="166" fontId="37" fillId="0" borderId="0" xfId="3" applyNumberFormat="1" applyFont="1"/>
    <xf numFmtId="166" fontId="65" fillId="0" borderId="0" xfId="3" applyNumberFormat="1" applyFont="1" applyFill="1"/>
    <xf numFmtId="166" fontId="0" fillId="0" borderId="0" xfId="0" applyNumberFormat="1" applyFill="1"/>
    <xf numFmtId="166" fontId="56" fillId="5" borderId="5" xfId="0" applyNumberFormat="1" applyFont="1" applyFill="1" applyBorder="1"/>
    <xf numFmtId="166" fontId="35" fillId="0" borderId="3" xfId="3" applyNumberFormat="1" applyFont="1" applyFill="1" applyBorder="1" applyAlignment="1">
      <alignment horizontal="right"/>
    </xf>
    <xf numFmtId="166" fontId="3" fillId="0" borderId="3" xfId="0" applyNumberFormat="1" applyFont="1" applyFill="1" applyBorder="1" applyAlignment="1">
      <alignment horizontal="left"/>
    </xf>
    <xf numFmtId="166" fontId="3" fillId="0" borderId="3" xfId="3" applyNumberFormat="1" applyFont="1" applyFill="1" applyBorder="1"/>
    <xf numFmtId="166" fontId="3" fillId="0" borderId="31" xfId="3" applyNumberFormat="1" applyFont="1" applyFill="1" applyBorder="1"/>
    <xf numFmtId="166" fontId="0" fillId="0" borderId="30" xfId="3" applyNumberFormat="1" applyFont="1" applyFill="1" applyBorder="1"/>
    <xf numFmtId="166" fontId="0" fillId="0" borderId="2" xfId="0" applyNumberFormat="1" applyFill="1" applyBorder="1"/>
    <xf numFmtId="166" fontId="48" fillId="0" borderId="2" xfId="3" applyNumberFormat="1" applyFont="1" applyFill="1" applyBorder="1"/>
    <xf numFmtId="166" fontId="0" fillId="0" borderId="2" xfId="3" applyNumberFormat="1" applyFont="1" applyFill="1" applyBorder="1"/>
    <xf numFmtId="166" fontId="48" fillId="0" borderId="36" xfId="3" applyNumberFormat="1" applyFont="1" applyFill="1" applyBorder="1"/>
    <xf numFmtId="166" fontId="0" fillId="0" borderId="40" xfId="3" applyNumberFormat="1" applyFont="1" applyFill="1" applyBorder="1"/>
    <xf numFmtId="166" fontId="0" fillId="0" borderId="4" xfId="0" applyNumberFormat="1" applyFill="1" applyBorder="1"/>
    <xf numFmtId="166" fontId="3" fillId="0" borderId="3" xfId="3" applyNumberFormat="1" applyFont="1" applyFill="1" applyBorder="1" applyAlignment="1">
      <alignment vertical="top" wrapText="1"/>
    </xf>
    <xf numFmtId="166" fontId="3" fillId="0" borderId="5" xfId="3" applyNumberFormat="1" applyFont="1" applyFill="1" applyBorder="1" applyAlignment="1">
      <alignment vertical="top" wrapText="1"/>
    </xf>
    <xf numFmtId="166" fontId="56" fillId="0" borderId="5" xfId="0" applyNumberFormat="1" applyFont="1" applyFill="1" applyBorder="1"/>
    <xf numFmtId="166" fontId="3" fillId="0" borderId="5" xfId="3" applyNumberFormat="1" applyFont="1" applyFill="1" applyBorder="1"/>
    <xf numFmtId="166" fontId="3" fillId="0" borderId="5" xfId="3" applyNumberFormat="1" applyFont="1" applyBorder="1"/>
    <xf numFmtId="166" fontId="8" fillId="5" borderId="0" xfId="0" applyNumberFormat="1" applyFont="1" applyFill="1"/>
    <xf numFmtId="166" fontId="6" fillId="5" borderId="0" xfId="0" applyNumberFormat="1" applyFont="1" applyFill="1" applyBorder="1"/>
    <xf numFmtId="166" fontId="56" fillId="5" borderId="0" xfId="3" applyNumberFormat="1" applyFont="1" applyFill="1"/>
    <xf numFmtId="166" fontId="57" fillId="9" borderId="0" xfId="0" applyNumberFormat="1" applyFont="1" applyFill="1"/>
    <xf numFmtId="166" fontId="8" fillId="0" borderId="0" xfId="3" applyNumberFormat="1" applyFont="1" applyFill="1" applyBorder="1"/>
    <xf numFmtId="166" fontId="8" fillId="23" borderId="0" xfId="0" applyNumberFormat="1" applyFont="1" applyFill="1"/>
    <xf numFmtId="166" fontId="6" fillId="23" borderId="0" xfId="0" applyNumberFormat="1" applyFont="1" applyFill="1" applyBorder="1"/>
    <xf numFmtId="166" fontId="8" fillId="2" borderId="0" xfId="3" applyNumberFormat="1" applyFont="1" applyFill="1" applyBorder="1"/>
    <xf numFmtId="166" fontId="73" fillId="0" borderId="0" xfId="0" applyNumberFormat="1" applyFont="1" applyFill="1"/>
    <xf numFmtId="166" fontId="6" fillId="5" borderId="0" xfId="3" applyNumberFormat="1" applyFont="1" applyFill="1" applyBorder="1"/>
    <xf numFmtId="166" fontId="6" fillId="2" borderId="0" xfId="3" applyNumberFormat="1" applyFont="1" applyFill="1" applyBorder="1" applyProtection="1"/>
    <xf numFmtId="166" fontId="6" fillId="2" borderId="0" xfId="3" applyNumberFormat="1" applyFont="1" applyFill="1" applyBorder="1" applyProtection="1">
      <protection locked="0"/>
    </xf>
    <xf numFmtId="166" fontId="8" fillId="25" borderId="0" xfId="0" applyNumberFormat="1" applyFont="1" applyFill="1"/>
    <xf numFmtId="166" fontId="95" fillId="0" borderId="0" xfId="0" applyNumberFormat="1" applyFont="1" applyFill="1"/>
    <xf numFmtId="166" fontId="80" fillId="0" borderId="0" xfId="0" applyNumberFormat="1" applyFont="1" applyFill="1"/>
    <xf numFmtId="166" fontId="6" fillId="0" borderId="0" xfId="3" applyNumberFormat="1" applyFont="1" applyFill="1" applyBorder="1" applyProtection="1"/>
    <xf numFmtId="166" fontId="6" fillId="0" borderId="0" xfId="0" applyNumberFormat="1" applyFont="1" applyFill="1" applyBorder="1" applyProtection="1"/>
    <xf numFmtId="166" fontId="6" fillId="0" borderId="0" xfId="3" applyNumberFormat="1" applyFont="1" applyBorder="1" applyProtection="1"/>
    <xf numFmtId="166" fontId="16" fillId="0" borderId="0" xfId="3" applyNumberFormat="1" applyFont="1" applyBorder="1" applyProtection="1"/>
    <xf numFmtId="166" fontId="6" fillId="0" borderId="0" xfId="0" applyNumberFormat="1" applyFont="1" applyBorder="1" applyProtection="1"/>
    <xf numFmtId="166" fontId="16" fillId="19" borderId="0" xfId="3" applyNumberFormat="1" applyFont="1" applyFill="1" applyBorder="1" applyProtection="1"/>
    <xf numFmtId="166" fontId="6" fillId="17" borderId="0" xfId="3" applyNumberFormat="1" applyFont="1" applyFill="1" applyBorder="1"/>
    <xf numFmtId="166" fontId="85" fillId="0" borderId="0" xfId="0" applyNumberFormat="1" applyFont="1"/>
    <xf numFmtId="166" fontId="85" fillId="15" borderId="0" xfId="0" applyNumberFormat="1" applyFont="1" applyFill="1"/>
    <xf numFmtId="166" fontId="0" fillId="23" borderId="0" xfId="0" applyNumberFormat="1" applyFill="1"/>
    <xf numFmtId="166" fontId="15" fillId="0" borderId="0" xfId="0" applyNumberFormat="1" applyFont="1" applyFill="1" applyBorder="1"/>
    <xf numFmtId="166" fontId="36" fillId="0" borderId="0" xfId="3" applyNumberFormat="1" applyFont="1" applyBorder="1"/>
    <xf numFmtId="166" fontId="19" fillId="0" borderId="0" xfId="10" applyNumberFormat="1" applyFont="1" applyFill="1" applyBorder="1" applyAlignment="1" applyProtection="1"/>
    <xf numFmtId="166" fontId="6" fillId="23" borderId="0" xfId="0" applyNumberFormat="1" applyFont="1" applyFill="1" applyAlignment="1"/>
    <xf numFmtId="166" fontId="14" fillId="20" borderId="0" xfId="3" applyNumberFormat="1" applyFont="1" applyFill="1" applyBorder="1"/>
    <xf numFmtId="166" fontId="14" fillId="23" borderId="0" xfId="3" applyNumberFormat="1" applyFont="1" applyFill="1" applyBorder="1"/>
    <xf numFmtId="166" fontId="23" fillId="0" borderId="0" xfId="0" applyNumberFormat="1" applyFont="1" applyFill="1"/>
    <xf numFmtId="166" fontId="26" fillId="8" borderId="0" xfId="3" applyNumberFormat="1" applyFont="1" applyFill="1"/>
    <xf numFmtId="166" fontId="18" fillId="0" borderId="0" xfId="3" applyNumberFormat="1" applyFont="1"/>
    <xf numFmtId="166" fontId="72" fillId="9" borderId="0" xfId="0" applyNumberFormat="1" applyFont="1" applyFill="1"/>
    <xf numFmtId="166" fontId="5" fillId="0" borderId="0" xfId="0" applyNumberFormat="1" applyFont="1"/>
    <xf numFmtId="166" fontId="79" fillId="0" borderId="0" xfId="0" applyNumberFormat="1" applyFont="1" applyFill="1"/>
    <xf numFmtId="166" fontId="80" fillId="0" borderId="0" xfId="3" applyNumberFormat="1" applyFont="1"/>
    <xf numFmtId="166" fontId="94" fillId="9" borderId="0" xfId="0" applyNumberFormat="1" applyFont="1" applyFill="1"/>
    <xf numFmtId="166" fontId="71" fillId="0" borderId="0" xfId="0" applyNumberFormat="1" applyFont="1"/>
    <xf numFmtId="166" fontId="71" fillId="0" borderId="33" xfId="0" applyNumberFormat="1" applyFont="1" applyBorder="1"/>
    <xf numFmtId="166" fontId="33" fillId="0" borderId="0" xfId="0" applyNumberFormat="1" applyFont="1"/>
    <xf numFmtId="166" fontId="84" fillId="0" borderId="0" xfId="0" applyNumberFormat="1" applyFont="1"/>
    <xf numFmtId="166" fontId="20" fillId="2" borderId="0" xfId="0" applyNumberFormat="1" applyFont="1" applyFill="1"/>
    <xf numFmtId="166" fontId="33" fillId="5" borderId="35" xfId="0" applyNumberFormat="1" applyFont="1" applyFill="1" applyBorder="1"/>
    <xf numFmtId="166" fontId="14" fillId="13" borderId="0" xfId="0" applyNumberFormat="1" applyFont="1" applyFill="1"/>
    <xf numFmtId="1" fontId="8" fillId="5" borderId="0" xfId="3" applyNumberFormat="1" applyFont="1" applyFill="1"/>
    <xf numFmtId="1" fontId="8" fillId="15" borderId="0" xfId="3" applyNumberFormat="1" applyFont="1" applyFill="1"/>
    <xf numFmtId="173" fontId="6" fillId="0" borderId="0" xfId="0" applyNumberFormat="1" applyFont="1" applyFill="1"/>
    <xf numFmtId="172" fontId="6" fillId="0" borderId="0" xfId="0" applyNumberFormat="1" applyFont="1" applyFill="1"/>
    <xf numFmtId="173" fontId="6" fillId="0" borderId="0" xfId="3" applyNumberFormat="1" applyFont="1" applyFill="1"/>
    <xf numFmtId="169" fontId="3" fillId="0" borderId="0" xfId="3" applyNumberFormat="1" applyFont="1"/>
    <xf numFmtId="0" fontId="35" fillId="28" borderId="0" xfId="0" applyFont="1" applyFill="1"/>
    <xf numFmtId="0" fontId="35" fillId="0" borderId="0" xfId="0" applyFont="1" applyFill="1"/>
    <xf numFmtId="1" fontId="35" fillId="25" borderId="0" xfId="0" applyNumberFormat="1" applyFont="1" applyFill="1"/>
    <xf numFmtId="166" fontId="35" fillId="28" borderId="0" xfId="0" applyNumberFormat="1" applyFont="1" applyFill="1"/>
    <xf numFmtId="3" fontId="35" fillId="0" borderId="0" xfId="3" applyNumberFormat="1" applyFont="1"/>
    <xf numFmtId="1" fontId="35" fillId="28" borderId="0" xfId="0" applyNumberFormat="1" applyFont="1" applyFill="1"/>
    <xf numFmtId="1" fontId="3" fillId="28" borderId="0" xfId="0" applyNumberFormat="1" applyFont="1" applyFill="1"/>
    <xf numFmtId="167" fontId="6" fillId="0" borderId="0" xfId="0" applyNumberFormat="1" applyFont="1" applyFill="1"/>
    <xf numFmtId="0" fontId="97" fillId="0" borderId="0" xfId="0" applyFont="1" applyFill="1" applyBorder="1"/>
    <xf numFmtId="0" fontId="97" fillId="0" borderId="0" xfId="0" applyFont="1" applyFill="1" applyBorder="1" applyAlignment="1">
      <alignment horizontal="left" indent="1"/>
    </xf>
    <xf numFmtId="0" fontId="98" fillId="0" borderId="0" xfId="0" applyFont="1" applyFill="1" applyBorder="1" applyAlignment="1">
      <alignment horizontal="left" indent="2"/>
    </xf>
    <xf numFmtId="0" fontId="98" fillId="0" borderId="0" xfId="0" applyFont="1" applyFill="1" applyBorder="1" applyAlignment="1">
      <alignment horizontal="left" indent="3"/>
    </xf>
    <xf numFmtId="0" fontId="98" fillId="0" borderId="0" xfId="0" applyFont="1" applyFill="1" applyBorder="1" applyAlignment="1">
      <alignment horizontal="left" indent="1"/>
    </xf>
    <xf numFmtId="0" fontId="97" fillId="15" borderId="0" xfId="0" applyFont="1" applyFill="1" applyBorder="1"/>
    <xf numFmtId="166" fontId="6" fillId="30" borderId="0" xfId="3" applyNumberFormat="1" applyFont="1" applyFill="1"/>
    <xf numFmtId="166" fontId="26" fillId="15" borderId="0" xfId="0" applyNumberFormat="1" applyFont="1" applyFill="1"/>
    <xf numFmtId="3" fontId="8" fillId="2" borderId="0" xfId="3" applyNumberFormat="1" applyFont="1" applyFill="1"/>
    <xf numFmtId="166" fontId="94" fillId="0" borderId="0" xfId="0" applyNumberFormat="1" applyFont="1" applyFill="1"/>
    <xf numFmtId="175" fontId="6" fillId="0" borderId="0" xfId="3" applyNumberFormat="1" applyFont="1"/>
    <xf numFmtId="0" fontId="100" fillId="31" borderId="0" xfId="0" applyFont="1" applyFill="1"/>
    <xf numFmtId="0" fontId="101" fillId="0" borderId="0" xfId="0" applyFont="1"/>
    <xf numFmtId="0" fontId="0" fillId="0" borderId="0" xfId="0" quotePrefix="1"/>
    <xf numFmtId="0" fontId="102" fillId="30" borderId="0" xfId="0" applyFont="1" applyFill="1"/>
    <xf numFmtId="0" fontId="102" fillId="0" borderId="0" xfId="0" applyFont="1"/>
    <xf numFmtId="0" fontId="100" fillId="31" borderId="0" xfId="0" applyFont="1" applyFill="1" applyAlignment="1">
      <alignment horizontal="center"/>
    </xf>
    <xf numFmtId="170" fontId="0" fillId="0" borderId="0" xfId="0" applyNumberFormat="1"/>
    <xf numFmtId="1" fontId="102" fillId="0" borderId="0" xfId="0" applyNumberFormat="1" applyFont="1"/>
    <xf numFmtId="1" fontId="100" fillId="31" borderId="0" xfId="0" applyNumberFormat="1" applyFont="1" applyFill="1"/>
    <xf numFmtId="170" fontId="0" fillId="0" borderId="0" xfId="3" applyNumberFormat="1" applyFont="1"/>
    <xf numFmtId="166" fontId="103" fillId="0" borderId="0" xfId="0" applyNumberFormat="1" applyFont="1" applyFill="1"/>
    <xf numFmtId="2" fontId="14" fillId="0" borderId="0" xfId="0" applyNumberFormat="1" applyFont="1" applyFill="1" applyBorder="1"/>
    <xf numFmtId="3" fontId="41" fillId="0" borderId="1" xfId="0" applyNumberFormat="1" applyFont="1" applyFill="1" applyBorder="1"/>
    <xf numFmtId="2" fontId="6" fillId="2" borderId="0" xfId="3" applyNumberFormat="1" applyFont="1" applyFill="1"/>
    <xf numFmtId="2" fontId="13" fillId="2" borderId="0" xfId="3" applyNumberFormat="1" applyFont="1" applyFill="1"/>
    <xf numFmtId="2" fontId="13" fillId="8" borderId="0" xfId="0" applyNumberFormat="1" applyFont="1" applyFill="1"/>
    <xf numFmtId="2" fontId="13" fillId="0" borderId="0" xfId="0" applyNumberFormat="1" applyFont="1" applyFill="1"/>
    <xf numFmtId="0" fontId="103" fillId="8" borderId="0" xfId="0" applyFont="1" applyFill="1"/>
    <xf numFmtId="1" fontId="103" fillId="8" borderId="0" xfId="3" applyNumberFormat="1" applyFont="1" applyFill="1"/>
    <xf numFmtId="169" fontId="13" fillId="2" borderId="0" xfId="3" applyNumberFormat="1" applyFont="1" applyFill="1"/>
    <xf numFmtId="169" fontId="13" fillId="0" borderId="0" xfId="3" applyNumberFormat="1" applyFont="1"/>
    <xf numFmtId="1" fontId="13" fillId="0" borderId="0" xfId="0" applyNumberFormat="1" applyFont="1"/>
    <xf numFmtId="169" fontId="103" fillId="0" borderId="0" xfId="3" applyNumberFormat="1" applyFont="1"/>
    <xf numFmtId="165" fontId="8" fillId="5" borderId="0" xfId="0" applyNumberFormat="1" applyFont="1" applyFill="1"/>
    <xf numFmtId="165" fontId="6" fillId="5" borderId="0" xfId="0" applyNumberFormat="1" applyFont="1" applyFill="1" applyBorder="1" applyAlignment="1"/>
    <xf numFmtId="165" fontId="25" fillId="0" borderId="0" xfId="0" applyNumberFormat="1" applyFont="1" applyFill="1"/>
    <xf numFmtId="164" fontId="8" fillId="2" borderId="0" xfId="3" applyFont="1" applyFill="1"/>
    <xf numFmtId="164" fontId="34" fillId="0" borderId="0" xfId="3" applyFont="1" applyFill="1"/>
    <xf numFmtId="164" fontId="3" fillId="11" borderId="0" xfId="3" applyFont="1" applyFill="1"/>
    <xf numFmtId="164" fontId="26" fillId="0" borderId="0" xfId="3" applyFont="1" applyFill="1"/>
    <xf numFmtId="164" fontId="3" fillId="0" borderId="0" xfId="3" applyFont="1"/>
    <xf numFmtId="164" fontId="14" fillId="27" borderId="0" xfId="3" applyFont="1" applyFill="1"/>
    <xf numFmtId="173" fontId="35" fillId="0" borderId="0" xfId="3" applyNumberFormat="1" applyFont="1"/>
    <xf numFmtId="173" fontId="26" fillId="0" borderId="0" xfId="0" applyNumberFormat="1" applyFont="1" applyFill="1"/>
    <xf numFmtId="164" fontId="34" fillId="0" borderId="0" xfId="3" applyFont="1"/>
    <xf numFmtId="2" fontId="6" fillId="0" borderId="0" xfId="3" applyNumberFormat="1" applyFont="1"/>
    <xf numFmtId="2" fontId="95" fillId="0" borderId="0" xfId="0" applyNumberFormat="1" applyFont="1" applyFill="1"/>
    <xf numFmtId="3" fontId="6" fillId="8" borderId="0" xfId="3" applyNumberFormat="1" applyFont="1" applyFill="1" applyAlignment="1">
      <alignment horizontal="right"/>
    </xf>
    <xf numFmtId="165" fontId="6" fillId="14" borderId="0" xfId="3" applyNumberFormat="1" applyFont="1" applyFill="1"/>
    <xf numFmtId="165" fontId="6" fillId="3" borderId="0" xfId="0" applyNumberFormat="1" applyFont="1" applyFill="1"/>
    <xf numFmtId="3" fontId="6" fillId="0" borderId="1" xfId="0" applyNumberFormat="1" applyFont="1" applyFill="1" applyBorder="1"/>
    <xf numFmtId="0" fontId="3" fillId="0" borderId="0" xfId="0" applyFont="1" applyBorder="1"/>
    <xf numFmtId="166" fontId="105" fillId="0" borderId="0" xfId="0" applyNumberFormat="1" applyFont="1"/>
    <xf numFmtId="3" fontId="105" fillId="0" borderId="0" xfId="3" applyNumberFormat="1" applyFont="1"/>
    <xf numFmtId="169" fontId="105" fillId="0" borderId="0" xfId="3" applyNumberFormat="1" applyFont="1"/>
    <xf numFmtId="3" fontId="107" fillId="0" borderId="0" xfId="0" applyNumberFormat="1" applyFont="1" applyFill="1" applyBorder="1"/>
    <xf numFmtId="3" fontId="105" fillId="0" borderId="0" xfId="0" applyNumberFormat="1" applyFont="1" applyFill="1" applyBorder="1"/>
    <xf numFmtId="169" fontId="26" fillId="0" borderId="0" xfId="3" applyNumberFormat="1" applyFont="1"/>
    <xf numFmtId="169" fontId="14" fillId="0" borderId="0" xfId="3" applyNumberFormat="1" applyFont="1"/>
    <xf numFmtId="3" fontId="6" fillId="15" borderId="0" xfId="3" applyNumberFormat="1" applyFont="1" applyFill="1"/>
    <xf numFmtId="166" fontId="105" fillId="15" borderId="0" xfId="0" applyNumberFormat="1" applyFont="1" applyFill="1"/>
    <xf numFmtId="0" fontId="106" fillId="15" borderId="0" xfId="0" applyFont="1" applyFill="1"/>
    <xf numFmtId="0" fontId="101" fillId="15" borderId="0" xfId="0" applyFont="1" applyFill="1"/>
    <xf numFmtId="3" fontId="105" fillId="15" borderId="0" xfId="3" applyNumberFormat="1" applyFont="1" applyFill="1"/>
    <xf numFmtId="169" fontId="105" fillId="15" borderId="0" xfId="3" applyNumberFormat="1" applyFont="1" applyFill="1"/>
    <xf numFmtId="169" fontId="105" fillId="15" borderId="0" xfId="0" applyNumberFormat="1" applyFont="1" applyFill="1"/>
    <xf numFmtId="3" fontId="8" fillId="23" borderId="0" xfId="0" applyNumberFormat="1" applyFont="1" applyFill="1"/>
    <xf numFmtId="0" fontId="108" fillId="0" borderId="0" xfId="0" applyFont="1" applyFill="1"/>
    <xf numFmtId="0" fontId="6" fillId="25" borderId="0" xfId="0" applyFont="1" applyFill="1"/>
    <xf numFmtId="0" fontId="0" fillId="2" borderId="0" xfId="0" applyFill="1" applyBorder="1"/>
    <xf numFmtId="1" fontId="6" fillId="2" borderId="0" xfId="0" applyNumberFormat="1" applyFont="1" applyFill="1"/>
    <xf numFmtId="164" fontId="3" fillId="0" borderId="0" xfId="3" applyFont="1" applyFill="1"/>
    <xf numFmtId="0" fontId="110" fillId="0" borderId="0" xfId="0" applyFont="1"/>
    <xf numFmtId="0" fontId="14" fillId="24" borderId="0" xfId="0" applyFont="1" applyFill="1"/>
    <xf numFmtId="2" fontId="14" fillId="24" borderId="0" xfId="0" applyNumberFormat="1" applyFont="1" applyFill="1"/>
    <xf numFmtId="3" fontId="26" fillId="0" borderId="0" xfId="0" applyNumberFormat="1" applyFont="1" applyFill="1"/>
    <xf numFmtId="0" fontId="20" fillId="0" borderId="0" xfId="0" applyNumberFormat="1" applyFont="1" applyFill="1"/>
    <xf numFmtId="3" fontId="110" fillId="0" borderId="0" xfId="0" applyNumberFormat="1" applyFont="1" applyFill="1"/>
    <xf numFmtId="165" fontId="110" fillId="0" borderId="0" xfId="0" applyNumberFormat="1" applyFont="1" applyFill="1"/>
    <xf numFmtId="174" fontId="14" fillId="0" borderId="0" xfId="0" applyNumberFormat="1" applyFont="1" applyFill="1" applyBorder="1"/>
    <xf numFmtId="4" fontId="8" fillId="9" borderId="0" xfId="0" applyNumberFormat="1" applyFont="1" applyFill="1"/>
    <xf numFmtId="0" fontId="111" fillId="0" borderId="0" xfId="0" applyFont="1" applyFill="1" applyBorder="1"/>
    <xf numFmtId="1" fontId="112" fillId="0" borderId="0" xfId="0" applyNumberFormat="1" applyFont="1"/>
    <xf numFmtId="166" fontId="110" fillId="0" borderId="0" xfId="0" applyNumberFormat="1" applyFont="1" applyFill="1"/>
    <xf numFmtId="0" fontId="110" fillId="0" borderId="0" xfId="0" applyFont="1" applyFill="1"/>
    <xf numFmtId="1" fontId="26" fillId="0" borderId="0" xfId="0" applyNumberFormat="1" applyFont="1" applyAlignment="1">
      <alignment horizontal="center"/>
    </xf>
    <xf numFmtId="1" fontId="110" fillId="0" borderId="0" xfId="0" applyNumberFormat="1" applyFont="1"/>
    <xf numFmtId="1" fontId="8" fillId="0" borderId="0" xfId="3" applyNumberFormat="1" applyFont="1" applyFill="1"/>
    <xf numFmtId="1" fontId="26" fillId="5" borderId="0" xfId="0" applyNumberFormat="1" applyFont="1" applyFill="1"/>
    <xf numFmtId="0" fontId="6" fillId="25" borderId="0" xfId="0" applyNumberFormat="1" applyFont="1" applyFill="1"/>
    <xf numFmtId="3" fontId="6" fillId="25" borderId="0" xfId="0" applyNumberFormat="1" applyFont="1" applyFill="1"/>
    <xf numFmtId="4" fontId="6" fillId="25" borderId="0" xfId="0" applyNumberFormat="1" applyFont="1" applyFill="1"/>
    <xf numFmtId="165" fontId="6" fillId="25" borderId="0" xfId="0" applyNumberFormat="1" applyFont="1" applyFill="1"/>
    <xf numFmtId="3" fontId="16" fillId="25" borderId="0" xfId="0" applyNumberFormat="1" applyFont="1" applyFill="1"/>
    <xf numFmtId="165" fontId="16" fillId="25" borderId="0" xfId="0" applyNumberFormat="1" applyFont="1" applyFill="1"/>
    <xf numFmtId="2" fontId="6" fillId="25" borderId="0" xfId="0" applyNumberFormat="1" applyFont="1" applyFill="1"/>
    <xf numFmtId="168" fontId="6" fillId="25" borderId="0" xfId="3" applyNumberFormat="1" applyFont="1" applyFill="1"/>
    <xf numFmtId="0" fontId="0" fillId="25" borderId="0" xfId="0" applyFill="1"/>
    <xf numFmtId="166" fontId="6" fillId="31" borderId="0" xfId="0" applyNumberFormat="1" applyFont="1" applyFill="1"/>
    <xf numFmtId="166" fontId="8" fillId="15" borderId="0" xfId="3" applyNumberFormat="1" applyFont="1" applyFill="1"/>
    <xf numFmtId="3" fontId="8" fillId="20" borderId="0" xfId="0" applyNumberFormat="1" applyFont="1" applyFill="1"/>
    <xf numFmtId="169" fontId="8" fillId="0" borderId="0" xfId="0" applyNumberFormat="1" applyFont="1" applyFill="1" applyBorder="1"/>
    <xf numFmtId="2" fontId="13" fillId="29" borderId="0" xfId="0" applyNumberFormat="1" applyFont="1" applyFill="1"/>
    <xf numFmtId="167" fontId="6" fillId="20" borderId="0" xfId="3" applyNumberFormat="1" applyFont="1" applyFill="1"/>
    <xf numFmtId="164" fontId="6" fillId="28" borderId="0" xfId="3" applyFont="1" applyFill="1"/>
    <xf numFmtId="166" fontId="14" fillId="28" borderId="0" xfId="3" applyNumberFormat="1" applyFont="1" applyFill="1"/>
    <xf numFmtId="173" fontId="26" fillId="28" borderId="0" xfId="3" applyNumberFormat="1" applyFont="1" applyFill="1"/>
    <xf numFmtId="173" fontId="6" fillId="28" borderId="0" xfId="0" applyNumberFormat="1" applyFont="1" applyFill="1"/>
    <xf numFmtId="166" fontId="26" fillId="28" borderId="0" xfId="3" applyNumberFormat="1" applyFont="1" applyFill="1"/>
    <xf numFmtId="166" fontId="3" fillId="28" borderId="0" xfId="3" applyNumberFormat="1" applyFont="1" applyFill="1"/>
    <xf numFmtId="166" fontId="36" fillId="28" borderId="0" xfId="3" applyNumberFormat="1" applyFont="1" applyFill="1"/>
    <xf numFmtId="166" fontId="26" fillId="28" borderId="0" xfId="0" applyNumberFormat="1" applyFont="1" applyFill="1"/>
    <xf numFmtId="173" fontId="26" fillId="28" borderId="0" xfId="0" applyNumberFormat="1" applyFont="1" applyFill="1"/>
    <xf numFmtId="164" fontId="26" fillId="28" borderId="0" xfId="3" applyFont="1" applyFill="1"/>
    <xf numFmtId="167" fontId="6" fillId="0" borderId="0" xfId="3" applyNumberFormat="1" applyFont="1" applyFill="1"/>
    <xf numFmtId="2" fontId="26" fillId="0" borderId="0" xfId="3" applyNumberFormat="1" applyFont="1" applyFill="1"/>
    <xf numFmtId="168" fontId="8" fillId="0" borderId="0" xfId="3" applyNumberFormat="1" applyFont="1" applyFill="1" applyBorder="1"/>
    <xf numFmtId="1" fontId="6" fillId="25" borderId="0" xfId="3" applyNumberFormat="1" applyFont="1" applyFill="1"/>
    <xf numFmtId="0" fontId="0" fillId="17" borderId="0" xfId="0" applyFill="1"/>
    <xf numFmtId="4" fontId="6" fillId="4" borderId="0" xfId="3" applyNumberFormat="1" applyFont="1" applyFill="1"/>
    <xf numFmtId="2" fontId="6" fillId="23" borderId="0" xfId="0" applyNumberFormat="1" applyFont="1" applyFill="1"/>
    <xf numFmtId="0" fontId="6" fillId="23" borderId="0" xfId="0" applyFont="1" applyFill="1"/>
    <xf numFmtId="166" fontId="26" fillId="13" borderId="0" xfId="0" applyNumberFormat="1" applyFont="1" applyFill="1"/>
    <xf numFmtId="3" fontId="6" fillId="13" borderId="0" xfId="3" applyNumberFormat="1" applyFont="1" applyFill="1"/>
    <xf numFmtId="166" fontId="26" fillId="2" borderId="0" xfId="0" applyNumberFormat="1" applyFont="1" applyFill="1"/>
    <xf numFmtId="166" fontId="115" fillId="2" borderId="0" xfId="0" applyNumberFormat="1" applyFont="1" applyFill="1"/>
    <xf numFmtId="169" fontId="116" fillId="0" borderId="0" xfId="3" applyNumberFormat="1" applyFont="1"/>
    <xf numFmtId="3" fontId="0" fillId="15" borderId="0" xfId="0" applyNumberFormat="1" applyFill="1"/>
    <xf numFmtId="0" fontId="117" fillId="0" borderId="0" xfId="0" applyFont="1"/>
    <xf numFmtId="0" fontId="10" fillId="0" borderId="0" xfId="0" applyFont="1"/>
    <xf numFmtId="3" fontId="6" fillId="23" borderId="0" xfId="3" applyNumberFormat="1" applyFont="1" applyFill="1"/>
    <xf numFmtId="3" fontId="6" fillId="32" borderId="0" xfId="3" applyNumberFormat="1" applyFont="1" applyFill="1"/>
    <xf numFmtId="0" fontId="6" fillId="32" borderId="0" xfId="0" applyFont="1" applyFill="1"/>
    <xf numFmtId="164" fontId="6" fillId="32" borderId="0" xfId="3" applyNumberFormat="1" applyFont="1" applyFill="1"/>
    <xf numFmtId="164" fontId="6" fillId="23" borderId="0" xfId="3" applyFont="1" applyFill="1"/>
    <xf numFmtId="0" fontId="9" fillId="32" borderId="0" xfId="0" applyNumberFormat="1" applyFont="1" applyFill="1" applyBorder="1"/>
    <xf numFmtId="0" fontId="99" fillId="23" borderId="0" xfId="0" applyFont="1" applyFill="1"/>
    <xf numFmtId="0" fontId="114" fillId="23" borderId="0" xfId="0" applyFont="1" applyFill="1"/>
    <xf numFmtId="0" fontId="35" fillId="17" borderId="0" xfId="0" applyFont="1" applyFill="1"/>
    <xf numFmtId="170" fontId="0" fillId="17" borderId="0" xfId="0" applyNumberFormat="1" applyFill="1"/>
    <xf numFmtId="1" fontId="102" fillId="17" borderId="0" xfId="0" applyNumberFormat="1" applyFont="1" applyFill="1"/>
    <xf numFmtId="41" fontId="102" fillId="17" borderId="0" xfId="0" applyNumberFormat="1" applyFont="1" applyFill="1"/>
    <xf numFmtId="169" fontId="0" fillId="0" borderId="0" xfId="0" applyNumberFormat="1"/>
    <xf numFmtId="1" fontId="103" fillId="8" borderId="0" xfId="0" applyNumberFormat="1" applyFont="1" applyFill="1"/>
    <xf numFmtId="0" fontId="119" fillId="0" borderId="37" xfId="0" applyFont="1" applyBorder="1"/>
    <xf numFmtId="0" fontId="119" fillId="0" borderId="14" xfId="0" applyFont="1" applyBorder="1"/>
    <xf numFmtId="0" fontId="119" fillId="0" borderId="15" xfId="0" applyFont="1" applyBorder="1"/>
    <xf numFmtId="0" fontId="120" fillId="0" borderId="24" xfId="0" applyFont="1" applyBorder="1"/>
    <xf numFmtId="0" fontId="120" fillId="0" borderId="0" xfId="0" applyFont="1" applyBorder="1"/>
    <xf numFmtId="0" fontId="120" fillId="0" borderId="13" xfId="0" applyFont="1" applyBorder="1"/>
    <xf numFmtId="171" fontId="120" fillId="0" borderId="0" xfId="3" applyNumberFormat="1" applyFont="1" applyBorder="1"/>
    <xf numFmtId="171" fontId="120" fillId="0" borderId="24" xfId="3" applyNumberFormat="1" applyFont="1" applyBorder="1"/>
    <xf numFmtId="171" fontId="120" fillId="0" borderId="24" xfId="0" applyNumberFormat="1" applyFont="1" applyBorder="1"/>
    <xf numFmtId="43" fontId="120" fillId="0" borderId="0" xfId="3" applyNumberFormat="1" applyFont="1" applyBorder="1"/>
    <xf numFmtId="43" fontId="120" fillId="0" borderId="24" xfId="3" applyNumberFormat="1" applyFont="1" applyBorder="1"/>
    <xf numFmtId="1" fontId="120" fillId="0" borderId="0" xfId="0" applyNumberFormat="1" applyFont="1" applyBorder="1"/>
    <xf numFmtId="1" fontId="120" fillId="0" borderId="24" xfId="0" applyNumberFormat="1" applyFont="1" applyBorder="1"/>
    <xf numFmtId="0" fontId="120" fillId="0" borderId="29" xfId="0" applyFont="1" applyBorder="1"/>
    <xf numFmtId="1" fontId="120" fillId="0" borderId="28" xfId="0" applyNumberFormat="1" applyFont="1" applyBorder="1"/>
    <xf numFmtId="1" fontId="120" fillId="0" borderId="29" xfId="0" applyNumberFormat="1" applyFont="1" applyBorder="1"/>
    <xf numFmtId="165" fontId="14" fillId="0" borderId="0" xfId="0" applyNumberFormat="1" applyFont="1" applyFill="1" applyBorder="1"/>
    <xf numFmtId="165" fontId="6" fillId="28" borderId="0" xfId="0" applyNumberFormat="1" applyFont="1" applyFill="1"/>
    <xf numFmtId="166" fontId="122" fillId="0" borderId="0" xfId="3" applyNumberFormat="1" applyFont="1" applyFill="1"/>
    <xf numFmtId="166" fontId="123" fillId="0" borderId="0" xfId="0" applyNumberFormat="1" applyFont="1" applyFill="1"/>
    <xf numFmtId="166" fontId="122" fillId="0" borderId="0" xfId="0" applyNumberFormat="1" applyFont="1" applyFill="1"/>
    <xf numFmtId="2" fontId="124" fillId="0" borderId="0" xfId="3" applyNumberFormat="1" applyFont="1"/>
    <xf numFmtId="166" fontId="124" fillId="0" borderId="0" xfId="3" applyNumberFormat="1" applyFont="1"/>
    <xf numFmtId="0" fontId="0" fillId="14" borderId="0" xfId="0" applyFill="1"/>
    <xf numFmtId="1" fontId="0" fillId="14" borderId="0" xfId="0" applyNumberFormat="1" applyFill="1"/>
    <xf numFmtId="170" fontId="0" fillId="14" borderId="0" xfId="0" applyNumberFormat="1" applyFill="1"/>
    <xf numFmtId="1" fontId="102" fillId="14" borderId="0" xfId="0" applyNumberFormat="1" applyFont="1" applyFill="1"/>
    <xf numFmtId="41" fontId="102" fillId="14" borderId="0" xfId="0" applyNumberFormat="1" applyFont="1" applyFill="1"/>
    <xf numFmtId="166" fontId="26" fillId="14" borderId="0" xfId="0" applyNumberFormat="1" applyFont="1" applyFill="1"/>
    <xf numFmtId="43" fontId="0" fillId="0" borderId="0" xfId="3" applyNumberFormat="1" applyFont="1"/>
    <xf numFmtId="171" fontId="0" fillId="14" borderId="0" xfId="0" applyNumberFormat="1" applyFill="1"/>
    <xf numFmtId="0" fontId="85" fillId="0" borderId="0" xfId="0" applyFont="1"/>
    <xf numFmtId="170" fontId="35" fillId="0" borderId="0" xfId="0" applyNumberFormat="1" applyFont="1"/>
    <xf numFmtId="3" fontId="6" fillId="28" borderId="0" xfId="0" applyNumberFormat="1" applyFont="1" applyFill="1"/>
    <xf numFmtId="169" fontId="6" fillId="20" borderId="0" xfId="3" applyNumberFormat="1" applyFont="1" applyFill="1"/>
    <xf numFmtId="166" fontId="26" fillId="0" borderId="0" xfId="3" applyNumberFormat="1" applyFont="1"/>
    <xf numFmtId="177" fontId="6" fillId="0" borderId="0" xfId="3" applyNumberFormat="1" applyFont="1" applyFill="1"/>
    <xf numFmtId="164" fontId="0" fillId="0" borderId="0" xfId="3" applyFont="1"/>
    <xf numFmtId="2" fontId="14" fillId="0" borderId="0" xfId="3" applyNumberFormat="1" applyFont="1" applyFill="1" applyBorder="1"/>
    <xf numFmtId="166" fontId="9" fillId="2" borderId="0" xfId="0" applyNumberFormat="1" applyFont="1" applyFill="1" applyBorder="1"/>
    <xf numFmtId="165" fontId="6" fillId="4" borderId="0" xfId="0" applyNumberFormat="1" applyFont="1" applyFill="1"/>
    <xf numFmtId="0" fontId="6" fillId="17" borderId="0" xfId="0" applyNumberFormat="1" applyFont="1" applyFill="1"/>
    <xf numFmtId="1" fontId="16" fillId="17" borderId="0" xfId="0" applyNumberFormat="1" applyFont="1" applyFill="1"/>
    <xf numFmtId="3" fontId="16" fillId="17" borderId="0" xfId="0" applyNumberFormat="1" applyFont="1" applyFill="1"/>
    <xf numFmtId="165" fontId="16" fillId="17" borderId="0" xfId="0" applyNumberFormat="1" applyFont="1" applyFill="1"/>
    <xf numFmtId="168" fontId="6" fillId="17" borderId="0" xfId="3" applyNumberFormat="1" applyFont="1" applyFill="1"/>
    <xf numFmtId="3" fontId="0" fillId="25" borderId="0" xfId="0" applyNumberFormat="1" applyFill="1"/>
    <xf numFmtId="164" fontId="0" fillId="24" borderId="0" xfId="3" applyFont="1" applyFill="1"/>
    <xf numFmtId="4" fontId="0" fillId="24" borderId="0" xfId="3" applyNumberFormat="1" applyFont="1" applyFill="1"/>
    <xf numFmtId="164" fontId="6" fillId="24" borderId="0" xfId="3" applyFont="1" applyFill="1"/>
    <xf numFmtId="0" fontId="0" fillId="24" borderId="0" xfId="0" applyFill="1"/>
    <xf numFmtId="170" fontId="0" fillId="24" borderId="0" xfId="0" applyNumberFormat="1" applyFill="1"/>
    <xf numFmtId="4" fontId="0" fillId="24" borderId="0" xfId="0" applyNumberFormat="1" applyFill="1"/>
    <xf numFmtId="166" fontId="26" fillId="24" borderId="0" xfId="0" applyNumberFormat="1" applyFont="1" applyFill="1"/>
    <xf numFmtId="169" fontId="6" fillId="24" borderId="0" xfId="3" applyNumberFormat="1" applyFont="1" applyFill="1"/>
    <xf numFmtId="170" fontId="0" fillId="24" borderId="0" xfId="3" applyNumberFormat="1" applyFont="1" applyFill="1"/>
    <xf numFmtId="1" fontId="0" fillId="24" borderId="0" xfId="0" applyNumberFormat="1" applyFill="1"/>
    <xf numFmtId="2" fontId="125" fillId="0" borderId="0" xfId="0" applyNumberFormat="1" applyFont="1"/>
    <xf numFmtId="164" fontId="8" fillId="23" borderId="0" xfId="3" applyFont="1" applyFill="1"/>
    <xf numFmtId="169" fontId="6" fillId="9" borderId="0" xfId="3" applyNumberFormat="1" applyFont="1" applyFill="1"/>
    <xf numFmtId="3" fontId="6" fillId="6" borderId="0" xfId="0" applyNumberFormat="1" applyFont="1" applyFill="1"/>
    <xf numFmtId="169" fontId="6" fillId="33" borderId="0" xfId="3" applyNumberFormat="1" applyFont="1" applyFill="1"/>
    <xf numFmtId="3" fontId="6" fillId="34" borderId="0" xfId="0" applyNumberFormat="1" applyFont="1" applyFill="1"/>
    <xf numFmtId="3" fontId="9" fillId="2" borderId="0" xfId="0" applyNumberFormat="1" applyFont="1" applyFill="1" applyBorder="1"/>
    <xf numFmtId="0" fontId="6" fillId="34" borderId="0" xfId="0" applyNumberFormat="1" applyFont="1" applyFill="1"/>
    <xf numFmtId="0" fontId="6" fillId="34" borderId="0" xfId="0" applyFont="1" applyFill="1"/>
    <xf numFmtId="0" fontId="16" fillId="34" borderId="0" xfId="0" applyFont="1" applyFill="1"/>
    <xf numFmtId="3" fontId="6" fillId="35" borderId="0" xfId="0" applyNumberFormat="1" applyFont="1" applyFill="1"/>
    <xf numFmtId="166" fontId="6" fillId="36" borderId="0" xfId="0" applyNumberFormat="1" applyFont="1" applyFill="1"/>
    <xf numFmtId="166" fontId="95" fillId="36" borderId="0" xfId="0" applyNumberFormat="1" applyFont="1" applyFill="1"/>
    <xf numFmtId="166" fontId="122" fillId="36" borderId="0" xfId="3" applyNumberFormat="1" applyFont="1" applyFill="1"/>
    <xf numFmtId="166" fontId="6" fillId="35" borderId="0" xfId="3" applyNumberFormat="1" applyFont="1" applyFill="1"/>
    <xf numFmtId="166" fontId="26" fillId="35" borderId="0" xfId="0" applyNumberFormat="1" applyFont="1" applyFill="1"/>
    <xf numFmtId="3" fontId="8" fillId="35" borderId="0" xfId="0" applyNumberFormat="1" applyFont="1" applyFill="1"/>
    <xf numFmtId="166" fontId="6" fillId="37" borderId="0" xfId="0" applyNumberFormat="1" applyFont="1" applyFill="1" applyBorder="1"/>
    <xf numFmtId="0" fontId="6" fillId="0" borderId="0" xfId="0" applyFont="1" applyAlignment="1">
      <alignment horizontal="center"/>
    </xf>
    <xf numFmtId="1" fontId="114" fillId="23" borderId="0" xfId="0" applyNumberFormat="1" applyFont="1" applyFill="1"/>
    <xf numFmtId="168" fontId="6" fillId="0" borderId="0" xfId="0" applyNumberFormat="1" applyFont="1"/>
    <xf numFmtId="0" fontId="31" fillId="0" borderId="0" xfId="0" applyFont="1" applyFill="1"/>
    <xf numFmtId="15" fontId="14" fillId="0" borderId="0" xfId="0" quotePrefix="1" applyNumberFormat="1" applyFont="1" applyFill="1"/>
    <xf numFmtId="0" fontId="14" fillId="0" borderId="0" xfId="0" applyFont="1" applyFill="1" applyAlignment="1"/>
    <xf numFmtId="0" fontId="44" fillId="0" borderId="0" xfId="0" applyFont="1" applyFill="1"/>
    <xf numFmtId="0" fontId="3" fillId="0" borderId="2" xfId="0" applyFont="1" applyFill="1" applyBorder="1"/>
    <xf numFmtId="0" fontId="35" fillId="0" borderId="3" xfId="0" applyFont="1" applyFill="1" applyBorder="1"/>
    <xf numFmtId="0" fontId="45" fillId="0" borderId="4" xfId="0" applyFont="1" applyFill="1" applyBorder="1" applyAlignment="1">
      <alignment wrapText="1"/>
    </xf>
    <xf numFmtId="0" fontId="45" fillId="0" borderId="6" xfId="0" applyFont="1" applyFill="1" applyBorder="1" applyAlignment="1">
      <alignment wrapText="1"/>
    </xf>
    <xf numFmtId="171" fontId="35" fillId="0" borderId="3" xfId="3" applyNumberFormat="1" applyFont="1" applyFill="1" applyBorder="1"/>
    <xf numFmtId="0" fontId="46" fillId="0" borderId="7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5" fillId="0" borderId="13" xfId="0" applyFont="1" applyFill="1" applyBorder="1"/>
    <xf numFmtId="0" fontId="35" fillId="0" borderId="14" xfId="0" applyFont="1" applyFill="1" applyBorder="1"/>
    <xf numFmtId="0" fontId="35" fillId="0" borderId="15" xfId="0" applyFont="1" applyFill="1" applyBorder="1"/>
    <xf numFmtId="0" fontId="35" fillId="0" borderId="16" xfId="0" applyFont="1" applyFill="1" applyBorder="1"/>
    <xf numFmtId="0" fontId="0" fillId="0" borderId="17" xfId="0" applyFill="1" applyBorder="1"/>
    <xf numFmtId="0" fontId="35" fillId="0" borderId="18" xfId="0" applyFont="1" applyFill="1" applyBorder="1"/>
    <xf numFmtId="0" fontId="35" fillId="0" borderId="19" xfId="0" applyFont="1" applyFill="1" applyBorder="1"/>
    <xf numFmtId="166" fontId="0" fillId="0" borderId="20" xfId="0" applyNumberFormat="1" applyFill="1" applyBorder="1"/>
    <xf numFmtId="166" fontId="0" fillId="0" borderId="21" xfId="0" applyNumberFormat="1" applyFill="1" applyBorder="1"/>
    <xf numFmtId="166" fontId="0" fillId="0" borderId="22" xfId="0" applyNumberFormat="1" applyFill="1" applyBorder="1"/>
    <xf numFmtId="0" fontId="35" fillId="0" borderId="23" xfId="0" applyFont="1" applyFill="1" applyBorder="1" applyAlignment="1">
      <alignment wrapText="1"/>
    </xf>
    <xf numFmtId="1" fontId="16" fillId="0" borderId="0" xfId="0" applyNumberFormat="1" applyFont="1" applyFill="1"/>
    <xf numFmtId="14" fontId="6" fillId="0" borderId="0" xfId="0" applyNumberFormat="1" applyFont="1" applyFill="1"/>
    <xf numFmtId="0" fontId="51" fillId="0" borderId="0" xfId="0" applyFont="1" applyFill="1"/>
    <xf numFmtId="0" fontId="61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9" fontId="6" fillId="0" borderId="0" xfId="0" applyNumberFormat="1" applyFont="1" applyFill="1"/>
    <xf numFmtId="9" fontId="6" fillId="0" borderId="0" xfId="0" quotePrefix="1" applyNumberFormat="1" applyFont="1" applyFill="1"/>
    <xf numFmtId="0" fontId="13" fillId="0" borderId="0" xfId="0" applyFont="1" applyFill="1"/>
    <xf numFmtId="0" fontId="26" fillId="0" borderId="0" xfId="0" applyFont="1" applyFill="1"/>
    <xf numFmtId="0" fontId="20" fillId="0" borderId="0" xfId="0" applyFont="1" applyFill="1"/>
    <xf numFmtId="0" fontId="77" fillId="0" borderId="0" xfId="0" applyFont="1" applyFill="1"/>
    <xf numFmtId="0" fontId="109" fillId="0" borderId="0" xfId="0" applyFont="1" applyFill="1"/>
    <xf numFmtId="167" fontId="0" fillId="0" borderId="0" xfId="0" applyNumberFormat="1" applyFill="1"/>
    <xf numFmtId="0" fontId="96" fillId="0" borderId="0" xfId="0" applyFont="1" applyFill="1"/>
    <xf numFmtId="164" fontId="96" fillId="0" borderId="0" xfId="3" applyFont="1" applyFill="1"/>
    <xf numFmtId="176" fontId="0" fillId="0" borderId="0" xfId="3" applyNumberFormat="1" applyFont="1" applyFill="1"/>
    <xf numFmtId="43" fontId="0" fillId="0" borderId="0" xfId="0" applyNumberFormat="1" applyFill="1"/>
    <xf numFmtId="0" fontId="3" fillId="0" borderId="0" xfId="0" applyFont="1" applyFill="1"/>
    <xf numFmtId="1" fontId="0" fillId="0" borderId="0" xfId="0" applyNumberFormat="1" applyFill="1"/>
    <xf numFmtId="0" fontId="6" fillId="0" borderId="0" xfId="14" applyFont="1" applyFill="1"/>
    <xf numFmtId="0" fontId="118" fillId="0" borderId="0" xfId="0" applyFont="1" applyFill="1"/>
    <xf numFmtId="0" fontId="119" fillId="0" borderId="41" xfId="0" applyFont="1" applyFill="1" applyBorder="1"/>
    <xf numFmtId="0" fontId="120" fillId="0" borderId="27" xfId="0" applyFont="1" applyFill="1" applyBorder="1"/>
    <xf numFmtId="0" fontId="121" fillId="0" borderId="27" xfId="0" applyFont="1" applyFill="1" applyBorder="1"/>
    <xf numFmtId="0" fontId="120" fillId="0" borderId="19" xfId="0" applyFont="1" applyFill="1" applyBorder="1"/>
  </cellXfs>
  <cellStyles count="18">
    <cellStyle name="_x0004_¥" xfId="1"/>
    <cellStyle name="_x0004_¥ 2" xfId="2"/>
    <cellStyle name="Comma" xfId="3" builtinId="3"/>
    <cellStyle name="Comma 2" xfId="4"/>
    <cellStyle name="Comma 2 2" xfId="5"/>
    <cellStyle name="Comma 3" xfId="6"/>
    <cellStyle name="Comma 4" xfId="7"/>
    <cellStyle name="Comma 4 2" xfId="8"/>
    <cellStyle name="Comma_Sheet1" xfId="9"/>
    <cellStyle name="Hyperlink" xfId="10" builtinId="8"/>
    <cellStyle name="Komma_Suritax ingekort 22 dec 2014" xfId="11"/>
    <cellStyle name="Normal" xfId="0" builtinId="0"/>
    <cellStyle name="Normal 2" xfId="12"/>
    <cellStyle name="Normal 2 2" xfId="13"/>
    <cellStyle name="Normal 3" xfId="14"/>
    <cellStyle name="Normal 3 2" xfId="15"/>
    <cellStyle name="Normal 4" xfId="16"/>
    <cellStyle name="Normal 4 2" xfId="17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4086956521739141"/>
          <c:y val="6.879606879606881E-2"/>
          <c:w val="0.688695652173969"/>
          <c:h val="0.73710073710073765"/>
        </c:manualLayout>
      </c:layout>
      <c:lineChart>
        <c:grouping val="standard"/>
        <c:ser>
          <c:idx val="0"/>
          <c:order val="0"/>
          <c:tx>
            <c:v>areaal (ha) linkeras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f>rijstblok!$F$2:$BM$2</c:f>
              <c:strCache>
                <c:ptCount val="6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</c:strCache>
            </c:strRef>
          </c:cat>
          <c:val>
            <c:numRef>
              <c:f>rijstblok!$F$12:$BM$12</c:f>
              <c:numCache>
                <c:formatCode>0</c:formatCode>
                <c:ptCount val="60"/>
                <c:pt idx="0">
                  <c:v>22368</c:v>
                </c:pt>
                <c:pt idx="1">
                  <c:v>22257</c:v>
                </c:pt>
                <c:pt idx="2">
                  <c:v>25021</c:v>
                </c:pt>
                <c:pt idx="3">
                  <c:v>28203</c:v>
                </c:pt>
                <c:pt idx="4">
                  <c:v>31211</c:v>
                </c:pt>
                <c:pt idx="5">
                  <c:v>28546</c:v>
                </c:pt>
                <c:pt idx="6">
                  <c:v>30308</c:v>
                </c:pt>
                <c:pt idx="7">
                  <c:v>25629</c:v>
                </c:pt>
                <c:pt idx="8">
                  <c:v>27071</c:v>
                </c:pt>
                <c:pt idx="9">
                  <c:v>27513</c:v>
                </c:pt>
                <c:pt idx="10">
                  <c:v>30277</c:v>
                </c:pt>
                <c:pt idx="11">
                  <c:v>29311</c:v>
                </c:pt>
                <c:pt idx="12">
                  <c:v>29350</c:v>
                </c:pt>
                <c:pt idx="13">
                  <c:v>33684</c:v>
                </c:pt>
                <c:pt idx="14">
                  <c:v>35273</c:v>
                </c:pt>
                <c:pt idx="15">
                  <c:v>35246</c:v>
                </c:pt>
                <c:pt idx="16">
                  <c:v>39132</c:v>
                </c:pt>
                <c:pt idx="17">
                  <c:v>40153</c:v>
                </c:pt>
                <c:pt idx="18">
                  <c:v>37409</c:v>
                </c:pt>
                <c:pt idx="19">
                  <c:v>44985</c:v>
                </c:pt>
                <c:pt idx="20">
                  <c:v>44353</c:v>
                </c:pt>
                <c:pt idx="21">
                  <c:v>47500</c:v>
                </c:pt>
                <c:pt idx="22">
                  <c:v>48400</c:v>
                </c:pt>
                <c:pt idx="23">
                  <c:v>49700</c:v>
                </c:pt>
                <c:pt idx="24">
                  <c:v>55200</c:v>
                </c:pt>
                <c:pt idx="25">
                  <c:v>58855</c:v>
                </c:pt>
                <c:pt idx="26">
                  <c:v>64956</c:v>
                </c:pt>
                <c:pt idx="27">
                  <c:v>66423</c:v>
                </c:pt>
                <c:pt idx="28">
                  <c:v>72571</c:v>
                </c:pt>
                <c:pt idx="29">
                  <c:v>73343</c:v>
                </c:pt>
                <c:pt idx="30">
                  <c:v>74770</c:v>
                </c:pt>
                <c:pt idx="31">
                  <c:v>74890</c:v>
                </c:pt>
                <c:pt idx="32">
                  <c:v>75136</c:v>
                </c:pt>
                <c:pt idx="33">
                  <c:v>71155</c:v>
                </c:pt>
                <c:pt idx="34">
                  <c:v>69860</c:v>
                </c:pt>
                <c:pt idx="35">
                  <c:v>69860</c:v>
                </c:pt>
                <c:pt idx="36">
                  <c:v>52005</c:v>
                </c:pt>
                <c:pt idx="37">
                  <c:v>60085</c:v>
                </c:pt>
                <c:pt idx="38">
                  <c:v>68750</c:v>
                </c:pt>
                <c:pt idx="39">
                  <c:v>58640</c:v>
                </c:pt>
                <c:pt idx="40">
                  <c:v>60010</c:v>
                </c:pt>
                <c:pt idx="41">
                  <c:v>61390</c:v>
                </c:pt>
                <c:pt idx="42">
                  <c:v>61775</c:v>
                </c:pt>
                <c:pt idx="43">
                  <c:v>53495</c:v>
                </c:pt>
                <c:pt idx="44">
                  <c:v>50135</c:v>
                </c:pt>
                <c:pt idx="45">
                  <c:v>48460</c:v>
                </c:pt>
                <c:pt idx="46">
                  <c:v>41995</c:v>
                </c:pt>
                <c:pt idx="47">
                  <c:v>50780</c:v>
                </c:pt>
                <c:pt idx="48">
                  <c:v>40050</c:v>
                </c:pt>
                <c:pt idx="49">
                  <c:v>54425</c:v>
                </c:pt>
                <c:pt idx="50">
                  <c:v>49020</c:v>
                </c:pt>
                <c:pt idx="51">
                  <c:v>45563</c:v>
                </c:pt>
                <c:pt idx="52">
                  <c:v>44232</c:v>
                </c:pt>
                <c:pt idx="53">
                  <c:v>42087</c:v>
                </c:pt>
                <c:pt idx="54">
                  <c:v>43654</c:v>
                </c:pt>
                <c:pt idx="55">
                  <c:v>54492</c:v>
                </c:pt>
                <c:pt idx="56">
                  <c:v>53555</c:v>
                </c:pt>
                <c:pt idx="57">
                  <c:v>56930</c:v>
                </c:pt>
                <c:pt idx="58">
                  <c:v>51379</c:v>
                </c:pt>
                <c:pt idx="59">
                  <c:v>58274</c:v>
                </c:pt>
              </c:numCache>
            </c:numRef>
          </c:val>
        </c:ser>
        <c:marker val="1"/>
        <c:axId val="102910976"/>
        <c:axId val="114291840"/>
      </c:lineChart>
      <c:lineChart>
        <c:grouping val="standard"/>
        <c:ser>
          <c:idx val="1"/>
          <c:order val="1"/>
          <c:tx>
            <c:v>prijs/kostenquote rechteras</c:v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rijstblok!$F$2:$BM$2</c:f>
              <c:strCache>
                <c:ptCount val="6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</c:strCache>
            </c:strRef>
          </c:cat>
          <c:val>
            <c:numRef>
              <c:f>rijstblok!$F$72:$BM$72</c:f>
              <c:numCache>
                <c:formatCode>0</c:formatCode>
                <c:ptCount val="60"/>
                <c:pt idx="0">
                  <c:v>178.39262689209841</c:v>
                </c:pt>
                <c:pt idx="1">
                  <c:v>148.15252086240264</c:v>
                </c:pt>
                <c:pt idx="2">
                  <c:v>143.681239369922</c:v>
                </c:pt>
                <c:pt idx="3">
                  <c:v>134.48909428922988</c:v>
                </c:pt>
                <c:pt idx="4">
                  <c:v>140.62118445370606</c:v>
                </c:pt>
                <c:pt idx="5">
                  <c:v>135.7449544619808</c:v>
                </c:pt>
                <c:pt idx="6">
                  <c:v>117.80313825561763</c:v>
                </c:pt>
                <c:pt idx="7">
                  <c:v>106.48291360635542</c:v>
                </c:pt>
                <c:pt idx="8">
                  <c:v>144.14571649433239</c:v>
                </c:pt>
                <c:pt idx="9">
                  <c:v>133.33333333333388</c:v>
                </c:pt>
                <c:pt idx="10">
                  <c:v>138.72073790161761</c:v>
                </c:pt>
                <c:pt idx="11">
                  <c:v>149.88049278908673</c:v>
                </c:pt>
                <c:pt idx="12">
                  <c:v>225.62138635866262</c:v>
                </c:pt>
                <c:pt idx="13">
                  <c:v>217.30308365213799</c:v>
                </c:pt>
                <c:pt idx="14">
                  <c:v>217.48372602329317</c:v>
                </c:pt>
                <c:pt idx="15">
                  <c:v>158.37621900261681</c:v>
                </c:pt>
                <c:pt idx="16">
                  <c:v>244.98392775262144</c:v>
                </c:pt>
                <c:pt idx="17">
                  <c:v>198.78361650755278</c:v>
                </c:pt>
                <c:pt idx="18">
                  <c:v>170.11051796882649</c:v>
                </c:pt>
                <c:pt idx="19">
                  <c:v>269.50693477541193</c:v>
                </c:pt>
                <c:pt idx="20">
                  <c:v>305.05419130936076</c:v>
                </c:pt>
                <c:pt idx="21">
                  <c:v>205.74950257007362</c:v>
                </c:pt>
                <c:pt idx="22">
                  <c:v>168.25382333340451</c:v>
                </c:pt>
                <c:pt idx="23">
                  <c:v>209.03291319104611</c:v>
                </c:pt>
                <c:pt idx="24">
                  <c:v>184.61356695715102</c:v>
                </c:pt>
                <c:pt idx="25">
                  <c:v>190.23927689314155</c:v>
                </c:pt>
                <c:pt idx="26">
                  <c:v>158.08804337317864</c:v>
                </c:pt>
                <c:pt idx="27">
                  <c:v>152.40370701167618</c:v>
                </c:pt>
                <c:pt idx="28">
                  <c:v>126.42496146455926</c:v>
                </c:pt>
                <c:pt idx="29">
                  <c:v>109.75180583825595</c:v>
                </c:pt>
                <c:pt idx="30">
                  <c:v>148.49984642795769</c:v>
                </c:pt>
                <c:pt idx="31">
                  <c:v>132.59795924896426</c:v>
                </c:pt>
                <c:pt idx="32">
                  <c:v>131.09301878348106</c:v>
                </c:pt>
                <c:pt idx="33">
                  <c:v>93.762111411746062</c:v>
                </c:pt>
                <c:pt idx="34">
                  <c:v>125.90553928440747</c:v>
                </c:pt>
                <c:pt idx="35">
                  <c:v>40.056618194246369</c:v>
                </c:pt>
                <c:pt idx="36">
                  <c:v>59.644359994792403</c:v>
                </c:pt>
                <c:pt idx="37">
                  <c:v>50.874133203002316</c:v>
                </c:pt>
                <c:pt idx="38">
                  <c:v>39.769294541203458</c:v>
                </c:pt>
                <c:pt idx="39">
                  <c:v>7.6069619524550687</c:v>
                </c:pt>
                <c:pt idx="40">
                  <c:v>82.956600158983903</c:v>
                </c:pt>
                <c:pt idx="41">
                  <c:v>142.013381170597</c:v>
                </c:pt>
                <c:pt idx="42">
                  <c:v>123.10521714489143</c:v>
                </c:pt>
                <c:pt idx="43">
                  <c:v>103.00971557799521</c:v>
                </c:pt>
                <c:pt idx="44">
                  <c:v>75.465154256923768</c:v>
                </c:pt>
                <c:pt idx="45">
                  <c:v>77.78915046059366</c:v>
                </c:pt>
                <c:pt idx="46">
                  <c:v>95.155709342560556</c:v>
                </c:pt>
                <c:pt idx="47">
                  <c:v>82.93932935725752</c:v>
                </c:pt>
                <c:pt idx="48">
                  <c:v>80.379772868758565</c:v>
                </c:pt>
                <c:pt idx="49">
                  <c:v>75.678121138887931</c:v>
                </c:pt>
                <c:pt idx="50">
                  <c:v>70.14701581817458</c:v>
                </c:pt>
                <c:pt idx="51">
                  <c:v>76.713592007516269</c:v>
                </c:pt>
                <c:pt idx="52">
                  <c:v>95.848356800554285</c:v>
                </c:pt>
                <c:pt idx="53">
                  <c:v>98.983621766594567</c:v>
                </c:pt>
                <c:pt idx="54">
                  <c:v>187.01352330749896</c:v>
                </c:pt>
                <c:pt idx="55">
                  <c:v>129.38151520509558</c:v>
                </c:pt>
                <c:pt idx="56">
                  <c:v>132.91190734776515</c:v>
                </c:pt>
                <c:pt idx="57">
                  <c:v>196.61616166967241</c:v>
                </c:pt>
                <c:pt idx="58">
                  <c:v>168.08839287711103</c:v>
                </c:pt>
                <c:pt idx="59">
                  <c:v>157.65773974879866</c:v>
                </c:pt>
              </c:numCache>
            </c:numRef>
          </c:val>
        </c:ser>
        <c:marker val="1"/>
        <c:axId val="114294144"/>
        <c:axId val="118547584"/>
      </c:lineChart>
      <c:catAx>
        <c:axId val="10291097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4291840"/>
        <c:crosses val="autoZero"/>
        <c:auto val="1"/>
        <c:lblAlgn val="ctr"/>
        <c:lblOffset val="100"/>
      </c:catAx>
      <c:valAx>
        <c:axId val="11429184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02910976"/>
        <c:crosses val="autoZero"/>
        <c:crossBetween val="between"/>
      </c:valAx>
      <c:catAx>
        <c:axId val="114294144"/>
        <c:scaling>
          <c:orientation val="minMax"/>
        </c:scaling>
        <c:delete val="1"/>
        <c:axPos val="b"/>
        <c:tickLblPos val="none"/>
        <c:crossAx val="118547584"/>
        <c:crosses val="autoZero"/>
        <c:auto val="1"/>
        <c:lblAlgn val="ctr"/>
        <c:lblOffset val="100"/>
      </c:catAx>
      <c:valAx>
        <c:axId val="118547584"/>
        <c:scaling>
          <c:orientation val="minMax"/>
        </c:scaling>
        <c:axPos val="r"/>
        <c:numFmt formatCode="0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429414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8608695652173937"/>
          <c:y val="0.93857493857493868"/>
          <c:w val="0.57565217391304369"/>
          <c:h val="5.4054054054054092E-2"/>
        </c:manualLayout>
      </c:layout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4062729658795625"/>
          <c:y val="6.9685982357687554E-2"/>
          <c:w val="0.69168985126871063"/>
          <c:h val="0.77419361683179855"/>
        </c:manualLayout>
      </c:layout>
      <c:lineChart>
        <c:grouping val="standard"/>
        <c:ser>
          <c:idx val="0"/>
          <c:order val="0"/>
          <c:tx>
            <c:strRef>
              <c:f>rijstblok!$A$7</c:f>
              <c:strCache>
                <c:ptCount val="1"/>
                <c:pt idx="0">
                  <c:v>uitvoerhoeveelheid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f>rijstblok!$F$2:$BI$2</c:f>
              <c:strCache>
                <c:ptCount val="5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</c:strCache>
            </c:strRef>
          </c:cat>
          <c:val>
            <c:numRef>
              <c:f>rijstblok!$F$8:$BO$8</c:f>
              <c:numCache>
                <c:formatCode>0.0</c:formatCode>
                <c:ptCount val="62"/>
                <c:pt idx="0">
                  <c:v>6.4169999999999998</c:v>
                </c:pt>
                <c:pt idx="1">
                  <c:v>11.891</c:v>
                </c:pt>
                <c:pt idx="2">
                  <c:v>14.673999999999999</c:v>
                </c:pt>
                <c:pt idx="3">
                  <c:v>12.4575</c:v>
                </c:pt>
                <c:pt idx="4">
                  <c:v>10.241</c:v>
                </c:pt>
                <c:pt idx="5">
                  <c:v>11.831</c:v>
                </c:pt>
                <c:pt idx="6">
                  <c:v>17.937000000000001</c:v>
                </c:pt>
                <c:pt idx="7">
                  <c:v>19.260000000000002</c:v>
                </c:pt>
                <c:pt idx="8">
                  <c:v>20.677</c:v>
                </c:pt>
                <c:pt idx="9">
                  <c:v>21.733000000000001</c:v>
                </c:pt>
                <c:pt idx="10">
                  <c:v>14.4</c:v>
                </c:pt>
                <c:pt idx="11">
                  <c:v>21.050999999999998</c:v>
                </c:pt>
                <c:pt idx="12">
                  <c:v>22.826499999999999</c:v>
                </c:pt>
                <c:pt idx="13">
                  <c:v>24.602</c:v>
                </c:pt>
                <c:pt idx="14">
                  <c:v>31.858000000000001</c:v>
                </c:pt>
                <c:pt idx="15">
                  <c:v>32.808999999999997</c:v>
                </c:pt>
                <c:pt idx="16">
                  <c:v>16.119</c:v>
                </c:pt>
                <c:pt idx="17">
                  <c:v>32.054000000000002</c:v>
                </c:pt>
                <c:pt idx="18">
                  <c:v>30.706</c:v>
                </c:pt>
                <c:pt idx="19">
                  <c:v>44.478999999999999</c:v>
                </c:pt>
                <c:pt idx="20">
                  <c:v>46.253</c:v>
                </c:pt>
                <c:pt idx="21">
                  <c:v>58.8</c:v>
                </c:pt>
                <c:pt idx="22">
                  <c:v>57.5</c:v>
                </c:pt>
                <c:pt idx="23">
                  <c:v>54.7</c:v>
                </c:pt>
                <c:pt idx="24">
                  <c:v>74.7</c:v>
                </c:pt>
                <c:pt idx="25">
                  <c:v>103</c:v>
                </c:pt>
                <c:pt idx="26">
                  <c:v>110.7</c:v>
                </c:pt>
                <c:pt idx="27">
                  <c:v>93.2</c:v>
                </c:pt>
                <c:pt idx="28">
                  <c:v>130.80000000000001</c:v>
                </c:pt>
                <c:pt idx="29">
                  <c:v>127.41</c:v>
                </c:pt>
                <c:pt idx="30">
                  <c:v>94.7</c:v>
                </c:pt>
                <c:pt idx="31">
                  <c:v>137.69999999999999</c:v>
                </c:pt>
                <c:pt idx="32">
                  <c:v>108.1</c:v>
                </c:pt>
                <c:pt idx="33">
                  <c:v>112.6</c:v>
                </c:pt>
                <c:pt idx="34">
                  <c:v>77.7</c:v>
                </c:pt>
                <c:pt idx="35">
                  <c:v>85.1</c:v>
                </c:pt>
                <c:pt idx="36">
                  <c:v>64.900000000000006</c:v>
                </c:pt>
                <c:pt idx="37">
                  <c:v>52.7</c:v>
                </c:pt>
                <c:pt idx="38">
                  <c:v>78.099999999999994</c:v>
                </c:pt>
                <c:pt idx="39">
                  <c:v>74.8</c:v>
                </c:pt>
                <c:pt idx="40">
                  <c:v>80.599999999999994</c:v>
                </c:pt>
                <c:pt idx="41">
                  <c:v>87.7</c:v>
                </c:pt>
                <c:pt idx="42" formatCode="0">
                  <c:v>82.9</c:v>
                </c:pt>
                <c:pt idx="43" formatCode="0">
                  <c:v>72.900000000000006</c:v>
                </c:pt>
                <c:pt idx="44" formatCode="0">
                  <c:v>58.1</c:v>
                </c:pt>
                <c:pt idx="45" formatCode="0">
                  <c:v>53.3</c:v>
                </c:pt>
                <c:pt idx="46" formatCode="0">
                  <c:v>47.335999999999999</c:v>
                </c:pt>
                <c:pt idx="47" formatCode="0">
                  <c:v>53.145000000000003</c:v>
                </c:pt>
                <c:pt idx="48" formatCode="0">
                  <c:v>71.811999999999998</c:v>
                </c:pt>
                <c:pt idx="49" formatCode="0">
                  <c:v>41.948999999999998</c:v>
                </c:pt>
                <c:pt idx="50" formatCode="0">
                  <c:v>52.28</c:v>
                </c:pt>
                <c:pt idx="51" formatCode="0">
                  <c:v>35.877000000000002</c:v>
                </c:pt>
                <c:pt idx="52" formatCode="0">
                  <c:v>41.462000000000003</c:v>
                </c:pt>
                <c:pt idx="53" formatCode="0">
                  <c:v>52.5</c:v>
                </c:pt>
                <c:pt idx="54" formatCode="0">
                  <c:v>52.640999999999998</c:v>
                </c:pt>
                <c:pt idx="55" formatCode="0">
                  <c:v>51.941000000000003</c:v>
                </c:pt>
                <c:pt idx="56" formatCode="0">
                  <c:v>89.412000000000006</c:v>
                </c:pt>
                <c:pt idx="57" formatCode="0">
                  <c:v>46.109000000000002</c:v>
                </c:pt>
                <c:pt idx="58" formatCode="0">
                  <c:v>56.317</c:v>
                </c:pt>
                <c:pt idx="59" formatCode="0">
                  <c:v>77.161000000000001</c:v>
                </c:pt>
                <c:pt idx="60" formatCode="0">
                  <c:v>103.755</c:v>
                </c:pt>
                <c:pt idx="61" formatCode="0">
                  <c:v>93.379499999999993</c:v>
                </c:pt>
              </c:numCache>
            </c:numRef>
          </c:val>
        </c:ser>
        <c:marker val="1"/>
        <c:axId val="130065152"/>
        <c:axId val="130066688"/>
      </c:lineChart>
      <c:lineChart>
        <c:grouping val="standard"/>
        <c:ser>
          <c:idx val="1"/>
          <c:order val="1"/>
          <c:tx>
            <c:strRef>
              <c:f>rijstblok!$A$72</c:f>
              <c:strCache>
                <c:ptCount val="1"/>
                <c:pt idx="0">
                  <c:v>prijs/kosten index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C0504D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rijstblok!$F$2:$BO$2</c:f>
              <c:strCache>
                <c:ptCount val="62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</c:strCache>
            </c:strRef>
          </c:cat>
          <c:val>
            <c:numRef>
              <c:f>rijstblok!$F$72:$BO$72</c:f>
              <c:numCache>
                <c:formatCode>0</c:formatCode>
                <c:ptCount val="62"/>
                <c:pt idx="0">
                  <c:v>178.39262689209841</c:v>
                </c:pt>
                <c:pt idx="1">
                  <c:v>148.15252086240264</c:v>
                </c:pt>
                <c:pt idx="2">
                  <c:v>143.681239369922</c:v>
                </c:pt>
                <c:pt idx="3">
                  <c:v>134.48909428922988</c:v>
                </c:pt>
                <c:pt idx="4">
                  <c:v>140.62118445370606</c:v>
                </c:pt>
                <c:pt idx="5">
                  <c:v>135.7449544619808</c:v>
                </c:pt>
                <c:pt idx="6">
                  <c:v>117.80313825561763</c:v>
                </c:pt>
                <c:pt idx="7">
                  <c:v>106.48291360635542</c:v>
                </c:pt>
                <c:pt idx="8">
                  <c:v>144.14571649433239</c:v>
                </c:pt>
                <c:pt idx="9">
                  <c:v>133.33333333333388</c:v>
                </c:pt>
                <c:pt idx="10">
                  <c:v>138.72073790161761</c:v>
                </c:pt>
                <c:pt idx="11">
                  <c:v>149.88049278908673</c:v>
                </c:pt>
                <c:pt idx="12">
                  <c:v>225.62138635866262</c:v>
                </c:pt>
                <c:pt idx="13">
                  <c:v>217.30308365213799</c:v>
                </c:pt>
                <c:pt idx="14">
                  <c:v>217.48372602329317</c:v>
                </c:pt>
                <c:pt idx="15">
                  <c:v>158.37621900261681</c:v>
                </c:pt>
                <c:pt idx="16">
                  <c:v>244.98392775262144</c:v>
                </c:pt>
                <c:pt idx="17">
                  <c:v>198.78361650755278</c:v>
                </c:pt>
                <c:pt idx="18">
                  <c:v>170.11051796882649</c:v>
                </c:pt>
                <c:pt idx="19">
                  <c:v>269.50693477541193</c:v>
                </c:pt>
                <c:pt idx="20">
                  <c:v>305.05419130936076</c:v>
                </c:pt>
                <c:pt idx="21">
                  <c:v>205.74950257007362</c:v>
                </c:pt>
                <c:pt idx="22">
                  <c:v>168.25382333340451</c:v>
                </c:pt>
                <c:pt idx="23">
                  <c:v>209.03291319104611</c:v>
                </c:pt>
                <c:pt idx="24">
                  <c:v>184.61356695715102</c:v>
                </c:pt>
                <c:pt idx="25">
                  <c:v>190.23927689314155</c:v>
                </c:pt>
                <c:pt idx="26">
                  <c:v>158.08804337317864</c:v>
                </c:pt>
                <c:pt idx="27">
                  <c:v>152.40370701167618</c:v>
                </c:pt>
                <c:pt idx="28">
                  <c:v>126.42496146455926</c:v>
                </c:pt>
                <c:pt idx="29">
                  <c:v>109.75180583825595</c:v>
                </c:pt>
                <c:pt idx="30">
                  <c:v>148.49984642795769</c:v>
                </c:pt>
                <c:pt idx="31">
                  <c:v>132.59795924896426</c:v>
                </c:pt>
                <c:pt idx="32">
                  <c:v>131.09301878348106</c:v>
                </c:pt>
                <c:pt idx="33">
                  <c:v>93.762111411746062</c:v>
                </c:pt>
                <c:pt idx="34">
                  <c:v>125.90553928440747</c:v>
                </c:pt>
                <c:pt idx="35">
                  <c:v>40.056618194246369</c:v>
                </c:pt>
                <c:pt idx="36">
                  <c:v>59.644359994792403</c:v>
                </c:pt>
                <c:pt idx="37">
                  <c:v>50.874133203002316</c:v>
                </c:pt>
                <c:pt idx="38">
                  <c:v>39.769294541203458</c:v>
                </c:pt>
                <c:pt idx="39">
                  <c:v>7.6069619524550687</c:v>
                </c:pt>
                <c:pt idx="40">
                  <c:v>82.956600158983903</c:v>
                </c:pt>
                <c:pt idx="41">
                  <c:v>142.013381170597</c:v>
                </c:pt>
                <c:pt idx="42">
                  <c:v>123.10521714489143</c:v>
                </c:pt>
                <c:pt idx="43">
                  <c:v>103.00971557799521</c:v>
                </c:pt>
                <c:pt idx="44">
                  <c:v>75.465154256923768</c:v>
                </c:pt>
                <c:pt idx="45">
                  <c:v>77.78915046059366</c:v>
                </c:pt>
                <c:pt idx="46">
                  <c:v>95.155709342560556</c:v>
                </c:pt>
                <c:pt idx="47">
                  <c:v>82.93932935725752</c:v>
                </c:pt>
                <c:pt idx="48">
                  <c:v>80.379772868758565</c:v>
                </c:pt>
                <c:pt idx="49">
                  <c:v>75.678121138887931</c:v>
                </c:pt>
                <c:pt idx="50">
                  <c:v>70.14701581817458</c:v>
                </c:pt>
                <c:pt idx="51">
                  <c:v>76.713592007516269</c:v>
                </c:pt>
                <c:pt idx="52">
                  <c:v>95.848356800554285</c:v>
                </c:pt>
                <c:pt idx="53">
                  <c:v>98.983621766594567</c:v>
                </c:pt>
                <c:pt idx="54">
                  <c:v>187.01352330749896</c:v>
                </c:pt>
                <c:pt idx="55">
                  <c:v>129.38151520509558</c:v>
                </c:pt>
                <c:pt idx="56">
                  <c:v>132.91190734776515</c:v>
                </c:pt>
                <c:pt idx="57">
                  <c:v>196.61616166967241</c:v>
                </c:pt>
                <c:pt idx="58">
                  <c:v>168.08839287711103</c:v>
                </c:pt>
                <c:pt idx="59">
                  <c:v>157.65773974879866</c:v>
                </c:pt>
                <c:pt idx="60">
                  <c:v>163.66207888242704</c:v>
                </c:pt>
                <c:pt idx="61">
                  <c:v>177.60673672358539</c:v>
                </c:pt>
              </c:numCache>
            </c:numRef>
          </c:val>
        </c:ser>
        <c:marker val="1"/>
        <c:axId val="130067840"/>
        <c:axId val="130073728"/>
      </c:lineChart>
      <c:catAx>
        <c:axId val="13006515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066688"/>
        <c:crosses val="autoZero"/>
        <c:auto val="1"/>
        <c:lblAlgn val="ctr"/>
        <c:lblOffset val="100"/>
      </c:catAx>
      <c:valAx>
        <c:axId val="130066688"/>
        <c:scaling>
          <c:orientation val="minMax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065152"/>
        <c:crosses val="autoZero"/>
        <c:crossBetween val="between"/>
      </c:valAx>
      <c:catAx>
        <c:axId val="130067840"/>
        <c:scaling>
          <c:orientation val="minMax"/>
        </c:scaling>
        <c:delete val="1"/>
        <c:axPos val="b"/>
        <c:tickLblPos val="none"/>
        <c:crossAx val="130073728"/>
        <c:crosses val="autoZero"/>
        <c:auto val="1"/>
        <c:lblAlgn val="ctr"/>
        <c:lblOffset val="100"/>
      </c:catAx>
      <c:valAx>
        <c:axId val="130073728"/>
        <c:scaling>
          <c:orientation val="minMax"/>
        </c:scaling>
        <c:axPos val="r"/>
        <c:numFmt formatCode="0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06784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5478260869565261"/>
          <c:y val="0.71990171990171992"/>
          <c:w val="0.23826086956521741"/>
          <c:h val="0.11793611793611807"/>
        </c:manualLayout>
      </c:layout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2406</xdr:row>
      <xdr:rowOff>171450</xdr:rowOff>
    </xdr:from>
    <xdr:to>
      <xdr:col>6</xdr:col>
      <xdr:colOff>219075</xdr:colOff>
      <xdr:row>2451</xdr:row>
      <xdr:rowOff>66675</xdr:rowOff>
    </xdr:to>
    <xdr:sp macro="" textlink="">
      <xdr:nvSpPr>
        <xdr:cNvPr id="179243" name="Picture 2"/>
        <xdr:cNvSpPr>
          <a:spLocks noChangeAspect="1" noChangeArrowheads="1"/>
        </xdr:cNvSpPr>
      </xdr:nvSpPr>
      <xdr:spPr bwMode="auto">
        <a:xfrm>
          <a:off x="95250" y="482774625"/>
          <a:ext cx="5753100" cy="889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80</xdr:row>
      <xdr:rowOff>142875</xdr:rowOff>
    </xdr:from>
    <xdr:to>
      <xdr:col>17</xdr:col>
      <xdr:colOff>38100</xdr:colOff>
      <xdr:row>104</xdr:row>
      <xdr:rowOff>133350</xdr:rowOff>
    </xdr:to>
    <xdr:graphicFrame macro="">
      <xdr:nvGraphicFramePr>
        <xdr:cNvPr id="1540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88</xdr:col>
      <xdr:colOff>533400</xdr:colOff>
      <xdr:row>117</xdr:row>
      <xdr:rowOff>19050</xdr:rowOff>
    </xdr:from>
    <xdr:to>
      <xdr:col>97</xdr:col>
      <xdr:colOff>523875</xdr:colOff>
      <xdr:row>141</xdr:row>
      <xdr:rowOff>9525</xdr:rowOff>
    </xdr:to>
    <xdr:graphicFrame macro="">
      <xdr:nvGraphicFramePr>
        <xdr:cNvPr id="154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064"/>
  <sheetViews>
    <sheetView workbookViewId="0">
      <selection activeCell="A7" sqref="A7"/>
    </sheetView>
  </sheetViews>
  <sheetFormatPr defaultRowHeight="15.75"/>
  <cols>
    <col min="1" max="1" width="33.140625" style="3" customWidth="1"/>
    <col min="2" max="2" width="9.5703125" style="3" bestFit="1" customWidth="1"/>
    <col min="3" max="5" width="10.7109375" style="3" bestFit="1" customWidth="1"/>
    <col min="6" max="6" width="9.5703125" style="3" customWidth="1"/>
    <col min="7" max="7" width="10.7109375" style="3" bestFit="1" customWidth="1"/>
    <col min="8" max="8" width="22.7109375" style="3" customWidth="1"/>
    <col min="9" max="9" width="11.7109375" style="3" customWidth="1"/>
    <col min="10" max="10" width="10.85546875" style="3" customWidth="1"/>
    <col min="11" max="11" width="10.7109375" style="3" customWidth="1"/>
    <col min="12" max="16" width="9.140625" style="3"/>
    <col min="17" max="17" width="37.7109375" style="3" customWidth="1"/>
    <col min="18" max="16384" width="9.140625" style="3"/>
  </cols>
  <sheetData>
    <row r="1" spans="1:24" ht="22.5">
      <c r="A1" s="8" t="s">
        <v>4684</v>
      </c>
      <c r="O1" s="1027" t="s">
        <v>315</v>
      </c>
      <c r="P1" s="18"/>
      <c r="Q1" s="18"/>
      <c r="R1" s="18"/>
      <c r="S1" s="18"/>
      <c r="T1" s="18"/>
      <c r="U1" s="18"/>
      <c r="V1" s="18"/>
      <c r="W1" s="18"/>
      <c r="X1" s="18"/>
    </row>
    <row r="2" spans="1:24">
      <c r="P2" s="18"/>
      <c r="Q2" s="18"/>
      <c r="R2" s="18"/>
      <c r="S2" s="18"/>
      <c r="T2" s="18"/>
      <c r="U2" s="18"/>
      <c r="V2" s="18"/>
      <c r="W2" s="18"/>
      <c r="X2" s="18"/>
    </row>
    <row r="3" spans="1:24">
      <c r="A3" s="8" t="s">
        <v>4683</v>
      </c>
      <c r="O3" s="1028"/>
      <c r="P3" s="18"/>
      <c r="Q3" s="18"/>
      <c r="R3" s="18"/>
      <c r="S3" s="18"/>
      <c r="T3" s="18"/>
      <c r="U3" s="18"/>
      <c r="V3" s="18"/>
      <c r="W3" s="18"/>
      <c r="X3" s="18"/>
    </row>
    <row r="4" spans="1:24">
      <c r="P4" s="18"/>
      <c r="Q4" s="18"/>
      <c r="R4" s="18"/>
      <c r="S4" s="18"/>
      <c r="T4" s="18"/>
      <c r="U4" s="18"/>
      <c r="V4" s="18"/>
      <c r="W4" s="18"/>
      <c r="X4" s="18"/>
    </row>
    <row r="5" spans="1:24">
      <c r="O5" s="8"/>
      <c r="P5" s="18"/>
      <c r="Q5" s="18"/>
      <c r="R5" s="18"/>
      <c r="S5" s="18"/>
      <c r="T5" s="18"/>
      <c r="U5" s="18"/>
      <c r="V5" s="18"/>
      <c r="W5" s="18"/>
      <c r="X5" s="18"/>
    </row>
    <row r="6" spans="1:24">
      <c r="O6" s="8"/>
      <c r="P6" s="18"/>
      <c r="Q6" s="18"/>
      <c r="R6" s="18"/>
      <c r="S6" s="18"/>
      <c r="T6" s="18"/>
      <c r="U6" s="18"/>
      <c r="V6" s="18"/>
      <c r="W6" s="18"/>
      <c r="X6" s="18"/>
    </row>
    <row r="7" spans="1:24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49"/>
      <c r="P7" s="18"/>
      <c r="Q7" s="18"/>
      <c r="R7" s="18"/>
      <c r="S7" s="18"/>
      <c r="T7" s="18"/>
      <c r="U7" s="18"/>
      <c r="V7" s="18"/>
      <c r="W7" s="18"/>
      <c r="X7" s="18"/>
    </row>
    <row r="8" spans="1:24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49"/>
      <c r="P8" s="18"/>
      <c r="Q8" s="18"/>
      <c r="R8" s="18"/>
      <c r="S8" s="18"/>
      <c r="T8" s="18"/>
      <c r="U8" s="18"/>
      <c r="V8" s="18"/>
      <c r="W8" s="18"/>
      <c r="X8" s="18"/>
    </row>
    <row r="9" spans="1:24">
      <c r="A9" s="18"/>
      <c r="B9" s="1121"/>
      <c r="C9" s="1121"/>
      <c r="D9" s="1121"/>
      <c r="E9" s="1121"/>
      <c r="F9" s="1121"/>
      <c r="G9" s="1121"/>
      <c r="H9" s="1121"/>
      <c r="I9" s="18"/>
      <c r="J9" s="18"/>
      <c r="K9" s="18"/>
      <c r="L9" s="18"/>
      <c r="M9" s="18"/>
      <c r="N9" s="18"/>
      <c r="O9" s="18"/>
      <c r="P9" s="18"/>
      <c r="Q9" s="18"/>
    </row>
    <row r="10" spans="1:2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4">
      <c r="A13" s="149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24">
      <c r="A16" s="149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7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>
      <c r="A22" s="18"/>
      <c r="B22" s="18"/>
      <c r="C22" s="18"/>
      <c r="D22" s="18"/>
      <c r="E22" s="18"/>
      <c r="F22" s="18"/>
      <c r="G22" s="18"/>
      <c r="H22" s="18"/>
      <c r="I22" s="18"/>
      <c r="J22" s="252"/>
      <c r="K22" s="18"/>
      <c r="L22" s="18"/>
      <c r="M22" s="18"/>
      <c r="N22" s="18"/>
      <c r="O22" s="18"/>
      <c r="P22" s="18"/>
      <c r="Q22" s="18"/>
    </row>
    <row r="23" spans="1:17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>
      <c r="A27" s="1122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>
      <c r="A34" s="149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7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1:17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1:17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1:17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1:17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1:17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1:17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1:17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1:17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1:17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1:17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1:17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1:17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1:17">
      <c r="A52" s="14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1:17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1:17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17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1:1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1:17">
      <c r="A58" s="14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1:17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1:17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1:17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1:17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1:17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1:17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1:17">
      <c r="A66" s="14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1:1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1:17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1:17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1:17">
      <c r="A70" s="14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1:17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1:17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1:17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1:17">
      <c r="A74" s="14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1:17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1:17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1:17">
      <c r="A77" s="14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1:17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1:17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1:17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1:17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1:17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1:17">
      <c r="A85" s="3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17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1:17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1:17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17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17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17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1:1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1:17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17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1:17">
      <c r="A105" s="149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1:17">
      <c r="A108" s="149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1:17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>
      <c r="A112" s="149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1:17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1:17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1:17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1:17">
      <c r="A121" s="1123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1:17">
      <c r="A122" s="24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>
      <c r="A123" s="24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1:17">
      <c r="A124" s="1123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1:17">
      <c r="A125" s="24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1:17">
      <c r="A126" s="24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>
      <c r="A127" s="24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1:17">
      <c r="A128" s="24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1:17">
      <c r="A129" s="24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1:17">
      <c r="A130" s="24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>
      <c r="A131" s="24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1:17">
      <c r="A132" s="24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1:17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>
      <c r="A140" s="1123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1:17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1:17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1:17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1:17">
      <c r="A145" s="149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1:17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1:17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8" customHeight="1">
      <c r="A150" s="1124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17" ht="15" customHeight="1">
      <c r="A151" s="1124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 ht="28.5" customHeight="1">
      <c r="A152" s="1125"/>
      <c r="B152" s="1126"/>
      <c r="C152" s="1126"/>
      <c r="D152" s="1126"/>
      <c r="E152" s="1126"/>
      <c r="F152" s="1126"/>
      <c r="G152" s="1126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1:17" ht="29.25" customHeight="1">
      <c r="A153" s="1127"/>
      <c r="B153" s="240"/>
      <c r="C153" s="240"/>
      <c r="D153" s="240"/>
      <c r="E153" s="240"/>
      <c r="F153" s="240"/>
      <c r="G153" s="240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1:17" ht="27" customHeight="1">
      <c r="A154" s="1127"/>
      <c r="B154" s="241"/>
      <c r="C154" s="241"/>
      <c r="D154" s="241"/>
      <c r="E154" s="241"/>
      <c r="F154" s="241"/>
      <c r="G154" s="241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1:17" ht="22.5" customHeight="1">
      <c r="A155" s="1127"/>
      <c r="B155" s="240"/>
      <c r="C155" s="240"/>
      <c r="D155" s="240"/>
      <c r="E155" s="240"/>
      <c r="F155" s="240"/>
      <c r="G155" s="240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1:17" ht="16.5" thickBot="1">
      <c r="A156" s="1128"/>
      <c r="B156" s="1129"/>
      <c r="C156" s="1129"/>
      <c r="D156" s="1129"/>
      <c r="E156" s="1129"/>
      <c r="F156" s="1129"/>
      <c r="G156" s="1129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1:17">
      <c r="A157" s="1130"/>
      <c r="B157" s="242"/>
      <c r="C157" s="242"/>
      <c r="D157" s="242"/>
      <c r="E157" s="242"/>
      <c r="F157" s="242"/>
      <c r="G157" s="243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1:17" ht="16.5" thickBot="1">
      <c r="A158" s="1131"/>
      <c r="B158" s="244"/>
      <c r="C158" s="244"/>
      <c r="D158" s="244"/>
      <c r="E158" s="244"/>
      <c r="F158" s="244"/>
      <c r="G158" s="245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1:17">
      <c r="A159" s="18"/>
      <c r="B159" s="246"/>
      <c r="C159" s="246"/>
      <c r="D159" s="246"/>
      <c r="E159" s="246"/>
      <c r="F159" s="246"/>
      <c r="G159" s="246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1:17">
      <c r="A160" s="252"/>
      <c r="B160" s="254"/>
      <c r="C160" s="254"/>
      <c r="D160" s="254"/>
      <c r="E160" s="254"/>
      <c r="F160" s="254"/>
      <c r="G160" s="254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1:17">
      <c r="A161" s="252"/>
      <c r="B161" s="254"/>
      <c r="C161" s="254"/>
      <c r="D161" s="254"/>
      <c r="E161" s="254"/>
      <c r="F161" s="254"/>
      <c r="G161" s="254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1:17">
      <c r="A162" s="252"/>
      <c r="B162" s="254"/>
      <c r="C162" s="254"/>
      <c r="D162" s="254"/>
      <c r="E162" s="254"/>
      <c r="F162" s="254"/>
      <c r="G162" s="254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1:17">
      <c r="A163" s="252"/>
      <c r="B163" s="254"/>
      <c r="C163" s="254"/>
      <c r="D163" s="254"/>
      <c r="E163" s="254"/>
      <c r="F163" s="254"/>
      <c r="G163" s="254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1:17">
      <c r="A164" s="18"/>
      <c r="B164" s="246"/>
      <c r="C164" s="246"/>
      <c r="D164" s="246"/>
      <c r="E164" s="246"/>
      <c r="F164" s="246"/>
      <c r="G164" s="246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1:17">
      <c r="A165" s="248"/>
      <c r="B165" s="247"/>
      <c r="C165" s="247"/>
      <c r="D165" s="247"/>
      <c r="E165" s="247"/>
      <c r="F165" s="247"/>
      <c r="G165" s="247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1:17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1:17" ht="16.5" thickBo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pans="1:17" ht="16.5" thickBot="1">
      <c r="A168" s="1132"/>
      <c r="B168" s="1133"/>
      <c r="C168" s="1133"/>
      <c r="D168" s="1133"/>
      <c r="E168" s="1133"/>
      <c r="F168" s="1133"/>
      <c r="G168" s="1134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spans="1:17">
      <c r="A169" s="1135"/>
      <c r="B169" s="247"/>
      <c r="C169" s="247"/>
      <c r="D169" s="247"/>
      <c r="E169" s="247"/>
      <c r="F169" s="247"/>
      <c r="G169" s="1136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pans="1:17">
      <c r="A170" s="1137"/>
      <c r="B170" s="247"/>
      <c r="C170" s="247"/>
      <c r="D170" s="247"/>
      <c r="E170" s="247"/>
      <c r="F170" s="247"/>
      <c r="G170" s="1136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>
      <c r="A171" s="1137"/>
      <c r="B171" s="247"/>
      <c r="C171" s="247"/>
      <c r="D171" s="247"/>
      <c r="E171" s="247"/>
      <c r="F171" s="247"/>
      <c r="G171" s="1136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spans="1:17">
      <c r="A172" s="1137"/>
      <c r="B172" s="247"/>
      <c r="C172" s="247"/>
      <c r="D172" s="247"/>
      <c r="E172" s="247"/>
      <c r="F172" s="247"/>
      <c r="G172" s="1136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spans="1:17" ht="16.5" customHeight="1">
      <c r="A173" s="1137"/>
      <c r="B173" s="247"/>
      <c r="C173" s="247"/>
      <c r="D173" s="247"/>
      <c r="E173" s="247"/>
      <c r="F173" s="247"/>
      <c r="G173" s="1136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spans="1:17" ht="16.5" thickBot="1">
      <c r="A174" s="1137"/>
      <c r="B174" s="247"/>
      <c r="C174" s="247"/>
      <c r="D174" s="247"/>
      <c r="E174" s="247"/>
      <c r="F174" s="247"/>
      <c r="G174" s="1136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spans="1:17" ht="16.5" thickBot="1">
      <c r="A175" s="1138"/>
      <c r="B175" s="1139"/>
      <c r="C175" s="1140"/>
      <c r="D175" s="1140"/>
      <c r="E175" s="1140"/>
      <c r="F175" s="1140"/>
      <c r="G175" s="1141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1:17" s="18" customFormat="1">
      <c r="A176" s="253"/>
      <c r="B176" s="250"/>
      <c r="C176" s="250"/>
      <c r="D176" s="250"/>
      <c r="E176" s="250"/>
      <c r="F176" s="250"/>
      <c r="G176" s="250"/>
    </row>
    <row r="177" spans="1:17" s="18" customFormat="1">
      <c r="A177" s="248"/>
      <c r="B177" s="250"/>
      <c r="C177" s="250"/>
      <c r="D177" s="250"/>
      <c r="E177" s="250"/>
      <c r="F177" s="250"/>
      <c r="G177" s="250"/>
    </row>
    <row r="178" spans="1:17" s="18" customFormat="1">
      <c r="B178" s="250"/>
      <c r="C178" s="250"/>
      <c r="D178" s="250"/>
      <c r="E178" s="250"/>
      <c r="F178" s="250"/>
      <c r="G178" s="250"/>
    </row>
    <row r="179" spans="1:17">
      <c r="A179" s="249"/>
      <c r="B179" s="249"/>
      <c r="C179" s="249"/>
      <c r="D179" s="249"/>
      <c r="E179" s="249"/>
      <c r="F179" s="249"/>
      <c r="G179" s="249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1:17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spans="1:17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1:17">
      <c r="A182" s="18"/>
      <c r="B182" s="18"/>
      <c r="C182" s="18"/>
      <c r="D182" s="149"/>
      <c r="E182" s="149"/>
      <c r="F182" s="149"/>
      <c r="G182" s="149"/>
      <c r="H182" s="149"/>
      <c r="I182" s="149"/>
      <c r="J182" s="18"/>
      <c r="K182" s="18"/>
      <c r="L182" s="18"/>
      <c r="M182" s="18"/>
      <c r="N182" s="18"/>
      <c r="O182" s="18"/>
      <c r="P182" s="18"/>
      <c r="Q182" s="18"/>
    </row>
    <row r="183" spans="1:17">
      <c r="A183" s="149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spans="1:17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spans="1:17">
      <c r="A185" s="252"/>
      <c r="B185" s="252"/>
      <c r="C185" s="252"/>
      <c r="D185" s="252"/>
      <c r="E185" s="252"/>
      <c r="F185" s="252"/>
      <c r="G185" s="252"/>
      <c r="H185" s="252"/>
      <c r="I185" s="252"/>
      <c r="J185" s="18"/>
      <c r="K185" s="18"/>
      <c r="L185" s="18"/>
      <c r="M185" s="18"/>
      <c r="N185" s="18"/>
      <c r="O185" s="18"/>
      <c r="P185" s="18"/>
      <c r="Q185" s="18"/>
    </row>
    <row r="186" spans="1:17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spans="1:17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7">
      <c r="A189" s="149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pans="1:17" s="18" customFormat="1">
      <c r="A190" s="149"/>
    </row>
    <row r="191" spans="1:17" s="18" customFormat="1"/>
    <row r="192" spans="1:17" s="18" customFormat="1"/>
    <row r="193" spans="1:17" s="18" customFormat="1"/>
    <row r="194" spans="1:17" s="18" customFormat="1"/>
    <row r="195" spans="1:17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spans="1:17" ht="16.5" thickBo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spans="1:17" ht="16.5" thickBot="1">
      <c r="A197" s="1132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1:17" ht="16.5" thickBot="1">
      <c r="A198" s="1132"/>
      <c r="B198" s="1133"/>
      <c r="C198" s="1133"/>
      <c r="D198" s="1133"/>
      <c r="E198" s="1133"/>
      <c r="F198" s="1133"/>
      <c r="G198" s="1134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1:17">
      <c r="A199" s="1135"/>
      <c r="B199" s="247"/>
      <c r="C199" s="247"/>
      <c r="D199" s="247"/>
      <c r="E199" s="247"/>
      <c r="F199" s="247"/>
      <c r="G199" s="1136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1:17">
      <c r="A200" s="1137"/>
      <c r="B200" s="247"/>
      <c r="C200" s="247"/>
      <c r="D200" s="247"/>
      <c r="E200" s="247"/>
      <c r="F200" s="247"/>
      <c r="G200" s="1136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1:17">
      <c r="A201" s="1137"/>
      <c r="B201" s="247"/>
      <c r="C201" s="247"/>
      <c r="D201" s="247"/>
      <c r="E201" s="247"/>
      <c r="F201" s="247"/>
      <c r="G201" s="1136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1:17">
      <c r="A202" s="1137"/>
      <c r="B202" s="250"/>
      <c r="C202" s="250"/>
      <c r="D202" s="247"/>
      <c r="E202" s="247"/>
      <c r="F202" s="247"/>
      <c r="G202" s="1136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pans="1:17">
      <c r="A203" s="1137"/>
      <c r="B203" s="247"/>
      <c r="C203" s="247"/>
      <c r="D203" s="247"/>
      <c r="E203" s="247"/>
      <c r="F203" s="247"/>
      <c r="G203" s="1136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1:17">
      <c r="A204" s="1137"/>
      <c r="B204" s="247"/>
      <c r="C204" s="247"/>
      <c r="D204" s="247"/>
      <c r="E204" s="247"/>
      <c r="F204" s="247"/>
      <c r="G204" s="1136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>
      <c r="A205" s="1137"/>
      <c r="B205" s="247"/>
      <c r="C205" s="247"/>
      <c r="D205" s="247"/>
      <c r="E205" s="247"/>
      <c r="F205" s="247"/>
      <c r="G205" s="1136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pans="1:17">
      <c r="A206" s="1137"/>
      <c r="B206" s="247"/>
      <c r="C206" s="247"/>
      <c r="D206" s="247"/>
      <c r="E206" s="247"/>
      <c r="F206" s="247"/>
      <c r="G206" s="1136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pans="1:17">
      <c r="A207" s="1137"/>
      <c r="B207" s="247"/>
      <c r="C207" s="247"/>
      <c r="D207" s="247"/>
      <c r="E207" s="247"/>
      <c r="F207" s="247"/>
      <c r="G207" s="1136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pans="1:17">
      <c r="A208" s="1137"/>
      <c r="B208" s="247"/>
      <c r="C208" s="247"/>
      <c r="D208" s="247"/>
      <c r="E208" s="247"/>
      <c r="F208" s="247"/>
      <c r="G208" s="1136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pans="1:17" ht="16.5" thickBot="1">
      <c r="A209" s="1142"/>
      <c r="B209" s="247"/>
      <c r="C209" s="247"/>
      <c r="D209" s="247"/>
      <c r="E209" s="247"/>
      <c r="F209" s="247"/>
      <c r="G209" s="1136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1:17" ht="16.5" thickBot="1">
      <c r="A210" s="1138"/>
      <c r="B210" s="1139"/>
      <c r="C210" s="1140"/>
      <c r="D210" s="1140"/>
      <c r="E210" s="1140"/>
      <c r="F210" s="1140"/>
      <c r="G210" s="1141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1:17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1:17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1:17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1:17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spans="1:17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1:17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spans="1:17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1:17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1:17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pans="1:17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1:17">
      <c r="A221" s="252"/>
      <c r="B221" s="252"/>
      <c r="C221" s="252"/>
      <c r="D221" s="252"/>
      <c r="E221" s="252"/>
      <c r="F221" s="252"/>
      <c r="G221" s="252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1:17">
      <c r="A222" s="252"/>
      <c r="B222" s="1143"/>
      <c r="C222" s="1143"/>
      <c r="D222" s="1143"/>
      <c r="E222" s="1143"/>
      <c r="F222" s="1143"/>
      <c r="G222" s="252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1:17">
      <c r="A223" s="252"/>
      <c r="B223" s="1143"/>
      <c r="C223" s="1143"/>
      <c r="D223" s="1143"/>
      <c r="E223" s="1143"/>
      <c r="F223" s="1143"/>
      <c r="G223" s="1143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1:17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1:17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1:17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1:17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spans="1:17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spans="1:17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spans="1:17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spans="1:17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spans="1:17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spans="1:17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spans="1:17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spans="1:17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spans="1:17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spans="1:17">
      <c r="A238" s="252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spans="1:17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spans="1:17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spans="1:17">
      <c r="A241" s="149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spans="1:17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spans="1:17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spans="1:17">
      <c r="A245" s="149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spans="1:17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spans="1:17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spans="1:17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spans="1:17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spans="1:17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1:17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spans="1:17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spans="1:17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spans="1:17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1:17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spans="1:17">
      <c r="A256" s="149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spans="1:17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spans="1:17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spans="1:17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spans="1:17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spans="1:17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spans="1:17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spans="1:17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spans="1:17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spans="1:17">
      <c r="A266" s="149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1:17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spans="1:17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spans="1:17">
      <c r="A269" s="149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spans="1:17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spans="1:17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spans="1:17">
      <c r="A272" s="149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spans="1:17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spans="1:17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spans="1:17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spans="1:17">
      <c r="A276" s="149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spans="1:17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spans="1:17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1:17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spans="1:17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1:17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1:17">
      <c r="A283" s="149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1:17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1:17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1:17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1:17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spans="1:17">
      <c r="A288" s="149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spans="1:17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spans="1:17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1:17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spans="1:17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spans="1:17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spans="1:17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spans="1:17">
      <c r="A295" s="149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1:17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spans="1:17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spans="1:17">
      <c r="A299" s="149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spans="1:17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spans="1:17">
      <c r="A301" s="149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spans="1:17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spans="1:17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spans="1:17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spans="1:17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spans="1:17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spans="1:17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spans="1:17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spans="1:17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spans="1:17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spans="1:17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spans="1:17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spans="1:17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spans="1:17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spans="1:17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spans="1:17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spans="1:17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spans="1:17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spans="1:17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spans="1:17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spans="1:17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spans="1:17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spans="1:17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spans="1:17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spans="1:17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spans="1:17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spans="1:17">
      <c r="A328" s="149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spans="1:17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spans="1:17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spans="1:17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spans="1:17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spans="1:17">
      <c r="A333" s="149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spans="1:17">
      <c r="A334" s="474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spans="1:17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spans="1:17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spans="1:17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1:17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spans="1:17">
      <c r="A340" s="1144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spans="1:17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spans="1:17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spans="1:17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spans="1:17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spans="1:17">
      <c r="A345" s="149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spans="1:17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spans="1:17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spans="1:17">
      <c r="A348" s="149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spans="1:17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spans="1:17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spans="1:17">
      <c r="A351" s="149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spans="1:17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spans="1:17">
      <c r="A354" s="149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spans="1:17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spans="1:17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spans="1:17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spans="1:17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spans="1:17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spans="1:17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spans="1:17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spans="1:17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1:17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spans="1:17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spans="1:17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spans="1:17">
      <c r="A366" s="149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spans="1:17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spans="1:17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spans="1:17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spans="1:17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spans="1:17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spans="1:17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spans="1:17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spans="1:17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spans="1:17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spans="1:17">
      <c r="A377" s="149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spans="1:17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spans="1:17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spans="1:17">
      <c r="A380" s="149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spans="1:17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spans="1:17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spans="1:17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spans="1:17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spans="1:17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spans="1:17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spans="1:17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spans="1:17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spans="1:17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spans="1:17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spans="1:17">
      <c r="A392" s="149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spans="1:17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spans="1:17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spans="1:17">
      <c r="A395" s="149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spans="1:17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spans="1:17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spans="1:17">
      <c r="A398" s="149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spans="1:17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spans="1:17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spans="1:17">
      <c r="A401" s="149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spans="1:17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spans="1:17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spans="1:17">
      <c r="A404" s="149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spans="1:17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spans="1:17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spans="1:17">
      <c r="A407" s="149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spans="1:17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spans="1:17">
      <c r="A410" s="149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spans="1:17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1:17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spans="1:17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spans="1:17">
      <c r="A414" s="1145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spans="1:17">
      <c r="A415" s="1145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spans="1:17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</row>
    <row r="417" spans="1:17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</row>
    <row r="418" spans="1:17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spans="1:17">
      <c r="A419" s="149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</row>
    <row r="420" spans="1:17">
      <c r="A420" s="15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</row>
    <row r="421" spans="1:17">
      <c r="A421" s="15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</row>
    <row r="422" spans="1:17">
      <c r="A422" s="15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</row>
    <row r="423" spans="1:17">
      <c r="A423" s="15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spans="1:17">
      <c r="A424" s="15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>
      <c r="A425" s="15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spans="1:17">
      <c r="A426" s="15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spans="1:17">
      <c r="A427" s="15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spans="1:17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spans="1:17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spans="1:17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spans="1:17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spans="1:17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spans="1:17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spans="1:17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spans="1:17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spans="1:17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</row>
    <row r="437" spans="1:17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spans="1:17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spans="1:17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spans="1:17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</row>
    <row r="441" spans="1:17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</row>
    <row r="442" spans="1:17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spans="1:17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spans="1:17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</row>
    <row r="445" spans="1:17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spans="1:17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spans="1:17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</row>
    <row r="449" spans="1:17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spans="1:17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spans="1:17">
      <c r="A451" s="15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spans="1:17">
      <c r="A452" s="15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</row>
    <row r="453" spans="1:17">
      <c r="A453" s="15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spans="1:17">
      <c r="A454" s="15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spans="1:17">
      <c r="A455" s="15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spans="1:17">
      <c r="A456" s="15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</row>
    <row r="457" spans="1:17">
      <c r="A457" s="15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spans="1:17">
      <c r="A458" s="15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1:17">
      <c r="A459" s="15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1:17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spans="1:17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spans="1:17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spans="1:17">
      <c r="A464" s="149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</row>
    <row r="465" spans="1:17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</row>
    <row r="466" spans="1:17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spans="1:17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spans="1:17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spans="1:17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spans="1:17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spans="1:17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spans="1:17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</row>
    <row r="473" spans="1:17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spans="1:17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spans="1:17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spans="1:17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</row>
    <row r="477" spans="1:17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spans="1:17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spans="1:17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spans="1:17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1:17">
      <c r="A482" s="149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1:17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spans="1:17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</row>
    <row r="485" spans="1:17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</row>
    <row r="486" spans="1:17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spans="1:17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spans="1:17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</row>
    <row r="489" spans="1:17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</row>
    <row r="490" spans="1:17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spans="1:17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spans="1:17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</row>
    <row r="493" spans="1:17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</row>
    <row r="494" spans="1:17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spans="1:17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spans="1:17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</row>
    <row r="497" spans="1:17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</row>
    <row r="498" spans="1:17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spans="1:17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1:17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spans="1:17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spans="1:17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  <row r="504" spans="1:17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</row>
    <row r="505" spans="1:17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</row>
    <row r="506" spans="1:17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</row>
    <row r="507" spans="1:17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</row>
    <row r="508" spans="1:17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</row>
    <row r="509" spans="1:17">
      <c r="A509" s="149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</row>
    <row r="510" spans="1:17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</row>
    <row r="511" spans="1:17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</row>
    <row r="512" spans="1:17">
      <c r="A512" s="149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</row>
    <row r="513" spans="1:17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</row>
    <row r="514" spans="1:17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spans="1:17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spans="1:17">
      <c r="A516" s="149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</row>
    <row r="517" spans="1:17">
      <c r="A517" s="24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</row>
    <row r="519" spans="1:17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</row>
    <row r="520" spans="1:17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</row>
    <row r="521" spans="1:17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spans="1:17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spans="1:17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</row>
    <row r="524" spans="1:17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</row>
    <row r="525" spans="1:17">
      <c r="A525" s="149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</row>
    <row r="526" spans="1:17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</row>
    <row r="527" spans="1:17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</row>
    <row r="528" spans="1:17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</row>
    <row r="529" spans="1:17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</row>
    <row r="530" spans="1:17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</row>
    <row r="531" spans="1:17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</row>
    <row r="532" spans="1:17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</row>
    <row r="533" spans="1:17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</row>
    <row r="534" spans="1:17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</row>
    <row r="536" spans="1:17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</row>
    <row r="537" spans="1:17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</row>
    <row r="538" spans="1:17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</row>
    <row r="539" spans="1:17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spans="1:17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</row>
    <row r="541" spans="1:17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</row>
    <row r="542" spans="1:17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</row>
    <row r="543" spans="1:17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</row>
    <row r="544" spans="1:17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</row>
    <row r="545" spans="1:17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</row>
    <row r="546" spans="1:17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</row>
    <row r="547" spans="1:17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spans="1:17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</row>
    <row r="549" spans="1:17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</row>
    <row r="550" spans="1:17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</row>
    <row r="551" spans="1:17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</row>
    <row r="552" spans="1:17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</row>
    <row r="553" spans="1:17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</row>
    <row r="554" spans="1:17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spans="1:17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</row>
    <row r="557" spans="1:17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</row>
    <row r="558" spans="1:17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</row>
    <row r="559" spans="1:17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</row>
    <row r="560" spans="1:17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</row>
    <row r="561" spans="1:17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</row>
    <row r="562" spans="1:17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</row>
    <row r="563" spans="1:17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</row>
    <row r="564" spans="1:17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</row>
    <row r="565" spans="1:17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</row>
    <row r="566" spans="1:17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</row>
    <row r="567" spans="1:17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</row>
    <row r="568" spans="1:17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</row>
    <row r="569" spans="1:17">
      <c r="A569" s="149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</row>
    <row r="570" spans="1:17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</row>
    <row r="571" spans="1:17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</row>
    <row r="572" spans="1:17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</row>
    <row r="574" spans="1:17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</row>
    <row r="575" spans="1:17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</row>
    <row r="576" spans="1:17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</row>
    <row r="577" spans="1:17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</row>
    <row r="578" spans="1:17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</row>
    <row r="579" spans="1:17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</row>
    <row r="580" spans="1:17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</row>
    <row r="581" spans="1:17">
      <c r="A581" s="149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</row>
    <row r="582" spans="1:17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</row>
    <row r="583" spans="1:17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</row>
    <row r="584" spans="1:17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</row>
    <row r="585" spans="1:17">
      <c r="A585" s="149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</row>
    <row r="586" spans="1:17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</row>
    <row r="587" spans="1:17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</row>
    <row r="588" spans="1:17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</row>
    <row r="589" spans="1:17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</row>
    <row r="591" spans="1:17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</row>
    <row r="592" spans="1:17">
      <c r="A592" s="149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</row>
    <row r="593" spans="1:17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</row>
    <row r="594" spans="1:17">
      <c r="A594" s="8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</row>
    <row r="595" spans="1:17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</row>
    <row r="596" spans="1:17">
      <c r="A596" s="1144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</row>
    <row r="597" spans="1:17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</row>
    <row r="598" spans="1:17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</row>
    <row r="599" spans="1:17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</row>
    <row r="600" spans="1:17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</row>
    <row r="601" spans="1:17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</row>
    <row r="602" spans="1:17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</row>
    <row r="603" spans="1:17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</row>
    <row r="604" spans="1:17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</row>
    <row r="605" spans="1:17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</row>
    <row r="606" spans="1:17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</row>
    <row r="607" spans="1:17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</row>
    <row r="608" spans="1:17">
      <c r="A608" s="149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</row>
    <row r="609" spans="1:17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</row>
    <row r="610" spans="1:17">
      <c r="A610" s="18"/>
      <c r="B610" s="1146"/>
      <c r="C610" s="1146"/>
      <c r="D610" s="1147"/>
      <c r="E610" s="1148"/>
      <c r="F610" s="1147"/>
      <c r="G610" s="1147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>
      <c r="A611" s="18"/>
      <c r="B611" s="286"/>
      <c r="C611" s="286"/>
      <c r="D611" s="366"/>
      <c r="E611" s="18"/>
      <c r="F611" s="28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</row>
    <row r="612" spans="1:17">
      <c r="A612" s="18"/>
      <c r="B612" s="366"/>
      <c r="C612" s="366"/>
      <c r="D612" s="286"/>
      <c r="E612" s="286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</row>
    <row r="613" spans="1:17">
      <c r="A613" s="18"/>
      <c r="B613" s="286"/>
      <c r="C613" s="286"/>
      <c r="D613" s="286"/>
      <c r="E613" s="18"/>
      <c r="F613" s="28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</row>
    <row r="614" spans="1:17">
      <c r="A614" s="18"/>
      <c r="B614" s="286"/>
      <c r="C614" s="286"/>
      <c r="D614" s="18"/>
      <c r="E614" s="286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</row>
    <row r="615" spans="1:17">
      <c r="A615" s="18"/>
      <c r="B615" s="286"/>
      <c r="C615" s="286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</row>
    <row r="616" spans="1:17">
      <c r="A616" s="18"/>
      <c r="B616" s="286"/>
      <c r="C616" s="286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</row>
    <row r="617" spans="1:17">
      <c r="A617" s="18"/>
      <c r="B617" s="286"/>
      <c r="C617" s="286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</row>
    <row r="618" spans="1:17">
      <c r="A618" s="18"/>
      <c r="B618" s="286"/>
      <c r="C618" s="286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</row>
    <row r="619" spans="1:17">
      <c r="A619" s="18"/>
      <c r="B619" s="286"/>
      <c r="C619" s="286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</row>
    <row r="620" spans="1:17">
      <c r="A620" s="18"/>
      <c r="B620" s="1149"/>
      <c r="C620" s="18"/>
      <c r="D620" s="1150"/>
      <c r="E620" s="1150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</row>
    <row r="621" spans="1:17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</row>
    <row r="622" spans="1:17">
      <c r="A622" s="149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</row>
    <row r="623" spans="1:17">
      <c r="A623" s="149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</row>
    <row r="624" spans="1:17">
      <c r="A624" s="18"/>
      <c r="B624" s="1150"/>
      <c r="C624" s="1150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</row>
    <row r="625" spans="1:17">
      <c r="A625" s="18"/>
      <c r="B625" s="1150"/>
      <c r="C625" s="1150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</row>
    <row r="626" spans="1:17">
      <c r="A626" s="18"/>
      <c r="B626" s="1150"/>
      <c r="C626" s="1150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</row>
    <row r="627" spans="1:17">
      <c r="A627" s="18"/>
      <c r="B627" s="1150"/>
      <c r="C627" s="1150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>
      <c r="A628" s="149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</row>
    <row r="629" spans="1:17">
      <c r="A629" s="18"/>
      <c r="B629" s="1150"/>
      <c r="C629" s="1150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</row>
    <row r="630" spans="1:17">
      <c r="A630" s="18"/>
      <c r="B630" s="1150"/>
      <c r="C630" s="1150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</row>
    <row r="631" spans="1:17">
      <c r="A631" s="18"/>
      <c r="B631" s="1150"/>
      <c r="C631" s="1150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</row>
    <row r="632" spans="1:17">
      <c r="A632" s="18"/>
      <c r="B632" s="1150"/>
      <c r="C632" s="1150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</row>
    <row r="633" spans="1:17">
      <c r="A633" s="18"/>
      <c r="B633" s="1150"/>
      <c r="C633" s="1150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</row>
    <row r="634" spans="1:17">
      <c r="A634" s="18"/>
      <c r="B634" s="1150"/>
      <c r="C634" s="1150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</row>
    <row r="635" spans="1:17">
      <c r="A635" s="18"/>
      <c r="B635" s="1150"/>
      <c r="C635" s="1150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</row>
    <row r="636" spans="1:17">
      <c r="A636" s="18"/>
      <c r="B636" s="1150"/>
      <c r="C636" s="1150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</row>
    <row r="637" spans="1:17">
      <c r="A637" s="18"/>
      <c r="B637" s="286"/>
      <c r="C637" s="286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</row>
    <row r="638" spans="1:17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</row>
    <row r="639" spans="1:17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</row>
    <row r="640" spans="1:17">
      <c r="A640" s="18"/>
      <c r="B640" s="286"/>
      <c r="C640" s="286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</row>
    <row r="641" spans="1:17">
      <c r="A641" s="18"/>
      <c r="B641" s="286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</row>
    <row r="642" spans="1:17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</row>
    <row r="643" spans="1:17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</row>
    <row r="644" spans="1:17">
      <c r="A644" s="149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</row>
    <row r="646" spans="1:17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</row>
    <row r="647" spans="1:17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</row>
    <row r="648" spans="1:17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</row>
    <row r="649" spans="1:17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</row>
    <row r="650" spans="1:17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</row>
    <row r="651" spans="1:17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</row>
    <row r="652" spans="1:17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</row>
    <row r="653" spans="1:17">
      <c r="A653" s="149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</row>
    <row r="654" spans="1:17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</row>
    <row r="655" spans="1:17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</row>
    <row r="656" spans="1:17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</row>
    <row r="657" spans="1:17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</row>
    <row r="658" spans="1:17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</row>
    <row r="659" spans="1:17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</row>
    <row r="660" spans="1:17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</row>
    <row r="661" spans="1:17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</row>
    <row r="662" spans="1:17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</row>
    <row r="663" spans="1:17">
      <c r="A663" s="149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</row>
    <row r="664" spans="1:17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</row>
    <row r="665" spans="1:17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</row>
    <row r="667" spans="1:17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</row>
    <row r="668" spans="1:17">
      <c r="A668" s="149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</row>
    <row r="669" spans="1:17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</row>
    <row r="670" spans="1:17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</row>
    <row r="671" spans="1:17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</row>
    <row r="672" spans="1:17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</row>
    <row r="673" spans="1:17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</row>
    <row r="674" spans="1:17">
      <c r="A674" s="149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</row>
    <row r="675" spans="1:17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</row>
    <row r="676" spans="1:17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</row>
    <row r="677" spans="1:17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</row>
    <row r="678" spans="1:17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</row>
    <row r="679" spans="1:17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</row>
    <row r="680" spans="1:17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</row>
    <row r="681" spans="1:17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</row>
    <row r="682" spans="1:17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</row>
    <row r="684" spans="1:17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</row>
    <row r="685" spans="1:17">
      <c r="A685" s="149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</row>
    <row r="686" spans="1:17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</row>
    <row r="687" spans="1:17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</row>
    <row r="688" spans="1:17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</row>
    <row r="689" spans="1:17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</row>
    <row r="690" spans="1:17">
      <c r="A690" s="149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</row>
    <row r="691" spans="1:17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</row>
    <row r="692" spans="1:17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</row>
    <row r="693" spans="1:17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</row>
    <row r="694" spans="1:17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</row>
    <row r="695" spans="1:17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</row>
    <row r="696" spans="1:17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</row>
    <row r="697" spans="1:17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</row>
    <row r="698" spans="1:17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</row>
    <row r="699" spans="1:17">
      <c r="A699" s="149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</row>
    <row r="701" spans="1:17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</row>
    <row r="702" spans="1:17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</row>
    <row r="703" spans="1:17">
      <c r="A703" s="149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</row>
    <row r="704" spans="1:17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</row>
    <row r="705" spans="1:17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</row>
    <row r="706" spans="1:17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</row>
    <row r="707" spans="1:17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</row>
    <row r="708" spans="1:17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</row>
    <row r="709" spans="1:17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</row>
    <row r="710" spans="1:17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</row>
    <row r="711" spans="1:17">
      <c r="A711" s="149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</row>
    <row r="712" spans="1:17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</row>
    <row r="713" spans="1:17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</row>
    <row r="714" spans="1:17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</row>
    <row r="715" spans="1:17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</row>
    <row r="716" spans="1:17">
      <c r="A716" s="149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</row>
    <row r="717" spans="1:17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</row>
    <row r="718" spans="1:17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</row>
    <row r="719" spans="1:17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</row>
    <row r="720" spans="1:17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>
      <c r="A721" s="149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</row>
    <row r="722" spans="1:17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</row>
    <row r="723" spans="1:17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</row>
    <row r="724" spans="1:17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</row>
    <row r="725" spans="1:17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</row>
    <row r="726" spans="1:17">
      <c r="A726" s="149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</row>
    <row r="727" spans="1:17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</row>
    <row r="728" spans="1:17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</row>
    <row r="729" spans="1:17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</row>
    <row r="730" spans="1:17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</row>
    <row r="731" spans="1:17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</row>
    <row r="732" spans="1:17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</row>
    <row r="733" spans="1:17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</row>
    <row r="734" spans="1:17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</row>
    <row r="735" spans="1:17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</row>
    <row r="736" spans="1:17">
      <c r="A736" s="149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</row>
    <row r="737" spans="1:17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</row>
    <row r="739" spans="1:17">
      <c r="A739" s="18"/>
      <c r="B739" s="18"/>
      <c r="C739" s="18"/>
      <c r="D739" s="18"/>
      <c r="E739" s="18"/>
      <c r="F739" s="99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</row>
    <row r="740" spans="1:17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</row>
    <row r="741" spans="1:17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</row>
    <row r="742" spans="1:17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</row>
    <row r="743" spans="1:17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</row>
    <row r="744" spans="1:17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</row>
    <row r="745" spans="1:17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</row>
    <row r="746" spans="1:17">
      <c r="A746" s="286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</row>
    <row r="747" spans="1:17">
      <c r="A747" s="286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</row>
    <row r="748" spans="1:17">
      <c r="A748" s="286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</row>
    <row r="749" spans="1:17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</row>
    <row r="750" spans="1:17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</row>
    <row r="751" spans="1:17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</row>
    <row r="752" spans="1:17">
      <c r="A752" s="149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</row>
    <row r="753" spans="1:17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</row>
    <row r="754" spans="1:17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</row>
    <row r="756" spans="1:17">
      <c r="A756" s="149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</row>
    <row r="757" spans="1:17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</row>
    <row r="758" spans="1:17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</row>
    <row r="759" spans="1:17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</row>
    <row r="760" spans="1:17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</row>
    <row r="761" spans="1:17">
      <c r="A761" s="149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</row>
    <row r="762" spans="1:17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</row>
    <row r="763" spans="1:17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</row>
    <row r="764" spans="1:17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</row>
    <row r="765" spans="1:17">
      <c r="A765" s="149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</row>
    <row r="766" spans="1:17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</row>
    <row r="767" spans="1:17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</row>
    <row r="768" spans="1:17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</row>
    <row r="769" spans="1:17">
      <c r="A769" s="149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</row>
    <row r="770" spans="1:17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</row>
    <row r="771" spans="1:17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</row>
    <row r="772" spans="1:17">
      <c r="A772" s="149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</row>
    <row r="773" spans="1:17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</row>
    <row r="774" spans="1:17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</row>
    <row r="775" spans="1:17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>
      <c r="A776" s="149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</row>
    <row r="777" spans="1:17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</row>
    <row r="778" spans="1:17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</row>
    <row r="779" spans="1:17">
      <c r="A779" s="149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</row>
    <row r="780" spans="1:17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</row>
    <row r="781" spans="1:17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</row>
    <row r="782" spans="1:17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</row>
    <row r="783" spans="1:17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</row>
    <row r="784" spans="1:17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</row>
    <row r="785" spans="1:17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</row>
    <row r="786" spans="1:17">
      <c r="A786" s="149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</row>
    <row r="787" spans="1:17">
      <c r="A787" s="24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</row>
    <row r="788" spans="1:17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</row>
    <row r="789" spans="1:17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</row>
    <row r="790" spans="1:17">
      <c r="A790" s="149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</row>
    <row r="791" spans="1:17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</row>
    <row r="792" spans="1:17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</row>
    <row r="794" spans="1:17">
      <c r="A794" s="149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</row>
    <row r="795" spans="1:17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</row>
    <row r="796" spans="1:17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</row>
    <row r="797" spans="1:17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</row>
    <row r="798" spans="1:17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</row>
    <row r="799" spans="1:17">
      <c r="A799" s="149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</row>
    <row r="800" spans="1:17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</row>
    <row r="801" spans="1:17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</row>
    <row r="802" spans="1:17">
      <c r="A802" s="149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</row>
    <row r="803" spans="1:17">
      <c r="A803" s="1151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</row>
    <row r="804" spans="1:17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</row>
    <row r="805" spans="1:17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</row>
    <row r="806" spans="1:17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</row>
    <row r="807" spans="1:17">
      <c r="A807" s="149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</row>
    <row r="808" spans="1:17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</row>
    <row r="809" spans="1:17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>
      <c r="A810" s="149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</row>
    <row r="811" spans="1:17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</row>
    <row r="812" spans="1:17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</row>
    <row r="813" spans="1:17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</row>
    <row r="814" spans="1:17">
      <c r="A814" s="149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</row>
    <row r="815" spans="1:17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</row>
    <row r="816" spans="1:17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</row>
    <row r="817" spans="1:17">
      <c r="A817" s="149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</row>
    <row r="818" spans="1:17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</row>
    <row r="819" spans="1:17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</row>
    <row r="820" spans="1:17">
      <c r="A820" s="149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</row>
    <row r="821" spans="1:17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</row>
    <row r="822" spans="1:17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</row>
    <row r="823" spans="1:17">
      <c r="A823" s="149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</row>
    <row r="824" spans="1:17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</row>
    <row r="825" spans="1:17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</row>
    <row r="826" spans="1:17">
      <c r="A826" s="149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</row>
    <row r="827" spans="1:17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</row>
    <row r="828" spans="1:17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</row>
    <row r="829" spans="1:17">
      <c r="A829" s="149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</row>
    <row r="830" spans="1:17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</row>
    <row r="832" spans="1:17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</row>
    <row r="833" spans="1:17">
      <c r="A833" s="149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</row>
    <row r="834" spans="1:17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</row>
    <row r="835" spans="1:17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</row>
    <row r="836" spans="1:17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</row>
    <row r="837" spans="1:17">
      <c r="A837" s="149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</row>
    <row r="838" spans="1:17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</row>
    <row r="839" spans="1:17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</row>
    <row r="840" spans="1:17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</row>
    <row r="841" spans="1:17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</row>
    <row r="842" spans="1:17">
      <c r="A842" s="149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</row>
    <row r="843" spans="1:17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</row>
    <row r="844" spans="1:17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</row>
    <row r="845" spans="1:17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</row>
    <row r="846" spans="1:17">
      <c r="A846" s="149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</row>
    <row r="847" spans="1:17">
      <c r="A847" s="1152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>
      <c r="A848" s="1152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</row>
    <row r="849" spans="1:17">
      <c r="A849" s="1152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</row>
    <row r="850" spans="1:17">
      <c r="A850" s="1152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</row>
    <row r="851" spans="1:17">
      <c r="A851" s="1152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</row>
    <row r="852" spans="1:17">
      <c r="A852" s="1152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</row>
    <row r="853" spans="1:17">
      <c r="A853" s="1152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</row>
    <row r="854" spans="1:17">
      <c r="A854" s="1152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</row>
    <row r="855" spans="1:17">
      <c r="A855" s="1152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</row>
    <row r="856" spans="1:17">
      <c r="A856" s="1152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</row>
    <row r="857" spans="1:17">
      <c r="A857" s="1152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</row>
    <row r="858" spans="1:17">
      <c r="A858" s="1152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</row>
    <row r="859" spans="1:17">
      <c r="A859" s="1152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</row>
    <row r="860" spans="1:17">
      <c r="A860" s="1152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</row>
    <row r="861" spans="1:17">
      <c r="A861" s="1152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</row>
    <row r="862" spans="1:17">
      <c r="A862" s="1152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</row>
    <row r="863" spans="1:17">
      <c r="A863" s="1152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</row>
    <row r="864" spans="1:17">
      <c r="A864" s="1152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</row>
    <row r="865" spans="1:17">
      <c r="A865" s="1152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</row>
    <row r="866" spans="1:17">
      <c r="A866" s="1152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</row>
    <row r="867" spans="1:17">
      <c r="A867" s="1152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</row>
    <row r="868" spans="1:17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</row>
    <row r="869" spans="1:17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</row>
    <row r="870" spans="1:17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</row>
    <row r="871" spans="1:17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</row>
    <row r="872" spans="1:17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</row>
    <row r="873" spans="1:17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</row>
    <row r="874" spans="1:17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</row>
    <row r="875" spans="1:17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</row>
    <row r="876" spans="1:17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</row>
    <row r="877" spans="1:17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</row>
    <row r="878" spans="1:17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</row>
    <row r="879" spans="1:17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</row>
    <row r="880" spans="1:17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</row>
    <row r="881" spans="1:17">
      <c r="A881" s="149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</row>
    <row r="882" spans="1:17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</row>
    <row r="883" spans="1:17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</row>
    <row r="884" spans="1:17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</row>
    <row r="885" spans="1:17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</row>
    <row r="886" spans="1:17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</row>
    <row r="887" spans="1:17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</row>
    <row r="888" spans="1:17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</row>
    <row r="889" spans="1:17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</row>
    <row r="890" spans="1:17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</row>
    <row r="891" spans="1:17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</row>
    <row r="892" spans="1:17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</row>
    <row r="893" spans="1:17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</row>
    <row r="894" spans="1:17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</row>
    <row r="895" spans="1:17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</row>
    <row r="896" spans="1:17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</row>
    <row r="897" spans="1:17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</row>
    <row r="898" spans="1:17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</row>
    <row r="899" spans="1:17">
      <c r="A899" s="149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</row>
    <row r="900" spans="1:17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</row>
    <row r="901" spans="1:17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</row>
    <row r="902" spans="1:17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</row>
    <row r="903" spans="1:17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</row>
    <row r="904" spans="1:17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</row>
    <row r="905" spans="1:17">
      <c r="A905" s="149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</row>
    <row r="906" spans="1:17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</row>
    <row r="907" spans="1:17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</row>
    <row r="908" spans="1:17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</row>
    <row r="909" spans="1:17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</row>
    <row r="910" spans="1:17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</row>
    <row r="911" spans="1:17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</row>
    <row r="912" spans="1:17">
      <c r="A912" s="149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</row>
    <row r="913" spans="1:17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</row>
    <row r="914" spans="1:17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</row>
    <row r="915" spans="1:17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</row>
    <row r="916" spans="1:17">
      <c r="A916" s="149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</row>
    <row r="917" spans="1:17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</row>
    <row r="918" spans="1:17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</row>
    <row r="919" spans="1:17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</row>
    <row r="921" spans="1:17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</row>
    <row r="922" spans="1:17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</row>
    <row r="923" spans="1:17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</row>
    <row r="924" spans="1:17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</row>
    <row r="925" spans="1:17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</row>
    <row r="926" spans="1:17">
      <c r="A926" s="149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</row>
    <row r="927" spans="1:17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</row>
    <row r="928" spans="1:17">
      <c r="A928" s="149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</row>
    <row r="929" spans="1:17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</row>
    <row r="930" spans="1:17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</row>
    <row r="931" spans="1:17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</row>
    <row r="932" spans="1:17">
      <c r="A932" s="149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</row>
    <row r="933" spans="1:17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</row>
    <row r="934" spans="1:17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</row>
    <row r="935" spans="1:17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</row>
    <row r="936" spans="1:17">
      <c r="A936" s="149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</row>
    <row r="937" spans="1:17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</row>
    <row r="938" spans="1:17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</row>
    <row r="939" spans="1:17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</row>
    <row r="940" spans="1:17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</row>
    <row r="941" spans="1:17">
      <c r="A941" s="149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</row>
    <row r="942" spans="1:17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</row>
    <row r="943" spans="1:17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</row>
    <row r="944" spans="1:17">
      <c r="A944" s="149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</row>
    <row r="945" spans="1:17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</row>
    <row r="946" spans="1:17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</row>
    <row r="947" spans="1:17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</row>
    <row r="948" spans="1:17">
      <c r="A948" s="149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</row>
    <row r="949" spans="1:17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</row>
    <row r="950" spans="1:17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</row>
    <row r="951" spans="1:17">
      <c r="A951" s="149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</row>
    <row r="952" spans="1:17">
      <c r="A952" s="149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</row>
    <row r="953" spans="1:17">
      <c r="A953" s="149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</row>
    <row r="954" spans="1:17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</row>
    <row r="955" spans="1:17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</row>
    <row r="956" spans="1:17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</row>
    <row r="957" spans="1:17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</row>
    <row r="959" spans="1:17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</row>
    <row r="960" spans="1:17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</row>
    <row r="961" spans="1:17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</row>
    <row r="962" spans="1:17">
      <c r="A962" s="149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</row>
    <row r="963" spans="1:17">
      <c r="A963" s="149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</row>
    <row r="964" spans="1:17">
      <c r="A964" s="149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</row>
    <row r="965" spans="1:17">
      <c r="A965" s="1153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</row>
    <row r="966" spans="1:17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</row>
    <row r="967" spans="1:17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</row>
    <row r="968" spans="1:17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</row>
    <row r="969" spans="1:17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</row>
    <row r="970" spans="1:17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</row>
    <row r="971" spans="1:17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</row>
    <row r="972" spans="1:17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</row>
    <row r="973" spans="1:17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</row>
    <row r="974" spans="1:17">
      <c r="A974" s="149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</row>
    <row r="975" spans="1:17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</row>
    <row r="976" spans="1:17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</row>
    <row r="977" spans="1:17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</row>
    <row r="978" spans="1:17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</row>
    <row r="979" spans="1:17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</row>
    <row r="980" spans="1:17">
      <c r="A980" s="149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</row>
    <row r="981" spans="1:17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</row>
    <row r="982" spans="1:17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</row>
    <row r="983" spans="1:17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</row>
    <row r="984" spans="1:17">
      <c r="A984" s="149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</row>
    <row r="985" spans="1:17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</row>
    <row r="986" spans="1:17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</row>
    <row r="987" spans="1:17">
      <c r="A987" s="149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</row>
    <row r="988" spans="1:17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</row>
    <row r="989" spans="1:17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</row>
    <row r="990" spans="1:17">
      <c r="A990" s="149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</row>
    <row r="991" spans="1:17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</row>
    <row r="992" spans="1:17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</row>
    <row r="993" spans="1:17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</row>
    <row r="994" spans="1:17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</row>
    <row r="995" spans="1:17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</row>
    <row r="996" spans="1:17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</row>
    <row r="997" spans="1:17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</row>
    <row r="998" spans="1:17">
      <c r="A998" s="149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</row>
    <row r="999" spans="1:17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</row>
    <row r="1000" spans="1:17">
      <c r="A1000" s="149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</row>
    <row r="1001" spans="1:17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</row>
    <row r="1002" spans="1:17">
      <c r="A1002" s="149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</row>
    <row r="1003" spans="1:17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</row>
    <row r="1004" spans="1:17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</row>
    <row r="1005" spans="1:17">
      <c r="A1005" s="149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</row>
    <row r="1006" spans="1:17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</row>
    <row r="1007" spans="1:17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</row>
    <row r="1008" spans="1:17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</row>
    <row r="1009" spans="1:17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</row>
    <row r="1010" spans="1:17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</row>
    <row r="1011" spans="1:17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</row>
    <row r="1012" spans="1:17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</row>
    <row r="1013" spans="1:17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</row>
    <row r="1014" spans="1:17">
      <c r="A1014" s="149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</row>
    <row r="1015" spans="1:17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</row>
    <row r="1016" spans="1:17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</row>
    <row r="1017" spans="1:17">
      <c r="A1017" s="149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</row>
    <row r="1018" spans="1:17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</row>
    <row r="1019" spans="1:17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</row>
    <row r="1020" spans="1:17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</row>
    <row r="1021" spans="1:17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</row>
    <row r="1022" spans="1:17">
      <c r="A1022" s="149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</row>
    <row r="1023" spans="1:17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</row>
    <row r="1024" spans="1:17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</row>
    <row r="1025" spans="1:17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</row>
    <row r="1026" spans="1:17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</row>
    <row r="1027" spans="1:17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</row>
    <row r="1028" spans="1:17">
      <c r="A1028" s="149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</row>
    <row r="1029" spans="1:17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</row>
    <row r="1030" spans="1:17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</row>
    <row r="1031" spans="1:17">
      <c r="A1031" s="149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</row>
    <row r="1032" spans="1:17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</row>
    <row r="1033" spans="1:17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</row>
    <row r="1034" spans="1:17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</row>
    <row r="1035" spans="1:17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</row>
    <row r="1036" spans="1:17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</row>
    <row r="1037" spans="1:17">
      <c r="A1037" s="149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</row>
    <row r="1038" spans="1:17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</row>
    <row r="1039" spans="1:17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</row>
    <row r="1040" spans="1:17">
      <c r="A1040" s="149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</row>
    <row r="1041" spans="1:17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</row>
    <row r="1042" spans="1:17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</row>
    <row r="1043" spans="1:17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</row>
    <row r="1044" spans="1:17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</row>
    <row r="1045" spans="1:17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</row>
    <row r="1046" spans="1:17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</row>
    <row r="1047" spans="1:17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</row>
    <row r="1048" spans="1:17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</row>
    <row r="1049" spans="1:17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</row>
    <row r="1050" spans="1:17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</row>
    <row r="1051" spans="1:17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</row>
    <row r="1052" spans="1:17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</row>
    <row r="1053" spans="1:17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</row>
    <row r="1054" spans="1:17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</row>
    <row r="1055" spans="1:17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</row>
    <row r="1056" spans="1:17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</row>
    <row r="1057" spans="1:17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</row>
    <row r="1058" spans="1:17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</row>
    <row r="1059" spans="1:17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</row>
    <row r="1060" spans="1:17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</row>
    <row r="1061" spans="1:17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</row>
    <row r="1062" spans="1:17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</row>
    <row r="1063" spans="1:17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</row>
    <row r="1064" spans="1:17">
      <c r="A1064" s="149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</row>
    <row r="1065" spans="1:17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</row>
    <row r="1066" spans="1:17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</row>
    <row r="1067" spans="1:17">
      <c r="A1067" s="149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</row>
    <row r="1068" spans="1:17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</row>
    <row r="1069" spans="1:17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</row>
    <row r="1070" spans="1:17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</row>
    <row r="1071" spans="1:17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</row>
    <row r="1072" spans="1:17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</row>
    <row r="1073" spans="1:17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</row>
    <row r="1074" spans="1:17">
      <c r="A1074" s="149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</row>
    <row r="1075" spans="1:17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</row>
    <row r="1076" spans="1:17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</row>
    <row r="1077" spans="1:17">
      <c r="A1077" s="149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</row>
    <row r="1078" spans="1:17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</row>
    <row r="1079" spans="1:17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</row>
    <row r="1080" spans="1:17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</row>
    <row r="1081" spans="1:17">
      <c r="A1081" s="149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</row>
    <row r="1082" spans="1:17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</row>
    <row r="1083" spans="1:17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</row>
    <row r="1084" spans="1:17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</row>
    <row r="1085" spans="1:17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</row>
    <row r="1086" spans="1:17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</row>
    <row r="1087" spans="1:17">
      <c r="A1087" s="149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</row>
    <row r="1088" spans="1:17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</row>
    <row r="1089" spans="1:17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</row>
    <row r="1090" spans="1:17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</row>
    <row r="1091" spans="1:17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</row>
    <row r="1092" spans="1:17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</row>
    <row r="1093" spans="1:17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</row>
    <row r="1094" spans="1:17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</row>
    <row r="1095" spans="1:17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</row>
    <row r="1096" spans="1:17">
      <c r="A1096" s="149"/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</row>
    <row r="1097" spans="1:17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</row>
    <row r="1098" spans="1:17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</row>
    <row r="1099" spans="1:17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</row>
    <row r="1100" spans="1:17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</row>
    <row r="1101" spans="1:17">
      <c r="A1101" s="149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</row>
    <row r="1102" spans="1:17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</row>
    <row r="1103" spans="1:17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</row>
    <row r="1104" spans="1:17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</row>
    <row r="1105" spans="1:17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</row>
    <row r="1106" spans="1:17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</row>
    <row r="1107" spans="1:17">
      <c r="A1107" s="149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</row>
    <row r="1108" spans="1:17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</row>
    <row r="1109" spans="1:17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</row>
    <row r="1110" spans="1:17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</row>
    <row r="1111" spans="1:17">
      <c r="A1111" s="3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</row>
    <row r="1112" spans="1:17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</row>
    <row r="1113" spans="1:17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</row>
    <row r="1114" spans="1:17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</row>
    <row r="1115" spans="1:17">
      <c r="A1115" s="149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</row>
    <row r="1116" spans="1:17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</row>
    <row r="1117" spans="1:17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</row>
    <row r="1118" spans="1:17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</row>
    <row r="1119" spans="1:17">
      <c r="A1119" s="149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</row>
    <row r="1120" spans="1:17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</row>
    <row r="1121" spans="1:17">
      <c r="A1121" s="18"/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</row>
    <row r="1122" spans="1:17">
      <c r="A1122" s="149"/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</row>
    <row r="1123" spans="1:17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</row>
    <row r="1124" spans="1:17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</row>
    <row r="1125" spans="1:17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</row>
    <row r="1126" spans="1:17">
      <c r="A1126" s="149"/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</row>
    <row r="1127" spans="1:17">
      <c r="A1127" s="38"/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</row>
    <row r="1128" spans="1:17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</row>
    <row r="1129" spans="1:17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</row>
    <row r="1130" spans="1:17">
      <c r="A1130" s="149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</row>
    <row r="1131" spans="1:17">
      <c r="A1131" s="18"/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</row>
    <row r="1132" spans="1:17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</row>
    <row r="1133" spans="1:17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</row>
    <row r="1134" spans="1:17">
      <c r="A1134" s="149"/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</row>
    <row r="1135" spans="1:17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</row>
    <row r="1136" spans="1:17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</row>
    <row r="1137" spans="1:17">
      <c r="A1137" s="149"/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</row>
    <row r="1138" spans="1:17">
      <c r="A1138" s="38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</row>
    <row r="1139" spans="1:17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</row>
    <row r="1140" spans="1:17">
      <c r="A1140" s="149"/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</row>
    <row r="1141" spans="1:17">
      <c r="A1141" s="18"/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</row>
    <row r="1142" spans="1:17">
      <c r="A1142" s="18"/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</row>
    <row r="1143" spans="1:17">
      <c r="A1143" s="149"/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</row>
    <row r="1144" spans="1:17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</row>
    <row r="1145" spans="1:17">
      <c r="A1145" s="18"/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</row>
    <row r="1146" spans="1:17">
      <c r="A1146" s="18"/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</row>
    <row r="1147" spans="1:17">
      <c r="A1147" s="18"/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</row>
    <row r="1148" spans="1:17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</row>
    <row r="1149" spans="1:17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</row>
    <row r="1150" spans="1:17">
      <c r="A1150" s="149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</row>
    <row r="1151" spans="1:17">
      <c r="A1151" s="18"/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</row>
    <row r="1152" spans="1:17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</row>
    <row r="1153" spans="1:17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</row>
    <row r="1154" spans="1:17">
      <c r="A1154" s="149"/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</row>
    <row r="1155" spans="1:17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</row>
    <row r="1156" spans="1:17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</row>
    <row r="1157" spans="1:17">
      <c r="A1157" s="149"/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</row>
    <row r="1158" spans="1:17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</row>
    <row r="1159" spans="1:17">
      <c r="A1159" s="18"/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</row>
    <row r="1160" spans="1:17">
      <c r="A1160" s="18"/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</row>
    <row r="1161" spans="1:17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</row>
    <row r="1162" spans="1:17">
      <c r="A1162" s="18"/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</row>
    <row r="1163" spans="1:17">
      <c r="A1163" s="18"/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</row>
    <row r="1164" spans="1:17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</row>
    <row r="1165" spans="1:17">
      <c r="A1165" s="149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</row>
    <row r="1166" spans="1:17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</row>
    <row r="1167" spans="1:17">
      <c r="A1167" s="18"/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</row>
    <row r="1168" spans="1:17">
      <c r="A1168" s="18"/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</row>
    <row r="1169" spans="1:17">
      <c r="A1169" s="18"/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</row>
    <row r="1170" spans="1:17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</row>
    <row r="1171" spans="1:17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</row>
    <row r="1172" spans="1:17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</row>
    <row r="1173" spans="1:17">
      <c r="A1173" s="18"/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</row>
    <row r="1174" spans="1:17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</row>
    <row r="1175" spans="1:17">
      <c r="A1175" s="149"/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</row>
    <row r="1176" spans="1:17">
      <c r="A1176" s="38"/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</row>
    <row r="1177" spans="1:17">
      <c r="A1177" s="38"/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</row>
    <row r="1178" spans="1:17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</row>
    <row r="1179" spans="1:17">
      <c r="A1179" s="38"/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</row>
    <row r="1180" spans="1:17">
      <c r="A1180" s="38"/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</row>
    <row r="1181" spans="1:17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</row>
    <row r="1182" spans="1:17">
      <c r="A1182" s="38"/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</row>
    <row r="1183" spans="1:17">
      <c r="A1183" s="18"/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</row>
    <row r="1184" spans="1:17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</row>
    <row r="1185" spans="1:17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</row>
    <row r="1186" spans="1:17">
      <c r="A1186" s="149"/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</row>
    <row r="1187" spans="1:17">
      <c r="A1187" s="80"/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</row>
    <row r="1188" spans="1:17">
      <c r="A1188" s="18"/>
      <c r="B1188" s="18"/>
      <c r="C1188" s="18"/>
      <c r="D1188" s="18"/>
      <c r="E1188" s="18"/>
      <c r="F1188" s="38"/>
      <c r="G1188" s="38"/>
      <c r="H1188" s="38"/>
      <c r="I1188" s="18"/>
      <c r="J1188" s="18"/>
      <c r="K1188" s="18"/>
      <c r="L1188" s="18"/>
      <c r="M1188" s="18"/>
      <c r="N1188" s="18"/>
      <c r="O1188" s="18"/>
      <c r="P1188" s="18"/>
      <c r="Q1188" s="18"/>
    </row>
    <row r="1189" spans="1:17">
      <c r="A1189" s="18"/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</row>
    <row r="1190" spans="1:17">
      <c r="A1190" s="18"/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</row>
    <row r="1191" spans="1:17">
      <c r="A1191" s="149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</row>
    <row r="1192" spans="1:17">
      <c r="A1192" s="18"/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</row>
    <row r="1193" spans="1:17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</row>
    <row r="1194" spans="1:17">
      <c r="A1194" s="149"/>
      <c r="B1194" s="18"/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</row>
    <row r="1195" spans="1:17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</row>
    <row r="1196" spans="1:17">
      <c r="A1196" s="3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</row>
    <row r="1197" spans="1:17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</row>
    <row r="1198" spans="1:17">
      <c r="A1198" s="149"/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</row>
    <row r="1199" spans="1:17">
      <c r="A1199" s="18"/>
      <c r="B1199" s="18"/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</row>
    <row r="1200" spans="1:17">
      <c r="A1200" s="38"/>
      <c r="B1200" s="18"/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</row>
    <row r="1201" spans="1:17">
      <c r="A1201" s="18"/>
      <c r="B1201" s="18"/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</row>
    <row r="1202" spans="1:17">
      <c r="A1202" s="18"/>
      <c r="B1202" s="18"/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</row>
    <row r="1203" spans="1:17">
      <c r="A1203" s="18"/>
      <c r="B1203" s="18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</row>
    <row r="1204" spans="1:17">
      <c r="A1204" s="18"/>
      <c r="B1204" s="18"/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</row>
    <row r="1205" spans="1:17">
      <c r="A1205" s="149"/>
      <c r="B1205" s="18"/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</row>
    <row r="1206" spans="1:17">
      <c r="A1206" s="18"/>
      <c r="B1206" s="18"/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</row>
    <row r="1207" spans="1:17">
      <c r="A1207" s="18"/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</row>
    <row r="1208" spans="1:17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</row>
    <row r="1209" spans="1:17">
      <c r="A1209" s="18"/>
      <c r="B1209" s="18"/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</row>
    <row r="1210" spans="1:17">
      <c r="A1210" s="18"/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</row>
    <row r="1211" spans="1:17">
      <c r="A1211" s="18"/>
      <c r="B1211" s="18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</row>
    <row r="1212" spans="1:17">
      <c r="A1212" s="24"/>
      <c r="B1212" s="18"/>
      <c r="C1212" s="18"/>
      <c r="D1212" s="18"/>
      <c r="E1212" s="18"/>
      <c r="F1212" s="18"/>
      <c r="G1212" s="1144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</row>
    <row r="1213" spans="1:17">
      <c r="A1213" s="80"/>
      <c r="B1213" s="18"/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</row>
    <row r="1214" spans="1:17">
      <c r="A1214" s="149"/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</row>
    <row r="1215" spans="1:17">
      <c r="A1215" s="18"/>
      <c r="B1215" s="18"/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</row>
    <row r="1216" spans="1:17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</row>
    <row r="1217" spans="1:17">
      <c r="A1217" s="149"/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</row>
    <row r="1218" spans="1:17">
      <c r="A1218" s="18"/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</row>
    <row r="1219" spans="1:17">
      <c r="A1219" s="149"/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</row>
    <row r="1220" spans="1:17">
      <c r="A1220" s="18"/>
      <c r="B1220" s="18"/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</row>
    <row r="1221" spans="1:17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</row>
    <row r="1222" spans="1:17">
      <c r="A1222" s="149"/>
      <c r="B1222" s="18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</row>
    <row r="1223" spans="1:17">
      <c r="A1223" s="18"/>
      <c r="B1223" s="18"/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</row>
    <row r="1224" spans="1:17">
      <c r="A1224" s="18"/>
      <c r="B1224" s="18"/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</row>
    <row r="1225" spans="1:17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</row>
    <row r="1226" spans="1:17">
      <c r="A1226" s="149"/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</row>
    <row r="1227" spans="1:17">
      <c r="A1227" s="18"/>
      <c r="B1227" s="18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</row>
    <row r="1228" spans="1:17">
      <c r="A1228" s="18"/>
      <c r="B1228" s="18"/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</row>
    <row r="1229" spans="1:17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</row>
    <row r="1230" spans="1:17">
      <c r="A1230" s="18"/>
      <c r="B1230" s="18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</row>
    <row r="1231" spans="1:17">
      <c r="A1231" s="18"/>
      <c r="B1231" s="18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</row>
    <row r="1232" spans="1:17">
      <c r="A1232" s="18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</row>
    <row r="1233" spans="1:17">
      <c r="A1233" s="149"/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</row>
    <row r="1234" spans="1:17">
      <c r="A1234" s="18"/>
      <c r="B1234" s="18"/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</row>
    <row r="1235" spans="1:17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</row>
    <row r="1236" spans="1:17">
      <c r="A1236" s="149"/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</row>
    <row r="1237" spans="1:17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</row>
    <row r="1238" spans="1:17">
      <c r="A1238" s="18"/>
      <c r="B1238" s="18"/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</row>
    <row r="1239" spans="1:17">
      <c r="A1239" s="149"/>
      <c r="B1239" s="18"/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</row>
    <row r="1240" spans="1:17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</row>
    <row r="1241" spans="1:17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</row>
    <row r="1242" spans="1:17">
      <c r="A1242" s="18"/>
      <c r="B1242" s="18"/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</row>
    <row r="1243" spans="1:17">
      <c r="A1243" s="18"/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</row>
    <row r="1244" spans="1:17">
      <c r="A1244" s="149"/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</row>
    <row r="1245" spans="1:17">
      <c r="A1245" s="18"/>
      <c r="B1245" s="18"/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</row>
    <row r="1246" spans="1:17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</row>
    <row r="1247" spans="1:17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</row>
    <row r="1248" spans="1:17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</row>
    <row r="1249" spans="1:17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</row>
    <row r="1250" spans="1:17">
      <c r="A1250" s="149"/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</row>
    <row r="1251" spans="1:17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</row>
    <row r="1252" spans="1:17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</row>
    <row r="1253" spans="1:17">
      <c r="A1253" s="149"/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</row>
    <row r="1254" spans="1:17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</row>
    <row r="1255" spans="1:17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</row>
    <row r="1256" spans="1:17">
      <c r="A1256" s="149"/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</row>
    <row r="1257" spans="1:17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</row>
    <row r="1258" spans="1:17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</row>
    <row r="1259" spans="1:17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</row>
    <row r="1260" spans="1:17">
      <c r="A1260" s="18"/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</row>
    <row r="1261" spans="1:17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</row>
    <row r="1262" spans="1:17">
      <c r="A1262" s="149"/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</row>
    <row r="1263" spans="1:17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</row>
    <row r="1264" spans="1:17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</row>
    <row r="1265" spans="1:17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</row>
    <row r="1266" spans="1:17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</row>
    <row r="1267" spans="1:17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</row>
    <row r="1268" spans="1:17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</row>
    <row r="1269" spans="1:17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</row>
    <row r="1270" spans="1:17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</row>
    <row r="1271" spans="1:17">
      <c r="A1271" s="1154"/>
      <c r="B1271" s="18"/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</row>
    <row r="1272" spans="1:17">
      <c r="A1272" s="1154"/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</row>
    <row r="1273" spans="1:17">
      <c r="A1273" s="1154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</row>
    <row r="1274" spans="1:17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</row>
    <row r="1275" spans="1:17">
      <c r="A1275" s="149"/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</row>
    <row r="1276" spans="1:17">
      <c r="A1276" s="18"/>
      <c r="B1276" s="18"/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</row>
    <row r="1277" spans="1:17">
      <c r="A1277" s="38"/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</row>
    <row r="1278" spans="1:17">
      <c r="A1278" s="18"/>
      <c r="B1278" s="18"/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</row>
    <row r="1279" spans="1:17">
      <c r="A1279" s="18"/>
      <c r="B1279" s="18"/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</row>
    <row r="1280" spans="1:17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</row>
    <row r="1281" spans="1:17">
      <c r="A1281" s="18"/>
      <c r="B1281" s="18"/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</row>
    <row r="1282" spans="1:17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</row>
    <row r="1283" spans="1:17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</row>
    <row r="1284" spans="1:17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</row>
    <row r="1285" spans="1:17">
      <c r="A1285" s="18"/>
      <c r="B1285" s="18"/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</row>
    <row r="1286" spans="1:17">
      <c r="A1286" s="18"/>
      <c r="B1286" s="18"/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</row>
    <row r="1287" spans="1:17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</row>
    <row r="1288" spans="1:17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</row>
    <row r="1289" spans="1:17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</row>
    <row r="1290" spans="1:17">
      <c r="A1290" s="149"/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</row>
    <row r="1291" spans="1:17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</row>
    <row r="1292" spans="1:17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</row>
    <row r="1293" spans="1:17">
      <c r="A1293" s="18"/>
      <c r="B1293" s="18"/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</row>
    <row r="1294" spans="1:17">
      <c r="A1294" s="18"/>
      <c r="B1294" s="18"/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</row>
    <row r="1295" spans="1:17">
      <c r="A1295" s="18"/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</row>
    <row r="1296" spans="1:17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</row>
    <row r="1297" spans="1:17">
      <c r="A1297" s="18"/>
      <c r="B1297" s="18"/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</row>
    <row r="1298" spans="1:17">
      <c r="A1298" s="149"/>
      <c r="B1298" s="18"/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</row>
    <row r="1299" spans="1:17">
      <c r="A1299" s="18"/>
      <c r="B1299" s="18"/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</row>
    <row r="1300" spans="1:17">
      <c r="A1300" s="18"/>
      <c r="B1300" s="18"/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</row>
    <row r="1301" spans="1:17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</row>
    <row r="1302" spans="1:17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</row>
    <row r="1303" spans="1:17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</row>
    <row r="1304" spans="1:17">
      <c r="A1304" s="18"/>
      <c r="B1304" s="18"/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</row>
    <row r="1305" spans="1:17">
      <c r="A1305" s="18"/>
      <c r="B1305" s="18"/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</row>
    <row r="1306" spans="1:17">
      <c r="A1306" s="18"/>
      <c r="B1306" s="18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</row>
    <row r="1307" spans="1:17">
      <c r="A1307" s="18"/>
      <c r="B1307" s="18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</row>
    <row r="1308" spans="1:17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</row>
    <row r="1309" spans="1:17">
      <c r="A1309" s="18"/>
      <c r="B1309" s="18"/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</row>
    <row r="1310" spans="1:17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</row>
    <row r="1311" spans="1:17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</row>
    <row r="1312" spans="1:17">
      <c r="A1312" s="149"/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</row>
    <row r="1313" spans="1:17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</row>
    <row r="1314" spans="1:17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</row>
    <row r="1315" spans="1:17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</row>
    <row r="1316" spans="1:17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</row>
    <row r="1317" spans="1:17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</row>
    <row r="1318" spans="1:17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</row>
    <row r="1319" spans="1:17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</row>
    <row r="1320" spans="1:17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</row>
    <row r="1321" spans="1:17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</row>
    <row r="1322" spans="1:17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</row>
    <row r="1323" spans="1:17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</row>
    <row r="1324" spans="1:17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</row>
    <row r="1325" spans="1:17">
      <c r="A1325" s="1151"/>
      <c r="B1325" s="18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</row>
    <row r="1326" spans="1:17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</row>
    <row r="1327" spans="1:17">
      <c r="A1327" s="269"/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</row>
    <row r="1328" spans="1:17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</row>
    <row r="1329" spans="1:17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</row>
    <row r="1330" spans="1:17">
      <c r="A1330" s="18"/>
      <c r="B1330" s="18"/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</row>
    <row r="1331" spans="1:17">
      <c r="A1331" s="38"/>
      <c r="B1331" s="18"/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</row>
    <row r="1332" spans="1:17">
      <c r="A1332" s="18"/>
      <c r="B1332" s="18"/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</row>
    <row r="1333" spans="1:17">
      <c r="A1333" s="18"/>
      <c r="B1333" s="18"/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</row>
    <row r="1334" spans="1:17">
      <c r="A1334" s="38"/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</row>
    <row r="1335" spans="1:17">
      <c r="A1335" s="38"/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</row>
    <row r="1336" spans="1:17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</row>
    <row r="1337" spans="1:17">
      <c r="A1337" s="1153"/>
      <c r="B1337" s="18"/>
      <c r="C1337" s="18"/>
      <c r="D1337" s="252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</row>
    <row r="1338" spans="1:17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</row>
    <row r="1339" spans="1:17">
      <c r="A1339" s="149"/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</row>
    <row r="1340" spans="1:17">
      <c r="A1340" s="38"/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</row>
    <row r="1341" spans="1:17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</row>
    <row r="1342" spans="1:17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</row>
    <row r="1343" spans="1:17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</row>
    <row r="1344" spans="1:17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</row>
    <row r="1345" spans="1:17">
      <c r="A1345" s="18"/>
      <c r="B1345" s="25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</row>
    <row r="1346" spans="1:17">
      <c r="A1346" s="18"/>
      <c r="B1346" s="25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</row>
    <row r="1347" spans="1:17">
      <c r="A1347" s="18"/>
      <c r="B1347" s="25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</row>
    <row r="1348" spans="1:17">
      <c r="A1348" s="18"/>
      <c r="B1348" s="25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</row>
    <row r="1349" spans="1:17">
      <c r="A1349" s="18"/>
      <c r="B1349" s="25"/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</row>
    <row r="1350" spans="1:17">
      <c r="A1350" s="18"/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</row>
    <row r="1351" spans="1:17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</row>
    <row r="1352" spans="1:17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</row>
    <row r="1353" spans="1:17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</row>
    <row r="1354" spans="1:17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</row>
    <row r="1355" spans="1:17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</row>
    <row r="1356" spans="1:17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</row>
    <row r="1357" spans="1:17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</row>
    <row r="1358" spans="1:17">
      <c r="A1358" s="18"/>
      <c r="B1358" s="18"/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</row>
    <row r="1359" spans="1:17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</row>
    <row r="1360" spans="1:17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</row>
    <row r="1361" spans="1:17">
      <c r="A1361" s="18"/>
      <c r="B1361" s="18"/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</row>
    <row r="1362" spans="1:17">
      <c r="A1362" s="18"/>
      <c r="B1362" s="18"/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</row>
    <row r="1363" spans="1:17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</row>
    <row r="1364" spans="1:17">
      <c r="A1364" s="149"/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</row>
    <row r="1365" spans="1:17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</row>
    <row r="1366" spans="1:17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</row>
    <row r="1367" spans="1:17">
      <c r="A1367" s="18"/>
      <c r="B1367" s="252"/>
      <c r="C1367" s="252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</row>
    <row r="1368" spans="1:17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</row>
    <row r="1369" spans="1:17">
      <c r="A1369" s="149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</row>
    <row r="1370" spans="1:17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</row>
    <row r="1371" spans="1:17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</row>
    <row r="1372" spans="1:17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</row>
    <row r="1373" spans="1:17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</row>
    <row r="1374" spans="1:17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</row>
    <row r="1375" spans="1:17">
      <c r="A1375" s="18"/>
      <c r="B1375" s="18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</row>
    <row r="1376" spans="1:17">
      <c r="A1376" s="18"/>
      <c r="B1376" s="18"/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</row>
    <row r="1377" spans="1:17">
      <c r="A1377" s="366"/>
      <c r="B1377" s="18"/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</row>
    <row r="1378" spans="1:17">
      <c r="A1378" s="18"/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</row>
    <row r="1379" spans="1:17">
      <c r="A1379" s="366"/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</row>
    <row r="1380" spans="1:17">
      <c r="A1380" s="3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</row>
    <row r="1381" spans="1:17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</row>
    <row r="1382" spans="1:17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</row>
    <row r="1383" spans="1:17">
      <c r="A1383" s="149"/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</row>
    <row r="1384" spans="1:17">
      <c r="A1384" s="18"/>
      <c r="B1384" s="18"/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</row>
    <row r="1385" spans="1:17">
      <c r="A1385" s="18"/>
      <c r="B1385" s="18"/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</row>
    <row r="1386" spans="1:17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</row>
    <row r="1387" spans="1:17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</row>
    <row r="1388" spans="1:17">
      <c r="A1388" s="366"/>
      <c r="B1388" s="18"/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</row>
    <row r="1389" spans="1:17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</row>
    <row r="1390" spans="1:17">
      <c r="A1390" s="366"/>
      <c r="B1390" s="18"/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</row>
    <row r="1391" spans="1:17">
      <c r="A1391" s="38"/>
      <c r="B1391" s="18"/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</row>
    <row r="1392" spans="1:17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</row>
    <row r="1393" spans="1:17">
      <c r="A1393" s="149"/>
      <c r="B1393" s="18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</row>
    <row r="1394" spans="1:17">
      <c r="A1394" s="18"/>
      <c r="B1394" s="18"/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</row>
    <row r="1395" spans="1:17">
      <c r="A1395" s="18"/>
      <c r="B1395" s="18"/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</row>
    <row r="1396" spans="1:17">
      <c r="A1396" s="149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</row>
    <row r="1397" spans="1:17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</row>
    <row r="1398" spans="1:17">
      <c r="A1398" s="18"/>
      <c r="B1398" s="18"/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</row>
    <row r="1399" spans="1:17">
      <c r="A1399" s="18"/>
      <c r="B1399" s="18"/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</row>
    <row r="1400" spans="1:17">
      <c r="A1400" s="149"/>
      <c r="B1400" s="18"/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</row>
    <row r="1401" spans="1:17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</row>
    <row r="1402" spans="1:17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</row>
    <row r="1403" spans="1:17">
      <c r="A1403" s="18"/>
      <c r="B1403" s="18"/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</row>
    <row r="1404" spans="1:17">
      <c r="A1404" s="18"/>
      <c r="B1404" s="18"/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</row>
    <row r="1405" spans="1:17">
      <c r="A1405" s="149"/>
      <c r="B1405" s="18"/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</row>
    <row r="1406" spans="1:17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</row>
    <row r="1407" spans="1:17">
      <c r="A1407" s="18"/>
      <c r="B1407" s="18"/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</row>
    <row r="1408" spans="1:17">
      <c r="A1408" s="18"/>
      <c r="B1408" s="18"/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</row>
    <row r="1409" spans="1:17">
      <c r="A1409" s="18"/>
      <c r="B1409" s="18"/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</row>
    <row r="1410" spans="1:17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</row>
    <row r="1411" spans="1:17">
      <c r="A1411" s="149"/>
      <c r="B1411" s="18"/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</row>
    <row r="1412" spans="1:17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</row>
    <row r="1413" spans="1:17">
      <c r="A1413" s="18"/>
      <c r="B1413" s="18"/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</row>
    <row r="1414" spans="1:17">
      <c r="A1414" s="18"/>
      <c r="B1414" s="18"/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</row>
    <row r="1415" spans="1:17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</row>
    <row r="1416" spans="1:17">
      <c r="A1416" s="18"/>
      <c r="B1416" s="18"/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</row>
    <row r="1417" spans="1:17">
      <c r="A1417" s="149"/>
      <c r="B1417" s="18"/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</row>
    <row r="1418" spans="1:17">
      <c r="A1418" s="18"/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</row>
    <row r="1419" spans="1:17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</row>
    <row r="1420" spans="1:17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</row>
    <row r="1421" spans="1:17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</row>
    <row r="1422" spans="1:17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</row>
    <row r="1423" spans="1:17">
      <c r="A1423" s="18"/>
      <c r="B1423" s="18"/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</row>
    <row r="1424" spans="1:17">
      <c r="A1424" s="18"/>
      <c r="B1424" s="18"/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</row>
    <row r="1425" spans="1:17">
      <c r="A1425" s="18"/>
      <c r="B1425" s="18"/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</row>
    <row r="1426" spans="1:17">
      <c r="A1426" s="18"/>
      <c r="B1426" s="18"/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</row>
    <row r="1427" spans="1:17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</row>
    <row r="1428" spans="1:17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</row>
    <row r="1429" spans="1:17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</row>
    <row r="1430" spans="1:17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</row>
    <row r="1431" spans="1:17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</row>
    <row r="1432" spans="1:17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</row>
    <row r="1433" spans="1:17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</row>
    <row r="1434" spans="1:17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</row>
    <row r="1435" spans="1:17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</row>
    <row r="1436" spans="1:17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</row>
    <row r="1437" spans="1:17">
      <c r="A1437" s="149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</row>
    <row r="1438" spans="1:17">
      <c r="A1438" s="18"/>
      <c r="B1438" s="18"/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</row>
    <row r="1439" spans="1:17">
      <c r="A1439" s="18"/>
      <c r="B1439" s="18"/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</row>
    <row r="1440" spans="1:17">
      <c r="A1440" s="18"/>
      <c r="B1440" s="18"/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</row>
    <row r="1441" spans="1:17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</row>
    <row r="1442" spans="1:17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</row>
    <row r="1443" spans="1:17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</row>
    <row r="1444" spans="1:17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</row>
    <row r="1445" spans="1:17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</row>
    <row r="1446" spans="1:17">
      <c r="A1446" s="38"/>
      <c r="B1446" s="18"/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</row>
    <row r="1447" spans="1:17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</row>
    <row r="1448" spans="1:17">
      <c r="A1448" s="39"/>
      <c r="B1448" s="18"/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</row>
    <row r="1449" spans="1:17">
      <c r="A1449" s="38"/>
      <c r="B1449" s="18"/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8"/>
    </row>
    <row r="1450" spans="1:17">
      <c r="A1450" s="18"/>
      <c r="B1450" s="18"/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8"/>
    </row>
    <row r="1451" spans="1:17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</row>
    <row r="1452" spans="1:17">
      <c r="A1452" s="149"/>
      <c r="B1452" s="18"/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</row>
    <row r="1453" spans="1:17">
      <c r="A1453" s="80"/>
      <c r="B1453" s="18"/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8"/>
    </row>
    <row r="1454" spans="1:17">
      <c r="A1454" s="80"/>
      <c r="B1454" s="18"/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</row>
    <row r="1455" spans="1:17">
      <c r="A1455" s="18"/>
      <c r="B1455" s="18"/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</row>
    <row r="1456" spans="1:17">
      <c r="A1456" s="18"/>
      <c r="B1456" s="18"/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</row>
    <row r="1457" spans="1:17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</row>
    <row r="1458" spans="1:17">
      <c r="A1458" s="149"/>
      <c r="B1458" s="18"/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</row>
    <row r="1459" spans="1:17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</row>
    <row r="1460" spans="1:17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</row>
    <row r="1461" spans="1:17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8"/>
    </row>
    <row r="1462" spans="1:17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8"/>
    </row>
    <row r="1463" spans="1:17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</row>
    <row r="1464" spans="1:17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</row>
    <row r="1465" spans="1:17">
      <c r="A1465" s="18"/>
      <c r="B1465" s="18"/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  <c r="P1465" s="18"/>
      <c r="Q1465" s="18"/>
    </row>
    <row r="1466" spans="1:17">
      <c r="A1466" s="18"/>
      <c r="B1466" s="18"/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  <c r="P1466" s="18"/>
      <c r="Q1466" s="18"/>
    </row>
    <row r="1467" spans="1:17">
      <c r="A1467" s="149"/>
      <c r="B1467" s="18"/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  <c r="P1467" s="18"/>
      <c r="Q1467" s="18"/>
    </row>
    <row r="1468" spans="1:17">
      <c r="A1468" s="18"/>
      <c r="B1468" s="18"/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  <c r="P1468" s="18"/>
      <c r="Q1468" s="18"/>
    </row>
    <row r="1469" spans="1:17">
      <c r="A1469" s="18"/>
      <c r="B1469" s="18"/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</row>
    <row r="1470" spans="1:17">
      <c r="A1470" s="18"/>
      <c r="B1470" s="18"/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  <c r="Q1470" s="18"/>
    </row>
    <row r="1471" spans="1:17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8"/>
    </row>
    <row r="1472" spans="1:17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</row>
    <row r="1473" spans="1:17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</row>
    <row r="1474" spans="1:17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  <c r="P1474" s="18"/>
      <c r="Q1474" s="18"/>
    </row>
    <row r="1475" spans="1:17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8"/>
    </row>
    <row r="1476" spans="1:17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</row>
    <row r="1477" spans="1:17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</row>
    <row r="1478" spans="1:17">
      <c r="A1478" s="18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</row>
    <row r="1479" spans="1:17">
      <c r="A1479" s="18"/>
      <c r="B1479" s="18"/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8"/>
    </row>
    <row r="1480" spans="1:17">
      <c r="A1480" s="18"/>
      <c r="B1480" s="18"/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</row>
    <row r="1481" spans="1:17">
      <c r="A1481" s="149"/>
      <c r="B1481" s="18"/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</row>
    <row r="1482" spans="1:17">
      <c r="A1482" s="18"/>
      <c r="B1482" s="18"/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8"/>
    </row>
    <row r="1483" spans="1:17">
      <c r="A1483" s="18"/>
      <c r="B1483" s="18"/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  <c r="P1483" s="18"/>
      <c r="Q1483" s="18"/>
    </row>
    <row r="1484" spans="1:17">
      <c r="A1484" s="18"/>
      <c r="B1484" s="18"/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</row>
    <row r="1485" spans="1:17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8"/>
    </row>
    <row r="1486" spans="1:17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</row>
    <row r="1487" spans="1:17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</row>
    <row r="1488" spans="1:17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</row>
    <row r="1489" spans="1:17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  <c r="P1489" s="18"/>
      <c r="Q1489" s="18"/>
    </row>
    <row r="1490" spans="1:17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</row>
    <row r="1491" spans="1:17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8"/>
    </row>
    <row r="1492" spans="1:17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8"/>
    </row>
    <row r="1493" spans="1:17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8"/>
    </row>
    <row r="1494" spans="1:17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</row>
    <row r="1495" spans="1:17">
      <c r="A1495" s="18"/>
      <c r="B1495" s="18"/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8"/>
    </row>
    <row r="1496" spans="1:17">
      <c r="A1496" s="18"/>
      <c r="B1496" s="18"/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</row>
    <row r="1497" spans="1:17">
      <c r="A1497" s="149"/>
      <c r="B1497" s="18"/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8"/>
    </row>
    <row r="1498" spans="1:17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8"/>
    </row>
    <row r="1499" spans="1:17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8"/>
    </row>
    <row r="1500" spans="1:17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</row>
    <row r="1501" spans="1:17">
      <c r="A1501" s="18"/>
      <c r="B1501" s="18"/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</row>
    <row r="1502" spans="1:17">
      <c r="A1502" s="149"/>
      <c r="B1502" s="18"/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</row>
    <row r="1503" spans="1:17">
      <c r="A1503" s="18"/>
      <c r="B1503" s="18"/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</row>
    <row r="1504" spans="1:17">
      <c r="A1504" s="38"/>
      <c r="B1504" s="18"/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</row>
    <row r="1505" spans="1:17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8"/>
    </row>
    <row r="1506" spans="1:17">
      <c r="A1506" s="149"/>
      <c r="B1506" s="18"/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  <c r="Q1506" s="18"/>
    </row>
    <row r="1507" spans="1:17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</row>
    <row r="1508" spans="1:17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</row>
    <row r="1509" spans="1:17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8"/>
    </row>
    <row r="1510" spans="1:17">
      <c r="A1510" s="18"/>
      <c r="B1510" s="18"/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8"/>
    </row>
    <row r="1511" spans="1:17">
      <c r="A1511" s="18"/>
      <c r="B1511" s="18"/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</row>
    <row r="1512" spans="1:17">
      <c r="A1512" s="149"/>
      <c r="B1512" s="18"/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</row>
    <row r="1513" spans="1:17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</row>
    <row r="1514" spans="1:17">
      <c r="A1514" s="18"/>
      <c r="B1514" s="18"/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8"/>
    </row>
    <row r="1515" spans="1:17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</row>
    <row r="1516" spans="1:17">
      <c r="A1516" s="18"/>
      <c r="B1516" s="18"/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</row>
    <row r="1517" spans="1:17">
      <c r="A1517" s="149"/>
      <c r="B1517" s="18"/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</row>
    <row r="1518" spans="1:17">
      <c r="A1518" s="18"/>
      <c r="B1518" s="18"/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</row>
    <row r="1519" spans="1:17">
      <c r="A1519" s="18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8"/>
    </row>
    <row r="1520" spans="1:17">
      <c r="A1520" s="18"/>
      <c r="B1520" s="18"/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  <c r="P1520" s="18"/>
      <c r="Q1520" s="18"/>
    </row>
    <row r="1521" spans="1:17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</row>
    <row r="1522" spans="1:17">
      <c r="A1522" s="18"/>
      <c r="B1522" s="18"/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8"/>
    </row>
    <row r="1523" spans="1:17">
      <c r="A1523" s="18"/>
      <c r="B1523" s="18"/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8"/>
    </row>
    <row r="1524" spans="1:17">
      <c r="A1524" s="18"/>
      <c r="B1524" s="18"/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</row>
    <row r="1525" spans="1:17">
      <c r="A1525" s="18"/>
      <c r="B1525" s="18"/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  <c r="P1525" s="18"/>
      <c r="Q1525" s="18"/>
    </row>
    <row r="1526" spans="1:17">
      <c r="A1526" s="149"/>
      <c r="B1526" s="18"/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8"/>
    </row>
    <row r="1527" spans="1:17">
      <c r="A1527" s="18"/>
      <c r="B1527" s="18"/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8"/>
    </row>
    <row r="1528" spans="1:17">
      <c r="A1528" s="18"/>
      <c r="B1528" s="18"/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8"/>
    </row>
    <row r="1529" spans="1:17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8"/>
    </row>
    <row r="1530" spans="1:17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8"/>
    </row>
    <row r="1531" spans="1:17">
      <c r="A1531" s="149"/>
      <c r="B1531" s="18"/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8"/>
    </row>
    <row r="1532" spans="1:17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8"/>
    </row>
    <row r="1533" spans="1:17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8"/>
    </row>
    <row r="1534" spans="1:17">
      <c r="A1534" s="18"/>
      <c r="B1534" s="18"/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</row>
    <row r="1535" spans="1:17">
      <c r="A1535" s="18"/>
      <c r="B1535" s="18"/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  <c r="P1535" s="18"/>
      <c r="Q1535" s="18"/>
    </row>
    <row r="1536" spans="1:17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8"/>
    </row>
    <row r="1537" spans="1:17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  <c r="P1537" s="18"/>
      <c r="Q1537" s="18"/>
    </row>
    <row r="1538" spans="1:17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</row>
    <row r="1539" spans="1:17">
      <c r="A1539" s="18"/>
      <c r="B1539" s="18"/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</row>
    <row r="1540" spans="1:17">
      <c r="A1540" s="149"/>
      <c r="B1540" s="18"/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8"/>
    </row>
    <row r="1541" spans="1:17">
      <c r="A1541" s="18"/>
      <c r="B1541" s="18"/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</row>
    <row r="1542" spans="1:17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</row>
    <row r="1543" spans="1:17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</row>
    <row r="1544" spans="1:17">
      <c r="A1544" s="18"/>
      <c r="B1544" s="18"/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8"/>
    </row>
    <row r="1545" spans="1:17">
      <c r="A1545" s="18"/>
      <c r="B1545" s="18"/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</row>
    <row r="1546" spans="1:17">
      <c r="A1546" s="18"/>
      <c r="B1546" s="18"/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</row>
    <row r="1547" spans="1:17">
      <c r="A1547" s="18"/>
      <c r="B1547" s="18"/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</row>
    <row r="1548" spans="1:17">
      <c r="A1548" s="149"/>
      <c r="B1548" s="18"/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8"/>
    </row>
    <row r="1549" spans="1:17">
      <c r="A1549" s="18"/>
      <c r="B1549" s="18"/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</row>
    <row r="1550" spans="1:17">
      <c r="A1550" s="18"/>
      <c r="B1550" s="18"/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8"/>
    </row>
    <row r="1551" spans="1:17">
      <c r="A1551" s="18"/>
      <c r="B1551" s="18"/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8"/>
    </row>
    <row r="1552" spans="1:17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</row>
    <row r="1553" spans="1:17">
      <c r="A1553" s="149"/>
      <c r="B1553" s="18"/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</row>
    <row r="1554" spans="1:17">
      <c r="A1554" s="18"/>
      <c r="B1554" s="18"/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8"/>
    </row>
    <row r="1555" spans="1:17">
      <c r="A1555" s="38"/>
      <c r="B1555" s="18"/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8"/>
    </row>
    <row r="1556" spans="1:17">
      <c r="A1556" s="38"/>
      <c r="B1556" s="18"/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</row>
    <row r="1557" spans="1:17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</row>
    <row r="1558" spans="1:17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8"/>
    </row>
    <row r="1559" spans="1:17">
      <c r="A1559" s="18"/>
      <c r="B1559" s="18"/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8"/>
    </row>
    <row r="1560" spans="1:17">
      <c r="A1560" s="18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</row>
    <row r="1561" spans="1:17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</row>
    <row r="1562" spans="1:17">
      <c r="A1562" s="149"/>
      <c r="B1562" s="18"/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</row>
    <row r="1563" spans="1:17">
      <c r="A1563" s="18"/>
      <c r="B1563" s="18"/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8"/>
    </row>
    <row r="1564" spans="1:17">
      <c r="A1564" s="18"/>
      <c r="B1564" s="18"/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</row>
    <row r="1565" spans="1:17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</row>
    <row r="1566" spans="1:17">
      <c r="A1566" s="18"/>
      <c r="B1566" s="18"/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</row>
    <row r="1567" spans="1:17">
      <c r="A1567" s="18"/>
      <c r="B1567" s="18"/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</row>
    <row r="1568" spans="1:17">
      <c r="A1568" s="38"/>
      <c r="B1568" s="18"/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</row>
    <row r="1569" spans="1:17">
      <c r="A1569" s="38"/>
      <c r="B1569" s="18"/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</row>
    <row r="1570" spans="1:17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</row>
    <row r="1571" spans="1:17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  <c r="Q1571" s="18"/>
    </row>
    <row r="1572" spans="1:17">
      <c r="A1572" s="18"/>
      <c r="B1572" s="18"/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</row>
    <row r="1573" spans="1:17">
      <c r="A1573" s="18"/>
      <c r="B1573" s="18"/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</row>
    <row r="1574" spans="1:17">
      <c r="A1574" s="18"/>
      <c r="B1574" s="18"/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8"/>
    </row>
    <row r="1575" spans="1:17">
      <c r="A1575" s="18"/>
      <c r="B1575" s="18"/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8"/>
    </row>
    <row r="1576" spans="1:17">
      <c r="A1576" s="18"/>
      <c r="B1576" s="18"/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</row>
    <row r="1577" spans="1:17">
      <c r="A1577" s="18"/>
      <c r="B1577" s="18"/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8"/>
    </row>
    <row r="1578" spans="1:17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8"/>
    </row>
    <row r="1579" spans="1:17">
      <c r="A1579" s="18"/>
      <c r="B1579" s="18"/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</row>
    <row r="1580" spans="1:17">
      <c r="A1580" s="18"/>
      <c r="B1580" s="18"/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</row>
    <row r="1581" spans="1:17">
      <c r="A1581" s="18"/>
      <c r="B1581" s="18"/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8"/>
    </row>
    <row r="1582" spans="1:17">
      <c r="A1582" s="18"/>
      <c r="B1582" s="18"/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</row>
    <row r="1583" spans="1:17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</row>
    <row r="1584" spans="1:17">
      <c r="A1584" s="18"/>
      <c r="B1584" s="18"/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8"/>
    </row>
    <row r="1585" spans="1:17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</row>
    <row r="1586" spans="1:17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8"/>
    </row>
    <row r="1587" spans="1:17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  <c r="P1587" s="18"/>
      <c r="Q1587" s="18"/>
    </row>
    <row r="1588" spans="1:17">
      <c r="A1588" s="18"/>
      <c r="B1588" s="18"/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8"/>
    </row>
    <row r="1589" spans="1:17">
      <c r="A1589" s="18"/>
      <c r="B1589" s="18"/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</row>
    <row r="1590" spans="1:17">
      <c r="A1590" s="474"/>
      <c r="B1590" s="18"/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</row>
    <row r="1591" spans="1:17">
      <c r="A1591" s="18"/>
      <c r="B1591" s="18"/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</row>
    <row r="1592" spans="1:17">
      <c r="A1592" s="18"/>
      <c r="B1592" s="18"/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</row>
    <row r="1593" spans="1:17">
      <c r="A1593" s="18"/>
      <c r="B1593" s="18"/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</row>
    <row r="1594" spans="1:17">
      <c r="A1594" s="18"/>
      <c r="B1594" s="18"/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</row>
    <row r="1595" spans="1:17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</row>
    <row r="1596" spans="1:17">
      <c r="A1596" s="474"/>
      <c r="B1596" s="18"/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</row>
    <row r="1597" spans="1:17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8"/>
    </row>
    <row r="1598" spans="1:17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</row>
    <row r="1599" spans="1:17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</row>
    <row r="1600" spans="1:17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</row>
    <row r="1601" spans="1:17">
      <c r="A1601" s="474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</row>
    <row r="1602" spans="1:17">
      <c r="A1602" s="149"/>
      <c r="B1602" s="18"/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8"/>
    </row>
    <row r="1603" spans="1:17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  <c r="P1603" s="18"/>
      <c r="Q1603" s="18"/>
    </row>
    <row r="1604" spans="1:17">
      <c r="A1604" s="18"/>
      <c r="B1604" s="18"/>
      <c r="C1604" s="18"/>
      <c r="D1604" s="18"/>
      <c r="E1604" s="18"/>
      <c r="F1604" s="474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</row>
    <row r="1605" spans="1:17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</row>
    <row r="1606" spans="1:17">
      <c r="A1606" s="18"/>
      <c r="B1606" s="18"/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</row>
    <row r="1607" spans="1:17">
      <c r="A1607" s="18"/>
      <c r="B1607" s="18"/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8"/>
    </row>
    <row r="1608" spans="1:17">
      <c r="A1608" s="18"/>
      <c r="B1608" s="18"/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  <c r="P1608" s="18"/>
      <c r="Q1608" s="18"/>
    </row>
    <row r="1609" spans="1:17">
      <c r="A1609" s="18"/>
      <c r="B1609" s="18"/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8"/>
    </row>
    <row r="1610" spans="1:17">
      <c r="A1610" s="18"/>
      <c r="B1610" s="18"/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8"/>
    </row>
    <row r="1611" spans="1:17">
      <c r="A1611" s="18"/>
      <c r="B1611" s="18"/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8"/>
    </row>
    <row r="1612" spans="1:17">
      <c r="A1612" s="149"/>
      <c r="B1612" s="18"/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  <c r="P1612" s="18"/>
      <c r="Q1612" s="18"/>
    </row>
    <row r="1613" spans="1:17">
      <c r="A1613" s="80"/>
      <c r="B1613" s="18"/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</row>
    <row r="1614" spans="1:17">
      <c r="A1614" s="18"/>
      <c r="B1614" s="18"/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</row>
    <row r="1615" spans="1:17">
      <c r="A1615" s="149"/>
      <c r="B1615" s="18"/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8"/>
    </row>
    <row r="1616" spans="1:17">
      <c r="A1616" s="18"/>
      <c r="B1616" s="18"/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  <c r="P1616" s="18"/>
      <c r="Q1616" s="18"/>
    </row>
    <row r="1617" spans="1:17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</row>
    <row r="1618" spans="1:17">
      <c r="A1618" s="18"/>
      <c r="B1618" s="18"/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</row>
    <row r="1619" spans="1:17">
      <c r="A1619" s="149"/>
      <c r="B1619" s="18"/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  <c r="P1619" s="18"/>
      <c r="Q1619" s="18"/>
    </row>
    <row r="1620" spans="1:17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</row>
    <row r="1621" spans="1:17">
      <c r="A1621" s="18"/>
      <c r="B1621" s="18"/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  <c r="P1621" s="18"/>
      <c r="Q1621" s="18"/>
    </row>
    <row r="1622" spans="1:17">
      <c r="A1622" s="18"/>
      <c r="B1622" s="18"/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8"/>
    </row>
    <row r="1623" spans="1:17">
      <c r="A1623" s="18"/>
      <c r="B1623" s="18"/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8"/>
    </row>
    <row r="1624" spans="1:17">
      <c r="A1624" s="149"/>
      <c r="B1624" s="18"/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8"/>
    </row>
    <row r="1625" spans="1:17">
      <c r="A1625" s="18"/>
      <c r="B1625" s="18"/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</row>
    <row r="1626" spans="1:17">
      <c r="A1626" s="18"/>
      <c r="B1626" s="18"/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8"/>
    </row>
    <row r="1627" spans="1:17">
      <c r="A1627" s="18"/>
      <c r="B1627" s="18"/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8"/>
    </row>
    <row r="1628" spans="1:17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8"/>
    </row>
    <row r="1629" spans="1:17">
      <c r="A1629" s="149"/>
      <c r="B1629" s="18"/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8"/>
    </row>
    <row r="1630" spans="1:17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</row>
    <row r="1631" spans="1:17">
      <c r="A1631" s="18"/>
      <c r="B1631" s="18"/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</row>
    <row r="1632" spans="1:17">
      <c r="A1632" s="18"/>
      <c r="B1632" s="18"/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8"/>
    </row>
    <row r="1633" spans="1:17">
      <c r="A1633" s="18"/>
      <c r="B1633" s="18"/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8"/>
    </row>
    <row r="1634" spans="1:17">
      <c r="A1634" s="18"/>
      <c r="B1634" s="18"/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</row>
    <row r="1635" spans="1:17">
      <c r="A1635" s="18"/>
      <c r="B1635" s="18"/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</row>
    <row r="1636" spans="1:17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</row>
    <row r="1637" spans="1:17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</row>
    <row r="1638" spans="1:17">
      <c r="A1638" s="18"/>
      <c r="B1638" s="18"/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8"/>
    </row>
    <row r="1639" spans="1:17">
      <c r="A1639" s="38"/>
      <c r="B1639" s="18"/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8"/>
    </row>
    <row r="1640" spans="1:17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8"/>
    </row>
    <row r="1641" spans="1:17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</row>
    <row r="1642" spans="1:17">
      <c r="A1642" s="18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</row>
    <row r="1643" spans="1:17">
      <c r="A1643" s="18"/>
      <c r="B1643" s="18"/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8"/>
    </row>
    <row r="1644" spans="1:17">
      <c r="A1644" s="149"/>
      <c r="B1644" s="18"/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8"/>
    </row>
    <row r="1645" spans="1:17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</row>
    <row r="1646" spans="1:17">
      <c r="A1646" s="18"/>
      <c r="B1646" s="18"/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</row>
    <row r="1647" spans="1:17">
      <c r="A1647" s="149"/>
      <c r="B1647" s="18"/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8"/>
    </row>
    <row r="1648" spans="1:17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8"/>
    </row>
    <row r="1649" spans="1:17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</row>
    <row r="1650" spans="1:17">
      <c r="A1650" s="149"/>
      <c r="B1650" s="18"/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</row>
    <row r="1651" spans="1:17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8"/>
    </row>
    <row r="1652" spans="1:17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8"/>
    </row>
    <row r="1653" spans="1:17">
      <c r="A1653" s="149"/>
      <c r="B1653" s="18"/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</row>
    <row r="1654" spans="1:17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</row>
    <row r="1655" spans="1:17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</row>
    <row r="1656" spans="1:17">
      <c r="A1656" s="149"/>
      <c r="B1656" s="18"/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8"/>
    </row>
    <row r="1657" spans="1:17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8"/>
    </row>
    <row r="1658" spans="1:17">
      <c r="A1658" s="149"/>
      <c r="B1658" s="18"/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</row>
    <row r="1659" spans="1:17">
      <c r="A1659" s="18"/>
      <c r="B1659" s="18"/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</row>
    <row r="1660" spans="1:17">
      <c r="A1660" s="18"/>
      <c r="B1660" s="18"/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8"/>
    </row>
    <row r="1661" spans="1:17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</row>
    <row r="1662" spans="1:17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</row>
    <row r="1663" spans="1:17">
      <c r="A1663" s="18"/>
      <c r="B1663" s="18"/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</row>
    <row r="1664" spans="1:17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8"/>
    </row>
    <row r="1665" spans="1:17">
      <c r="A1665" s="18"/>
      <c r="B1665" s="18"/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</row>
    <row r="1666" spans="1:17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8"/>
    </row>
    <row r="1667" spans="1:17">
      <c r="A1667" s="18"/>
      <c r="B1667" s="18"/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8"/>
    </row>
    <row r="1668" spans="1:17">
      <c r="A1668" s="18"/>
      <c r="B1668" s="18"/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</row>
    <row r="1669" spans="1:17">
      <c r="A1669" s="18"/>
      <c r="B1669" s="18"/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8"/>
    </row>
    <row r="1670" spans="1:17">
      <c r="A1670" s="18"/>
      <c r="B1670" s="18"/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  <c r="P1670" s="18"/>
      <c r="Q1670" s="18"/>
    </row>
    <row r="1671" spans="1:17">
      <c r="A1671" s="18"/>
      <c r="B1671" s="18"/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8"/>
    </row>
    <row r="1672" spans="1:17">
      <c r="A1672" s="149"/>
      <c r="B1672" s="18"/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</row>
    <row r="1673" spans="1:17">
      <c r="A1673" s="18"/>
      <c r="B1673" s="18"/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8"/>
    </row>
    <row r="1674" spans="1:17">
      <c r="A1674" s="18"/>
      <c r="B1674" s="18"/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  <c r="P1674" s="18"/>
      <c r="Q1674" s="18"/>
    </row>
    <row r="1675" spans="1:17">
      <c r="A1675" s="18"/>
      <c r="B1675" s="18"/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8"/>
    </row>
    <row r="1676" spans="1:17">
      <c r="A1676" s="18"/>
      <c r="B1676" s="18"/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8"/>
    </row>
    <row r="1677" spans="1:17">
      <c r="A1677" s="18"/>
      <c r="B1677" s="18"/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8"/>
    </row>
    <row r="1678" spans="1:17">
      <c r="A1678" s="18"/>
      <c r="B1678" s="18"/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8"/>
    </row>
    <row r="1679" spans="1:17">
      <c r="A1679" s="18"/>
      <c r="B1679" s="18"/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8"/>
    </row>
    <row r="1680" spans="1:17">
      <c r="A1680" s="18"/>
      <c r="B1680" s="18"/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</row>
    <row r="1681" spans="1:17">
      <c r="A1681" s="18"/>
      <c r="B1681" s="18"/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8"/>
    </row>
    <row r="1682" spans="1:17">
      <c r="A1682" s="18"/>
      <c r="B1682" s="18"/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8"/>
    </row>
    <row r="1683" spans="1:17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8"/>
    </row>
    <row r="1684" spans="1:17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  <c r="P1684" s="18"/>
      <c r="Q1684" s="18"/>
    </row>
    <row r="1685" spans="1:17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</row>
    <row r="1686" spans="1:17">
      <c r="A1686" s="18"/>
      <c r="B1686" s="18"/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8"/>
    </row>
    <row r="1687" spans="1:17">
      <c r="A1687" s="149"/>
      <c r="B1687" s="18"/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</row>
    <row r="1688" spans="1:17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  <c r="P1688" s="18"/>
      <c r="Q1688" s="18"/>
    </row>
    <row r="1689" spans="1:17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8"/>
    </row>
    <row r="1690" spans="1:17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  <c r="P1690" s="18"/>
      <c r="Q1690" s="18"/>
    </row>
    <row r="1691" spans="1:17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8"/>
    </row>
    <row r="1692" spans="1:17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8"/>
    </row>
    <row r="1693" spans="1:17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8"/>
    </row>
    <row r="1694" spans="1:17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  <c r="P1694" s="18"/>
      <c r="Q1694" s="18"/>
    </row>
    <row r="1695" spans="1:17">
      <c r="A1695" s="18"/>
      <c r="B1695" s="18"/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8"/>
    </row>
    <row r="1696" spans="1:17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</row>
    <row r="1697" spans="1:17">
      <c r="A1697" s="149"/>
      <c r="B1697" s="18"/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8"/>
    </row>
    <row r="1698" spans="1:17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</row>
    <row r="1699" spans="1:17">
      <c r="A1699" s="18"/>
      <c r="B1699" s="18"/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8"/>
    </row>
    <row r="1700" spans="1:17">
      <c r="A1700" s="18"/>
      <c r="B1700" s="18"/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8"/>
    </row>
    <row r="1701" spans="1:17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  <c r="P1701" s="18"/>
      <c r="Q1701" s="18"/>
    </row>
    <row r="1702" spans="1:17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8"/>
    </row>
    <row r="1703" spans="1:17">
      <c r="A1703" s="18"/>
      <c r="B1703" s="18"/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8"/>
    </row>
    <row r="1704" spans="1:17">
      <c r="A1704" s="149"/>
      <c r="B1704" s="18"/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  <c r="P1704" s="18"/>
      <c r="Q1704" s="18"/>
    </row>
    <row r="1705" spans="1:17">
      <c r="A1705" s="149"/>
      <c r="B1705" s="18"/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8"/>
    </row>
    <row r="1706" spans="1:17">
      <c r="A1706" s="18"/>
      <c r="B1706" s="18"/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8"/>
    </row>
    <row r="1707" spans="1:17">
      <c r="A1707" s="18"/>
      <c r="B1707" s="18"/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</row>
    <row r="1708" spans="1:17">
      <c r="A1708" s="76"/>
      <c r="B1708" s="25"/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8"/>
    </row>
    <row r="1709" spans="1:17">
      <c r="A1709" s="76"/>
      <c r="B1709" s="25"/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</row>
    <row r="1710" spans="1:17">
      <c r="A1710" s="18"/>
      <c r="B1710" s="18"/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8"/>
    </row>
    <row r="1711" spans="1:17">
      <c r="A1711" s="18"/>
      <c r="B1711" s="25"/>
      <c r="C1711" s="18"/>
      <c r="D1711" s="25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  <c r="P1711" s="18"/>
      <c r="Q1711" s="18"/>
    </row>
    <row r="1712" spans="1:17">
      <c r="A1712" s="18"/>
      <c r="B1712" s="25"/>
      <c r="C1712" s="18"/>
      <c r="D1712" s="25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8"/>
    </row>
    <row r="1713" spans="1:17">
      <c r="A1713" s="18"/>
      <c r="B1713" s="25"/>
      <c r="C1713" s="18"/>
      <c r="D1713" s="25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  <c r="P1713" s="18"/>
      <c r="Q1713" s="18"/>
    </row>
    <row r="1714" spans="1:17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  <c r="P1714" s="18"/>
      <c r="Q1714" s="18"/>
    </row>
    <row r="1715" spans="1:17">
      <c r="A1715" s="18"/>
      <c r="B1715" s="18"/>
      <c r="C1715" s="18"/>
      <c r="D1715" s="83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</row>
    <row r="1716" spans="1:17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8"/>
    </row>
    <row r="1717" spans="1:17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8"/>
    </row>
    <row r="1718" spans="1:17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  <c r="P1718" s="18"/>
      <c r="Q1718" s="18"/>
    </row>
    <row r="1719" spans="1:17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8"/>
    </row>
    <row r="1720" spans="1:17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</row>
    <row r="1721" spans="1:17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  <c r="P1721" s="18"/>
      <c r="Q1721" s="18"/>
    </row>
    <row r="1722" spans="1:17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</row>
    <row r="1723" spans="1:17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8"/>
    </row>
    <row r="1724" spans="1:17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</row>
    <row r="1725" spans="1:17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</row>
    <row r="1726" spans="1:17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8"/>
    </row>
    <row r="1727" spans="1:17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</row>
    <row r="1728" spans="1:17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</row>
    <row r="1729" spans="1:17">
      <c r="A1729" s="149"/>
      <c r="B1729" s="18"/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8"/>
    </row>
    <row r="1730" spans="1:17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8"/>
    </row>
    <row r="1731" spans="1:17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8"/>
    </row>
    <row r="1732" spans="1:17">
      <c r="A1732" s="149"/>
      <c r="B1732" s="18"/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</row>
    <row r="1733" spans="1:17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8"/>
    </row>
    <row r="1734" spans="1:17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</row>
    <row r="1735" spans="1:17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  <c r="P1735" s="18"/>
      <c r="Q1735" s="18"/>
    </row>
    <row r="1736" spans="1:17">
      <c r="A1736" s="149"/>
      <c r="B1736" s="18"/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</row>
    <row r="1737" spans="1:17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8"/>
    </row>
    <row r="1738" spans="1:17">
      <c r="A1738" s="149"/>
      <c r="B1738" s="18"/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  <c r="P1738" s="18"/>
      <c r="Q1738" s="18"/>
    </row>
    <row r="1739" spans="1:17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  <c r="P1739" s="18"/>
      <c r="Q1739" s="18"/>
    </row>
    <row r="1740" spans="1:17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  <c r="P1740" s="18"/>
      <c r="Q1740" s="18"/>
    </row>
    <row r="1741" spans="1:17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</row>
    <row r="1742" spans="1:17">
      <c r="A1742" s="474"/>
      <c r="B1742" s="18"/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8"/>
    </row>
    <row r="1743" spans="1:17">
      <c r="A1743" s="149"/>
      <c r="B1743" s="18"/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8"/>
    </row>
    <row r="1744" spans="1:17">
      <c r="A1744" s="18"/>
      <c r="B1744" s="18"/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</row>
    <row r="1745" spans="1:17">
      <c r="A1745" s="18"/>
      <c r="B1745" s="18"/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</row>
    <row r="1746" spans="1:17">
      <c r="A1746" s="149"/>
      <c r="B1746" s="18"/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</row>
    <row r="1747" spans="1:17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8"/>
    </row>
    <row r="1748" spans="1:17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8"/>
    </row>
    <row r="1749" spans="1:17">
      <c r="A1749" s="18"/>
      <c r="B1749" s="18"/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</row>
    <row r="1750" spans="1:17">
      <c r="A1750" s="18"/>
      <c r="B1750" s="18"/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8"/>
    </row>
    <row r="1751" spans="1:17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  <c r="P1751" s="18"/>
      <c r="Q1751" s="18"/>
    </row>
    <row r="1752" spans="1:17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</row>
    <row r="1753" spans="1:17">
      <c r="A1753" s="18"/>
      <c r="B1753" s="18"/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</row>
    <row r="1754" spans="1:17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</row>
    <row r="1755" spans="1:17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8"/>
    </row>
    <row r="1756" spans="1:17">
      <c r="A1756" s="18"/>
      <c r="B1756" s="18"/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</row>
    <row r="1757" spans="1:17">
      <c r="A1757" s="18"/>
      <c r="B1757" s="18"/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</row>
    <row r="1758" spans="1:17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  <c r="P1758" s="18"/>
      <c r="Q1758" s="18"/>
    </row>
    <row r="1759" spans="1:17">
      <c r="A1759" s="18"/>
      <c r="B1759" s="18"/>
      <c r="C1759" s="18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8"/>
    </row>
    <row r="1760" spans="1:17">
      <c r="A1760" s="18"/>
      <c r="B1760" s="18"/>
      <c r="C1760" s="18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</row>
    <row r="1761" spans="1:17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  <c r="P1761" s="18"/>
      <c r="Q1761" s="18"/>
    </row>
    <row r="1762" spans="1:17">
      <c r="A1762" s="149"/>
      <c r="B1762" s="18"/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8"/>
    </row>
    <row r="1763" spans="1:17">
      <c r="A1763" s="18"/>
      <c r="B1763" s="18"/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</row>
    <row r="1764" spans="1:17">
      <c r="A1764" s="149"/>
      <c r="B1764" s="18"/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</row>
    <row r="1765" spans="1:17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</row>
    <row r="1766" spans="1:17">
      <c r="A1766" s="18"/>
      <c r="B1766" s="18"/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</row>
    <row r="1767" spans="1:17">
      <c r="A1767" s="12"/>
      <c r="B1767" s="18"/>
      <c r="C1767" s="18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  <c r="P1767" s="18"/>
      <c r="Q1767" s="18"/>
    </row>
    <row r="1768" spans="1:17">
      <c r="A1768" s="12"/>
      <c r="B1768" s="18"/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  <c r="P1768" s="18"/>
      <c r="Q1768" s="18"/>
    </row>
    <row r="1769" spans="1:17">
      <c r="A1769" s="19"/>
      <c r="B1769" s="18"/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  <c r="P1769" s="18"/>
      <c r="Q1769" s="18"/>
    </row>
    <row r="1770" spans="1:17">
      <c r="A1770" s="51"/>
      <c r="B1770" s="18"/>
      <c r="C1770" s="18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8"/>
    </row>
    <row r="1771" spans="1:17">
      <c r="A1771" s="18"/>
      <c r="B1771" s="18"/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</row>
    <row r="1772" spans="1:17">
      <c r="A1772" s="149"/>
      <c r="B1772" s="18"/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  <c r="P1772" s="18"/>
      <c r="Q1772" s="18"/>
    </row>
    <row r="1773" spans="1:17">
      <c r="A1773" s="18"/>
      <c r="B1773" s="18"/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</row>
    <row r="1774" spans="1:17">
      <c r="A1774" s="18"/>
      <c r="B1774" s="18"/>
      <c r="C1774" s="18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  <c r="P1774" s="18"/>
      <c r="Q1774" s="18"/>
    </row>
    <row r="1775" spans="1:17">
      <c r="A1775" s="18"/>
      <c r="B1775" s="18"/>
      <c r="C1775" s="18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  <c r="P1775" s="18"/>
      <c r="Q1775" s="18"/>
    </row>
    <row r="1776" spans="1:17">
      <c r="A1776" s="18"/>
      <c r="B1776" s="18"/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8"/>
    </row>
    <row r="1777" spans="1:17">
      <c r="A1777" s="149"/>
      <c r="B1777" s="18"/>
      <c r="C1777" s="18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8"/>
    </row>
    <row r="1778" spans="1:17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8"/>
    </row>
    <row r="1779" spans="1:17">
      <c r="A1779" s="76"/>
      <c r="B1779" s="51"/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  <c r="P1779" s="18"/>
      <c r="Q1779" s="18"/>
    </row>
    <row r="1780" spans="1:17">
      <c r="A1780" s="51"/>
      <c r="B1780" s="87"/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  <c r="P1780" s="18"/>
      <c r="Q1780" s="18"/>
    </row>
    <row r="1781" spans="1:17">
      <c r="A1781" s="51"/>
      <c r="B1781" s="87"/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8"/>
    </row>
    <row r="1782" spans="1:17">
      <c r="A1782" s="18"/>
      <c r="B1782" s="18"/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</row>
    <row r="1783" spans="1:17">
      <c r="A1783" s="76"/>
      <c r="B1783" s="18"/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  <c r="P1783" s="18"/>
      <c r="Q1783" s="18"/>
    </row>
    <row r="1784" spans="1:17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8"/>
    </row>
    <row r="1785" spans="1:17">
      <c r="A1785" s="51"/>
      <c r="B1785" s="80"/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8"/>
    </row>
    <row r="1786" spans="1:17">
      <c r="A1786" s="51"/>
      <c r="B1786" s="76"/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8"/>
    </row>
    <row r="1787" spans="1:17">
      <c r="A1787" s="51"/>
      <c r="B1787" s="80"/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  <c r="P1787" s="18"/>
      <c r="Q1787" s="18"/>
    </row>
    <row r="1788" spans="1:17">
      <c r="A1788" s="12"/>
      <c r="B1788" s="1151"/>
      <c r="C1788" s="18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  <c r="P1788" s="18"/>
      <c r="Q1788" s="18"/>
    </row>
    <row r="1789" spans="1:17">
      <c r="A1789" s="18"/>
      <c r="B1789" s="19"/>
      <c r="C1789" s="18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  <c r="P1789" s="18"/>
      <c r="Q1789" s="18"/>
    </row>
    <row r="1790" spans="1:17">
      <c r="A1790" s="18"/>
      <c r="B1790" s="19"/>
      <c r="C1790" s="18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  <c r="P1790" s="18"/>
      <c r="Q1790" s="18"/>
    </row>
    <row r="1791" spans="1:17">
      <c r="A1791" s="18"/>
      <c r="B1791" s="19"/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  <c r="P1791" s="18"/>
      <c r="Q1791" s="18"/>
    </row>
    <row r="1792" spans="1:17">
      <c r="A1792" s="18"/>
      <c r="B1792" s="18"/>
      <c r="C1792" s="18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  <c r="P1792" s="18"/>
      <c r="Q1792" s="18"/>
    </row>
    <row r="1793" spans="1:17">
      <c r="A1793" s="149"/>
      <c r="B1793" s="18"/>
      <c r="C1793" s="18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  <c r="P1793" s="18"/>
      <c r="Q1793" s="18"/>
    </row>
    <row r="1794" spans="1:17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</row>
    <row r="1795" spans="1:17">
      <c r="A1795" s="18"/>
      <c r="B1795" s="18"/>
      <c r="C1795" s="18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</row>
    <row r="1796" spans="1:17">
      <c r="A1796" s="149"/>
      <c r="B1796" s="18"/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8"/>
    </row>
    <row r="1797" spans="1:17">
      <c r="A1797" s="18"/>
      <c r="B1797" s="18"/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8"/>
    </row>
    <row r="1798" spans="1:17">
      <c r="A1798" s="18"/>
      <c r="B1798" s="18"/>
      <c r="C1798" s="18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  <c r="P1798" s="18"/>
      <c r="Q1798" s="18"/>
    </row>
    <row r="1799" spans="1:17">
      <c r="A1799" s="149"/>
      <c r="B1799" s="18"/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8"/>
    </row>
    <row r="1800" spans="1:17">
      <c r="A1800" s="18"/>
      <c r="B1800" s="18"/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</row>
    <row r="1801" spans="1:17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  <c r="P1801" s="18"/>
      <c r="Q1801" s="18"/>
    </row>
    <row r="1802" spans="1:17">
      <c r="A1802" s="149"/>
      <c r="B1802" s="18"/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  <c r="P1802" s="18"/>
      <c r="Q1802" s="18"/>
    </row>
    <row r="1803" spans="1:17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  <c r="P1803" s="18"/>
      <c r="Q1803" s="18"/>
    </row>
    <row r="1804" spans="1:17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8"/>
    </row>
    <row r="1805" spans="1:17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8"/>
    </row>
    <row r="1806" spans="1:17">
      <c r="A1806" s="149"/>
      <c r="B1806" s="18"/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8"/>
    </row>
    <row r="1807" spans="1:17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8"/>
    </row>
    <row r="1808" spans="1:17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8"/>
    </row>
    <row r="1809" spans="1:17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8"/>
    </row>
    <row r="1810" spans="1:17">
      <c r="A1810" s="18"/>
      <c r="B1810" s="18"/>
      <c r="C1810" s="18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8"/>
    </row>
    <row r="1811" spans="1:17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  <c r="P1811" s="18"/>
      <c r="Q1811" s="18"/>
    </row>
    <row r="1812" spans="1:17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</row>
    <row r="1813" spans="1:17">
      <c r="A1813" s="18"/>
      <c r="B1813" s="18"/>
      <c r="C1813" s="18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8"/>
    </row>
    <row r="1814" spans="1:17">
      <c r="A1814" s="18"/>
      <c r="B1814" s="18"/>
      <c r="C1814" s="18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8"/>
    </row>
    <row r="1815" spans="1:17">
      <c r="A1815" s="149"/>
      <c r="B1815" s="18"/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  <c r="P1815" s="18"/>
      <c r="Q1815" s="18"/>
    </row>
    <row r="1816" spans="1:17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8"/>
    </row>
    <row r="1817" spans="1:17">
      <c r="A1817" s="18"/>
      <c r="B1817" s="18"/>
      <c r="C1817" s="18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8"/>
    </row>
    <row r="1818" spans="1:17">
      <c r="A1818" s="149"/>
      <c r="B1818" s="18"/>
      <c r="C1818" s="18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  <c r="P1818" s="18"/>
      <c r="Q1818" s="18"/>
    </row>
    <row r="1819" spans="1:17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  <c r="P1819" s="18"/>
      <c r="Q1819" s="18"/>
    </row>
    <row r="1820" spans="1:17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</row>
    <row r="1821" spans="1:17">
      <c r="A1821" s="149"/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8"/>
    </row>
    <row r="1822" spans="1:17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</row>
    <row r="1823" spans="1:17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</row>
    <row r="1824" spans="1:17">
      <c r="A1824" s="149"/>
      <c r="B1824" s="18"/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</row>
    <row r="1825" spans="1:17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  <c r="P1825" s="18"/>
      <c r="Q1825" s="18"/>
    </row>
    <row r="1826" spans="1:17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8"/>
    </row>
    <row r="1827" spans="1:17">
      <c r="A1827" s="149"/>
      <c r="B1827" s="18"/>
      <c r="C1827" s="18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  <c r="P1827" s="18"/>
      <c r="Q1827" s="18"/>
    </row>
    <row r="1828" spans="1:17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8"/>
    </row>
    <row r="1829" spans="1:17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8"/>
    </row>
    <row r="1830" spans="1:17">
      <c r="A1830" s="149"/>
      <c r="B1830" s="18"/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8"/>
    </row>
    <row r="1831" spans="1:17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  <c r="P1831" s="18"/>
      <c r="Q1831" s="18"/>
    </row>
    <row r="1832" spans="1:17">
      <c r="A1832" s="149"/>
      <c r="B1832" s="18"/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8"/>
    </row>
    <row r="1833" spans="1:17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8"/>
    </row>
    <row r="1834" spans="1:17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8"/>
    </row>
    <row r="1835" spans="1:17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8"/>
    </row>
    <row r="1836" spans="1:17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8"/>
    </row>
    <row r="1837" spans="1:17">
      <c r="A1837" s="149"/>
      <c r="B1837" s="18"/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  <c r="P1837" s="18"/>
      <c r="Q1837" s="18"/>
    </row>
    <row r="1838" spans="1:17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</row>
    <row r="1839" spans="1:17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8"/>
    </row>
    <row r="1840" spans="1:17">
      <c r="A1840" s="149"/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  <c r="P1840" s="18"/>
      <c r="Q1840" s="18"/>
    </row>
    <row r="1841" spans="1:17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  <c r="P1841" s="18"/>
      <c r="Q1841" s="18"/>
    </row>
    <row r="1842" spans="1:17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  <c r="P1842" s="18"/>
      <c r="Q1842" s="18"/>
    </row>
    <row r="1843" spans="1:17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  <c r="P1843" s="18"/>
      <c r="Q1843" s="18"/>
    </row>
    <row r="1844" spans="1:17">
      <c r="A1844" s="149"/>
      <c r="B1844" s="18"/>
      <c r="C1844" s="18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  <c r="P1844" s="18"/>
      <c r="Q1844" s="18"/>
    </row>
    <row r="1845" spans="1:17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  <c r="P1845" s="18"/>
      <c r="Q1845" s="18"/>
    </row>
    <row r="1846" spans="1:17">
      <c r="A1846" s="149"/>
      <c r="B1846" s="18"/>
      <c r="C1846" s="18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8"/>
    </row>
    <row r="1847" spans="1:17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  <c r="P1847" s="18"/>
      <c r="Q1847" s="18"/>
    </row>
    <row r="1848" spans="1:17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  <c r="P1848" s="18"/>
      <c r="Q1848" s="18"/>
    </row>
    <row r="1849" spans="1:17">
      <c r="A1849" s="149"/>
      <c r="B1849" s="18"/>
      <c r="C1849" s="18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  <c r="P1849" s="18"/>
      <c r="Q1849" s="18"/>
    </row>
    <row r="1850" spans="1:17">
      <c r="A1850" s="73"/>
      <c r="B1850" s="18"/>
      <c r="C1850" s="18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  <c r="P1850" s="18"/>
      <c r="Q1850" s="18"/>
    </row>
    <row r="1851" spans="1:17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8"/>
    </row>
    <row r="1852" spans="1:17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  <c r="P1852" s="18"/>
      <c r="Q1852" s="18"/>
    </row>
    <row r="1853" spans="1:17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  <c r="P1853" s="18"/>
      <c r="Q1853" s="18"/>
    </row>
    <row r="1854" spans="1:17">
      <c r="A1854" s="149"/>
      <c r="B1854" s="18"/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  <c r="P1854" s="18"/>
      <c r="Q1854" s="18"/>
    </row>
    <row r="1855" spans="1:17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8"/>
    </row>
    <row r="1856" spans="1:17">
      <c r="A1856" s="149"/>
      <c r="B1856" s="18"/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  <c r="P1856" s="18"/>
      <c r="Q1856" s="18"/>
    </row>
    <row r="1857" spans="1:17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  <c r="P1857" s="18"/>
      <c r="Q1857" s="18"/>
    </row>
    <row r="1858" spans="1:17">
      <c r="A1858" s="149"/>
      <c r="B1858" s="18"/>
      <c r="C1858" s="18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8"/>
    </row>
    <row r="1859" spans="1:17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8"/>
    </row>
    <row r="1860" spans="1:17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8"/>
    </row>
    <row r="1861" spans="1:17">
      <c r="A1861" s="149"/>
      <c r="B1861" s="18"/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  <c r="P1861" s="18"/>
      <c r="Q1861" s="18"/>
    </row>
    <row r="1862" spans="1:17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8"/>
    </row>
    <row r="1863" spans="1:17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  <c r="P1863" s="18"/>
      <c r="Q1863" s="18"/>
    </row>
    <row r="1864" spans="1:17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</row>
    <row r="1865" spans="1:17">
      <c r="A1865" s="149"/>
      <c r="B1865" s="18"/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8"/>
    </row>
    <row r="1866" spans="1:17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  <c r="P1866" s="18"/>
      <c r="Q1866" s="18"/>
    </row>
    <row r="1867" spans="1:17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8"/>
    </row>
    <row r="1868" spans="1:17">
      <c r="A1868" s="149"/>
      <c r="B1868" s="18"/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8"/>
    </row>
    <row r="1869" spans="1:17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8"/>
    </row>
    <row r="1870" spans="1:17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  <c r="P1870" s="18"/>
      <c r="Q1870" s="18"/>
    </row>
    <row r="1871" spans="1:17">
      <c r="A1871" s="149"/>
      <c r="B1871" s="18"/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  <c r="P1871" s="18"/>
      <c r="Q1871" s="18"/>
    </row>
    <row r="1872" spans="1:17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  <c r="P1872" s="18"/>
      <c r="Q1872" s="18"/>
    </row>
    <row r="1873" spans="1:17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  <c r="P1873" s="18"/>
      <c r="Q1873" s="18"/>
    </row>
    <row r="1874" spans="1:17">
      <c r="A1874" s="149"/>
      <c r="B1874" s="18"/>
      <c r="C1874" s="18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8"/>
    </row>
    <row r="1875" spans="1:17">
      <c r="A1875" s="38"/>
      <c r="B1875" s="18"/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8"/>
    </row>
    <row r="1876" spans="1:17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8"/>
    </row>
    <row r="1877" spans="1:17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  <c r="P1877" s="18"/>
      <c r="Q1877" s="18"/>
    </row>
    <row r="1878" spans="1:17">
      <c r="A1878" s="149"/>
      <c r="B1878" s="18"/>
      <c r="C1878" s="18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8"/>
    </row>
    <row r="1879" spans="1:17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8"/>
    </row>
    <row r="1880" spans="1:17">
      <c r="A1880" s="149"/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  <c r="P1880" s="18"/>
      <c r="Q1880" s="18"/>
    </row>
    <row r="1881" spans="1:17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8"/>
    </row>
    <row r="1882" spans="1:17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8"/>
    </row>
    <row r="1883" spans="1:17">
      <c r="A1883" s="149"/>
      <c r="B1883" s="18"/>
      <c r="C1883" s="18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8"/>
    </row>
    <row r="1884" spans="1:17">
      <c r="A1884" s="80"/>
      <c r="B1884" s="18"/>
      <c r="C1884" s="18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8"/>
    </row>
    <row r="1885" spans="1:17">
      <c r="A1885" s="80"/>
      <c r="B1885" s="18"/>
      <c r="C1885" s="18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8"/>
    </row>
    <row r="1886" spans="1:17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8"/>
    </row>
    <row r="1887" spans="1:17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8"/>
    </row>
    <row r="1888" spans="1:17">
      <c r="A1888" s="149"/>
      <c r="B1888" s="18"/>
      <c r="C1888" s="18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  <c r="P1888" s="18"/>
      <c r="Q1888" s="18"/>
    </row>
    <row r="1889" spans="1:17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  <c r="P1889" s="18"/>
      <c r="Q1889" s="18"/>
    </row>
    <row r="1890" spans="1:17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  <c r="P1890" s="18"/>
      <c r="Q1890" s="18"/>
    </row>
    <row r="1891" spans="1:17">
      <c r="A1891" s="149"/>
      <c r="B1891" s="18"/>
      <c r="C1891" s="18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8"/>
    </row>
    <row r="1892" spans="1:17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  <c r="P1892" s="18"/>
      <c r="Q1892" s="18"/>
    </row>
    <row r="1893" spans="1:17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  <c r="P1893" s="18"/>
      <c r="Q1893" s="18"/>
    </row>
    <row r="1894" spans="1:17">
      <c r="A1894" s="149"/>
      <c r="B1894" s="18"/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  <c r="P1894" s="18"/>
      <c r="Q1894" s="18"/>
    </row>
    <row r="1895" spans="1:17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  <c r="P1895" s="18"/>
      <c r="Q1895" s="18"/>
    </row>
    <row r="1896" spans="1:17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  <c r="P1896" s="18"/>
      <c r="Q1896" s="18"/>
    </row>
    <row r="1897" spans="1:17">
      <c r="A1897" s="149"/>
      <c r="B1897" s="18"/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  <c r="P1897" s="18"/>
      <c r="Q1897" s="18"/>
    </row>
    <row r="1898" spans="1:17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8"/>
    </row>
    <row r="1899" spans="1:17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  <c r="P1899" s="18"/>
      <c r="Q1899" s="18"/>
    </row>
    <row r="1900" spans="1:17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</row>
    <row r="1901" spans="1:17">
      <c r="A1901" s="149"/>
      <c r="B1901" s="18"/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8"/>
    </row>
    <row r="1902" spans="1:17">
      <c r="A1902" s="18"/>
      <c r="B1902" s="18"/>
      <c r="C1902" s="18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</row>
    <row r="1903" spans="1:17">
      <c r="A1903" s="18"/>
      <c r="B1903" s="18"/>
      <c r="C1903" s="18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8"/>
    </row>
    <row r="1904" spans="1:17">
      <c r="A1904" s="149"/>
      <c r="B1904" s="18"/>
      <c r="C1904" s="18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  <c r="P1904" s="18"/>
      <c r="Q1904" s="18"/>
    </row>
    <row r="1905" spans="1:17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  <c r="P1905" s="18"/>
      <c r="Q1905" s="18"/>
    </row>
    <row r="1906" spans="1:17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  <c r="P1906" s="18"/>
      <c r="Q1906" s="18"/>
    </row>
    <row r="1907" spans="1:17">
      <c r="A1907" s="149"/>
      <c r="B1907" s="18"/>
      <c r="C1907" s="18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8"/>
    </row>
    <row r="1908" spans="1:17">
      <c r="A1908" s="18"/>
      <c r="B1908" s="18"/>
      <c r="C1908" s="18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  <c r="P1908" s="18"/>
      <c r="Q1908" s="18"/>
    </row>
    <row r="1909" spans="1:17">
      <c r="A1909" s="18"/>
      <c r="B1909" s="18"/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8"/>
    </row>
    <row r="1910" spans="1:17">
      <c r="A1910" s="149"/>
      <c r="B1910" s="18"/>
      <c r="C1910" s="18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8"/>
    </row>
    <row r="1911" spans="1:17">
      <c r="A1911" s="18"/>
      <c r="B1911" s="18"/>
      <c r="C1911" s="18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  <c r="P1911" s="18"/>
      <c r="Q1911" s="18"/>
    </row>
    <row r="1912" spans="1:17">
      <c r="A1912" s="18"/>
      <c r="B1912" s="18"/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8"/>
    </row>
    <row r="1913" spans="1:17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  <c r="P1913" s="18"/>
      <c r="Q1913" s="18"/>
    </row>
    <row r="1914" spans="1:17">
      <c r="A1914" s="149"/>
      <c r="B1914" s="18"/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  <c r="P1914" s="18"/>
      <c r="Q1914" s="18"/>
    </row>
    <row r="1915" spans="1:17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</row>
    <row r="1916" spans="1:17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</row>
    <row r="1917" spans="1:17">
      <c r="A1917" s="18"/>
      <c r="B1917" s="18"/>
      <c r="C1917" s="18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  <c r="P1917" s="18"/>
      <c r="Q1917" s="18"/>
    </row>
    <row r="1918" spans="1:17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</row>
    <row r="1919" spans="1:17">
      <c r="A1919" s="149"/>
      <c r="B1919" s="18"/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</row>
    <row r="1920" spans="1:17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  <c r="P1920" s="18"/>
      <c r="Q1920" s="18"/>
    </row>
    <row r="1921" spans="1:17">
      <c r="A1921" s="18"/>
      <c r="B1921" s="18"/>
      <c r="C1921" s="18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8"/>
    </row>
    <row r="1922" spans="1:17">
      <c r="A1922" s="18"/>
      <c r="B1922" s="18"/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</row>
    <row r="1923" spans="1:17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  <c r="P1923" s="18"/>
      <c r="Q1923" s="18"/>
    </row>
    <row r="1924" spans="1:17">
      <c r="A1924" s="149"/>
      <c r="B1924" s="18"/>
      <c r="C1924" s="18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8"/>
    </row>
    <row r="1925" spans="1:17">
      <c r="A1925" s="18"/>
      <c r="B1925" s="18"/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8"/>
    </row>
    <row r="1926" spans="1:17">
      <c r="A1926" s="149"/>
      <c r="B1926" s="18"/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  <c r="P1926" s="18"/>
      <c r="Q1926" s="18"/>
    </row>
    <row r="1927" spans="1:17">
      <c r="A1927" s="18"/>
      <c r="B1927" s="18"/>
      <c r="C1927" s="18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8"/>
    </row>
    <row r="1928" spans="1:17">
      <c r="A1928" s="18"/>
      <c r="B1928" s="18"/>
      <c r="C1928" s="18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  <c r="P1928" s="18"/>
      <c r="Q1928" s="18"/>
    </row>
    <row r="1929" spans="1:17">
      <c r="A1929" s="18"/>
      <c r="B1929" s="18"/>
      <c r="C1929" s="18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8"/>
    </row>
    <row r="1930" spans="1:17">
      <c r="A1930" s="149"/>
      <c r="B1930" s="18"/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8"/>
    </row>
    <row r="1931" spans="1:17">
      <c r="A1931" s="18"/>
      <c r="B1931" s="18"/>
      <c r="C1931" s="18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8"/>
    </row>
    <row r="1932" spans="1:17">
      <c r="A1932" s="18"/>
      <c r="B1932" s="18"/>
      <c r="C1932" s="18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  <c r="P1932" s="18"/>
      <c r="Q1932" s="18"/>
    </row>
    <row r="1933" spans="1:17">
      <c r="A1933" s="149"/>
      <c r="B1933" s="18"/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  <c r="P1933" s="18"/>
      <c r="Q1933" s="18"/>
    </row>
    <row r="1934" spans="1:17">
      <c r="A1934" s="18"/>
      <c r="B1934" s="18"/>
      <c r="C1934" s="18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8"/>
    </row>
    <row r="1935" spans="1:17">
      <c r="A1935" s="18"/>
      <c r="B1935" s="18"/>
      <c r="C1935" s="18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8"/>
    </row>
    <row r="1936" spans="1:17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8"/>
    </row>
    <row r="1937" spans="1:17">
      <c r="A1937" s="149"/>
      <c r="B1937" s="18"/>
      <c r="C1937" s="18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8"/>
    </row>
    <row r="1938" spans="1:17">
      <c r="A1938" s="18"/>
      <c r="B1938" s="18"/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8"/>
    </row>
    <row r="1939" spans="1:17">
      <c r="A1939" s="149"/>
      <c r="B1939" s="18"/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  <c r="P1939" s="18"/>
      <c r="Q1939" s="18"/>
    </row>
    <row r="1940" spans="1:17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  <c r="P1940" s="18"/>
      <c r="Q1940" s="18"/>
    </row>
    <row r="1941" spans="1:17">
      <c r="A1941" s="18"/>
      <c r="B1941" s="18"/>
      <c r="C1941" s="18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8"/>
    </row>
    <row r="1942" spans="1:17">
      <c r="A1942" s="18"/>
      <c r="B1942" s="18"/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</row>
    <row r="1943" spans="1:17">
      <c r="A1943" s="149"/>
      <c r="B1943" s="18"/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</row>
    <row r="1944" spans="1:17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  <c r="P1944" s="18"/>
      <c r="Q1944" s="18"/>
    </row>
    <row r="1945" spans="1:17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</row>
    <row r="1946" spans="1:17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8"/>
    </row>
    <row r="1947" spans="1:17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</row>
    <row r="1948" spans="1:17">
      <c r="A1948" s="149"/>
      <c r="B1948" s="18"/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  <c r="P1948" s="18"/>
      <c r="Q1948" s="18"/>
    </row>
    <row r="1949" spans="1:17">
      <c r="A1949" s="18"/>
      <c r="B1949" s="18"/>
      <c r="C1949" s="18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  <c r="P1949" s="18"/>
      <c r="Q1949" s="18"/>
    </row>
    <row r="1950" spans="1:17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8"/>
    </row>
    <row r="1951" spans="1:17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  <c r="P1951" s="18"/>
      <c r="Q1951" s="18"/>
    </row>
    <row r="1952" spans="1:17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  <c r="P1952" s="18"/>
      <c r="Q1952" s="18"/>
    </row>
    <row r="1953" spans="1:17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8"/>
    </row>
    <row r="1954" spans="1:17">
      <c r="A1954" s="149"/>
      <c r="B1954" s="18"/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  <c r="P1954" s="18"/>
      <c r="Q1954" s="18"/>
    </row>
    <row r="1955" spans="1:17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  <c r="P1955" s="18"/>
      <c r="Q1955" s="18"/>
    </row>
    <row r="1956" spans="1:17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  <c r="P1956" s="18"/>
      <c r="Q1956" s="18"/>
    </row>
    <row r="1957" spans="1:17">
      <c r="A1957" s="18"/>
      <c r="B1957" s="18"/>
      <c r="C1957" s="18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  <c r="P1957" s="18"/>
      <c r="Q1957" s="18"/>
    </row>
    <row r="1958" spans="1:17">
      <c r="A1958" s="18"/>
      <c r="B1958" s="18"/>
      <c r="C1958" s="18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  <c r="P1958" s="18"/>
      <c r="Q1958" s="18"/>
    </row>
    <row r="1959" spans="1:17">
      <c r="A1959" s="149"/>
      <c r="B1959" s="18"/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  <c r="P1959" s="18"/>
      <c r="Q1959" s="18"/>
    </row>
    <row r="1960" spans="1:17">
      <c r="A1960" s="18"/>
      <c r="B1960" s="18"/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8"/>
    </row>
    <row r="1961" spans="1:17">
      <c r="A1961" s="18"/>
      <c r="B1961" s="18"/>
      <c r="C1961" s="18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8"/>
    </row>
    <row r="1962" spans="1:17">
      <c r="A1962" s="149"/>
      <c r="B1962" s="18"/>
      <c r="C1962" s="18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  <c r="P1962" s="18"/>
      <c r="Q1962" s="18"/>
    </row>
    <row r="1963" spans="1:17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  <c r="P1963" s="18"/>
      <c r="Q1963" s="18"/>
    </row>
    <row r="1964" spans="1:17">
      <c r="A1964" s="18"/>
      <c r="B1964" s="18"/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8"/>
    </row>
    <row r="1965" spans="1:17">
      <c r="A1965" s="149"/>
      <c r="B1965" s="18"/>
      <c r="C1965" s="18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8"/>
    </row>
    <row r="1966" spans="1:17">
      <c r="A1966" s="18"/>
      <c r="B1966" s="18"/>
      <c r="C1966" s="18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  <c r="P1966" s="18"/>
      <c r="Q1966" s="18"/>
    </row>
    <row r="1967" spans="1:17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  <c r="P1967" s="18"/>
      <c r="Q1967" s="18"/>
    </row>
    <row r="1968" spans="1:17">
      <c r="A1968" s="18"/>
      <c r="B1968" s="18"/>
      <c r="C1968" s="18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  <c r="P1968" s="18"/>
      <c r="Q1968" s="18"/>
    </row>
    <row r="1969" spans="1:17">
      <c r="A1969" s="149"/>
      <c r="B1969" s="18"/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</row>
    <row r="1970" spans="1:17">
      <c r="A1970" s="18"/>
      <c r="B1970" s="18"/>
      <c r="C1970" s="18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  <c r="P1970" s="18"/>
      <c r="Q1970" s="18"/>
    </row>
    <row r="1971" spans="1:17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8"/>
    </row>
    <row r="1972" spans="1:17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8"/>
    </row>
    <row r="1973" spans="1:17">
      <c r="A1973" s="18"/>
      <c r="B1973" s="18"/>
      <c r="C1973" s="18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8"/>
    </row>
    <row r="1974" spans="1:17">
      <c r="A1974" s="18"/>
      <c r="B1974" s="18"/>
      <c r="C1974" s="18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  <c r="P1974" s="18"/>
      <c r="Q1974" s="18"/>
    </row>
    <row r="1975" spans="1:17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  <c r="P1975" s="18"/>
      <c r="Q1975" s="18"/>
    </row>
    <row r="1976" spans="1:17">
      <c r="A1976" s="149"/>
      <c r="B1976" s="18"/>
      <c r="C1976" s="18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8"/>
    </row>
    <row r="1977" spans="1:17">
      <c r="A1977" s="18"/>
      <c r="B1977" s="18"/>
      <c r="C1977" s="18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  <c r="P1977" s="18"/>
      <c r="Q1977" s="18"/>
    </row>
    <row r="1978" spans="1:17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8"/>
    </row>
    <row r="1979" spans="1:17">
      <c r="A1979" s="18"/>
      <c r="B1979" s="18"/>
      <c r="C1979" s="18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8"/>
    </row>
    <row r="1980" spans="1:17">
      <c r="A1980" s="18"/>
      <c r="B1980" s="18"/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8"/>
    </row>
    <row r="1981" spans="1:17">
      <c r="A1981" s="149"/>
      <c r="B1981" s="18"/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8"/>
    </row>
    <row r="1982" spans="1:17">
      <c r="A1982" s="18"/>
      <c r="B1982" s="18"/>
      <c r="C1982" s="18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8"/>
    </row>
    <row r="1983" spans="1:17">
      <c r="A1983" s="18"/>
      <c r="B1983" s="18"/>
      <c r="C1983" s="18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  <c r="P1983" s="18"/>
      <c r="Q1983" s="18"/>
    </row>
    <row r="1984" spans="1:17">
      <c r="A1984" s="18"/>
      <c r="B1984" s="18"/>
      <c r="C1984" s="18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8"/>
    </row>
    <row r="1985" spans="1:17">
      <c r="A1985" s="18"/>
      <c r="B1985" s="18"/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8"/>
    </row>
    <row r="1986" spans="1:17">
      <c r="A1986" s="149"/>
      <c r="B1986" s="18"/>
      <c r="C1986" s="18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8"/>
    </row>
    <row r="1987" spans="1:17">
      <c r="A1987" s="18"/>
      <c r="B1987" s="18"/>
      <c r="C1987" s="18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8"/>
    </row>
    <row r="1988" spans="1:17">
      <c r="A1988" s="18"/>
      <c r="B1988" s="18"/>
      <c r="C1988" s="18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8"/>
    </row>
    <row r="1989" spans="1:17">
      <c r="A1989" s="18"/>
      <c r="B1989" s="18"/>
      <c r="C1989" s="18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  <c r="P1989" s="18"/>
      <c r="Q1989" s="18"/>
    </row>
    <row r="1990" spans="1:17">
      <c r="A1990" s="149"/>
      <c r="B1990" s="18"/>
      <c r="C1990" s="18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8"/>
    </row>
    <row r="1991" spans="1:17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</row>
    <row r="1992" spans="1:17">
      <c r="A1992" s="18"/>
      <c r="B1992" s="18"/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</row>
    <row r="1993" spans="1:17">
      <c r="A1993" s="18"/>
      <c r="B1993" s="18"/>
      <c r="C1993" s="18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  <c r="P1993" s="18"/>
      <c r="Q1993" s="18"/>
    </row>
    <row r="1994" spans="1:17">
      <c r="A1994" s="149"/>
      <c r="B1994" s="18"/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  <c r="P1994" s="18"/>
      <c r="Q1994" s="18"/>
    </row>
    <row r="1995" spans="1:17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  <c r="P1995" s="18"/>
      <c r="Q1995" s="18"/>
    </row>
    <row r="1996" spans="1:17">
      <c r="A1996" s="18"/>
      <c r="B1996" s="18"/>
      <c r="C1996" s="18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  <c r="P1996" s="18"/>
      <c r="Q1996" s="18"/>
    </row>
    <row r="1997" spans="1:17">
      <c r="A1997" s="18"/>
      <c r="B1997" s="18"/>
      <c r="C1997" s="18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  <c r="P1997" s="18"/>
      <c r="Q1997" s="18"/>
    </row>
    <row r="1998" spans="1:17">
      <c r="A1998" s="149"/>
      <c r="B1998" s="18"/>
      <c r="C1998" s="18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8"/>
    </row>
    <row r="1999" spans="1:17">
      <c r="A1999" s="18"/>
      <c r="B1999" s="18"/>
      <c r="C1999" s="18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  <c r="P1999" s="18"/>
      <c r="Q1999" s="18"/>
    </row>
    <row r="2000" spans="1:17">
      <c r="A2000" s="18"/>
      <c r="B2000" s="18"/>
      <c r="C2000" s="18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</row>
    <row r="2001" spans="1:17">
      <c r="A2001" s="18"/>
      <c r="B2001" s="18"/>
      <c r="C2001" s="18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  <c r="P2001" s="18"/>
      <c r="Q2001" s="18"/>
    </row>
    <row r="2002" spans="1:17">
      <c r="A2002" s="18"/>
      <c r="B2002" s="18"/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8"/>
    </row>
    <row r="2003" spans="1:17">
      <c r="A2003" s="18"/>
      <c r="B2003" s="18"/>
      <c r="C2003" s="18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  <c r="P2003" s="18"/>
      <c r="Q2003" s="18"/>
    </row>
    <row r="2004" spans="1:17">
      <c r="A2004" s="18"/>
      <c r="B2004" s="18"/>
      <c r="C2004" s="18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  <c r="P2004" s="18"/>
      <c r="Q2004" s="18"/>
    </row>
    <row r="2005" spans="1:17">
      <c r="A2005" s="18"/>
      <c r="B2005" s="18"/>
      <c r="C2005" s="18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8"/>
    </row>
    <row r="2006" spans="1:17">
      <c r="A2006" s="18"/>
      <c r="B2006" s="18"/>
      <c r="C2006" s="18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</row>
    <row r="2007" spans="1:17">
      <c r="A2007" s="18"/>
      <c r="B2007" s="18"/>
      <c r="C2007" s="18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8"/>
    </row>
    <row r="2008" spans="1:17">
      <c r="A2008" s="18"/>
      <c r="B2008" s="18"/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  <c r="P2008" s="18"/>
      <c r="Q2008" s="18"/>
    </row>
    <row r="2009" spans="1:17">
      <c r="A2009" s="149"/>
      <c r="B2009" s="18"/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</row>
    <row r="2010" spans="1:17">
      <c r="A2010" s="18"/>
      <c r="B2010" s="18"/>
      <c r="C2010" s="18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  <c r="P2010" s="18"/>
      <c r="Q2010" s="18"/>
    </row>
    <row r="2011" spans="1:17">
      <c r="A2011" s="149"/>
      <c r="B2011" s="18"/>
      <c r="C2011" s="18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  <c r="P2011" s="18"/>
      <c r="Q2011" s="18"/>
    </row>
    <row r="2012" spans="1:17">
      <c r="A2012" s="18"/>
      <c r="B2012" s="18"/>
      <c r="C2012" s="18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</row>
    <row r="2013" spans="1:17">
      <c r="A2013" s="18"/>
      <c r="B2013" s="18"/>
      <c r="C2013" s="18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8"/>
    </row>
    <row r="2014" spans="1:17">
      <c r="A2014" s="18"/>
      <c r="B2014" s="18"/>
      <c r="C2014" s="18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  <c r="P2014" s="18"/>
      <c r="Q2014" s="18"/>
    </row>
    <row r="2015" spans="1:17">
      <c r="A2015" s="18"/>
      <c r="B2015" s="18"/>
      <c r="C2015" s="18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  <c r="P2015" s="18"/>
      <c r="Q2015" s="18"/>
    </row>
    <row r="2016" spans="1:17">
      <c r="A2016" s="18"/>
      <c r="B2016" s="18"/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  <c r="P2016" s="18"/>
      <c r="Q2016" s="18"/>
    </row>
    <row r="2017" spans="1:17">
      <c r="A2017" s="18"/>
      <c r="B2017" s="18"/>
      <c r="C2017" s="18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8"/>
    </row>
    <row r="2018" spans="1:17">
      <c r="A2018" s="18"/>
      <c r="B2018" s="18"/>
      <c r="C2018" s="18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  <c r="P2018" s="18"/>
      <c r="Q2018" s="18"/>
    </row>
    <row r="2019" spans="1:17">
      <c r="A2019" s="18"/>
      <c r="B2019" s="18"/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</row>
    <row r="2020" spans="1:17">
      <c r="A2020" s="18"/>
      <c r="B2020" s="18"/>
      <c r="C2020" s="18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  <c r="P2020" s="18"/>
      <c r="Q2020" s="18"/>
    </row>
    <row r="2021" spans="1:17">
      <c r="A2021" s="18"/>
      <c r="B2021" s="18"/>
      <c r="C2021" s="18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  <c r="P2021" s="18"/>
      <c r="Q2021" s="18"/>
    </row>
    <row r="2022" spans="1:17">
      <c r="A2022" s="18"/>
      <c r="B2022" s="18"/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  <c r="P2022" s="18"/>
      <c r="Q2022" s="18"/>
    </row>
    <row r="2023" spans="1:17">
      <c r="A2023" s="18"/>
      <c r="B2023" s="18"/>
      <c r="C2023" s="18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8"/>
    </row>
    <row r="2024" spans="1:17">
      <c r="A2024" s="149"/>
      <c r="B2024" s="18"/>
      <c r="C2024" s="18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8"/>
    </row>
    <row r="2025" spans="1:17">
      <c r="A2025" s="18"/>
      <c r="B2025" s="18"/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8"/>
    </row>
    <row r="2026" spans="1:17">
      <c r="A2026" s="18"/>
      <c r="B2026" s="18"/>
      <c r="C2026" s="18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8"/>
    </row>
    <row r="2027" spans="1:17">
      <c r="A2027" s="18"/>
      <c r="B2027" s="18"/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8"/>
    </row>
    <row r="2028" spans="1:17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</row>
    <row r="2029" spans="1:17">
      <c r="A2029" s="18"/>
      <c r="B2029" s="18"/>
      <c r="C2029" s="18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8"/>
    </row>
    <row r="2030" spans="1:17">
      <c r="A2030" s="149"/>
      <c r="B2030" s="18"/>
      <c r="C2030" s="18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  <c r="P2030" s="18"/>
      <c r="Q2030" s="18"/>
    </row>
    <row r="2031" spans="1:17">
      <c r="A2031" s="18"/>
      <c r="B2031" s="18"/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8"/>
    </row>
    <row r="2032" spans="1:17">
      <c r="A2032" s="18"/>
      <c r="B2032" s="18"/>
      <c r="C2032" s="18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8"/>
    </row>
    <row r="2033" spans="1:17">
      <c r="A2033" s="18"/>
      <c r="B2033" s="18"/>
      <c r="C2033" s="18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  <c r="P2033" s="18"/>
      <c r="Q2033" s="18"/>
    </row>
    <row r="2034" spans="1:17">
      <c r="A2034" s="18"/>
      <c r="B2034" s="18"/>
      <c r="C2034" s="18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8"/>
    </row>
    <row r="2035" spans="1:17">
      <c r="A2035" s="149"/>
      <c r="B2035" s="18"/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8"/>
    </row>
    <row r="2036" spans="1:17">
      <c r="A2036" s="18"/>
      <c r="B2036" s="18"/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</row>
    <row r="2037" spans="1:17">
      <c r="A2037" s="149"/>
      <c r="B2037" s="18"/>
      <c r="C2037" s="18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8"/>
    </row>
    <row r="2038" spans="1:17">
      <c r="A2038" s="18"/>
      <c r="B2038" s="18"/>
      <c r="C2038" s="18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8"/>
    </row>
    <row r="2039" spans="1:17">
      <c r="A2039" s="18"/>
      <c r="B2039" s="18"/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8"/>
    </row>
    <row r="2040" spans="1:17">
      <c r="A2040" s="149"/>
      <c r="B2040" s="18"/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</row>
    <row r="2041" spans="1:17">
      <c r="A2041" s="18"/>
      <c r="B2041" s="18"/>
      <c r="C2041" s="18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  <c r="P2041" s="18"/>
      <c r="Q2041" s="18"/>
    </row>
    <row r="2042" spans="1:17">
      <c r="A2042" s="18"/>
      <c r="B2042" s="18"/>
      <c r="C2042" s="18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</row>
    <row r="2043" spans="1:17">
      <c r="A2043" s="149"/>
      <c r="B2043" s="18"/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8"/>
    </row>
    <row r="2044" spans="1:17">
      <c r="A2044" s="18"/>
      <c r="B2044" s="18"/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  <c r="P2044" s="18"/>
      <c r="Q2044" s="18"/>
    </row>
    <row r="2045" spans="1:17">
      <c r="A2045" s="18"/>
      <c r="B2045" s="18"/>
      <c r="C2045" s="18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8"/>
    </row>
    <row r="2046" spans="1:17">
      <c r="A2046" s="149"/>
      <c r="B2046" s="18"/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  <c r="P2046" s="18"/>
      <c r="Q2046" s="18"/>
    </row>
    <row r="2047" spans="1:17">
      <c r="A2047" s="18"/>
      <c r="B2047" s="18"/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  <c r="P2047" s="18"/>
      <c r="Q2047" s="18"/>
    </row>
    <row r="2048" spans="1:17">
      <c r="A2048" s="18"/>
      <c r="B2048" s="18"/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8"/>
    </row>
    <row r="2049" spans="1:17">
      <c r="A2049" s="18"/>
      <c r="B2049" s="18"/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8"/>
    </row>
    <row r="2050" spans="1:17">
      <c r="A2050" s="149"/>
      <c r="B2050" s="18"/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  <c r="P2050" s="18"/>
      <c r="Q2050" s="18"/>
    </row>
    <row r="2051" spans="1:17">
      <c r="A2051" s="18"/>
      <c r="B2051" s="18"/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  <c r="P2051" s="18"/>
      <c r="Q2051" s="18"/>
    </row>
    <row r="2052" spans="1:17">
      <c r="A2052" s="149"/>
      <c r="B2052" s="18"/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8"/>
    </row>
    <row r="2053" spans="1:17">
      <c r="A2053" s="18"/>
      <c r="B2053" s="18"/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  <c r="P2053" s="18"/>
      <c r="Q2053" s="18"/>
    </row>
    <row r="2054" spans="1:17">
      <c r="A2054" s="18"/>
      <c r="B2054" s="18"/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  <c r="P2054" s="18"/>
      <c r="Q2054" s="18"/>
    </row>
    <row r="2055" spans="1:17">
      <c r="A2055" s="18"/>
      <c r="B2055" s="18"/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</row>
    <row r="2056" spans="1:17">
      <c r="A2056" s="18"/>
      <c r="B2056" s="18"/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  <c r="P2056" s="18"/>
      <c r="Q2056" s="18"/>
    </row>
    <row r="2057" spans="1:17">
      <c r="A2057" s="149"/>
      <c r="B2057" s="18"/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8"/>
    </row>
    <row r="2058" spans="1:17">
      <c r="A2058" s="18"/>
      <c r="B2058" s="18"/>
      <c r="C2058" s="18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  <c r="P2058" s="18"/>
      <c r="Q2058" s="18"/>
    </row>
    <row r="2059" spans="1:17">
      <c r="A2059" s="18"/>
      <c r="B2059" s="18"/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8"/>
    </row>
    <row r="2060" spans="1:17">
      <c r="A2060" s="18"/>
      <c r="B2060" s="18"/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8"/>
    </row>
    <row r="2061" spans="1:17">
      <c r="A2061" s="149"/>
      <c r="B2061" s="18"/>
      <c r="C2061" s="18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  <c r="P2061" s="18"/>
      <c r="Q2061" s="18"/>
    </row>
    <row r="2062" spans="1:17">
      <c r="A2062" s="18"/>
      <c r="B2062" s="18"/>
      <c r="C2062" s="18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  <c r="P2062" s="18"/>
      <c r="Q2062" s="18"/>
    </row>
    <row r="2063" spans="1:17">
      <c r="A2063" s="18"/>
      <c r="B2063" s="18"/>
      <c r="C2063" s="18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  <c r="P2063" s="18"/>
      <c r="Q2063" s="18"/>
    </row>
    <row r="2064" spans="1:17">
      <c r="A2064" s="18"/>
      <c r="B2064" s="18"/>
      <c r="C2064" s="18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  <c r="P2064" s="18"/>
      <c r="Q2064" s="18"/>
    </row>
    <row r="2065" spans="1:17">
      <c r="A2065" s="18"/>
      <c r="B2065" s="18"/>
      <c r="C2065" s="18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8"/>
    </row>
    <row r="2066" spans="1:17">
      <c r="A2066" s="18"/>
      <c r="B2066" s="18"/>
      <c r="C2066" s="18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  <c r="P2066" s="18"/>
      <c r="Q2066" s="18"/>
    </row>
    <row r="2067" spans="1:17">
      <c r="A2067" s="18"/>
      <c r="B2067" s="18"/>
      <c r="C2067" s="18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  <c r="P2067" s="18"/>
      <c r="Q2067" s="18"/>
    </row>
    <row r="2068" spans="1:17">
      <c r="A2068" s="149"/>
      <c r="B2068" s="18"/>
      <c r="C2068" s="18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  <c r="P2068" s="18"/>
      <c r="Q2068" s="18"/>
    </row>
    <row r="2069" spans="1:17">
      <c r="A2069" s="18"/>
      <c r="B2069" s="18"/>
      <c r="C2069" s="18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  <c r="P2069" s="18"/>
      <c r="Q2069" s="18"/>
    </row>
    <row r="2070" spans="1:17">
      <c r="A2070" s="18"/>
      <c r="B2070" s="18"/>
      <c r="C2070" s="18"/>
      <c r="D2070" s="18"/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  <c r="P2070" s="18"/>
      <c r="Q2070" s="18"/>
    </row>
    <row r="2071" spans="1:17">
      <c r="A2071" s="149"/>
      <c r="B2071" s="18"/>
      <c r="C2071" s="18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  <c r="P2071" s="18"/>
      <c r="Q2071" s="18"/>
    </row>
    <row r="2072" spans="1:17">
      <c r="A2072" s="18"/>
      <c r="B2072" s="18"/>
      <c r="C2072" s="18"/>
      <c r="D2072" s="18"/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  <c r="P2072" s="18"/>
      <c r="Q2072" s="18"/>
    </row>
    <row r="2073" spans="1:17">
      <c r="A2073" s="18"/>
      <c r="B2073" s="18"/>
      <c r="C2073" s="18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8"/>
    </row>
    <row r="2074" spans="1:17">
      <c r="A2074" s="149"/>
      <c r="B2074" s="18"/>
      <c r="C2074" s="18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  <c r="P2074" s="18"/>
      <c r="Q2074" s="18"/>
    </row>
    <row r="2075" spans="1:17">
      <c r="A2075" s="18"/>
      <c r="B2075" s="18"/>
      <c r="C2075" s="18"/>
      <c r="D2075" s="18"/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  <c r="P2075" s="18"/>
      <c r="Q2075" s="18"/>
    </row>
    <row r="2076" spans="1:17">
      <c r="A2076" s="18"/>
      <c r="B2076" s="18"/>
      <c r="C2076" s="18"/>
      <c r="D2076" s="18"/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  <c r="P2076" s="18"/>
      <c r="Q2076" s="18"/>
    </row>
    <row r="2077" spans="1:17">
      <c r="A2077" s="149"/>
      <c r="B2077" s="18"/>
      <c r="C2077" s="18"/>
      <c r="D2077" s="18"/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8"/>
    </row>
    <row r="2078" spans="1:17">
      <c r="A2078" s="18"/>
      <c r="B2078" s="18"/>
      <c r="C2078" s="18"/>
      <c r="D2078" s="18"/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8"/>
    </row>
    <row r="2079" spans="1:17">
      <c r="A2079" s="149"/>
      <c r="B2079" s="18"/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  <c r="P2079" s="18"/>
      <c r="Q2079" s="18"/>
    </row>
    <row r="2080" spans="1:17">
      <c r="A2080" s="18"/>
      <c r="B2080" s="18"/>
      <c r="C2080" s="18"/>
      <c r="D2080" s="18"/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  <c r="P2080" s="18"/>
      <c r="Q2080" s="18"/>
    </row>
    <row r="2081" spans="1:17">
      <c r="A2081" s="149"/>
      <c r="B2081" s="18"/>
      <c r="C2081" s="18"/>
      <c r="D2081" s="18"/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  <c r="P2081" s="18"/>
      <c r="Q2081" s="18"/>
    </row>
    <row r="2082" spans="1:17">
      <c r="A2082" s="18"/>
      <c r="B2082" s="18"/>
      <c r="C2082" s="18"/>
      <c r="D2082" s="18"/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8"/>
    </row>
    <row r="2083" spans="1:17">
      <c r="A2083" s="18"/>
      <c r="B2083" s="18"/>
      <c r="C2083" s="18"/>
      <c r="D2083" s="18"/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8"/>
    </row>
    <row r="2084" spans="1:17">
      <c r="A2084" s="18"/>
      <c r="B2084" s="18"/>
      <c r="C2084" s="18"/>
      <c r="D2084" s="18"/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8"/>
      <c r="P2084" s="18"/>
      <c r="Q2084" s="18"/>
    </row>
    <row r="2085" spans="1:17">
      <c r="A2085" s="18"/>
      <c r="B2085" s="18"/>
      <c r="C2085" s="18"/>
      <c r="D2085" s="18"/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8"/>
    </row>
    <row r="2086" spans="1:17">
      <c r="A2086" s="18"/>
      <c r="B2086" s="18"/>
      <c r="C2086" s="18"/>
      <c r="D2086" s="18"/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8"/>
      <c r="P2086" s="18"/>
      <c r="Q2086" s="18"/>
    </row>
    <row r="2087" spans="1:17">
      <c r="A2087" s="18"/>
      <c r="B2087" s="18"/>
      <c r="C2087" s="18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8"/>
    </row>
    <row r="2088" spans="1:17">
      <c r="A2088" s="18"/>
      <c r="B2088" s="18"/>
      <c r="C2088" s="18"/>
      <c r="D2088" s="18"/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8"/>
    </row>
    <row r="2089" spans="1:17">
      <c r="A2089" s="149"/>
      <c r="B2089" s="18"/>
      <c r="C2089" s="18"/>
      <c r="D2089" s="18"/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  <c r="P2089" s="18"/>
      <c r="Q2089" s="18"/>
    </row>
    <row r="2090" spans="1:17">
      <c r="A2090" s="18"/>
      <c r="B2090" s="18"/>
      <c r="C2090" s="18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8"/>
    </row>
    <row r="2091" spans="1:17">
      <c r="A2091" s="18"/>
      <c r="B2091" s="18"/>
      <c r="C2091" s="18"/>
      <c r="D2091" s="18"/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8"/>
    </row>
    <row r="2092" spans="1:17">
      <c r="A2092" s="149"/>
      <c r="B2092" s="18"/>
      <c r="C2092" s="18"/>
      <c r="D2092" s="18"/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  <c r="P2092" s="18"/>
      <c r="Q2092" s="18"/>
    </row>
    <row r="2093" spans="1:17">
      <c r="A2093" s="18"/>
      <c r="B2093" s="18"/>
      <c r="C2093" s="18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8"/>
    </row>
    <row r="2094" spans="1:17">
      <c r="A2094" s="18"/>
      <c r="B2094" s="18"/>
      <c r="C2094" s="18"/>
      <c r="D2094" s="18"/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  <c r="P2094" s="18"/>
      <c r="Q2094" s="18"/>
    </row>
    <row r="2095" spans="1:17">
      <c r="A2095" s="149"/>
      <c r="B2095" s="18"/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</row>
    <row r="2096" spans="1:17">
      <c r="A2096" s="18"/>
      <c r="B2096" s="18"/>
      <c r="C2096" s="18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  <c r="P2096" s="18"/>
      <c r="Q2096" s="18"/>
    </row>
    <row r="2097" spans="1:17">
      <c r="A2097" s="18"/>
      <c r="B2097" s="18"/>
      <c r="C2097" s="18"/>
      <c r="D2097" s="18"/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  <c r="P2097" s="18"/>
      <c r="Q2097" s="18"/>
    </row>
    <row r="2098" spans="1:17">
      <c r="A2098" s="18"/>
      <c r="B2098" s="18"/>
      <c r="C2098" s="18"/>
      <c r="D2098" s="18"/>
      <c r="E2098" s="18"/>
      <c r="F2098" s="18"/>
      <c r="G2098" s="18"/>
      <c r="H2098" s="18"/>
      <c r="I2098" s="18"/>
      <c r="J2098" s="18"/>
      <c r="K2098" s="18"/>
      <c r="L2098" s="18"/>
      <c r="M2098" s="18"/>
      <c r="N2098" s="18"/>
      <c r="O2098" s="18"/>
      <c r="P2098" s="18"/>
      <c r="Q2098" s="18"/>
    </row>
    <row r="2099" spans="1:17">
      <c r="A2099" s="18"/>
      <c r="B2099" s="18"/>
      <c r="C2099" s="18"/>
      <c r="D2099" s="18"/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  <c r="P2099" s="18"/>
      <c r="Q2099" s="18"/>
    </row>
    <row r="2100" spans="1:17">
      <c r="A2100" s="18"/>
      <c r="B2100" s="18"/>
      <c r="C2100" s="18"/>
      <c r="D2100" s="18"/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  <c r="P2100" s="18"/>
      <c r="Q2100" s="18"/>
    </row>
    <row r="2101" spans="1:17">
      <c r="A2101" s="18"/>
      <c r="B2101" s="18"/>
      <c r="C2101" s="18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  <c r="P2101" s="18"/>
      <c r="Q2101" s="18"/>
    </row>
    <row r="2102" spans="1:17">
      <c r="A2102" s="18"/>
      <c r="B2102" s="18"/>
      <c r="C2102" s="18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  <c r="P2102" s="18"/>
      <c r="Q2102" s="18"/>
    </row>
    <row r="2103" spans="1:17">
      <c r="A2103" s="149"/>
      <c r="B2103" s="18"/>
      <c r="C2103" s="18"/>
      <c r="D2103" s="18"/>
      <c r="E2103" s="18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  <c r="P2103" s="18"/>
      <c r="Q2103" s="18"/>
    </row>
    <row r="2104" spans="1:17">
      <c r="A2104" s="18"/>
      <c r="B2104" s="18"/>
      <c r="C2104" s="18"/>
      <c r="D2104" s="18"/>
      <c r="E2104" s="18"/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  <c r="P2104" s="18"/>
      <c r="Q2104" s="18"/>
    </row>
    <row r="2105" spans="1:17">
      <c r="A2105" s="18"/>
      <c r="B2105" s="18"/>
      <c r="C2105" s="18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  <c r="P2105" s="18"/>
      <c r="Q2105" s="18"/>
    </row>
    <row r="2106" spans="1:17">
      <c r="A2106" s="18"/>
      <c r="B2106" s="18"/>
      <c r="C2106" s="18"/>
      <c r="D2106" s="18"/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8"/>
      <c r="P2106" s="18"/>
      <c r="Q2106" s="18"/>
    </row>
    <row r="2107" spans="1:17">
      <c r="A2107" s="18"/>
      <c r="B2107" s="18"/>
      <c r="C2107" s="18"/>
      <c r="D2107" s="18"/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  <c r="P2107" s="18"/>
      <c r="Q2107" s="18"/>
    </row>
    <row r="2108" spans="1:17">
      <c r="A2108" s="18"/>
      <c r="B2108" s="18"/>
      <c r="C2108" s="18"/>
      <c r="D2108" s="18"/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  <c r="P2108" s="18"/>
      <c r="Q2108" s="18"/>
    </row>
    <row r="2109" spans="1:17">
      <c r="A2109" s="18"/>
      <c r="B2109" s="18"/>
      <c r="C2109" s="18"/>
      <c r="D2109" s="18"/>
      <c r="E2109" s="18"/>
      <c r="F2109" s="18"/>
      <c r="G2109" s="18"/>
      <c r="H2109" s="18"/>
      <c r="I2109" s="18"/>
      <c r="J2109" s="18"/>
      <c r="K2109" s="18"/>
      <c r="L2109" s="18"/>
      <c r="M2109" s="18"/>
      <c r="N2109" s="18"/>
      <c r="O2109" s="18"/>
      <c r="P2109" s="18"/>
      <c r="Q2109" s="18"/>
    </row>
    <row r="2110" spans="1:17">
      <c r="A2110" s="18"/>
      <c r="B2110" s="18"/>
      <c r="C2110" s="18"/>
      <c r="D2110" s="18"/>
      <c r="E2110" s="18"/>
      <c r="F2110" s="18"/>
      <c r="G2110" s="18"/>
      <c r="H2110" s="18"/>
      <c r="I2110" s="18"/>
      <c r="J2110" s="18"/>
      <c r="K2110" s="18"/>
      <c r="L2110" s="18"/>
      <c r="M2110" s="18"/>
      <c r="N2110" s="18"/>
      <c r="O2110" s="18"/>
      <c r="P2110" s="18"/>
      <c r="Q2110" s="18"/>
    </row>
    <row r="2111" spans="1:17">
      <c r="A2111" s="18"/>
      <c r="B2111" s="18"/>
      <c r="C2111" s="18"/>
      <c r="D2111" s="18"/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8"/>
    </row>
    <row r="2112" spans="1:17">
      <c r="A2112" s="149"/>
      <c r="B2112" s="18"/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  <c r="P2112" s="18"/>
      <c r="Q2112" s="18"/>
    </row>
    <row r="2113" spans="1:17">
      <c r="A2113" s="18"/>
      <c r="B2113" s="18"/>
      <c r="C2113" s="18"/>
      <c r="D2113" s="18"/>
      <c r="E2113" s="18"/>
      <c r="F2113" s="18"/>
      <c r="G2113" s="18"/>
      <c r="H2113" s="18"/>
      <c r="I2113" s="18"/>
      <c r="J2113" s="18"/>
      <c r="K2113" s="18"/>
      <c r="L2113" s="18"/>
      <c r="M2113" s="18"/>
      <c r="N2113" s="18"/>
      <c r="O2113" s="18"/>
      <c r="P2113" s="18"/>
      <c r="Q2113" s="18"/>
    </row>
    <row r="2114" spans="1:17">
      <c r="A2114" s="18"/>
      <c r="B2114" s="18"/>
      <c r="C2114" s="18"/>
      <c r="D2114" s="18"/>
      <c r="E2114" s="18"/>
      <c r="F2114" s="18"/>
      <c r="G2114" s="18"/>
      <c r="H2114" s="18"/>
      <c r="I2114" s="18"/>
      <c r="J2114" s="18"/>
      <c r="K2114" s="18"/>
      <c r="L2114" s="18"/>
      <c r="M2114" s="18"/>
      <c r="N2114" s="18"/>
      <c r="O2114" s="18"/>
      <c r="P2114" s="18"/>
      <c r="Q2114" s="18"/>
    </row>
    <row r="2115" spans="1:17">
      <c r="A2115" s="38"/>
      <c r="B2115" s="18"/>
      <c r="C2115" s="18"/>
      <c r="D2115" s="18"/>
      <c r="E2115" s="18"/>
      <c r="F2115" s="18"/>
      <c r="G2115" s="18"/>
      <c r="H2115" s="18"/>
      <c r="I2115" s="18"/>
      <c r="J2115" s="18"/>
      <c r="K2115" s="18"/>
      <c r="L2115" s="18"/>
      <c r="M2115" s="18"/>
      <c r="N2115" s="18"/>
      <c r="O2115" s="18"/>
      <c r="P2115" s="18"/>
      <c r="Q2115" s="18"/>
    </row>
    <row r="2116" spans="1:17">
      <c r="A2116" s="18"/>
      <c r="B2116" s="18"/>
      <c r="C2116" s="18"/>
      <c r="D2116" s="18"/>
      <c r="E2116" s="18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  <c r="P2116" s="18"/>
      <c r="Q2116" s="18"/>
    </row>
    <row r="2117" spans="1:17">
      <c r="A2117" s="18"/>
      <c r="B2117" s="18"/>
      <c r="C2117" s="18"/>
      <c r="D2117" s="18"/>
      <c r="E2117" s="18"/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  <c r="P2117" s="18"/>
      <c r="Q2117" s="18"/>
    </row>
    <row r="2118" spans="1:17">
      <c r="A2118" s="18"/>
      <c r="B2118" s="18"/>
      <c r="C2118" s="18"/>
      <c r="D2118" s="18"/>
      <c r="E2118" s="18"/>
      <c r="F2118" s="18"/>
      <c r="G2118" s="18"/>
      <c r="H2118" s="18"/>
      <c r="I2118" s="18"/>
      <c r="J2118" s="18"/>
      <c r="K2118" s="18"/>
      <c r="L2118" s="18"/>
      <c r="M2118" s="18"/>
      <c r="N2118" s="18"/>
      <c r="O2118" s="18"/>
      <c r="P2118" s="18"/>
      <c r="Q2118" s="18"/>
    </row>
    <row r="2119" spans="1:17">
      <c r="A2119" s="18"/>
      <c r="B2119" s="18"/>
      <c r="C2119" s="18"/>
      <c r="D2119" s="18"/>
      <c r="E2119" s="18"/>
      <c r="F2119" s="18"/>
      <c r="G2119" s="18"/>
      <c r="H2119" s="18"/>
      <c r="I2119" s="18"/>
      <c r="J2119" s="18"/>
      <c r="K2119" s="18"/>
      <c r="L2119" s="18"/>
      <c r="M2119" s="18"/>
      <c r="N2119" s="18"/>
      <c r="O2119" s="18"/>
      <c r="P2119" s="18"/>
      <c r="Q2119" s="18"/>
    </row>
    <row r="2120" spans="1:17">
      <c r="A2120" s="18"/>
      <c r="B2120" s="18"/>
      <c r="C2120" s="18"/>
      <c r="D2120" s="18"/>
      <c r="E2120" s="18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  <c r="P2120" s="18"/>
      <c r="Q2120" s="18"/>
    </row>
    <row r="2121" spans="1:17">
      <c r="A2121" s="149"/>
      <c r="B2121" s="18"/>
      <c r="C2121" s="18"/>
      <c r="D2121" s="18"/>
      <c r="E2121" s="18"/>
      <c r="F2121" s="18"/>
      <c r="G2121" s="18"/>
      <c r="H2121" s="18"/>
      <c r="I2121" s="18"/>
      <c r="J2121" s="18"/>
      <c r="K2121" s="18"/>
      <c r="L2121" s="18"/>
      <c r="M2121" s="18"/>
      <c r="N2121" s="18"/>
      <c r="O2121" s="18"/>
      <c r="P2121" s="18"/>
      <c r="Q2121" s="18"/>
    </row>
    <row r="2122" spans="1:17">
      <c r="A2122" s="18"/>
      <c r="B2122" s="18"/>
      <c r="C2122" s="18"/>
      <c r="D2122" s="18"/>
      <c r="E2122" s="18"/>
      <c r="F2122" s="18"/>
      <c r="G2122" s="18"/>
      <c r="H2122" s="18"/>
      <c r="I2122" s="18"/>
      <c r="J2122" s="18"/>
      <c r="K2122" s="18"/>
      <c r="L2122" s="18"/>
      <c r="M2122" s="18"/>
      <c r="N2122" s="18"/>
      <c r="O2122" s="18"/>
      <c r="P2122" s="18"/>
      <c r="Q2122" s="18"/>
    </row>
    <row r="2123" spans="1:17">
      <c r="A2123" s="18"/>
      <c r="B2123" s="18"/>
      <c r="C2123" s="18"/>
      <c r="D2123" s="18"/>
      <c r="E2123" s="18"/>
      <c r="F2123" s="18"/>
      <c r="G2123" s="18"/>
      <c r="H2123" s="18"/>
      <c r="I2123" s="18"/>
      <c r="J2123" s="18"/>
      <c r="K2123" s="18"/>
      <c r="L2123" s="18"/>
      <c r="M2123" s="18"/>
      <c r="N2123" s="18"/>
      <c r="O2123" s="18"/>
      <c r="P2123" s="18"/>
      <c r="Q2123" s="18"/>
    </row>
    <row r="2124" spans="1:17">
      <c r="A2124" s="149"/>
      <c r="B2124" s="18"/>
      <c r="C2124" s="18"/>
      <c r="D2124" s="18"/>
      <c r="E2124" s="18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  <c r="P2124" s="18"/>
      <c r="Q2124" s="18"/>
    </row>
    <row r="2125" spans="1:17">
      <c r="A2125" s="18"/>
      <c r="B2125" s="18"/>
      <c r="C2125" s="18"/>
      <c r="D2125" s="18"/>
      <c r="E2125" s="18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  <c r="P2125" s="18"/>
      <c r="Q2125" s="18"/>
    </row>
    <row r="2126" spans="1:17">
      <c r="A2126" s="18"/>
      <c r="B2126" s="18"/>
      <c r="C2126" s="18"/>
      <c r="D2126" s="18"/>
      <c r="E2126" s="18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  <c r="P2126" s="18"/>
      <c r="Q2126" s="18"/>
    </row>
    <row r="2127" spans="1:17">
      <c r="A2127" s="18"/>
      <c r="B2127" s="18"/>
      <c r="C2127" s="18"/>
      <c r="D2127" s="18"/>
      <c r="E2127" s="18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  <c r="P2127" s="18"/>
      <c r="Q2127" s="18"/>
    </row>
    <row r="2128" spans="1:17">
      <c r="A2128" s="18"/>
      <c r="B2128" s="18"/>
      <c r="C2128" s="18"/>
      <c r="D2128" s="18"/>
      <c r="E2128" s="18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  <c r="P2128" s="18"/>
      <c r="Q2128" s="18"/>
    </row>
    <row r="2129" spans="1:17">
      <c r="A2129" s="18"/>
      <c r="B2129" s="18"/>
      <c r="C2129" s="18"/>
      <c r="D2129" s="18"/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  <c r="P2129" s="18"/>
      <c r="Q2129" s="18"/>
    </row>
    <row r="2130" spans="1:17">
      <c r="A2130" s="18"/>
      <c r="B2130" s="18"/>
      <c r="C2130" s="18"/>
      <c r="D2130" s="18"/>
      <c r="E2130" s="18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  <c r="P2130" s="18"/>
      <c r="Q2130" s="18"/>
    </row>
    <row r="2131" spans="1:17">
      <c r="A2131" s="18"/>
      <c r="B2131" s="18"/>
      <c r="C2131" s="18"/>
      <c r="D2131" s="18"/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8"/>
    </row>
    <row r="2132" spans="1:17">
      <c r="A2132" s="18"/>
      <c r="B2132" s="18"/>
      <c r="C2132" s="18"/>
      <c r="D2132" s="18"/>
      <c r="E2132" s="18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  <c r="P2132" s="18"/>
      <c r="Q2132" s="18"/>
    </row>
    <row r="2133" spans="1:17">
      <c r="A2133" s="18"/>
      <c r="B2133" s="18"/>
      <c r="C2133" s="18"/>
      <c r="D2133" s="18"/>
      <c r="E2133" s="18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8"/>
    </row>
    <row r="2134" spans="1:17">
      <c r="A2134" s="18"/>
      <c r="B2134" s="18"/>
      <c r="C2134" s="18"/>
      <c r="D2134" s="18"/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8"/>
    </row>
    <row r="2135" spans="1:17">
      <c r="A2135" s="18"/>
      <c r="B2135" s="18"/>
      <c r="C2135" s="18"/>
      <c r="D2135" s="18"/>
      <c r="E2135" s="18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  <c r="P2135" s="18"/>
      <c r="Q2135" s="18"/>
    </row>
    <row r="2136" spans="1:17">
      <c r="A2136" s="18"/>
      <c r="B2136" s="18"/>
      <c r="C2136" s="18"/>
      <c r="D2136" s="18"/>
      <c r="E2136" s="18"/>
      <c r="F2136" s="18"/>
      <c r="G2136" s="18"/>
      <c r="H2136" s="18"/>
      <c r="I2136" s="18"/>
      <c r="J2136" s="18"/>
      <c r="K2136" s="18"/>
      <c r="L2136" s="18"/>
      <c r="M2136" s="18"/>
      <c r="N2136" s="18"/>
      <c r="O2136" s="18"/>
      <c r="P2136" s="18"/>
      <c r="Q2136" s="18"/>
    </row>
    <row r="2137" spans="1:17">
      <c r="A2137" s="18"/>
      <c r="B2137" s="18"/>
      <c r="C2137" s="18"/>
      <c r="D2137" s="18"/>
      <c r="E2137" s="18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  <c r="P2137" s="18"/>
      <c r="Q2137" s="18"/>
    </row>
    <row r="2138" spans="1:17">
      <c r="A2138" s="149"/>
      <c r="B2138" s="18"/>
      <c r="C2138" s="18"/>
      <c r="D2138" s="18"/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  <c r="P2138" s="18"/>
      <c r="Q2138" s="18"/>
    </row>
    <row r="2139" spans="1:17">
      <c r="A2139" s="18"/>
      <c r="B2139" s="18"/>
      <c r="C2139" s="18"/>
      <c r="D2139" s="18"/>
      <c r="E2139" s="18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  <c r="P2139" s="18"/>
      <c r="Q2139" s="18"/>
    </row>
    <row r="2140" spans="1:17">
      <c r="A2140" s="18"/>
      <c r="B2140" s="18"/>
      <c r="C2140" s="18"/>
      <c r="D2140" s="18"/>
      <c r="E2140" s="18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8"/>
    </row>
    <row r="2141" spans="1:17">
      <c r="A2141" s="18"/>
      <c r="B2141" s="18"/>
      <c r="C2141" s="18"/>
      <c r="D2141" s="18"/>
      <c r="E2141" s="18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  <c r="P2141" s="18"/>
      <c r="Q2141" s="18"/>
    </row>
    <row r="2142" spans="1:17">
      <c r="A2142" s="18"/>
      <c r="B2142" s="18"/>
      <c r="C2142" s="18"/>
      <c r="D2142" s="18"/>
      <c r="E2142" s="18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  <c r="P2142" s="18"/>
      <c r="Q2142" s="18"/>
    </row>
    <row r="2143" spans="1:17">
      <c r="A2143" s="18"/>
      <c r="B2143" s="18"/>
      <c r="C2143" s="18"/>
      <c r="D2143" s="18"/>
      <c r="E2143" s="18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  <c r="P2143" s="18"/>
      <c r="Q2143" s="18"/>
    </row>
    <row r="2144" spans="1:17">
      <c r="A2144" s="18"/>
      <c r="B2144" s="18"/>
      <c r="C2144" s="18"/>
      <c r="D2144" s="18"/>
      <c r="E2144" s="18"/>
      <c r="F2144" s="18"/>
      <c r="G2144" s="18"/>
      <c r="H2144" s="18"/>
      <c r="I2144" s="18"/>
      <c r="J2144" s="18"/>
      <c r="K2144" s="18"/>
      <c r="L2144" s="18"/>
      <c r="M2144" s="18"/>
      <c r="N2144" s="18"/>
      <c r="O2144" s="18"/>
      <c r="P2144" s="18"/>
      <c r="Q2144" s="18"/>
    </row>
    <row r="2145" spans="1:17">
      <c r="A2145" s="18"/>
      <c r="B2145" s="18"/>
      <c r="C2145" s="18"/>
      <c r="D2145" s="18"/>
      <c r="E2145" s="18"/>
      <c r="F2145" s="18"/>
      <c r="G2145" s="18"/>
      <c r="H2145" s="18"/>
      <c r="I2145" s="18"/>
      <c r="J2145" s="18"/>
      <c r="K2145" s="18"/>
      <c r="L2145" s="18"/>
      <c r="M2145" s="18"/>
      <c r="N2145" s="18"/>
      <c r="O2145" s="18"/>
      <c r="P2145" s="18"/>
      <c r="Q2145" s="18"/>
    </row>
    <row r="2146" spans="1:17">
      <c r="A2146" s="18"/>
      <c r="B2146" s="18"/>
      <c r="C2146" s="18"/>
      <c r="D2146" s="18"/>
      <c r="E2146" s="18"/>
      <c r="F2146" s="18"/>
      <c r="G2146" s="18"/>
      <c r="H2146" s="18"/>
      <c r="I2146" s="18"/>
      <c r="J2146" s="18"/>
      <c r="K2146" s="18"/>
      <c r="L2146" s="18"/>
      <c r="M2146" s="18"/>
      <c r="N2146" s="18"/>
      <c r="O2146" s="18"/>
      <c r="P2146" s="18"/>
      <c r="Q2146" s="18"/>
    </row>
    <row r="2147" spans="1:17">
      <c r="A2147" s="18"/>
      <c r="B2147" s="18"/>
      <c r="C2147" s="18"/>
      <c r="D2147" s="18"/>
      <c r="E2147" s="18"/>
      <c r="F2147" s="18"/>
      <c r="G2147" s="18"/>
      <c r="H2147" s="18"/>
      <c r="I2147" s="18"/>
      <c r="J2147" s="18"/>
      <c r="K2147" s="18"/>
      <c r="L2147" s="18"/>
      <c r="M2147" s="18"/>
      <c r="N2147" s="18"/>
      <c r="O2147" s="18"/>
      <c r="P2147" s="18"/>
      <c r="Q2147" s="18"/>
    </row>
    <row r="2148" spans="1:17">
      <c r="A2148" s="18"/>
      <c r="B2148" s="18"/>
      <c r="C2148" s="18"/>
      <c r="D2148" s="18"/>
      <c r="E2148" s="18"/>
      <c r="F2148" s="18"/>
      <c r="G2148" s="18"/>
      <c r="H2148" s="18"/>
      <c r="I2148" s="18"/>
      <c r="J2148" s="18"/>
      <c r="K2148" s="18"/>
      <c r="L2148" s="18"/>
      <c r="M2148" s="18"/>
      <c r="N2148" s="18"/>
      <c r="O2148" s="18"/>
      <c r="P2148" s="18"/>
      <c r="Q2148" s="18"/>
    </row>
    <row r="2149" spans="1:17">
      <c r="A2149" s="18"/>
      <c r="B2149" s="18"/>
      <c r="C2149" s="18"/>
      <c r="D2149" s="18"/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8"/>
      <c r="P2149" s="18"/>
      <c r="Q2149" s="18"/>
    </row>
    <row r="2150" spans="1:17" s="18" customFormat="1"/>
    <row r="2151" spans="1:17" s="18" customFormat="1"/>
    <row r="2152" spans="1:17" s="18" customFormat="1"/>
    <row r="2153" spans="1:17">
      <c r="A2153" s="18"/>
      <c r="B2153" s="18"/>
      <c r="C2153" s="18"/>
      <c r="D2153" s="18"/>
      <c r="E2153" s="18"/>
      <c r="F2153" s="18"/>
      <c r="G2153" s="18"/>
      <c r="H2153" s="18"/>
      <c r="I2153" s="18"/>
      <c r="J2153" s="18"/>
      <c r="K2153" s="18"/>
      <c r="L2153" s="18"/>
      <c r="M2153" s="18"/>
      <c r="N2153" s="18"/>
      <c r="O2153" s="18"/>
      <c r="P2153" s="18"/>
      <c r="Q2153" s="18"/>
    </row>
    <row r="2154" spans="1:17">
      <c r="A2154" s="149"/>
      <c r="B2154" s="18"/>
      <c r="C2154" s="18"/>
      <c r="D2154" s="18"/>
      <c r="E2154" s="18"/>
      <c r="F2154" s="18"/>
      <c r="G2154" s="18"/>
      <c r="H2154" s="18"/>
      <c r="I2154" s="18"/>
      <c r="J2154" s="18"/>
      <c r="K2154" s="18"/>
      <c r="L2154" s="18"/>
      <c r="M2154" s="18"/>
      <c r="N2154" s="18"/>
      <c r="O2154" s="18"/>
      <c r="P2154" s="18"/>
      <c r="Q2154" s="18"/>
    </row>
    <row r="2155" spans="1:17">
      <c r="A2155" s="18"/>
      <c r="B2155" s="18"/>
      <c r="C2155" s="18"/>
      <c r="D2155" s="18"/>
      <c r="E2155" s="18"/>
      <c r="F2155" s="18"/>
      <c r="G2155" s="18"/>
      <c r="H2155" s="18"/>
      <c r="I2155" s="18"/>
      <c r="J2155" s="18"/>
      <c r="K2155" s="18"/>
      <c r="L2155" s="18"/>
      <c r="M2155" s="18"/>
      <c r="N2155" s="18"/>
      <c r="O2155" s="18"/>
      <c r="P2155" s="18"/>
      <c r="Q2155" s="18"/>
    </row>
    <row r="2156" spans="1:17">
      <c r="A2156" s="18"/>
      <c r="B2156" s="18"/>
      <c r="C2156" s="18"/>
      <c r="D2156" s="18"/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8"/>
      <c r="P2156" s="18"/>
      <c r="Q2156" s="18"/>
    </row>
    <row r="2157" spans="1:17">
      <c r="A2157" s="18"/>
      <c r="B2157" s="18"/>
      <c r="C2157" s="18"/>
      <c r="D2157" s="18"/>
      <c r="E2157" s="18"/>
      <c r="F2157" s="18"/>
      <c r="G2157" s="18"/>
      <c r="H2157" s="18"/>
      <c r="I2157" s="18"/>
      <c r="J2157" s="18"/>
      <c r="K2157" s="18"/>
      <c r="L2157" s="18"/>
      <c r="M2157" s="18"/>
      <c r="N2157" s="18"/>
      <c r="O2157" s="18"/>
      <c r="P2157" s="18"/>
      <c r="Q2157" s="18"/>
    </row>
    <row r="2158" spans="1:17">
      <c r="A2158" s="18"/>
      <c r="B2158" s="18"/>
      <c r="C2158" s="18"/>
      <c r="D2158" s="18"/>
      <c r="E2158" s="18"/>
      <c r="F2158" s="18"/>
      <c r="G2158" s="18"/>
      <c r="H2158" s="18"/>
      <c r="I2158" s="18"/>
      <c r="J2158" s="18"/>
      <c r="K2158" s="18"/>
      <c r="L2158" s="18"/>
      <c r="M2158" s="18"/>
      <c r="N2158" s="18"/>
      <c r="O2158" s="18"/>
      <c r="P2158" s="18"/>
      <c r="Q2158" s="18"/>
    </row>
    <row r="2159" spans="1:17">
      <c r="A2159" s="18"/>
      <c r="B2159" s="18"/>
      <c r="C2159" s="18"/>
      <c r="D2159" s="18"/>
      <c r="E2159" s="18"/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  <c r="P2159" s="18"/>
      <c r="Q2159" s="18"/>
    </row>
    <row r="2160" spans="1:17">
      <c r="A2160" s="18"/>
      <c r="B2160" s="18"/>
      <c r="C2160" s="18"/>
      <c r="D2160" s="18"/>
      <c r="E2160" s="18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  <c r="P2160" s="18"/>
      <c r="Q2160" s="18"/>
    </row>
    <row r="2161" spans="1:17">
      <c r="A2161" s="18"/>
      <c r="B2161" s="18"/>
      <c r="C2161" s="18"/>
      <c r="D2161" s="18"/>
      <c r="E2161" s="18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  <c r="P2161" s="18"/>
      <c r="Q2161" s="18"/>
    </row>
    <row r="2162" spans="1:17">
      <c r="A2162" s="18"/>
      <c r="B2162" s="18"/>
      <c r="C2162" s="18"/>
      <c r="D2162" s="18"/>
      <c r="E2162" s="18"/>
      <c r="F2162" s="18"/>
      <c r="G2162" s="18"/>
      <c r="H2162" s="18"/>
      <c r="I2162" s="18"/>
      <c r="J2162" s="18"/>
      <c r="K2162" s="18"/>
      <c r="L2162" s="18"/>
      <c r="M2162" s="18"/>
      <c r="N2162" s="18"/>
      <c r="O2162" s="18"/>
      <c r="P2162" s="18"/>
      <c r="Q2162" s="18"/>
    </row>
    <row r="2163" spans="1:17">
      <c r="A2163" s="18"/>
      <c r="B2163" s="18"/>
      <c r="C2163" s="18"/>
      <c r="D2163" s="18"/>
      <c r="E2163" s="18"/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  <c r="P2163" s="18"/>
      <c r="Q2163" s="18"/>
    </row>
    <row r="2164" spans="1:17">
      <c r="A2164" s="18"/>
      <c r="B2164" s="18"/>
      <c r="C2164" s="18"/>
      <c r="D2164" s="18"/>
      <c r="E2164" s="18"/>
      <c r="F2164" s="18"/>
      <c r="G2164" s="18"/>
      <c r="H2164" s="18"/>
      <c r="I2164" s="18"/>
      <c r="J2164" s="18"/>
      <c r="K2164" s="18"/>
      <c r="L2164" s="18"/>
      <c r="M2164" s="18"/>
      <c r="N2164" s="18"/>
      <c r="O2164" s="18"/>
      <c r="P2164" s="18"/>
      <c r="Q2164" s="18"/>
    </row>
    <row r="2165" spans="1:17">
      <c r="A2165" s="18"/>
      <c r="B2165" s="18"/>
      <c r="C2165" s="18"/>
      <c r="D2165" s="18"/>
      <c r="E2165" s="18"/>
      <c r="F2165" s="18"/>
      <c r="G2165" s="18"/>
      <c r="H2165" s="18"/>
      <c r="I2165" s="18"/>
      <c r="J2165" s="18"/>
      <c r="K2165" s="18"/>
      <c r="L2165" s="18"/>
      <c r="M2165" s="18"/>
      <c r="N2165" s="18"/>
      <c r="O2165" s="18"/>
      <c r="P2165" s="18"/>
      <c r="Q2165" s="18"/>
    </row>
    <row r="2166" spans="1:17">
      <c r="A2166" s="18"/>
      <c r="B2166" s="18"/>
      <c r="C2166" s="18"/>
      <c r="D2166" s="18"/>
      <c r="E2166" s="18"/>
      <c r="F2166" s="18"/>
      <c r="G2166" s="18"/>
      <c r="H2166" s="18"/>
      <c r="I2166" s="18"/>
      <c r="J2166" s="18"/>
      <c r="K2166" s="18"/>
      <c r="L2166" s="18"/>
      <c r="M2166" s="18"/>
      <c r="N2166" s="18"/>
      <c r="O2166" s="18"/>
      <c r="P2166" s="18"/>
      <c r="Q2166" s="18"/>
    </row>
    <row r="2167" spans="1:17">
      <c r="A2167" s="18"/>
      <c r="B2167" s="18"/>
      <c r="C2167" s="18"/>
      <c r="D2167" s="18"/>
      <c r="E2167" s="18"/>
      <c r="F2167" s="18"/>
      <c r="G2167" s="18"/>
      <c r="H2167" s="18"/>
      <c r="I2167" s="18"/>
      <c r="J2167" s="18"/>
      <c r="K2167" s="18"/>
      <c r="L2167" s="18"/>
      <c r="M2167" s="18"/>
      <c r="N2167" s="18"/>
      <c r="O2167" s="18"/>
      <c r="P2167" s="18"/>
      <c r="Q2167" s="18"/>
    </row>
    <row r="2168" spans="1:17">
      <c r="A2168" s="18"/>
      <c r="B2168" s="18"/>
      <c r="C2168" s="18"/>
      <c r="D2168" s="18"/>
      <c r="E2168" s="18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  <c r="P2168" s="18"/>
      <c r="Q2168" s="18"/>
    </row>
    <row r="2169" spans="1:17">
      <c r="A2169" s="18"/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8"/>
      <c r="P2169" s="18"/>
      <c r="Q2169" s="18"/>
    </row>
    <row r="2170" spans="1:17">
      <c r="A2170" s="18"/>
      <c r="B2170" s="18"/>
      <c r="C2170" s="18"/>
      <c r="D2170" s="18"/>
      <c r="E2170" s="18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  <c r="P2170" s="18"/>
      <c r="Q2170" s="18"/>
    </row>
    <row r="2171" spans="1:17">
      <c r="A2171" s="18"/>
      <c r="B2171" s="18"/>
      <c r="C2171" s="18"/>
      <c r="D2171" s="18"/>
      <c r="E2171" s="18"/>
      <c r="F2171" s="18"/>
      <c r="G2171" s="18"/>
      <c r="H2171" s="18"/>
      <c r="I2171" s="18"/>
      <c r="J2171" s="18"/>
      <c r="K2171" s="18"/>
      <c r="L2171" s="18"/>
      <c r="M2171" s="18"/>
      <c r="N2171" s="18"/>
      <c r="O2171" s="18"/>
      <c r="P2171" s="18"/>
      <c r="Q2171" s="18"/>
    </row>
    <row r="2172" spans="1:17">
      <c r="A2172" s="149"/>
      <c r="B2172" s="18"/>
      <c r="C2172" s="18"/>
      <c r="D2172" s="18"/>
      <c r="E2172" s="18"/>
      <c r="F2172" s="18"/>
      <c r="G2172" s="18"/>
      <c r="H2172" s="18"/>
      <c r="I2172" s="18"/>
      <c r="J2172" s="18"/>
      <c r="K2172" s="18"/>
      <c r="L2172" s="18"/>
      <c r="M2172" s="18"/>
      <c r="N2172" s="18"/>
      <c r="O2172" s="18"/>
      <c r="P2172" s="18"/>
      <c r="Q2172" s="18"/>
    </row>
    <row r="2173" spans="1:17">
      <c r="A2173" s="18"/>
      <c r="B2173" s="18"/>
      <c r="C2173" s="18"/>
      <c r="D2173" s="18"/>
      <c r="E2173" s="18"/>
      <c r="F2173" s="18"/>
      <c r="G2173" s="18"/>
      <c r="H2173" s="18"/>
      <c r="I2173" s="18"/>
      <c r="J2173" s="18"/>
      <c r="K2173" s="18"/>
      <c r="L2173" s="18"/>
      <c r="M2173" s="18"/>
      <c r="N2173" s="18"/>
      <c r="O2173" s="18"/>
      <c r="P2173" s="18"/>
      <c r="Q2173" s="18"/>
    </row>
    <row r="2174" spans="1:17">
      <c r="A2174" s="18"/>
      <c r="B2174" s="18"/>
      <c r="C2174" s="18"/>
      <c r="D2174" s="18"/>
      <c r="E2174" s="18"/>
      <c r="F2174" s="18"/>
      <c r="G2174" s="18"/>
      <c r="H2174" s="18"/>
      <c r="I2174" s="18"/>
      <c r="J2174" s="18"/>
      <c r="K2174" s="18"/>
      <c r="L2174" s="18"/>
      <c r="M2174" s="18"/>
      <c r="N2174" s="18"/>
      <c r="O2174" s="18"/>
      <c r="P2174" s="18"/>
      <c r="Q2174" s="18"/>
    </row>
    <row r="2175" spans="1:17">
      <c r="A2175" s="18"/>
      <c r="B2175" s="18"/>
      <c r="C2175" s="18"/>
      <c r="D2175" s="18"/>
      <c r="E2175" s="18"/>
      <c r="F2175" s="18"/>
      <c r="G2175" s="18"/>
      <c r="H2175" s="18"/>
      <c r="I2175" s="18"/>
      <c r="J2175" s="18"/>
      <c r="K2175" s="18"/>
      <c r="L2175" s="18"/>
      <c r="M2175" s="18"/>
      <c r="N2175" s="18"/>
      <c r="O2175" s="18"/>
      <c r="P2175" s="18"/>
      <c r="Q2175" s="18"/>
    </row>
    <row r="2176" spans="1:17">
      <c r="A2176" s="18"/>
      <c r="B2176" s="18"/>
      <c r="C2176" s="18"/>
      <c r="D2176" s="18"/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8"/>
      <c r="P2176" s="18"/>
      <c r="Q2176" s="18"/>
    </row>
    <row r="2177" spans="1:17">
      <c r="A2177" s="18"/>
      <c r="B2177" s="18"/>
      <c r="C2177" s="18"/>
      <c r="D2177" s="18"/>
      <c r="E2177" s="18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  <c r="P2177" s="18"/>
      <c r="Q2177" s="18"/>
    </row>
    <row r="2178" spans="1:17">
      <c r="A2178" s="18"/>
      <c r="B2178" s="18"/>
      <c r="C2178" s="18"/>
      <c r="D2178" s="18"/>
      <c r="E2178" s="18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  <c r="P2178" s="18"/>
      <c r="Q2178" s="18"/>
    </row>
    <row r="2179" spans="1:17">
      <c r="A2179" s="149"/>
      <c r="B2179" s="18"/>
      <c r="C2179" s="18"/>
      <c r="D2179" s="18"/>
      <c r="E2179" s="18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  <c r="P2179" s="18"/>
      <c r="Q2179" s="18"/>
    </row>
    <row r="2180" spans="1:17">
      <c r="A2180" s="18"/>
      <c r="B2180" s="18"/>
      <c r="C2180" s="18"/>
      <c r="D2180" s="18"/>
      <c r="E2180" s="18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  <c r="P2180" s="18"/>
      <c r="Q2180" s="18"/>
    </row>
    <row r="2181" spans="1:17">
      <c r="A2181" s="18"/>
      <c r="B2181" s="18"/>
      <c r="C2181" s="18"/>
      <c r="D2181" s="18"/>
      <c r="E2181" s="18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  <c r="P2181" s="18"/>
      <c r="Q2181" s="18"/>
    </row>
    <row r="2182" spans="1:17">
      <c r="A2182" s="18"/>
      <c r="B2182" s="18"/>
      <c r="C2182" s="18"/>
      <c r="D2182" s="18"/>
      <c r="E2182" s="18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8"/>
    </row>
    <row r="2183" spans="1:17">
      <c r="A2183" s="18"/>
      <c r="B2183" s="18"/>
      <c r="C2183" s="18"/>
      <c r="D2183" s="18"/>
      <c r="E2183" s="18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  <c r="P2183" s="18"/>
      <c r="Q2183" s="18"/>
    </row>
    <row r="2184" spans="1:17">
      <c r="A2184" s="18"/>
      <c r="B2184" s="18"/>
      <c r="C2184" s="18"/>
      <c r="D2184" s="18"/>
      <c r="E2184" s="18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  <c r="P2184" s="18"/>
      <c r="Q2184" s="18"/>
    </row>
    <row r="2185" spans="1:17">
      <c r="A2185" s="18"/>
      <c r="B2185" s="18"/>
      <c r="C2185" s="18"/>
      <c r="D2185" s="18"/>
      <c r="E2185" s="18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8"/>
    </row>
    <row r="2186" spans="1:17">
      <c r="A2186" s="18"/>
      <c r="B2186" s="18"/>
      <c r="C2186" s="18"/>
      <c r="D2186" s="18"/>
      <c r="E2186" s="18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  <c r="P2186" s="18"/>
      <c r="Q2186" s="18"/>
    </row>
    <row r="2187" spans="1:17">
      <c r="A2187" s="18"/>
      <c r="B2187" s="18"/>
      <c r="C2187" s="18"/>
      <c r="D2187" s="18"/>
      <c r="E2187" s="18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  <c r="P2187" s="18"/>
      <c r="Q2187" s="18"/>
    </row>
    <row r="2188" spans="1:17">
      <c r="A2188" s="18"/>
      <c r="B2188" s="18"/>
      <c r="C2188" s="18"/>
      <c r="D2188" s="18"/>
      <c r="E2188" s="18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8"/>
    </row>
    <row r="2189" spans="1:17">
      <c r="A2189" s="149"/>
      <c r="B2189" s="18"/>
      <c r="C2189" s="18"/>
      <c r="D2189" s="18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  <c r="P2189" s="18"/>
      <c r="Q2189" s="18"/>
    </row>
    <row r="2190" spans="1:17">
      <c r="A2190" s="18"/>
      <c r="B2190" s="18"/>
      <c r="C2190" s="18"/>
      <c r="D2190" s="18"/>
      <c r="E2190" s="18"/>
      <c r="F2190" s="18"/>
      <c r="G2190" s="18"/>
      <c r="H2190" s="18"/>
      <c r="I2190" s="18"/>
      <c r="J2190" s="18"/>
      <c r="K2190" s="18"/>
      <c r="L2190" s="18"/>
      <c r="M2190" s="18"/>
      <c r="N2190" s="18"/>
      <c r="O2190" s="18"/>
      <c r="P2190" s="18"/>
      <c r="Q2190" s="18"/>
    </row>
    <row r="2191" spans="1:17">
      <c r="A2191" s="18"/>
      <c r="B2191" s="18"/>
      <c r="C2191" s="18"/>
      <c r="D2191" s="18"/>
      <c r="E2191" s="18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8"/>
    </row>
    <row r="2192" spans="1:17">
      <c r="A2192" s="18"/>
      <c r="B2192" s="18"/>
      <c r="C2192" s="18"/>
      <c r="D2192" s="18"/>
      <c r="E2192" s="18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  <c r="P2192" s="18"/>
      <c r="Q2192" s="18"/>
    </row>
    <row r="2193" spans="1:17">
      <c r="A2193" s="18"/>
      <c r="B2193" s="18"/>
      <c r="C2193" s="18"/>
      <c r="D2193" s="18"/>
      <c r="E2193" s="18"/>
      <c r="F2193" s="18"/>
      <c r="G2193" s="18"/>
      <c r="H2193" s="18"/>
      <c r="I2193" s="18"/>
      <c r="J2193" s="18"/>
      <c r="K2193" s="18"/>
      <c r="L2193" s="18"/>
      <c r="M2193" s="18"/>
      <c r="N2193" s="18"/>
      <c r="O2193" s="18"/>
      <c r="P2193" s="18"/>
      <c r="Q2193" s="18"/>
    </row>
    <row r="2194" spans="1:17">
      <c r="A2194" s="18"/>
      <c r="B2194" s="18"/>
      <c r="C2194" s="18"/>
      <c r="D2194" s="18"/>
      <c r="E2194" s="18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  <c r="P2194" s="18"/>
      <c r="Q2194" s="18"/>
    </row>
    <row r="2195" spans="1:17">
      <c r="A2195" s="18"/>
      <c r="B2195" s="18"/>
      <c r="C2195" s="18"/>
      <c r="D2195" s="18"/>
      <c r="E2195" s="18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  <c r="P2195" s="18"/>
      <c r="Q2195" s="18"/>
    </row>
    <row r="2196" spans="1:17">
      <c r="A2196" s="149"/>
      <c r="B2196" s="18"/>
      <c r="C2196" s="18"/>
      <c r="D2196" s="18"/>
      <c r="E2196" s="18"/>
      <c r="F2196" s="18"/>
      <c r="G2196" s="18"/>
      <c r="H2196" s="18"/>
      <c r="I2196" s="18"/>
      <c r="J2196" s="18"/>
      <c r="K2196" s="18"/>
      <c r="L2196" s="18"/>
      <c r="M2196" s="18"/>
      <c r="N2196" s="18"/>
      <c r="O2196" s="18"/>
      <c r="P2196" s="18"/>
      <c r="Q2196" s="18"/>
    </row>
    <row r="2197" spans="1:17">
      <c r="A2197" s="18"/>
      <c r="B2197" s="18"/>
      <c r="C2197" s="18"/>
      <c r="D2197" s="18"/>
      <c r="E2197" s="18"/>
      <c r="F2197" s="18"/>
      <c r="G2197" s="18"/>
      <c r="H2197" s="18"/>
      <c r="I2197" s="18"/>
      <c r="J2197" s="18"/>
      <c r="K2197" s="18"/>
      <c r="L2197" s="18"/>
      <c r="M2197" s="18"/>
      <c r="N2197" s="18"/>
      <c r="O2197" s="18"/>
      <c r="P2197" s="18"/>
      <c r="Q2197" s="18"/>
    </row>
    <row r="2198" spans="1:17">
      <c r="A2198" s="18"/>
      <c r="B2198" s="18"/>
      <c r="C2198" s="18"/>
      <c r="D2198" s="18"/>
      <c r="E2198" s="18"/>
      <c r="F2198" s="18"/>
      <c r="G2198" s="18"/>
      <c r="H2198" s="18"/>
      <c r="I2198" s="18"/>
      <c r="J2198" s="18"/>
      <c r="K2198" s="18"/>
      <c r="L2198" s="18"/>
      <c r="M2198" s="18"/>
      <c r="N2198" s="18"/>
      <c r="O2198" s="18"/>
      <c r="P2198" s="18"/>
      <c r="Q2198" s="18"/>
    </row>
    <row r="2199" spans="1:17">
      <c r="A2199" s="149"/>
      <c r="B2199" s="18"/>
      <c r="C2199" s="18"/>
      <c r="D2199" s="18"/>
      <c r="E2199" s="18"/>
      <c r="F2199" s="18"/>
      <c r="G2199" s="18"/>
      <c r="H2199" s="18"/>
      <c r="I2199" s="18"/>
      <c r="J2199" s="18"/>
      <c r="K2199" s="18"/>
      <c r="L2199" s="18"/>
      <c r="M2199" s="18"/>
      <c r="N2199" s="18"/>
      <c r="O2199" s="18"/>
      <c r="P2199" s="18"/>
      <c r="Q2199" s="18"/>
    </row>
    <row r="2200" spans="1:17">
      <c r="A2200" s="286"/>
      <c r="B2200" s="18"/>
      <c r="C2200" s="18"/>
      <c r="D2200" s="18"/>
      <c r="E2200" s="18"/>
      <c r="F2200" s="18"/>
      <c r="G2200" s="18"/>
      <c r="H2200" s="18"/>
      <c r="I2200" s="18"/>
      <c r="J2200" s="18"/>
      <c r="K2200" s="18"/>
      <c r="L2200" s="18"/>
      <c r="M2200" s="18"/>
      <c r="N2200" s="18"/>
      <c r="O2200" s="18"/>
      <c r="P2200" s="18"/>
      <c r="Q2200" s="18"/>
    </row>
    <row r="2201" spans="1:17">
      <c r="A2201" s="18"/>
      <c r="B2201" s="18"/>
      <c r="C2201" s="18"/>
      <c r="D2201" s="18"/>
      <c r="E2201" s="18"/>
      <c r="F2201" s="18"/>
      <c r="G2201" s="18"/>
      <c r="H2201" s="18"/>
      <c r="I2201" s="18"/>
      <c r="J2201" s="18"/>
      <c r="K2201" s="18"/>
      <c r="L2201" s="18"/>
      <c r="M2201" s="18"/>
      <c r="N2201" s="18"/>
      <c r="O2201" s="18"/>
      <c r="P2201" s="18"/>
      <c r="Q2201" s="18"/>
    </row>
    <row r="2202" spans="1:17">
      <c r="A2202" s="18"/>
      <c r="B2202" s="18"/>
      <c r="C2202" s="18"/>
      <c r="D2202" s="18"/>
      <c r="E2202" s="18"/>
      <c r="F2202" s="18"/>
      <c r="G2202" s="18"/>
      <c r="H2202" s="18"/>
      <c r="I2202" s="18"/>
      <c r="J2202" s="18"/>
      <c r="K2202" s="18"/>
      <c r="L2202" s="18"/>
      <c r="M2202" s="18"/>
      <c r="N2202" s="18"/>
      <c r="O2202" s="18"/>
      <c r="P2202" s="18"/>
      <c r="Q2202" s="18"/>
    </row>
    <row r="2203" spans="1:17">
      <c r="A2203" s="149"/>
      <c r="B2203" s="18"/>
      <c r="C2203" s="18"/>
      <c r="D2203" s="18"/>
      <c r="E2203" s="18"/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  <c r="P2203" s="18"/>
      <c r="Q2203" s="18"/>
    </row>
    <row r="2204" spans="1:17">
      <c r="A2204" s="18"/>
      <c r="B2204" s="18"/>
      <c r="C2204" s="18"/>
      <c r="D2204" s="18"/>
      <c r="E2204" s="18"/>
      <c r="F2204" s="18"/>
      <c r="G2204" s="18"/>
      <c r="H2204" s="18"/>
      <c r="I2204" s="18"/>
      <c r="J2204" s="18"/>
      <c r="K2204" s="18"/>
      <c r="L2204" s="18"/>
      <c r="M2204" s="18"/>
      <c r="N2204" s="18"/>
      <c r="O2204" s="18"/>
      <c r="P2204" s="18"/>
      <c r="Q2204" s="18"/>
    </row>
    <row r="2205" spans="1:17">
      <c r="A2205" s="18"/>
      <c r="B2205" s="18"/>
      <c r="C2205" s="18"/>
      <c r="D2205" s="18"/>
      <c r="E2205" s="18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  <c r="P2205" s="18"/>
      <c r="Q2205" s="18"/>
    </row>
    <row r="2206" spans="1:17">
      <c r="A2206" s="149"/>
      <c r="B2206" s="18"/>
      <c r="C2206" s="18"/>
      <c r="D2206" s="18"/>
      <c r="E2206" s="18"/>
      <c r="F2206" s="18"/>
      <c r="G2206" s="18"/>
      <c r="H2206" s="18"/>
      <c r="I2206" s="18"/>
      <c r="J2206" s="18"/>
      <c r="K2206" s="18"/>
      <c r="L2206" s="18"/>
      <c r="M2206" s="18"/>
      <c r="N2206" s="18"/>
      <c r="O2206" s="18"/>
      <c r="P2206" s="18"/>
      <c r="Q2206" s="18"/>
    </row>
    <row r="2207" spans="1:17">
      <c r="A2207" s="18"/>
      <c r="B2207" s="18"/>
      <c r="C2207" s="18"/>
      <c r="D2207" s="18"/>
      <c r="E2207" s="18"/>
      <c r="F2207" s="18"/>
      <c r="G2207" s="18"/>
      <c r="H2207" s="18"/>
      <c r="I2207" s="18"/>
      <c r="J2207" s="18"/>
      <c r="K2207" s="18"/>
      <c r="L2207" s="18"/>
      <c r="M2207" s="18"/>
      <c r="N2207" s="18"/>
      <c r="O2207" s="18"/>
      <c r="P2207" s="18"/>
      <c r="Q2207" s="18"/>
    </row>
    <row r="2208" spans="1:17">
      <c r="A2208" s="18"/>
      <c r="B2208" s="18"/>
      <c r="C2208" s="18"/>
      <c r="D2208" s="18"/>
      <c r="E2208" s="18"/>
      <c r="F2208" s="18"/>
      <c r="G2208" s="18"/>
      <c r="H2208" s="18"/>
      <c r="I2208" s="18"/>
      <c r="J2208" s="18"/>
      <c r="K2208" s="18"/>
      <c r="L2208" s="18"/>
      <c r="M2208" s="18"/>
      <c r="N2208" s="18"/>
      <c r="O2208" s="18"/>
      <c r="P2208" s="18"/>
      <c r="Q2208" s="18"/>
    </row>
    <row r="2209" spans="1:17">
      <c r="A2209" s="149"/>
      <c r="B2209" s="18"/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8"/>
      <c r="P2209" s="18"/>
      <c r="Q2209" s="18"/>
    </row>
    <row r="2210" spans="1:17">
      <c r="A2210" s="18"/>
      <c r="B2210" s="18"/>
      <c r="C2210" s="18"/>
      <c r="D2210" s="18"/>
      <c r="E2210" s="18"/>
      <c r="F2210" s="18"/>
      <c r="G2210" s="18"/>
      <c r="H2210" s="18"/>
      <c r="I2210" s="18"/>
      <c r="J2210" s="18"/>
      <c r="K2210" s="18"/>
      <c r="L2210" s="18"/>
      <c r="M2210" s="18"/>
      <c r="N2210" s="18"/>
      <c r="O2210" s="18"/>
      <c r="P2210" s="18"/>
      <c r="Q2210" s="18"/>
    </row>
    <row r="2211" spans="1:17">
      <c r="A2211" s="73"/>
      <c r="B2211" s="18"/>
      <c r="C2211" s="18"/>
      <c r="D2211" s="18"/>
      <c r="E2211" s="18"/>
      <c r="F2211" s="18"/>
      <c r="G2211" s="18"/>
      <c r="H2211" s="18"/>
      <c r="I2211" s="18"/>
      <c r="J2211" s="18"/>
      <c r="K2211" s="18"/>
      <c r="L2211" s="18"/>
      <c r="M2211" s="18"/>
      <c r="N2211" s="18"/>
      <c r="O2211" s="18"/>
      <c r="P2211" s="18"/>
      <c r="Q2211" s="18"/>
    </row>
    <row r="2212" spans="1:17">
      <c r="A2212" s="18"/>
      <c r="B2212" s="18"/>
      <c r="C2212" s="18"/>
      <c r="D2212" s="18"/>
      <c r="E2212" s="18"/>
      <c r="F2212" s="18"/>
      <c r="G2212" s="18"/>
      <c r="H2212" s="18"/>
      <c r="I2212" s="18"/>
      <c r="J2212" s="18"/>
      <c r="K2212" s="18"/>
      <c r="L2212" s="18"/>
      <c r="M2212" s="18"/>
      <c r="N2212" s="18"/>
      <c r="O2212" s="18"/>
      <c r="P2212" s="18"/>
      <c r="Q2212" s="18"/>
    </row>
    <row r="2213" spans="1:17">
      <c r="A2213" s="18"/>
      <c r="B2213" s="18"/>
      <c r="C2213" s="18"/>
      <c r="D2213" s="18"/>
      <c r="E2213" s="18"/>
      <c r="F2213" s="18"/>
      <c r="G2213" s="18"/>
      <c r="H2213" s="18"/>
      <c r="I2213" s="18"/>
      <c r="J2213" s="18"/>
      <c r="K2213" s="18"/>
      <c r="L2213" s="18"/>
      <c r="M2213" s="18"/>
      <c r="N2213" s="18"/>
      <c r="O2213" s="18"/>
      <c r="P2213" s="18"/>
      <c r="Q2213" s="18"/>
    </row>
    <row r="2214" spans="1:17">
      <c r="A2214" s="149"/>
      <c r="B2214" s="18"/>
      <c r="C2214" s="18"/>
      <c r="D2214" s="18"/>
      <c r="E2214" s="18"/>
      <c r="F2214" s="18"/>
      <c r="G2214" s="18"/>
      <c r="H2214" s="18"/>
      <c r="I2214" s="18"/>
      <c r="J2214" s="18"/>
      <c r="K2214" s="18"/>
      <c r="L2214" s="18"/>
      <c r="M2214" s="18"/>
      <c r="N2214" s="18"/>
      <c r="O2214" s="18"/>
      <c r="P2214" s="18"/>
      <c r="Q2214" s="18"/>
    </row>
    <row r="2215" spans="1:17">
      <c r="A2215" s="18"/>
      <c r="B2215" s="18"/>
      <c r="C2215" s="18"/>
      <c r="D2215" s="18"/>
      <c r="E2215" s="18"/>
      <c r="F2215" s="18"/>
      <c r="G2215" s="18"/>
      <c r="H2215" s="18"/>
      <c r="I2215" s="18"/>
      <c r="J2215" s="18"/>
      <c r="K2215" s="18"/>
      <c r="L2215" s="18"/>
      <c r="M2215" s="18"/>
      <c r="N2215" s="18"/>
      <c r="O2215" s="18"/>
      <c r="P2215" s="18"/>
      <c r="Q2215" s="18"/>
    </row>
    <row r="2216" spans="1:17">
      <c r="A2216" s="18"/>
      <c r="B2216" s="18"/>
      <c r="C2216" s="18"/>
      <c r="D2216" s="18"/>
      <c r="E2216" s="18"/>
      <c r="F2216" s="18"/>
      <c r="G2216" s="18"/>
      <c r="H2216" s="18"/>
      <c r="I2216" s="18"/>
      <c r="J2216" s="18"/>
      <c r="K2216" s="18"/>
      <c r="L2216" s="18"/>
      <c r="M2216" s="18"/>
      <c r="N2216" s="18"/>
      <c r="O2216" s="18"/>
      <c r="P2216" s="18"/>
      <c r="Q2216" s="18"/>
    </row>
    <row r="2217" spans="1:17">
      <c r="A2217" s="149"/>
      <c r="B2217" s="18"/>
      <c r="C2217" s="18"/>
      <c r="D2217" s="18"/>
      <c r="E2217" s="18"/>
      <c r="F2217" s="18"/>
      <c r="G2217" s="18"/>
      <c r="H2217" s="18"/>
      <c r="I2217" s="18"/>
      <c r="J2217" s="18"/>
      <c r="K2217" s="18"/>
      <c r="L2217" s="18"/>
      <c r="M2217" s="18"/>
      <c r="N2217" s="18"/>
      <c r="O2217" s="18"/>
      <c r="P2217" s="18"/>
      <c r="Q2217" s="18"/>
    </row>
    <row r="2218" spans="1:17">
      <c r="A2218" s="18"/>
      <c r="B2218" s="18"/>
      <c r="C2218" s="18"/>
      <c r="D2218" s="18"/>
      <c r="E2218" s="18"/>
      <c r="F2218" s="18"/>
      <c r="G2218" s="18"/>
      <c r="H2218" s="18"/>
      <c r="I2218" s="18"/>
      <c r="J2218" s="18"/>
      <c r="K2218" s="18"/>
      <c r="L2218" s="18"/>
      <c r="M2218" s="18"/>
      <c r="N2218" s="18"/>
      <c r="O2218" s="18"/>
      <c r="P2218" s="18"/>
      <c r="Q2218" s="18"/>
    </row>
    <row r="2219" spans="1:17">
      <c r="A2219" s="18"/>
      <c r="B2219" s="18"/>
      <c r="C2219" s="18"/>
      <c r="D2219" s="18"/>
      <c r="E2219" s="18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  <c r="P2219" s="18"/>
      <c r="Q2219" s="18"/>
    </row>
    <row r="2220" spans="1:17">
      <c r="A2220" s="18"/>
      <c r="B2220" s="18"/>
      <c r="C2220" s="18"/>
      <c r="D2220" s="18"/>
      <c r="E2220" s="18"/>
      <c r="F2220" s="18"/>
      <c r="G2220" s="18"/>
      <c r="H2220" s="18"/>
      <c r="I2220" s="18"/>
      <c r="J2220" s="18"/>
      <c r="K2220" s="18"/>
      <c r="L2220" s="18"/>
      <c r="M2220" s="18"/>
      <c r="N2220" s="18"/>
      <c r="O2220" s="18"/>
      <c r="P2220" s="18"/>
      <c r="Q2220" s="18"/>
    </row>
    <row r="2221" spans="1:17">
      <c r="A2221" s="149"/>
      <c r="B2221" s="18"/>
      <c r="C2221" s="18"/>
      <c r="D2221" s="18"/>
      <c r="E2221" s="18"/>
      <c r="F2221" s="18"/>
      <c r="G2221" s="18"/>
      <c r="H2221" s="18"/>
      <c r="I2221" s="18"/>
      <c r="J2221" s="18"/>
      <c r="K2221" s="18"/>
      <c r="L2221" s="18"/>
      <c r="M2221" s="18"/>
      <c r="N2221" s="18"/>
      <c r="O2221" s="18"/>
      <c r="P2221" s="18"/>
      <c r="Q2221" s="18"/>
    </row>
    <row r="2222" spans="1:17">
      <c r="A2222" s="18"/>
      <c r="B2222" s="18"/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8"/>
    </row>
    <row r="2223" spans="1:17">
      <c r="A2223" s="18"/>
      <c r="B2223" s="18"/>
      <c r="C2223" s="18"/>
      <c r="D2223" s="18"/>
      <c r="E2223" s="18"/>
      <c r="F2223" s="18"/>
      <c r="G2223" s="18"/>
      <c r="H2223" s="18"/>
      <c r="I2223" s="18"/>
      <c r="J2223" s="18"/>
      <c r="K2223" s="18"/>
      <c r="L2223" s="18"/>
      <c r="M2223" s="18"/>
      <c r="N2223" s="18"/>
      <c r="O2223" s="18"/>
      <c r="P2223" s="18"/>
      <c r="Q2223" s="18"/>
    </row>
    <row r="2224" spans="1:17">
      <c r="A2224" s="149"/>
      <c r="B2224" s="18"/>
      <c r="C2224" s="18"/>
      <c r="D2224" s="18"/>
      <c r="E2224" s="18"/>
      <c r="F2224" s="18"/>
      <c r="G2224" s="18"/>
      <c r="H2224" s="18"/>
      <c r="I2224" s="18"/>
      <c r="J2224" s="18"/>
      <c r="K2224" s="18"/>
      <c r="L2224" s="18"/>
      <c r="M2224" s="18"/>
      <c r="N2224" s="18"/>
      <c r="O2224" s="18"/>
      <c r="P2224" s="18"/>
      <c r="Q2224" s="18"/>
    </row>
    <row r="2225" spans="1:17">
      <c r="A2225" s="18"/>
      <c r="B2225" s="18"/>
      <c r="C2225" s="18"/>
      <c r="D2225" s="18"/>
      <c r="E2225" s="18"/>
      <c r="F2225" s="18"/>
      <c r="G2225" s="18"/>
      <c r="H2225" s="18"/>
      <c r="I2225" s="18"/>
      <c r="J2225" s="18"/>
      <c r="K2225" s="18"/>
      <c r="L2225" s="18"/>
      <c r="M2225" s="18"/>
      <c r="N2225" s="18"/>
      <c r="O2225" s="18"/>
      <c r="P2225" s="18"/>
      <c r="Q2225" s="18"/>
    </row>
    <row r="2226" spans="1:17">
      <c r="A2226" s="18"/>
      <c r="B2226" s="18"/>
      <c r="C2226" s="18"/>
      <c r="D2226" s="18"/>
      <c r="E2226" s="18"/>
      <c r="F2226" s="18"/>
      <c r="G2226" s="18"/>
      <c r="H2226" s="18"/>
      <c r="I2226" s="18"/>
      <c r="J2226" s="18"/>
      <c r="K2226" s="18"/>
      <c r="L2226" s="18"/>
      <c r="M2226" s="18"/>
      <c r="N2226" s="18"/>
      <c r="O2226" s="18"/>
      <c r="P2226" s="18"/>
      <c r="Q2226" s="18"/>
    </row>
    <row r="2227" spans="1:17">
      <c r="A2227" s="149"/>
      <c r="B2227" s="18"/>
      <c r="C2227" s="18"/>
      <c r="D2227" s="18"/>
      <c r="E2227" s="18"/>
      <c r="F2227" s="18"/>
      <c r="G2227" s="18"/>
      <c r="H2227" s="18"/>
      <c r="I2227" s="18"/>
      <c r="J2227" s="18"/>
      <c r="K2227" s="18"/>
      <c r="L2227" s="18"/>
      <c r="M2227" s="18"/>
      <c r="N2227" s="18"/>
      <c r="O2227" s="18"/>
      <c r="P2227" s="18"/>
      <c r="Q2227" s="18"/>
    </row>
    <row r="2228" spans="1:17">
      <c r="A2228" s="18"/>
      <c r="B2228" s="18"/>
      <c r="C2228" s="18"/>
      <c r="D2228" s="18"/>
      <c r="E2228" s="18"/>
      <c r="F2228" s="18"/>
      <c r="G2228" s="18"/>
      <c r="H2228" s="18"/>
      <c r="I2228" s="18"/>
      <c r="J2228" s="18"/>
      <c r="K2228" s="18"/>
      <c r="L2228" s="18"/>
      <c r="M2228" s="18"/>
      <c r="N2228" s="18"/>
      <c r="O2228" s="18"/>
      <c r="P2228" s="18"/>
      <c r="Q2228" s="18"/>
    </row>
    <row r="2229" spans="1:17">
      <c r="A2229" s="18"/>
      <c r="B2229" s="18"/>
      <c r="C2229" s="18"/>
      <c r="D2229" s="18"/>
      <c r="E2229" s="18"/>
      <c r="F2229" s="18"/>
      <c r="G2229" s="18"/>
      <c r="H2229" s="18"/>
      <c r="I2229" s="18"/>
      <c r="J2229" s="18"/>
      <c r="K2229" s="18"/>
      <c r="L2229" s="18"/>
      <c r="M2229" s="18"/>
      <c r="N2229" s="18"/>
      <c r="O2229" s="18"/>
      <c r="P2229" s="18"/>
      <c r="Q2229" s="18"/>
    </row>
    <row r="2230" spans="1:17">
      <c r="A2230" s="18"/>
      <c r="B2230" s="18"/>
      <c r="C2230" s="18"/>
      <c r="D2230" s="18"/>
      <c r="E2230" s="18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  <c r="P2230" s="18"/>
      <c r="Q2230" s="18"/>
    </row>
    <row r="2231" spans="1:17">
      <c r="A2231" s="149"/>
      <c r="B2231" s="18"/>
      <c r="C2231" s="18"/>
      <c r="D2231" s="18"/>
      <c r="E2231" s="18"/>
      <c r="F2231" s="18"/>
      <c r="G2231" s="18"/>
      <c r="H2231" s="18"/>
      <c r="I2231" s="18"/>
      <c r="J2231" s="18"/>
      <c r="K2231" s="18"/>
      <c r="L2231" s="18"/>
      <c r="M2231" s="18"/>
      <c r="N2231" s="18"/>
      <c r="O2231" s="18"/>
      <c r="P2231" s="18"/>
      <c r="Q2231" s="18"/>
    </row>
    <row r="2232" spans="1:17">
      <c r="A2232" s="18"/>
      <c r="B2232" s="18"/>
      <c r="C2232" s="18"/>
      <c r="D2232" s="18"/>
      <c r="E2232" s="18"/>
      <c r="F2232" s="18"/>
      <c r="G2232" s="18"/>
      <c r="H2232" s="18"/>
      <c r="I2232" s="18"/>
      <c r="J2232" s="18"/>
      <c r="K2232" s="18"/>
      <c r="L2232" s="18"/>
      <c r="M2232" s="18"/>
      <c r="N2232" s="18"/>
      <c r="O2232" s="18"/>
      <c r="P2232" s="18"/>
      <c r="Q2232" s="18"/>
    </row>
    <row r="2233" spans="1:17">
      <c r="A2233" s="18"/>
      <c r="B2233" s="18"/>
      <c r="C2233" s="18"/>
      <c r="D2233" s="18"/>
      <c r="E2233" s="18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  <c r="P2233" s="18"/>
      <c r="Q2233" s="18"/>
    </row>
    <row r="2234" spans="1:17">
      <c r="A2234" s="18"/>
      <c r="B2234" s="18"/>
      <c r="C2234" s="18"/>
      <c r="D2234" s="18"/>
      <c r="E2234" s="18"/>
      <c r="F2234" s="18"/>
      <c r="G2234" s="18"/>
      <c r="H2234" s="18"/>
      <c r="I2234" s="18"/>
      <c r="J2234" s="18"/>
      <c r="K2234" s="18"/>
      <c r="L2234" s="18"/>
      <c r="M2234" s="18"/>
      <c r="N2234" s="18"/>
      <c r="O2234" s="18"/>
      <c r="P2234" s="18"/>
      <c r="Q2234" s="18"/>
    </row>
    <row r="2235" spans="1:17">
      <c r="A2235" s="149"/>
      <c r="B2235" s="18"/>
      <c r="C2235" s="18"/>
      <c r="D2235" s="18"/>
      <c r="E2235" s="18"/>
      <c r="F2235" s="18"/>
      <c r="G2235" s="18"/>
      <c r="H2235" s="18"/>
      <c r="I2235" s="18"/>
      <c r="J2235" s="18"/>
      <c r="K2235" s="18"/>
      <c r="L2235" s="18"/>
      <c r="M2235" s="18"/>
      <c r="N2235" s="18"/>
      <c r="O2235" s="18"/>
      <c r="P2235" s="18"/>
      <c r="Q2235" s="18"/>
    </row>
    <row r="2236" spans="1:17">
      <c r="A2236" s="149"/>
      <c r="B2236" s="18"/>
      <c r="C2236" s="18"/>
      <c r="D2236" s="18"/>
      <c r="E2236" s="18"/>
      <c r="F2236" s="18"/>
      <c r="G2236" s="18"/>
      <c r="H2236" s="18"/>
      <c r="I2236" s="18"/>
      <c r="J2236" s="18"/>
      <c r="K2236" s="18"/>
      <c r="L2236" s="18"/>
      <c r="M2236" s="18"/>
      <c r="N2236" s="18"/>
      <c r="O2236" s="18"/>
      <c r="P2236" s="18"/>
      <c r="Q2236" s="18"/>
    </row>
    <row r="2237" spans="1:17">
      <c r="A2237" s="18"/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  <c r="P2237" s="18"/>
      <c r="Q2237" s="18"/>
    </row>
    <row r="2238" spans="1:17">
      <c r="A2238" s="18"/>
      <c r="B2238" s="18"/>
      <c r="C2238" s="18"/>
      <c r="D2238" s="18"/>
      <c r="E2238" s="18"/>
      <c r="F2238" s="18"/>
      <c r="G2238" s="18"/>
      <c r="H2238" s="18"/>
      <c r="I2238" s="18"/>
      <c r="J2238" s="18"/>
      <c r="K2238" s="18"/>
      <c r="L2238" s="18"/>
      <c r="M2238" s="18"/>
      <c r="N2238" s="18"/>
      <c r="O2238" s="18"/>
      <c r="P2238" s="18"/>
      <c r="Q2238" s="18"/>
    </row>
    <row r="2239" spans="1:17">
      <c r="A2239" s="149"/>
      <c r="B2239" s="18"/>
      <c r="C2239" s="18"/>
      <c r="D2239" s="18"/>
      <c r="E2239" s="18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8"/>
    </row>
    <row r="2240" spans="1:17">
      <c r="A2240" s="18"/>
      <c r="B2240" s="18"/>
      <c r="C2240" s="18"/>
      <c r="D2240" s="18"/>
      <c r="E2240" s="18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8"/>
    </row>
    <row r="2241" spans="1:17">
      <c r="A2241" s="18"/>
      <c r="B2241" s="18"/>
      <c r="C2241" s="18"/>
      <c r="D2241" s="18"/>
      <c r="E2241" s="18"/>
      <c r="F2241" s="18"/>
      <c r="G2241" s="18"/>
      <c r="H2241" s="18"/>
      <c r="I2241" s="18"/>
      <c r="J2241" s="18"/>
      <c r="K2241" s="18"/>
      <c r="L2241" s="18"/>
      <c r="M2241" s="18"/>
      <c r="N2241" s="18"/>
      <c r="O2241" s="18"/>
      <c r="P2241" s="18"/>
      <c r="Q2241" s="18"/>
    </row>
    <row r="2242" spans="1:17">
      <c r="A2242" s="18"/>
      <c r="B2242" s="18"/>
      <c r="C2242" s="18"/>
      <c r="D2242" s="18"/>
      <c r="E2242" s="18"/>
      <c r="F2242" s="18"/>
      <c r="G2242" s="18"/>
      <c r="H2242" s="18"/>
      <c r="I2242" s="18"/>
      <c r="J2242" s="18"/>
      <c r="K2242" s="18"/>
      <c r="L2242" s="18"/>
      <c r="M2242" s="18"/>
      <c r="N2242" s="18"/>
      <c r="O2242" s="18"/>
      <c r="P2242" s="18"/>
      <c r="Q2242" s="18"/>
    </row>
    <row r="2243" spans="1:17">
      <c r="A2243" s="18"/>
      <c r="B2243" s="18"/>
      <c r="C2243" s="18"/>
      <c r="D2243" s="18"/>
      <c r="E2243" s="18"/>
      <c r="F2243" s="18"/>
      <c r="G2243" s="18"/>
      <c r="H2243" s="18"/>
      <c r="I2243" s="18"/>
      <c r="J2243" s="18"/>
      <c r="K2243" s="18"/>
      <c r="L2243" s="18"/>
      <c r="M2243" s="18"/>
      <c r="N2243" s="18"/>
      <c r="O2243" s="18"/>
      <c r="P2243" s="18"/>
      <c r="Q2243" s="18"/>
    </row>
    <row r="2244" spans="1:17">
      <c r="A2244" s="18"/>
      <c r="B2244" s="18"/>
      <c r="C2244" s="18"/>
      <c r="D2244" s="18"/>
      <c r="E2244" s="18"/>
      <c r="F2244" s="18"/>
      <c r="G2244" s="18"/>
      <c r="H2244" s="18"/>
      <c r="I2244" s="18"/>
      <c r="J2244" s="18"/>
      <c r="K2244" s="18"/>
      <c r="L2244" s="18"/>
      <c r="M2244" s="18"/>
      <c r="N2244" s="18"/>
      <c r="O2244" s="18"/>
      <c r="P2244" s="18"/>
      <c r="Q2244" s="18"/>
    </row>
    <row r="2245" spans="1:17">
      <c r="A2245" s="149"/>
      <c r="B2245" s="18"/>
      <c r="C2245" s="18"/>
      <c r="D2245" s="18"/>
      <c r="E2245" s="18"/>
      <c r="F2245" s="18"/>
      <c r="G2245" s="18"/>
      <c r="H2245" s="18"/>
      <c r="I2245" s="18"/>
      <c r="J2245" s="18"/>
      <c r="K2245" s="18"/>
      <c r="L2245" s="18"/>
      <c r="M2245" s="18"/>
      <c r="N2245" s="18"/>
      <c r="O2245" s="18"/>
      <c r="P2245" s="18"/>
      <c r="Q2245" s="18"/>
    </row>
    <row r="2246" spans="1:17">
      <c r="A2246" s="18"/>
      <c r="B2246" s="18"/>
      <c r="C2246" s="18"/>
      <c r="D2246" s="18"/>
      <c r="E2246" s="18"/>
      <c r="F2246" s="18"/>
      <c r="G2246" s="18"/>
      <c r="H2246" s="18"/>
      <c r="I2246" s="18"/>
      <c r="J2246" s="18"/>
      <c r="K2246" s="18"/>
      <c r="L2246" s="18"/>
      <c r="M2246" s="18"/>
      <c r="N2246" s="18"/>
      <c r="O2246" s="18"/>
      <c r="P2246" s="18"/>
      <c r="Q2246" s="18"/>
    </row>
    <row r="2247" spans="1:17">
      <c r="A2247" s="18"/>
      <c r="B2247" s="18"/>
      <c r="C2247" s="18"/>
      <c r="D2247" s="18"/>
      <c r="E2247" s="18"/>
      <c r="F2247" s="18"/>
      <c r="G2247" s="18"/>
      <c r="H2247" s="18"/>
      <c r="I2247" s="18"/>
      <c r="J2247" s="18"/>
      <c r="K2247" s="18"/>
      <c r="L2247" s="18"/>
      <c r="M2247" s="18"/>
      <c r="N2247" s="18"/>
      <c r="O2247" s="18"/>
      <c r="P2247" s="18"/>
      <c r="Q2247" s="18"/>
    </row>
    <row r="2248" spans="1:17">
      <c r="A2248" s="18"/>
      <c r="B2248" s="18"/>
      <c r="C2248" s="18"/>
      <c r="D2248" s="18"/>
      <c r="E2248" s="18"/>
      <c r="F2248" s="18"/>
      <c r="G2248" s="18"/>
      <c r="H2248" s="18"/>
      <c r="I2248" s="18"/>
      <c r="J2248" s="18"/>
      <c r="K2248" s="18"/>
      <c r="L2248" s="18"/>
      <c r="M2248" s="18"/>
      <c r="N2248" s="18"/>
      <c r="O2248" s="18"/>
      <c r="P2248" s="18"/>
      <c r="Q2248" s="18"/>
    </row>
    <row r="2249" spans="1:17">
      <c r="A2249" s="149"/>
      <c r="B2249" s="18"/>
      <c r="C2249" s="18"/>
      <c r="D2249" s="18"/>
      <c r="E2249" s="18"/>
      <c r="F2249" s="18"/>
      <c r="G2249" s="18"/>
      <c r="H2249" s="18"/>
      <c r="I2249" s="18"/>
      <c r="J2249" s="18"/>
      <c r="K2249" s="18"/>
      <c r="L2249" s="18"/>
      <c r="M2249" s="18"/>
      <c r="N2249" s="18"/>
      <c r="O2249" s="18"/>
      <c r="P2249" s="18"/>
      <c r="Q2249" s="18"/>
    </row>
    <row r="2250" spans="1:17">
      <c r="A2250" s="18"/>
      <c r="B2250" s="18"/>
      <c r="C2250" s="18"/>
      <c r="D2250" s="18"/>
      <c r="E2250" s="18"/>
      <c r="F2250" s="18"/>
      <c r="G2250" s="18"/>
      <c r="H2250" s="18"/>
      <c r="I2250" s="18"/>
      <c r="J2250" s="18"/>
      <c r="K2250" s="18"/>
      <c r="L2250" s="18"/>
      <c r="M2250" s="18"/>
      <c r="N2250" s="18"/>
      <c r="O2250" s="18"/>
      <c r="P2250" s="18"/>
      <c r="Q2250" s="18"/>
    </row>
    <row r="2251" spans="1:17">
      <c r="A2251" s="18"/>
      <c r="B2251" s="18"/>
      <c r="C2251" s="18"/>
      <c r="D2251" s="18"/>
      <c r="E2251" s="18"/>
      <c r="F2251" s="18"/>
      <c r="G2251" s="18"/>
      <c r="H2251" s="18"/>
      <c r="I2251" s="18"/>
      <c r="J2251" s="18"/>
      <c r="K2251" s="18"/>
      <c r="L2251" s="18"/>
      <c r="M2251" s="18"/>
      <c r="N2251" s="18"/>
      <c r="O2251" s="18"/>
      <c r="P2251" s="18"/>
      <c r="Q2251" s="18"/>
    </row>
    <row r="2252" spans="1:17">
      <c r="A2252" s="18"/>
      <c r="B2252" s="18"/>
      <c r="C2252" s="18"/>
      <c r="D2252" s="18"/>
      <c r="E2252" s="18"/>
      <c r="F2252" s="18"/>
      <c r="G2252" s="18"/>
      <c r="H2252" s="18"/>
      <c r="I2252" s="18"/>
      <c r="J2252" s="18"/>
      <c r="K2252" s="18"/>
      <c r="L2252" s="18"/>
      <c r="M2252" s="18"/>
      <c r="N2252" s="18"/>
      <c r="O2252" s="18"/>
      <c r="P2252" s="18"/>
      <c r="Q2252" s="18"/>
    </row>
    <row r="2253" spans="1:17">
      <c r="A2253" s="149"/>
      <c r="B2253" s="18"/>
      <c r="C2253" s="18"/>
      <c r="D2253" s="18"/>
      <c r="E2253" s="18"/>
      <c r="F2253" s="18"/>
      <c r="G2253" s="18"/>
      <c r="H2253" s="18"/>
      <c r="I2253" s="18"/>
      <c r="J2253" s="18"/>
      <c r="K2253" s="18"/>
      <c r="L2253" s="18"/>
      <c r="M2253" s="18"/>
      <c r="N2253" s="18"/>
      <c r="O2253" s="18"/>
      <c r="P2253" s="18"/>
      <c r="Q2253" s="18"/>
    </row>
    <row r="2254" spans="1:17">
      <c r="A2254" s="18"/>
      <c r="B2254" s="18"/>
      <c r="C2254" s="18"/>
      <c r="D2254" s="18"/>
      <c r="E2254" s="18"/>
      <c r="F2254" s="18"/>
      <c r="G2254" s="18"/>
      <c r="H2254" s="18"/>
      <c r="I2254" s="18"/>
      <c r="J2254" s="18"/>
      <c r="K2254" s="18"/>
      <c r="L2254" s="18"/>
      <c r="M2254" s="18"/>
      <c r="N2254" s="18"/>
      <c r="O2254" s="18"/>
      <c r="P2254" s="18"/>
      <c r="Q2254" s="18"/>
    </row>
    <row r="2255" spans="1:17">
      <c r="A2255" s="18"/>
      <c r="B2255" s="18"/>
      <c r="C2255" s="18"/>
      <c r="D2255" s="18"/>
      <c r="E2255" s="18"/>
      <c r="F2255" s="18"/>
      <c r="G2255" s="18"/>
      <c r="H2255" s="18"/>
      <c r="I2255" s="18"/>
      <c r="J2255" s="18"/>
      <c r="K2255" s="18"/>
      <c r="L2255" s="18"/>
      <c r="M2255" s="18"/>
      <c r="N2255" s="18"/>
      <c r="O2255" s="18"/>
      <c r="P2255" s="18"/>
      <c r="Q2255" s="18"/>
    </row>
    <row r="2256" spans="1:17">
      <c r="A2256" s="18"/>
      <c r="B2256" s="18"/>
      <c r="C2256" s="18"/>
      <c r="D2256" s="18"/>
      <c r="E2256" s="18"/>
      <c r="F2256" s="18"/>
      <c r="G2256" s="18"/>
      <c r="H2256" s="18"/>
      <c r="I2256" s="18"/>
      <c r="J2256" s="18"/>
      <c r="K2256" s="18"/>
      <c r="L2256" s="18"/>
      <c r="M2256" s="18"/>
      <c r="N2256" s="18"/>
      <c r="O2256" s="18"/>
      <c r="P2256" s="18"/>
      <c r="Q2256" s="18"/>
    </row>
    <row r="2257" spans="1:17">
      <c r="A2257" s="18"/>
      <c r="B2257" s="18"/>
      <c r="C2257" s="18"/>
      <c r="D2257" s="18"/>
      <c r="E2257" s="18"/>
      <c r="F2257" s="18"/>
      <c r="G2257" s="18"/>
      <c r="H2257" s="18"/>
      <c r="I2257" s="18"/>
      <c r="J2257" s="18"/>
      <c r="K2257" s="18"/>
      <c r="L2257" s="18"/>
      <c r="M2257" s="18"/>
      <c r="N2257" s="18"/>
      <c r="O2257" s="18"/>
      <c r="P2257" s="18"/>
      <c r="Q2257" s="18"/>
    </row>
    <row r="2258" spans="1:17">
      <c r="A2258" s="18"/>
      <c r="B2258" s="18"/>
      <c r="C2258" s="18"/>
      <c r="D2258" s="18"/>
      <c r="E2258" s="18"/>
      <c r="F2258" s="18"/>
      <c r="G2258" s="18"/>
      <c r="H2258" s="18"/>
      <c r="I2258" s="18"/>
      <c r="J2258" s="18"/>
      <c r="K2258" s="18"/>
      <c r="L2258" s="18"/>
      <c r="M2258" s="18"/>
      <c r="N2258" s="18"/>
      <c r="O2258" s="18"/>
      <c r="P2258" s="18"/>
      <c r="Q2258" s="18"/>
    </row>
    <row r="2259" spans="1:17">
      <c r="A2259" s="149"/>
      <c r="B2259" s="18"/>
      <c r="C2259" s="18"/>
      <c r="D2259" s="18"/>
      <c r="E2259" s="18"/>
      <c r="F2259" s="18"/>
      <c r="G2259" s="18"/>
      <c r="H2259" s="18"/>
      <c r="I2259" s="18"/>
      <c r="J2259" s="18"/>
      <c r="K2259" s="18"/>
      <c r="L2259" s="18"/>
      <c r="M2259" s="18"/>
      <c r="N2259" s="18"/>
      <c r="O2259" s="18"/>
      <c r="P2259" s="18"/>
      <c r="Q2259" s="18"/>
    </row>
    <row r="2260" spans="1:17">
      <c r="A2260" s="149"/>
      <c r="B2260" s="18"/>
      <c r="C2260" s="18"/>
      <c r="D2260" s="18"/>
      <c r="E2260" s="18"/>
      <c r="F2260" s="18"/>
      <c r="G2260" s="18"/>
      <c r="H2260" s="18"/>
      <c r="I2260" s="18"/>
      <c r="J2260" s="18"/>
      <c r="K2260" s="18"/>
      <c r="L2260" s="18"/>
      <c r="M2260" s="18"/>
      <c r="N2260" s="18"/>
      <c r="O2260" s="18"/>
      <c r="P2260" s="18"/>
      <c r="Q2260" s="18"/>
    </row>
    <row r="2261" spans="1:17">
      <c r="A2261" s="18"/>
      <c r="B2261" s="18"/>
      <c r="C2261" s="18"/>
      <c r="D2261" s="18"/>
      <c r="E2261" s="18"/>
      <c r="F2261" s="18"/>
      <c r="G2261" s="18"/>
      <c r="H2261" s="18"/>
      <c r="I2261" s="18"/>
      <c r="J2261" s="18"/>
      <c r="K2261" s="18"/>
      <c r="L2261" s="18"/>
      <c r="M2261" s="18"/>
      <c r="N2261" s="18"/>
      <c r="O2261" s="18"/>
      <c r="P2261" s="18"/>
      <c r="Q2261" s="18"/>
    </row>
    <row r="2262" spans="1:17">
      <c r="A2262" s="149"/>
      <c r="B2262" s="18"/>
      <c r="C2262" s="18"/>
      <c r="D2262" s="18"/>
      <c r="E2262" s="18"/>
      <c r="F2262" s="18"/>
      <c r="G2262" s="18"/>
      <c r="H2262" s="18"/>
      <c r="I2262" s="18"/>
      <c r="J2262" s="18"/>
      <c r="K2262" s="18"/>
      <c r="L2262" s="18"/>
      <c r="M2262" s="18"/>
      <c r="N2262" s="18"/>
      <c r="O2262" s="18"/>
      <c r="P2262" s="18"/>
      <c r="Q2262" s="18"/>
    </row>
    <row r="2263" spans="1:17">
      <c r="A2263" s="18"/>
      <c r="B2263" s="18"/>
      <c r="C2263" s="18"/>
      <c r="D2263" s="18"/>
      <c r="E2263" s="18"/>
      <c r="F2263" s="18"/>
      <c r="G2263" s="18"/>
      <c r="H2263" s="18"/>
      <c r="I2263" s="18"/>
      <c r="J2263" s="18"/>
      <c r="K2263" s="18"/>
      <c r="L2263" s="18"/>
      <c r="M2263" s="18"/>
      <c r="N2263" s="18"/>
      <c r="O2263" s="18"/>
      <c r="P2263" s="18"/>
      <c r="Q2263" s="18"/>
    </row>
    <row r="2264" spans="1:17">
      <c r="A2264" s="18"/>
      <c r="B2264" s="18"/>
      <c r="C2264" s="18"/>
      <c r="D2264" s="18"/>
      <c r="E2264" s="18"/>
      <c r="F2264" s="18"/>
      <c r="G2264" s="18"/>
      <c r="H2264" s="18"/>
      <c r="I2264" s="18"/>
      <c r="J2264" s="18"/>
      <c r="K2264" s="18"/>
      <c r="L2264" s="18"/>
      <c r="M2264" s="18"/>
      <c r="N2264" s="18"/>
      <c r="O2264" s="18"/>
      <c r="P2264" s="18"/>
      <c r="Q2264" s="18"/>
    </row>
    <row r="2265" spans="1:17">
      <c r="A2265" s="18"/>
      <c r="B2265" s="18"/>
      <c r="C2265" s="18"/>
      <c r="D2265" s="18"/>
      <c r="E2265" s="18"/>
      <c r="F2265" s="18"/>
      <c r="G2265" s="18"/>
      <c r="H2265" s="18"/>
      <c r="I2265" s="18"/>
      <c r="J2265" s="18"/>
      <c r="K2265" s="18"/>
      <c r="L2265" s="18"/>
      <c r="M2265" s="18"/>
      <c r="N2265" s="18"/>
      <c r="O2265" s="18"/>
      <c r="P2265" s="18"/>
      <c r="Q2265" s="18"/>
    </row>
    <row r="2266" spans="1:17">
      <c r="A2266" s="18"/>
      <c r="B2266" s="18"/>
      <c r="C2266" s="18"/>
      <c r="D2266" s="18"/>
      <c r="E2266" s="18"/>
      <c r="F2266" s="18"/>
      <c r="G2266" s="18"/>
      <c r="H2266" s="18"/>
      <c r="I2266" s="18"/>
      <c r="J2266" s="18"/>
      <c r="K2266" s="18"/>
      <c r="L2266" s="18"/>
      <c r="M2266" s="18"/>
      <c r="N2266" s="18"/>
      <c r="O2266" s="18"/>
      <c r="P2266" s="18"/>
      <c r="Q2266" s="18"/>
    </row>
    <row r="2267" spans="1:17">
      <c r="A2267" s="18"/>
      <c r="B2267" s="18"/>
      <c r="C2267" s="18"/>
      <c r="D2267" s="18"/>
      <c r="E2267" s="18"/>
      <c r="F2267" s="18"/>
      <c r="G2267" s="18"/>
      <c r="H2267" s="18"/>
      <c r="I2267" s="18"/>
      <c r="J2267" s="18"/>
      <c r="K2267" s="18"/>
      <c r="L2267" s="18"/>
      <c r="M2267" s="18"/>
      <c r="N2267" s="18"/>
      <c r="O2267" s="18"/>
      <c r="P2267" s="18"/>
      <c r="Q2267" s="18"/>
    </row>
    <row r="2268" spans="1:17">
      <c r="A2268" s="18"/>
      <c r="B2268" s="18"/>
      <c r="C2268" s="18"/>
      <c r="D2268" s="18"/>
      <c r="E2268" s="18"/>
      <c r="F2268" s="18"/>
      <c r="G2268" s="18"/>
      <c r="H2268" s="18"/>
      <c r="I2268" s="18"/>
      <c r="J2268" s="18"/>
      <c r="K2268" s="18"/>
      <c r="L2268" s="18"/>
      <c r="M2268" s="18"/>
      <c r="N2268" s="18"/>
      <c r="O2268" s="18"/>
      <c r="P2268" s="18"/>
      <c r="Q2268" s="18"/>
    </row>
    <row r="2269" spans="1:17">
      <c r="A2269" s="18"/>
      <c r="B2269" s="18"/>
      <c r="C2269" s="18"/>
      <c r="D2269" s="18"/>
      <c r="E2269" s="18"/>
      <c r="F2269" s="18"/>
      <c r="G2269" s="18"/>
      <c r="H2269" s="18"/>
      <c r="I2269" s="18"/>
      <c r="J2269" s="18"/>
      <c r="K2269" s="18"/>
      <c r="L2269" s="18"/>
      <c r="M2269" s="18"/>
      <c r="N2269" s="18"/>
      <c r="O2269" s="18"/>
      <c r="P2269" s="18"/>
      <c r="Q2269" s="18"/>
    </row>
    <row r="2270" spans="1:17">
      <c r="A2270" s="18"/>
      <c r="B2270" s="18"/>
      <c r="C2270" s="18"/>
      <c r="D2270" s="18"/>
      <c r="E2270" s="18"/>
      <c r="F2270" s="18"/>
      <c r="G2270" s="18"/>
      <c r="H2270" s="18"/>
      <c r="I2270" s="18"/>
      <c r="J2270" s="18"/>
      <c r="K2270" s="18"/>
      <c r="L2270" s="18"/>
      <c r="M2270" s="18"/>
      <c r="N2270" s="18"/>
      <c r="O2270" s="18"/>
      <c r="P2270" s="18"/>
      <c r="Q2270" s="18"/>
    </row>
    <row r="2271" spans="1:17">
      <c r="A2271" s="18"/>
      <c r="B2271" s="18"/>
      <c r="C2271" s="18"/>
      <c r="D2271" s="18"/>
      <c r="E2271" s="18"/>
      <c r="F2271" s="18"/>
      <c r="G2271" s="18"/>
      <c r="H2271" s="18"/>
      <c r="I2271" s="18"/>
      <c r="J2271" s="18"/>
      <c r="K2271" s="18"/>
      <c r="L2271" s="18"/>
      <c r="M2271" s="18"/>
      <c r="N2271" s="18"/>
      <c r="O2271" s="18"/>
      <c r="P2271" s="18"/>
      <c r="Q2271" s="18"/>
    </row>
    <row r="2272" spans="1:17">
      <c r="A2272" s="18"/>
      <c r="B2272" s="18"/>
      <c r="C2272" s="18"/>
      <c r="D2272" s="18"/>
      <c r="E2272" s="18"/>
      <c r="F2272" s="18"/>
      <c r="G2272" s="18"/>
      <c r="H2272" s="18"/>
      <c r="I2272" s="18"/>
      <c r="J2272" s="18"/>
      <c r="K2272" s="18"/>
      <c r="L2272" s="18"/>
      <c r="M2272" s="18"/>
      <c r="N2272" s="18"/>
      <c r="O2272" s="18"/>
      <c r="P2272" s="18"/>
      <c r="Q2272" s="18"/>
    </row>
    <row r="2273" spans="1:17">
      <c r="A2273" s="18"/>
      <c r="B2273" s="18"/>
      <c r="C2273" s="18"/>
      <c r="D2273" s="18"/>
      <c r="E2273" s="18"/>
      <c r="F2273" s="18"/>
      <c r="G2273" s="18"/>
      <c r="H2273" s="18"/>
      <c r="I2273" s="18"/>
      <c r="J2273" s="18"/>
      <c r="K2273" s="18"/>
      <c r="L2273" s="18"/>
      <c r="M2273" s="18"/>
      <c r="N2273" s="18"/>
      <c r="O2273" s="18"/>
      <c r="P2273" s="18"/>
      <c r="Q2273" s="18"/>
    </row>
    <row r="2274" spans="1:17">
      <c r="A2274" s="149"/>
      <c r="B2274" s="18"/>
      <c r="C2274" s="18"/>
      <c r="D2274" s="18"/>
      <c r="E2274" s="18"/>
      <c r="F2274" s="18"/>
      <c r="G2274" s="18"/>
      <c r="H2274" s="18"/>
      <c r="I2274" s="18"/>
      <c r="J2274" s="18"/>
      <c r="K2274" s="18"/>
      <c r="L2274" s="18"/>
      <c r="M2274" s="18"/>
      <c r="N2274" s="18"/>
      <c r="O2274" s="18"/>
      <c r="P2274" s="18"/>
      <c r="Q2274" s="18"/>
    </row>
    <row r="2275" spans="1:17">
      <c r="A2275" s="18"/>
      <c r="B2275" s="18"/>
      <c r="C2275" s="18"/>
      <c r="D2275" s="18"/>
      <c r="E2275" s="18"/>
      <c r="F2275" s="18"/>
      <c r="G2275" s="18"/>
      <c r="H2275" s="18"/>
      <c r="I2275" s="18"/>
      <c r="J2275" s="18"/>
      <c r="K2275" s="18"/>
      <c r="L2275" s="18"/>
      <c r="M2275" s="18"/>
      <c r="N2275" s="18"/>
      <c r="O2275" s="18"/>
      <c r="P2275" s="18"/>
      <c r="Q2275" s="18"/>
    </row>
    <row r="2276" spans="1:17">
      <c r="A2276" s="18"/>
      <c r="B2276" s="18"/>
      <c r="C2276" s="18"/>
      <c r="D2276" s="18"/>
      <c r="E2276" s="18"/>
      <c r="F2276" s="18"/>
      <c r="G2276" s="18"/>
      <c r="H2276" s="18"/>
      <c r="I2276" s="18"/>
      <c r="J2276" s="18"/>
      <c r="K2276" s="18"/>
      <c r="L2276" s="18"/>
      <c r="M2276" s="18"/>
      <c r="N2276" s="18"/>
      <c r="O2276" s="18"/>
      <c r="P2276" s="18"/>
      <c r="Q2276" s="18"/>
    </row>
    <row r="2277" spans="1:17">
      <c r="A2277" s="18"/>
      <c r="B2277" s="18"/>
      <c r="C2277" s="18"/>
      <c r="D2277" s="18"/>
      <c r="E2277" s="18"/>
      <c r="F2277" s="18"/>
      <c r="G2277" s="18"/>
      <c r="H2277" s="18"/>
      <c r="I2277" s="18"/>
      <c r="J2277" s="18"/>
      <c r="K2277" s="18"/>
      <c r="L2277" s="18"/>
      <c r="M2277" s="18"/>
      <c r="N2277" s="18"/>
      <c r="O2277" s="18"/>
      <c r="P2277" s="18"/>
      <c r="Q2277" s="18"/>
    </row>
    <row r="2278" spans="1:17">
      <c r="A2278" s="149"/>
      <c r="B2278" s="18"/>
      <c r="C2278" s="18"/>
      <c r="D2278" s="18"/>
      <c r="E2278" s="18"/>
      <c r="F2278" s="18"/>
      <c r="G2278" s="18"/>
      <c r="H2278" s="18"/>
      <c r="I2278" s="18"/>
      <c r="J2278" s="18"/>
      <c r="K2278" s="18"/>
      <c r="L2278" s="18"/>
      <c r="M2278" s="18"/>
      <c r="N2278" s="18"/>
      <c r="O2278" s="18"/>
      <c r="P2278" s="18"/>
      <c r="Q2278" s="18"/>
    </row>
    <row r="2279" spans="1:17">
      <c r="A2279" s="18"/>
      <c r="B2279" s="18"/>
      <c r="C2279" s="18"/>
      <c r="D2279" s="18"/>
      <c r="E2279" s="18"/>
      <c r="F2279" s="18"/>
      <c r="G2279" s="18"/>
      <c r="H2279" s="18"/>
      <c r="I2279" s="18"/>
      <c r="J2279" s="18"/>
      <c r="K2279" s="18"/>
      <c r="L2279" s="18"/>
      <c r="M2279" s="18"/>
      <c r="N2279" s="18"/>
      <c r="O2279" s="18"/>
      <c r="P2279" s="18"/>
      <c r="Q2279" s="18"/>
    </row>
    <row r="2280" spans="1:17">
      <c r="A2280" s="18"/>
      <c r="B2280" s="18"/>
      <c r="C2280" s="18"/>
      <c r="D2280" s="18"/>
      <c r="E2280" s="18"/>
      <c r="F2280" s="18"/>
      <c r="G2280" s="18"/>
      <c r="H2280" s="18"/>
      <c r="I2280" s="18"/>
      <c r="J2280" s="18"/>
      <c r="K2280" s="18"/>
      <c r="L2280" s="18"/>
      <c r="M2280" s="18"/>
      <c r="N2280" s="18"/>
      <c r="O2280" s="18"/>
      <c r="P2280" s="18"/>
      <c r="Q2280" s="18"/>
    </row>
    <row r="2281" spans="1:17">
      <c r="A2281" s="18"/>
      <c r="B2281" s="18"/>
      <c r="C2281" s="18"/>
      <c r="D2281" s="18"/>
      <c r="E2281" s="18"/>
      <c r="F2281" s="18"/>
      <c r="G2281" s="18"/>
      <c r="H2281" s="18"/>
      <c r="I2281" s="18"/>
      <c r="J2281" s="18"/>
      <c r="K2281" s="18"/>
      <c r="L2281" s="18"/>
      <c r="M2281" s="18"/>
      <c r="N2281" s="18"/>
      <c r="O2281" s="18"/>
      <c r="P2281" s="18"/>
      <c r="Q2281" s="18"/>
    </row>
    <row r="2282" spans="1:17">
      <c r="A2282" s="18"/>
      <c r="B2282" s="18"/>
      <c r="C2282" s="18"/>
      <c r="D2282" s="18"/>
      <c r="E2282" s="18"/>
      <c r="F2282" s="18"/>
      <c r="G2282" s="18"/>
      <c r="H2282" s="18"/>
      <c r="I2282" s="18"/>
      <c r="J2282" s="18"/>
      <c r="K2282" s="18"/>
      <c r="L2282" s="18"/>
      <c r="M2282" s="18"/>
      <c r="N2282" s="18"/>
      <c r="O2282" s="18"/>
      <c r="P2282" s="18"/>
      <c r="Q2282" s="18"/>
    </row>
    <row r="2283" spans="1:17">
      <c r="A2283" s="18"/>
      <c r="B2283" s="18"/>
      <c r="C2283" s="18"/>
      <c r="D2283" s="18"/>
      <c r="E2283" s="18"/>
      <c r="F2283" s="18"/>
      <c r="G2283" s="18"/>
      <c r="H2283" s="18"/>
      <c r="I2283" s="18"/>
      <c r="J2283" s="18"/>
      <c r="K2283" s="18"/>
      <c r="L2283" s="18"/>
      <c r="M2283" s="18"/>
      <c r="N2283" s="18"/>
      <c r="O2283" s="18"/>
      <c r="P2283" s="18"/>
      <c r="Q2283" s="18"/>
    </row>
    <row r="2284" spans="1:17">
      <c r="A2284" s="149"/>
      <c r="B2284" s="18"/>
      <c r="C2284" s="18"/>
      <c r="D2284" s="18"/>
      <c r="E2284" s="18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8"/>
    </row>
    <row r="2285" spans="1:17">
      <c r="A2285" s="18"/>
      <c r="B2285" s="18"/>
      <c r="C2285" s="18"/>
      <c r="D2285" s="18"/>
      <c r="E2285" s="18"/>
      <c r="F2285" s="18"/>
      <c r="G2285" s="18"/>
      <c r="H2285" s="18"/>
      <c r="I2285" s="18"/>
      <c r="J2285" s="18"/>
      <c r="K2285" s="18"/>
      <c r="L2285" s="18"/>
      <c r="M2285" s="18"/>
      <c r="N2285" s="18"/>
      <c r="O2285" s="18"/>
      <c r="P2285" s="18"/>
      <c r="Q2285" s="18"/>
    </row>
    <row r="2286" spans="1:17">
      <c r="A2286" s="18"/>
      <c r="B2286" s="18"/>
      <c r="C2286" s="18"/>
      <c r="D2286" s="18"/>
      <c r="E2286" s="18"/>
      <c r="F2286" s="18"/>
      <c r="G2286" s="18"/>
      <c r="H2286" s="18"/>
      <c r="I2286" s="18"/>
      <c r="J2286" s="18"/>
      <c r="K2286" s="18"/>
      <c r="L2286" s="18"/>
      <c r="M2286" s="18"/>
      <c r="N2286" s="18"/>
      <c r="O2286" s="18"/>
      <c r="P2286" s="18"/>
      <c r="Q2286" s="18"/>
    </row>
    <row r="2287" spans="1:17">
      <c r="A2287" s="149"/>
      <c r="B2287" s="18"/>
      <c r="C2287" s="18"/>
      <c r="D2287" s="18"/>
      <c r="E2287" s="18"/>
      <c r="F2287" s="18"/>
      <c r="G2287" s="18"/>
      <c r="H2287" s="18"/>
      <c r="I2287" s="18"/>
      <c r="J2287" s="18"/>
      <c r="K2287" s="18"/>
      <c r="L2287" s="18"/>
      <c r="M2287" s="18"/>
      <c r="N2287" s="18"/>
      <c r="O2287" s="18"/>
      <c r="P2287" s="18"/>
      <c r="Q2287" s="18"/>
    </row>
    <row r="2288" spans="1:17">
      <c r="A2288" s="18"/>
      <c r="B2288" s="18"/>
      <c r="C2288" s="18"/>
      <c r="D2288" s="18"/>
      <c r="E2288" s="18"/>
      <c r="F2288" s="18"/>
      <c r="G2288" s="18"/>
      <c r="H2288" s="18"/>
      <c r="I2288" s="18"/>
      <c r="J2288" s="18"/>
      <c r="K2288" s="18"/>
      <c r="L2288" s="18"/>
      <c r="M2288" s="18"/>
      <c r="N2288" s="18"/>
      <c r="O2288" s="18"/>
      <c r="P2288" s="18"/>
      <c r="Q2288" s="18"/>
    </row>
    <row r="2289" spans="1:17">
      <c r="A2289" s="18"/>
      <c r="B2289" s="18"/>
      <c r="C2289" s="18"/>
      <c r="D2289" s="18"/>
      <c r="E2289" s="18"/>
      <c r="F2289" s="18"/>
      <c r="G2289" s="18"/>
      <c r="H2289" s="18"/>
      <c r="I2289" s="18"/>
      <c r="J2289" s="18"/>
      <c r="K2289" s="18"/>
      <c r="L2289" s="18"/>
      <c r="M2289" s="18"/>
      <c r="N2289" s="18"/>
      <c r="O2289" s="18"/>
      <c r="P2289" s="18"/>
      <c r="Q2289" s="18"/>
    </row>
    <row r="2290" spans="1:17">
      <c r="A2290" s="149"/>
      <c r="B2290" s="18"/>
      <c r="C2290" s="18"/>
      <c r="D2290" s="18"/>
      <c r="E2290" s="18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8"/>
    </row>
    <row r="2291" spans="1:17">
      <c r="A2291" s="18"/>
      <c r="B2291" s="18"/>
      <c r="C2291" s="18"/>
      <c r="D2291" s="18"/>
      <c r="E2291" s="18"/>
      <c r="F2291" s="18"/>
      <c r="G2291" s="18"/>
      <c r="H2291" s="18"/>
      <c r="I2291" s="18"/>
      <c r="J2291" s="18"/>
      <c r="K2291" s="18"/>
      <c r="L2291" s="18"/>
      <c r="M2291" s="18"/>
      <c r="N2291" s="18"/>
      <c r="O2291" s="18"/>
      <c r="P2291" s="18"/>
      <c r="Q2291" s="18"/>
    </row>
    <row r="2292" spans="1:17">
      <c r="A2292" s="18"/>
      <c r="B2292" s="18"/>
      <c r="C2292" s="18"/>
      <c r="D2292" s="18"/>
      <c r="E2292" s="18"/>
      <c r="F2292" s="18"/>
      <c r="G2292" s="18"/>
      <c r="H2292" s="18"/>
      <c r="I2292" s="18"/>
      <c r="J2292" s="18"/>
      <c r="K2292" s="18"/>
      <c r="L2292" s="18"/>
      <c r="M2292" s="18"/>
      <c r="N2292" s="18"/>
      <c r="O2292" s="18"/>
      <c r="P2292" s="18"/>
      <c r="Q2292" s="18"/>
    </row>
    <row r="2293" spans="1:17">
      <c r="A2293" s="149"/>
      <c r="B2293" s="18"/>
      <c r="C2293" s="18"/>
      <c r="D2293" s="18"/>
      <c r="E2293" s="18"/>
      <c r="F2293" s="18"/>
      <c r="G2293" s="18"/>
      <c r="H2293" s="18"/>
      <c r="I2293" s="18"/>
      <c r="J2293" s="18"/>
      <c r="K2293" s="18"/>
      <c r="L2293" s="18"/>
      <c r="M2293" s="18"/>
      <c r="N2293" s="18"/>
      <c r="O2293" s="18"/>
      <c r="P2293" s="18"/>
      <c r="Q2293" s="18"/>
    </row>
    <row r="2294" spans="1:17">
      <c r="A2294" s="18"/>
      <c r="B2294" s="18"/>
      <c r="C2294" s="18"/>
      <c r="D2294" s="18"/>
      <c r="E2294" s="18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8"/>
    </row>
    <row r="2295" spans="1:17">
      <c r="A2295" s="18"/>
      <c r="B2295" s="18"/>
      <c r="C2295" s="18"/>
      <c r="D2295" s="18"/>
      <c r="E2295" s="18"/>
      <c r="F2295" s="18"/>
      <c r="G2295" s="18"/>
      <c r="H2295" s="18"/>
      <c r="I2295" s="18"/>
      <c r="J2295" s="18"/>
      <c r="K2295" s="18"/>
      <c r="L2295" s="18"/>
      <c r="M2295" s="18"/>
      <c r="N2295" s="18"/>
      <c r="O2295" s="18"/>
      <c r="P2295" s="18"/>
      <c r="Q2295" s="18"/>
    </row>
    <row r="2296" spans="1:17">
      <c r="A2296" s="18"/>
      <c r="B2296" s="18"/>
      <c r="C2296" s="18"/>
      <c r="D2296" s="18"/>
      <c r="E2296" s="18"/>
      <c r="F2296" s="18"/>
      <c r="G2296" s="18"/>
      <c r="H2296" s="18"/>
      <c r="I2296" s="18"/>
      <c r="J2296" s="18"/>
      <c r="K2296" s="18"/>
      <c r="L2296" s="18"/>
      <c r="M2296" s="18"/>
      <c r="N2296" s="18"/>
      <c r="O2296" s="18"/>
      <c r="P2296" s="18"/>
      <c r="Q2296" s="18"/>
    </row>
    <row r="2297" spans="1:17">
      <c r="A2297" s="18"/>
      <c r="B2297" s="18"/>
      <c r="C2297" s="18"/>
      <c r="D2297" s="18"/>
      <c r="E2297" s="18"/>
      <c r="F2297" s="18"/>
      <c r="G2297" s="18"/>
      <c r="H2297" s="18"/>
      <c r="I2297" s="18"/>
      <c r="J2297" s="18"/>
      <c r="K2297" s="18"/>
      <c r="L2297" s="18"/>
      <c r="M2297" s="18"/>
      <c r="N2297" s="18"/>
      <c r="O2297" s="18"/>
      <c r="P2297" s="18"/>
      <c r="Q2297" s="18"/>
    </row>
    <row r="2298" spans="1:17">
      <c r="A2298" s="18"/>
      <c r="B2298" s="18"/>
      <c r="C2298" s="18"/>
      <c r="D2298" s="18"/>
      <c r="E2298" s="18"/>
      <c r="F2298" s="18"/>
      <c r="G2298" s="18"/>
      <c r="H2298" s="18"/>
      <c r="I2298" s="18"/>
      <c r="J2298" s="18"/>
      <c r="K2298" s="18"/>
      <c r="L2298" s="18"/>
      <c r="M2298" s="18"/>
      <c r="N2298" s="18"/>
      <c r="O2298" s="18"/>
      <c r="P2298" s="18"/>
      <c r="Q2298" s="18"/>
    </row>
    <row r="2299" spans="1:17">
      <c r="A2299" s="18"/>
      <c r="B2299" s="18"/>
      <c r="C2299" s="18"/>
      <c r="D2299" s="18"/>
      <c r="E2299" s="18"/>
      <c r="F2299" s="18"/>
      <c r="G2299" s="18"/>
      <c r="H2299" s="18"/>
      <c r="I2299" s="18"/>
      <c r="J2299" s="18"/>
      <c r="K2299" s="18"/>
      <c r="L2299" s="18"/>
      <c r="M2299" s="18"/>
      <c r="N2299" s="18"/>
      <c r="O2299" s="18"/>
      <c r="P2299" s="18"/>
      <c r="Q2299" s="18"/>
    </row>
    <row r="2300" spans="1:17">
      <c r="A2300" s="18"/>
      <c r="B2300" s="18"/>
      <c r="C2300" s="18"/>
      <c r="D2300" s="18"/>
      <c r="E2300" s="18"/>
      <c r="F2300" s="18"/>
      <c r="G2300" s="18"/>
      <c r="H2300" s="18"/>
      <c r="I2300" s="18"/>
      <c r="J2300" s="18"/>
      <c r="K2300" s="18"/>
      <c r="L2300" s="18"/>
      <c r="M2300" s="18"/>
      <c r="N2300" s="18"/>
      <c r="O2300" s="18"/>
      <c r="P2300" s="18"/>
      <c r="Q2300" s="18"/>
    </row>
    <row r="2301" spans="1:17">
      <c r="A2301" s="18"/>
      <c r="B2301" s="18"/>
      <c r="C2301" s="18"/>
      <c r="D2301" s="18"/>
      <c r="E2301" s="18"/>
      <c r="F2301" s="18"/>
      <c r="G2301" s="18"/>
      <c r="H2301" s="18"/>
      <c r="I2301" s="18"/>
      <c r="J2301" s="18"/>
      <c r="K2301" s="18"/>
      <c r="L2301" s="18"/>
      <c r="M2301" s="18"/>
      <c r="N2301" s="18"/>
      <c r="O2301" s="18"/>
      <c r="P2301" s="18"/>
      <c r="Q2301" s="18"/>
    </row>
    <row r="2302" spans="1:17">
      <c r="A2302" s="149"/>
      <c r="B2302" s="18"/>
      <c r="C2302" s="18"/>
      <c r="D2302" s="18"/>
      <c r="E2302" s="18"/>
      <c r="F2302" s="18"/>
      <c r="G2302" s="18"/>
      <c r="H2302" s="18"/>
      <c r="I2302" s="18"/>
      <c r="J2302" s="18"/>
      <c r="K2302" s="18"/>
      <c r="L2302" s="18"/>
      <c r="M2302" s="18"/>
      <c r="N2302" s="18"/>
      <c r="O2302" s="18"/>
      <c r="P2302" s="18"/>
      <c r="Q2302" s="18"/>
    </row>
    <row r="2303" spans="1:17">
      <c r="A2303" s="18"/>
      <c r="B2303" s="18"/>
      <c r="C2303" s="18"/>
      <c r="D2303" s="18"/>
      <c r="E2303" s="18"/>
      <c r="F2303" s="18"/>
      <c r="G2303" s="18"/>
      <c r="H2303" s="18"/>
      <c r="I2303" s="18"/>
      <c r="J2303" s="18"/>
      <c r="K2303" s="18"/>
      <c r="L2303" s="18"/>
      <c r="M2303" s="18"/>
      <c r="N2303" s="18"/>
      <c r="O2303" s="18"/>
      <c r="P2303" s="18"/>
      <c r="Q2303" s="18"/>
    </row>
    <row r="2304" spans="1:17">
      <c r="A2304" s="149"/>
      <c r="B2304" s="18"/>
      <c r="C2304" s="18"/>
      <c r="D2304" s="18"/>
      <c r="E2304" s="18"/>
      <c r="F2304" s="18"/>
      <c r="G2304" s="18"/>
      <c r="H2304" s="18"/>
      <c r="I2304" s="18"/>
      <c r="J2304" s="18"/>
      <c r="K2304" s="18"/>
      <c r="L2304" s="18"/>
      <c r="M2304" s="18"/>
      <c r="N2304" s="18"/>
      <c r="O2304" s="18"/>
      <c r="P2304" s="18"/>
      <c r="Q2304" s="18"/>
    </row>
    <row r="2305" spans="1:17">
      <c r="A2305" s="18"/>
      <c r="B2305" s="18"/>
      <c r="C2305" s="18"/>
      <c r="D2305" s="18"/>
      <c r="E2305" s="18"/>
      <c r="F2305" s="18"/>
      <c r="G2305" s="18"/>
      <c r="H2305" s="18"/>
      <c r="I2305" s="18"/>
      <c r="J2305" s="18"/>
      <c r="K2305" s="18"/>
      <c r="L2305" s="18"/>
      <c r="M2305" s="18"/>
      <c r="N2305" s="18"/>
      <c r="O2305" s="18"/>
      <c r="P2305" s="18"/>
      <c r="Q2305" s="18"/>
    </row>
    <row r="2306" spans="1:17">
      <c r="A2306" s="149"/>
      <c r="B2306" s="18"/>
      <c r="C2306" s="18"/>
      <c r="D2306" s="18"/>
      <c r="E2306" s="18"/>
      <c r="F2306" s="18"/>
      <c r="G2306" s="18"/>
      <c r="H2306" s="18"/>
      <c r="I2306" s="18"/>
      <c r="J2306" s="18"/>
      <c r="K2306" s="18"/>
      <c r="L2306" s="18"/>
      <c r="M2306" s="18"/>
      <c r="N2306" s="18"/>
      <c r="O2306" s="18"/>
      <c r="P2306" s="18"/>
      <c r="Q2306" s="18"/>
    </row>
    <row r="2307" spans="1:17">
      <c r="A2307" s="18"/>
      <c r="B2307" s="18"/>
      <c r="C2307" s="18"/>
      <c r="D2307" s="18"/>
      <c r="E2307" s="18"/>
      <c r="F2307" s="18"/>
      <c r="G2307" s="18"/>
      <c r="H2307" s="18"/>
      <c r="I2307" s="18"/>
      <c r="J2307" s="18"/>
      <c r="K2307" s="18"/>
      <c r="L2307" s="18"/>
      <c r="M2307" s="18"/>
      <c r="N2307" s="18"/>
      <c r="O2307" s="18"/>
      <c r="P2307" s="18"/>
      <c r="Q2307" s="18"/>
    </row>
    <row r="2308" spans="1:17">
      <c r="A2308" s="18"/>
      <c r="B2308" s="18"/>
      <c r="C2308" s="18"/>
      <c r="D2308" s="18"/>
      <c r="E2308" s="18"/>
      <c r="F2308" s="18"/>
      <c r="G2308" s="18"/>
      <c r="H2308" s="18"/>
      <c r="I2308" s="18"/>
      <c r="J2308" s="18"/>
      <c r="K2308" s="18"/>
      <c r="L2308" s="18"/>
      <c r="M2308" s="18"/>
      <c r="N2308" s="18"/>
      <c r="O2308" s="18"/>
      <c r="P2308" s="18"/>
      <c r="Q2308" s="18"/>
    </row>
    <row r="2309" spans="1:17">
      <c r="A2309" s="149"/>
      <c r="B2309" s="18"/>
      <c r="C2309" s="18"/>
      <c r="D2309" s="18"/>
      <c r="E2309" s="18"/>
      <c r="F2309" s="18"/>
      <c r="G2309" s="18"/>
      <c r="H2309" s="18"/>
      <c r="I2309" s="18"/>
      <c r="J2309" s="18"/>
      <c r="K2309" s="18"/>
      <c r="L2309" s="18"/>
      <c r="M2309" s="18"/>
      <c r="N2309" s="18"/>
      <c r="O2309" s="18"/>
      <c r="P2309" s="18"/>
      <c r="Q2309" s="18"/>
    </row>
    <row r="2310" spans="1:17">
      <c r="A2310" s="18"/>
      <c r="B2310" s="18"/>
      <c r="C2310" s="18"/>
      <c r="D2310" s="18"/>
      <c r="E2310" s="18"/>
      <c r="F2310" s="18"/>
      <c r="G2310" s="18"/>
      <c r="H2310" s="18"/>
      <c r="I2310" s="18"/>
      <c r="J2310" s="18"/>
      <c r="K2310" s="18"/>
      <c r="L2310" s="18"/>
      <c r="M2310" s="18"/>
      <c r="N2310" s="18"/>
      <c r="O2310" s="18"/>
      <c r="P2310" s="18"/>
      <c r="Q2310" s="18"/>
    </row>
    <row r="2311" spans="1:17">
      <c r="A2311" s="18"/>
      <c r="B2311" s="18"/>
      <c r="C2311" s="18"/>
      <c r="D2311" s="18"/>
      <c r="E2311" s="18"/>
      <c r="F2311" s="18"/>
      <c r="G2311" s="18"/>
      <c r="H2311" s="18"/>
      <c r="I2311" s="18"/>
      <c r="J2311" s="18"/>
      <c r="K2311" s="18"/>
      <c r="L2311" s="18"/>
      <c r="M2311" s="18"/>
      <c r="N2311" s="18"/>
      <c r="O2311" s="18"/>
      <c r="P2311" s="18"/>
      <c r="Q2311" s="18"/>
    </row>
    <row r="2312" spans="1:17">
      <c r="A2312" s="149"/>
      <c r="B2312" s="18"/>
      <c r="C2312" s="18"/>
      <c r="D2312" s="18"/>
      <c r="E2312" s="18"/>
      <c r="F2312" s="18"/>
      <c r="G2312" s="18"/>
      <c r="H2312" s="18"/>
      <c r="I2312" s="18"/>
      <c r="J2312" s="18"/>
      <c r="K2312" s="18"/>
      <c r="L2312" s="18"/>
      <c r="M2312" s="18"/>
      <c r="N2312" s="18"/>
      <c r="O2312" s="18"/>
      <c r="P2312" s="18"/>
      <c r="Q2312" s="18"/>
    </row>
    <row r="2313" spans="1:17">
      <c r="A2313" s="18"/>
      <c r="B2313" s="18"/>
      <c r="C2313" s="18"/>
      <c r="D2313" s="18"/>
      <c r="E2313" s="18"/>
      <c r="F2313" s="18"/>
      <c r="G2313" s="18"/>
      <c r="H2313" s="18"/>
      <c r="I2313" s="18"/>
      <c r="J2313" s="18"/>
      <c r="K2313" s="18"/>
      <c r="L2313" s="18"/>
      <c r="M2313" s="18"/>
      <c r="N2313" s="18"/>
      <c r="O2313" s="18"/>
      <c r="P2313" s="18"/>
      <c r="Q2313" s="18"/>
    </row>
    <row r="2314" spans="1:17">
      <c r="A2314" s="18"/>
      <c r="B2314" s="18"/>
      <c r="C2314" s="18"/>
      <c r="D2314" s="18"/>
      <c r="E2314" s="18"/>
      <c r="F2314" s="18"/>
      <c r="G2314" s="18"/>
      <c r="H2314" s="18"/>
      <c r="I2314" s="18"/>
      <c r="J2314" s="18"/>
      <c r="K2314" s="18"/>
      <c r="L2314" s="18"/>
      <c r="M2314" s="18"/>
      <c r="N2314" s="18"/>
      <c r="O2314" s="18"/>
      <c r="P2314" s="18"/>
      <c r="Q2314" s="18"/>
    </row>
    <row r="2315" spans="1:17">
      <c r="A2315" s="149"/>
      <c r="B2315" s="18"/>
      <c r="C2315" s="18"/>
      <c r="D2315" s="18"/>
      <c r="E2315" s="18"/>
      <c r="F2315" s="18"/>
      <c r="G2315" s="18"/>
      <c r="H2315" s="18"/>
      <c r="I2315" s="18"/>
      <c r="J2315" s="18"/>
      <c r="K2315" s="18"/>
      <c r="L2315" s="18"/>
      <c r="M2315" s="18"/>
      <c r="N2315" s="18"/>
      <c r="O2315" s="18"/>
      <c r="P2315" s="18"/>
      <c r="Q2315" s="18"/>
    </row>
    <row r="2316" spans="1:17">
      <c r="A2316" s="18"/>
      <c r="B2316" s="18"/>
      <c r="C2316" s="18"/>
      <c r="D2316" s="18"/>
      <c r="E2316" s="18"/>
      <c r="F2316" s="18"/>
      <c r="G2316" s="18"/>
      <c r="H2316" s="18"/>
      <c r="I2316" s="18"/>
      <c r="J2316" s="18"/>
      <c r="K2316" s="18"/>
      <c r="L2316" s="18"/>
      <c r="M2316" s="18"/>
      <c r="N2316" s="18"/>
      <c r="O2316" s="18"/>
      <c r="P2316" s="18"/>
      <c r="Q2316" s="18"/>
    </row>
    <row r="2317" spans="1:17">
      <c r="A2317" s="18"/>
      <c r="B2317" s="18"/>
      <c r="C2317" s="18"/>
      <c r="D2317" s="18"/>
      <c r="E2317" s="18"/>
      <c r="F2317" s="18"/>
      <c r="G2317" s="18"/>
      <c r="H2317" s="18"/>
      <c r="I2317" s="18"/>
      <c r="J2317" s="18"/>
      <c r="K2317" s="18"/>
      <c r="L2317" s="18"/>
      <c r="M2317" s="18"/>
      <c r="N2317" s="18"/>
      <c r="O2317" s="18"/>
      <c r="P2317" s="18"/>
      <c r="Q2317" s="18"/>
    </row>
    <row r="2318" spans="1:17">
      <c r="A2318" s="18"/>
      <c r="B2318" s="18"/>
      <c r="C2318" s="18"/>
      <c r="D2318" s="18"/>
      <c r="E2318" s="18"/>
      <c r="F2318" s="18"/>
      <c r="G2318" s="18"/>
      <c r="H2318" s="18"/>
      <c r="I2318" s="18"/>
      <c r="J2318" s="18"/>
      <c r="K2318" s="18"/>
      <c r="L2318" s="18"/>
      <c r="M2318" s="18"/>
      <c r="N2318" s="18"/>
      <c r="O2318" s="18"/>
      <c r="P2318" s="18"/>
      <c r="Q2318" s="18"/>
    </row>
    <row r="2319" spans="1:17">
      <c r="A2319" s="149"/>
      <c r="B2319" s="18"/>
      <c r="C2319" s="18"/>
      <c r="D2319" s="18"/>
      <c r="E2319" s="18"/>
      <c r="F2319" s="18"/>
      <c r="G2319" s="18"/>
      <c r="H2319" s="18"/>
      <c r="I2319" s="18"/>
      <c r="J2319" s="18"/>
      <c r="K2319" s="18"/>
      <c r="L2319" s="18"/>
      <c r="M2319" s="18"/>
      <c r="N2319" s="18"/>
      <c r="O2319" s="18"/>
      <c r="P2319" s="18"/>
      <c r="Q2319" s="18"/>
    </row>
    <row r="2320" spans="1:17">
      <c r="A2320" s="18"/>
      <c r="B2320" s="18"/>
      <c r="C2320" s="18"/>
      <c r="D2320" s="18"/>
      <c r="E2320" s="18"/>
      <c r="F2320" s="18"/>
      <c r="G2320" s="18"/>
      <c r="H2320" s="18"/>
      <c r="I2320" s="18"/>
      <c r="J2320" s="18"/>
      <c r="K2320" s="18"/>
      <c r="L2320" s="18"/>
      <c r="M2320" s="18"/>
      <c r="N2320" s="18"/>
      <c r="O2320" s="18"/>
      <c r="P2320" s="18"/>
      <c r="Q2320" s="18"/>
    </row>
    <row r="2321" spans="1:17">
      <c r="A2321" s="18"/>
      <c r="B2321" s="18"/>
      <c r="C2321" s="18"/>
      <c r="D2321" s="18"/>
      <c r="E2321" s="18"/>
      <c r="F2321" s="18"/>
      <c r="G2321" s="18"/>
      <c r="H2321" s="18"/>
      <c r="I2321" s="18"/>
      <c r="J2321" s="18"/>
      <c r="K2321" s="18"/>
      <c r="L2321" s="18"/>
      <c r="M2321" s="18"/>
      <c r="N2321" s="18"/>
      <c r="O2321" s="18"/>
      <c r="P2321" s="18"/>
      <c r="Q2321" s="18"/>
    </row>
    <row r="2322" spans="1:17">
      <c r="A2322" s="18"/>
      <c r="B2322" s="18"/>
      <c r="C2322" s="18"/>
      <c r="D2322" s="18"/>
      <c r="E2322" s="18"/>
      <c r="F2322" s="18"/>
      <c r="G2322" s="18"/>
      <c r="H2322" s="18"/>
      <c r="I2322" s="18"/>
      <c r="J2322" s="18"/>
      <c r="K2322" s="18"/>
      <c r="L2322" s="18"/>
      <c r="M2322" s="18"/>
      <c r="N2322" s="18"/>
      <c r="O2322" s="18"/>
      <c r="P2322" s="18"/>
      <c r="Q2322" s="18"/>
    </row>
    <row r="2323" spans="1:17">
      <c r="A2323" s="18"/>
      <c r="B2323" s="18"/>
      <c r="C2323" s="18"/>
      <c r="D2323" s="18"/>
      <c r="E2323" s="18"/>
      <c r="F2323" s="18"/>
      <c r="G2323" s="18"/>
      <c r="H2323" s="18"/>
      <c r="I2323" s="18"/>
      <c r="J2323" s="18"/>
      <c r="K2323" s="18"/>
      <c r="L2323" s="18"/>
      <c r="M2323" s="18"/>
      <c r="N2323" s="18"/>
      <c r="O2323" s="18"/>
      <c r="P2323" s="18"/>
      <c r="Q2323" s="18"/>
    </row>
    <row r="2324" spans="1:17">
      <c r="A2324" s="149"/>
      <c r="B2324" s="18"/>
      <c r="C2324" s="18"/>
      <c r="D2324" s="18"/>
      <c r="E2324" s="18"/>
      <c r="F2324" s="18"/>
      <c r="G2324" s="18"/>
      <c r="H2324" s="18"/>
      <c r="I2324" s="18"/>
      <c r="J2324" s="18"/>
      <c r="K2324" s="18"/>
      <c r="L2324" s="18"/>
      <c r="M2324" s="18"/>
      <c r="N2324" s="18"/>
      <c r="O2324" s="18"/>
      <c r="P2324" s="18"/>
      <c r="Q2324" s="18"/>
    </row>
    <row r="2325" spans="1:17">
      <c r="A2325" s="18"/>
      <c r="B2325" s="18"/>
      <c r="C2325" s="18"/>
      <c r="D2325" s="18"/>
      <c r="E2325" s="18"/>
      <c r="F2325" s="18"/>
      <c r="G2325" s="18"/>
      <c r="H2325" s="18"/>
      <c r="I2325" s="18"/>
      <c r="J2325" s="18"/>
      <c r="K2325" s="18"/>
      <c r="L2325" s="18"/>
      <c r="M2325" s="18"/>
      <c r="N2325" s="18"/>
      <c r="O2325" s="18"/>
      <c r="P2325" s="18"/>
      <c r="Q2325" s="18"/>
    </row>
    <row r="2326" spans="1:17">
      <c r="A2326" s="149"/>
      <c r="B2326" s="18"/>
      <c r="C2326" s="18"/>
      <c r="D2326" s="18"/>
      <c r="E2326" s="18"/>
      <c r="F2326" s="18"/>
      <c r="G2326" s="18"/>
      <c r="H2326" s="18"/>
      <c r="I2326" s="18"/>
      <c r="J2326" s="18"/>
      <c r="K2326" s="18"/>
      <c r="L2326" s="18"/>
      <c r="M2326" s="18"/>
      <c r="N2326" s="18"/>
      <c r="O2326" s="18"/>
      <c r="P2326" s="18"/>
      <c r="Q2326" s="18"/>
    </row>
    <row r="2327" spans="1:17">
      <c r="A2327" s="18"/>
      <c r="B2327" s="18"/>
      <c r="C2327" s="18"/>
      <c r="D2327" s="18"/>
      <c r="E2327" s="18"/>
      <c r="F2327" s="18"/>
      <c r="G2327" s="18"/>
      <c r="H2327" s="18"/>
      <c r="I2327" s="18"/>
      <c r="J2327" s="18"/>
      <c r="K2327" s="18"/>
      <c r="L2327" s="18"/>
      <c r="M2327" s="18"/>
      <c r="N2327" s="18"/>
      <c r="O2327" s="18"/>
      <c r="P2327" s="18"/>
      <c r="Q2327" s="18"/>
    </row>
    <row r="2328" spans="1:17">
      <c r="A2328" s="18"/>
      <c r="B2328" s="18"/>
      <c r="C2328" s="18"/>
      <c r="D2328" s="18"/>
      <c r="E2328" s="18"/>
      <c r="F2328" s="18"/>
      <c r="G2328" s="18"/>
      <c r="H2328" s="18"/>
      <c r="I2328" s="18"/>
      <c r="J2328" s="18"/>
      <c r="K2328" s="18"/>
      <c r="L2328" s="18"/>
      <c r="M2328" s="18"/>
      <c r="N2328" s="18"/>
      <c r="O2328" s="18"/>
      <c r="P2328" s="18"/>
      <c r="Q2328" s="18"/>
    </row>
    <row r="2329" spans="1:17">
      <c r="A2329" s="149"/>
      <c r="B2329" s="18"/>
      <c r="C2329" s="18"/>
      <c r="D2329" s="18"/>
      <c r="E2329" s="18"/>
      <c r="F2329" s="18"/>
      <c r="G2329" s="18"/>
      <c r="H2329" s="18"/>
      <c r="I2329" s="18"/>
      <c r="J2329" s="18"/>
      <c r="K2329" s="18"/>
      <c r="L2329" s="18"/>
      <c r="M2329" s="18"/>
      <c r="N2329" s="18"/>
      <c r="O2329" s="18"/>
      <c r="P2329" s="18"/>
      <c r="Q2329" s="18"/>
    </row>
    <row r="2330" spans="1:17">
      <c r="A2330" s="18"/>
      <c r="B2330" s="18"/>
      <c r="C2330" s="18"/>
      <c r="D2330" s="18"/>
      <c r="E2330" s="18"/>
      <c r="F2330" s="18"/>
      <c r="G2330" s="18"/>
      <c r="H2330" s="18"/>
      <c r="I2330" s="18"/>
      <c r="J2330" s="18"/>
      <c r="K2330" s="18"/>
      <c r="L2330" s="18"/>
      <c r="M2330" s="18"/>
      <c r="N2330" s="18"/>
      <c r="O2330" s="18"/>
      <c r="P2330" s="18"/>
      <c r="Q2330" s="18"/>
    </row>
    <row r="2331" spans="1:17">
      <c r="A2331" s="18"/>
      <c r="B2331" s="18"/>
      <c r="C2331" s="18"/>
      <c r="D2331" s="18"/>
      <c r="E2331" s="18"/>
      <c r="F2331" s="18"/>
      <c r="G2331" s="18"/>
      <c r="H2331" s="18"/>
      <c r="I2331" s="18"/>
      <c r="J2331" s="18"/>
      <c r="K2331" s="18"/>
      <c r="L2331" s="18"/>
      <c r="M2331" s="18"/>
      <c r="N2331" s="18"/>
      <c r="O2331" s="18"/>
      <c r="P2331" s="18"/>
      <c r="Q2331" s="18"/>
    </row>
    <row r="2332" spans="1:17">
      <c r="A2332" s="149"/>
      <c r="B2332" s="18"/>
      <c r="C2332" s="18"/>
      <c r="D2332" s="18"/>
      <c r="E2332" s="18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8"/>
    </row>
    <row r="2333" spans="1:17">
      <c r="A2333" s="18"/>
      <c r="B2333" s="18"/>
      <c r="C2333" s="18"/>
      <c r="D2333" s="18"/>
      <c r="E2333" s="18"/>
      <c r="F2333" s="18"/>
      <c r="G2333" s="18"/>
      <c r="H2333" s="18"/>
      <c r="I2333" s="18"/>
      <c r="J2333" s="18"/>
      <c r="K2333" s="18"/>
      <c r="L2333" s="18"/>
      <c r="M2333" s="18"/>
      <c r="N2333" s="18"/>
      <c r="O2333" s="18"/>
      <c r="P2333" s="18"/>
      <c r="Q2333" s="18"/>
    </row>
    <row r="2334" spans="1:17">
      <c r="A2334" s="18"/>
      <c r="B2334" s="18"/>
      <c r="C2334" s="18"/>
      <c r="D2334" s="18"/>
      <c r="E2334" s="18"/>
      <c r="F2334" s="18"/>
      <c r="G2334" s="18"/>
      <c r="H2334" s="18"/>
      <c r="I2334" s="18"/>
      <c r="J2334" s="18"/>
      <c r="K2334" s="18"/>
      <c r="L2334" s="18"/>
      <c r="M2334" s="18"/>
      <c r="N2334" s="18"/>
      <c r="O2334" s="18"/>
      <c r="P2334" s="18"/>
      <c r="Q2334" s="18"/>
    </row>
    <row r="2335" spans="1:17">
      <c r="A2335" s="18"/>
      <c r="B2335" s="18"/>
      <c r="C2335" s="18"/>
      <c r="D2335" s="18"/>
      <c r="E2335" s="18"/>
      <c r="F2335" s="18"/>
      <c r="G2335" s="18"/>
      <c r="H2335" s="18"/>
      <c r="I2335" s="18"/>
      <c r="J2335" s="18"/>
      <c r="K2335" s="18"/>
      <c r="L2335" s="18"/>
      <c r="M2335" s="18"/>
      <c r="N2335" s="18"/>
      <c r="O2335" s="18"/>
      <c r="P2335" s="18"/>
      <c r="Q2335" s="18"/>
    </row>
    <row r="2336" spans="1:17">
      <c r="A2336" s="18"/>
      <c r="B2336" s="18"/>
      <c r="C2336" s="18"/>
      <c r="D2336" s="18"/>
      <c r="E2336" s="18"/>
      <c r="F2336" s="18"/>
      <c r="G2336" s="18"/>
      <c r="H2336" s="18"/>
      <c r="I2336" s="18"/>
      <c r="J2336" s="18"/>
      <c r="K2336" s="18"/>
      <c r="L2336" s="18"/>
      <c r="M2336" s="18"/>
      <c r="N2336" s="18"/>
      <c r="O2336" s="18"/>
      <c r="P2336" s="18"/>
      <c r="Q2336" s="18"/>
    </row>
    <row r="2337" spans="1:17">
      <c r="A2337" s="149"/>
      <c r="B2337" s="18"/>
      <c r="C2337" s="18"/>
      <c r="D2337" s="18"/>
      <c r="E2337" s="18"/>
      <c r="F2337" s="18"/>
      <c r="G2337" s="18"/>
      <c r="H2337" s="18"/>
      <c r="I2337" s="18"/>
      <c r="J2337" s="18"/>
      <c r="K2337" s="18"/>
      <c r="L2337" s="18"/>
      <c r="M2337" s="18"/>
      <c r="N2337" s="18"/>
      <c r="O2337" s="18"/>
      <c r="P2337" s="18"/>
      <c r="Q2337" s="18"/>
    </row>
    <row r="2338" spans="1:17">
      <c r="A2338" s="18"/>
      <c r="B2338" s="18"/>
      <c r="C2338" s="18"/>
      <c r="D2338" s="18"/>
      <c r="E2338" s="18"/>
      <c r="F2338" s="18"/>
      <c r="G2338" s="18"/>
      <c r="H2338" s="18"/>
      <c r="I2338" s="18"/>
      <c r="J2338" s="18"/>
      <c r="K2338" s="18"/>
      <c r="L2338" s="18"/>
      <c r="M2338" s="18"/>
      <c r="N2338" s="18"/>
      <c r="O2338" s="18"/>
      <c r="P2338" s="18"/>
      <c r="Q2338" s="18"/>
    </row>
    <row r="2339" spans="1:17">
      <c r="A2339" s="18"/>
      <c r="B2339" s="18"/>
      <c r="C2339" s="18"/>
      <c r="D2339" s="18"/>
      <c r="E2339" s="18"/>
      <c r="F2339" s="18"/>
      <c r="G2339" s="18"/>
      <c r="H2339" s="18"/>
      <c r="I2339" s="18"/>
      <c r="J2339" s="18"/>
      <c r="K2339" s="18"/>
      <c r="L2339" s="18"/>
      <c r="M2339" s="18"/>
      <c r="N2339" s="18"/>
      <c r="O2339" s="18"/>
      <c r="P2339" s="18"/>
      <c r="Q2339" s="18"/>
    </row>
    <row r="2340" spans="1:17">
      <c r="A2340" s="149"/>
      <c r="B2340" s="18"/>
      <c r="C2340" s="18"/>
      <c r="D2340" s="18"/>
      <c r="E2340" s="18"/>
      <c r="F2340" s="18"/>
      <c r="G2340" s="18"/>
      <c r="H2340" s="18"/>
      <c r="I2340" s="18"/>
      <c r="J2340" s="18"/>
      <c r="K2340" s="18"/>
      <c r="L2340" s="18"/>
      <c r="M2340" s="18"/>
      <c r="N2340" s="18"/>
      <c r="O2340" s="18"/>
      <c r="P2340" s="18"/>
      <c r="Q2340" s="18"/>
    </row>
    <row r="2341" spans="1:17">
      <c r="A2341" s="18"/>
      <c r="B2341" s="18"/>
      <c r="C2341" s="18"/>
      <c r="D2341" s="18"/>
      <c r="E2341" s="18"/>
      <c r="F2341" s="18"/>
      <c r="G2341" s="18"/>
      <c r="H2341" s="18"/>
      <c r="I2341" s="18"/>
      <c r="J2341" s="18"/>
      <c r="K2341" s="18"/>
      <c r="L2341" s="18"/>
      <c r="M2341" s="18"/>
      <c r="N2341" s="18"/>
      <c r="O2341" s="18"/>
      <c r="P2341" s="18"/>
      <c r="Q2341" s="18"/>
    </row>
    <row r="2342" spans="1:17">
      <c r="A2342" s="18"/>
      <c r="B2342" s="18"/>
      <c r="C2342" s="18"/>
      <c r="D2342" s="18"/>
      <c r="E2342" s="18"/>
      <c r="F2342" s="18"/>
      <c r="G2342" s="18"/>
      <c r="H2342" s="18"/>
      <c r="I2342" s="18"/>
      <c r="J2342" s="18"/>
      <c r="K2342" s="18"/>
      <c r="L2342" s="18"/>
      <c r="M2342" s="18"/>
      <c r="N2342" s="18"/>
      <c r="O2342" s="18"/>
      <c r="P2342" s="18"/>
      <c r="Q2342" s="18"/>
    </row>
    <row r="2343" spans="1:17">
      <c r="A2343" s="149"/>
      <c r="B2343" s="18"/>
      <c r="C2343" s="18"/>
      <c r="D2343" s="18"/>
      <c r="E2343" s="18"/>
      <c r="F2343" s="18"/>
      <c r="G2343" s="18"/>
      <c r="H2343" s="18"/>
      <c r="I2343" s="18"/>
      <c r="J2343" s="18"/>
      <c r="K2343" s="18"/>
      <c r="L2343" s="18"/>
      <c r="M2343" s="18"/>
      <c r="N2343" s="18"/>
      <c r="O2343" s="18"/>
      <c r="P2343" s="18"/>
      <c r="Q2343" s="18"/>
    </row>
    <row r="2344" spans="1:17">
      <c r="A2344" s="18"/>
      <c r="B2344" s="18"/>
      <c r="C2344" s="18"/>
      <c r="D2344" s="18"/>
      <c r="E2344" s="18"/>
      <c r="F2344" s="18"/>
      <c r="G2344" s="18"/>
      <c r="H2344" s="18"/>
      <c r="I2344" s="18"/>
      <c r="J2344" s="18"/>
      <c r="K2344" s="18"/>
      <c r="L2344" s="18"/>
      <c r="M2344" s="18"/>
      <c r="N2344" s="18"/>
      <c r="O2344" s="18"/>
      <c r="P2344" s="18"/>
      <c r="Q2344" s="18"/>
    </row>
    <row r="2345" spans="1:17">
      <c r="A2345" s="18"/>
      <c r="B2345" s="18"/>
      <c r="C2345" s="18"/>
      <c r="D2345" s="18"/>
      <c r="E2345" s="18"/>
      <c r="F2345" s="18"/>
      <c r="G2345" s="18"/>
      <c r="H2345" s="18"/>
      <c r="I2345" s="18"/>
      <c r="J2345" s="18"/>
      <c r="K2345" s="18"/>
      <c r="L2345" s="18"/>
      <c r="M2345" s="18"/>
      <c r="N2345" s="18"/>
      <c r="O2345" s="18"/>
      <c r="P2345" s="18"/>
      <c r="Q2345" s="18"/>
    </row>
    <row r="2346" spans="1:17">
      <c r="A2346" s="18"/>
      <c r="B2346" s="18"/>
      <c r="C2346" s="18"/>
      <c r="D2346" s="18"/>
      <c r="E2346" s="18"/>
      <c r="F2346" s="18"/>
      <c r="G2346" s="18"/>
      <c r="H2346" s="18"/>
      <c r="I2346" s="18"/>
      <c r="J2346" s="18"/>
      <c r="K2346" s="18"/>
      <c r="L2346" s="18"/>
      <c r="M2346" s="18"/>
      <c r="N2346" s="18"/>
      <c r="O2346" s="18"/>
      <c r="P2346" s="18"/>
      <c r="Q2346" s="18"/>
    </row>
    <row r="2347" spans="1:17">
      <c r="A2347" s="18"/>
      <c r="B2347" s="18"/>
      <c r="C2347" s="18"/>
      <c r="D2347" s="18"/>
      <c r="E2347" s="18"/>
      <c r="F2347" s="18"/>
      <c r="G2347" s="18"/>
      <c r="H2347" s="18"/>
      <c r="I2347" s="18"/>
      <c r="J2347" s="18"/>
      <c r="K2347" s="18"/>
      <c r="L2347" s="18"/>
      <c r="M2347" s="18"/>
      <c r="N2347" s="18"/>
      <c r="O2347" s="18"/>
      <c r="P2347" s="18"/>
      <c r="Q2347" s="18"/>
    </row>
    <row r="2348" spans="1:17">
      <c r="A2348" s="18"/>
      <c r="B2348" s="18"/>
      <c r="C2348" s="18"/>
      <c r="D2348" s="18"/>
      <c r="E2348" s="18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8"/>
    </row>
    <row r="2349" spans="1:17">
      <c r="A2349" s="18"/>
      <c r="B2349" s="18"/>
      <c r="C2349" s="18"/>
      <c r="D2349" s="18"/>
      <c r="E2349" s="18"/>
      <c r="F2349" s="18"/>
      <c r="G2349" s="18"/>
      <c r="H2349" s="18"/>
      <c r="I2349" s="18"/>
      <c r="J2349" s="18"/>
      <c r="K2349" s="18"/>
      <c r="L2349" s="18"/>
      <c r="M2349" s="18"/>
      <c r="N2349" s="18"/>
      <c r="O2349" s="18"/>
      <c r="P2349" s="18"/>
      <c r="Q2349" s="18"/>
    </row>
    <row r="2350" spans="1:17">
      <c r="A2350" s="149"/>
      <c r="B2350" s="18"/>
      <c r="C2350" s="18"/>
      <c r="D2350" s="18"/>
      <c r="E2350" s="18"/>
      <c r="F2350" s="18"/>
      <c r="G2350" s="18"/>
      <c r="H2350" s="18"/>
      <c r="I2350" s="18"/>
      <c r="J2350" s="18"/>
      <c r="K2350" s="18"/>
      <c r="L2350" s="18"/>
      <c r="M2350" s="18"/>
      <c r="N2350" s="18"/>
      <c r="O2350" s="18"/>
      <c r="P2350" s="18"/>
      <c r="Q2350" s="18"/>
    </row>
    <row r="2351" spans="1:17">
      <c r="A2351" s="18"/>
      <c r="B2351" s="18"/>
      <c r="C2351" s="18"/>
      <c r="D2351" s="18"/>
      <c r="E2351" s="18"/>
      <c r="F2351" s="18"/>
      <c r="G2351" s="18"/>
      <c r="H2351" s="18"/>
      <c r="I2351" s="18"/>
      <c r="J2351" s="18"/>
      <c r="K2351" s="18"/>
      <c r="L2351" s="18"/>
      <c r="M2351" s="18"/>
      <c r="N2351" s="18"/>
      <c r="O2351" s="18"/>
      <c r="P2351" s="18"/>
      <c r="Q2351" s="18"/>
    </row>
    <row r="2352" spans="1:17">
      <c r="A2352" s="18"/>
      <c r="B2352" s="18"/>
      <c r="C2352" s="18"/>
      <c r="D2352" s="18"/>
      <c r="E2352" s="18"/>
      <c r="F2352" s="18"/>
      <c r="G2352" s="18"/>
      <c r="H2352" s="18"/>
      <c r="I2352" s="18"/>
      <c r="J2352" s="18"/>
      <c r="K2352" s="18"/>
      <c r="L2352" s="18"/>
      <c r="M2352" s="18"/>
      <c r="N2352" s="18"/>
      <c r="O2352" s="18"/>
      <c r="P2352" s="18"/>
      <c r="Q2352" s="18"/>
    </row>
    <row r="2353" spans="1:17">
      <c r="A2353" s="149"/>
      <c r="B2353" s="18"/>
      <c r="C2353" s="18"/>
      <c r="D2353" s="18"/>
      <c r="E2353" s="18"/>
      <c r="F2353" s="18"/>
      <c r="G2353" s="18"/>
      <c r="H2353" s="18"/>
      <c r="I2353" s="18"/>
      <c r="J2353" s="18"/>
      <c r="K2353" s="18"/>
      <c r="L2353" s="18"/>
      <c r="M2353" s="18"/>
      <c r="N2353" s="18"/>
      <c r="O2353" s="18"/>
      <c r="P2353" s="18"/>
      <c r="Q2353" s="18"/>
    </row>
    <row r="2354" spans="1:17">
      <c r="A2354" s="18"/>
      <c r="B2354" s="18"/>
      <c r="C2354" s="18"/>
      <c r="D2354" s="18"/>
      <c r="E2354" s="18"/>
      <c r="F2354" s="18"/>
      <c r="G2354" s="18"/>
      <c r="H2354" s="18"/>
      <c r="I2354" s="18"/>
      <c r="J2354" s="18"/>
      <c r="K2354" s="18"/>
      <c r="L2354" s="18"/>
      <c r="M2354" s="18"/>
      <c r="N2354" s="18"/>
      <c r="O2354" s="18"/>
      <c r="P2354" s="18"/>
      <c r="Q2354" s="18"/>
    </row>
    <row r="2355" spans="1:17">
      <c r="A2355" s="18"/>
      <c r="B2355" s="18"/>
      <c r="C2355" s="18"/>
      <c r="D2355" s="18"/>
      <c r="E2355" s="18"/>
      <c r="F2355" s="18"/>
      <c r="G2355" s="18"/>
      <c r="H2355" s="18"/>
      <c r="I2355" s="18"/>
      <c r="J2355" s="18"/>
      <c r="K2355" s="18"/>
      <c r="L2355" s="18"/>
      <c r="M2355" s="18"/>
      <c r="N2355" s="18"/>
      <c r="O2355" s="18"/>
      <c r="P2355" s="18"/>
      <c r="Q2355" s="18"/>
    </row>
    <row r="2356" spans="1:17">
      <c r="A2356" s="18"/>
      <c r="B2356" s="18"/>
      <c r="C2356" s="18"/>
      <c r="D2356" s="18"/>
      <c r="E2356" s="18"/>
      <c r="F2356" s="18"/>
      <c r="G2356" s="18"/>
      <c r="H2356" s="18"/>
      <c r="I2356" s="18"/>
      <c r="J2356" s="18"/>
      <c r="K2356" s="18"/>
      <c r="L2356" s="18"/>
      <c r="M2356" s="18"/>
      <c r="N2356" s="18"/>
      <c r="O2356" s="18"/>
      <c r="P2356" s="18"/>
      <c r="Q2356" s="18"/>
    </row>
    <row r="2357" spans="1:17">
      <c r="A2357" s="18"/>
      <c r="B2357" s="18"/>
      <c r="C2357" s="18"/>
      <c r="D2357" s="18"/>
      <c r="E2357" s="18"/>
      <c r="F2357" s="18"/>
      <c r="G2357" s="18"/>
      <c r="H2357" s="18"/>
      <c r="I2357" s="18"/>
      <c r="J2357" s="18"/>
      <c r="K2357" s="18"/>
      <c r="L2357" s="18"/>
      <c r="M2357" s="18"/>
      <c r="N2357" s="18"/>
      <c r="O2357" s="18"/>
      <c r="P2357" s="18"/>
      <c r="Q2357" s="18"/>
    </row>
    <row r="2358" spans="1:17">
      <c r="A2358" s="149"/>
      <c r="B2358" s="18"/>
      <c r="C2358" s="18"/>
      <c r="D2358" s="18"/>
      <c r="E2358" s="18"/>
      <c r="F2358" s="18"/>
      <c r="G2358" s="18"/>
      <c r="H2358" s="18"/>
      <c r="I2358" s="18"/>
      <c r="J2358" s="18"/>
      <c r="K2358" s="18"/>
      <c r="L2358" s="18"/>
      <c r="M2358" s="18"/>
      <c r="N2358" s="18"/>
      <c r="O2358" s="18"/>
      <c r="P2358" s="18"/>
      <c r="Q2358" s="18"/>
    </row>
    <row r="2359" spans="1:17">
      <c r="A2359" s="18"/>
      <c r="B2359" s="18"/>
      <c r="C2359" s="18"/>
      <c r="D2359" s="18"/>
      <c r="E2359" s="18"/>
      <c r="F2359" s="18"/>
      <c r="G2359" s="18"/>
      <c r="H2359" s="18"/>
      <c r="I2359" s="18"/>
      <c r="J2359" s="18"/>
      <c r="K2359" s="18"/>
      <c r="L2359" s="18"/>
      <c r="M2359" s="18"/>
      <c r="N2359" s="18"/>
      <c r="O2359" s="18"/>
      <c r="P2359" s="18"/>
      <c r="Q2359" s="18"/>
    </row>
    <row r="2360" spans="1:17">
      <c r="A2360" s="18"/>
      <c r="B2360" s="18"/>
      <c r="C2360" s="18"/>
      <c r="D2360" s="18"/>
      <c r="E2360" s="18"/>
      <c r="F2360" s="18"/>
      <c r="G2360" s="18"/>
      <c r="H2360" s="18"/>
      <c r="I2360" s="18"/>
      <c r="J2360" s="18"/>
      <c r="K2360" s="18"/>
      <c r="L2360" s="18"/>
      <c r="M2360" s="18"/>
      <c r="N2360" s="18"/>
      <c r="O2360" s="18"/>
      <c r="P2360" s="18"/>
      <c r="Q2360" s="18"/>
    </row>
    <row r="2361" spans="1:17">
      <c r="A2361" s="149"/>
      <c r="B2361" s="18"/>
      <c r="C2361" s="18"/>
      <c r="D2361" s="18"/>
      <c r="E2361" s="18"/>
      <c r="F2361" s="18"/>
      <c r="G2361" s="18"/>
      <c r="H2361" s="18"/>
      <c r="I2361" s="18"/>
      <c r="J2361" s="18"/>
      <c r="K2361" s="18"/>
      <c r="L2361" s="18"/>
      <c r="M2361" s="18"/>
      <c r="N2361" s="18"/>
      <c r="O2361" s="18"/>
      <c r="P2361" s="18"/>
      <c r="Q2361" s="18"/>
    </row>
    <row r="2362" spans="1:17">
      <c r="A2362" s="18"/>
      <c r="B2362" s="18"/>
      <c r="C2362" s="18"/>
      <c r="D2362" s="18"/>
      <c r="E2362" s="18"/>
      <c r="F2362" s="18"/>
      <c r="G2362" s="18"/>
      <c r="H2362" s="18"/>
      <c r="I2362" s="18"/>
      <c r="J2362" s="18"/>
      <c r="K2362" s="18"/>
      <c r="L2362" s="18"/>
      <c r="M2362" s="18"/>
      <c r="N2362" s="18"/>
      <c r="O2362" s="18"/>
      <c r="P2362" s="18"/>
      <c r="Q2362" s="18"/>
    </row>
    <row r="2363" spans="1:17">
      <c r="A2363" s="18"/>
      <c r="B2363" s="18"/>
      <c r="C2363" s="18"/>
      <c r="D2363" s="18"/>
      <c r="E2363" s="18"/>
      <c r="F2363" s="18"/>
      <c r="G2363" s="18"/>
      <c r="H2363" s="18"/>
      <c r="I2363" s="18"/>
      <c r="J2363" s="18"/>
      <c r="K2363" s="18"/>
      <c r="L2363" s="18"/>
      <c r="M2363" s="18"/>
      <c r="N2363" s="18"/>
      <c r="O2363" s="18"/>
      <c r="P2363" s="18"/>
      <c r="Q2363" s="18"/>
    </row>
    <row r="2364" spans="1:17">
      <c r="A2364" s="18"/>
      <c r="B2364" s="18"/>
      <c r="C2364" s="18"/>
      <c r="D2364" s="18"/>
      <c r="E2364" s="18"/>
      <c r="F2364" s="18"/>
      <c r="G2364" s="18"/>
      <c r="H2364" s="18"/>
      <c r="I2364" s="18"/>
      <c r="J2364" s="18"/>
      <c r="K2364" s="18"/>
      <c r="L2364" s="18"/>
      <c r="M2364" s="18"/>
      <c r="N2364" s="18"/>
      <c r="O2364" s="18"/>
      <c r="P2364" s="18"/>
      <c r="Q2364" s="18"/>
    </row>
    <row r="2365" spans="1:17">
      <c r="A2365" s="149"/>
      <c r="B2365" s="18"/>
      <c r="C2365" s="18"/>
      <c r="D2365" s="18"/>
      <c r="E2365" s="18"/>
      <c r="F2365" s="18"/>
      <c r="G2365" s="18"/>
      <c r="H2365" s="18"/>
      <c r="I2365" s="18"/>
      <c r="J2365" s="18"/>
      <c r="K2365" s="18"/>
      <c r="L2365" s="18"/>
      <c r="M2365" s="18"/>
      <c r="N2365" s="18"/>
      <c r="O2365" s="18"/>
      <c r="P2365" s="18"/>
      <c r="Q2365" s="18"/>
    </row>
    <row r="2366" spans="1:17">
      <c r="A2366" s="18"/>
      <c r="B2366" s="18"/>
      <c r="C2366" s="18"/>
      <c r="D2366" s="18"/>
      <c r="E2366" s="18"/>
      <c r="F2366" s="18"/>
      <c r="G2366" s="18"/>
      <c r="H2366" s="18"/>
      <c r="I2366" s="18"/>
      <c r="J2366" s="18"/>
      <c r="K2366" s="18"/>
      <c r="L2366" s="18"/>
      <c r="M2366" s="18"/>
      <c r="N2366" s="18"/>
      <c r="O2366" s="18"/>
      <c r="P2366" s="18"/>
      <c r="Q2366" s="18"/>
    </row>
    <row r="2367" spans="1:17">
      <c r="A2367" s="18"/>
      <c r="B2367" s="18"/>
      <c r="C2367" s="18"/>
      <c r="D2367" s="18"/>
      <c r="E2367" s="18"/>
      <c r="F2367" s="18"/>
      <c r="G2367" s="18"/>
      <c r="H2367" s="18"/>
      <c r="I2367" s="18"/>
      <c r="J2367" s="18"/>
      <c r="K2367" s="18"/>
      <c r="L2367" s="18"/>
      <c r="M2367" s="18"/>
      <c r="N2367" s="18"/>
      <c r="O2367" s="18"/>
      <c r="P2367" s="18"/>
      <c r="Q2367" s="18"/>
    </row>
    <row r="2368" spans="1:17">
      <c r="A2368" s="18"/>
      <c r="B2368" s="18"/>
      <c r="C2368" s="18"/>
      <c r="D2368" s="18"/>
      <c r="E2368" s="18"/>
      <c r="F2368" s="18"/>
      <c r="G2368" s="18"/>
      <c r="H2368" s="18"/>
      <c r="I2368" s="18"/>
      <c r="J2368" s="18"/>
      <c r="K2368" s="18"/>
      <c r="L2368" s="18"/>
      <c r="M2368" s="18"/>
      <c r="N2368" s="18"/>
      <c r="O2368" s="18"/>
      <c r="P2368" s="18"/>
      <c r="Q2368" s="18"/>
    </row>
    <row r="2369" spans="1:17">
      <c r="A2369" s="18"/>
      <c r="B2369" s="18"/>
      <c r="C2369" s="18"/>
      <c r="D2369" s="18"/>
      <c r="E2369" s="18"/>
      <c r="F2369" s="18"/>
      <c r="G2369" s="18"/>
      <c r="H2369" s="18"/>
      <c r="I2369" s="18"/>
      <c r="J2369" s="18"/>
      <c r="K2369" s="18"/>
      <c r="L2369" s="18"/>
      <c r="M2369" s="18"/>
      <c r="N2369" s="18"/>
      <c r="O2369" s="18"/>
      <c r="P2369" s="18"/>
      <c r="Q2369" s="18"/>
    </row>
    <row r="2370" spans="1:17">
      <c r="A2370" s="18"/>
      <c r="B2370" s="18"/>
      <c r="C2370" s="18"/>
      <c r="D2370" s="18"/>
      <c r="E2370" s="18"/>
      <c r="F2370" s="18"/>
      <c r="G2370" s="18"/>
      <c r="H2370" s="18"/>
      <c r="I2370" s="18"/>
      <c r="J2370" s="18"/>
      <c r="K2370" s="18"/>
      <c r="L2370" s="18"/>
      <c r="M2370" s="18"/>
      <c r="N2370" s="18"/>
      <c r="O2370" s="18"/>
      <c r="P2370" s="18"/>
      <c r="Q2370" s="18"/>
    </row>
    <row r="2371" spans="1:17">
      <c r="A2371" s="18"/>
      <c r="B2371" s="18"/>
      <c r="C2371" s="18"/>
      <c r="D2371" s="18"/>
      <c r="E2371" s="18"/>
      <c r="F2371" s="18"/>
      <c r="G2371" s="18"/>
      <c r="H2371" s="18"/>
      <c r="I2371" s="18"/>
      <c r="J2371" s="18"/>
      <c r="K2371" s="18"/>
      <c r="L2371" s="18"/>
      <c r="M2371" s="18"/>
      <c r="N2371" s="18"/>
      <c r="O2371" s="18"/>
      <c r="P2371" s="18"/>
      <c r="Q2371" s="18"/>
    </row>
    <row r="2372" spans="1:17">
      <c r="A2372" s="18"/>
      <c r="B2372" s="18"/>
      <c r="C2372" s="18"/>
      <c r="D2372" s="18"/>
      <c r="E2372" s="18"/>
      <c r="F2372" s="18"/>
      <c r="G2372" s="18"/>
      <c r="H2372" s="18"/>
      <c r="I2372" s="18"/>
      <c r="J2372" s="18"/>
      <c r="K2372" s="18"/>
      <c r="L2372" s="18"/>
      <c r="M2372" s="18"/>
      <c r="N2372" s="18"/>
      <c r="O2372" s="18"/>
      <c r="P2372" s="18"/>
      <c r="Q2372" s="18"/>
    </row>
    <row r="2373" spans="1:17">
      <c r="A2373" s="18"/>
      <c r="B2373" s="18"/>
      <c r="C2373" s="18"/>
      <c r="D2373" s="18"/>
      <c r="E2373" s="18"/>
      <c r="F2373" s="18"/>
      <c r="G2373" s="18"/>
      <c r="H2373" s="18"/>
      <c r="I2373" s="18"/>
      <c r="J2373" s="18"/>
      <c r="K2373" s="18"/>
      <c r="L2373" s="18"/>
      <c r="M2373" s="18"/>
      <c r="N2373" s="18"/>
      <c r="O2373" s="18"/>
      <c r="P2373" s="18"/>
      <c r="Q2373" s="18"/>
    </row>
    <row r="2374" spans="1:17">
      <c r="A2374" s="18"/>
      <c r="B2374" s="18"/>
      <c r="C2374" s="18"/>
      <c r="D2374" s="18"/>
      <c r="E2374" s="18"/>
      <c r="F2374" s="18"/>
      <c r="G2374" s="18"/>
      <c r="H2374" s="18"/>
      <c r="I2374" s="18"/>
      <c r="J2374" s="18"/>
      <c r="K2374" s="18"/>
      <c r="L2374" s="18"/>
      <c r="M2374" s="18"/>
      <c r="N2374" s="18"/>
      <c r="O2374" s="18"/>
      <c r="P2374" s="18"/>
      <c r="Q2374" s="18"/>
    </row>
    <row r="2375" spans="1:17">
      <c r="A2375" s="18"/>
      <c r="B2375" s="18"/>
      <c r="C2375" s="18"/>
      <c r="D2375" s="18"/>
      <c r="E2375" s="18"/>
      <c r="F2375" s="18"/>
      <c r="G2375" s="18"/>
      <c r="H2375" s="18"/>
      <c r="I2375" s="18"/>
      <c r="J2375" s="18"/>
      <c r="K2375" s="18"/>
      <c r="L2375" s="18"/>
      <c r="M2375" s="18"/>
      <c r="N2375" s="18"/>
      <c r="O2375" s="18"/>
      <c r="P2375" s="18"/>
      <c r="Q2375" s="18"/>
    </row>
    <row r="2376" spans="1:17">
      <c r="A2376" s="149"/>
      <c r="B2376" s="18"/>
      <c r="C2376" s="18"/>
      <c r="D2376" s="18"/>
      <c r="E2376" s="18"/>
      <c r="F2376" s="18"/>
      <c r="G2376" s="18"/>
      <c r="H2376" s="18"/>
      <c r="I2376" s="18"/>
      <c r="J2376" s="18"/>
      <c r="K2376" s="18"/>
      <c r="L2376" s="18"/>
      <c r="M2376" s="18"/>
      <c r="N2376" s="18"/>
      <c r="O2376" s="18"/>
      <c r="P2376" s="18"/>
      <c r="Q2376" s="18"/>
    </row>
    <row r="2377" spans="1:17">
      <c r="A2377" s="18"/>
      <c r="B2377" s="18"/>
      <c r="C2377" s="18"/>
      <c r="D2377" s="18"/>
      <c r="E2377" s="18"/>
      <c r="F2377" s="18"/>
      <c r="G2377" s="18"/>
      <c r="H2377" s="18"/>
      <c r="I2377" s="18"/>
      <c r="J2377" s="18"/>
      <c r="K2377" s="18"/>
      <c r="L2377" s="18"/>
      <c r="M2377" s="18"/>
      <c r="N2377" s="18"/>
      <c r="O2377" s="18"/>
      <c r="P2377" s="18"/>
      <c r="Q2377" s="18"/>
    </row>
    <row r="2378" spans="1:17">
      <c r="A2378" s="18"/>
      <c r="B2378" s="18"/>
      <c r="C2378" s="18"/>
      <c r="D2378" s="18"/>
      <c r="E2378" s="18"/>
      <c r="F2378" s="18"/>
      <c r="G2378" s="18"/>
      <c r="H2378" s="18"/>
      <c r="I2378" s="18"/>
      <c r="J2378" s="18"/>
      <c r="K2378" s="18"/>
      <c r="L2378" s="18"/>
      <c r="M2378" s="18"/>
      <c r="N2378" s="18"/>
      <c r="O2378" s="18"/>
      <c r="P2378" s="18"/>
      <c r="Q2378" s="18"/>
    </row>
    <row r="2379" spans="1:17">
      <c r="A2379" s="18"/>
      <c r="B2379" s="18"/>
      <c r="C2379" s="18"/>
      <c r="D2379" s="18"/>
      <c r="E2379" s="18"/>
      <c r="F2379" s="18"/>
      <c r="G2379" s="18"/>
      <c r="H2379" s="18"/>
      <c r="I2379" s="18"/>
      <c r="J2379" s="18"/>
      <c r="K2379" s="18"/>
      <c r="L2379" s="18"/>
      <c r="M2379" s="18"/>
      <c r="N2379" s="18"/>
      <c r="O2379" s="18"/>
      <c r="P2379" s="18"/>
      <c r="Q2379" s="18"/>
    </row>
    <row r="2380" spans="1:17">
      <c r="A2380" s="149"/>
      <c r="B2380" s="18"/>
      <c r="C2380" s="18"/>
      <c r="D2380" s="18"/>
      <c r="E2380" s="18"/>
      <c r="F2380" s="18"/>
      <c r="G2380" s="18"/>
      <c r="H2380" s="18"/>
      <c r="I2380" s="18"/>
      <c r="J2380" s="18"/>
      <c r="K2380" s="18"/>
      <c r="L2380" s="18"/>
      <c r="M2380" s="18"/>
      <c r="N2380" s="18"/>
      <c r="O2380" s="18"/>
      <c r="P2380" s="18"/>
      <c r="Q2380" s="18"/>
    </row>
    <row r="2381" spans="1:17">
      <c r="A2381" s="18"/>
      <c r="B2381" s="18"/>
      <c r="C2381" s="18"/>
      <c r="D2381" s="18"/>
      <c r="E2381" s="18"/>
      <c r="F2381" s="18"/>
      <c r="G2381" s="18"/>
      <c r="H2381" s="18"/>
      <c r="I2381" s="18"/>
      <c r="J2381" s="18"/>
      <c r="K2381" s="18"/>
      <c r="L2381" s="18"/>
      <c r="M2381" s="18"/>
      <c r="N2381" s="18"/>
      <c r="O2381" s="18"/>
      <c r="P2381" s="18"/>
      <c r="Q2381" s="18"/>
    </row>
    <row r="2382" spans="1:17">
      <c r="A2382" s="18"/>
      <c r="B2382" s="18"/>
      <c r="C2382" s="18"/>
      <c r="D2382" s="18"/>
      <c r="E2382" s="18"/>
      <c r="F2382" s="18"/>
      <c r="G2382" s="18"/>
      <c r="H2382" s="18"/>
      <c r="I2382" s="18"/>
      <c r="J2382" s="18"/>
      <c r="K2382" s="18"/>
      <c r="L2382" s="18"/>
      <c r="M2382" s="18"/>
      <c r="N2382" s="18"/>
      <c r="O2382" s="18"/>
      <c r="P2382" s="18"/>
      <c r="Q2382" s="18"/>
    </row>
    <row r="2383" spans="1:17">
      <c r="A2383" s="18"/>
      <c r="B2383" s="18"/>
      <c r="C2383" s="18"/>
      <c r="D2383" s="18"/>
      <c r="E2383" s="18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8"/>
    </row>
    <row r="2384" spans="1:17">
      <c r="A2384" s="149"/>
      <c r="B2384" s="18"/>
      <c r="C2384" s="18"/>
      <c r="D2384" s="18"/>
      <c r="E2384" s="18"/>
      <c r="F2384" s="18"/>
      <c r="G2384" s="18"/>
      <c r="H2384" s="18"/>
      <c r="I2384" s="18"/>
      <c r="J2384" s="18"/>
      <c r="K2384" s="18"/>
      <c r="L2384" s="18"/>
      <c r="M2384" s="18"/>
      <c r="N2384" s="18"/>
      <c r="O2384" s="18"/>
      <c r="P2384" s="18"/>
      <c r="Q2384" s="18"/>
    </row>
    <row r="2385" spans="1:17">
      <c r="A2385" s="73"/>
      <c r="B2385" s="18"/>
      <c r="C2385" s="18"/>
      <c r="D2385" s="18"/>
      <c r="E2385" s="18"/>
      <c r="F2385" s="18"/>
      <c r="G2385" s="18"/>
      <c r="H2385" s="18"/>
      <c r="I2385" s="18"/>
      <c r="J2385" s="18"/>
      <c r="K2385" s="18"/>
      <c r="L2385" s="18"/>
      <c r="M2385" s="18"/>
      <c r="N2385" s="18"/>
      <c r="O2385" s="18"/>
      <c r="P2385" s="18"/>
      <c r="Q2385" s="18"/>
    </row>
    <row r="2386" spans="1:17">
      <c r="A2386" s="80"/>
      <c r="B2386" s="18"/>
      <c r="C2386" s="18"/>
      <c r="D2386" s="18"/>
      <c r="E2386" s="18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8"/>
    </row>
    <row r="2387" spans="1:17">
      <c r="A2387" s="149"/>
      <c r="B2387" s="18"/>
      <c r="C2387" s="18"/>
      <c r="D2387" s="18"/>
      <c r="E2387" s="18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8"/>
    </row>
    <row r="2388" spans="1:17">
      <c r="A2388" s="1155"/>
      <c r="B2388" s="18"/>
      <c r="C2388" s="18"/>
      <c r="D2388" s="18"/>
      <c r="E2388" s="18"/>
      <c r="F2388" s="18"/>
      <c r="G2388" s="18"/>
      <c r="H2388" s="18"/>
      <c r="I2388" s="18"/>
      <c r="J2388" s="18"/>
      <c r="K2388" s="18"/>
      <c r="L2388" s="18"/>
      <c r="M2388" s="18"/>
      <c r="N2388" s="18"/>
      <c r="O2388" s="18"/>
      <c r="P2388" s="18"/>
      <c r="Q2388" s="18"/>
    </row>
    <row r="2389" spans="1:17">
      <c r="A2389" s="18"/>
      <c r="B2389" s="18"/>
      <c r="C2389" s="18"/>
      <c r="D2389" s="18"/>
      <c r="E2389" s="18"/>
      <c r="F2389" s="18"/>
      <c r="G2389" s="18"/>
      <c r="H2389" s="18"/>
      <c r="I2389" s="18"/>
      <c r="J2389" s="18"/>
      <c r="K2389" s="18"/>
      <c r="L2389" s="18"/>
      <c r="M2389" s="18"/>
      <c r="N2389" s="18"/>
      <c r="O2389" s="18"/>
      <c r="P2389" s="18"/>
      <c r="Q2389" s="18"/>
    </row>
    <row r="2390" spans="1:17">
      <c r="A2390" s="149"/>
      <c r="B2390" s="18"/>
      <c r="C2390" s="18"/>
      <c r="D2390" s="18"/>
      <c r="E2390" s="18"/>
      <c r="F2390" s="18"/>
      <c r="G2390" s="18"/>
      <c r="H2390" s="18"/>
      <c r="I2390" s="18"/>
      <c r="J2390" s="18"/>
      <c r="K2390" s="18"/>
      <c r="L2390" s="18"/>
      <c r="M2390" s="18"/>
      <c r="N2390" s="18"/>
      <c r="O2390" s="18"/>
      <c r="P2390" s="18"/>
      <c r="Q2390" s="18"/>
    </row>
    <row r="2391" spans="1:17">
      <c r="A2391" s="18"/>
      <c r="B2391" s="18"/>
      <c r="C2391" s="18"/>
      <c r="D2391" s="18"/>
      <c r="E2391" s="18"/>
      <c r="F2391" s="18"/>
      <c r="G2391" s="18"/>
      <c r="H2391" s="18"/>
      <c r="I2391" s="18"/>
      <c r="J2391" s="18"/>
      <c r="K2391" s="18"/>
      <c r="L2391" s="18"/>
      <c r="M2391" s="18"/>
      <c r="N2391" s="18"/>
      <c r="O2391" s="18"/>
      <c r="P2391" s="18"/>
      <c r="Q2391" s="18"/>
    </row>
    <row r="2392" spans="1:17">
      <c r="A2392" s="18"/>
      <c r="B2392" s="18"/>
      <c r="C2392" s="18"/>
      <c r="D2392" s="18"/>
      <c r="E2392" s="18"/>
      <c r="F2392" s="18"/>
      <c r="G2392" s="18"/>
      <c r="H2392" s="18"/>
      <c r="I2392" s="18"/>
      <c r="J2392" s="18"/>
      <c r="K2392" s="18"/>
      <c r="L2392" s="18"/>
      <c r="M2392" s="18"/>
      <c r="N2392" s="18"/>
      <c r="O2392" s="18"/>
      <c r="P2392" s="18"/>
      <c r="Q2392" s="18"/>
    </row>
    <row r="2393" spans="1:17">
      <c r="A2393" s="18"/>
      <c r="B2393" s="18"/>
      <c r="C2393" s="18"/>
      <c r="D2393" s="18"/>
      <c r="E2393" s="18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8"/>
    </row>
    <row r="2394" spans="1:17">
      <c r="A2394" s="18"/>
      <c r="B2394" s="18"/>
      <c r="C2394" s="18"/>
      <c r="D2394" s="18"/>
      <c r="E2394" s="18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8"/>
    </row>
    <row r="2395" spans="1:17">
      <c r="A2395" s="18"/>
      <c r="B2395" s="18"/>
      <c r="C2395" s="18"/>
      <c r="D2395" s="18"/>
      <c r="E2395" s="18"/>
      <c r="F2395" s="18"/>
      <c r="G2395" s="18"/>
      <c r="H2395" s="18"/>
      <c r="I2395" s="18"/>
      <c r="J2395" s="18"/>
      <c r="K2395" s="18"/>
      <c r="L2395" s="18"/>
      <c r="M2395" s="18"/>
      <c r="N2395" s="18"/>
      <c r="O2395" s="18"/>
      <c r="P2395" s="18"/>
      <c r="Q2395" s="18"/>
    </row>
    <row r="2396" spans="1:17">
      <c r="A2396" s="18"/>
      <c r="B2396" s="18"/>
      <c r="C2396" s="18"/>
      <c r="D2396" s="18"/>
      <c r="E2396" s="18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8"/>
    </row>
    <row r="2397" spans="1:17">
      <c r="A2397" s="149"/>
      <c r="B2397" s="18"/>
      <c r="C2397" s="18"/>
      <c r="D2397" s="18"/>
      <c r="E2397" s="18"/>
      <c r="F2397" s="18"/>
      <c r="G2397" s="18"/>
      <c r="H2397" s="18"/>
      <c r="I2397" s="18"/>
      <c r="J2397" s="18"/>
      <c r="K2397" s="18"/>
      <c r="L2397" s="18"/>
      <c r="M2397" s="18"/>
      <c r="N2397" s="18"/>
      <c r="O2397" s="18"/>
      <c r="P2397" s="18"/>
      <c r="Q2397" s="18"/>
    </row>
    <row r="2398" spans="1:17">
      <c r="A2398" s="18"/>
      <c r="B2398" s="18"/>
      <c r="C2398" s="18"/>
      <c r="D2398" s="18"/>
      <c r="E2398" s="18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8"/>
    </row>
    <row r="2399" spans="1:17">
      <c r="A2399" s="18"/>
      <c r="B2399" s="18"/>
      <c r="C2399" s="18"/>
      <c r="D2399" s="18"/>
      <c r="E2399" s="18"/>
      <c r="F2399" s="18"/>
      <c r="G2399" s="18"/>
      <c r="H2399" s="18"/>
      <c r="I2399" s="18"/>
      <c r="J2399" s="18"/>
      <c r="K2399" s="18"/>
      <c r="L2399" s="18"/>
      <c r="M2399" s="18"/>
      <c r="N2399" s="18"/>
      <c r="O2399" s="18"/>
      <c r="P2399" s="18"/>
      <c r="Q2399" s="18"/>
    </row>
    <row r="2400" spans="1:17">
      <c r="A2400" s="18"/>
      <c r="B2400" s="18"/>
      <c r="C2400" s="18"/>
      <c r="D2400" s="18"/>
      <c r="E2400" s="18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8"/>
    </row>
    <row r="2401" spans="1:17">
      <c r="A2401" s="18"/>
      <c r="B2401" s="18"/>
      <c r="C2401" s="18"/>
      <c r="D2401" s="18"/>
      <c r="E2401" s="18"/>
      <c r="F2401" s="18"/>
      <c r="G2401" s="18"/>
      <c r="H2401" s="18"/>
      <c r="I2401" s="18"/>
      <c r="J2401" s="18"/>
      <c r="K2401" s="18"/>
      <c r="L2401" s="18"/>
      <c r="M2401" s="18"/>
      <c r="N2401" s="18"/>
      <c r="O2401" s="18"/>
      <c r="P2401" s="18"/>
      <c r="Q2401" s="18"/>
    </row>
    <row r="2402" spans="1:17">
      <c r="A2402" s="18"/>
      <c r="B2402" s="18"/>
      <c r="C2402" s="18"/>
      <c r="D2402" s="18"/>
      <c r="E2402" s="18"/>
      <c r="F2402" s="18"/>
      <c r="G2402" s="18"/>
      <c r="H2402" s="18"/>
      <c r="I2402" s="18"/>
      <c r="J2402" s="18"/>
      <c r="K2402" s="18"/>
      <c r="L2402" s="18"/>
      <c r="M2402" s="18"/>
      <c r="N2402" s="18"/>
      <c r="O2402" s="18"/>
      <c r="P2402" s="18"/>
      <c r="Q2402" s="18"/>
    </row>
    <row r="2403" spans="1:17">
      <c r="A2403" s="18"/>
      <c r="B2403" s="18"/>
      <c r="C2403" s="18"/>
      <c r="D2403" s="18"/>
      <c r="E2403" s="18"/>
      <c r="F2403" s="18"/>
      <c r="G2403" s="18"/>
      <c r="H2403" s="18"/>
      <c r="I2403" s="18"/>
      <c r="J2403" s="18"/>
      <c r="K2403" s="18"/>
      <c r="L2403" s="18"/>
      <c r="M2403" s="18"/>
      <c r="N2403" s="18"/>
      <c r="O2403" s="18"/>
      <c r="P2403" s="18"/>
      <c r="Q2403" s="18"/>
    </row>
    <row r="2404" spans="1:17">
      <c r="A2404" s="18"/>
      <c r="B2404" s="18"/>
      <c r="C2404" s="18"/>
      <c r="D2404" s="18"/>
      <c r="E2404" s="18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8"/>
    </row>
    <row r="2405" spans="1:17">
      <c r="A2405" s="149"/>
      <c r="B2405" s="18"/>
      <c r="C2405" s="18"/>
      <c r="D2405" s="18"/>
      <c r="E2405" s="18"/>
      <c r="F2405" s="18"/>
      <c r="G2405" s="18"/>
      <c r="H2405" s="18"/>
      <c r="I2405" s="18"/>
      <c r="J2405" s="18"/>
      <c r="K2405" s="18"/>
      <c r="L2405" s="18"/>
      <c r="M2405" s="18"/>
      <c r="N2405" s="18"/>
      <c r="O2405" s="18"/>
      <c r="P2405" s="18"/>
      <c r="Q2405" s="18"/>
    </row>
    <row r="2406" spans="1:17">
      <c r="A2406" s="18"/>
      <c r="B2406" s="18"/>
      <c r="C2406" s="18"/>
      <c r="D2406" s="18"/>
      <c r="E2406" s="18"/>
      <c r="F2406" s="18"/>
      <c r="G2406" s="18"/>
      <c r="H2406" s="18"/>
      <c r="I2406" s="18"/>
      <c r="J2406" s="18"/>
      <c r="K2406" s="18"/>
      <c r="L2406" s="18"/>
      <c r="M2406" s="18"/>
      <c r="N2406" s="18"/>
      <c r="O2406" s="18"/>
      <c r="P2406" s="18"/>
      <c r="Q2406" s="18"/>
    </row>
    <row r="2407" spans="1:17">
      <c r="A2407" s="18"/>
      <c r="B2407" s="18"/>
      <c r="C2407" s="18"/>
      <c r="D2407" s="18"/>
      <c r="E2407" s="18"/>
      <c r="F2407" s="18"/>
      <c r="G2407" s="18"/>
      <c r="H2407" s="18"/>
      <c r="I2407" s="18"/>
      <c r="J2407" s="18"/>
      <c r="K2407" s="18"/>
      <c r="L2407" s="18"/>
      <c r="M2407" s="18"/>
      <c r="N2407" s="18"/>
      <c r="O2407" s="18"/>
      <c r="P2407" s="18"/>
      <c r="Q2407" s="18"/>
    </row>
    <row r="2408" spans="1:17">
      <c r="A2408" s="18"/>
      <c r="B2408" s="18"/>
      <c r="C2408" s="18"/>
      <c r="D2408" s="18"/>
      <c r="E2408" s="18"/>
      <c r="F2408" s="18"/>
      <c r="G2408" s="18"/>
      <c r="H2408" s="18"/>
      <c r="I2408" s="18"/>
      <c r="J2408" s="18"/>
      <c r="K2408" s="18"/>
      <c r="L2408" s="18"/>
      <c r="M2408" s="18"/>
      <c r="N2408" s="18"/>
      <c r="O2408" s="18"/>
      <c r="P2408" s="18"/>
      <c r="Q2408" s="18"/>
    </row>
    <row r="2409" spans="1:17">
      <c r="A2409" s="18"/>
      <c r="B2409" s="18"/>
      <c r="C2409" s="18"/>
      <c r="D2409" s="18"/>
      <c r="E2409" s="18"/>
      <c r="F2409" s="18"/>
      <c r="G2409" s="18"/>
      <c r="H2409" s="18"/>
      <c r="I2409" s="18"/>
      <c r="J2409" s="18"/>
      <c r="K2409" s="18"/>
      <c r="L2409" s="18"/>
      <c r="M2409" s="18"/>
      <c r="N2409" s="18"/>
      <c r="O2409" s="18"/>
      <c r="P2409" s="18"/>
      <c r="Q2409" s="18"/>
    </row>
    <row r="2410" spans="1:17">
      <c r="A2410" s="18"/>
      <c r="B2410" s="18"/>
      <c r="C2410" s="18"/>
      <c r="D2410" s="18"/>
      <c r="E2410" s="18"/>
      <c r="F2410" s="18"/>
      <c r="G2410" s="18"/>
      <c r="H2410" s="18"/>
      <c r="I2410" s="18"/>
      <c r="J2410" s="18"/>
      <c r="K2410" s="18"/>
      <c r="L2410" s="18"/>
      <c r="M2410" s="18"/>
      <c r="N2410" s="18"/>
      <c r="O2410" s="18"/>
      <c r="P2410" s="18"/>
      <c r="Q2410" s="18"/>
    </row>
    <row r="2411" spans="1:17">
      <c r="A2411" s="18"/>
      <c r="B2411" s="18"/>
      <c r="C2411" s="18"/>
      <c r="D2411" s="18"/>
      <c r="E2411" s="18"/>
      <c r="F2411" s="18"/>
      <c r="G2411" s="18"/>
      <c r="H2411" s="18"/>
      <c r="I2411" s="18"/>
      <c r="J2411" s="18"/>
      <c r="K2411" s="18"/>
      <c r="L2411" s="18"/>
      <c r="M2411" s="18"/>
      <c r="N2411" s="18"/>
      <c r="O2411" s="18"/>
      <c r="P2411" s="18"/>
      <c r="Q2411" s="18"/>
    </row>
    <row r="2412" spans="1:17">
      <c r="A2412" s="18"/>
      <c r="B2412" s="18"/>
      <c r="C2412" s="18"/>
      <c r="D2412" s="18"/>
      <c r="E2412" s="18"/>
      <c r="F2412" s="18"/>
      <c r="G2412" s="18"/>
      <c r="H2412" s="18"/>
      <c r="I2412" s="18"/>
      <c r="J2412" s="18"/>
      <c r="K2412" s="18"/>
      <c r="L2412" s="18"/>
      <c r="M2412" s="18"/>
      <c r="N2412" s="18"/>
      <c r="O2412" s="18"/>
      <c r="P2412" s="18"/>
      <c r="Q2412" s="18"/>
    </row>
    <row r="2413" spans="1:17">
      <c r="A2413" s="18"/>
      <c r="B2413" s="18"/>
      <c r="C2413" s="18"/>
      <c r="D2413" s="18"/>
      <c r="E2413" s="18"/>
      <c r="F2413" s="18"/>
      <c r="G2413" s="18"/>
      <c r="H2413" s="18"/>
      <c r="I2413" s="18"/>
      <c r="J2413" s="18"/>
      <c r="K2413" s="18"/>
      <c r="L2413" s="18"/>
      <c r="M2413" s="18"/>
      <c r="N2413" s="18"/>
      <c r="O2413" s="18"/>
      <c r="P2413" s="18"/>
      <c r="Q2413" s="18"/>
    </row>
    <row r="2414" spans="1:17">
      <c r="A2414" s="18"/>
      <c r="B2414" s="18"/>
      <c r="C2414" s="18"/>
      <c r="D2414" s="18"/>
      <c r="E2414" s="18"/>
      <c r="F2414" s="18"/>
      <c r="G2414" s="18"/>
      <c r="H2414" s="18"/>
      <c r="I2414" s="18"/>
      <c r="J2414" s="18"/>
      <c r="K2414" s="18"/>
      <c r="L2414" s="18"/>
      <c r="M2414" s="18"/>
      <c r="N2414" s="18"/>
      <c r="O2414" s="18"/>
      <c r="P2414" s="18"/>
      <c r="Q2414" s="18"/>
    </row>
    <row r="2415" spans="1:17">
      <c r="A2415" s="18"/>
      <c r="B2415" s="18"/>
      <c r="C2415" s="18"/>
      <c r="D2415" s="18"/>
      <c r="E2415" s="18"/>
      <c r="F2415" s="18"/>
      <c r="G2415" s="18"/>
      <c r="H2415" s="18"/>
      <c r="I2415" s="18"/>
      <c r="J2415" s="18"/>
      <c r="K2415" s="18"/>
      <c r="L2415" s="18"/>
      <c r="M2415" s="18"/>
      <c r="N2415" s="18"/>
      <c r="O2415" s="18"/>
      <c r="P2415" s="18"/>
      <c r="Q2415" s="18"/>
    </row>
    <row r="2416" spans="1:17">
      <c r="A2416" s="18"/>
      <c r="B2416" s="18"/>
      <c r="C2416" s="18"/>
      <c r="D2416" s="18"/>
      <c r="E2416" s="18"/>
      <c r="F2416" s="18"/>
      <c r="G2416" s="18"/>
      <c r="H2416" s="18"/>
      <c r="I2416" s="18"/>
      <c r="J2416" s="18"/>
      <c r="K2416" s="18"/>
      <c r="L2416" s="18"/>
      <c r="M2416" s="18"/>
      <c r="N2416" s="18"/>
      <c r="O2416" s="18"/>
      <c r="P2416" s="18"/>
      <c r="Q2416" s="18"/>
    </row>
    <row r="2417" spans="1:17">
      <c r="A2417" s="18"/>
      <c r="B2417" s="18"/>
      <c r="C2417" s="18"/>
      <c r="D2417" s="18"/>
      <c r="E2417" s="18"/>
      <c r="F2417" s="18"/>
      <c r="G2417" s="18"/>
      <c r="H2417" s="18"/>
      <c r="I2417" s="18"/>
      <c r="J2417" s="18"/>
      <c r="K2417" s="18"/>
      <c r="L2417" s="18"/>
      <c r="M2417" s="18"/>
      <c r="N2417" s="18"/>
      <c r="O2417" s="18"/>
      <c r="P2417" s="18"/>
      <c r="Q2417" s="18"/>
    </row>
    <row r="2418" spans="1:17">
      <c r="A2418" s="18"/>
      <c r="B2418" s="18"/>
      <c r="C2418" s="18"/>
      <c r="D2418" s="18"/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</row>
    <row r="2419" spans="1:17">
      <c r="A2419" s="18"/>
      <c r="B2419" s="18"/>
      <c r="C2419" s="18"/>
      <c r="D2419" s="18"/>
      <c r="E2419" s="18"/>
      <c r="F2419" s="18"/>
      <c r="G2419" s="18"/>
      <c r="H2419" s="18"/>
      <c r="I2419" s="18"/>
      <c r="J2419" s="18"/>
      <c r="K2419" s="18"/>
      <c r="L2419" s="18"/>
      <c r="M2419" s="18"/>
      <c r="N2419" s="18"/>
      <c r="O2419" s="18"/>
      <c r="P2419" s="18"/>
      <c r="Q2419" s="18"/>
    </row>
    <row r="2420" spans="1:17">
      <c r="A2420" s="18"/>
      <c r="B2420" s="18"/>
      <c r="C2420" s="18"/>
      <c r="D2420" s="18"/>
      <c r="E2420" s="18"/>
      <c r="F2420" s="18"/>
      <c r="G2420" s="18"/>
      <c r="H2420" s="18"/>
      <c r="I2420" s="18"/>
      <c r="J2420" s="18"/>
      <c r="K2420" s="18"/>
      <c r="L2420" s="18"/>
      <c r="M2420" s="18"/>
      <c r="N2420" s="18"/>
      <c r="O2420" s="18"/>
      <c r="P2420" s="18"/>
      <c r="Q2420" s="18"/>
    </row>
    <row r="2421" spans="1:17">
      <c r="A2421" s="18"/>
      <c r="B2421" s="18"/>
      <c r="C2421" s="18"/>
      <c r="D2421" s="18"/>
      <c r="E2421" s="18"/>
      <c r="F2421" s="18"/>
      <c r="G2421" s="18"/>
      <c r="H2421" s="18"/>
      <c r="I2421" s="18"/>
      <c r="J2421" s="18"/>
      <c r="K2421" s="18"/>
      <c r="L2421" s="18"/>
      <c r="M2421" s="18"/>
      <c r="N2421" s="18"/>
      <c r="O2421" s="18"/>
      <c r="P2421" s="18"/>
      <c r="Q2421" s="18"/>
    </row>
    <row r="2422" spans="1:17">
      <c r="A2422" s="18"/>
      <c r="B2422" s="18"/>
      <c r="C2422" s="18"/>
      <c r="D2422" s="18"/>
      <c r="E2422" s="18"/>
      <c r="F2422" s="18"/>
      <c r="G2422" s="18"/>
      <c r="H2422" s="18"/>
      <c r="I2422" s="18"/>
      <c r="J2422" s="18"/>
      <c r="K2422" s="18"/>
      <c r="L2422" s="18"/>
      <c r="M2422" s="18"/>
      <c r="N2422" s="18"/>
      <c r="O2422" s="18"/>
      <c r="P2422" s="18"/>
      <c r="Q2422" s="18"/>
    </row>
    <row r="2423" spans="1:17">
      <c r="A2423" s="18"/>
      <c r="B2423" s="18"/>
      <c r="C2423" s="18"/>
      <c r="D2423" s="18"/>
      <c r="E2423" s="18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8"/>
    </row>
    <row r="2424" spans="1:17">
      <c r="A2424" s="18"/>
      <c r="B2424" s="18"/>
      <c r="C2424" s="18"/>
      <c r="D2424" s="18"/>
      <c r="E2424" s="18"/>
      <c r="F2424" s="18"/>
      <c r="G2424" s="18"/>
      <c r="H2424" s="18"/>
      <c r="I2424" s="18"/>
      <c r="J2424" s="18"/>
      <c r="K2424" s="18"/>
      <c r="L2424" s="18"/>
      <c r="M2424" s="18"/>
      <c r="N2424" s="18"/>
      <c r="O2424" s="18"/>
      <c r="P2424" s="18"/>
      <c r="Q2424" s="18"/>
    </row>
    <row r="2425" spans="1:17">
      <c r="A2425" s="18"/>
      <c r="B2425" s="18"/>
      <c r="C2425" s="18"/>
      <c r="D2425" s="18"/>
      <c r="E2425" s="18"/>
      <c r="F2425" s="18"/>
      <c r="G2425" s="18"/>
      <c r="H2425" s="18"/>
      <c r="I2425" s="18"/>
      <c r="J2425" s="18"/>
      <c r="K2425" s="18"/>
      <c r="L2425" s="18"/>
      <c r="M2425" s="18"/>
      <c r="N2425" s="18"/>
      <c r="O2425" s="18"/>
      <c r="P2425" s="18"/>
      <c r="Q2425" s="18"/>
    </row>
    <row r="2426" spans="1:17">
      <c r="A2426" s="18"/>
      <c r="B2426" s="18"/>
      <c r="C2426" s="18"/>
      <c r="D2426" s="18"/>
      <c r="E2426" s="18"/>
      <c r="F2426" s="18"/>
      <c r="G2426" s="18"/>
      <c r="H2426" s="18"/>
      <c r="I2426" s="18"/>
      <c r="J2426" s="18"/>
      <c r="K2426" s="18"/>
      <c r="L2426" s="18"/>
      <c r="M2426" s="18"/>
      <c r="N2426" s="18"/>
      <c r="O2426" s="18"/>
      <c r="P2426" s="18"/>
      <c r="Q2426" s="18"/>
    </row>
    <row r="2427" spans="1:17">
      <c r="A2427" s="18"/>
      <c r="B2427" s="18"/>
      <c r="C2427" s="18"/>
      <c r="D2427" s="18"/>
      <c r="E2427" s="18"/>
      <c r="F2427" s="18"/>
      <c r="G2427" s="18"/>
      <c r="H2427" s="273"/>
      <c r="I2427" s="273"/>
      <c r="J2427" s="18"/>
      <c r="K2427" s="18"/>
      <c r="L2427" s="18"/>
      <c r="M2427" s="18"/>
      <c r="N2427" s="18"/>
      <c r="O2427" s="18"/>
      <c r="P2427" s="18"/>
      <c r="Q2427" s="18"/>
    </row>
    <row r="2428" spans="1:17">
      <c r="A2428" s="18"/>
      <c r="B2428" s="18"/>
      <c r="C2428" s="18"/>
      <c r="D2428" s="18"/>
      <c r="E2428" s="18"/>
      <c r="F2428" s="18"/>
      <c r="G2428" s="18"/>
      <c r="H2428" s="273"/>
      <c r="I2428" s="273"/>
      <c r="J2428" s="18"/>
      <c r="K2428" s="18"/>
      <c r="L2428" s="18"/>
      <c r="M2428" s="18"/>
      <c r="N2428" s="18"/>
      <c r="O2428" s="18"/>
      <c r="P2428" s="18"/>
      <c r="Q2428" s="18"/>
    </row>
    <row r="2429" spans="1:17">
      <c r="A2429" s="18"/>
      <c r="B2429" s="18"/>
      <c r="C2429" s="18"/>
      <c r="D2429" s="18"/>
      <c r="E2429" s="18"/>
      <c r="F2429" s="18"/>
      <c r="G2429" s="18"/>
      <c r="H2429" s="273"/>
      <c r="I2429" s="273"/>
      <c r="J2429" s="18"/>
      <c r="K2429" s="18"/>
      <c r="L2429" s="18"/>
      <c r="M2429" s="18"/>
      <c r="N2429" s="18"/>
      <c r="O2429" s="18"/>
      <c r="P2429" s="18"/>
      <c r="Q2429" s="18"/>
    </row>
    <row r="2430" spans="1:17">
      <c r="A2430" s="18"/>
      <c r="B2430" s="18"/>
      <c r="C2430" s="18"/>
      <c r="D2430" s="18"/>
      <c r="E2430" s="18"/>
      <c r="F2430" s="18"/>
      <c r="G2430" s="18"/>
      <c r="H2430" s="18"/>
      <c r="I2430" s="18"/>
      <c r="J2430" s="18"/>
      <c r="K2430" s="18"/>
      <c r="L2430" s="18"/>
      <c r="M2430" s="18"/>
      <c r="N2430" s="18"/>
      <c r="O2430" s="18"/>
      <c r="P2430" s="18"/>
      <c r="Q2430" s="18"/>
    </row>
    <row r="2431" spans="1:17">
      <c r="A2431" s="18"/>
      <c r="B2431" s="18"/>
      <c r="C2431" s="18"/>
      <c r="D2431" s="18"/>
      <c r="E2431" s="18"/>
      <c r="F2431" s="18"/>
      <c r="G2431" s="18"/>
      <c r="H2431" s="18"/>
      <c r="I2431" s="18"/>
      <c r="J2431" s="18"/>
      <c r="K2431" s="18"/>
      <c r="L2431" s="18"/>
      <c r="M2431" s="18"/>
      <c r="N2431" s="18"/>
      <c r="O2431" s="18"/>
      <c r="P2431" s="18"/>
      <c r="Q2431" s="18"/>
    </row>
    <row r="2432" spans="1:17">
      <c r="A2432" s="18"/>
      <c r="B2432" s="18"/>
      <c r="C2432" s="18"/>
      <c r="D2432" s="18"/>
      <c r="E2432" s="18"/>
      <c r="F2432" s="18"/>
      <c r="G2432" s="18"/>
      <c r="H2432" s="18"/>
      <c r="I2432" s="18"/>
      <c r="J2432" s="18"/>
      <c r="K2432" s="18"/>
      <c r="L2432" s="18"/>
      <c r="M2432" s="18"/>
      <c r="N2432" s="18"/>
      <c r="O2432" s="18"/>
      <c r="P2432" s="18"/>
      <c r="Q2432" s="18"/>
    </row>
    <row r="2433" spans="1:17">
      <c r="A2433" s="18"/>
      <c r="B2433" s="18"/>
      <c r="C2433" s="18"/>
      <c r="D2433" s="18"/>
      <c r="E2433" s="18"/>
      <c r="F2433" s="18"/>
      <c r="G2433" s="18"/>
      <c r="H2433" s="18"/>
      <c r="I2433" s="18"/>
      <c r="J2433" s="18"/>
      <c r="K2433" s="18"/>
      <c r="L2433" s="18"/>
      <c r="M2433" s="18"/>
      <c r="N2433" s="18"/>
      <c r="O2433" s="18"/>
      <c r="P2433" s="18"/>
      <c r="Q2433" s="18"/>
    </row>
    <row r="2434" spans="1:17">
      <c r="A2434" s="18"/>
      <c r="B2434" s="18"/>
      <c r="C2434" s="18"/>
      <c r="D2434" s="18"/>
      <c r="E2434" s="18"/>
      <c r="F2434" s="18"/>
      <c r="G2434" s="18"/>
      <c r="H2434" s="18"/>
      <c r="I2434" s="18"/>
      <c r="J2434" s="18"/>
      <c r="K2434" s="18"/>
      <c r="L2434" s="18"/>
      <c r="M2434" s="18"/>
      <c r="N2434" s="18"/>
      <c r="O2434" s="18"/>
      <c r="P2434" s="18"/>
      <c r="Q2434" s="18"/>
    </row>
    <row r="2435" spans="1:17">
      <c r="A2435" s="18"/>
      <c r="B2435" s="18"/>
      <c r="C2435" s="18"/>
      <c r="D2435" s="18"/>
      <c r="E2435" s="18"/>
      <c r="F2435" s="18"/>
      <c r="G2435" s="18"/>
      <c r="H2435" s="18"/>
      <c r="I2435" s="18"/>
      <c r="J2435" s="18"/>
      <c r="K2435" s="18"/>
      <c r="L2435" s="18"/>
      <c r="M2435" s="18"/>
      <c r="N2435" s="18"/>
      <c r="O2435" s="18"/>
      <c r="P2435" s="18"/>
      <c r="Q2435" s="18"/>
    </row>
    <row r="2436" spans="1:17">
      <c r="A2436" s="18"/>
      <c r="B2436" s="18"/>
      <c r="C2436" s="18"/>
      <c r="D2436" s="18"/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</row>
    <row r="2437" spans="1:17">
      <c r="A2437" s="18"/>
      <c r="B2437" s="18"/>
      <c r="C2437" s="18"/>
      <c r="D2437" s="18"/>
      <c r="E2437" s="18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8"/>
    </row>
    <row r="2438" spans="1:17">
      <c r="A2438" s="18"/>
      <c r="B2438" s="18"/>
      <c r="C2438" s="18"/>
      <c r="D2438" s="18"/>
      <c r="E2438" s="18"/>
      <c r="F2438" s="18"/>
      <c r="G2438" s="18"/>
      <c r="H2438" s="18"/>
      <c r="I2438" s="18"/>
      <c r="J2438" s="18"/>
      <c r="K2438" s="18"/>
      <c r="L2438" s="18"/>
      <c r="M2438" s="18"/>
      <c r="N2438" s="18"/>
      <c r="O2438" s="18"/>
      <c r="P2438" s="18"/>
      <c r="Q2438" s="18"/>
    </row>
    <row r="2439" spans="1:17">
      <c r="A2439" s="18"/>
      <c r="B2439" s="18"/>
      <c r="C2439" s="18"/>
      <c r="D2439" s="18"/>
      <c r="E2439" s="18"/>
      <c r="F2439" s="18"/>
      <c r="G2439" s="18"/>
      <c r="H2439" s="18"/>
      <c r="I2439" s="18"/>
      <c r="J2439" s="18"/>
      <c r="K2439" s="18"/>
      <c r="L2439" s="18"/>
      <c r="M2439" s="18"/>
      <c r="N2439" s="18"/>
      <c r="O2439" s="18"/>
      <c r="P2439" s="18"/>
      <c r="Q2439" s="18"/>
    </row>
    <row r="2440" spans="1:17">
      <c r="A2440" s="18"/>
      <c r="B2440" s="18"/>
      <c r="C2440" s="18"/>
      <c r="D2440" s="18"/>
      <c r="E2440" s="18"/>
      <c r="F2440" s="18"/>
      <c r="G2440" s="18"/>
      <c r="H2440" s="18"/>
      <c r="I2440" s="18"/>
      <c r="J2440" s="18"/>
      <c r="K2440" s="18"/>
      <c r="L2440" s="18"/>
      <c r="M2440" s="18"/>
      <c r="N2440" s="18"/>
      <c r="O2440" s="18"/>
      <c r="P2440" s="18"/>
      <c r="Q2440" s="18"/>
    </row>
    <row r="2441" spans="1:17">
      <c r="A2441" s="18"/>
      <c r="B2441" s="18"/>
      <c r="C2441" s="18"/>
      <c r="D2441" s="18"/>
      <c r="E2441" s="18"/>
      <c r="F2441" s="18"/>
      <c r="G2441" s="18"/>
      <c r="H2441" s="18"/>
      <c r="I2441" s="18"/>
      <c r="J2441" s="18"/>
      <c r="K2441" s="18"/>
      <c r="L2441" s="18"/>
      <c r="M2441" s="18"/>
      <c r="N2441" s="18"/>
      <c r="O2441" s="18"/>
      <c r="P2441" s="18"/>
      <c r="Q2441" s="18"/>
    </row>
    <row r="2442" spans="1:17">
      <c r="A2442" s="18"/>
      <c r="B2442" s="18"/>
      <c r="C2442" s="18"/>
      <c r="D2442" s="18"/>
      <c r="E2442" s="18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8"/>
    </row>
    <row r="2443" spans="1:17">
      <c r="A2443" s="18"/>
      <c r="B2443" s="18"/>
      <c r="C2443" s="18"/>
      <c r="D2443" s="18"/>
      <c r="E2443" s="18"/>
      <c r="F2443" s="18"/>
      <c r="G2443" s="18"/>
      <c r="H2443" s="18"/>
      <c r="I2443" s="18"/>
      <c r="J2443" s="18"/>
      <c r="K2443" s="18"/>
      <c r="L2443" s="18"/>
      <c r="M2443" s="18"/>
      <c r="N2443" s="18"/>
      <c r="O2443" s="18"/>
      <c r="P2443" s="18"/>
      <c r="Q2443" s="18"/>
    </row>
    <row r="2444" spans="1:17">
      <c r="A2444" s="18"/>
      <c r="B2444" s="18"/>
      <c r="C2444" s="18"/>
      <c r="D2444" s="18"/>
      <c r="E2444" s="18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8"/>
    </row>
    <row r="2445" spans="1:17">
      <c r="A2445" s="18"/>
      <c r="B2445" s="18"/>
      <c r="C2445" s="18"/>
      <c r="D2445" s="18"/>
      <c r="E2445" s="18"/>
      <c r="F2445" s="18"/>
      <c r="G2445" s="18"/>
      <c r="H2445" s="18"/>
      <c r="I2445" s="18"/>
      <c r="J2445" s="18"/>
      <c r="K2445" s="18"/>
      <c r="L2445" s="18"/>
      <c r="M2445" s="18"/>
      <c r="N2445" s="18"/>
      <c r="O2445" s="18"/>
      <c r="P2445" s="18"/>
      <c r="Q2445" s="18"/>
    </row>
    <row r="2446" spans="1:17">
      <c r="A2446" s="18"/>
      <c r="B2446" s="18"/>
      <c r="C2446" s="18"/>
      <c r="D2446" s="18"/>
      <c r="E2446" s="18"/>
      <c r="F2446" s="18"/>
      <c r="G2446" s="18"/>
      <c r="H2446" s="18"/>
      <c r="I2446" s="18"/>
      <c r="J2446" s="18"/>
      <c r="K2446" s="18"/>
      <c r="L2446" s="18"/>
      <c r="M2446" s="18"/>
      <c r="N2446" s="18"/>
      <c r="O2446" s="18"/>
      <c r="P2446" s="18"/>
      <c r="Q2446" s="18"/>
    </row>
    <row r="2447" spans="1:17">
      <c r="A2447" s="18"/>
      <c r="B2447" s="18"/>
      <c r="C2447" s="18"/>
      <c r="D2447" s="18"/>
      <c r="E2447" s="18"/>
      <c r="F2447" s="18"/>
      <c r="G2447" s="18"/>
      <c r="H2447" s="18"/>
      <c r="I2447" s="18"/>
      <c r="J2447" s="18"/>
      <c r="K2447" s="18"/>
      <c r="L2447" s="18"/>
      <c r="M2447" s="18"/>
      <c r="N2447" s="18"/>
      <c r="O2447" s="18"/>
      <c r="P2447" s="18"/>
      <c r="Q2447" s="18"/>
    </row>
    <row r="2448" spans="1:17">
      <c r="A2448" s="18"/>
      <c r="B2448" s="18"/>
      <c r="C2448" s="18"/>
      <c r="D2448" s="18"/>
      <c r="E2448" s="18"/>
      <c r="F2448" s="18"/>
      <c r="G2448" s="18"/>
      <c r="H2448" s="18"/>
      <c r="I2448" s="18"/>
      <c r="J2448" s="18"/>
      <c r="K2448" s="18"/>
      <c r="L2448" s="18"/>
      <c r="M2448" s="18"/>
      <c r="N2448" s="18"/>
      <c r="O2448" s="18"/>
      <c r="P2448" s="18"/>
      <c r="Q2448" s="18"/>
    </row>
    <row r="2449" spans="1:17">
      <c r="A2449" s="18"/>
      <c r="B2449" s="18"/>
      <c r="C2449" s="18"/>
      <c r="D2449" s="18"/>
      <c r="E2449" s="18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8"/>
    </row>
    <row r="2450" spans="1:17">
      <c r="A2450" s="18"/>
      <c r="B2450" s="18"/>
      <c r="C2450" s="18"/>
      <c r="D2450" s="18"/>
      <c r="E2450" s="18"/>
      <c r="F2450" s="18"/>
      <c r="G2450" s="18"/>
      <c r="H2450" s="18"/>
      <c r="I2450" s="18"/>
      <c r="J2450" s="18"/>
      <c r="K2450" s="18"/>
      <c r="L2450" s="18"/>
      <c r="M2450" s="18"/>
      <c r="N2450" s="18"/>
      <c r="O2450" s="18"/>
      <c r="P2450" s="18"/>
      <c r="Q2450" s="18"/>
    </row>
    <row r="2451" spans="1:17">
      <c r="A2451" s="18"/>
      <c r="B2451" s="18"/>
      <c r="C2451" s="18"/>
      <c r="D2451" s="18"/>
      <c r="E2451" s="18"/>
      <c r="F2451" s="18"/>
      <c r="G2451" s="18"/>
      <c r="H2451" s="18"/>
      <c r="I2451" s="18"/>
      <c r="J2451" s="18"/>
      <c r="K2451" s="18"/>
      <c r="L2451" s="18"/>
      <c r="M2451" s="18"/>
      <c r="N2451" s="18"/>
      <c r="O2451" s="18"/>
      <c r="P2451" s="18"/>
      <c r="Q2451" s="18"/>
    </row>
    <row r="2452" spans="1:17">
      <c r="A2452" s="18"/>
      <c r="B2452" s="18"/>
      <c r="C2452" s="18"/>
      <c r="D2452" s="18"/>
      <c r="E2452" s="18"/>
      <c r="F2452" s="18"/>
      <c r="G2452" s="18"/>
      <c r="H2452" s="18"/>
      <c r="I2452" s="18"/>
      <c r="J2452" s="18"/>
      <c r="K2452" s="18"/>
      <c r="L2452" s="18"/>
      <c r="M2452" s="18"/>
      <c r="N2452" s="18"/>
      <c r="O2452" s="18"/>
      <c r="P2452" s="18"/>
      <c r="Q2452" s="18"/>
    </row>
    <row r="2453" spans="1:17">
      <c r="A2453" s="18"/>
      <c r="B2453" s="18"/>
      <c r="C2453" s="18"/>
      <c r="D2453" s="18"/>
      <c r="E2453" s="18"/>
      <c r="F2453" s="18"/>
      <c r="G2453" s="18"/>
      <c r="H2453" s="18"/>
      <c r="I2453" s="18"/>
      <c r="J2453" s="18"/>
      <c r="K2453" s="18"/>
      <c r="L2453" s="18"/>
      <c r="M2453" s="18"/>
      <c r="N2453" s="18"/>
      <c r="O2453" s="18"/>
      <c r="P2453" s="18"/>
      <c r="Q2453" s="18"/>
    </row>
    <row r="2454" spans="1:17">
      <c r="A2454" s="149"/>
      <c r="B2454" s="18"/>
      <c r="C2454" s="18"/>
      <c r="D2454" s="18"/>
      <c r="E2454" s="18"/>
      <c r="F2454" s="18"/>
      <c r="G2454" s="18"/>
      <c r="H2454" s="18"/>
      <c r="I2454" s="18"/>
      <c r="J2454" s="18"/>
      <c r="K2454" s="18"/>
      <c r="L2454" s="18"/>
      <c r="M2454" s="18"/>
      <c r="N2454" s="18"/>
      <c r="O2454" s="18"/>
      <c r="P2454" s="18"/>
      <c r="Q2454" s="18"/>
    </row>
    <row r="2455" spans="1:17">
      <c r="A2455" s="18"/>
      <c r="B2455" s="18"/>
      <c r="C2455" s="18"/>
      <c r="D2455" s="18"/>
      <c r="E2455" s="18"/>
      <c r="F2455" s="18"/>
      <c r="G2455" s="18"/>
      <c r="H2455" s="18"/>
      <c r="I2455" s="18"/>
      <c r="J2455" s="18"/>
      <c r="K2455" s="18"/>
      <c r="L2455" s="18"/>
      <c r="M2455" s="18"/>
      <c r="N2455" s="18"/>
      <c r="O2455" s="18"/>
      <c r="P2455" s="18"/>
      <c r="Q2455" s="18"/>
    </row>
    <row r="2456" spans="1:17">
      <c r="A2456" s="18"/>
      <c r="B2456" s="18"/>
      <c r="C2456" s="18"/>
      <c r="D2456" s="18"/>
      <c r="E2456" s="18"/>
      <c r="F2456" s="18"/>
      <c r="G2456" s="18"/>
      <c r="H2456" s="18"/>
      <c r="I2456" s="18"/>
      <c r="J2456" s="18"/>
      <c r="K2456" s="18"/>
      <c r="L2456" s="18"/>
      <c r="M2456" s="18"/>
      <c r="N2456" s="18"/>
      <c r="O2456" s="18"/>
      <c r="P2456" s="18"/>
      <c r="Q2456" s="18"/>
    </row>
    <row r="2457" spans="1:17">
      <c r="A2457" s="149"/>
      <c r="B2457" s="18"/>
      <c r="C2457" s="18"/>
      <c r="D2457" s="18"/>
      <c r="E2457" s="18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8"/>
    </row>
    <row r="2458" spans="1:17">
      <c r="A2458" s="18"/>
      <c r="B2458" s="18"/>
      <c r="C2458" s="18"/>
      <c r="D2458" s="18"/>
      <c r="E2458" s="18"/>
      <c r="F2458" s="18"/>
      <c r="G2458" s="18"/>
      <c r="H2458" s="18"/>
      <c r="I2458" s="18"/>
      <c r="J2458" s="18"/>
      <c r="K2458" s="18"/>
      <c r="L2458" s="18"/>
      <c r="M2458" s="18"/>
      <c r="N2458" s="18"/>
      <c r="O2458" s="18"/>
      <c r="P2458" s="18"/>
      <c r="Q2458" s="18"/>
    </row>
    <row r="2459" spans="1:17">
      <c r="A2459" s="18"/>
      <c r="B2459" s="18"/>
      <c r="C2459" s="18"/>
      <c r="D2459" s="18"/>
      <c r="E2459" s="18"/>
      <c r="F2459" s="18"/>
      <c r="G2459" s="18"/>
      <c r="H2459" s="18"/>
      <c r="I2459" s="18"/>
      <c r="J2459" s="18"/>
      <c r="K2459" s="18"/>
      <c r="L2459" s="18"/>
      <c r="M2459" s="18"/>
      <c r="N2459" s="18"/>
      <c r="O2459" s="18"/>
      <c r="P2459" s="18"/>
      <c r="Q2459" s="18"/>
    </row>
    <row r="2460" spans="1:17">
      <c r="A2460" s="149"/>
      <c r="B2460" s="18"/>
      <c r="C2460" s="18"/>
      <c r="D2460" s="18"/>
      <c r="E2460" s="18"/>
      <c r="F2460" s="18"/>
      <c r="G2460" s="18"/>
      <c r="H2460" s="18"/>
      <c r="I2460" s="18"/>
      <c r="J2460" s="18"/>
      <c r="K2460" s="18"/>
      <c r="L2460" s="18"/>
      <c r="M2460" s="18"/>
      <c r="N2460" s="18"/>
      <c r="O2460" s="18"/>
      <c r="P2460" s="18"/>
      <c r="Q2460" s="18"/>
    </row>
    <row r="2461" spans="1:17">
      <c r="A2461" s="25"/>
      <c r="B2461" s="18"/>
      <c r="C2461" s="18"/>
      <c r="D2461" s="18"/>
      <c r="E2461" s="18"/>
      <c r="F2461" s="18"/>
      <c r="G2461" s="18"/>
      <c r="H2461" s="18"/>
      <c r="I2461" s="18"/>
      <c r="J2461" s="18"/>
      <c r="K2461" s="18"/>
      <c r="L2461" s="18"/>
      <c r="M2461" s="18"/>
      <c r="N2461" s="18"/>
      <c r="O2461" s="18"/>
      <c r="P2461" s="18"/>
      <c r="Q2461" s="18"/>
    </row>
    <row r="2462" spans="1:17">
      <c r="A2462" s="18"/>
      <c r="B2462" s="18"/>
      <c r="C2462" s="18"/>
      <c r="D2462" s="18"/>
      <c r="E2462" s="18"/>
      <c r="F2462" s="18"/>
      <c r="G2462" s="18"/>
      <c r="H2462" s="18"/>
      <c r="I2462" s="18"/>
      <c r="J2462" s="18"/>
      <c r="K2462" s="18"/>
      <c r="L2462" s="18"/>
      <c r="M2462" s="18"/>
      <c r="N2462" s="18"/>
      <c r="O2462" s="18"/>
      <c r="P2462" s="18"/>
      <c r="Q2462" s="18"/>
    </row>
    <row r="2463" spans="1:17">
      <c r="A2463" s="18"/>
      <c r="B2463" s="18"/>
      <c r="C2463" s="18"/>
      <c r="D2463" s="18"/>
      <c r="E2463" s="18"/>
      <c r="F2463" s="18"/>
      <c r="G2463" s="18"/>
      <c r="H2463" s="18"/>
      <c r="I2463" s="18"/>
      <c r="J2463" s="18"/>
      <c r="K2463" s="18"/>
      <c r="L2463" s="18"/>
      <c r="M2463" s="18"/>
      <c r="N2463" s="18"/>
      <c r="O2463" s="18"/>
      <c r="P2463" s="18"/>
      <c r="Q2463" s="18"/>
    </row>
    <row r="2464" spans="1:17">
      <c r="A2464" s="18"/>
      <c r="B2464" s="18"/>
      <c r="C2464" s="18"/>
      <c r="D2464" s="18"/>
      <c r="E2464" s="18"/>
      <c r="F2464" s="18"/>
      <c r="G2464" s="18"/>
      <c r="H2464" s="18"/>
      <c r="I2464" s="18"/>
      <c r="J2464" s="18"/>
      <c r="K2464" s="18"/>
      <c r="L2464" s="18"/>
      <c r="M2464" s="18"/>
      <c r="N2464" s="18"/>
      <c r="O2464" s="18"/>
      <c r="P2464" s="18"/>
      <c r="Q2464" s="18"/>
    </row>
    <row r="2465" spans="1:17">
      <c r="A2465" s="149"/>
      <c r="B2465" s="18"/>
      <c r="C2465" s="18"/>
      <c r="D2465" s="18"/>
      <c r="E2465" s="18"/>
      <c r="F2465" s="18"/>
      <c r="G2465" s="18"/>
      <c r="H2465" s="18"/>
      <c r="I2465" s="18"/>
      <c r="J2465" s="18"/>
      <c r="K2465" s="18"/>
      <c r="L2465" s="18"/>
      <c r="M2465" s="18"/>
      <c r="N2465" s="18"/>
      <c r="O2465" s="18"/>
      <c r="P2465" s="18"/>
      <c r="Q2465" s="18"/>
    </row>
    <row r="2466" spans="1:17">
      <c r="A2466" s="18"/>
      <c r="B2466" s="18"/>
      <c r="C2466" s="18"/>
      <c r="D2466" s="18"/>
      <c r="E2466" s="18"/>
      <c r="F2466" s="18"/>
      <c r="G2466" s="18"/>
      <c r="H2466" s="18"/>
      <c r="I2466" s="18"/>
      <c r="J2466" s="18"/>
      <c r="K2466" s="18"/>
      <c r="L2466" s="18"/>
      <c r="M2466" s="18"/>
      <c r="N2466" s="18"/>
      <c r="O2466" s="18"/>
      <c r="P2466" s="18"/>
      <c r="Q2466" s="18"/>
    </row>
    <row r="2467" spans="1:17">
      <c r="A2467" s="149"/>
      <c r="B2467" s="18"/>
      <c r="C2467" s="18"/>
      <c r="D2467" s="18"/>
      <c r="E2467" s="18"/>
      <c r="F2467" s="18"/>
      <c r="G2467" s="18"/>
      <c r="H2467" s="18"/>
      <c r="I2467" s="18"/>
      <c r="J2467" s="18"/>
      <c r="K2467" s="18"/>
      <c r="L2467" s="18"/>
      <c r="M2467" s="18"/>
      <c r="N2467" s="18"/>
      <c r="O2467" s="18"/>
      <c r="P2467" s="18"/>
      <c r="Q2467" s="18"/>
    </row>
    <row r="2468" spans="1:17">
      <c r="A2468" s="18"/>
      <c r="B2468" s="18"/>
      <c r="C2468" s="18"/>
      <c r="D2468" s="18"/>
      <c r="E2468" s="18"/>
      <c r="F2468" s="18"/>
      <c r="G2468" s="18"/>
      <c r="H2468" s="18"/>
      <c r="I2468" s="18"/>
      <c r="J2468" s="18"/>
      <c r="K2468" s="18"/>
      <c r="L2468" s="18"/>
      <c r="M2468" s="18"/>
      <c r="N2468" s="18"/>
      <c r="O2468" s="18"/>
      <c r="P2468" s="18"/>
      <c r="Q2468" s="18"/>
    </row>
    <row r="2469" spans="1:17">
      <c r="A2469" s="18"/>
      <c r="B2469" s="18"/>
      <c r="C2469" s="18"/>
      <c r="D2469" s="18"/>
      <c r="E2469" s="18"/>
      <c r="F2469" s="18"/>
      <c r="G2469" s="18"/>
      <c r="H2469" s="18"/>
      <c r="I2469" s="18"/>
      <c r="J2469" s="18"/>
      <c r="K2469" s="18"/>
      <c r="L2469" s="18"/>
      <c r="M2469" s="18"/>
      <c r="N2469" s="18"/>
      <c r="O2469" s="18"/>
      <c r="P2469" s="18"/>
      <c r="Q2469" s="18"/>
    </row>
    <row r="2470" spans="1:17">
      <c r="A2470" s="18"/>
      <c r="B2470" s="18"/>
      <c r="C2470" s="18"/>
      <c r="D2470" s="18"/>
      <c r="E2470" s="18"/>
      <c r="F2470" s="18"/>
      <c r="G2470" s="18"/>
      <c r="H2470" s="18"/>
      <c r="I2470" s="18"/>
      <c r="J2470" s="18"/>
      <c r="K2470" s="18"/>
      <c r="L2470" s="18"/>
      <c r="M2470" s="18"/>
      <c r="N2470" s="18"/>
      <c r="O2470" s="18"/>
      <c r="P2470" s="18"/>
      <c r="Q2470" s="18"/>
    </row>
    <row r="2471" spans="1:17">
      <c r="A2471" s="18"/>
      <c r="B2471" s="18"/>
      <c r="C2471" s="18"/>
      <c r="D2471" s="18"/>
      <c r="E2471" s="18"/>
      <c r="F2471" s="18"/>
      <c r="G2471" s="18"/>
      <c r="H2471" s="18"/>
      <c r="I2471" s="18"/>
      <c r="J2471" s="18"/>
      <c r="K2471" s="18"/>
      <c r="L2471" s="18"/>
      <c r="M2471" s="18"/>
      <c r="N2471" s="18"/>
      <c r="O2471" s="18"/>
      <c r="P2471" s="18"/>
      <c r="Q2471" s="18"/>
    </row>
    <row r="2472" spans="1:17">
      <c r="A2472" s="18"/>
      <c r="B2472" s="18"/>
      <c r="C2472" s="18"/>
      <c r="D2472" s="18"/>
      <c r="E2472" s="18"/>
      <c r="F2472" s="18"/>
      <c r="G2472" s="18"/>
      <c r="H2472" s="18"/>
      <c r="I2472" s="18"/>
      <c r="J2472" s="18"/>
      <c r="K2472" s="18"/>
      <c r="L2472" s="18"/>
      <c r="M2472" s="18"/>
      <c r="N2472" s="18"/>
      <c r="O2472" s="18"/>
      <c r="P2472" s="18"/>
      <c r="Q2472" s="18"/>
    </row>
    <row r="2473" spans="1:17">
      <c r="A2473" s="149"/>
      <c r="B2473" s="18"/>
      <c r="C2473" s="18"/>
      <c r="D2473" s="18"/>
      <c r="E2473" s="18"/>
      <c r="F2473" s="18"/>
      <c r="G2473" s="18"/>
      <c r="H2473" s="18"/>
      <c r="I2473" s="18"/>
      <c r="J2473" s="18"/>
      <c r="K2473" s="18"/>
      <c r="L2473" s="18"/>
      <c r="M2473" s="18"/>
      <c r="N2473" s="18"/>
      <c r="O2473" s="18"/>
      <c r="P2473" s="18"/>
      <c r="Q2473" s="18"/>
    </row>
    <row r="2474" spans="1:17">
      <c r="A2474" s="18"/>
      <c r="B2474" s="18"/>
      <c r="C2474" s="18"/>
      <c r="D2474" s="18"/>
      <c r="E2474" s="18"/>
      <c r="F2474" s="18"/>
      <c r="G2474" s="18"/>
      <c r="H2474" s="18"/>
      <c r="I2474" s="18"/>
      <c r="J2474" s="18"/>
      <c r="K2474" s="18"/>
      <c r="L2474" s="18"/>
      <c r="M2474" s="18"/>
      <c r="N2474" s="18"/>
      <c r="O2474" s="18"/>
      <c r="P2474" s="18"/>
      <c r="Q2474" s="18"/>
    </row>
    <row r="2475" spans="1:17">
      <c r="A2475" s="1155"/>
      <c r="B2475" s="18"/>
      <c r="C2475" s="18"/>
      <c r="D2475" s="18"/>
      <c r="E2475" s="18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8"/>
    </row>
    <row r="2476" spans="1:17">
      <c r="A2476" s="1155"/>
      <c r="B2476" s="18"/>
      <c r="C2476" s="18"/>
      <c r="D2476" s="18"/>
      <c r="E2476" s="18"/>
      <c r="F2476" s="18"/>
      <c r="G2476" s="18"/>
      <c r="H2476" s="18"/>
      <c r="I2476" s="18"/>
      <c r="J2476" s="18"/>
      <c r="K2476" s="18"/>
      <c r="L2476" s="18"/>
      <c r="M2476" s="18"/>
      <c r="N2476" s="18"/>
      <c r="O2476" s="18"/>
      <c r="P2476" s="18"/>
      <c r="Q2476" s="18"/>
    </row>
    <row r="2477" spans="1:17">
      <c r="A2477" s="1155"/>
      <c r="B2477" s="18"/>
      <c r="C2477" s="18"/>
      <c r="D2477" s="18"/>
      <c r="E2477" s="18"/>
      <c r="F2477" s="18"/>
      <c r="G2477" s="18"/>
      <c r="H2477" s="18"/>
      <c r="I2477" s="18"/>
      <c r="J2477" s="18"/>
      <c r="K2477" s="18"/>
      <c r="L2477" s="18"/>
      <c r="M2477" s="18"/>
      <c r="N2477" s="18"/>
      <c r="O2477" s="18"/>
      <c r="P2477" s="18"/>
      <c r="Q2477" s="18"/>
    </row>
    <row r="2478" spans="1:17">
      <c r="A2478" s="1155"/>
      <c r="B2478" s="18"/>
      <c r="C2478" s="18"/>
      <c r="D2478" s="18"/>
      <c r="E2478" s="18"/>
      <c r="F2478" s="18"/>
      <c r="G2478" s="18"/>
      <c r="H2478" s="18"/>
      <c r="I2478" s="18"/>
      <c r="J2478" s="18"/>
      <c r="K2478" s="18"/>
      <c r="L2478" s="18"/>
      <c r="M2478" s="18"/>
      <c r="N2478" s="18"/>
      <c r="O2478" s="18"/>
      <c r="P2478" s="18"/>
      <c r="Q2478" s="18"/>
    </row>
    <row r="2479" spans="1:17">
      <c r="A2479" s="1155"/>
      <c r="B2479" s="18"/>
      <c r="C2479" s="18"/>
      <c r="D2479" s="18"/>
      <c r="E2479" s="18"/>
      <c r="F2479" s="18"/>
      <c r="G2479" s="18"/>
      <c r="H2479" s="18"/>
      <c r="I2479" s="18"/>
      <c r="J2479" s="18"/>
      <c r="K2479" s="18"/>
      <c r="L2479" s="18"/>
      <c r="M2479" s="18"/>
      <c r="N2479" s="18"/>
      <c r="O2479" s="18"/>
      <c r="P2479" s="18"/>
      <c r="Q2479" s="18"/>
    </row>
    <row r="2480" spans="1:17">
      <c r="A2480" s="1155"/>
      <c r="B2480" s="18"/>
      <c r="C2480" s="18"/>
      <c r="D2480" s="18"/>
      <c r="E2480" s="18"/>
      <c r="F2480" s="18"/>
      <c r="G2480" s="18"/>
      <c r="H2480" s="18"/>
      <c r="I2480" s="18"/>
      <c r="J2480" s="18"/>
      <c r="K2480" s="18"/>
      <c r="L2480" s="18"/>
      <c r="M2480" s="18"/>
      <c r="N2480" s="18"/>
      <c r="O2480" s="18"/>
      <c r="P2480" s="18"/>
      <c r="Q2480" s="18"/>
    </row>
    <row r="2481" spans="1:17">
      <c r="A2481" s="1155"/>
      <c r="B2481" s="18"/>
      <c r="C2481" s="18"/>
      <c r="D2481" s="18"/>
      <c r="E2481" s="18"/>
      <c r="F2481" s="18"/>
      <c r="G2481" s="18"/>
      <c r="H2481" s="18"/>
      <c r="I2481" s="18"/>
      <c r="J2481" s="18"/>
      <c r="K2481" s="18"/>
      <c r="L2481" s="18"/>
      <c r="M2481" s="18"/>
      <c r="N2481" s="18"/>
      <c r="O2481" s="18"/>
      <c r="P2481" s="18"/>
      <c r="Q2481" s="18"/>
    </row>
    <row r="2482" spans="1:17">
      <c r="A2482" s="1155"/>
      <c r="B2482" s="18"/>
      <c r="C2482" s="18"/>
      <c r="D2482" s="18"/>
      <c r="E2482" s="18"/>
      <c r="F2482" s="18"/>
      <c r="G2482" s="18"/>
      <c r="H2482" s="18"/>
      <c r="I2482" s="18"/>
      <c r="J2482" s="18"/>
      <c r="K2482" s="18"/>
      <c r="L2482" s="18"/>
      <c r="M2482" s="18"/>
      <c r="N2482" s="18"/>
      <c r="O2482" s="18"/>
      <c r="P2482" s="18"/>
      <c r="Q2482" s="18"/>
    </row>
    <row r="2483" spans="1:17">
      <c r="A2483" s="1155"/>
      <c r="B2483" s="18"/>
      <c r="C2483" s="18"/>
      <c r="D2483" s="18"/>
      <c r="E2483" s="18"/>
      <c r="F2483" s="18"/>
      <c r="G2483" s="18"/>
      <c r="H2483" s="18"/>
      <c r="I2483" s="18"/>
      <c r="J2483" s="18"/>
      <c r="K2483" s="18"/>
      <c r="L2483" s="18"/>
      <c r="M2483" s="18"/>
      <c r="N2483" s="18"/>
      <c r="O2483" s="18"/>
      <c r="P2483" s="18"/>
      <c r="Q2483" s="18"/>
    </row>
    <row r="2484" spans="1:17">
      <c r="A2484" s="1155"/>
      <c r="B2484" s="18"/>
      <c r="C2484" s="18"/>
      <c r="D2484" s="18"/>
      <c r="E2484" s="18"/>
      <c r="F2484" s="18"/>
      <c r="G2484" s="18"/>
      <c r="H2484" s="18"/>
      <c r="I2484" s="18"/>
      <c r="J2484" s="18"/>
      <c r="K2484" s="18"/>
      <c r="L2484" s="18"/>
      <c r="M2484" s="18"/>
      <c r="N2484" s="18"/>
      <c r="O2484" s="18"/>
      <c r="P2484" s="18"/>
      <c r="Q2484" s="18"/>
    </row>
    <row r="2485" spans="1:17">
      <c r="A2485" s="1155"/>
      <c r="B2485" s="18"/>
      <c r="C2485" s="18"/>
      <c r="D2485" s="18"/>
      <c r="E2485" s="18"/>
      <c r="F2485" s="18"/>
      <c r="G2485" s="18"/>
      <c r="H2485" s="18"/>
      <c r="I2485" s="18"/>
      <c r="J2485" s="18"/>
      <c r="K2485" s="18"/>
      <c r="L2485" s="18"/>
      <c r="M2485" s="18"/>
      <c r="N2485" s="18"/>
      <c r="O2485" s="18"/>
      <c r="P2485" s="18"/>
      <c r="Q2485" s="18"/>
    </row>
    <row r="2486" spans="1:17">
      <c r="A2486" s="1155"/>
      <c r="B2486" s="18"/>
      <c r="C2486" s="18"/>
      <c r="D2486" s="18"/>
      <c r="E2486" s="18"/>
      <c r="F2486" s="18"/>
      <c r="G2486" s="18"/>
      <c r="H2486" s="18"/>
      <c r="I2486" s="18"/>
      <c r="J2486" s="18"/>
      <c r="K2486" s="18"/>
      <c r="L2486" s="18"/>
      <c r="M2486" s="18"/>
      <c r="N2486" s="18"/>
      <c r="O2486" s="18"/>
      <c r="P2486" s="18"/>
      <c r="Q2486" s="18"/>
    </row>
    <row r="2487" spans="1:17">
      <c r="A2487" s="1155"/>
      <c r="B2487" s="18"/>
      <c r="C2487" s="18"/>
      <c r="D2487" s="18"/>
      <c r="E2487" s="18"/>
      <c r="F2487" s="18"/>
      <c r="G2487" s="18"/>
      <c r="H2487" s="18"/>
      <c r="I2487" s="18"/>
      <c r="J2487" s="18"/>
      <c r="K2487" s="18"/>
      <c r="L2487" s="18"/>
      <c r="M2487" s="18"/>
      <c r="N2487" s="18"/>
      <c r="O2487" s="18"/>
      <c r="P2487" s="18"/>
      <c r="Q2487" s="18"/>
    </row>
    <row r="2488" spans="1:17">
      <c r="A2488" s="1155"/>
      <c r="B2488" s="18"/>
      <c r="C2488" s="18"/>
      <c r="D2488" s="18"/>
      <c r="E2488" s="18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8"/>
    </row>
    <row r="2489" spans="1:17">
      <c r="A2489" s="1155"/>
      <c r="B2489" s="18"/>
      <c r="C2489" s="18"/>
      <c r="D2489" s="18"/>
      <c r="E2489" s="18"/>
      <c r="F2489" s="18"/>
      <c r="G2489" s="18"/>
      <c r="H2489" s="18"/>
      <c r="I2489" s="18"/>
      <c r="J2489" s="18"/>
      <c r="K2489" s="18"/>
      <c r="L2489" s="18"/>
      <c r="M2489" s="18"/>
      <c r="N2489" s="18"/>
      <c r="O2489" s="18"/>
      <c r="P2489" s="18"/>
      <c r="Q2489" s="18"/>
    </row>
    <row r="2490" spans="1:17">
      <c r="A2490" s="1155"/>
      <c r="B2490" s="18"/>
      <c r="C2490" s="18"/>
      <c r="D2490" s="18"/>
      <c r="E2490" s="18"/>
      <c r="F2490" s="18"/>
      <c r="G2490" s="18"/>
      <c r="H2490" s="18"/>
      <c r="I2490" s="18"/>
      <c r="J2490" s="18"/>
      <c r="K2490" s="18"/>
      <c r="L2490" s="18"/>
      <c r="M2490" s="18"/>
      <c r="N2490" s="18"/>
      <c r="O2490" s="18"/>
      <c r="P2490" s="18"/>
      <c r="Q2490" s="18"/>
    </row>
    <row r="2491" spans="1:17">
      <c r="A2491" s="18"/>
      <c r="B2491" s="18"/>
      <c r="C2491" s="18"/>
      <c r="D2491" s="18"/>
      <c r="E2491" s="18"/>
      <c r="F2491" s="18"/>
      <c r="G2491" s="18"/>
      <c r="H2491" s="18"/>
      <c r="I2491" s="18"/>
      <c r="J2491" s="18"/>
      <c r="K2491" s="18"/>
      <c r="L2491" s="18"/>
      <c r="M2491" s="18"/>
      <c r="N2491" s="18"/>
      <c r="O2491" s="18"/>
      <c r="P2491" s="18"/>
      <c r="Q2491" s="18"/>
    </row>
    <row r="2492" spans="1:17">
      <c r="A2492" s="18"/>
      <c r="B2492" s="18"/>
      <c r="C2492" s="18"/>
      <c r="D2492" s="18"/>
      <c r="E2492" s="18"/>
      <c r="F2492" s="18"/>
      <c r="G2492" s="18"/>
      <c r="H2492" s="18"/>
      <c r="I2492" s="18"/>
      <c r="J2492" s="18"/>
      <c r="K2492" s="18"/>
      <c r="L2492" s="18"/>
      <c r="M2492" s="18"/>
      <c r="N2492" s="18"/>
      <c r="O2492" s="18"/>
      <c r="P2492" s="18"/>
      <c r="Q2492" s="18"/>
    </row>
    <row r="2493" spans="1:17">
      <c r="A2493" s="18"/>
      <c r="B2493" s="18"/>
      <c r="C2493" s="18"/>
      <c r="D2493" s="18"/>
      <c r="E2493" s="18"/>
      <c r="F2493" s="18"/>
      <c r="G2493" s="18"/>
      <c r="H2493" s="18"/>
      <c r="I2493" s="18"/>
      <c r="J2493" s="18"/>
      <c r="K2493" s="18"/>
      <c r="L2493" s="18"/>
      <c r="M2493" s="18"/>
      <c r="N2493" s="18"/>
      <c r="O2493" s="18"/>
      <c r="P2493" s="18"/>
      <c r="Q2493" s="18"/>
    </row>
    <row r="2494" spans="1:17">
      <c r="A2494" s="18"/>
      <c r="B2494" s="18"/>
      <c r="C2494" s="18"/>
      <c r="D2494" s="18"/>
      <c r="E2494" s="18"/>
      <c r="F2494" s="18"/>
      <c r="G2494" s="18"/>
      <c r="H2494" s="18"/>
      <c r="I2494" s="18"/>
      <c r="J2494" s="18"/>
      <c r="K2494" s="18"/>
      <c r="L2494" s="18"/>
      <c r="M2494" s="18"/>
      <c r="N2494" s="18"/>
      <c r="O2494" s="18"/>
      <c r="P2494" s="18"/>
      <c r="Q2494" s="18"/>
    </row>
    <row r="2495" spans="1:17">
      <c r="A2495" s="18"/>
      <c r="B2495" s="18"/>
      <c r="C2495" s="18"/>
      <c r="D2495" s="18"/>
      <c r="E2495" s="18"/>
      <c r="F2495" s="18"/>
      <c r="G2495" s="18"/>
      <c r="H2495" s="18"/>
      <c r="I2495" s="18"/>
      <c r="J2495" s="18"/>
      <c r="K2495" s="18"/>
      <c r="L2495" s="18"/>
      <c r="M2495" s="18"/>
      <c r="N2495" s="18"/>
      <c r="O2495" s="18"/>
      <c r="P2495" s="18"/>
      <c r="Q2495" s="18"/>
    </row>
    <row r="2496" spans="1:17">
      <c r="A2496" s="18"/>
      <c r="B2496" s="18"/>
      <c r="C2496" s="18"/>
      <c r="D2496" s="18"/>
      <c r="E2496" s="18"/>
      <c r="F2496" s="18"/>
      <c r="G2496" s="18"/>
      <c r="H2496" s="18"/>
      <c r="I2496" s="18"/>
      <c r="J2496" s="18"/>
      <c r="K2496" s="18"/>
      <c r="L2496" s="18"/>
      <c r="M2496" s="18"/>
      <c r="N2496" s="18"/>
      <c r="O2496" s="18"/>
      <c r="P2496" s="18"/>
      <c r="Q2496" s="18"/>
    </row>
    <row r="2497" spans="1:17">
      <c r="A2497" s="18"/>
      <c r="B2497" s="18"/>
      <c r="C2497" s="18"/>
      <c r="D2497" s="18"/>
      <c r="E2497" s="18"/>
      <c r="F2497" s="18"/>
      <c r="G2497" s="18"/>
      <c r="H2497" s="18"/>
      <c r="I2497" s="18"/>
      <c r="J2497" s="18"/>
      <c r="K2497" s="18"/>
      <c r="L2497" s="18"/>
      <c r="M2497" s="18"/>
      <c r="N2497" s="18"/>
      <c r="O2497" s="18"/>
      <c r="P2497" s="18"/>
      <c r="Q2497" s="18"/>
    </row>
    <row r="2498" spans="1:17">
      <c r="A2498" s="18"/>
      <c r="B2498" s="18"/>
      <c r="C2498" s="18"/>
      <c r="D2498" s="18"/>
      <c r="E2498" s="18"/>
      <c r="F2498" s="18"/>
      <c r="G2498" s="18"/>
      <c r="H2498" s="18"/>
      <c r="I2498" s="18"/>
      <c r="J2498" s="18"/>
      <c r="K2498" s="18"/>
      <c r="L2498" s="18"/>
      <c r="M2498" s="18"/>
      <c r="N2498" s="18"/>
      <c r="O2498" s="18"/>
      <c r="P2498" s="18"/>
      <c r="Q2498" s="18"/>
    </row>
    <row r="2499" spans="1:17">
      <c r="A2499" s="18"/>
      <c r="B2499" s="18"/>
      <c r="C2499" s="18"/>
      <c r="D2499" s="18"/>
      <c r="E2499" s="18"/>
      <c r="F2499" s="18"/>
      <c r="G2499" s="18"/>
      <c r="H2499" s="18"/>
      <c r="I2499" s="18"/>
      <c r="J2499" s="18"/>
      <c r="K2499" s="18"/>
      <c r="L2499" s="18"/>
      <c r="M2499" s="18"/>
      <c r="N2499" s="18"/>
      <c r="O2499" s="18"/>
      <c r="P2499" s="18"/>
      <c r="Q2499" s="18"/>
    </row>
    <row r="2500" spans="1:17">
      <c r="A2500" s="18"/>
      <c r="B2500" s="18"/>
      <c r="C2500" s="18"/>
      <c r="D2500" s="18"/>
      <c r="E2500" s="18"/>
      <c r="F2500" s="18"/>
      <c r="G2500" s="18"/>
      <c r="H2500" s="18"/>
      <c r="I2500" s="18"/>
      <c r="J2500" s="18"/>
      <c r="K2500" s="18"/>
      <c r="L2500" s="18"/>
      <c r="M2500" s="18"/>
      <c r="N2500" s="18"/>
      <c r="O2500" s="18"/>
      <c r="P2500" s="18"/>
      <c r="Q2500" s="18"/>
    </row>
    <row r="2501" spans="1:17">
      <c r="A2501" s="18"/>
      <c r="B2501" s="18"/>
      <c r="C2501" s="18"/>
      <c r="D2501" s="18"/>
      <c r="E2501" s="18"/>
      <c r="F2501" s="18"/>
      <c r="G2501" s="18"/>
      <c r="H2501" s="18"/>
      <c r="I2501" s="18"/>
      <c r="J2501" s="18"/>
      <c r="K2501" s="18"/>
      <c r="L2501" s="18"/>
      <c r="M2501" s="18"/>
      <c r="N2501" s="18"/>
      <c r="O2501" s="18"/>
      <c r="P2501" s="18"/>
      <c r="Q2501" s="18"/>
    </row>
    <row r="2502" spans="1:17">
      <c r="A2502" s="18"/>
      <c r="B2502" s="18"/>
      <c r="C2502" s="18"/>
      <c r="D2502" s="18"/>
      <c r="E2502" s="18"/>
      <c r="F2502" s="18"/>
      <c r="G2502" s="18"/>
      <c r="H2502" s="18"/>
      <c r="I2502" s="18"/>
      <c r="J2502" s="18"/>
      <c r="K2502" s="18"/>
      <c r="L2502" s="18"/>
      <c r="M2502" s="18"/>
      <c r="N2502" s="18"/>
      <c r="O2502" s="18"/>
      <c r="P2502" s="18"/>
      <c r="Q2502" s="18"/>
    </row>
    <row r="2503" spans="1:17">
      <c r="A2503" s="18"/>
      <c r="B2503" s="18"/>
      <c r="C2503" s="18"/>
      <c r="D2503" s="18"/>
      <c r="E2503" s="18"/>
      <c r="F2503" s="18"/>
      <c r="G2503" s="18"/>
      <c r="H2503" s="18"/>
      <c r="I2503" s="18"/>
      <c r="J2503" s="18"/>
      <c r="K2503" s="18"/>
      <c r="L2503" s="18"/>
      <c r="M2503" s="18"/>
      <c r="N2503" s="18"/>
      <c r="O2503" s="18"/>
      <c r="P2503" s="18"/>
      <c r="Q2503" s="18"/>
    </row>
    <row r="2504" spans="1:17">
      <c r="A2504" s="18"/>
      <c r="B2504" s="18"/>
      <c r="C2504" s="18"/>
      <c r="D2504" s="18"/>
      <c r="E2504" s="18"/>
      <c r="F2504" s="18"/>
      <c r="G2504" s="18"/>
      <c r="H2504" s="18"/>
      <c r="I2504" s="18"/>
      <c r="J2504" s="18"/>
      <c r="K2504" s="18"/>
      <c r="L2504" s="18"/>
      <c r="M2504" s="18"/>
      <c r="N2504" s="18"/>
      <c r="O2504" s="18"/>
      <c r="P2504" s="18"/>
      <c r="Q2504" s="18"/>
    </row>
    <row r="2505" spans="1:17">
      <c r="A2505" s="18"/>
      <c r="B2505" s="18"/>
      <c r="C2505" s="18"/>
      <c r="D2505" s="18"/>
      <c r="E2505" s="18"/>
      <c r="F2505" s="18"/>
      <c r="G2505" s="18"/>
      <c r="H2505" s="18"/>
      <c r="I2505" s="18"/>
      <c r="J2505" s="18"/>
      <c r="K2505" s="18"/>
      <c r="L2505" s="18"/>
      <c r="M2505" s="18"/>
      <c r="N2505" s="18"/>
      <c r="O2505" s="18"/>
      <c r="P2505" s="18"/>
      <c r="Q2505" s="18"/>
    </row>
    <row r="2506" spans="1:17">
      <c r="A2506" s="18"/>
      <c r="B2506" s="18"/>
      <c r="C2506" s="18"/>
      <c r="D2506" s="18"/>
      <c r="E2506" s="18"/>
      <c r="F2506" s="18"/>
      <c r="G2506" s="18"/>
      <c r="H2506" s="18"/>
      <c r="I2506" s="18"/>
      <c r="J2506" s="18"/>
      <c r="K2506" s="18"/>
      <c r="L2506" s="18"/>
      <c r="M2506" s="18"/>
      <c r="N2506" s="18"/>
      <c r="O2506" s="18"/>
      <c r="P2506" s="18"/>
      <c r="Q2506" s="18"/>
    </row>
    <row r="2507" spans="1:17">
      <c r="A2507" s="18"/>
      <c r="B2507" s="18"/>
      <c r="C2507" s="18"/>
      <c r="D2507" s="18"/>
      <c r="E2507" s="18"/>
      <c r="F2507" s="18"/>
      <c r="G2507" s="18"/>
      <c r="H2507" s="18"/>
      <c r="I2507" s="18"/>
      <c r="J2507" s="18"/>
      <c r="K2507" s="18"/>
      <c r="L2507" s="18"/>
      <c r="M2507" s="18"/>
      <c r="N2507" s="18"/>
      <c r="O2507" s="18"/>
      <c r="P2507" s="18"/>
      <c r="Q2507" s="18"/>
    </row>
    <row r="2508" spans="1:17">
      <c r="A2508" s="18"/>
      <c r="B2508" s="18"/>
      <c r="C2508" s="18"/>
      <c r="D2508" s="18"/>
      <c r="E2508" s="18"/>
      <c r="F2508" s="18"/>
      <c r="G2508" s="18"/>
      <c r="H2508" s="18"/>
      <c r="I2508" s="18"/>
      <c r="J2508" s="18"/>
      <c r="K2508" s="18"/>
      <c r="L2508" s="18"/>
      <c r="M2508" s="18"/>
      <c r="N2508" s="18"/>
      <c r="O2508" s="18"/>
      <c r="P2508" s="18"/>
      <c r="Q2508" s="18"/>
    </row>
    <row r="2509" spans="1:17">
      <c r="A2509" s="18"/>
      <c r="B2509" s="18"/>
      <c r="C2509" s="18"/>
      <c r="D2509" s="18"/>
      <c r="E2509" s="18"/>
      <c r="F2509" s="18"/>
      <c r="G2509" s="18"/>
      <c r="H2509" s="18"/>
      <c r="I2509" s="18"/>
      <c r="J2509" s="18"/>
      <c r="K2509" s="18"/>
      <c r="L2509" s="18"/>
      <c r="M2509" s="18"/>
      <c r="N2509" s="18"/>
      <c r="O2509" s="18"/>
      <c r="P2509" s="18"/>
      <c r="Q2509" s="18"/>
    </row>
    <row r="2510" spans="1:17">
      <c r="A2510" s="149"/>
      <c r="B2510" s="18"/>
      <c r="C2510" s="18"/>
      <c r="D2510" s="18"/>
      <c r="E2510" s="18"/>
      <c r="F2510" s="18"/>
      <c r="G2510" s="18"/>
      <c r="H2510" s="18"/>
      <c r="I2510" s="18"/>
      <c r="J2510" s="18"/>
      <c r="K2510" s="18"/>
      <c r="L2510" s="18"/>
      <c r="M2510" s="18"/>
      <c r="N2510" s="18"/>
      <c r="O2510" s="18"/>
      <c r="P2510" s="18"/>
      <c r="Q2510" s="18"/>
    </row>
    <row r="2511" spans="1:17">
      <c r="A2511" s="18"/>
      <c r="B2511" s="18"/>
      <c r="C2511" s="18"/>
      <c r="D2511" s="18"/>
      <c r="E2511" s="18"/>
      <c r="F2511" s="18"/>
      <c r="G2511" s="18"/>
      <c r="H2511" s="18"/>
      <c r="I2511" s="18"/>
      <c r="J2511" s="18"/>
      <c r="K2511" s="18"/>
      <c r="L2511" s="18"/>
      <c r="M2511" s="18"/>
      <c r="N2511" s="18"/>
      <c r="O2511" s="18"/>
      <c r="P2511" s="18"/>
      <c r="Q2511" s="18"/>
    </row>
    <row r="2512" spans="1:17">
      <c r="A2512" s="149"/>
      <c r="B2512" s="18"/>
      <c r="C2512" s="18"/>
      <c r="D2512" s="18"/>
      <c r="E2512" s="18"/>
      <c r="F2512" s="18"/>
      <c r="G2512" s="18"/>
      <c r="H2512" s="18"/>
      <c r="I2512" s="18"/>
      <c r="J2512" s="18"/>
      <c r="K2512" s="18"/>
      <c r="L2512" s="18"/>
      <c r="M2512" s="18"/>
      <c r="N2512" s="18"/>
      <c r="O2512" s="18"/>
      <c r="P2512" s="18"/>
      <c r="Q2512" s="18"/>
    </row>
    <row r="2513" spans="1:17">
      <c r="A2513" s="18"/>
      <c r="B2513" s="18"/>
      <c r="C2513" s="18"/>
      <c r="D2513" s="18"/>
      <c r="E2513" s="18"/>
      <c r="F2513" s="18"/>
      <c r="G2513" s="18"/>
      <c r="H2513" s="18"/>
      <c r="I2513" s="18"/>
      <c r="J2513" s="18"/>
      <c r="K2513" s="18"/>
      <c r="L2513" s="18"/>
      <c r="M2513" s="18"/>
      <c r="N2513" s="18"/>
      <c r="O2513" s="18"/>
      <c r="P2513" s="18"/>
      <c r="Q2513" s="18"/>
    </row>
    <row r="2514" spans="1:17">
      <c r="A2514" s="149"/>
      <c r="B2514" s="18"/>
      <c r="C2514" s="18"/>
      <c r="D2514" s="18"/>
      <c r="E2514" s="18"/>
      <c r="F2514" s="18"/>
      <c r="G2514" s="18"/>
      <c r="H2514" s="18"/>
      <c r="I2514" s="18"/>
      <c r="J2514" s="18"/>
      <c r="K2514" s="18"/>
      <c r="L2514" s="18"/>
      <c r="M2514" s="18"/>
      <c r="N2514" s="18"/>
      <c r="O2514" s="18"/>
      <c r="P2514" s="18"/>
      <c r="Q2514" s="18"/>
    </row>
    <row r="2515" spans="1:17">
      <c r="A2515" s="18"/>
      <c r="B2515" s="18"/>
      <c r="C2515" s="18"/>
      <c r="D2515" s="18"/>
      <c r="E2515" s="18"/>
      <c r="F2515" s="18"/>
      <c r="G2515" s="18"/>
      <c r="H2515" s="18"/>
      <c r="I2515" s="18"/>
      <c r="J2515" s="18"/>
      <c r="K2515" s="18"/>
      <c r="L2515" s="18"/>
      <c r="M2515" s="18"/>
      <c r="N2515" s="18"/>
      <c r="O2515" s="18"/>
      <c r="P2515" s="18"/>
      <c r="Q2515" s="18"/>
    </row>
    <row r="2516" spans="1:17">
      <c r="A2516" s="18"/>
      <c r="B2516" s="18"/>
      <c r="C2516" s="18"/>
      <c r="D2516" s="18"/>
      <c r="E2516" s="18"/>
      <c r="F2516" s="18"/>
      <c r="G2516" s="18"/>
      <c r="H2516" s="18"/>
      <c r="I2516" s="18"/>
      <c r="J2516" s="18"/>
      <c r="K2516" s="18"/>
      <c r="L2516" s="18"/>
      <c r="M2516" s="18"/>
      <c r="N2516" s="18"/>
      <c r="O2516" s="18"/>
      <c r="P2516" s="18"/>
      <c r="Q2516" s="18"/>
    </row>
    <row r="2517" spans="1:17">
      <c r="A2517" s="149"/>
      <c r="B2517" s="18"/>
      <c r="C2517" s="18"/>
      <c r="D2517" s="18"/>
      <c r="E2517" s="18"/>
      <c r="F2517" s="18"/>
      <c r="G2517" s="18"/>
      <c r="H2517" s="18"/>
      <c r="I2517" s="18"/>
      <c r="J2517" s="18"/>
      <c r="K2517" s="18"/>
      <c r="L2517" s="18"/>
      <c r="M2517" s="18"/>
      <c r="N2517" s="18"/>
      <c r="O2517" s="18"/>
      <c r="P2517" s="18"/>
      <c r="Q2517" s="18"/>
    </row>
    <row r="2518" spans="1:17">
      <c r="A2518" s="149"/>
      <c r="B2518" s="149"/>
      <c r="C2518" s="149"/>
      <c r="D2518" s="149"/>
      <c r="E2518" s="149"/>
      <c r="F2518" s="149"/>
      <c r="G2518" s="149"/>
      <c r="H2518" s="149"/>
      <c r="I2518" s="18"/>
      <c r="J2518" s="18"/>
      <c r="K2518" s="18"/>
      <c r="L2518" s="18"/>
      <c r="M2518" s="18"/>
      <c r="N2518" s="18"/>
      <c r="O2518" s="18"/>
      <c r="P2518" s="18"/>
      <c r="Q2518" s="18"/>
    </row>
    <row r="2519" spans="1:17">
      <c r="A2519" s="18"/>
      <c r="B2519" s="18"/>
      <c r="C2519" s="18"/>
      <c r="D2519" s="18"/>
      <c r="E2519" s="18"/>
      <c r="F2519" s="18"/>
      <c r="G2519" s="18"/>
      <c r="H2519" s="18"/>
      <c r="I2519" s="18"/>
      <c r="J2519" s="18"/>
      <c r="K2519" s="18"/>
      <c r="L2519" s="18"/>
      <c r="M2519" s="18"/>
      <c r="N2519" s="18"/>
      <c r="O2519" s="18"/>
      <c r="P2519" s="18"/>
      <c r="Q2519" s="18"/>
    </row>
    <row r="2520" spans="1:17">
      <c r="A2520" s="18"/>
      <c r="B2520" s="18"/>
      <c r="C2520" s="18"/>
      <c r="D2520" s="18"/>
      <c r="E2520" s="18"/>
      <c r="F2520" s="18"/>
      <c r="G2520" s="18"/>
      <c r="H2520" s="18"/>
      <c r="I2520" s="18"/>
      <c r="J2520" s="18"/>
      <c r="K2520" s="18"/>
      <c r="L2520" s="18"/>
      <c r="M2520" s="18"/>
      <c r="N2520" s="18"/>
      <c r="O2520" s="18"/>
      <c r="P2520" s="18"/>
      <c r="Q2520" s="18"/>
    </row>
    <row r="2521" spans="1:17">
      <c r="A2521" s="18"/>
      <c r="B2521" s="18"/>
      <c r="C2521" s="18"/>
      <c r="D2521" s="18"/>
      <c r="E2521" s="18"/>
      <c r="F2521" s="18"/>
      <c r="G2521" s="18"/>
      <c r="H2521" s="18"/>
      <c r="I2521" s="18"/>
      <c r="J2521" s="18"/>
      <c r="K2521" s="18"/>
      <c r="L2521" s="18"/>
      <c r="M2521" s="18"/>
      <c r="N2521" s="18"/>
      <c r="O2521" s="18"/>
      <c r="P2521" s="18"/>
      <c r="Q2521" s="18"/>
    </row>
    <row r="2522" spans="1:17">
      <c r="A2522" s="18"/>
      <c r="B2522" s="18"/>
      <c r="C2522" s="18"/>
      <c r="D2522" s="18"/>
      <c r="E2522" s="18"/>
      <c r="F2522" s="18"/>
      <c r="G2522" s="18"/>
      <c r="H2522" s="18"/>
      <c r="I2522" s="18"/>
      <c r="J2522" s="18"/>
      <c r="K2522" s="18"/>
      <c r="L2522" s="18"/>
      <c r="M2522" s="18"/>
      <c r="N2522" s="18"/>
      <c r="O2522" s="18"/>
      <c r="P2522" s="18"/>
      <c r="Q2522" s="18"/>
    </row>
    <row r="2523" spans="1:17">
      <c r="A2523" s="18"/>
      <c r="B2523" s="18"/>
      <c r="C2523" s="18"/>
      <c r="D2523" s="18"/>
      <c r="E2523" s="18"/>
      <c r="F2523" s="18"/>
      <c r="G2523" s="18"/>
      <c r="H2523" s="18"/>
      <c r="I2523" s="18"/>
      <c r="J2523" s="18"/>
      <c r="K2523" s="18"/>
      <c r="L2523" s="18"/>
      <c r="M2523" s="18"/>
      <c r="N2523" s="18"/>
      <c r="O2523" s="18"/>
      <c r="P2523" s="18"/>
      <c r="Q2523" s="18"/>
    </row>
    <row r="2524" spans="1:17">
      <c r="A2524" s="18"/>
      <c r="B2524" s="150"/>
      <c r="C2524" s="150"/>
      <c r="D2524" s="150"/>
      <c r="E2524" s="18"/>
      <c r="F2524" s="18"/>
      <c r="G2524" s="18"/>
      <c r="H2524" s="18"/>
      <c r="I2524" s="18"/>
      <c r="J2524" s="18"/>
      <c r="K2524" s="18"/>
      <c r="L2524" s="18"/>
      <c r="M2524" s="18"/>
      <c r="N2524" s="18"/>
      <c r="O2524" s="18"/>
      <c r="P2524" s="18"/>
      <c r="Q2524" s="18"/>
    </row>
    <row r="2525" spans="1:17">
      <c r="A2525" s="18"/>
      <c r="B2525" s="150"/>
      <c r="C2525" s="150"/>
      <c r="D2525" s="150"/>
      <c r="E2525" s="18"/>
      <c r="F2525" s="18"/>
      <c r="G2525" s="18"/>
      <c r="H2525" s="18"/>
      <c r="I2525" s="18"/>
      <c r="J2525" s="18"/>
      <c r="K2525" s="18"/>
      <c r="L2525" s="18"/>
      <c r="M2525" s="18"/>
      <c r="N2525" s="18"/>
      <c r="O2525" s="18"/>
      <c r="P2525" s="18"/>
      <c r="Q2525" s="18"/>
    </row>
    <row r="2526" spans="1:17">
      <c r="A2526" s="18"/>
      <c r="B2526" s="150"/>
      <c r="C2526" s="1156"/>
      <c r="D2526" s="1156"/>
      <c r="E2526" s="18"/>
      <c r="F2526" s="18"/>
      <c r="G2526" s="18"/>
      <c r="H2526" s="18"/>
      <c r="I2526" s="18"/>
      <c r="J2526" s="18"/>
      <c r="K2526" s="18"/>
      <c r="L2526" s="18"/>
      <c r="M2526" s="18"/>
      <c r="N2526" s="18"/>
      <c r="O2526" s="18"/>
      <c r="P2526" s="18"/>
      <c r="Q2526" s="18"/>
    </row>
    <row r="2527" spans="1:17">
      <c r="A2527" s="18"/>
      <c r="B2527" s="150"/>
      <c r="C2527" s="150"/>
      <c r="D2527" s="150"/>
      <c r="E2527" s="149"/>
      <c r="F2527" s="18"/>
      <c r="G2527" s="18"/>
      <c r="H2527" s="18"/>
      <c r="I2527" s="18"/>
      <c r="J2527" s="18"/>
      <c r="K2527" s="18"/>
      <c r="L2527" s="18"/>
      <c r="M2527" s="18"/>
      <c r="N2527" s="18"/>
      <c r="O2527" s="18"/>
      <c r="P2527" s="18"/>
      <c r="Q2527" s="18"/>
    </row>
    <row r="2528" spans="1:17">
      <c r="A2528" s="18"/>
      <c r="B2528" s="18"/>
      <c r="C2528" s="18"/>
      <c r="D2528" s="18"/>
      <c r="E2528" s="18"/>
      <c r="F2528" s="18"/>
      <c r="G2528" s="18"/>
      <c r="H2528" s="18"/>
      <c r="I2528" s="18"/>
      <c r="J2528" s="18"/>
      <c r="K2528" s="18"/>
      <c r="L2528" s="18"/>
      <c r="M2528" s="18"/>
      <c r="N2528" s="18"/>
      <c r="O2528" s="18"/>
      <c r="P2528" s="18"/>
      <c r="Q2528" s="18"/>
    </row>
    <row r="2529" spans="1:17">
      <c r="A2529" s="149"/>
      <c r="B2529" s="18"/>
      <c r="C2529" s="18"/>
      <c r="D2529" s="18"/>
      <c r="E2529" s="18"/>
      <c r="F2529" s="18"/>
      <c r="G2529" s="18"/>
      <c r="H2529" s="18"/>
      <c r="I2529" s="18"/>
      <c r="J2529" s="18"/>
      <c r="K2529" s="18"/>
      <c r="L2529" s="18"/>
      <c r="M2529" s="18"/>
      <c r="N2529" s="18"/>
      <c r="O2529" s="18"/>
      <c r="P2529" s="18"/>
      <c r="Q2529" s="18"/>
    </row>
    <row r="2530" spans="1:17">
      <c r="A2530" s="149"/>
      <c r="B2530" s="18"/>
      <c r="C2530" s="18"/>
      <c r="D2530" s="18"/>
      <c r="E2530" s="18"/>
      <c r="F2530" s="18"/>
      <c r="G2530" s="18"/>
      <c r="H2530" s="18"/>
      <c r="I2530" s="18"/>
      <c r="J2530" s="18"/>
      <c r="K2530" s="18"/>
      <c r="L2530" s="18"/>
      <c r="M2530" s="18"/>
      <c r="N2530" s="18"/>
      <c r="O2530" s="18"/>
      <c r="P2530" s="18"/>
      <c r="Q2530" s="18"/>
    </row>
    <row r="2531" spans="1:17">
      <c r="A2531" s="18"/>
      <c r="B2531" s="18"/>
      <c r="C2531" s="18"/>
      <c r="D2531" s="18"/>
      <c r="E2531" s="18"/>
      <c r="F2531" s="18"/>
      <c r="G2531" s="18"/>
      <c r="H2531" s="18"/>
      <c r="I2531" s="18"/>
      <c r="J2531" s="18"/>
      <c r="K2531" s="18"/>
      <c r="L2531" s="18"/>
      <c r="M2531" s="18"/>
      <c r="N2531" s="18"/>
      <c r="O2531" s="18"/>
      <c r="P2531" s="18"/>
      <c r="Q2531" s="18"/>
    </row>
    <row r="2532" spans="1:17">
      <c r="A2532" s="18"/>
      <c r="B2532" s="18"/>
      <c r="C2532" s="18"/>
      <c r="D2532" s="18"/>
      <c r="E2532" s="18"/>
      <c r="F2532" s="18"/>
      <c r="G2532" s="18"/>
      <c r="H2532" s="18"/>
      <c r="I2532" s="18"/>
      <c r="J2532" s="18"/>
      <c r="K2532" s="18"/>
      <c r="L2532" s="18"/>
      <c r="M2532" s="18"/>
      <c r="N2532" s="18"/>
      <c r="O2532" s="18"/>
      <c r="P2532" s="18"/>
      <c r="Q2532" s="18"/>
    </row>
    <row r="2533" spans="1:17">
      <c r="A2533" s="18"/>
      <c r="B2533" s="18"/>
      <c r="C2533" s="18"/>
      <c r="D2533" s="18"/>
      <c r="E2533" s="18"/>
      <c r="F2533" s="18"/>
      <c r="G2533" s="18"/>
      <c r="H2533" s="18"/>
      <c r="I2533" s="18"/>
      <c r="J2533" s="18"/>
      <c r="K2533" s="18"/>
      <c r="L2533" s="18"/>
      <c r="M2533" s="18"/>
      <c r="N2533" s="18"/>
      <c r="O2533" s="18"/>
      <c r="P2533" s="18"/>
      <c r="Q2533" s="18"/>
    </row>
    <row r="2534" spans="1:17">
      <c r="A2534" s="18"/>
      <c r="B2534" s="18"/>
      <c r="C2534" s="18"/>
      <c r="D2534" s="18"/>
      <c r="E2534" s="149"/>
      <c r="F2534" s="18"/>
      <c r="G2534" s="18"/>
      <c r="H2534" s="18"/>
      <c r="I2534" s="18"/>
      <c r="J2534" s="18"/>
      <c r="K2534" s="18"/>
      <c r="L2534" s="18"/>
      <c r="M2534" s="18"/>
      <c r="N2534" s="18"/>
      <c r="O2534" s="18"/>
      <c r="P2534" s="18"/>
      <c r="Q2534" s="18"/>
    </row>
    <row r="2535" spans="1:17">
      <c r="A2535" s="18"/>
      <c r="B2535" s="18"/>
      <c r="C2535" s="18"/>
      <c r="D2535" s="18"/>
      <c r="E2535" s="18"/>
      <c r="F2535" s="18"/>
      <c r="G2535" s="18"/>
      <c r="H2535" s="18"/>
      <c r="I2535" s="18"/>
      <c r="J2535" s="18"/>
      <c r="K2535" s="18"/>
      <c r="L2535" s="18"/>
      <c r="M2535" s="18"/>
      <c r="N2535" s="18"/>
      <c r="O2535" s="18"/>
      <c r="P2535" s="18"/>
      <c r="Q2535" s="18"/>
    </row>
    <row r="2536" spans="1:17">
      <c r="A2536" s="18"/>
      <c r="B2536" s="18"/>
      <c r="C2536" s="18"/>
      <c r="D2536" s="18"/>
      <c r="E2536" s="18"/>
      <c r="F2536" s="18"/>
      <c r="G2536" s="18"/>
      <c r="H2536" s="18"/>
      <c r="I2536" s="18"/>
      <c r="J2536" s="18"/>
      <c r="K2536" s="18"/>
      <c r="L2536" s="18"/>
      <c r="M2536" s="18"/>
      <c r="N2536" s="18"/>
      <c r="O2536" s="18"/>
      <c r="P2536" s="18"/>
      <c r="Q2536" s="18"/>
    </row>
    <row r="2537" spans="1:17">
      <c r="A2537" s="18"/>
      <c r="B2537" s="18"/>
      <c r="C2537" s="18"/>
      <c r="D2537" s="18"/>
      <c r="E2537" s="18"/>
      <c r="F2537" s="18"/>
      <c r="G2537" s="18"/>
      <c r="H2537" s="18"/>
      <c r="I2537" s="18"/>
      <c r="J2537" s="18"/>
      <c r="K2537" s="18"/>
      <c r="L2537" s="18"/>
      <c r="M2537" s="18"/>
      <c r="N2537" s="18"/>
      <c r="O2537" s="18"/>
      <c r="P2537" s="18"/>
      <c r="Q2537" s="18"/>
    </row>
    <row r="2538" spans="1:17">
      <c r="A2538" s="18"/>
      <c r="B2538" s="18"/>
      <c r="C2538" s="18"/>
      <c r="D2538" s="18"/>
      <c r="E2538" s="18"/>
      <c r="F2538" s="18"/>
      <c r="G2538" s="18"/>
      <c r="H2538" s="18"/>
      <c r="I2538" s="18"/>
      <c r="J2538" s="18"/>
      <c r="K2538" s="18"/>
      <c r="L2538" s="18"/>
      <c r="M2538" s="18"/>
      <c r="N2538" s="18"/>
      <c r="O2538" s="18"/>
      <c r="P2538" s="18"/>
      <c r="Q2538" s="18"/>
    </row>
    <row r="2539" spans="1:17">
      <c r="A2539" s="150"/>
      <c r="B2539" s="150"/>
      <c r="C2539" s="150"/>
      <c r="D2539" s="150"/>
      <c r="E2539" s="18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8"/>
    </row>
    <row r="2540" spans="1:17">
      <c r="A2540" s="150"/>
      <c r="B2540" s="150"/>
      <c r="C2540" s="150"/>
      <c r="D2540" s="150"/>
      <c r="E2540" s="18"/>
      <c r="F2540" s="18"/>
      <c r="G2540" s="18"/>
      <c r="H2540" s="18"/>
      <c r="I2540" s="18"/>
      <c r="J2540" s="18"/>
      <c r="K2540" s="18"/>
      <c r="L2540" s="18"/>
      <c r="M2540" s="18"/>
      <c r="N2540" s="18"/>
      <c r="O2540" s="18"/>
      <c r="P2540" s="18"/>
      <c r="Q2540" s="18"/>
    </row>
    <row r="2541" spans="1:17">
      <c r="A2541" s="150"/>
      <c r="B2541" s="150"/>
      <c r="C2541" s="150"/>
      <c r="D2541" s="150"/>
      <c r="E2541" s="18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8"/>
    </row>
    <row r="2542" spans="1:17">
      <c r="A2542" s="150"/>
      <c r="B2542" s="150"/>
      <c r="C2542" s="150"/>
      <c r="D2542" s="150"/>
      <c r="E2542" s="149"/>
      <c r="F2542" s="18"/>
      <c r="G2542" s="18"/>
      <c r="H2542" s="18"/>
      <c r="I2542" s="18"/>
      <c r="J2542" s="18"/>
      <c r="K2542" s="18"/>
      <c r="L2542" s="18"/>
      <c r="M2542" s="18"/>
      <c r="N2542" s="18"/>
      <c r="O2542" s="18"/>
      <c r="P2542" s="18"/>
      <c r="Q2542" s="18"/>
    </row>
    <row r="2543" spans="1:17">
      <c r="A2543" s="18"/>
      <c r="B2543" s="18"/>
      <c r="C2543" s="18"/>
      <c r="D2543" s="18"/>
      <c r="E2543" s="18"/>
      <c r="F2543" s="18"/>
      <c r="G2543" s="18"/>
      <c r="H2543" s="18"/>
      <c r="I2543" s="18"/>
      <c r="J2543" s="18"/>
      <c r="K2543" s="18"/>
      <c r="L2543" s="18"/>
      <c r="M2543" s="18"/>
      <c r="N2543" s="18"/>
      <c r="O2543" s="18"/>
      <c r="P2543" s="18"/>
      <c r="Q2543" s="18"/>
    </row>
    <row r="2544" spans="1:17">
      <c r="A2544" s="18"/>
      <c r="B2544" s="18"/>
      <c r="C2544" s="18"/>
      <c r="D2544" s="18"/>
      <c r="E2544" s="18"/>
      <c r="F2544" s="149"/>
      <c r="G2544" s="18"/>
      <c r="H2544" s="18"/>
      <c r="I2544" s="18"/>
      <c r="J2544" s="18"/>
      <c r="K2544" s="18"/>
      <c r="L2544" s="18"/>
      <c r="M2544" s="18"/>
      <c r="N2544" s="18"/>
      <c r="O2544" s="18"/>
      <c r="P2544" s="18"/>
      <c r="Q2544" s="18"/>
    </row>
    <row r="2545" spans="1:17">
      <c r="A2545" s="18"/>
      <c r="B2545" s="18"/>
      <c r="C2545" s="18"/>
      <c r="D2545" s="18"/>
      <c r="E2545" s="18"/>
      <c r="F2545" s="18"/>
      <c r="G2545" s="18"/>
      <c r="H2545" s="18"/>
      <c r="I2545" s="18"/>
      <c r="J2545" s="18"/>
      <c r="K2545" s="18"/>
      <c r="L2545" s="18"/>
      <c r="M2545" s="18"/>
      <c r="N2545" s="18"/>
      <c r="O2545" s="18"/>
      <c r="P2545" s="18"/>
      <c r="Q2545" s="18"/>
    </row>
    <row r="2546" spans="1:17">
      <c r="A2546" s="149"/>
      <c r="B2546" s="18"/>
      <c r="C2546" s="18"/>
      <c r="D2546" s="18"/>
      <c r="E2546" s="18"/>
      <c r="F2546" s="18"/>
      <c r="G2546" s="18"/>
      <c r="H2546" s="18"/>
      <c r="I2546" s="18"/>
      <c r="J2546" s="18"/>
      <c r="K2546" s="18"/>
      <c r="L2546" s="18"/>
      <c r="M2546" s="18"/>
      <c r="N2546" s="18"/>
      <c r="O2546" s="18"/>
      <c r="P2546" s="18"/>
      <c r="Q2546" s="18"/>
    </row>
    <row r="2547" spans="1:17">
      <c r="A2547" s="18"/>
      <c r="B2547" s="18"/>
      <c r="C2547" s="18"/>
      <c r="D2547" s="18"/>
      <c r="E2547" s="18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8"/>
    </row>
    <row r="2548" spans="1:17">
      <c r="A2548" s="18"/>
      <c r="B2548" s="18"/>
      <c r="C2548" s="18"/>
      <c r="D2548" s="18"/>
      <c r="E2548" s="18"/>
      <c r="F2548" s="18"/>
      <c r="G2548" s="18"/>
      <c r="H2548" s="18"/>
      <c r="I2548" s="18"/>
      <c r="J2548" s="18"/>
      <c r="K2548" s="18"/>
      <c r="L2548" s="18"/>
      <c r="M2548" s="18"/>
      <c r="N2548" s="18"/>
      <c r="O2548" s="18"/>
      <c r="P2548" s="18"/>
      <c r="Q2548" s="18"/>
    </row>
    <row r="2549" spans="1:17">
      <c r="A2549" s="18"/>
      <c r="B2549" s="18"/>
      <c r="C2549" s="18"/>
      <c r="D2549" s="18"/>
      <c r="E2549" s="18"/>
      <c r="F2549" s="18"/>
      <c r="G2549" s="18"/>
      <c r="H2549" s="18"/>
      <c r="I2549" s="18"/>
      <c r="J2549" s="18"/>
      <c r="K2549" s="18"/>
      <c r="L2549" s="18"/>
      <c r="M2549" s="18"/>
      <c r="N2549" s="18"/>
      <c r="O2549" s="18"/>
      <c r="P2549" s="18"/>
      <c r="Q2549" s="18"/>
    </row>
    <row r="2550" spans="1:17">
      <c r="A2550" s="18"/>
      <c r="B2550" s="18"/>
      <c r="C2550" s="18"/>
      <c r="D2550" s="18"/>
      <c r="E2550" s="18"/>
      <c r="F2550" s="18"/>
      <c r="G2550" s="18"/>
      <c r="H2550" s="18"/>
      <c r="I2550" s="18"/>
      <c r="J2550" s="18"/>
      <c r="K2550" s="18"/>
      <c r="L2550" s="18"/>
      <c r="M2550" s="18"/>
      <c r="N2550" s="18"/>
      <c r="O2550" s="18"/>
      <c r="P2550" s="18"/>
      <c r="Q2550" s="18"/>
    </row>
    <row r="2551" spans="1:17">
      <c r="A2551" s="18"/>
      <c r="B2551" s="18"/>
      <c r="C2551" s="18"/>
      <c r="D2551" s="18"/>
      <c r="E2551" s="18"/>
      <c r="F2551" s="18"/>
      <c r="G2551" s="18"/>
      <c r="H2551" s="18"/>
      <c r="I2551" s="18"/>
      <c r="J2551" s="18"/>
      <c r="K2551" s="18"/>
      <c r="L2551" s="18"/>
      <c r="M2551" s="18"/>
      <c r="N2551" s="18"/>
      <c r="O2551" s="18"/>
      <c r="P2551" s="18"/>
      <c r="Q2551" s="18"/>
    </row>
    <row r="2552" spans="1:17">
      <c r="A2552" s="150"/>
      <c r="B2552" s="18"/>
      <c r="C2552" s="18"/>
      <c r="D2552" s="18"/>
      <c r="E2552" s="18"/>
      <c r="F2552" s="18"/>
      <c r="G2552" s="18"/>
      <c r="H2552" s="18"/>
      <c r="I2552" s="18"/>
      <c r="J2552" s="18"/>
      <c r="K2552" s="18"/>
      <c r="L2552" s="18"/>
      <c r="M2552" s="18"/>
      <c r="N2552" s="18"/>
      <c r="O2552" s="18"/>
      <c r="P2552" s="18"/>
      <c r="Q2552" s="18"/>
    </row>
    <row r="2553" spans="1:17">
      <c r="A2553" s="18"/>
      <c r="B2553" s="18"/>
      <c r="C2553" s="18"/>
      <c r="D2553" s="18"/>
      <c r="E2553" s="18"/>
      <c r="F2553" s="18"/>
      <c r="G2553" s="18"/>
      <c r="H2553" s="18"/>
      <c r="I2553" s="18"/>
      <c r="J2553" s="18"/>
      <c r="K2553" s="149"/>
      <c r="L2553" s="18"/>
      <c r="M2553" s="18"/>
      <c r="N2553" s="18"/>
      <c r="O2553" s="18"/>
      <c r="P2553" s="18"/>
      <c r="Q2553" s="18"/>
    </row>
    <row r="2554" spans="1:17">
      <c r="A2554" s="18"/>
      <c r="B2554" s="18"/>
      <c r="C2554" s="18"/>
      <c r="D2554" s="18"/>
      <c r="E2554" s="18"/>
      <c r="F2554" s="18"/>
      <c r="G2554" s="18"/>
      <c r="H2554" s="18"/>
      <c r="I2554" s="18"/>
      <c r="J2554" s="18"/>
      <c r="K2554" s="149"/>
      <c r="L2554" s="18"/>
      <c r="M2554" s="18"/>
      <c r="N2554" s="18"/>
      <c r="O2554" s="18"/>
      <c r="P2554" s="18"/>
      <c r="Q2554" s="18"/>
    </row>
    <row r="2555" spans="1:17">
      <c r="A2555" s="18"/>
      <c r="B2555" s="18"/>
      <c r="C2555" s="18"/>
      <c r="D2555" s="18"/>
      <c r="E2555" s="18"/>
      <c r="F2555" s="18"/>
      <c r="G2555" s="18"/>
      <c r="H2555" s="18"/>
      <c r="I2555" s="18"/>
      <c r="J2555" s="18"/>
      <c r="K2555" s="18"/>
      <c r="L2555" s="18"/>
      <c r="M2555" s="18"/>
      <c r="N2555" s="18"/>
      <c r="O2555" s="18"/>
      <c r="P2555" s="18"/>
      <c r="Q2555" s="18"/>
    </row>
    <row r="2556" spans="1:17">
      <c r="A2556" s="983"/>
      <c r="B2556" s="18"/>
      <c r="C2556" s="18"/>
      <c r="D2556" s="18"/>
      <c r="E2556" s="18"/>
      <c r="F2556" s="18"/>
      <c r="G2556" s="18"/>
      <c r="H2556" s="18"/>
      <c r="I2556" s="18"/>
      <c r="J2556" s="18"/>
      <c r="K2556" s="18"/>
      <c r="L2556" s="18"/>
      <c r="M2556" s="18"/>
      <c r="N2556" s="18"/>
      <c r="O2556" s="18"/>
      <c r="P2556" s="18"/>
      <c r="Q2556" s="18"/>
    </row>
    <row r="2557" spans="1:17">
      <c r="A2557" s="983"/>
      <c r="B2557" s="18"/>
      <c r="C2557" s="18"/>
      <c r="D2557" s="18"/>
      <c r="E2557" s="18"/>
      <c r="F2557" s="18"/>
      <c r="G2557" s="18"/>
      <c r="H2557" s="18"/>
      <c r="I2557" s="18"/>
      <c r="J2557" s="18"/>
      <c r="K2557" s="18"/>
      <c r="L2557" s="18"/>
      <c r="M2557" s="18"/>
      <c r="N2557" s="18"/>
      <c r="O2557" s="18"/>
      <c r="P2557" s="18"/>
      <c r="Q2557" s="18"/>
    </row>
    <row r="2558" spans="1:17">
      <c r="A2558" s="983"/>
      <c r="B2558" s="18"/>
      <c r="C2558" s="18"/>
      <c r="D2558" s="18"/>
      <c r="E2558" s="18"/>
      <c r="F2558" s="18"/>
      <c r="G2558" s="18"/>
      <c r="H2558" s="18"/>
      <c r="I2558" s="18"/>
      <c r="J2558" s="18"/>
      <c r="K2558" s="18"/>
      <c r="L2558" s="18"/>
      <c r="M2558" s="18"/>
      <c r="N2558" s="18"/>
      <c r="O2558" s="18"/>
      <c r="P2558" s="18"/>
      <c r="Q2558" s="18"/>
    </row>
    <row r="2559" spans="1:17">
      <c r="A2559" s="983"/>
      <c r="B2559" s="18"/>
      <c r="C2559" s="18"/>
      <c r="D2559" s="18"/>
      <c r="E2559" s="18"/>
      <c r="F2559" s="18"/>
      <c r="G2559" s="18"/>
      <c r="H2559" s="18"/>
      <c r="I2559" s="18"/>
      <c r="J2559" s="18"/>
      <c r="K2559" s="18"/>
      <c r="L2559" s="18"/>
      <c r="M2559" s="18"/>
      <c r="N2559" s="18"/>
      <c r="O2559" s="18"/>
      <c r="P2559" s="18"/>
      <c r="Q2559" s="18"/>
    </row>
    <row r="2560" spans="1:17">
      <c r="A2560" s="983"/>
      <c r="B2560" s="18"/>
      <c r="C2560" s="18"/>
      <c r="D2560" s="18"/>
      <c r="E2560" s="18"/>
      <c r="F2560" s="18"/>
      <c r="G2560" s="18"/>
      <c r="H2560" s="18"/>
      <c r="I2560" s="18"/>
      <c r="J2560" s="18"/>
      <c r="K2560" s="18"/>
      <c r="L2560" s="18"/>
      <c r="M2560" s="18"/>
      <c r="N2560" s="18"/>
      <c r="O2560" s="18"/>
      <c r="P2560" s="18"/>
      <c r="Q2560" s="18"/>
    </row>
    <row r="2561" spans="1:17">
      <c r="A2561" s="983"/>
      <c r="B2561" s="18"/>
      <c r="C2561" s="18"/>
      <c r="D2561" s="18"/>
      <c r="E2561" s="18"/>
      <c r="F2561" s="18"/>
      <c r="G2561" s="18"/>
      <c r="H2561" s="18"/>
      <c r="I2561" s="18"/>
      <c r="J2561" s="18"/>
      <c r="K2561" s="18"/>
      <c r="L2561" s="18"/>
      <c r="M2561" s="18"/>
      <c r="N2561" s="18"/>
      <c r="O2561" s="18"/>
      <c r="P2561" s="18"/>
      <c r="Q2561" s="18"/>
    </row>
    <row r="2562" spans="1:17">
      <c r="A2562" s="18"/>
      <c r="B2562" s="18"/>
      <c r="C2562" s="18"/>
      <c r="D2562" s="18"/>
      <c r="E2562" s="18"/>
      <c r="F2562" s="18"/>
      <c r="G2562" s="18"/>
      <c r="H2562" s="18"/>
      <c r="I2562" s="18"/>
      <c r="J2562" s="18"/>
      <c r="K2562" s="18"/>
      <c r="L2562" s="18"/>
      <c r="M2562" s="18"/>
      <c r="N2562" s="18"/>
      <c r="O2562" s="18"/>
      <c r="P2562" s="18"/>
      <c r="Q2562" s="18"/>
    </row>
    <row r="2563" spans="1:17">
      <c r="A2563" s="18"/>
      <c r="B2563" s="18"/>
      <c r="C2563" s="18"/>
      <c r="D2563" s="18"/>
      <c r="E2563" s="18"/>
      <c r="F2563" s="18"/>
      <c r="G2563" s="18"/>
      <c r="H2563" s="18"/>
      <c r="I2563" s="18"/>
      <c r="J2563" s="18"/>
      <c r="K2563" s="18"/>
      <c r="L2563" s="18"/>
      <c r="M2563" s="18"/>
      <c r="N2563" s="18"/>
      <c r="O2563" s="18"/>
      <c r="P2563" s="18"/>
      <c r="Q2563" s="18"/>
    </row>
    <row r="2564" spans="1:17">
      <c r="A2564" s="18"/>
      <c r="B2564" s="18"/>
      <c r="C2564" s="18"/>
      <c r="D2564" s="18"/>
      <c r="E2564" s="18"/>
      <c r="F2564" s="18"/>
      <c r="G2564" s="18"/>
      <c r="H2564" s="18"/>
      <c r="I2564" s="18"/>
      <c r="J2564" s="18"/>
      <c r="K2564" s="18"/>
      <c r="L2564" s="18"/>
      <c r="M2564" s="18"/>
      <c r="N2564" s="18"/>
      <c r="O2564" s="18"/>
      <c r="P2564" s="18"/>
      <c r="Q2564" s="18"/>
    </row>
    <row r="2565" spans="1:17">
      <c r="A2565" s="149"/>
      <c r="B2565" s="18"/>
      <c r="C2565" s="18"/>
      <c r="D2565" s="18"/>
      <c r="E2565" s="18"/>
      <c r="F2565" s="18"/>
      <c r="G2565" s="18"/>
      <c r="H2565" s="18"/>
      <c r="I2565" s="18"/>
      <c r="J2565" s="18"/>
      <c r="K2565" s="18"/>
      <c r="L2565" s="18"/>
      <c r="M2565" s="18"/>
      <c r="N2565" s="18"/>
      <c r="O2565" s="18"/>
      <c r="P2565" s="18"/>
      <c r="Q2565" s="18"/>
    </row>
    <row r="2566" spans="1:17">
      <c r="A2566" s="18"/>
      <c r="B2566" s="18"/>
      <c r="C2566" s="18"/>
      <c r="D2566" s="18"/>
      <c r="E2566" s="18"/>
      <c r="F2566" s="18"/>
      <c r="G2566" s="18"/>
      <c r="H2566" s="18"/>
      <c r="I2566" s="18"/>
      <c r="J2566" s="18"/>
      <c r="K2566" s="18"/>
      <c r="L2566" s="18"/>
      <c r="M2566" s="18"/>
      <c r="N2566" s="18"/>
      <c r="O2566" s="18"/>
      <c r="P2566" s="18"/>
      <c r="Q2566" s="18"/>
    </row>
    <row r="2567" spans="1:17">
      <c r="A2567" s="18"/>
      <c r="B2567" s="18"/>
      <c r="C2567" s="18"/>
      <c r="D2567" s="18"/>
      <c r="E2567" s="18"/>
      <c r="F2567" s="18"/>
      <c r="G2567" s="18"/>
      <c r="H2567" s="18"/>
      <c r="I2567" s="18"/>
      <c r="J2567" s="18"/>
      <c r="K2567" s="18"/>
      <c r="L2567" s="18"/>
      <c r="M2567" s="18"/>
      <c r="N2567" s="18"/>
      <c r="O2567" s="18"/>
      <c r="P2567" s="18"/>
      <c r="Q2567" s="18"/>
    </row>
    <row r="2568" spans="1:17">
      <c r="A2568" s="18"/>
      <c r="B2568" s="18"/>
      <c r="C2568" s="18"/>
      <c r="D2568" s="18"/>
      <c r="E2568" s="18"/>
      <c r="F2568" s="18"/>
      <c r="G2568" s="18"/>
      <c r="H2568" s="18"/>
      <c r="I2568" s="18"/>
      <c r="J2568" s="18"/>
      <c r="K2568" s="18"/>
      <c r="L2568" s="18"/>
      <c r="M2568" s="18"/>
      <c r="N2568" s="18"/>
      <c r="O2568" s="18"/>
      <c r="P2568" s="18"/>
      <c r="Q2568" s="18"/>
    </row>
    <row r="2569" spans="1:17">
      <c r="A2569" s="18"/>
      <c r="B2569" s="18"/>
      <c r="C2569" s="18"/>
      <c r="D2569" s="18"/>
      <c r="E2569" s="18"/>
      <c r="F2569" s="18"/>
      <c r="G2569" s="18"/>
      <c r="H2569" s="18"/>
      <c r="I2569" s="18"/>
      <c r="J2569" s="18"/>
      <c r="K2569" s="18"/>
      <c r="L2569" s="18"/>
      <c r="M2569" s="18"/>
      <c r="N2569" s="18"/>
      <c r="O2569" s="18"/>
      <c r="P2569" s="18"/>
      <c r="Q2569" s="18"/>
    </row>
    <row r="2570" spans="1:17">
      <c r="A2570" s="18"/>
      <c r="B2570" s="18"/>
      <c r="C2570" s="18"/>
      <c r="D2570" s="18"/>
      <c r="E2570" s="149"/>
      <c r="F2570" s="18"/>
      <c r="G2570" s="18"/>
      <c r="H2570" s="18"/>
      <c r="I2570" s="18"/>
      <c r="J2570" s="18"/>
      <c r="K2570" s="18"/>
      <c r="L2570" s="18"/>
      <c r="M2570" s="18"/>
      <c r="N2570" s="18"/>
      <c r="O2570" s="18"/>
      <c r="P2570" s="18"/>
      <c r="Q2570" s="18"/>
    </row>
    <row r="2571" spans="1:17">
      <c r="A2571" s="18"/>
      <c r="B2571" s="18"/>
      <c r="C2571" s="18"/>
      <c r="D2571" s="18"/>
      <c r="E2571" s="18"/>
      <c r="F2571" s="18"/>
      <c r="G2571" s="18"/>
      <c r="H2571" s="18"/>
      <c r="I2571" s="18"/>
      <c r="J2571" s="18"/>
      <c r="K2571" s="18"/>
      <c r="L2571" s="18"/>
      <c r="M2571" s="18"/>
      <c r="N2571" s="18"/>
      <c r="O2571" s="18"/>
      <c r="P2571" s="18"/>
      <c r="Q2571" s="18"/>
    </row>
    <row r="2572" spans="1:17">
      <c r="A2572" s="18"/>
      <c r="B2572" s="18"/>
      <c r="C2572" s="18"/>
      <c r="D2572" s="18"/>
      <c r="E2572" s="18"/>
      <c r="F2572" s="18"/>
      <c r="G2572" s="18"/>
      <c r="H2572" s="18"/>
      <c r="I2572" s="18"/>
      <c r="J2572" s="18"/>
      <c r="K2572" s="18"/>
      <c r="L2572" s="18"/>
      <c r="M2572" s="18"/>
      <c r="N2572" s="18"/>
      <c r="O2572" s="18"/>
      <c r="P2572" s="18"/>
      <c r="Q2572" s="18"/>
    </row>
    <row r="2573" spans="1:17">
      <c r="A2573" s="150"/>
      <c r="B2573" s="150"/>
      <c r="C2573" s="150"/>
      <c r="D2573" s="150"/>
      <c r="E2573" s="18"/>
      <c r="F2573" s="18"/>
      <c r="G2573" s="18"/>
      <c r="H2573" s="18"/>
      <c r="I2573" s="18"/>
      <c r="J2573" s="18"/>
      <c r="K2573" s="18"/>
      <c r="L2573" s="18"/>
      <c r="M2573" s="18"/>
      <c r="N2573" s="18"/>
      <c r="O2573" s="18"/>
      <c r="P2573" s="18"/>
      <c r="Q2573" s="18"/>
    </row>
    <row r="2574" spans="1:17">
      <c r="A2574" s="150"/>
      <c r="B2574" s="150"/>
      <c r="C2574" s="150"/>
      <c r="D2574" s="150"/>
      <c r="E2574" s="18"/>
      <c r="F2574" s="18"/>
      <c r="G2574" s="18"/>
      <c r="H2574" s="18"/>
      <c r="I2574" s="18"/>
      <c r="J2574" s="18"/>
      <c r="K2574" s="18"/>
      <c r="L2574" s="18"/>
      <c r="M2574" s="18"/>
      <c r="N2574" s="18"/>
      <c r="O2574" s="18"/>
      <c r="P2574" s="18"/>
      <c r="Q2574" s="18"/>
    </row>
    <row r="2575" spans="1:17">
      <c r="A2575" s="150"/>
      <c r="B2575" s="150"/>
      <c r="C2575" s="820"/>
      <c r="D2575" s="820"/>
      <c r="E2575" s="18"/>
      <c r="F2575" s="18"/>
      <c r="G2575" s="18"/>
      <c r="H2575" s="18"/>
      <c r="I2575" s="18"/>
      <c r="J2575" s="18"/>
      <c r="K2575" s="18"/>
      <c r="L2575" s="18"/>
      <c r="M2575" s="18"/>
      <c r="N2575" s="18"/>
      <c r="O2575" s="18"/>
      <c r="P2575" s="18"/>
      <c r="Q2575" s="18"/>
    </row>
    <row r="2576" spans="1:17">
      <c r="A2576" s="150"/>
      <c r="B2576" s="150"/>
      <c r="C2576" s="150"/>
      <c r="D2576" s="150"/>
      <c r="E2576" s="149"/>
      <c r="F2576" s="18"/>
      <c r="G2576" s="18"/>
      <c r="H2576" s="18"/>
      <c r="I2576" s="18"/>
      <c r="J2576" s="18"/>
      <c r="K2576" s="18"/>
      <c r="L2576" s="18"/>
      <c r="M2576" s="18"/>
      <c r="N2576" s="18"/>
      <c r="O2576" s="18"/>
      <c r="P2576" s="18"/>
      <c r="Q2576" s="18"/>
    </row>
    <row r="2577" spans="1:17">
      <c r="A2577" s="18"/>
      <c r="B2577" s="18"/>
      <c r="C2577" s="18"/>
      <c r="D2577" s="18"/>
      <c r="E2577" s="18"/>
      <c r="F2577" s="18"/>
      <c r="G2577" s="18"/>
      <c r="H2577" s="18"/>
      <c r="I2577" s="18"/>
      <c r="J2577" s="18"/>
      <c r="K2577" s="18"/>
      <c r="L2577" s="18"/>
      <c r="M2577" s="18"/>
      <c r="N2577" s="18"/>
      <c r="O2577" s="18"/>
      <c r="P2577" s="18"/>
      <c r="Q2577" s="18"/>
    </row>
    <row r="2578" spans="1:17">
      <c r="A2578" s="18"/>
      <c r="B2578" s="18"/>
      <c r="C2578" s="18"/>
      <c r="D2578" s="18"/>
      <c r="E2578" s="18"/>
      <c r="F2578" s="149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8"/>
    </row>
    <row r="2579" spans="1:17">
      <c r="A2579" s="18"/>
      <c r="B2579" s="18"/>
      <c r="C2579" s="18"/>
      <c r="D2579" s="18"/>
      <c r="E2579" s="18"/>
      <c r="F2579" s="18"/>
      <c r="G2579" s="18"/>
      <c r="H2579" s="18"/>
      <c r="I2579" s="18"/>
      <c r="J2579" s="18"/>
      <c r="K2579" s="18"/>
      <c r="L2579" s="18"/>
      <c r="M2579" s="18"/>
      <c r="N2579" s="18"/>
      <c r="O2579" s="18"/>
      <c r="P2579" s="18"/>
      <c r="Q2579" s="18"/>
    </row>
    <row r="2580" spans="1:17">
      <c r="A2580" s="18"/>
      <c r="B2580" s="18"/>
      <c r="C2580" s="18"/>
      <c r="D2580" s="18"/>
      <c r="E2580" s="18"/>
      <c r="F2580" s="18"/>
      <c r="G2580" s="18"/>
      <c r="H2580" s="18"/>
      <c r="I2580" s="18"/>
      <c r="J2580" s="18"/>
      <c r="K2580" s="18"/>
      <c r="L2580" s="18"/>
      <c r="M2580" s="18"/>
      <c r="N2580" s="18"/>
      <c r="O2580" s="18"/>
      <c r="P2580" s="18"/>
      <c r="Q2580" s="18"/>
    </row>
    <row r="2581" spans="1:17">
      <c r="A2581" s="18"/>
      <c r="B2581" s="18"/>
      <c r="C2581" s="18"/>
      <c r="D2581" s="18"/>
      <c r="E2581" s="18"/>
      <c r="F2581" s="18"/>
      <c r="G2581" s="18"/>
      <c r="H2581" s="18"/>
      <c r="I2581" s="18"/>
      <c r="J2581" s="18"/>
      <c r="K2581" s="18"/>
      <c r="L2581" s="18"/>
      <c r="M2581" s="18"/>
      <c r="N2581" s="18"/>
      <c r="O2581" s="18"/>
      <c r="P2581" s="18"/>
      <c r="Q2581" s="18"/>
    </row>
    <row r="2582" spans="1:17">
      <c r="A2582" s="18"/>
      <c r="B2582" s="18"/>
      <c r="C2582" s="18"/>
      <c r="D2582" s="18"/>
      <c r="E2582" s="18"/>
      <c r="F2582" s="18"/>
      <c r="G2582" s="18"/>
      <c r="H2582" s="18"/>
      <c r="I2582" s="18"/>
      <c r="J2582" s="18"/>
      <c r="K2582" s="18"/>
      <c r="L2582" s="18"/>
      <c r="M2582" s="18"/>
      <c r="N2582" s="18"/>
      <c r="O2582" s="18"/>
      <c r="P2582" s="18"/>
      <c r="Q2582" s="18"/>
    </row>
    <row r="2583" spans="1:17">
      <c r="A2583" s="18"/>
      <c r="B2583" s="18"/>
      <c r="C2583" s="18"/>
      <c r="D2583" s="18"/>
      <c r="E2583" s="18"/>
      <c r="F2583" s="18"/>
      <c r="G2583" s="18"/>
      <c r="H2583" s="18"/>
      <c r="I2583" s="18"/>
      <c r="J2583" s="18"/>
      <c r="K2583" s="18"/>
      <c r="L2583" s="18"/>
      <c r="M2583" s="18"/>
      <c r="N2583" s="18"/>
      <c r="O2583" s="18"/>
      <c r="P2583" s="18"/>
      <c r="Q2583" s="18"/>
    </row>
    <row r="2584" spans="1:17">
      <c r="A2584" s="18"/>
      <c r="B2584" s="18"/>
      <c r="C2584" s="18"/>
      <c r="D2584" s="18"/>
      <c r="E2584" s="18"/>
      <c r="F2584" s="149"/>
      <c r="G2584" s="18"/>
      <c r="H2584" s="18"/>
      <c r="I2584" s="18"/>
      <c r="J2584" s="18"/>
      <c r="K2584" s="18"/>
      <c r="L2584" s="18"/>
      <c r="M2584" s="18"/>
      <c r="N2584" s="18"/>
      <c r="O2584" s="18"/>
      <c r="P2584" s="18"/>
      <c r="Q2584" s="18"/>
    </row>
    <row r="2585" spans="1:17">
      <c r="A2585" s="18"/>
      <c r="B2585" s="18"/>
      <c r="C2585" s="18"/>
      <c r="D2585" s="18"/>
      <c r="E2585" s="18"/>
      <c r="F2585" s="18"/>
      <c r="G2585" s="18"/>
      <c r="H2585" s="18"/>
      <c r="I2585" s="18"/>
      <c r="J2585" s="18"/>
      <c r="K2585" s="18"/>
      <c r="L2585" s="18"/>
      <c r="M2585" s="18"/>
      <c r="N2585" s="18"/>
      <c r="O2585" s="18"/>
      <c r="P2585" s="18"/>
      <c r="Q2585" s="18"/>
    </row>
    <row r="2586" spans="1:17">
      <c r="A2586" s="149"/>
      <c r="B2586" s="18"/>
      <c r="C2586" s="18"/>
      <c r="D2586" s="18"/>
      <c r="E2586" s="18"/>
      <c r="F2586" s="18"/>
      <c r="G2586" s="18"/>
      <c r="H2586" s="18"/>
      <c r="I2586" s="18"/>
      <c r="J2586" s="18"/>
      <c r="K2586" s="18"/>
      <c r="L2586" s="18"/>
      <c r="M2586" s="18"/>
      <c r="N2586" s="18"/>
      <c r="O2586" s="18"/>
      <c r="P2586" s="18"/>
      <c r="Q2586" s="18"/>
    </row>
    <row r="2587" spans="1:17">
      <c r="A2587" s="149"/>
      <c r="B2587" s="18"/>
      <c r="C2587" s="18"/>
      <c r="D2587" s="18"/>
      <c r="E2587" s="18"/>
      <c r="F2587" s="18"/>
      <c r="G2587" s="18"/>
      <c r="H2587" s="18"/>
      <c r="I2587" s="18"/>
      <c r="J2587" s="18"/>
      <c r="K2587" s="18"/>
      <c r="L2587" s="18"/>
      <c r="M2587" s="18"/>
      <c r="N2587" s="18"/>
      <c r="O2587" s="18"/>
      <c r="P2587" s="18"/>
      <c r="Q2587" s="18"/>
    </row>
    <row r="2588" spans="1:17">
      <c r="A2588" s="18"/>
      <c r="B2588" s="18"/>
      <c r="C2588" s="18"/>
      <c r="D2588" s="18"/>
      <c r="E2588" s="18"/>
      <c r="F2588" s="18"/>
      <c r="G2588" s="18"/>
      <c r="H2588" s="18"/>
      <c r="I2588" s="18"/>
      <c r="J2588" s="18"/>
      <c r="K2588" s="18"/>
      <c r="L2588" s="18"/>
      <c r="M2588" s="18"/>
      <c r="N2588" s="18"/>
      <c r="O2588" s="18"/>
      <c r="P2588" s="18"/>
      <c r="Q2588" s="18"/>
    </row>
    <row r="2589" spans="1:17">
      <c r="A2589" s="18"/>
      <c r="B2589" s="18"/>
      <c r="C2589" s="18"/>
      <c r="D2589" s="18"/>
      <c r="E2589" s="18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8"/>
    </row>
    <row r="2590" spans="1:17">
      <c r="A2590" s="18"/>
      <c r="B2590" s="18"/>
      <c r="C2590" s="18"/>
      <c r="D2590" s="18"/>
      <c r="E2590" s="18"/>
      <c r="F2590" s="18"/>
      <c r="G2590" s="18"/>
      <c r="H2590" s="18"/>
      <c r="I2590" s="18"/>
      <c r="J2590" s="18"/>
      <c r="K2590" s="18"/>
      <c r="L2590" s="18"/>
      <c r="M2590" s="18"/>
      <c r="N2590" s="18"/>
      <c r="O2590" s="18"/>
      <c r="P2590" s="18"/>
      <c r="Q2590" s="18"/>
    </row>
    <row r="2591" spans="1:17">
      <c r="A2591" s="150"/>
      <c r="B2591" s="18"/>
      <c r="C2591" s="18"/>
      <c r="D2591" s="18"/>
      <c r="E2591" s="18"/>
      <c r="F2591" s="18"/>
      <c r="G2591" s="149"/>
      <c r="H2591" s="18"/>
      <c r="I2591" s="18"/>
      <c r="J2591" s="18"/>
      <c r="K2591" s="18"/>
      <c r="L2591" s="18"/>
      <c r="M2591" s="18"/>
      <c r="N2591" s="18"/>
      <c r="O2591" s="18"/>
      <c r="P2591" s="18"/>
      <c r="Q2591" s="18"/>
    </row>
    <row r="2592" spans="1:17">
      <c r="A2592" s="18"/>
      <c r="B2592" s="18"/>
      <c r="C2592" s="18"/>
      <c r="D2592" s="18"/>
      <c r="E2592" s="18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8"/>
    </row>
    <row r="2593" spans="1:17">
      <c r="A2593" s="18"/>
      <c r="B2593" s="18"/>
      <c r="C2593" s="18"/>
      <c r="D2593" s="18"/>
      <c r="E2593" s="18"/>
      <c r="F2593" s="18"/>
      <c r="G2593" s="18"/>
      <c r="H2593" s="18"/>
      <c r="I2593" s="18"/>
      <c r="J2593" s="18"/>
      <c r="K2593" s="18"/>
      <c r="L2593" s="18"/>
      <c r="M2593" s="18"/>
      <c r="N2593" s="18"/>
      <c r="O2593" s="18"/>
      <c r="P2593" s="18"/>
      <c r="Q2593" s="18"/>
    </row>
    <row r="2594" spans="1:17">
      <c r="A2594" s="149"/>
      <c r="B2594" s="18"/>
      <c r="C2594" s="18"/>
      <c r="D2594" s="18"/>
      <c r="E2594" s="18"/>
      <c r="F2594" s="18"/>
      <c r="G2594" s="18"/>
      <c r="H2594" s="18"/>
      <c r="I2594" s="18"/>
      <c r="J2594" s="18"/>
      <c r="K2594" s="18"/>
      <c r="L2594" s="18"/>
      <c r="M2594" s="18"/>
      <c r="N2594" s="18"/>
      <c r="O2594" s="18"/>
      <c r="P2594" s="18"/>
      <c r="Q2594" s="18"/>
    </row>
    <row r="2595" spans="1:17">
      <c r="A2595" s="18"/>
      <c r="B2595" s="18"/>
      <c r="C2595" s="18"/>
      <c r="D2595" s="18"/>
      <c r="E2595" s="18"/>
      <c r="F2595" s="18"/>
      <c r="G2595" s="18"/>
      <c r="H2595" s="18"/>
      <c r="I2595" s="18"/>
      <c r="J2595" s="18"/>
      <c r="K2595" s="18"/>
      <c r="L2595" s="18"/>
      <c r="M2595" s="18"/>
      <c r="N2595" s="18"/>
      <c r="O2595" s="18"/>
      <c r="P2595" s="18"/>
      <c r="Q2595" s="18"/>
    </row>
    <row r="2596" spans="1:17">
      <c r="A2596" s="18"/>
      <c r="B2596" s="18"/>
      <c r="C2596" s="18"/>
      <c r="D2596" s="18"/>
      <c r="E2596" s="18"/>
      <c r="F2596" s="18"/>
      <c r="G2596" s="18"/>
      <c r="H2596" s="18"/>
      <c r="I2596" s="18"/>
      <c r="J2596" s="18"/>
      <c r="K2596" s="18"/>
      <c r="L2596" s="18"/>
      <c r="M2596" s="18"/>
      <c r="N2596" s="18"/>
      <c r="O2596" s="18"/>
      <c r="P2596" s="18"/>
      <c r="Q2596" s="18"/>
    </row>
    <row r="2597" spans="1:17">
      <c r="A2597" s="18"/>
      <c r="B2597" s="18"/>
      <c r="C2597" s="18"/>
      <c r="D2597" s="18"/>
      <c r="E2597" s="18"/>
      <c r="F2597" s="18"/>
      <c r="G2597" s="18"/>
      <c r="H2597" s="18"/>
      <c r="I2597" s="18"/>
      <c r="J2597" s="18"/>
      <c r="K2597" s="18"/>
      <c r="L2597" s="18"/>
      <c r="M2597" s="18"/>
      <c r="N2597" s="18"/>
      <c r="O2597" s="18"/>
      <c r="P2597" s="18"/>
      <c r="Q2597" s="18"/>
    </row>
    <row r="2598" spans="1:17">
      <c r="A2598" s="18"/>
      <c r="B2598" s="18"/>
      <c r="C2598" s="18"/>
      <c r="D2598" s="18"/>
      <c r="E2598" s="18"/>
      <c r="F2598" s="18"/>
      <c r="G2598" s="18"/>
      <c r="H2598" s="18"/>
      <c r="I2598" s="18"/>
      <c r="J2598" s="18"/>
      <c r="K2598" s="18"/>
      <c r="L2598" s="18"/>
      <c r="M2598" s="18"/>
      <c r="N2598" s="18"/>
      <c r="O2598" s="18"/>
      <c r="P2598" s="18"/>
      <c r="Q2598" s="18"/>
    </row>
    <row r="2599" spans="1:17">
      <c r="A2599" s="149"/>
      <c r="B2599" s="18"/>
      <c r="C2599" s="18"/>
      <c r="D2599" s="18"/>
      <c r="E2599" s="18"/>
      <c r="F2599" s="18"/>
      <c r="G2599" s="18"/>
      <c r="H2599" s="18"/>
      <c r="I2599" s="18"/>
      <c r="J2599" s="18"/>
      <c r="K2599" s="18"/>
      <c r="L2599" s="18"/>
      <c r="M2599" s="18"/>
      <c r="N2599" s="18"/>
      <c r="O2599" s="18"/>
      <c r="P2599" s="18"/>
      <c r="Q2599" s="18"/>
    </row>
    <row r="2600" spans="1:17">
      <c r="A2600" s="149"/>
      <c r="B2600" s="18"/>
      <c r="C2600" s="18"/>
      <c r="D2600" s="18"/>
      <c r="E2600" s="18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8"/>
    </row>
    <row r="2601" spans="1:17">
      <c r="A2601" s="18"/>
      <c r="B2601" s="18"/>
      <c r="C2601" s="18"/>
      <c r="D2601" s="18"/>
      <c r="E2601" s="18"/>
      <c r="F2601" s="18"/>
      <c r="G2601" s="18"/>
      <c r="H2601" s="18"/>
      <c r="I2601" s="18"/>
      <c r="J2601" s="18"/>
      <c r="K2601" s="18"/>
      <c r="L2601" s="18"/>
      <c r="M2601" s="18"/>
      <c r="N2601" s="18"/>
      <c r="O2601" s="18"/>
      <c r="P2601" s="18"/>
      <c r="Q2601" s="18"/>
    </row>
    <row r="2602" spans="1:17">
      <c r="A2602" s="18"/>
      <c r="B2602" s="18"/>
      <c r="C2602" s="18"/>
      <c r="D2602" s="18"/>
      <c r="E2602" s="18"/>
      <c r="F2602" s="18"/>
      <c r="G2602" s="18"/>
      <c r="H2602" s="18"/>
      <c r="I2602" s="18"/>
      <c r="J2602" s="18"/>
      <c r="K2602" s="18"/>
      <c r="L2602" s="18"/>
      <c r="M2602" s="18"/>
      <c r="N2602" s="18"/>
      <c r="O2602" s="18"/>
      <c r="P2602" s="18"/>
      <c r="Q2602" s="18"/>
    </row>
    <row r="2603" spans="1:17">
      <c r="A2603" s="18"/>
      <c r="B2603" s="18"/>
      <c r="C2603" s="18"/>
      <c r="D2603" s="18"/>
      <c r="E2603" s="18"/>
      <c r="F2603" s="18"/>
      <c r="G2603" s="18"/>
      <c r="H2603" s="18"/>
      <c r="I2603" s="18"/>
      <c r="J2603" s="18"/>
      <c r="K2603" s="18"/>
      <c r="L2603" s="18"/>
      <c r="M2603" s="18"/>
      <c r="N2603" s="18"/>
      <c r="O2603" s="18"/>
      <c r="P2603" s="18"/>
      <c r="Q2603" s="18"/>
    </row>
    <row r="2604" spans="1:17">
      <c r="A2604" s="18"/>
      <c r="B2604" s="18"/>
      <c r="C2604" s="18"/>
      <c r="D2604" s="18"/>
      <c r="E2604" s="18"/>
      <c r="F2604" s="18"/>
      <c r="G2604" s="18"/>
      <c r="H2604" s="18"/>
      <c r="I2604" s="18"/>
      <c r="J2604" s="18"/>
      <c r="K2604" s="18"/>
      <c r="L2604" s="18"/>
      <c r="M2604" s="18"/>
      <c r="N2604" s="18"/>
      <c r="O2604" s="18"/>
      <c r="P2604" s="18"/>
      <c r="Q2604" s="18"/>
    </row>
    <row r="2605" spans="1:17">
      <c r="A2605" s="18"/>
      <c r="B2605" s="18"/>
      <c r="C2605" s="18"/>
      <c r="D2605" s="18"/>
      <c r="E2605" s="18"/>
      <c r="F2605" s="18"/>
      <c r="G2605" s="18"/>
      <c r="H2605" s="18"/>
      <c r="I2605" s="18"/>
      <c r="J2605" s="18"/>
      <c r="K2605" s="18"/>
      <c r="L2605" s="18"/>
      <c r="M2605" s="18"/>
      <c r="N2605" s="18"/>
      <c r="O2605" s="18"/>
      <c r="P2605" s="18"/>
      <c r="Q2605" s="18"/>
    </row>
    <row r="2606" spans="1:17">
      <c r="A2606" s="149"/>
      <c r="B2606" s="18"/>
      <c r="C2606" s="18"/>
      <c r="D2606" s="18"/>
      <c r="E2606" s="18"/>
      <c r="F2606" s="18"/>
      <c r="G2606" s="18"/>
      <c r="H2606" s="18"/>
      <c r="I2606" s="18"/>
      <c r="J2606" s="18"/>
      <c r="K2606" s="18"/>
      <c r="L2606" s="18"/>
      <c r="M2606" s="18"/>
      <c r="N2606" s="18"/>
      <c r="O2606" s="18"/>
      <c r="P2606" s="18"/>
      <c r="Q2606" s="18"/>
    </row>
    <row r="2607" spans="1:17">
      <c r="A2607" s="18"/>
      <c r="B2607" s="18"/>
      <c r="C2607" s="18"/>
      <c r="D2607" s="18"/>
      <c r="E2607" s="18"/>
      <c r="F2607" s="18"/>
      <c r="G2607" s="18"/>
      <c r="H2607" s="18"/>
      <c r="I2607" s="18"/>
      <c r="J2607" s="18"/>
      <c r="K2607" s="18"/>
      <c r="L2607" s="18"/>
      <c r="M2607" s="18"/>
      <c r="N2607" s="18"/>
      <c r="O2607" s="18"/>
      <c r="P2607" s="18"/>
      <c r="Q2607" s="18"/>
    </row>
    <row r="2608" spans="1:17">
      <c r="A2608" s="18"/>
      <c r="B2608" s="18"/>
      <c r="C2608" s="18"/>
      <c r="D2608" s="18"/>
      <c r="E2608" s="18"/>
      <c r="F2608" s="18"/>
      <c r="G2608" s="18"/>
      <c r="H2608" s="18"/>
      <c r="I2608" s="18"/>
      <c r="J2608" s="18"/>
      <c r="K2608" s="18"/>
      <c r="L2608" s="18"/>
      <c r="M2608" s="18"/>
      <c r="N2608" s="18"/>
      <c r="O2608" s="18"/>
      <c r="P2608" s="18"/>
      <c r="Q2608" s="18"/>
    </row>
    <row r="2609" spans="1:17">
      <c r="A2609" s="149"/>
      <c r="B2609" s="18"/>
      <c r="C2609" s="18"/>
      <c r="D2609" s="18"/>
      <c r="E2609" s="18"/>
      <c r="F2609" s="18"/>
      <c r="G2609" s="18"/>
      <c r="H2609" s="18"/>
      <c r="I2609" s="18"/>
      <c r="J2609" s="18"/>
      <c r="K2609" s="18"/>
      <c r="L2609" s="18"/>
      <c r="M2609" s="18"/>
      <c r="N2609" s="18"/>
      <c r="O2609" s="18"/>
      <c r="P2609" s="18"/>
      <c r="Q2609" s="18"/>
    </row>
    <row r="2610" spans="1:17">
      <c r="A2610" s="149"/>
      <c r="B2610" s="18"/>
      <c r="C2610" s="18"/>
      <c r="D2610" s="18"/>
      <c r="E2610" s="18"/>
      <c r="F2610" s="18"/>
      <c r="G2610" s="18"/>
      <c r="H2610" s="18"/>
      <c r="I2610" s="18"/>
      <c r="J2610" s="18"/>
      <c r="K2610" s="18"/>
      <c r="L2610" s="18"/>
      <c r="M2610" s="18"/>
      <c r="N2610" s="18"/>
      <c r="O2610" s="18"/>
      <c r="P2610" s="18"/>
      <c r="Q2610" s="18"/>
    </row>
    <row r="2611" spans="1:17">
      <c r="A2611" s="18"/>
      <c r="B2611" s="18"/>
      <c r="C2611" s="18"/>
      <c r="D2611" s="18"/>
      <c r="E2611" s="18"/>
      <c r="F2611" s="18"/>
      <c r="G2611" s="18"/>
      <c r="H2611" s="18"/>
      <c r="I2611" s="18"/>
      <c r="J2611" s="18"/>
      <c r="K2611" s="18"/>
      <c r="L2611" s="18"/>
      <c r="M2611" s="18"/>
      <c r="N2611" s="18"/>
      <c r="O2611" s="18"/>
      <c r="P2611" s="18"/>
      <c r="Q2611" s="18"/>
    </row>
    <row r="2612" spans="1:17">
      <c r="A2612" s="149"/>
      <c r="B2612" s="18"/>
      <c r="C2612" s="18"/>
      <c r="D2612" s="18"/>
      <c r="E2612" s="18"/>
      <c r="F2612" s="18"/>
      <c r="G2612" s="18"/>
      <c r="H2612" s="18"/>
      <c r="I2612" s="18"/>
      <c r="J2612" s="18"/>
      <c r="K2612" s="18"/>
      <c r="L2612" s="18"/>
      <c r="M2612" s="18"/>
      <c r="N2612" s="18"/>
      <c r="O2612" s="18"/>
      <c r="P2612" s="18"/>
      <c r="Q2612" s="18"/>
    </row>
    <row r="2613" spans="1:17">
      <c r="A2613" s="18"/>
      <c r="B2613" s="18"/>
      <c r="C2613" s="18"/>
      <c r="D2613" s="18"/>
      <c r="E2613" s="18"/>
      <c r="F2613" s="18"/>
      <c r="G2613" s="18"/>
      <c r="H2613" s="18"/>
      <c r="I2613" s="18"/>
      <c r="J2613" s="18"/>
      <c r="K2613" s="18"/>
      <c r="L2613" s="18"/>
      <c r="M2613" s="18"/>
      <c r="N2613" s="18"/>
      <c r="O2613" s="18"/>
      <c r="P2613" s="18"/>
      <c r="Q2613" s="18"/>
    </row>
    <row r="2614" spans="1:17">
      <c r="A2614" s="18"/>
      <c r="B2614" s="18"/>
      <c r="C2614" s="18"/>
      <c r="D2614" s="18"/>
      <c r="E2614" s="18"/>
      <c r="F2614" s="18"/>
      <c r="G2614" s="18"/>
      <c r="H2614" s="18"/>
      <c r="I2614" s="18"/>
      <c r="J2614" s="18"/>
      <c r="K2614" s="18"/>
      <c r="L2614" s="18"/>
      <c r="M2614" s="18"/>
      <c r="N2614" s="18"/>
      <c r="O2614" s="18"/>
      <c r="P2614" s="18"/>
      <c r="Q2614" s="18"/>
    </row>
    <row r="2615" spans="1:17">
      <c r="A2615" s="18"/>
      <c r="B2615" s="18"/>
      <c r="C2615" s="18"/>
      <c r="D2615" s="18"/>
      <c r="E2615" s="18"/>
      <c r="F2615" s="18"/>
      <c r="G2615" s="18"/>
      <c r="H2615" s="18"/>
      <c r="I2615" s="18"/>
      <c r="J2615" s="18"/>
      <c r="K2615" s="18"/>
      <c r="L2615" s="18"/>
      <c r="M2615" s="18"/>
      <c r="N2615" s="18"/>
      <c r="O2615" s="18"/>
      <c r="P2615" s="18"/>
      <c r="Q2615" s="18"/>
    </row>
    <row r="2616" spans="1:17">
      <c r="A2616" s="149"/>
      <c r="B2616" s="18"/>
      <c r="C2616" s="18"/>
      <c r="D2616" s="18"/>
      <c r="E2616" s="18"/>
      <c r="F2616" s="18"/>
      <c r="G2616" s="18"/>
      <c r="H2616" s="18"/>
      <c r="I2616" s="18"/>
      <c r="J2616" s="18"/>
      <c r="K2616" s="18"/>
      <c r="L2616" s="18"/>
      <c r="M2616" s="18"/>
      <c r="N2616" s="18"/>
      <c r="O2616" s="18"/>
      <c r="P2616" s="18"/>
      <c r="Q2616" s="18"/>
    </row>
    <row r="2617" spans="1:17">
      <c r="A2617" s="18"/>
      <c r="B2617" s="18"/>
      <c r="C2617" s="18"/>
      <c r="D2617" s="18"/>
      <c r="E2617" s="18"/>
      <c r="F2617" s="18"/>
      <c r="G2617" s="18"/>
      <c r="H2617" s="18"/>
      <c r="I2617" s="18"/>
      <c r="J2617" s="18"/>
      <c r="K2617" s="18"/>
      <c r="L2617" s="18"/>
      <c r="M2617" s="18"/>
      <c r="N2617" s="18"/>
      <c r="O2617" s="18"/>
      <c r="P2617" s="18"/>
      <c r="Q2617" s="18"/>
    </row>
    <row r="2618" spans="1:17">
      <c r="A2618" s="18"/>
      <c r="B2618" s="18"/>
      <c r="C2618" s="18"/>
      <c r="D2618" s="18"/>
      <c r="E2618" s="18"/>
      <c r="F2618" s="18"/>
      <c r="G2618" s="18"/>
      <c r="H2618" s="18"/>
      <c r="I2618" s="18"/>
      <c r="J2618" s="18"/>
      <c r="K2618" s="18"/>
      <c r="L2618" s="18"/>
      <c r="M2618" s="18"/>
      <c r="N2618" s="18"/>
      <c r="O2618" s="18"/>
      <c r="P2618" s="18"/>
      <c r="Q2618" s="18"/>
    </row>
    <row r="2619" spans="1:17">
      <c r="A2619" s="18"/>
      <c r="B2619" s="18"/>
      <c r="C2619" s="18"/>
      <c r="D2619" s="18"/>
      <c r="E2619" s="18"/>
      <c r="F2619" s="18"/>
      <c r="G2619" s="18"/>
      <c r="H2619" s="18"/>
      <c r="I2619" s="18"/>
      <c r="J2619" s="18"/>
      <c r="K2619" s="18"/>
      <c r="L2619" s="18"/>
      <c r="M2619" s="18"/>
      <c r="N2619" s="18"/>
      <c r="O2619" s="18"/>
      <c r="P2619" s="18"/>
      <c r="Q2619" s="18"/>
    </row>
    <row r="2620" spans="1:17">
      <c r="A2620" s="149"/>
      <c r="B2620" s="18"/>
      <c r="C2620" s="18"/>
      <c r="D2620" s="18"/>
      <c r="E2620" s="18"/>
      <c r="F2620" s="18"/>
      <c r="G2620" s="18"/>
      <c r="H2620" s="18"/>
      <c r="I2620" s="18"/>
      <c r="J2620" s="18"/>
      <c r="K2620" s="18"/>
      <c r="L2620" s="18"/>
      <c r="M2620" s="18"/>
      <c r="N2620" s="18"/>
      <c r="O2620" s="18"/>
      <c r="P2620" s="18"/>
      <c r="Q2620" s="18"/>
    </row>
    <row r="2621" spans="1:17">
      <c r="A2621" s="18"/>
      <c r="B2621" s="18"/>
      <c r="C2621" s="18"/>
      <c r="D2621" s="18"/>
      <c r="E2621" s="18"/>
      <c r="F2621" s="18"/>
      <c r="G2621" s="18"/>
      <c r="H2621" s="18"/>
      <c r="I2621" s="18"/>
      <c r="J2621" s="18"/>
      <c r="K2621" s="18"/>
      <c r="L2621" s="18"/>
      <c r="M2621" s="18"/>
      <c r="N2621" s="18"/>
      <c r="O2621" s="18"/>
      <c r="P2621" s="18"/>
      <c r="Q2621" s="18"/>
    </row>
    <row r="2622" spans="1:17">
      <c r="A2622" s="18"/>
      <c r="B2622" s="18"/>
      <c r="C2622" s="18"/>
      <c r="D2622" s="18"/>
      <c r="E2622" s="18"/>
      <c r="F2622" s="18"/>
      <c r="G2622" s="18"/>
      <c r="H2622" s="18"/>
      <c r="I2622" s="18"/>
      <c r="J2622" s="18"/>
      <c r="K2622" s="18"/>
      <c r="L2622" s="18"/>
      <c r="M2622" s="18"/>
      <c r="N2622" s="18"/>
      <c r="O2622" s="18"/>
      <c r="P2622" s="18"/>
      <c r="Q2622" s="18"/>
    </row>
    <row r="2623" spans="1:17">
      <c r="A2623" s="149"/>
      <c r="B2623" s="18"/>
      <c r="C2623" s="18"/>
      <c r="D2623" s="18"/>
      <c r="E2623" s="18"/>
      <c r="F2623" s="18"/>
      <c r="G2623" s="18"/>
      <c r="H2623" s="18"/>
      <c r="I2623" s="18"/>
      <c r="J2623" s="18"/>
      <c r="K2623" s="18"/>
      <c r="L2623" s="18"/>
      <c r="M2623" s="18"/>
      <c r="N2623" s="18"/>
      <c r="O2623" s="18"/>
      <c r="P2623" s="18"/>
      <c r="Q2623" s="18"/>
    </row>
    <row r="2624" spans="1:17">
      <c r="A2624" s="18"/>
      <c r="B2624" s="18"/>
      <c r="C2624" s="18"/>
      <c r="D2624" s="18"/>
      <c r="E2624" s="18"/>
      <c r="F2624" s="18"/>
      <c r="G2624" s="18"/>
      <c r="H2624" s="18"/>
      <c r="I2624" s="18"/>
      <c r="J2624" s="18"/>
      <c r="K2624" s="18"/>
      <c r="L2624" s="18"/>
      <c r="M2624" s="18"/>
      <c r="N2624" s="18"/>
      <c r="O2624" s="18"/>
      <c r="P2624" s="18"/>
      <c r="Q2624" s="18"/>
    </row>
    <row r="2625" spans="1:17">
      <c r="A2625" s="18"/>
      <c r="B2625" s="18"/>
      <c r="C2625" s="18"/>
      <c r="D2625" s="18"/>
      <c r="E2625" s="18"/>
      <c r="F2625" s="18"/>
      <c r="G2625" s="18"/>
      <c r="H2625" s="18"/>
      <c r="I2625" s="18"/>
      <c r="J2625" s="18"/>
      <c r="K2625" s="18"/>
      <c r="L2625" s="18"/>
      <c r="M2625" s="18"/>
      <c r="N2625" s="18"/>
      <c r="O2625" s="18"/>
      <c r="P2625" s="18"/>
      <c r="Q2625" s="18"/>
    </row>
    <row r="2626" spans="1:17">
      <c r="A2626" s="18"/>
      <c r="B2626" s="18"/>
      <c r="C2626" s="18"/>
      <c r="D2626" s="18"/>
      <c r="E2626" s="18"/>
      <c r="F2626" s="18"/>
      <c r="G2626" s="18"/>
      <c r="H2626" s="18"/>
      <c r="I2626" s="18"/>
      <c r="J2626" s="18"/>
      <c r="K2626" s="18"/>
      <c r="L2626" s="18"/>
      <c r="M2626" s="18"/>
      <c r="N2626" s="18"/>
      <c r="O2626" s="18"/>
      <c r="P2626" s="18"/>
      <c r="Q2626" s="18"/>
    </row>
    <row r="2627" spans="1:17">
      <c r="A2627" s="149"/>
      <c r="B2627" s="18"/>
      <c r="C2627" s="18"/>
      <c r="D2627" s="18"/>
      <c r="E2627" s="18"/>
      <c r="F2627" s="18"/>
      <c r="G2627" s="18"/>
      <c r="H2627" s="18"/>
      <c r="I2627" s="18"/>
      <c r="J2627" s="18"/>
      <c r="K2627" s="18"/>
      <c r="L2627" s="18"/>
      <c r="M2627" s="18"/>
      <c r="N2627" s="18"/>
      <c r="O2627" s="18"/>
      <c r="P2627" s="18"/>
      <c r="Q2627" s="18"/>
    </row>
    <row r="2628" spans="1:17">
      <c r="A2628" s="18"/>
      <c r="B2628" s="18"/>
      <c r="C2628" s="18"/>
      <c r="D2628" s="18"/>
      <c r="E2628" s="18"/>
      <c r="F2628" s="18"/>
      <c r="G2628" s="18"/>
      <c r="H2628" s="18"/>
      <c r="I2628" s="18"/>
      <c r="J2628" s="18"/>
      <c r="K2628" s="18"/>
      <c r="L2628" s="18"/>
      <c r="M2628" s="18"/>
      <c r="N2628" s="18"/>
      <c r="O2628" s="18"/>
      <c r="P2628" s="18"/>
      <c r="Q2628" s="18"/>
    </row>
    <row r="2629" spans="1:17">
      <c r="A2629" s="18"/>
      <c r="B2629" s="18"/>
      <c r="C2629" s="18"/>
      <c r="D2629" s="18"/>
      <c r="E2629" s="18"/>
      <c r="F2629" s="18"/>
      <c r="G2629" s="18"/>
      <c r="H2629" s="18"/>
      <c r="I2629" s="18"/>
      <c r="J2629" s="18"/>
      <c r="K2629" s="18"/>
      <c r="L2629" s="18"/>
      <c r="M2629" s="18"/>
      <c r="N2629" s="18"/>
      <c r="O2629" s="18"/>
      <c r="P2629" s="18"/>
      <c r="Q2629" s="18"/>
    </row>
    <row r="2630" spans="1:17">
      <c r="A2630" s="149"/>
      <c r="B2630" s="18"/>
      <c r="C2630" s="18"/>
      <c r="D2630" s="18"/>
      <c r="E2630" s="18"/>
      <c r="F2630" s="18"/>
      <c r="G2630" s="18"/>
      <c r="H2630" s="18"/>
      <c r="I2630" s="18"/>
      <c r="J2630" s="18"/>
      <c r="K2630" s="18"/>
      <c r="L2630" s="18"/>
      <c r="M2630" s="18"/>
      <c r="N2630" s="18"/>
      <c r="O2630" s="18"/>
      <c r="P2630" s="18"/>
      <c r="Q2630" s="18"/>
    </row>
    <row r="2631" spans="1:17">
      <c r="A2631" s="18"/>
      <c r="B2631" s="18"/>
      <c r="C2631" s="18"/>
      <c r="D2631" s="18"/>
      <c r="E2631" s="18"/>
      <c r="F2631" s="18"/>
      <c r="G2631" s="18"/>
      <c r="H2631" s="18"/>
      <c r="I2631" s="18"/>
      <c r="J2631" s="18"/>
      <c r="K2631" s="18"/>
      <c r="L2631" s="18"/>
      <c r="M2631" s="18"/>
      <c r="N2631" s="18"/>
      <c r="O2631" s="18"/>
      <c r="P2631" s="18"/>
      <c r="Q2631" s="18"/>
    </row>
    <row r="2632" spans="1:17">
      <c r="A2632" s="18"/>
      <c r="B2632" s="18"/>
      <c r="C2632" s="18"/>
      <c r="D2632" s="18"/>
      <c r="E2632" s="18"/>
      <c r="F2632" s="18"/>
      <c r="G2632" s="18"/>
      <c r="H2632" s="18"/>
      <c r="I2632" s="18"/>
      <c r="J2632" s="18"/>
      <c r="K2632" s="18"/>
      <c r="L2632" s="18"/>
      <c r="M2632" s="18"/>
      <c r="N2632" s="18"/>
      <c r="O2632" s="18"/>
      <c r="P2632" s="18"/>
      <c r="Q2632" s="18"/>
    </row>
    <row r="2633" spans="1:17">
      <c r="A2633" s="18"/>
      <c r="B2633" s="18"/>
      <c r="C2633" s="18"/>
      <c r="D2633" s="18"/>
      <c r="E2633" s="18"/>
      <c r="F2633" s="18"/>
      <c r="G2633" s="18"/>
      <c r="H2633" s="18"/>
      <c r="I2633" s="18"/>
      <c r="J2633" s="18"/>
      <c r="K2633" s="18"/>
      <c r="L2633" s="18"/>
      <c r="M2633" s="18"/>
      <c r="N2633" s="18"/>
      <c r="O2633" s="18"/>
      <c r="P2633" s="18"/>
      <c r="Q2633" s="18"/>
    </row>
    <row r="2634" spans="1:17">
      <c r="A2634" s="18"/>
      <c r="B2634" s="18"/>
      <c r="C2634" s="18"/>
      <c r="D2634" s="18"/>
      <c r="E2634" s="18"/>
      <c r="F2634" s="18"/>
      <c r="G2634" s="18"/>
      <c r="H2634" s="18"/>
      <c r="I2634" s="18"/>
      <c r="J2634" s="18"/>
      <c r="K2634" s="18"/>
      <c r="L2634" s="18"/>
      <c r="M2634" s="18"/>
      <c r="N2634" s="18"/>
      <c r="O2634" s="18"/>
      <c r="P2634" s="18"/>
      <c r="Q2634" s="18"/>
    </row>
    <row r="2635" spans="1:17">
      <c r="A2635" s="149"/>
      <c r="B2635" s="18"/>
      <c r="C2635" s="18"/>
      <c r="D2635" s="18"/>
      <c r="E2635" s="18"/>
      <c r="F2635" s="18"/>
      <c r="G2635" s="18"/>
      <c r="H2635" s="18"/>
      <c r="I2635" s="18"/>
      <c r="J2635" s="18"/>
      <c r="K2635" s="18"/>
      <c r="L2635" s="18"/>
      <c r="M2635" s="18"/>
      <c r="N2635" s="18"/>
      <c r="O2635" s="18"/>
      <c r="P2635" s="18"/>
      <c r="Q2635" s="18"/>
    </row>
    <row r="2636" spans="1:17">
      <c r="A2636" s="18"/>
      <c r="B2636" s="18"/>
      <c r="C2636" s="18"/>
      <c r="D2636" s="18"/>
      <c r="E2636" s="18"/>
      <c r="F2636" s="18"/>
      <c r="G2636" s="18"/>
      <c r="H2636" s="18"/>
      <c r="I2636" s="18"/>
      <c r="J2636" s="18"/>
      <c r="K2636" s="18"/>
      <c r="L2636" s="18"/>
      <c r="M2636" s="18"/>
      <c r="N2636" s="18"/>
      <c r="O2636" s="18"/>
      <c r="P2636" s="18"/>
      <c r="Q2636" s="18"/>
    </row>
    <row r="2637" spans="1:17">
      <c r="A2637" s="18"/>
      <c r="B2637" s="18"/>
      <c r="C2637" s="18"/>
      <c r="D2637" s="18"/>
      <c r="E2637" s="18"/>
      <c r="F2637" s="18"/>
      <c r="G2637" s="18"/>
      <c r="H2637" s="18"/>
      <c r="I2637" s="18"/>
      <c r="J2637" s="18"/>
      <c r="K2637" s="18"/>
      <c r="L2637" s="18"/>
      <c r="M2637" s="18"/>
      <c r="N2637" s="18"/>
      <c r="O2637" s="18"/>
      <c r="P2637" s="18"/>
      <c r="Q2637" s="18"/>
    </row>
    <row r="2638" spans="1:17">
      <c r="A2638" s="18"/>
      <c r="B2638" s="18"/>
      <c r="C2638" s="18"/>
      <c r="D2638" s="18"/>
      <c r="E2638" s="18"/>
      <c r="F2638" s="18"/>
      <c r="G2638" s="18"/>
      <c r="H2638" s="18"/>
      <c r="I2638" s="18"/>
      <c r="J2638" s="18"/>
      <c r="K2638" s="18"/>
      <c r="L2638" s="18"/>
      <c r="M2638" s="18"/>
      <c r="N2638" s="18"/>
      <c r="O2638" s="18"/>
      <c r="P2638" s="18"/>
      <c r="Q2638" s="18"/>
    </row>
    <row r="2639" spans="1:17">
      <c r="A2639" s="18"/>
      <c r="B2639" s="18"/>
      <c r="C2639" s="18"/>
      <c r="D2639" s="18"/>
      <c r="E2639" s="18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8"/>
    </row>
    <row r="2640" spans="1:17">
      <c r="A2640" s="149"/>
      <c r="B2640" s="18"/>
      <c r="C2640" s="18"/>
      <c r="D2640" s="18"/>
      <c r="E2640" s="18"/>
      <c r="F2640" s="18"/>
      <c r="G2640" s="18"/>
      <c r="H2640" s="18"/>
      <c r="I2640" s="18"/>
      <c r="J2640" s="18"/>
      <c r="K2640" s="18"/>
      <c r="L2640" s="18"/>
      <c r="M2640" s="18"/>
      <c r="N2640" s="18"/>
      <c r="O2640" s="18"/>
      <c r="P2640" s="18"/>
      <c r="Q2640" s="18"/>
    </row>
    <row r="2641" spans="1:17">
      <c r="A2641" s="18"/>
      <c r="B2641" s="18"/>
      <c r="C2641" s="18"/>
      <c r="D2641" s="18"/>
      <c r="E2641" s="18"/>
      <c r="F2641" s="18"/>
      <c r="G2641" s="18"/>
      <c r="H2641" s="18"/>
      <c r="I2641" s="18"/>
      <c r="J2641" s="18"/>
      <c r="K2641" s="18"/>
      <c r="L2641" s="18"/>
      <c r="M2641" s="18"/>
      <c r="N2641" s="18"/>
      <c r="O2641" s="18"/>
      <c r="P2641" s="18"/>
      <c r="Q2641" s="18"/>
    </row>
    <row r="2642" spans="1:17">
      <c r="A2642" s="149"/>
      <c r="B2642" s="18"/>
      <c r="C2642" s="18"/>
      <c r="D2642" s="18"/>
      <c r="E2642" s="18"/>
      <c r="F2642" s="18"/>
      <c r="G2642" s="18"/>
      <c r="H2642" s="18"/>
      <c r="I2642" s="18"/>
      <c r="J2642" s="18"/>
      <c r="K2642" s="18"/>
      <c r="L2642" s="18"/>
      <c r="M2642" s="18"/>
      <c r="N2642" s="18"/>
      <c r="O2642" s="18"/>
      <c r="P2642" s="18"/>
      <c r="Q2642" s="18"/>
    </row>
    <row r="2643" spans="1:17">
      <c r="A2643" s="18"/>
      <c r="B2643" s="18"/>
      <c r="C2643" s="18"/>
      <c r="D2643" s="18"/>
      <c r="E2643" s="18"/>
      <c r="F2643" s="18"/>
      <c r="G2643" s="18"/>
      <c r="H2643" s="18"/>
      <c r="I2643" s="18"/>
      <c r="J2643" s="18"/>
      <c r="K2643" s="18"/>
      <c r="L2643" s="18"/>
      <c r="M2643" s="18"/>
      <c r="N2643" s="18"/>
      <c r="O2643" s="18"/>
      <c r="P2643" s="18"/>
      <c r="Q2643" s="18"/>
    </row>
    <row r="2644" spans="1:17">
      <c r="A2644" s="18"/>
      <c r="B2644" s="18"/>
      <c r="C2644" s="18"/>
      <c r="D2644" s="18"/>
      <c r="E2644" s="18"/>
      <c r="F2644" s="18"/>
      <c r="G2644" s="18"/>
      <c r="H2644" s="18"/>
      <c r="I2644" s="18"/>
      <c r="J2644" s="18"/>
      <c r="K2644" s="18"/>
      <c r="L2644" s="18"/>
      <c r="M2644" s="18"/>
      <c r="N2644" s="18"/>
      <c r="O2644" s="18"/>
      <c r="P2644" s="18"/>
      <c r="Q2644" s="18"/>
    </row>
    <row r="2645" spans="1:17">
      <c r="A2645" s="18"/>
      <c r="B2645" s="18"/>
      <c r="C2645" s="18"/>
      <c r="D2645" s="18"/>
      <c r="E2645" s="18"/>
      <c r="F2645" s="18"/>
      <c r="G2645" s="18"/>
      <c r="H2645" s="18"/>
      <c r="I2645" s="18"/>
      <c r="J2645" s="18"/>
      <c r="K2645" s="18"/>
      <c r="L2645" s="18"/>
      <c r="M2645" s="18"/>
      <c r="N2645" s="18"/>
      <c r="O2645" s="18"/>
      <c r="P2645" s="18"/>
      <c r="Q2645" s="18"/>
    </row>
    <row r="2646" spans="1:17">
      <c r="A2646" s="18"/>
      <c r="B2646" s="18"/>
      <c r="C2646" s="18"/>
      <c r="D2646" s="18"/>
      <c r="E2646" s="18"/>
      <c r="F2646" s="18"/>
      <c r="G2646" s="18"/>
      <c r="H2646" s="18"/>
      <c r="I2646" s="18"/>
      <c r="J2646" s="18"/>
      <c r="K2646" s="18"/>
      <c r="L2646" s="18"/>
      <c r="M2646" s="18"/>
      <c r="N2646" s="18"/>
      <c r="O2646" s="18"/>
      <c r="P2646" s="18"/>
      <c r="Q2646" s="18"/>
    </row>
    <row r="2647" spans="1:17">
      <c r="A2647" s="149"/>
      <c r="B2647" s="18"/>
      <c r="C2647" s="18"/>
      <c r="D2647" s="18"/>
      <c r="E2647" s="18"/>
      <c r="F2647" s="18"/>
      <c r="G2647" s="18"/>
      <c r="H2647" s="18"/>
      <c r="I2647" s="18"/>
      <c r="J2647" s="18"/>
      <c r="K2647" s="18"/>
      <c r="L2647" s="18"/>
      <c r="M2647" s="18"/>
      <c r="N2647" s="18"/>
      <c r="O2647" s="18"/>
      <c r="P2647" s="18"/>
      <c r="Q2647" s="18"/>
    </row>
    <row r="2648" spans="1:17">
      <c r="A2648" s="18"/>
      <c r="B2648" s="18"/>
      <c r="C2648" s="18"/>
      <c r="D2648" s="18"/>
      <c r="E2648" s="18"/>
      <c r="F2648" s="18"/>
      <c r="G2648" s="18"/>
      <c r="H2648" s="18"/>
      <c r="I2648" s="18"/>
      <c r="J2648" s="18"/>
      <c r="K2648" s="18"/>
      <c r="L2648" s="18"/>
      <c r="M2648" s="18"/>
      <c r="N2648" s="18"/>
      <c r="O2648" s="18"/>
      <c r="P2648" s="18"/>
      <c r="Q2648" s="18"/>
    </row>
    <row r="2649" spans="1:17">
      <c r="A2649" s="18"/>
      <c r="B2649" s="18"/>
      <c r="C2649" s="18"/>
      <c r="D2649" s="18"/>
      <c r="E2649" s="18"/>
      <c r="F2649" s="18"/>
      <c r="G2649" s="18"/>
      <c r="H2649" s="18"/>
      <c r="I2649" s="18"/>
      <c r="J2649" s="18"/>
      <c r="K2649" s="18"/>
      <c r="L2649" s="18"/>
      <c r="M2649" s="18"/>
      <c r="N2649" s="18"/>
      <c r="O2649" s="18"/>
      <c r="P2649" s="18"/>
      <c r="Q2649" s="18"/>
    </row>
    <row r="2650" spans="1:17">
      <c r="A2650" s="149"/>
      <c r="B2650" s="18"/>
      <c r="C2650" s="18"/>
      <c r="D2650" s="18"/>
      <c r="E2650" s="18"/>
      <c r="F2650" s="18"/>
      <c r="G2650" s="18"/>
      <c r="H2650" s="18"/>
      <c r="I2650" s="18"/>
      <c r="J2650" s="18"/>
      <c r="K2650" s="18"/>
      <c r="L2650" s="18"/>
      <c r="M2650" s="18"/>
      <c r="N2650" s="18"/>
      <c r="O2650" s="18"/>
      <c r="P2650" s="18"/>
      <c r="Q2650" s="18"/>
    </row>
    <row r="2651" spans="1:17">
      <c r="A2651" s="18"/>
      <c r="B2651" s="18"/>
      <c r="C2651" s="18"/>
      <c r="D2651" s="18"/>
      <c r="E2651" s="18"/>
      <c r="F2651" s="18"/>
      <c r="G2651" s="18"/>
      <c r="H2651" s="18"/>
      <c r="I2651" s="18"/>
      <c r="J2651" s="18"/>
      <c r="K2651" s="18"/>
      <c r="L2651" s="18"/>
      <c r="M2651" s="18"/>
      <c r="N2651" s="18"/>
      <c r="O2651" s="18"/>
      <c r="P2651" s="18"/>
      <c r="Q2651" s="18"/>
    </row>
    <row r="2652" spans="1:17">
      <c r="A2652" s="18"/>
      <c r="B2652" s="18"/>
      <c r="C2652" s="18"/>
      <c r="D2652" s="18"/>
      <c r="E2652" s="18"/>
      <c r="F2652" s="18"/>
      <c r="G2652" s="18"/>
      <c r="H2652" s="18"/>
      <c r="I2652" s="18"/>
      <c r="J2652" s="18"/>
      <c r="K2652" s="18"/>
      <c r="L2652" s="18"/>
      <c r="M2652" s="18"/>
      <c r="N2652" s="18"/>
      <c r="O2652" s="18"/>
      <c r="P2652" s="18"/>
      <c r="Q2652" s="18"/>
    </row>
    <row r="2653" spans="1:17">
      <c r="A2653" s="149"/>
      <c r="B2653" s="18"/>
      <c r="C2653" s="18"/>
      <c r="D2653" s="18"/>
      <c r="E2653" s="18"/>
      <c r="F2653" s="18"/>
      <c r="G2653" s="18"/>
      <c r="H2653" s="18"/>
      <c r="I2653" s="18"/>
      <c r="J2653" s="18"/>
      <c r="K2653" s="18"/>
      <c r="L2653" s="18"/>
      <c r="M2653" s="18"/>
      <c r="N2653" s="18"/>
      <c r="O2653" s="18"/>
      <c r="P2653" s="18"/>
      <c r="Q2653" s="18"/>
    </row>
    <row r="2654" spans="1:17">
      <c r="A2654" s="18"/>
      <c r="B2654" s="18"/>
      <c r="C2654" s="18"/>
      <c r="D2654" s="18"/>
      <c r="E2654" s="18"/>
      <c r="F2654" s="18"/>
      <c r="G2654" s="18"/>
      <c r="H2654" s="18"/>
      <c r="I2654" s="18"/>
      <c r="J2654" s="18"/>
      <c r="K2654" s="18"/>
      <c r="L2654" s="18"/>
      <c r="M2654" s="18"/>
      <c r="N2654" s="18"/>
      <c r="O2654" s="18"/>
      <c r="P2654" s="18"/>
      <c r="Q2654" s="18"/>
    </row>
    <row r="2655" spans="1:17">
      <c r="A2655" s="149"/>
      <c r="B2655" s="18"/>
      <c r="C2655" s="18"/>
      <c r="D2655" s="18"/>
      <c r="E2655" s="18"/>
      <c r="F2655" s="18"/>
      <c r="G2655" s="18"/>
      <c r="H2655" s="18"/>
      <c r="I2655" s="18"/>
      <c r="J2655" s="18"/>
      <c r="K2655" s="18"/>
      <c r="L2655" s="18"/>
      <c r="M2655" s="18"/>
      <c r="N2655" s="18"/>
      <c r="O2655" s="18"/>
      <c r="P2655" s="18"/>
      <c r="Q2655" s="18"/>
    </row>
    <row r="2656" spans="1:17">
      <c r="A2656" s="18"/>
      <c r="B2656" s="18"/>
      <c r="C2656" s="18"/>
      <c r="D2656" s="18"/>
      <c r="E2656" s="18"/>
      <c r="F2656" s="18"/>
      <c r="G2656" s="18"/>
      <c r="H2656" s="18"/>
      <c r="I2656" s="18"/>
      <c r="J2656" s="18"/>
      <c r="K2656" s="18"/>
      <c r="L2656" s="18"/>
      <c r="M2656" s="18"/>
      <c r="N2656" s="18"/>
      <c r="O2656" s="18"/>
      <c r="P2656" s="18"/>
      <c r="Q2656" s="18"/>
    </row>
    <row r="2657" spans="1:17">
      <c r="A2657" s="149"/>
      <c r="B2657" s="18"/>
      <c r="C2657" s="18"/>
      <c r="D2657" s="18"/>
      <c r="E2657" s="18"/>
      <c r="F2657" s="18"/>
      <c r="G2657" s="18"/>
      <c r="H2657" s="18"/>
      <c r="I2657" s="18"/>
      <c r="J2657" s="18"/>
      <c r="K2657" s="18"/>
      <c r="L2657" s="18"/>
      <c r="M2657" s="18"/>
      <c r="N2657" s="18"/>
      <c r="O2657" s="18"/>
      <c r="P2657" s="18"/>
      <c r="Q2657" s="18"/>
    </row>
    <row r="2658" spans="1:17">
      <c r="A2658" s="18"/>
      <c r="B2658" s="18"/>
      <c r="C2658" s="18"/>
      <c r="D2658" s="18"/>
      <c r="E2658" s="18"/>
      <c r="F2658" s="18"/>
      <c r="G2658" s="18"/>
      <c r="H2658" s="18"/>
      <c r="I2658" s="18"/>
      <c r="J2658" s="18"/>
      <c r="K2658" s="18"/>
      <c r="L2658" s="18"/>
      <c r="M2658" s="18"/>
      <c r="N2658" s="18"/>
      <c r="O2658" s="18"/>
      <c r="P2658" s="18"/>
      <c r="Q2658" s="18"/>
    </row>
    <row r="2659" spans="1:17">
      <c r="A2659" s="149"/>
      <c r="B2659" s="18"/>
      <c r="C2659" s="18"/>
      <c r="D2659" s="18"/>
      <c r="E2659" s="18"/>
      <c r="F2659" s="18"/>
      <c r="G2659" s="18"/>
      <c r="H2659" s="18"/>
      <c r="I2659" s="18"/>
      <c r="J2659" s="18"/>
      <c r="K2659" s="18"/>
      <c r="L2659" s="18"/>
      <c r="M2659" s="18"/>
      <c r="N2659" s="18"/>
      <c r="O2659" s="18"/>
      <c r="P2659" s="18"/>
      <c r="Q2659" s="18"/>
    </row>
    <row r="2660" spans="1:17">
      <c r="A2660" s="18"/>
      <c r="B2660" s="18"/>
      <c r="C2660" s="18"/>
      <c r="D2660" s="18"/>
      <c r="E2660" s="18"/>
      <c r="F2660" s="18"/>
      <c r="G2660" s="18"/>
      <c r="H2660" s="18"/>
      <c r="I2660" s="18"/>
      <c r="J2660" s="18"/>
      <c r="K2660" s="18"/>
      <c r="L2660" s="18"/>
      <c r="M2660" s="18"/>
      <c r="N2660" s="18"/>
      <c r="O2660" s="18"/>
      <c r="P2660" s="18"/>
      <c r="Q2660" s="18"/>
    </row>
    <row r="2661" spans="1:17">
      <c r="A2661" s="149"/>
      <c r="B2661" s="18"/>
      <c r="C2661" s="18"/>
      <c r="D2661" s="18"/>
      <c r="E2661" s="18"/>
      <c r="F2661" s="18"/>
      <c r="G2661" s="18"/>
      <c r="H2661" s="18"/>
      <c r="I2661" s="18"/>
      <c r="J2661" s="18"/>
      <c r="K2661" s="18"/>
      <c r="L2661" s="18"/>
      <c r="M2661" s="18"/>
      <c r="N2661" s="18"/>
      <c r="O2661" s="18"/>
      <c r="P2661" s="18"/>
      <c r="Q2661" s="18"/>
    </row>
    <row r="2662" spans="1:17">
      <c r="A2662" s="18"/>
      <c r="B2662" s="18"/>
      <c r="C2662" s="18"/>
      <c r="D2662" s="18"/>
      <c r="E2662" s="18"/>
      <c r="F2662" s="18"/>
      <c r="G2662" s="18"/>
      <c r="H2662" s="18"/>
      <c r="I2662" s="18"/>
      <c r="J2662" s="18"/>
      <c r="K2662" s="18"/>
      <c r="L2662" s="18"/>
      <c r="M2662" s="18"/>
      <c r="N2662" s="18"/>
      <c r="O2662" s="18"/>
      <c r="P2662" s="18"/>
      <c r="Q2662" s="18"/>
    </row>
    <row r="2663" spans="1:17">
      <c r="A2663" s="149"/>
      <c r="B2663" s="18"/>
      <c r="C2663" s="18"/>
      <c r="D2663" s="18"/>
      <c r="E2663" s="18"/>
      <c r="F2663" s="18"/>
      <c r="G2663" s="18"/>
      <c r="H2663" s="18"/>
      <c r="I2663" s="18"/>
      <c r="J2663" s="18"/>
      <c r="K2663" s="18"/>
      <c r="L2663" s="18"/>
      <c r="M2663" s="18"/>
      <c r="N2663" s="18"/>
      <c r="O2663" s="18"/>
      <c r="P2663" s="18"/>
      <c r="Q2663" s="18"/>
    </row>
    <row r="2664" spans="1:17">
      <c r="A2664" s="18"/>
      <c r="B2664" s="18"/>
      <c r="C2664" s="18"/>
      <c r="D2664" s="18"/>
      <c r="E2664" s="18"/>
      <c r="F2664" s="18"/>
      <c r="G2664" s="18"/>
      <c r="H2664" s="18"/>
      <c r="I2664" s="18"/>
      <c r="J2664" s="18"/>
      <c r="K2664" s="18"/>
      <c r="L2664" s="18"/>
      <c r="M2664" s="18"/>
      <c r="N2664" s="18"/>
      <c r="O2664" s="18"/>
      <c r="P2664" s="18"/>
      <c r="Q2664" s="18"/>
    </row>
    <row r="2665" spans="1:17">
      <c r="A2665" s="149"/>
      <c r="B2665" s="18"/>
      <c r="C2665" s="18"/>
      <c r="D2665" s="18"/>
      <c r="E2665" s="18"/>
      <c r="F2665" s="18"/>
      <c r="G2665" s="18"/>
      <c r="H2665" s="18"/>
      <c r="I2665" s="18"/>
      <c r="J2665" s="18"/>
      <c r="K2665" s="18"/>
      <c r="L2665" s="18"/>
      <c r="M2665" s="18"/>
      <c r="N2665" s="18"/>
      <c r="O2665" s="18"/>
      <c r="P2665" s="18"/>
      <c r="Q2665" s="18"/>
    </row>
    <row r="2666" spans="1:17">
      <c r="A2666" s="18"/>
      <c r="B2666" s="18"/>
      <c r="C2666" s="18"/>
      <c r="D2666" s="18"/>
      <c r="E2666" s="18"/>
      <c r="F2666" s="18"/>
      <c r="G2666" s="18"/>
      <c r="H2666" s="18"/>
      <c r="I2666" s="18"/>
      <c r="J2666" s="18"/>
      <c r="K2666" s="18"/>
      <c r="L2666" s="18"/>
      <c r="M2666" s="18"/>
      <c r="N2666" s="18"/>
      <c r="O2666" s="18"/>
      <c r="P2666" s="18"/>
      <c r="Q2666" s="18"/>
    </row>
    <row r="2667" spans="1:17">
      <c r="A2667" s="149"/>
      <c r="B2667" s="18"/>
      <c r="C2667" s="18"/>
      <c r="D2667" s="18"/>
      <c r="E2667" s="18"/>
      <c r="F2667" s="18"/>
      <c r="G2667" s="18"/>
      <c r="H2667" s="18"/>
      <c r="I2667" s="18"/>
      <c r="J2667" s="18"/>
      <c r="K2667" s="18"/>
      <c r="L2667" s="18"/>
      <c r="M2667" s="18"/>
      <c r="N2667" s="18"/>
      <c r="O2667" s="18"/>
      <c r="P2667" s="18"/>
      <c r="Q2667" s="18"/>
    </row>
    <row r="2668" spans="1:17">
      <c r="A2668" s="18"/>
      <c r="B2668" s="18"/>
      <c r="C2668" s="18"/>
      <c r="D2668" s="18"/>
      <c r="E2668" s="18"/>
      <c r="F2668" s="18"/>
      <c r="G2668" s="18"/>
      <c r="H2668" s="18"/>
      <c r="I2668" s="18"/>
      <c r="J2668" s="18"/>
      <c r="K2668" s="18"/>
      <c r="L2668" s="18"/>
      <c r="M2668" s="18"/>
      <c r="N2668" s="18"/>
      <c r="O2668" s="18"/>
      <c r="P2668" s="18"/>
      <c r="Q2668" s="18"/>
    </row>
    <row r="2669" spans="1:17">
      <c r="A2669" s="18"/>
      <c r="B2669" s="18"/>
      <c r="C2669" s="18"/>
      <c r="D2669" s="18"/>
      <c r="E2669" s="18"/>
      <c r="F2669" s="18"/>
      <c r="G2669" s="18"/>
      <c r="H2669" s="18"/>
      <c r="I2669" s="18"/>
      <c r="J2669" s="18"/>
      <c r="K2669" s="18"/>
      <c r="L2669" s="18"/>
      <c r="M2669" s="18"/>
      <c r="N2669" s="18"/>
      <c r="O2669" s="18"/>
      <c r="P2669" s="18"/>
      <c r="Q2669" s="18"/>
    </row>
    <row r="2670" spans="1:17">
      <c r="A2670" s="18"/>
      <c r="B2670" s="18"/>
      <c r="C2670" s="18"/>
      <c r="D2670" s="18"/>
      <c r="E2670" s="18"/>
      <c r="F2670" s="18"/>
      <c r="G2670" s="18"/>
      <c r="H2670" s="18"/>
      <c r="I2670" s="18"/>
      <c r="J2670" s="18"/>
      <c r="K2670" s="18"/>
      <c r="L2670" s="18"/>
      <c r="M2670" s="18"/>
      <c r="N2670" s="18"/>
      <c r="O2670" s="18"/>
      <c r="P2670" s="18"/>
      <c r="Q2670" s="18"/>
    </row>
    <row r="2671" spans="1:17">
      <c r="A2671" s="18"/>
      <c r="B2671" s="18"/>
      <c r="C2671" s="18"/>
      <c r="D2671" s="18"/>
      <c r="E2671" s="18"/>
      <c r="F2671" s="18"/>
      <c r="G2671" s="18"/>
      <c r="H2671" s="18"/>
      <c r="I2671" s="18"/>
      <c r="J2671" s="18"/>
      <c r="K2671" s="18"/>
      <c r="L2671" s="18"/>
      <c r="M2671" s="18"/>
      <c r="N2671" s="18"/>
      <c r="O2671" s="18"/>
      <c r="P2671" s="18"/>
      <c r="Q2671" s="18"/>
    </row>
    <row r="2672" spans="1:17">
      <c r="A2672" s="18"/>
      <c r="B2672" s="18"/>
      <c r="C2672" s="18"/>
      <c r="D2672" s="18"/>
      <c r="E2672" s="18"/>
      <c r="F2672" s="18"/>
      <c r="G2672" s="18"/>
      <c r="H2672" s="18"/>
      <c r="I2672" s="18"/>
      <c r="J2672" s="18"/>
      <c r="K2672" s="18"/>
      <c r="L2672" s="18"/>
      <c r="M2672" s="18"/>
      <c r="N2672" s="18"/>
      <c r="O2672" s="18"/>
      <c r="P2672" s="18"/>
      <c r="Q2672" s="18"/>
    </row>
    <row r="2673" spans="1:17">
      <c r="A2673" s="18"/>
      <c r="B2673" s="18"/>
      <c r="C2673" s="18"/>
      <c r="D2673" s="18"/>
      <c r="E2673" s="18"/>
      <c r="F2673" s="18"/>
      <c r="G2673" s="18"/>
      <c r="H2673" s="18"/>
      <c r="I2673" s="18"/>
      <c r="J2673" s="18"/>
      <c r="K2673" s="18"/>
      <c r="L2673" s="18"/>
      <c r="M2673" s="18"/>
      <c r="N2673" s="18"/>
      <c r="O2673" s="18"/>
      <c r="P2673" s="18"/>
      <c r="Q2673" s="18"/>
    </row>
    <row r="2674" spans="1:17">
      <c r="A2674" s="18"/>
      <c r="B2674" s="18"/>
      <c r="C2674" s="18"/>
      <c r="D2674" s="18"/>
      <c r="E2674" s="18"/>
      <c r="F2674" s="18"/>
      <c r="G2674" s="18"/>
      <c r="H2674" s="18"/>
      <c r="I2674" s="18"/>
      <c r="J2674" s="18"/>
      <c r="K2674" s="18"/>
      <c r="L2674" s="18"/>
      <c r="M2674" s="18"/>
      <c r="N2674" s="18"/>
      <c r="O2674" s="18"/>
      <c r="P2674" s="18"/>
      <c r="Q2674" s="18"/>
    </row>
    <row r="2675" spans="1:17">
      <c r="A2675" s="18"/>
      <c r="B2675" s="18"/>
      <c r="C2675" s="18"/>
      <c r="D2675" s="18"/>
      <c r="E2675" s="18"/>
      <c r="F2675" s="18"/>
      <c r="G2675" s="18"/>
      <c r="H2675" s="18"/>
      <c r="I2675" s="18"/>
      <c r="J2675" s="18"/>
      <c r="K2675" s="18"/>
      <c r="L2675" s="18"/>
      <c r="M2675" s="18"/>
      <c r="N2675" s="18"/>
      <c r="O2675" s="18"/>
      <c r="P2675" s="18"/>
      <c r="Q2675" s="18"/>
    </row>
    <row r="2676" spans="1:17">
      <c r="A2676" s="149"/>
      <c r="B2676" s="18"/>
      <c r="C2676" s="18"/>
      <c r="D2676" s="18"/>
      <c r="E2676" s="18"/>
      <c r="F2676" s="18"/>
      <c r="G2676" s="18"/>
      <c r="H2676" s="18"/>
      <c r="I2676" s="18"/>
      <c r="J2676" s="18"/>
      <c r="K2676" s="18"/>
      <c r="L2676" s="18"/>
      <c r="M2676" s="18"/>
      <c r="N2676" s="18"/>
      <c r="O2676" s="18"/>
      <c r="P2676" s="18"/>
      <c r="Q2676" s="18"/>
    </row>
    <row r="2677" spans="1:17">
      <c r="A2677" s="18"/>
      <c r="B2677" s="18"/>
      <c r="C2677" s="18"/>
      <c r="D2677" s="18"/>
      <c r="E2677" s="18"/>
      <c r="F2677" s="18"/>
      <c r="G2677" s="18"/>
      <c r="H2677" s="18"/>
      <c r="I2677" s="18"/>
      <c r="J2677" s="18"/>
      <c r="K2677" s="18"/>
      <c r="L2677" s="18"/>
      <c r="M2677" s="18"/>
      <c r="N2677" s="18"/>
      <c r="O2677" s="18"/>
      <c r="P2677" s="18"/>
      <c r="Q2677" s="18"/>
    </row>
    <row r="2678" spans="1:17">
      <c r="A2678" s="18"/>
      <c r="B2678" s="18"/>
      <c r="C2678" s="18"/>
      <c r="D2678" s="18"/>
      <c r="E2678" s="18"/>
      <c r="F2678" s="18"/>
      <c r="G2678" s="18"/>
      <c r="H2678" s="18"/>
      <c r="I2678" s="18"/>
      <c r="J2678" s="18"/>
      <c r="K2678" s="18"/>
      <c r="L2678" s="18"/>
      <c r="M2678" s="18"/>
      <c r="N2678" s="18"/>
      <c r="O2678" s="18"/>
      <c r="P2678" s="18"/>
      <c r="Q2678" s="18"/>
    </row>
    <row r="2679" spans="1:17">
      <c r="A2679" s="18"/>
      <c r="B2679" s="18"/>
      <c r="C2679" s="18"/>
      <c r="D2679" s="18"/>
      <c r="E2679" s="18"/>
      <c r="F2679" s="18"/>
      <c r="G2679" s="18"/>
      <c r="H2679" s="18"/>
      <c r="I2679" s="18"/>
      <c r="J2679" s="18"/>
      <c r="K2679" s="18"/>
      <c r="L2679" s="18"/>
      <c r="M2679" s="18"/>
      <c r="N2679" s="18"/>
      <c r="O2679" s="18"/>
      <c r="P2679" s="18"/>
      <c r="Q2679" s="18"/>
    </row>
    <row r="2680" spans="1:17">
      <c r="A2680" s="18"/>
      <c r="B2680" s="18"/>
      <c r="C2680" s="18"/>
      <c r="D2680" s="18"/>
      <c r="E2680" s="18"/>
      <c r="F2680" s="18"/>
      <c r="G2680" s="18"/>
      <c r="H2680" s="18"/>
      <c r="I2680" s="18"/>
      <c r="J2680" s="18"/>
      <c r="K2680" s="18"/>
      <c r="L2680" s="18"/>
      <c r="M2680" s="18"/>
      <c r="N2680" s="18"/>
      <c r="O2680" s="18"/>
      <c r="P2680" s="18"/>
      <c r="Q2680" s="18"/>
    </row>
    <row r="2681" spans="1:17">
      <c r="A2681" s="18"/>
      <c r="B2681" s="18"/>
      <c r="C2681" s="18"/>
      <c r="D2681" s="18"/>
      <c r="E2681" s="18"/>
      <c r="F2681" s="18"/>
      <c r="G2681" s="18"/>
      <c r="H2681" s="18"/>
      <c r="I2681" s="18"/>
      <c r="J2681" s="18"/>
      <c r="K2681" s="18"/>
      <c r="L2681" s="18"/>
      <c r="M2681" s="18"/>
      <c r="N2681" s="18"/>
      <c r="O2681" s="18"/>
      <c r="P2681" s="18"/>
      <c r="Q2681" s="18"/>
    </row>
    <row r="2682" spans="1:17">
      <c r="A2682" s="18"/>
      <c r="B2682" s="18"/>
      <c r="C2682" s="18"/>
      <c r="D2682" s="18"/>
      <c r="E2682" s="18"/>
      <c r="F2682" s="18"/>
      <c r="G2682" s="18"/>
      <c r="H2682" s="18"/>
      <c r="I2682" s="18"/>
      <c r="J2682" s="18"/>
      <c r="K2682" s="18"/>
      <c r="L2682" s="18"/>
      <c r="M2682" s="18"/>
      <c r="N2682" s="18"/>
      <c r="O2682" s="18"/>
      <c r="P2682" s="18"/>
      <c r="Q2682" s="18"/>
    </row>
    <row r="2683" spans="1:17">
      <c r="A2683" s="18"/>
      <c r="B2683" s="18"/>
      <c r="C2683" s="18"/>
      <c r="D2683" s="18"/>
      <c r="E2683" s="18"/>
      <c r="F2683" s="18"/>
      <c r="G2683" s="18"/>
      <c r="H2683" s="18"/>
      <c r="I2683" s="18"/>
      <c r="J2683" s="18"/>
      <c r="K2683" s="18"/>
      <c r="L2683" s="18"/>
      <c r="M2683" s="18"/>
      <c r="N2683" s="18"/>
      <c r="O2683" s="18"/>
      <c r="P2683" s="18"/>
      <c r="Q2683" s="18"/>
    </row>
    <row r="2684" spans="1:17">
      <c r="A2684" s="149"/>
      <c r="B2684" s="18"/>
      <c r="C2684" s="18"/>
      <c r="D2684" s="18"/>
      <c r="E2684" s="18"/>
      <c r="F2684" s="18"/>
      <c r="G2684" s="18"/>
      <c r="H2684" s="18"/>
      <c r="I2684" s="18"/>
      <c r="J2684" s="18"/>
      <c r="K2684" s="18"/>
      <c r="L2684" s="18"/>
      <c r="M2684" s="18"/>
      <c r="N2684" s="18"/>
      <c r="O2684" s="18"/>
      <c r="P2684" s="18"/>
      <c r="Q2684" s="18"/>
    </row>
    <row r="2685" spans="1:17">
      <c r="A2685" s="18"/>
      <c r="B2685" s="18"/>
      <c r="C2685" s="18"/>
      <c r="D2685" s="18"/>
      <c r="E2685" s="18"/>
      <c r="F2685" s="18"/>
      <c r="G2685" s="18"/>
      <c r="H2685" s="18"/>
      <c r="I2685" s="18"/>
      <c r="J2685" s="18"/>
      <c r="K2685" s="18"/>
      <c r="L2685" s="18"/>
      <c r="M2685" s="18"/>
      <c r="N2685" s="18"/>
      <c r="O2685" s="18"/>
      <c r="P2685" s="18"/>
      <c r="Q2685" s="18"/>
    </row>
    <row r="2686" spans="1:17">
      <c r="A2686" s="149"/>
      <c r="B2686" s="18"/>
      <c r="C2686" s="18"/>
      <c r="D2686" s="18"/>
      <c r="E2686" s="18"/>
      <c r="F2686" s="18"/>
      <c r="G2686" s="18"/>
      <c r="H2686" s="18"/>
      <c r="I2686" s="18"/>
      <c r="J2686" s="18"/>
      <c r="K2686" s="18"/>
      <c r="L2686" s="18"/>
      <c r="M2686" s="18"/>
      <c r="N2686" s="18"/>
      <c r="O2686" s="18"/>
      <c r="P2686" s="18"/>
      <c r="Q2686" s="18"/>
    </row>
    <row r="2687" spans="1:17">
      <c r="A2687" s="18"/>
      <c r="B2687" s="18"/>
      <c r="C2687" s="18"/>
      <c r="D2687" s="18"/>
      <c r="E2687" s="18"/>
      <c r="F2687" s="18"/>
      <c r="G2687" s="18"/>
      <c r="H2687" s="18"/>
      <c r="I2687" s="18"/>
      <c r="J2687" s="18"/>
      <c r="K2687" s="18"/>
      <c r="L2687" s="18"/>
      <c r="M2687" s="18"/>
      <c r="N2687" s="18"/>
      <c r="O2687" s="18"/>
      <c r="P2687" s="18"/>
      <c r="Q2687" s="18"/>
    </row>
    <row r="2688" spans="1:17">
      <c r="A2688" s="18"/>
      <c r="B2688" s="18"/>
      <c r="C2688" s="18"/>
      <c r="D2688" s="18"/>
      <c r="E2688" s="18"/>
      <c r="F2688" s="18"/>
      <c r="G2688" s="18"/>
      <c r="H2688" s="18"/>
      <c r="I2688" s="18"/>
      <c r="J2688" s="18"/>
      <c r="K2688" s="18"/>
      <c r="L2688" s="18"/>
      <c r="M2688" s="18"/>
      <c r="N2688" s="18"/>
      <c r="O2688" s="18"/>
      <c r="P2688" s="18"/>
      <c r="Q2688" s="18"/>
    </row>
    <row r="2689" spans="1:17">
      <c r="A2689" s="18"/>
      <c r="B2689" s="18"/>
      <c r="C2689" s="18"/>
      <c r="D2689" s="18"/>
      <c r="E2689" s="18"/>
      <c r="F2689" s="18"/>
      <c r="G2689" s="18"/>
      <c r="H2689" s="18"/>
      <c r="I2689" s="18"/>
      <c r="J2689" s="18"/>
      <c r="K2689" s="18"/>
      <c r="L2689" s="18"/>
      <c r="M2689" s="18"/>
      <c r="N2689" s="18"/>
      <c r="O2689" s="18"/>
      <c r="P2689" s="18"/>
      <c r="Q2689" s="18"/>
    </row>
    <row r="2690" spans="1:17">
      <c r="A2690" s="149"/>
      <c r="B2690" s="18"/>
      <c r="C2690" s="18"/>
      <c r="D2690" s="18"/>
      <c r="E2690" s="18"/>
      <c r="F2690" s="18"/>
      <c r="G2690" s="18"/>
      <c r="H2690" s="1157"/>
      <c r="I2690" s="1157"/>
      <c r="J2690" s="18"/>
      <c r="K2690" s="18"/>
      <c r="L2690" s="18"/>
      <c r="M2690" s="18"/>
      <c r="N2690" s="18"/>
      <c r="O2690" s="18"/>
      <c r="P2690" s="18"/>
      <c r="Q2690" s="18"/>
    </row>
    <row r="2691" spans="1:17">
      <c r="A2691" s="18"/>
      <c r="B2691" s="18"/>
      <c r="C2691" s="18"/>
      <c r="D2691" s="18"/>
      <c r="E2691" s="18"/>
      <c r="F2691" s="18"/>
      <c r="G2691" s="150"/>
      <c r="H2691" s="1157"/>
      <c r="I2691" s="1158"/>
      <c r="J2691" s="150"/>
      <c r="K2691" s="1159"/>
      <c r="L2691" s="18"/>
      <c r="M2691" s="18"/>
      <c r="N2691" s="18"/>
      <c r="O2691" s="18"/>
      <c r="P2691" s="18"/>
      <c r="Q2691" s="18"/>
    </row>
    <row r="2692" spans="1:17">
      <c r="A2692" s="149"/>
      <c r="B2692" s="18"/>
      <c r="C2692" s="18"/>
      <c r="D2692" s="18"/>
      <c r="E2692" s="18"/>
      <c r="F2692" s="18"/>
      <c r="G2692" s="150"/>
      <c r="H2692" s="1157"/>
      <c r="I2692" s="1158"/>
      <c r="J2692" s="150"/>
      <c r="K2692" s="1160"/>
      <c r="L2692" s="18"/>
      <c r="M2692" s="18"/>
      <c r="N2692" s="18"/>
      <c r="O2692" s="18"/>
      <c r="P2692" s="18"/>
      <c r="Q2692" s="18"/>
    </row>
    <row r="2693" spans="1:17">
      <c r="A2693" s="18"/>
      <c r="B2693" s="18"/>
      <c r="C2693" s="18"/>
      <c r="D2693" s="18"/>
      <c r="E2693" s="18"/>
      <c r="F2693" s="18"/>
      <c r="G2693" s="18"/>
      <c r="H2693" s="1157"/>
      <c r="I2693" s="1158"/>
      <c r="J2693" s="18"/>
      <c r="K2693" s="18"/>
      <c r="L2693" s="18"/>
      <c r="M2693" s="18"/>
      <c r="N2693" s="18"/>
      <c r="O2693" s="18"/>
      <c r="P2693" s="18"/>
      <c r="Q2693" s="18"/>
    </row>
    <row r="2694" spans="1:17">
      <c r="A2694" s="149"/>
      <c r="B2694" s="18"/>
      <c r="C2694" s="18"/>
      <c r="D2694" s="18"/>
      <c r="E2694" s="18"/>
      <c r="F2694" s="18"/>
      <c r="G2694" s="18"/>
      <c r="H2694" s="1157"/>
      <c r="I2694" s="1158"/>
      <c r="J2694" s="18"/>
      <c r="K2694" s="18"/>
      <c r="L2694" s="18"/>
      <c r="M2694" s="18"/>
      <c r="N2694" s="18"/>
      <c r="O2694" s="18"/>
      <c r="P2694" s="18"/>
      <c r="Q2694" s="18"/>
    </row>
    <row r="2695" spans="1:17">
      <c r="A2695" s="149"/>
      <c r="B2695" s="18"/>
      <c r="C2695" s="18"/>
      <c r="D2695" s="18"/>
      <c r="E2695" s="18"/>
      <c r="F2695" s="18"/>
      <c r="G2695" s="18"/>
      <c r="H2695" s="1157"/>
      <c r="I2695" s="1158"/>
      <c r="J2695" s="18"/>
      <c r="K2695" s="18"/>
      <c r="L2695" s="18"/>
      <c r="M2695" s="18"/>
      <c r="N2695" s="18"/>
      <c r="O2695" s="18"/>
      <c r="P2695" s="18"/>
      <c r="Q2695" s="18"/>
    </row>
    <row r="2696" spans="1:17">
      <c r="A2696" s="18"/>
      <c r="B2696" s="18"/>
      <c r="C2696" s="18"/>
      <c r="D2696" s="18"/>
      <c r="E2696" s="18"/>
      <c r="F2696" s="18"/>
      <c r="G2696" s="18"/>
      <c r="H2696" s="1157"/>
      <c r="I2696" s="1158"/>
      <c r="J2696" s="18"/>
      <c r="K2696" s="18"/>
      <c r="L2696" s="18"/>
      <c r="M2696" s="18"/>
      <c r="N2696" s="18"/>
      <c r="O2696" s="18"/>
      <c r="P2696" s="18"/>
      <c r="Q2696" s="18"/>
    </row>
    <row r="2697" spans="1:17">
      <c r="A2697" s="149"/>
      <c r="B2697" s="18"/>
      <c r="C2697" s="18"/>
      <c r="D2697" s="18"/>
      <c r="E2697" s="18"/>
      <c r="F2697" s="18"/>
      <c r="G2697" s="18"/>
      <c r="H2697" s="1157"/>
      <c r="I2697" s="1158"/>
      <c r="J2697" s="18"/>
      <c r="K2697" s="18"/>
      <c r="L2697" s="18"/>
      <c r="M2697" s="18"/>
      <c r="N2697" s="18"/>
      <c r="O2697" s="18"/>
      <c r="P2697" s="18"/>
      <c r="Q2697" s="18"/>
    </row>
    <row r="2698" spans="1:17">
      <c r="A2698" s="18"/>
      <c r="B2698" s="18"/>
      <c r="C2698" s="18"/>
      <c r="D2698" s="18"/>
      <c r="E2698" s="18"/>
      <c r="F2698" s="18"/>
      <c r="G2698" s="18"/>
      <c r="H2698" s="1157"/>
      <c r="I2698" s="1158"/>
      <c r="J2698" s="18"/>
      <c r="K2698" s="18"/>
      <c r="L2698" s="18"/>
      <c r="M2698" s="18"/>
      <c r="N2698" s="18"/>
      <c r="O2698" s="18"/>
      <c r="P2698" s="18"/>
      <c r="Q2698" s="18"/>
    </row>
    <row r="2699" spans="1:17">
      <c r="A2699" s="18"/>
      <c r="B2699" s="18"/>
      <c r="C2699" s="18"/>
      <c r="D2699" s="18"/>
      <c r="E2699" s="18"/>
      <c r="F2699" s="18"/>
      <c r="G2699" s="18"/>
      <c r="H2699" s="18"/>
      <c r="I2699" s="18"/>
      <c r="J2699" s="18"/>
      <c r="K2699" s="18"/>
      <c r="L2699" s="18"/>
      <c r="M2699" s="18"/>
      <c r="N2699" s="18"/>
      <c r="O2699" s="18"/>
      <c r="P2699" s="18"/>
      <c r="Q2699" s="18"/>
    </row>
    <row r="2700" spans="1:17">
      <c r="A2700" s="149"/>
      <c r="B2700" s="18"/>
      <c r="C2700" s="18"/>
      <c r="D2700" s="18"/>
      <c r="E2700" s="18"/>
      <c r="F2700" s="18"/>
      <c r="G2700" s="18"/>
      <c r="H2700" s="18"/>
      <c r="I2700" s="18"/>
      <c r="J2700" s="18"/>
      <c r="K2700" s="18"/>
      <c r="L2700" s="18"/>
      <c r="M2700" s="18"/>
      <c r="N2700" s="18"/>
      <c r="O2700" s="18"/>
      <c r="P2700" s="18"/>
      <c r="Q2700" s="18"/>
    </row>
    <row r="2701" spans="1:17">
      <c r="A2701" s="18"/>
      <c r="B2701" s="18"/>
      <c r="C2701" s="18"/>
      <c r="D2701" s="18"/>
      <c r="E2701" s="18"/>
      <c r="F2701" s="18"/>
      <c r="G2701" s="18"/>
      <c r="H2701" s="18"/>
      <c r="I2701" s="18"/>
      <c r="J2701" s="18"/>
      <c r="K2701" s="18"/>
      <c r="L2701" s="18"/>
      <c r="M2701" s="18"/>
      <c r="N2701" s="18"/>
      <c r="O2701" s="18"/>
      <c r="P2701" s="18"/>
      <c r="Q2701" s="18"/>
    </row>
    <row r="2702" spans="1:17">
      <c r="A2702" s="18"/>
      <c r="B2702" s="18"/>
      <c r="C2702" s="18"/>
      <c r="D2702" s="18"/>
      <c r="E2702" s="18"/>
      <c r="F2702" s="18"/>
      <c r="G2702" s="18"/>
      <c r="H2702" s="18"/>
      <c r="I2702" s="18"/>
      <c r="J2702" s="18"/>
      <c r="K2702" s="18"/>
      <c r="L2702" s="18"/>
      <c r="M2702" s="18"/>
      <c r="N2702" s="18"/>
      <c r="O2702" s="18"/>
      <c r="P2702" s="18"/>
      <c r="Q2702" s="18"/>
    </row>
    <row r="2703" spans="1:17">
      <c r="A2703" s="18"/>
      <c r="B2703" s="18"/>
      <c r="C2703" s="18"/>
      <c r="D2703" s="18"/>
      <c r="E2703" s="18"/>
      <c r="F2703" s="18"/>
      <c r="G2703" s="18"/>
      <c r="H2703" s="18"/>
      <c r="I2703" s="18"/>
      <c r="J2703" s="18"/>
      <c r="K2703" s="18"/>
      <c r="L2703" s="18"/>
      <c r="M2703" s="18"/>
      <c r="N2703" s="18"/>
      <c r="O2703" s="18"/>
      <c r="P2703" s="18"/>
      <c r="Q2703" s="18"/>
    </row>
    <row r="2704" spans="1:17">
      <c r="A2704" s="149"/>
      <c r="B2704" s="18"/>
      <c r="C2704" s="18"/>
      <c r="D2704" s="18"/>
      <c r="E2704" s="18"/>
      <c r="F2704" s="18"/>
      <c r="G2704" s="18"/>
      <c r="H2704" s="18"/>
      <c r="I2704" s="18"/>
      <c r="J2704" s="18"/>
      <c r="K2704" s="18"/>
      <c r="L2704" s="18"/>
      <c r="M2704" s="18"/>
      <c r="N2704" s="18"/>
      <c r="O2704" s="18"/>
      <c r="P2704" s="18"/>
      <c r="Q2704" s="18"/>
    </row>
    <row r="2705" spans="1:17">
      <c r="A2705" s="18"/>
      <c r="B2705" s="18"/>
      <c r="C2705" s="18"/>
      <c r="D2705" s="18"/>
      <c r="E2705" s="18"/>
      <c r="F2705" s="18"/>
      <c r="G2705" s="18"/>
      <c r="H2705" s="18"/>
      <c r="I2705" s="18"/>
      <c r="J2705" s="18"/>
      <c r="K2705" s="18"/>
      <c r="L2705" s="18"/>
      <c r="M2705" s="18"/>
      <c r="N2705" s="18"/>
      <c r="O2705" s="18"/>
      <c r="P2705" s="18"/>
      <c r="Q2705" s="18"/>
    </row>
    <row r="2706" spans="1:17">
      <c r="A2706" s="18"/>
      <c r="B2706" s="18"/>
      <c r="C2706" s="18"/>
      <c r="D2706" s="18"/>
      <c r="E2706" s="18"/>
      <c r="F2706" s="18"/>
      <c r="G2706" s="18"/>
      <c r="H2706" s="18"/>
      <c r="I2706" s="18"/>
      <c r="J2706" s="18"/>
      <c r="K2706" s="18"/>
      <c r="L2706" s="18"/>
      <c r="M2706" s="18"/>
      <c r="N2706" s="18"/>
      <c r="O2706" s="18"/>
      <c r="P2706" s="18"/>
      <c r="Q2706" s="18"/>
    </row>
    <row r="2707" spans="1:17">
      <c r="A2707" s="149"/>
      <c r="B2707" s="18"/>
      <c r="C2707" s="18"/>
      <c r="D2707" s="18"/>
      <c r="E2707" s="18"/>
      <c r="F2707" s="18"/>
      <c r="G2707" s="18"/>
      <c r="H2707" s="18"/>
      <c r="I2707" s="18"/>
      <c r="J2707" s="18"/>
      <c r="K2707" s="18"/>
      <c r="L2707" s="18"/>
      <c r="M2707" s="18"/>
      <c r="N2707" s="18"/>
      <c r="O2707" s="18"/>
      <c r="P2707" s="18"/>
      <c r="Q2707" s="18"/>
    </row>
    <row r="2708" spans="1:17">
      <c r="A2708" s="18"/>
      <c r="B2708" s="18"/>
      <c r="C2708" s="18"/>
      <c r="D2708" s="18"/>
      <c r="E2708" s="18"/>
      <c r="F2708" s="18"/>
      <c r="G2708" s="18"/>
      <c r="H2708" s="18"/>
      <c r="I2708" s="18"/>
      <c r="J2708" s="18"/>
      <c r="K2708" s="18"/>
      <c r="L2708" s="18"/>
      <c r="M2708" s="18"/>
      <c r="N2708" s="18"/>
      <c r="O2708" s="18"/>
      <c r="P2708" s="18"/>
      <c r="Q2708" s="18"/>
    </row>
    <row r="2709" spans="1:17">
      <c r="A2709" s="18"/>
      <c r="B2709" s="18"/>
      <c r="C2709" s="18"/>
      <c r="D2709" s="18"/>
      <c r="E2709" s="18"/>
      <c r="F2709" s="18"/>
      <c r="G2709" s="18"/>
      <c r="H2709" s="18"/>
      <c r="I2709" s="18"/>
      <c r="J2709" s="18"/>
      <c r="K2709" s="18"/>
      <c r="L2709" s="18"/>
      <c r="M2709" s="18"/>
      <c r="N2709" s="18"/>
      <c r="O2709" s="18"/>
      <c r="P2709" s="18"/>
      <c r="Q2709" s="18"/>
    </row>
    <row r="2710" spans="1:17">
      <c r="A2710" s="149"/>
      <c r="B2710" s="18"/>
      <c r="C2710" s="18"/>
      <c r="D2710" s="18"/>
      <c r="E2710" s="18"/>
      <c r="F2710" s="18"/>
      <c r="G2710" s="18"/>
      <c r="H2710" s="18"/>
      <c r="I2710" s="18"/>
      <c r="J2710" s="18"/>
      <c r="K2710" s="18"/>
      <c r="L2710" s="18"/>
      <c r="M2710" s="18"/>
      <c r="N2710" s="18"/>
      <c r="O2710" s="18"/>
      <c r="P2710" s="18"/>
      <c r="Q2710" s="18"/>
    </row>
    <row r="2711" spans="1:17">
      <c r="A2711" s="18"/>
      <c r="B2711" s="18"/>
      <c r="C2711" s="18"/>
      <c r="D2711" s="18"/>
      <c r="E2711" s="18"/>
      <c r="F2711" s="18"/>
      <c r="G2711" s="18"/>
      <c r="H2711" s="18"/>
      <c r="I2711" s="18"/>
      <c r="J2711" s="18"/>
      <c r="K2711" s="18"/>
      <c r="L2711" s="18"/>
      <c r="M2711" s="18"/>
      <c r="N2711" s="18"/>
      <c r="O2711" s="18"/>
      <c r="P2711" s="18"/>
      <c r="Q2711" s="18"/>
    </row>
    <row r="2712" spans="1:17">
      <c r="A2712" s="18"/>
      <c r="B2712" s="18"/>
      <c r="C2712" s="18"/>
      <c r="D2712" s="18"/>
      <c r="E2712" s="18"/>
      <c r="F2712" s="18"/>
      <c r="G2712" s="18"/>
      <c r="H2712" s="18"/>
      <c r="I2712" s="18"/>
      <c r="J2712" s="18"/>
      <c r="K2712" s="18"/>
      <c r="L2712" s="18"/>
      <c r="M2712" s="18"/>
      <c r="N2712" s="18"/>
      <c r="O2712" s="18"/>
      <c r="P2712" s="18"/>
      <c r="Q2712" s="18"/>
    </row>
    <row r="2713" spans="1:17">
      <c r="A2713" s="18"/>
      <c r="B2713" s="18"/>
      <c r="C2713" s="18"/>
      <c r="D2713" s="18"/>
      <c r="E2713" s="18"/>
      <c r="F2713" s="18"/>
      <c r="G2713" s="18"/>
      <c r="H2713" s="18"/>
      <c r="I2713" s="18"/>
      <c r="J2713" s="18"/>
      <c r="K2713" s="18"/>
      <c r="L2713" s="18"/>
      <c r="M2713" s="18"/>
      <c r="N2713" s="18"/>
      <c r="O2713" s="18"/>
      <c r="P2713" s="18"/>
      <c r="Q2713" s="18"/>
    </row>
    <row r="2714" spans="1:17">
      <c r="A2714" s="149"/>
      <c r="B2714" s="18"/>
      <c r="C2714" s="18"/>
      <c r="D2714" s="18"/>
      <c r="E2714" s="18"/>
      <c r="F2714" s="18"/>
      <c r="G2714" s="18"/>
      <c r="H2714" s="18"/>
      <c r="I2714" s="18"/>
      <c r="J2714" s="18"/>
      <c r="K2714" s="18"/>
      <c r="L2714" s="18"/>
      <c r="M2714" s="18"/>
      <c r="N2714" s="18"/>
      <c r="O2714" s="18"/>
      <c r="P2714" s="18"/>
      <c r="Q2714" s="18"/>
    </row>
    <row r="2715" spans="1:17">
      <c r="A2715" s="18"/>
      <c r="B2715" s="18"/>
      <c r="C2715" s="18"/>
      <c r="D2715" s="18"/>
      <c r="E2715" s="18"/>
      <c r="F2715" s="18"/>
      <c r="G2715" s="18"/>
      <c r="H2715" s="18"/>
      <c r="I2715" s="18"/>
      <c r="J2715" s="18"/>
      <c r="K2715" s="18"/>
      <c r="L2715" s="18"/>
      <c r="M2715" s="18"/>
      <c r="N2715" s="18"/>
      <c r="O2715" s="18"/>
      <c r="P2715" s="18"/>
      <c r="Q2715" s="18"/>
    </row>
    <row r="2716" spans="1:17">
      <c r="A2716" s="18"/>
      <c r="B2716" s="18"/>
      <c r="C2716" s="18"/>
      <c r="D2716" s="18"/>
      <c r="E2716" s="18"/>
      <c r="F2716" s="18"/>
      <c r="G2716" s="18"/>
      <c r="H2716" s="18"/>
      <c r="I2716" s="18"/>
      <c r="J2716" s="18"/>
      <c r="K2716" s="18"/>
      <c r="L2716" s="18"/>
      <c r="M2716" s="18"/>
      <c r="N2716" s="18"/>
      <c r="O2716" s="18"/>
      <c r="P2716" s="18"/>
      <c r="Q2716" s="18"/>
    </row>
    <row r="2717" spans="1:17">
      <c r="A2717" s="149"/>
      <c r="B2717" s="18"/>
      <c r="C2717" s="18"/>
      <c r="D2717" s="18"/>
      <c r="E2717" s="18"/>
      <c r="F2717" s="18"/>
      <c r="G2717" s="18"/>
      <c r="H2717" s="18"/>
      <c r="I2717" s="18"/>
      <c r="J2717" s="18"/>
      <c r="K2717" s="18"/>
      <c r="L2717" s="18"/>
      <c r="M2717" s="18"/>
      <c r="N2717" s="18"/>
      <c r="O2717" s="18"/>
      <c r="P2717" s="18"/>
      <c r="Q2717" s="18"/>
    </row>
    <row r="2718" spans="1:17">
      <c r="A2718" s="18"/>
      <c r="B2718" s="18"/>
      <c r="C2718" s="18"/>
      <c r="D2718" s="18"/>
      <c r="E2718" s="18"/>
      <c r="F2718" s="18"/>
      <c r="G2718" s="18"/>
      <c r="H2718" s="18"/>
      <c r="I2718" s="18"/>
      <c r="J2718" s="18"/>
      <c r="K2718" s="18"/>
      <c r="L2718" s="18"/>
      <c r="M2718" s="18"/>
      <c r="N2718" s="18"/>
      <c r="O2718" s="18"/>
      <c r="P2718" s="18"/>
      <c r="Q2718" s="18"/>
    </row>
    <row r="2719" spans="1:17">
      <c r="A2719" s="18"/>
      <c r="B2719" s="18"/>
      <c r="C2719" s="18"/>
      <c r="D2719" s="18"/>
      <c r="E2719" s="18"/>
      <c r="F2719" s="18"/>
      <c r="G2719" s="18"/>
      <c r="H2719" s="18"/>
      <c r="I2719" s="18"/>
      <c r="J2719" s="18"/>
      <c r="K2719" s="18"/>
      <c r="L2719" s="18"/>
      <c r="M2719" s="18"/>
      <c r="N2719" s="18"/>
      <c r="O2719" s="18"/>
      <c r="P2719" s="18"/>
      <c r="Q2719" s="18"/>
    </row>
    <row r="2720" spans="1:17">
      <c r="A2720" s="149"/>
      <c r="B2720" s="18"/>
      <c r="C2720" s="18"/>
      <c r="D2720" s="18"/>
      <c r="E2720" s="18"/>
      <c r="F2720" s="18"/>
      <c r="G2720" s="18"/>
      <c r="H2720" s="18"/>
      <c r="I2720" s="18"/>
      <c r="J2720" s="18"/>
      <c r="K2720" s="18"/>
      <c r="L2720" s="18"/>
      <c r="M2720" s="18"/>
      <c r="N2720" s="18"/>
      <c r="O2720" s="18"/>
      <c r="P2720" s="18"/>
      <c r="Q2720" s="18"/>
    </row>
    <row r="2721" spans="1:17">
      <c r="A2721" s="18"/>
      <c r="B2721" s="18"/>
      <c r="C2721" s="18"/>
      <c r="D2721" s="18"/>
      <c r="E2721" s="18"/>
      <c r="F2721" s="18"/>
      <c r="G2721" s="18"/>
      <c r="H2721" s="18"/>
      <c r="I2721" s="18"/>
      <c r="J2721" s="18"/>
      <c r="K2721" s="18"/>
      <c r="L2721" s="18"/>
      <c r="M2721" s="18"/>
      <c r="N2721" s="18"/>
      <c r="O2721" s="18"/>
      <c r="P2721" s="18"/>
      <c r="Q2721" s="18"/>
    </row>
    <row r="2722" spans="1:17">
      <c r="A2722" s="149"/>
      <c r="B2722" s="18"/>
      <c r="C2722" s="18"/>
      <c r="D2722" s="18"/>
      <c r="E2722" s="18"/>
      <c r="F2722" s="18"/>
      <c r="G2722" s="18"/>
      <c r="H2722" s="18"/>
      <c r="I2722" s="18"/>
      <c r="J2722" s="18"/>
      <c r="K2722" s="18"/>
      <c r="L2722" s="18"/>
      <c r="M2722" s="18"/>
      <c r="N2722" s="18"/>
      <c r="O2722" s="18"/>
      <c r="P2722" s="18"/>
      <c r="Q2722" s="18"/>
    </row>
    <row r="2723" spans="1:17">
      <c r="A2723" s="18"/>
      <c r="B2723" s="18"/>
      <c r="C2723" s="18"/>
      <c r="D2723" s="18"/>
      <c r="E2723" s="18"/>
      <c r="F2723" s="18"/>
      <c r="G2723" s="18"/>
      <c r="H2723" s="18"/>
      <c r="I2723" s="18"/>
      <c r="J2723" s="18"/>
      <c r="K2723" s="18"/>
      <c r="L2723" s="18"/>
      <c r="M2723" s="18"/>
      <c r="N2723" s="18"/>
      <c r="O2723" s="18"/>
      <c r="P2723" s="18"/>
      <c r="Q2723" s="18"/>
    </row>
    <row r="2724" spans="1:17">
      <c r="A2724" s="149"/>
      <c r="B2724" s="18"/>
      <c r="C2724" s="18"/>
      <c r="D2724" s="18"/>
      <c r="E2724" s="18"/>
      <c r="F2724" s="18"/>
      <c r="G2724" s="18"/>
      <c r="H2724" s="18"/>
      <c r="I2724" s="18"/>
      <c r="J2724" s="18"/>
      <c r="K2724" s="18"/>
      <c r="L2724" s="18"/>
      <c r="M2724" s="18"/>
      <c r="N2724" s="18"/>
      <c r="O2724" s="18"/>
      <c r="P2724" s="18"/>
      <c r="Q2724" s="18"/>
    </row>
    <row r="2725" spans="1:17">
      <c r="A2725" s="18"/>
      <c r="B2725" s="18"/>
      <c r="C2725" s="18"/>
      <c r="D2725" s="18"/>
      <c r="E2725" s="18"/>
      <c r="F2725" s="18"/>
      <c r="G2725" s="18"/>
      <c r="H2725" s="18"/>
      <c r="I2725" s="18"/>
      <c r="J2725" s="18"/>
      <c r="K2725" s="18"/>
      <c r="L2725" s="18"/>
      <c r="M2725" s="18"/>
      <c r="N2725" s="18"/>
      <c r="O2725" s="18"/>
      <c r="P2725" s="18"/>
      <c r="Q2725" s="18"/>
    </row>
    <row r="2726" spans="1:17">
      <c r="A2726" s="18"/>
      <c r="B2726" s="18"/>
      <c r="C2726" s="18"/>
      <c r="D2726" s="18"/>
      <c r="E2726" s="18"/>
      <c r="F2726" s="18"/>
      <c r="G2726" s="18"/>
      <c r="H2726" s="18"/>
      <c r="I2726" s="18"/>
      <c r="J2726" s="18"/>
      <c r="K2726" s="18"/>
      <c r="L2726" s="18"/>
      <c r="M2726" s="18"/>
      <c r="N2726" s="18"/>
      <c r="O2726" s="18"/>
      <c r="P2726" s="18"/>
      <c r="Q2726" s="18"/>
    </row>
    <row r="2727" spans="1:17">
      <c r="A2727" s="149"/>
      <c r="B2727" s="18"/>
      <c r="C2727" s="18"/>
      <c r="D2727" s="18"/>
      <c r="E2727" s="18"/>
      <c r="F2727" s="18"/>
      <c r="G2727" s="18"/>
      <c r="H2727" s="18"/>
      <c r="I2727" s="18"/>
      <c r="J2727" s="18"/>
      <c r="K2727" s="18"/>
      <c r="L2727" s="18"/>
      <c r="M2727" s="18"/>
      <c r="N2727" s="18"/>
      <c r="O2727" s="18"/>
      <c r="P2727" s="18"/>
      <c r="Q2727" s="18"/>
    </row>
    <row r="2728" spans="1:17">
      <c r="A2728" s="18"/>
      <c r="B2728" s="18"/>
      <c r="C2728" s="18"/>
      <c r="D2728" s="18"/>
      <c r="E2728" s="18"/>
      <c r="F2728" s="18"/>
      <c r="G2728" s="18"/>
      <c r="H2728" s="18"/>
      <c r="I2728" s="18"/>
      <c r="J2728" s="18"/>
      <c r="K2728" s="18"/>
      <c r="L2728" s="18"/>
      <c r="M2728" s="18"/>
      <c r="N2728" s="18"/>
      <c r="O2728" s="18"/>
      <c r="P2728" s="18"/>
      <c r="Q2728" s="18"/>
    </row>
    <row r="2729" spans="1:17">
      <c r="A2729" s="18"/>
      <c r="B2729" s="18"/>
      <c r="C2729" s="18"/>
      <c r="D2729" s="18"/>
      <c r="E2729" s="18"/>
      <c r="F2729" s="18"/>
      <c r="G2729" s="18"/>
      <c r="H2729" s="18"/>
      <c r="I2729" s="18"/>
      <c r="J2729" s="18"/>
      <c r="K2729" s="18"/>
      <c r="L2729" s="18"/>
      <c r="M2729" s="18"/>
      <c r="N2729" s="18"/>
      <c r="O2729" s="18"/>
      <c r="P2729" s="18"/>
      <c r="Q2729" s="18"/>
    </row>
    <row r="2730" spans="1:17">
      <c r="A2730" s="18"/>
      <c r="B2730" s="18"/>
      <c r="C2730" s="18"/>
      <c r="D2730" s="18"/>
      <c r="E2730" s="18"/>
      <c r="F2730" s="18"/>
      <c r="G2730" s="18"/>
      <c r="H2730" s="18"/>
      <c r="I2730" s="18"/>
      <c r="J2730" s="18"/>
      <c r="K2730" s="18"/>
      <c r="L2730" s="18"/>
      <c r="M2730" s="18"/>
      <c r="N2730" s="18"/>
      <c r="O2730" s="18"/>
      <c r="P2730" s="18"/>
      <c r="Q2730" s="18"/>
    </row>
    <row r="2731" spans="1:17">
      <c r="A2731" s="18"/>
      <c r="B2731" s="18"/>
      <c r="C2731" s="18"/>
      <c r="D2731" s="18"/>
      <c r="E2731" s="18"/>
      <c r="F2731" s="18"/>
      <c r="G2731" s="18"/>
      <c r="H2731" s="18"/>
      <c r="I2731" s="18"/>
      <c r="J2731" s="18"/>
      <c r="K2731" s="18"/>
      <c r="L2731" s="18"/>
      <c r="M2731" s="18"/>
      <c r="N2731" s="18"/>
      <c r="O2731" s="18"/>
      <c r="P2731" s="18"/>
      <c r="Q2731" s="18"/>
    </row>
    <row r="2732" spans="1:17">
      <c r="A2732" s="18"/>
      <c r="B2732" s="18"/>
      <c r="C2732" s="18"/>
      <c r="D2732" s="18"/>
      <c r="E2732" s="18"/>
      <c r="F2732" s="18"/>
      <c r="G2732" s="18"/>
      <c r="H2732" s="18"/>
      <c r="I2732" s="18"/>
      <c r="J2732" s="18"/>
      <c r="K2732" s="18"/>
      <c r="L2732" s="18"/>
      <c r="M2732" s="18"/>
      <c r="N2732" s="18"/>
      <c r="O2732" s="18"/>
      <c r="P2732" s="18"/>
      <c r="Q2732" s="18"/>
    </row>
    <row r="2733" spans="1:17">
      <c r="A2733" s="18"/>
      <c r="B2733" s="18"/>
      <c r="C2733" s="18"/>
      <c r="D2733" s="18"/>
      <c r="E2733" s="18"/>
      <c r="F2733" s="18"/>
      <c r="G2733" s="18"/>
      <c r="H2733" s="18"/>
      <c r="I2733" s="18"/>
      <c r="J2733" s="18"/>
      <c r="K2733" s="18"/>
      <c r="L2733" s="18"/>
      <c r="M2733" s="18"/>
      <c r="N2733" s="18"/>
      <c r="O2733" s="18"/>
      <c r="P2733" s="18"/>
      <c r="Q2733" s="18"/>
    </row>
    <row r="2734" spans="1:17">
      <c r="A2734" s="149"/>
      <c r="B2734" s="18"/>
      <c r="C2734" s="18"/>
      <c r="D2734" s="18"/>
      <c r="E2734" s="18"/>
      <c r="F2734" s="18"/>
      <c r="G2734" s="18"/>
      <c r="H2734" s="18"/>
      <c r="I2734" s="18"/>
      <c r="J2734" s="18"/>
      <c r="K2734" s="18"/>
      <c r="L2734" s="18"/>
      <c r="M2734" s="18"/>
      <c r="N2734" s="18"/>
      <c r="O2734" s="18"/>
      <c r="P2734" s="18"/>
      <c r="Q2734" s="18"/>
    </row>
    <row r="2735" spans="1:17">
      <c r="A2735" s="18"/>
      <c r="B2735" s="18"/>
      <c r="C2735" s="18"/>
      <c r="D2735" s="18"/>
      <c r="E2735" s="18"/>
      <c r="F2735" s="18"/>
      <c r="G2735" s="18"/>
      <c r="H2735" s="18"/>
      <c r="I2735" s="18"/>
      <c r="J2735" s="18"/>
      <c r="K2735" s="18"/>
      <c r="L2735" s="18"/>
      <c r="M2735" s="18"/>
      <c r="N2735" s="18"/>
      <c r="O2735" s="18"/>
      <c r="P2735" s="18"/>
      <c r="Q2735" s="18"/>
    </row>
    <row r="2736" spans="1:17">
      <c r="A2736" s="18"/>
      <c r="B2736" s="18"/>
      <c r="C2736" s="18"/>
      <c r="D2736" s="18"/>
      <c r="E2736" s="18"/>
      <c r="F2736" s="18"/>
      <c r="G2736" s="18"/>
      <c r="H2736" s="18"/>
      <c r="I2736" s="18"/>
      <c r="J2736" s="18"/>
      <c r="K2736" s="18"/>
      <c r="L2736" s="18"/>
      <c r="M2736" s="18"/>
      <c r="N2736" s="18"/>
      <c r="O2736" s="18"/>
      <c r="P2736" s="18"/>
      <c r="Q2736" s="18"/>
    </row>
    <row r="2737" spans="1:17">
      <c r="A2737" s="18"/>
      <c r="B2737" s="18"/>
      <c r="C2737" s="18"/>
      <c r="D2737" s="18"/>
      <c r="E2737" s="18"/>
      <c r="F2737" s="18"/>
      <c r="G2737" s="18"/>
      <c r="H2737" s="18"/>
      <c r="I2737" s="18"/>
      <c r="J2737" s="18"/>
      <c r="K2737" s="18"/>
      <c r="L2737" s="18"/>
      <c r="M2737" s="18"/>
      <c r="N2737" s="18"/>
      <c r="O2737" s="18"/>
      <c r="P2737" s="18"/>
      <c r="Q2737" s="18"/>
    </row>
    <row r="2738" spans="1:17">
      <c r="A2738" s="18"/>
      <c r="B2738" s="18"/>
      <c r="C2738" s="18"/>
      <c r="D2738" s="18"/>
      <c r="E2738" s="18"/>
      <c r="F2738" s="18"/>
      <c r="G2738" s="18"/>
      <c r="H2738" s="18"/>
      <c r="I2738" s="18"/>
      <c r="J2738" s="18"/>
      <c r="K2738" s="18"/>
      <c r="L2738" s="18"/>
      <c r="M2738" s="18"/>
      <c r="N2738" s="18"/>
      <c r="O2738" s="18"/>
      <c r="P2738" s="18"/>
      <c r="Q2738" s="18"/>
    </row>
    <row r="2739" spans="1:17">
      <c r="A2739" s="18"/>
      <c r="B2739" s="18"/>
      <c r="C2739" s="18"/>
      <c r="D2739" s="18"/>
      <c r="E2739" s="18"/>
      <c r="F2739" s="18"/>
      <c r="G2739" s="18"/>
      <c r="H2739" s="18"/>
      <c r="I2739" s="18"/>
      <c r="J2739" s="18"/>
      <c r="K2739" s="18"/>
      <c r="L2739" s="18"/>
      <c r="M2739" s="18"/>
      <c r="N2739" s="18"/>
      <c r="O2739" s="18"/>
      <c r="P2739" s="18"/>
      <c r="Q2739" s="18"/>
    </row>
    <row r="2740" spans="1:17">
      <c r="A2740" s="18"/>
      <c r="B2740" s="18"/>
      <c r="C2740" s="18"/>
      <c r="D2740" s="18"/>
      <c r="E2740" s="18"/>
      <c r="F2740" s="18"/>
      <c r="G2740" s="18"/>
      <c r="H2740" s="18"/>
      <c r="I2740" s="18"/>
      <c r="J2740" s="18"/>
      <c r="K2740" s="18"/>
      <c r="L2740" s="18"/>
      <c r="M2740" s="18"/>
      <c r="N2740" s="18"/>
      <c r="O2740" s="18"/>
      <c r="P2740" s="18"/>
      <c r="Q2740" s="18"/>
    </row>
    <row r="2741" spans="1:17">
      <c r="A2741" s="18"/>
      <c r="B2741" s="18"/>
      <c r="C2741" s="18"/>
      <c r="D2741" s="18"/>
      <c r="E2741" s="18"/>
      <c r="F2741" s="18"/>
      <c r="G2741" s="18"/>
      <c r="H2741" s="18"/>
      <c r="I2741" s="18"/>
      <c r="J2741" s="18"/>
      <c r="K2741" s="18"/>
      <c r="L2741" s="18"/>
      <c r="M2741" s="18"/>
      <c r="N2741" s="18"/>
      <c r="O2741" s="18"/>
      <c r="P2741" s="18"/>
      <c r="Q2741" s="18"/>
    </row>
    <row r="2742" spans="1:17">
      <c r="A2742" s="18"/>
      <c r="B2742" s="18"/>
      <c r="C2742" s="18"/>
      <c r="D2742" s="18"/>
      <c r="E2742" s="18"/>
      <c r="F2742" s="18"/>
      <c r="G2742" s="18"/>
      <c r="H2742" s="18"/>
      <c r="I2742" s="18"/>
      <c r="J2742" s="18"/>
      <c r="K2742" s="18"/>
      <c r="L2742" s="18"/>
      <c r="M2742" s="18"/>
      <c r="N2742" s="18"/>
      <c r="O2742" s="18"/>
      <c r="P2742" s="18"/>
      <c r="Q2742" s="18"/>
    </row>
    <row r="2743" spans="1:17">
      <c r="A2743" s="18"/>
      <c r="B2743" s="18"/>
      <c r="C2743" s="18"/>
      <c r="D2743" s="18"/>
      <c r="E2743" s="18"/>
      <c r="F2743" s="18"/>
      <c r="G2743" s="18"/>
      <c r="H2743" s="18"/>
      <c r="I2743" s="18"/>
      <c r="J2743" s="18"/>
      <c r="K2743" s="18"/>
      <c r="L2743" s="18"/>
      <c r="M2743" s="18"/>
      <c r="N2743" s="18"/>
      <c r="O2743" s="18"/>
      <c r="P2743" s="18"/>
      <c r="Q2743" s="18"/>
    </row>
    <row r="2744" spans="1:17">
      <c r="A2744" s="18"/>
      <c r="B2744" s="18"/>
      <c r="C2744" s="18"/>
      <c r="D2744" s="18"/>
      <c r="E2744" s="18"/>
      <c r="F2744" s="18"/>
      <c r="G2744" s="18"/>
      <c r="H2744" s="18"/>
      <c r="I2744" s="18"/>
      <c r="J2744" s="18"/>
      <c r="K2744" s="18"/>
      <c r="L2744" s="18"/>
      <c r="M2744" s="18"/>
      <c r="N2744" s="18"/>
      <c r="O2744" s="18"/>
      <c r="P2744" s="18"/>
      <c r="Q2744" s="18"/>
    </row>
    <row r="2745" spans="1:17">
      <c r="A2745" s="149"/>
      <c r="B2745" s="18"/>
      <c r="C2745" s="18"/>
      <c r="D2745" s="18"/>
      <c r="E2745" s="18"/>
      <c r="F2745" s="18"/>
      <c r="G2745" s="18"/>
      <c r="H2745" s="18"/>
      <c r="I2745" s="18"/>
      <c r="J2745" s="18"/>
      <c r="K2745" s="18"/>
      <c r="L2745" s="18"/>
      <c r="M2745" s="18"/>
      <c r="N2745" s="18"/>
      <c r="O2745" s="18"/>
      <c r="P2745" s="18"/>
      <c r="Q2745" s="18"/>
    </row>
    <row r="2746" spans="1:17">
      <c r="A2746" s="18"/>
      <c r="B2746" s="18"/>
      <c r="C2746" s="18"/>
      <c r="D2746" s="18"/>
      <c r="E2746" s="18"/>
      <c r="F2746" s="18"/>
      <c r="G2746" s="18"/>
      <c r="H2746" s="18"/>
      <c r="I2746" s="18"/>
      <c r="J2746" s="18"/>
      <c r="K2746" s="18"/>
      <c r="L2746" s="18"/>
      <c r="M2746" s="18"/>
      <c r="N2746" s="18"/>
      <c r="O2746" s="18"/>
      <c r="P2746" s="18"/>
      <c r="Q2746" s="18"/>
    </row>
    <row r="2747" spans="1:17">
      <c r="A2747" s="18"/>
      <c r="B2747" s="18"/>
      <c r="C2747" s="18"/>
      <c r="D2747" s="18"/>
      <c r="E2747" s="18"/>
      <c r="F2747" s="18"/>
      <c r="G2747" s="18"/>
      <c r="H2747" s="18"/>
      <c r="I2747" s="18"/>
      <c r="J2747" s="18"/>
      <c r="K2747" s="18"/>
      <c r="L2747" s="18"/>
      <c r="M2747" s="18"/>
      <c r="N2747" s="18"/>
      <c r="O2747" s="18"/>
      <c r="P2747" s="18"/>
      <c r="Q2747" s="18"/>
    </row>
    <row r="2748" spans="1:17">
      <c r="A2748" s="18"/>
      <c r="B2748" s="18"/>
      <c r="C2748" s="18"/>
      <c r="D2748" s="18"/>
      <c r="E2748" s="18"/>
      <c r="F2748" s="18"/>
      <c r="G2748" s="18"/>
      <c r="H2748" s="18"/>
      <c r="I2748" s="18"/>
      <c r="J2748" s="18"/>
      <c r="K2748" s="18"/>
      <c r="L2748" s="18"/>
      <c r="M2748" s="18"/>
      <c r="N2748" s="18"/>
      <c r="O2748" s="18"/>
      <c r="P2748" s="18"/>
      <c r="Q2748" s="18"/>
    </row>
    <row r="2749" spans="1:17">
      <c r="A2749" s="18"/>
      <c r="B2749" s="18"/>
      <c r="C2749" s="18"/>
      <c r="D2749" s="18"/>
      <c r="E2749" s="18"/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8"/>
    </row>
    <row r="2750" spans="1:17">
      <c r="A2750" s="18"/>
      <c r="B2750" s="18"/>
      <c r="C2750" s="18"/>
      <c r="D2750" s="18"/>
      <c r="E2750" s="18"/>
      <c r="F2750" s="18"/>
      <c r="G2750" s="18"/>
      <c r="H2750" s="18"/>
      <c r="I2750" s="18"/>
      <c r="J2750" s="18"/>
      <c r="K2750" s="18"/>
      <c r="L2750" s="18"/>
      <c r="M2750" s="18"/>
      <c r="N2750" s="18"/>
      <c r="O2750" s="18"/>
      <c r="P2750" s="18"/>
      <c r="Q2750" s="18"/>
    </row>
    <row r="2751" spans="1:17">
      <c r="A2751" s="18"/>
      <c r="B2751" s="18"/>
      <c r="C2751" s="18"/>
      <c r="D2751" s="18"/>
      <c r="E2751" s="18"/>
      <c r="F2751" s="18"/>
      <c r="G2751" s="18"/>
      <c r="H2751" s="18"/>
      <c r="I2751" s="18"/>
      <c r="J2751" s="18"/>
      <c r="K2751" s="18"/>
      <c r="L2751" s="18"/>
      <c r="M2751" s="18"/>
      <c r="N2751" s="18"/>
      <c r="O2751" s="18"/>
      <c r="P2751" s="18"/>
      <c r="Q2751" s="18"/>
    </row>
    <row r="2752" spans="1:17">
      <c r="A2752" s="18"/>
      <c r="B2752" s="18"/>
      <c r="C2752" s="18"/>
      <c r="D2752" s="18"/>
      <c r="E2752" s="18"/>
      <c r="F2752" s="18"/>
      <c r="G2752" s="18"/>
      <c r="H2752" s="18"/>
      <c r="I2752" s="18"/>
      <c r="J2752" s="18"/>
      <c r="K2752" s="18"/>
      <c r="L2752" s="18"/>
      <c r="M2752" s="18"/>
      <c r="N2752" s="18"/>
      <c r="O2752" s="18"/>
      <c r="P2752" s="18"/>
      <c r="Q2752" s="18"/>
    </row>
    <row r="2753" spans="1:17">
      <c r="A2753" s="18"/>
      <c r="B2753" s="18"/>
      <c r="C2753" s="18"/>
      <c r="D2753" s="18"/>
      <c r="E2753" s="18"/>
      <c r="F2753" s="18"/>
      <c r="G2753" s="18"/>
      <c r="H2753" s="18"/>
      <c r="I2753" s="18"/>
      <c r="J2753" s="18"/>
      <c r="K2753" s="18"/>
      <c r="L2753" s="18"/>
      <c r="M2753" s="18"/>
      <c r="N2753" s="18"/>
      <c r="O2753" s="18"/>
      <c r="P2753" s="18"/>
      <c r="Q2753" s="18"/>
    </row>
    <row r="2754" spans="1:17">
      <c r="A2754" s="18"/>
      <c r="B2754" s="18"/>
      <c r="C2754" s="18"/>
      <c r="D2754" s="18"/>
      <c r="E2754" s="18"/>
      <c r="F2754" s="18"/>
      <c r="G2754" s="18"/>
      <c r="H2754" s="18"/>
      <c r="I2754" s="18"/>
      <c r="J2754" s="18"/>
      <c r="K2754" s="18"/>
      <c r="L2754" s="18"/>
      <c r="M2754" s="18"/>
      <c r="N2754" s="18"/>
      <c r="O2754" s="18"/>
      <c r="P2754" s="18"/>
      <c r="Q2754" s="18"/>
    </row>
    <row r="2755" spans="1:17">
      <c r="A2755" s="18"/>
      <c r="B2755" s="18"/>
      <c r="C2755" s="18"/>
      <c r="D2755" s="18"/>
      <c r="E2755" s="18"/>
      <c r="F2755" s="18"/>
      <c r="G2755" s="18"/>
      <c r="H2755" s="18"/>
      <c r="I2755" s="18"/>
      <c r="J2755" s="18"/>
      <c r="K2755" s="18"/>
      <c r="L2755" s="18"/>
      <c r="M2755" s="18"/>
      <c r="N2755" s="18"/>
      <c r="O2755" s="18"/>
      <c r="P2755" s="18"/>
      <c r="Q2755" s="18"/>
    </row>
    <row r="2756" spans="1:17">
      <c r="A2756" s="18"/>
      <c r="B2756" s="18"/>
      <c r="C2756" s="18"/>
      <c r="D2756" s="18"/>
      <c r="E2756" s="18"/>
      <c r="F2756" s="18"/>
      <c r="G2756" s="18"/>
      <c r="H2756" s="18"/>
      <c r="I2756" s="18"/>
      <c r="J2756" s="18"/>
      <c r="K2756" s="18"/>
      <c r="L2756" s="18"/>
      <c r="M2756" s="18"/>
      <c r="N2756" s="18"/>
      <c r="O2756" s="18"/>
      <c r="P2756" s="18"/>
      <c r="Q2756" s="18"/>
    </row>
    <row r="2757" spans="1:17">
      <c r="A2757" s="18"/>
      <c r="B2757" s="18"/>
      <c r="C2757" s="18"/>
      <c r="D2757" s="18"/>
      <c r="E2757" s="18"/>
      <c r="F2757" s="18"/>
      <c r="G2757" s="18"/>
      <c r="H2757" s="18"/>
      <c r="I2757" s="18"/>
      <c r="J2757" s="18"/>
      <c r="K2757" s="18"/>
      <c r="L2757" s="18"/>
      <c r="M2757" s="18"/>
      <c r="N2757" s="18"/>
      <c r="O2757" s="18"/>
      <c r="P2757" s="18"/>
      <c r="Q2757" s="18"/>
    </row>
    <row r="2758" spans="1:17">
      <c r="A2758" s="18"/>
      <c r="B2758" s="18"/>
      <c r="C2758" s="18"/>
      <c r="D2758" s="18"/>
      <c r="E2758" s="18"/>
      <c r="F2758" s="18"/>
      <c r="G2758" s="18"/>
      <c r="H2758" s="18"/>
      <c r="I2758" s="18"/>
      <c r="J2758" s="18"/>
      <c r="K2758" s="18"/>
      <c r="L2758" s="18"/>
      <c r="M2758" s="18"/>
      <c r="N2758" s="18"/>
      <c r="O2758" s="18"/>
      <c r="P2758" s="18"/>
      <c r="Q2758" s="18"/>
    </row>
    <row r="2759" spans="1:17">
      <c r="A2759" s="18"/>
      <c r="B2759" s="18"/>
      <c r="C2759" s="18"/>
      <c r="D2759" s="18"/>
      <c r="E2759" s="18"/>
      <c r="F2759" s="18"/>
      <c r="G2759" s="18"/>
      <c r="H2759" s="18"/>
      <c r="I2759" s="18"/>
      <c r="J2759" s="18"/>
      <c r="K2759" s="18"/>
      <c r="L2759" s="18"/>
      <c r="M2759" s="18"/>
      <c r="N2759" s="18"/>
      <c r="O2759" s="18"/>
      <c r="P2759" s="18"/>
      <c r="Q2759" s="18"/>
    </row>
    <row r="2760" spans="1:17">
      <c r="A2760" s="18"/>
      <c r="B2760" s="18"/>
      <c r="C2760" s="18"/>
      <c r="D2760" s="18"/>
      <c r="E2760" s="18"/>
      <c r="F2760" s="18"/>
      <c r="G2760" s="18"/>
      <c r="H2760" s="18"/>
      <c r="I2760" s="18"/>
      <c r="J2760" s="18"/>
      <c r="K2760" s="18"/>
      <c r="L2760" s="18"/>
      <c r="M2760" s="18"/>
      <c r="N2760" s="18"/>
      <c r="O2760" s="18"/>
      <c r="P2760" s="18"/>
      <c r="Q2760" s="18"/>
    </row>
    <row r="2761" spans="1:17">
      <c r="A2761" s="18"/>
      <c r="B2761" s="18"/>
      <c r="C2761" s="18"/>
      <c r="D2761" s="18"/>
      <c r="E2761" s="18"/>
      <c r="F2761" s="18"/>
      <c r="G2761" s="18"/>
      <c r="H2761" s="18"/>
      <c r="I2761" s="18"/>
      <c r="J2761" s="18"/>
      <c r="K2761" s="18"/>
      <c r="L2761" s="18"/>
      <c r="M2761" s="18"/>
      <c r="N2761" s="18"/>
      <c r="O2761" s="18"/>
      <c r="P2761" s="18"/>
      <c r="Q2761" s="18"/>
    </row>
    <row r="2762" spans="1:17">
      <c r="A2762" s="18"/>
      <c r="B2762" s="18"/>
      <c r="C2762" s="18"/>
      <c r="D2762" s="18"/>
      <c r="E2762" s="18"/>
      <c r="F2762" s="18"/>
      <c r="G2762" s="18"/>
      <c r="H2762" s="18"/>
      <c r="I2762" s="18"/>
      <c r="J2762" s="18"/>
      <c r="K2762" s="18"/>
      <c r="L2762" s="18"/>
      <c r="M2762" s="18"/>
      <c r="N2762" s="18"/>
      <c r="O2762" s="18"/>
      <c r="P2762" s="18"/>
      <c r="Q2762" s="18"/>
    </row>
    <row r="2763" spans="1:17">
      <c r="A2763" s="18"/>
      <c r="B2763" s="18"/>
      <c r="C2763" s="18"/>
      <c r="D2763" s="18"/>
      <c r="E2763" s="18"/>
      <c r="F2763" s="18"/>
      <c r="G2763" s="18"/>
      <c r="H2763" s="18"/>
      <c r="I2763" s="18"/>
      <c r="J2763" s="18"/>
      <c r="K2763" s="18"/>
      <c r="L2763" s="18"/>
      <c r="M2763" s="18"/>
      <c r="N2763" s="18"/>
      <c r="O2763" s="18"/>
      <c r="P2763" s="18"/>
      <c r="Q2763" s="18"/>
    </row>
    <row r="2764" spans="1:17">
      <c r="A2764" s="18"/>
      <c r="B2764" s="18"/>
      <c r="C2764" s="18"/>
      <c r="D2764" s="18"/>
      <c r="E2764" s="18"/>
      <c r="F2764" s="18"/>
      <c r="G2764" s="18"/>
      <c r="H2764" s="18"/>
      <c r="I2764" s="18"/>
      <c r="J2764" s="18"/>
      <c r="K2764" s="18"/>
      <c r="L2764" s="18"/>
      <c r="M2764" s="18"/>
      <c r="N2764" s="18"/>
      <c r="O2764" s="18"/>
      <c r="P2764" s="18"/>
      <c r="Q2764" s="18"/>
    </row>
    <row r="2765" spans="1:17">
      <c r="A2765" s="18"/>
      <c r="B2765" s="18"/>
      <c r="C2765" s="18"/>
      <c r="D2765" s="18"/>
      <c r="E2765" s="18"/>
      <c r="F2765" s="18"/>
      <c r="G2765" s="18"/>
      <c r="H2765" s="18"/>
      <c r="I2765" s="18"/>
      <c r="J2765" s="18"/>
      <c r="K2765" s="18"/>
      <c r="L2765" s="18"/>
      <c r="M2765" s="18"/>
      <c r="N2765" s="18"/>
      <c r="O2765" s="18"/>
      <c r="P2765" s="18"/>
      <c r="Q2765" s="18"/>
    </row>
    <row r="2766" spans="1:17">
      <c r="A2766" s="18"/>
      <c r="B2766" s="18"/>
      <c r="C2766" s="18"/>
      <c r="D2766" s="18"/>
      <c r="E2766" s="18"/>
      <c r="F2766" s="18"/>
      <c r="G2766" s="18"/>
      <c r="H2766" s="18"/>
      <c r="I2766" s="18"/>
      <c r="J2766" s="18"/>
      <c r="K2766" s="18"/>
      <c r="L2766" s="18"/>
      <c r="M2766" s="18"/>
      <c r="N2766" s="18"/>
      <c r="O2766" s="18"/>
      <c r="P2766" s="18"/>
      <c r="Q2766" s="18"/>
    </row>
    <row r="2767" spans="1:17">
      <c r="A2767" s="18"/>
      <c r="B2767" s="18"/>
      <c r="C2767" s="18"/>
      <c r="D2767" s="18"/>
      <c r="E2767" s="18"/>
      <c r="F2767" s="18"/>
      <c r="G2767" s="18"/>
      <c r="H2767" s="18"/>
      <c r="I2767" s="18"/>
      <c r="J2767" s="18"/>
      <c r="K2767" s="18"/>
      <c r="L2767" s="18"/>
      <c r="M2767" s="18"/>
      <c r="N2767" s="18"/>
      <c r="O2767" s="18"/>
      <c r="P2767" s="18"/>
      <c r="Q2767" s="18"/>
    </row>
    <row r="2768" spans="1:17">
      <c r="A2768" s="18"/>
      <c r="B2768" s="18"/>
      <c r="C2768" s="18"/>
      <c r="D2768" s="18"/>
      <c r="E2768" s="18"/>
      <c r="F2768" s="18"/>
      <c r="G2768" s="18"/>
      <c r="H2768" s="18"/>
      <c r="I2768" s="18"/>
      <c r="J2768" s="18"/>
      <c r="K2768" s="18"/>
      <c r="L2768" s="18"/>
      <c r="M2768" s="18"/>
      <c r="N2768" s="18"/>
      <c r="O2768" s="18"/>
      <c r="P2768" s="18"/>
      <c r="Q2768" s="18"/>
    </row>
    <row r="2769" spans="1:17">
      <c r="A2769" s="18"/>
      <c r="B2769" s="18"/>
      <c r="C2769" s="18"/>
      <c r="D2769" s="18"/>
      <c r="E2769" s="18"/>
      <c r="F2769" s="18"/>
      <c r="G2769" s="18"/>
      <c r="H2769" s="18"/>
      <c r="I2769" s="18"/>
      <c r="J2769" s="18"/>
      <c r="K2769" s="18"/>
      <c r="L2769" s="18"/>
      <c r="M2769" s="18"/>
      <c r="N2769" s="18"/>
      <c r="O2769" s="18"/>
      <c r="P2769" s="18"/>
      <c r="Q2769" s="18"/>
    </row>
    <row r="2770" spans="1:17">
      <c r="A2770" s="18"/>
      <c r="B2770" s="18"/>
      <c r="C2770" s="18"/>
      <c r="D2770" s="18"/>
      <c r="E2770" s="18"/>
      <c r="F2770" s="18"/>
      <c r="G2770" s="18"/>
      <c r="H2770" s="18"/>
      <c r="I2770" s="18"/>
      <c r="J2770" s="18"/>
      <c r="K2770" s="18"/>
      <c r="L2770" s="18"/>
      <c r="M2770" s="18"/>
      <c r="N2770" s="18"/>
      <c r="O2770" s="18"/>
      <c r="P2770" s="18"/>
      <c r="Q2770" s="18"/>
    </row>
    <row r="2771" spans="1:17">
      <c r="A2771" s="149"/>
      <c r="B2771" s="18"/>
      <c r="C2771" s="18"/>
      <c r="D2771" s="18"/>
      <c r="E2771" s="18"/>
      <c r="F2771" s="18"/>
      <c r="G2771" s="18"/>
      <c r="H2771" s="18"/>
      <c r="I2771" s="18"/>
      <c r="J2771" s="18"/>
      <c r="K2771" s="18"/>
      <c r="L2771" s="18"/>
      <c r="M2771" s="18"/>
      <c r="N2771" s="18"/>
      <c r="O2771" s="18"/>
      <c r="P2771" s="18"/>
      <c r="Q2771" s="18"/>
    </row>
    <row r="2772" spans="1:17">
      <c r="A2772" s="18"/>
      <c r="B2772" s="18"/>
      <c r="C2772" s="18"/>
      <c r="D2772" s="18"/>
      <c r="E2772" s="18"/>
      <c r="F2772" s="18"/>
      <c r="G2772" s="18"/>
      <c r="H2772" s="18"/>
      <c r="I2772" s="18"/>
      <c r="J2772" s="18"/>
      <c r="K2772" s="18"/>
      <c r="L2772" s="18"/>
      <c r="M2772" s="18"/>
      <c r="N2772" s="18"/>
      <c r="O2772" s="18"/>
      <c r="P2772" s="18"/>
      <c r="Q2772" s="18"/>
    </row>
    <row r="2773" spans="1:17">
      <c r="A2773" s="18"/>
      <c r="B2773" s="18"/>
      <c r="C2773" s="18"/>
      <c r="D2773" s="150"/>
      <c r="E2773" s="18"/>
      <c r="F2773" s="18"/>
      <c r="G2773" s="18"/>
      <c r="H2773" s="18"/>
      <c r="I2773" s="18"/>
      <c r="J2773" s="18"/>
      <c r="K2773" s="18"/>
      <c r="L2773" s="18"/>
      <c r="M2773" s="18"/>
      <c r="N2773" s="18"/>
      <c r="O2773" s="18"/>
      <c r="P2773" s="18"/>
      <c r="Q2773" s="18"/>
    </row>
    <row r="2774" spans="1:17">
      <c r="A2774" s="18"/>
      <c r="B2774" s="18"/>
      <c r="C2774" s="18"/>
      <c r="D2774" s="150"/>
      <c r="E2774" s="18"/>
      <c r="F2774" s="18"/>
      <c r="G2774" s="18"/>
      <c r="H2774" s="18"/>
      <c r="I2774" s="18"/>
      <c r="J2774" s="18"/>
      <c r="K2774" s="18"/>
      <c r="L2774" s="18"/>
      <c r="M2774" s="18"/>
      <c r="N2774" s="18"/>
      <c r="O2774" s="18"/>
      <c r="P2774" s="18"/>
      <c r="Q2774" s="18"/>
    </row>
    <row r="2775" spans="1:17">
      <c r="A2775" s="150"/>
      <c r="B2775" s="150"/>
      <c r="C2775" s="1161"/>
      <c r="D2775" s="150"/>
      <c r="E2775" s="18"/>
      <c r="F2775" s="18"/>
      <c r="G2775" s="18"/>
      <c r="H2775" s="18"/>
      <c r="I2775" s="18"/>
      <c r="J2775" s="18"/>
      <c r="K2775" s="18"/>
      <c r="L2775" s="18"/>
      <c r="M2775" s="18"/>
      <c r="N2775" s="18"/>
      <c r="O2775" s="18"/>
      <c r="P2775" s="18"/>
      <c r="Q2775" s="18"/>
    </row>
    <row r="2776" spans="1:17">
      <c r="A2776" s="150"/>
      <c r="B2776" s="150"/>
      <c r="C2776" s="150"/>
      <c r="D2776" s="150"/>
      <c r="E2776" s="18"/>
      <c r="F2776" s="18"/>
      <c r="G2776" s="18"/>
      <c r="H2776" s="18"/>
      <c r="I2776" s="18"/>
      <c r="J2776" s="18"/>
      <c r="K2776" s="18"/>
      <c r="L2776" s="18"/>
      <c r="M2776" s="18"/>
      <c r="N2776" s="18"/>
      <c r="O2776" s="18"/>
      <c r="P2776" s="18"/>
      <c r="Q2776" s="18"/>
    </row>
    <row r="2777" spans="1:17">
      <c r="A2777" s="1161"/>
      <c r="B2777" s="150"/>
      <c r="C2777" s="150"/>
      <c r="D2777" s="18"/>
      <c r="E2777" s="18"/>
      <c r="F2777" s="18"/>
      <c r="G2777" s="18"/>
      <c r="H2777" s="18"/>
      <c r="I2777" s="18"/>
      <c r="J2777" s="18"/>
      <c r="K2777" s="18"/>
      <c r="L2777" s="18"/>
      <c r="M2777" s="18"/>
      <c r="N2777" s="18"/>
      <c r="O2777" s="18"/>
      <c r="P2777" s="18"/>
      <c r="Q2777" s="18"/>
    </row>
    <row r="2778" spans="1:17">
      <c r="A2778" s="1161"/>
      <c r="B2778" s="150"/>
      <c r="C2778" s="150"/>
      <c r="D2778" s="18"/>
      <c r="E2778" s="18"/>
      <c r="F2778" s="18"/>
      <c r="G2778" s="18"/>
      <c r="H2778" s="18"/>
      <c r="I2778" s="18"/>
      <c r="J2778" s="18"/>
      <c r="K2778" s="18"/>
      <c r="L2778" s="18"/>
      <c r="M2778" s="18"/>
      <c r="N2778" s="18"/>
      <c r="O2778" s="18"/>
      <c r="P2778" s="18"/>
      <c r="Q2778" s="18"/>
    </row>
    <row r="2779" spans="1:17">
      <c r="A2779" s="18"/>
      <c r="B2779" s="18"/>
      <c r="C2779" s="18"/>
      <c r="D2779" s="18"/>
      <c r="E2779" s="18"/>
      <c r="F2779" s="18"/>
      <c r="G2779" s="18"/>
      <c r="H2779" s="18"/>
      <c r="I2779" s="18"/>
      <c r="J2779" s="18"/>
      <c r="K2779" s="18"/>
      <c r="L2779" s="18"/>
      <c r="M2779" s="18"/>
      <c r="N2779" s="18"/>
      <c r="O2779" s="18"/>
      <c r="P2779" s="18"/>
      <c r="Q2779" s="18"/>
    </row>
    <row r="2780" spans="1:17">
      <c r="A2780" s="18"/>
      <c r="B2780" s="18"/>
      <c r="C2780" s="18"/>
      <c r="D2780" s="18"/>
      <c r="E2780" s="18"/>
      <c r="F2780" s="18"/>
      <c r="G2780" s="18"/>
      <c r="H2780" s="18"/>
      <c r="I2780" s="18"/>
      <c r="J2780" s="18"/>
      <c r="K2780" s="18"/>
      <c r="L2780" s="18"/>
      <c r="M2780" s="18"/>
      <c r="N2780" s="18"/>
      <c r="O2780" s="18"/>
      <c r="P2780" s="18"/>
      <c r="Q2780" s="18"/>
    </row>
    <row r="2781" spans="1:17">
      <c r="A2781" s="18"/>
      <c r="B2781" s="18"/>
      <c r="C2781" s="18"/>
      <c r="D2781" s="18"/>
      <c r="E2781" s="18"/>
      <c r="F2781" s="18"/>
      <c r="G2781" s="18"/>
      <c r="H2781" s="18"/>
      <c r="I2781" s="18"/>
      <c r="J2781" s="18"/>
      <c r="K2781" s="18"/>
      <c r="L2781" s="18"/>
      <c r="M2781" s="18"/>
      <c r="N2781" s="18"/>
      <c r="O2781" s="18"/>
      <c r="P2781" s="18"/>
      <c r="Q2781" s="18"/>
    </row>
    <row r="2782" spans="1:17">
      <c r="A2782" s="149"/>
      <c r="B2782" s="18"/>
      <c r="C2782" s="18"/>
      <c r="D2782" s="18"/>
      <c r="E2782" s="18"/>
      <c r="F2782" s="18"/>
      <c r="G2782" s="18"/>
      <c r="H2782" s="18"/>
      <c r="I2782" s="18"/>
      <c r="J2782" s="18"/>
      <c r="K2782" s="18"/>
      <c r="L2782" s="18"/>
      <c r="M2782" s="18"/>
      <c r="N2782" s="18"/>
      <c r="O2782" s="18"/>
      <c r="P2782" s="18"/>
      <c r="Q2782" s="18"/>
    </row>
    <row r="2783" spans="1:17">
      <c r="A2783" s="18"/>
      <c r="B2783" s="18"/>
      <c r="C2783" s="18"/>
      <c r="D2783" s="18"/>
      <c r="E2783" s="18"/>
      <c r="F2783" s="18"/>
      <c r="G2783" s="18"/>
      <c r="H2783" s="18"/>
      <c r="I2783" s="18"/>
      <c r="J2783" s="18"/>
      <c r="K2783" s="18"/>
      <c r="L2783" s="18"/>
      <c r="M2783" s="18"/>
      <c r="N2783" s="18"/>
      <c r="O2783" s="18"/>
      <c r="P2783" s="18"/>
      <c r="Q2783" s="18"/>
    </row>
    <row r="2784" spans="1:17">
      <c r="A2784" s="18"/>
      <c r="B2784" s="18"/>
      <c r="C2784" s="18"/>
      <c r="D2784" s="18"/>
      <c r="E2784" s="18"/>
      <c r="F2784" s="18"/>
      <c r="G2784" s="18"/>
      <c r="H2784" s="18"/>
      <c r="I2784" s="18"/>
      <c r="J2784" s="18"/>
      <c r="K2784" s="18"/>
      <c r="L2784" s="18"/>
      <c r="M2784" s="18"/>
      <c r="N2784" s="18"/>
      <c r="O2784" s="18"/>
      <c r="P2784" s="18"/>
      <c r="Q2784" s="18"/>
    </row>
    <row r="2785" spans="1:17">
      <c r="A2785" s="18"/>
      <c r="B2785" s="18"/>
      <c r="C2785" s="18"/>
      <c r="D2785" s="18"/>
      <c r="E2785" s="18"/>
      <c r="F2785" s="18"/>
      <c r="G2785" s="18"/>
      <c r="H2785" s="18"/>
      <c r="I2785" s="18"/>
      <c r="J2785" s="18"/>
      <c r="K2785" s="18"/>
      <c r="L2785" s="18"/>
      <c r="M2785" s="18"/>
      <c r="N2785" s="18"/>
      <c r="O2785" s="18"/>
      <c r="P2785" s="18"/>
      <c r="Q2785" s="18"/>
    </row>
    <row r="2786" spans="1:17">
      <c r="A2786" s="18"/>
      <c r="B2786" s="18"/>
      <c r="C2786" s="18"/>
      <c r="D2786" s="18"/>
      <c r="E2786" s="18"/>
      <c r="F2786" s="18"/>
      <c r="G2786" s="18"/>
      <c r="H2786" s="18"/>
      <c r="I2786" s="18"/>
      <c r="J2786" s="18"/>
      <c r="K2786" s="18"/>
      <c r="L2786" s="18"/>
      <c r="M2786" s="18"/>
      <c r="N2786" s="18"/>
      <c r="O2786" s="18"/>
      <c r="P2786" s="18"/>
      <c r="Q2786" s="18"/>
    </row>
    <row r="2787" spans="1:17">
      <c r="A2787" s="18"/>
      <c r="B2787" s="18"/>
      <c r="C2787" s="18"/>
      <c r="D2787" s="18"/>
      <c r="E2787" s="18"/>
      <c r="F2787" s="18"/>
      <c r="G2787" s="18"/>
      <c r="H2787" s="18"/>
      <c r="I2787" s="18"/>
      <c r="J2787" s="18"/>
      <c r="K2787" s="18"/>
      <c r="L2787" s="18"/>
      <c r="M2787" s="18"/>
      <c r="N2787" s="18"/>
      <c r="O2787" s="18"/>
      <c r="P2787" s="18"/>
      <c r="Q2787" s="18"/>
    </row>
    <row r="2788" spans="1:17">
      <c r="A2788" s="18"/>
      <c r="B2788" s="18"/>
      <c r="C2788" s="18"/>
      <c r="D2788" s="18"/>
      <c r="E2788" s="18"/>
      <c r="F2788" s="18"/>
      <c r="G2788" s="18"/>
      <c r="H2788" s="18"/>
      <c r="I2788" s="18"/>
      <c r="J2788" s="18"/>
      <c r="K2788" s="18"/>
      <c r="L2788" s="18"/>
      <c r="M2788" s="18"/>
      <c r="N2788" s="18"/>
      <c r="O2788" s="18"/>
      <c r="P2788" s="18"/>
      <c r="Q2788" s="18"/>
    </row>
    <row r="2789" spans="1:17">
      <c r="A2789" s="18"/>
      <c r="B2789" s="18"/>
      <c r="C2789" s="18"/>
      <c r="D2789" s="18"/>
      <c r="E2789" s="18"/>
      <c r="F2789" s="18"/>
      <c r="G2789" s="18"/>
      <c r="H2789" s="18"/>
      <c r="I2789" s="18"/>
      <c r="J2789" s="18"/>
      <c r="K2789" s="18"/>
      <c r="L2789" s="18"/>
      <c r="M2789" s="18"/>
      <c r="N2789" s="18"/>
      <c r="O2789" s="18"/>
      <c r="P2789" s="18"/>
      <c r="Q2789" s="18"/>
    </row>
    <row r="2790" spans="1:17">
      <c r="A2790" s="18"/>
      <c r="B2790" s="18"/>
      <c r="C2790" s="18"/>
      <c r="D2790" s="18"/>
      <c r="E2790" s="18"/>
      <c r="F2790" s="18"/>
      <c r="G2790" s="18"/>
      <c r="H2790" s="18"/>
      <c r="I2790" s="18"/>
      <c r="J2790" s="18"/>
      <c r="K2790" s="18"/>
      <c r="L2790" s="18"/>
      <c r="M2790" s="18"/>
      <c r="N2790" s="18"/>
      <c r="O2790" s="18"/>
      <c r="P2790" s="18"/>
      <c r="Q2790" s="18"/>
    </row>
    <row r="2791" spans="1:17">
      <c r="A2791" s="18"/>
      <c r="B2791" s="18"/>
      <c r="C2791" s="18"/>
      <c r="D2791" s="18"/>
      <c r="E2791" s="18"/>
      <c r="F2791" s="18"/>
      <c r="G2791" s="18"/>
      <c r="H2791" s="18"/>
      <c r="I2791" s="18"/>
      <c r="J2791" s="18"/>
      <c r="K2791" s="18"/>
      <c r="L2791" s="18"/>
      <c r="M2791" s="18"/>
      <c r="N2791" s="18"/>
      <c r="O2791" s="18"/>
      <c r="P2791" s="18"/>
      <c r="Q2791" s="18"/>
    </row>
    <row r="2792" spans="1:17">
      <c r="A2792" s="18"/>
      <c r="B2792" s="18"/>
      <c r="C2792" s="18"/>
      <c r="D2792" s="18"/>
      <c r="E2792" s="18"/>
      <c r="F2792" s="18"/>
      <c r="G2792" s="18"/>
      <c r="H2792" s="18"/>
      <c r="I2792" s="18"/>
      <c r="J2792" s="18"/>
      <c r="K2792" s="18"/>
      <c r="L2792" s="18"/>
      <c r="M2792" s="18"/>
      <c r="N2792" s="18"/>
      <c r="O2792" s="18"/>
      <c r="P2792" s="18"/>
      <c r="Q2792" s="18"/>
    </row>
    <row r="2793" spans="1:17">
      <c r="A2793" s="18"/>
      <c r="B2793" s="18"/>
      <c r="C2793" s="18"/>
      <c r="D2793" s="18"/>
      <c r="E2793" s="18"/>
      <c r="F2793" s="18"/>
      <c r="G2793" s="18"/>
      <c r="H2793" s="18"/>
      <c r="I2793" s="18"/>
      <c r="J2793" s="18"/>
      <c r="K2793" s="18"/>
      <c r="L2793" s="18"/>
      <c r="M2793" s="18"/>
      <c r="N2793" s="18"/>
      <c r="O2793" s="18"/>
      <c r="P2793" s="18"/>
      <c r="Q2793" s="18"/>
    </row>
    <row r="2794" spans="1:17">
      <c r="A2794" s="80"/>
      <c r="B2794" s="18"/>
      <c r="C2794" s="18"/>
      <c r="D2794" s="18"/>
      <c r="E2794" s="18"/>
      <c r="F2794" s="18"/>
      <c r="G2794" s="18"/>
      <c r="H2794" s="18"/>
      <c r="I2794" s="18"/>
      <c r="J2794" s="18"/>
      <c r="K2794" s="18"/>
      <c r="L2794" s="18"/>
      <c r="M2794" s="18"/>
      <c r="N2794" s="18"/>
      <c r="O2794" s="18"/>
      <c r="P2794" s="18"/>
      <c r="Q2794" s="18"/>
    </row>
    <row r="2795" spans="1:17">
      <c r="A2795" s="18"/>
      <c r="B2795" s="18"/>
      <c r="C2795" s="18"/>
      <c r="D2795" s="18"/>
      <c r="E2795" s="18"/>
      <c r="F2795" s="18"/>
      <c r="G2795" s="18"/>
      <c r="H2795" s="18"/>
      <c r="I2795" s="18"/>
      <c r="J2795" s="18"/>
      <c r="K2795" s="18"/>
      <c r="L2795" s="18"/>
      <c r="M2795" s="18"/>
      <c r="N2795" s="18"/>
      <c r="O2795" s="18"/>
      <c r="P2795" s="18"/>
      <c r="Q2795" s="18"/>
    </row>
    <row r="2796" spans="1:17">
      <c r="A2796" s="18"/>
      <c r="B2796" s="18"/>
      <c r="C2796" s="18"/>
      <c r="D2796" s="18"/>
      <c r="E2796" s="18"/>
      <c r="F2796" s="286"/>
      <c r="G2796" s="18"/>
      <c r="H2796" s="150"/>
      <c r="I2796" s="18"/>
      <c r="J2796" s="18"/>
      <c r="K2796" s="18"/>
      <c r="L2796" s="18"/>
      <c r="M2796" s="18"/>
      <c r="N2796" s="18"/>
      <c r="O2796" s="18"/>
      <c r="P2796" s="18"/>
      <c r="Q2796" s="18"/>
    </row>
    <row r="2797" spans="1:17">
      <c r="A2797" s="18"/>
      <c r="B2797" s="18"/>
      <c r="C2797" s="18"/>
      <c r="D2797" s="18"/>
      <c r="E2797" s="18"/>
      <c r="F2797" s="1162"/>
      <c r="G2797" s="18"/>
      <c r="H2797" s="150"/>
      <c r="I2797" s="1162"/>
      <c r="J2797" s="18"/>
      <c r="K2797" s="18"/>
      <c r="L2797" s="18"/>
      <c r="M2797" s="18"/>
      <c r="N2797" s="18"/>
      <c r="O2797" s="18"/>
      <c r="P2797" s="18"/>
      <c r="Q2797" s="18"/>
    </row>
    <row r="2798" spans="1:17">
      <c r="A2798" s="18"/>
      <c r="B2798" s="18"/>
      <c r="C2798" s="18"/>
      <c r="D2798" s="18"/>
      <c r="E2798" s="18"/>
      <c r="F2798" s="1162"/>
      <c r="G2798" s="18"/>
      <c r="H2798" s="150"/>
      <c r="I2798" s="18"/>
      <c r="J2798" s="18"/>
      <c r="K2798" s="18"/>
      <c r="L2798" s="18"/>
      <c r="M2798" s="18"/>
      <c r="N2798" s="18"/>
      <c r="O2798" s="18"/>
      <c r="P2798" s="18"/>
      <c r="Q2798" s="18"/>
    </row>
    <row r="2799" spans="1:17">
      <c r="A2799" s="18"/>
      <c r="B2799" s="18"/>
      <c r="C2799" s="18"/>
      <c r="D2799" s="18"/>
      <c r="E2799" s="18"/>
      <c r="F2799" s="1162"/>
      <c r="G2799" s="18"/>
      <c r="H2799" s="150"/>
      <c r="I2799" s="18"/>
      <c r="J2799" s="18"/>
      <c r="K2799" s="18"/>
      <c r="L2799" s="18"/>
      <c r="M2799" s="18"/>
      <c r="N2799" s="18"/>
      <c r="O2799" s="18"/>
      <c r="P2799" s="18"/>
      <c r="Q2799" s="18"/>
    </row>
    <row r="2800" spans="1:17">
      <c r="A2800" s="18"/>
      <c r="B2800" s="18"/>
      <c r="C2800" s="18"/>
      <c r="D2800" s="18"/>
      <c r="E2800" s="18"/>
      <c r="F2800" s="1162"/>
      <c r="G2800" s="18"/>
      <c r="H2800" s="150"/>
      <c r="I2800" s="1162"/>
      <c r="J2800" s="18"/>
      <c r="K2800" s="18"/>
      <c r="L2800" s="18"/>
      <c r="M2800" s="18"/>
      <c r="N2800" s="18"/>
      <c r="O2800" s="18"/>
      <c r="P2800" s="18"/>
      <c r="Q2800" s="18"/>
    </row>
    <row r="2801" spans="1:17">
      <c r="A2801" s="18"/>
      <c r="B2801" s="18"/>
      <c r="C2801" s="18"/>
      <c r="D2801" s="18"/>
      <c r="E2801" s="18"/>
      <c r="F2801" s="1162"/>
      <c r="G2801" s="18"/>
      <c r="H2801" s="150"/>
      <c r="I2801" s="18"/>
      <c r="J2801" s="18"/>
      <c r="K2801" s="18"/>
      <c r="L2801" s="18"/>
      <c r="M2801" s="18"/>
      <c r="N2801" s="18"/>
      <c r="O2801" s="18"/>
      <c r="P2801" s="18"/>
      <c r="Q2801" s="18"/>
    </row>
    <row r="2802" spans="1:17">
      <c r="A2802" s="18"/>
      <c r="B2802" s="18"/>
      <c r="C2802" s="18"/>
      <c r="D2802" s="18"/>
      <c r="E2802" s="18"/>
      <c r="F2802" s="1162"/>
      <c r="G2802" s="18"/>
      <c r="H2802" s="150"/>
      <c r="I2802" s="18"/>
      <c r="J2802" s="18"/>
      <c r="K2802" s="18"/>
      <c r="L2802" s="18"/>
      <c r="M2802" s="18"/>
      <c r="N2802" s="18"/>
      <c r="O2802" s="18"/>
      <c r="P2802" s="18"/>
      <c r="Q2802" s="18"/>
    </row>
    <row r="2803" spans="1:17">
      <c r="A2803" s="18"/>
      <c r="B2803" s="18"/>
      <c r="C2803" s="18"/>
      <c r="D2803" s="18"/>
      <c r="E2803" s="18"/>
      <c r="F2803" s="1162"/>
      <c r="G2803" s="18"/>
      <c r="H2803" s="150"/>
      <c r="I2803" s="18"/>
      <c r="J2803" s="18"/>
      <c r="K2803" s="18"/>
      <c r="L2803" s="18"/>
      <c r="M2803" s="18"/>
      <c r="N2803" s="18"/>
      <c r="O2803" s="18"/>
      <c r="P2803" s="18"/>
      <c r="Q2803" s="18"/>
    </row>
    <row r="2804" spans="1:17">
      <c r="A2804" s="18"/>
      <c r="B2804" s="18"/>
      <c r="C2804" s="18"/>
      <c r="D2804" s="18"/>
      <c r="E2804" s="18"/>
      <c r="F2804" s="1162"/>
      <c r="G2804" s="18"/>
      <c r="H2804" s="150"/>
      <c r="I2804" s="18"/>
      <c r="J2804" s="18"/>
      <c r="K2804" s="18"/>
      <c r="L2804" s="18"/>
      <c r="M2804" s="18"/>
      <c r="N2804" s="18"/>
      <c r="O2804" s="18"/>
      <c r="P2804" s="18"/>
      <c r="Q2804" s="18"/>
    </row>
    <row r="2805" spans="1:17">
      <c r="A2805" s="18"/>
      <c r="B2805" s="18"/>
      <c r="C2805" s="18"/>
      <c r="D2805" s="18"/>
      <c r="E2805" s="18"/>
      <c r="F2805" s="1162"/>
      <c r="G2805" s="18"/>
      <c r="H2805" s="150"/>
      <c r="I2805" s="18"/>
      <c r="J2805" s="18"/>
      <c r="K2805" s="18"/>
      <c r="L2805" s="18"/>
      <c r="M2805" s="18"/>
      <c r="N2805" s="18"/>
      <c r="O2805" s="18"/>
      <c r="P2805" s="18"/>
      <c r="Q2805" s="18"/>
    </row>
    <row r="2806" spans="1:17">
      <c r="A2806" s="18"/>
      <c r="B2806" s="18"/>
      <c r="C2806" s="18"/>
      <c r="D2806" s="18"/>
      <c r="E2806" s="18"/>
      <c r="F2806" s="1162"/>
      <c r="G2806" s="18"/>
      <c r="H2806" s="150"/>
      <c r="I2806" s="18"/>
      <c r="J2806" s="18"/>
      <c r="K2806" s="18"/>
      <c r="L2806" s="18"/>
      <c r="M2806" s="18"/>
      <c r="N2806" s="18"/>
      <c r="O2806" s="18"/>
      <c r="P2806" s="18"/>
      <c r="Q2806" s="18"/>
    </row>
    <row r="2807" spans="1:17">
      <c r="A2807" s="18"/>
      <c r="B2807" s="18"/>
      <c r="C2807" s="18"/>
      <c r="D2807" s="18"/>
      <c r="E2807" s="18"/>
      <c r="F2807" s="18"/>
      <c r="G2807" s="18"/>
      <c r="H2807" s="150"/>
      <c r="I2807" s="1162"/>
      <c r="J2807" s="18"/>
      <c r="K2807" s="18"/>
      <c r="L2807" s="18"/>
      <c r="M2807" s="18"/>
      <c r="N2807" s="18"/>
      <c r="O2807" s="18"/>
      <c r="P2807" s="18"/>
      <c r="Q2807" s="18"/>
    </row>
    <row r="2808" spans="1:17">
      <c r="A2808" s="18"/>
      <c r="B2808" s="18"/>
      <c r="C2808" s="18"/>
      <c r="D2808" s="18"/>
      <c r="E2808" s="18"/>
      <c r="F2808" s="18"/>
      <c r="G2808" s="18"/>
      <c r="H2808" s="150"/>
      <c r="I2808" s="1162"/>
      <c r="J2808" s="18"/>
      <c r="K2808" s="18"/>
      <c r="L2808" s="18"/>
      <c r="M2808" s="18"/>
      <c r="N2808" s="18"/>
      <c r="O2808" s="18"/>
      <c r="P2808" s="18"/>
      <c r="Q2808" s="18"/>
    </row>
    <row r="2809" spans="1:17">
      <c r="A2809" s="149"/>
      <c r="B2809" s="18"/>
      <c r="C2809" s="18"/>
      <c r="D2809" s="18"/>
      <c r="E2809" s="18"/>
      <c r="F2809" s="18"/>
      <c r="G2809" s="18"/>
      <c r="H2809" s="18"/>
      <c r="I2809" s="18"/>
      <c r="J2809" s="18"/>
      <c r="K2809" s="18"/>
      <c r="L2809" s="18"/>
      <c r="M2809" s="18"/>
      <c r="N2809" s="18"/>
      <c r="O2809" s="18"/>
      <c r="P2809" s="18"/>
      <c r="Q2809" s="18"/>
    </row>
    <row r="2810" spans="1:17">
      <c r="A2810" s="18"/>
      <c r="B2810" s="18"/>
      <c r="C2810" s="18"/>
      <c r="D2810" s="18"/>
      <c r="E2810" s="18"/>
      <c r="F2810" s="18"/>
      <c r="G2810" s="18"/>
      <c r="H2810" s="18"/>
      <c r="I2810" s="18"/>
      <c r="J2810" s="18"/>
      <c r="K2810" s="18"/>
      <c r="L2810" s="18"/>
      <c r="M2810" s="18"/>
      <c r="N2810" s="18"/>
      <c r="O2810" s="18"/>
      <c r="P2810" s="18"/>
      <c r="Q2810" s="18"/>
    </row>
    <row r="2811" spans="1:17">
      <c r="A2811" s="18"/>
      <c r="B2811" s="18"/>
      <c r="C2811" s="18"/>
      <c r="D2811" s="18"/>
      <c r="E2811" s="18"/>
      <c r="F2811" s="18"/>
      <c r="G2811" s="18"/>
      <c r="H2811" s="18"/>
      <c r="I2811" s="18"/>
      <c r="J2811" s="18"/>
      <c r="K2811" s="18"/>
      <c r="L2811" s="18"/>
      <c r="M2811" s="18"/>
      <c r="N2811" s="18"/>
      <c r="O2811" s="18"/>
      <c r="P2811" s="18"/>
      <c r="Q2811" s="18"/>
    </row>
    <row r="2812" spans="1:17">
      <c r="A2812" s="18"/>
      <c r="B2812" s="18"/>
      <c r="C2812" s="18"/>
      <c r="D2812" s="18"/>
      <c r="E2812" s="18"/>
      <c r="F2812" s="18"/>
      <c r="G2812" s="18"/>
      <c r="H2812" s="18"/>
      <c r="I2812" s="18"/>
      <c r="J2812" s="18"/>
      <c r="K2812" s="18"/>
      <c r="L2812" s="18"/>
      <c r="M2812" s="18"/>
      <c r="N2812" s="18"/>
      <c r="O2812" s="18"/>
      <c r="P2812" s="18"/>
      <c r="Q2812" s="18"/>
    </row>
    <row r="2813" spans="1:17">
      <c r="A2813" s="18"/>
      <c r="B2813" s="18"/>
      <c r="C2813" s="18"/>
      <c r="D2813" s="18"/>
      <c r="E2813" s="18"/>
      <c r="F2813" s="18"/>
      <c r="G2813" s="18"/>
      <c r="H2813" s="18"/>
      <c r="I2813" s="18"/>
      <c r="J2813" s="18"/>
      <c r="K2813" s="18"/>
      <c r="L2813" s="18"/>
      <c r="M2813" s="18"/>
      <c r="N2813" s="18"/>
      <c r="O2813" s="18"/>
      <c r="P2813" s="18"/>
      <c r="Q2813" s="18"/>
    </row>
    <row r="2814" spans="1:17">
      <c r="A2814" s="18"/>
      <c r="B2814" s="18"/>
      <c r="C2814" s="18"/>
      <c r="D2814" s="18"/>
      <c r="E2814" s="18"/>
      <c r="F2814" s="18"/>
      <c r="G2814" s="18"/>
      <c r="H2814" s="18"/>
      <c r="I2814" s="18"/>
      <c r="J2814" s="18"/>
      <c r="K2814" s="18"/>
      <c r="L2814" s="18"/>
      <c r="M2814" s="18"/>
      <c r="N2814" s="18"/>
      <c r="O2814" s="18"/>
      <c r="P2814" s="18"/>
      <c r="Q2814" s="18"/>
    </row>
    <row r="2815" spans="1:17">
      <c r="A2815" s="18"/>
      <c r="B2815" s="18"/>
      <c r="C2815" s="18"/>
      <c r="D2815" s="18"/>
      <c r="E2815" s="18"/>
      <c r="F2815" s="18"/>
      <c r="G2815" s="18"/>
      <c r="H2815" s="18"/>
      <c r="I2815" s="18"/>
      <c r="J2815" s="18"/>
      <c r="K2815" s="18"/>
      <c r="L2815" s="18"/>
      <c r="M2815" s="18"/>
      <c r="N2815" s="18"/>
      <c r="O2815" s="18"/>
      <c r="P2815" s="18"/>
      <c r="Q2815" s="18"/>
    </row>
    <row r="2816" spans="1:17">
      <c r="A2816" s="18"/>
      <c r="B2816" s="18"/>
      <c r="C2816" s="18"/>
      <c r="D2816" s="18"/>
      <c r="E2816" s="18"/>
      <c r="F2816" s="18"/>
      <c r="G2816" s="18"/>
      <c r="H2816" s="18"/>
      <c r="I2816" s="18"/>
      <c r="J2816" s="18"/>
      <c r="K2816" s="18"/>
      <c r="L2816" s="18"/>
      <c r="M2816" s="18"/>
      <c r="N2816" s="18"/>
      <c r="O2816" s="18"/>
      <c r="P2816" s="18"/>
      <c r="Q2816" s="18"/>
    </row>
    <row r="2817" spans="1:17">
      <c r="A2817" s="18"/>
      <c r="B2817" s="18"/>
      <c r="C2817" s="18"/>
      <c r="D2817" s="18"/>
      <c r="E2817" s="18"/>
      <c r="F2817" s="18"/>
      <c r="G2817" s="18"/>
      <c r="H2817" s="18"/>
      <c r="I2817" s="18"/>
      <c r="J2817" s="18"/>
      <c r="K2817" s="18"/>
      <c r="L2817" s="18"/>
      <c r="M2817" s="18"/>
      <c r="N2817" s="18"/>
      <c r="O2817" s="18"/>
      <c r="P2817" s="18"/>
      <c r="Q2817" s="18"/>
    </row>
    <row r="2818" spans="1:17">
      <c r="A2818" s="18"/>
      <c r="B2818" s="18"/>
      <c r="C2818" s="18"/>
      <c r="D2818" s="18"/>
      <c r="E2818" s="18"/>
      <c r="F2818" s="18"/>
      <c r="G2818" s="18"/>
      <c r="H2818" s="18"/>
      <c r="I2818" s="18"/>
      <c r="J2818" s="18"/>
      <c r="K2818" s="18"/>
      <c r="L2818" s="18"/>
      <c r="M2818" s="18"/>
      <c r="N2818" s="18"/>
      <c r="O2818" s="18"/>
      <c r="P2818" s="18"/>
      <c r="Q2818" s="18"/>
    </row>
    <row r="2819" spans="1:17">
      <c r="A2819" s="18"/>
      <c r="B2819" s="18"/>
      <c r="C2819" s="18"/>
      <c r="D2819" s="18"/>
      <c r="E2819" s="18"/>
      <c r="F2819" s="18"/>
      <c r="G2819" s="18"/>
      <c r="H2819" s="18"/>
      <c r="I2819" s="18"/>
      <c r="J2819" s="18"/>
      <c r="K2819" s="18"/>
      <c r="L2819" s="18"/>
      <c r="M2819" s="18"/>
      <c r="N2819" s="18"/>
      <c r="O2819" s="18"/>
      <c r="P2819" s="18"/>
      <c r="Q2819" s="18"/>
    </row>
    <row r="2820" spans="1:17">
      <c r="A2820" s="18"/>
      <c r="B2820" s="18"/>
      <c r="C2820" s="18"/>
      <c r="D2820" s="18"/>
      <c r="E2820" s="18"/>
      <c r="F2820" s="18"/>
      <c r="G2820" s="18"/>
      <c r="H2820" s="18"/>
      <c r="I2820" s="18"/>
      <c r="J2820" s="18"/>
      <c r="K2820" s="18"/>
      <c r="L2820" s="18"/>
      <c r="M2820" s="18"/>
      <c r="N2820" s="18"/>
      <c r="O2820" s="18"/>
      <c r="P2820" s="18"/>
      <c r="Q2820" s="18"/>
    </row>
    <row r="2821" spans="1:17">
      <c r="A2821" s="18"/>
      <c r="B2821" s="18"/>
      <c r="C2821" s="18"/>
      <c r="D2821" s="18"/>
      <c r="E2821" s="18"/>
      <c r="F2821" s="18"/>
      <c r="G2821" s="18"/>
      <c r="H2821" s="18"/>
      <c r="I2821" s="18"/>
      <c r="J2821" s="18"/>
      <c r="K2821" s="18"/>
      <c r="L2821" s="18"/>
      <c r="M2821" s="18"/>
      <c r="N2821" s="18"/>
      <c r="O2821" s="18"/>
      <c r="P2821" s="18"/>
      <c r="Q2821" s="18"/>
    </row>
    <row r="2822" spans="1:17">
      <c r="A2822" s="18"/>
      <c r="B2822" s="18"/>
      <c r="C2822" s="18"/>
      <c r="D2822" s="18"/>
      <c r="E2822" s="18"/>
      <c r="F2822" s="18"/>
      <c r="G2822" s="18"/>
      <c r="H2822" s="18"/>
      <c r="I2822" s="18"/>
      <c r="J2822" s="18"/>
      <c r="K2822" s="18"/>
      <c r="L2822" s="18"/>
      <c r="M2822" s="18"/>
      <c r="N2822" s="18"/>
      <c r="O2822" s="18"/>
      <c r="P2822" s="18"/>
      <c r="Q2822" s="18"/>
    </row>
    <row r="2823" spans="1:17">
      <c r="A2823" s="18"/>
      <c r="B2823" s="18"/>
      <c r="C2823" s="18"/>
      <c r="D2823" s="18"/>
      <c r="E2823" s="18"/>
      <c r="F2823" s="18"/>
      <c r="G2823" s="18"/>
      <c r="H2823" s="18"/>
      <c r="I2823" s="18"/>
      <c r="J2823" s="18"/>
      <c r="K2823" s="18"/>
      <c r="L2823" s="18"/>
      <c r="M2823" s="18"/>
      <c r="N2823" s="18"/>
      <c r="O2823" s="18"/>
      <c r="P2823" s="18"/>
      <c r="Q2823" s="18"/>
    </row>
    <row r="2824" spans="1:17">
      <c r="A2824" s="149"/>
      <c r="B2824" s="18"/>
      <c r="C2824" s="18"/>
      <c r="D2824" s="18"/>
      <c r="E2824" s="18"/>
      <c r="F2824" s="18"/>
      <c r="G2824" s="18"/>
      <c r="H2824" s="18"/>
      <c r="I2824" s="18"/>
      <c r="J2824" s="18"/>
      <c r="K2824" s="18"/>
      <c r="L2824" s="18"/>
      <c r="M2824" s="18"/>
      <c r="N2824" s="18"/>
      <c r="O2824" s="18"/>
      <c r="P2824" s="18"/>
      <c r="Q2824" s="18"/>
    </row>
    <row r="2825" spans="1:17">
      <c r="A2825" s="18"/>
      <c r="B2825" s="18"/>
      <c r="C2825" s="18"/>
      <c r="D2825" s="18"/>
      <c r="E2825" s="18"/>
      <c r="F2825" s="18"/>
      <c r="G2825" s="18"/>
      <c r="H2825" s="18"/>
      <c r="I2825" s="18"/>
      <c r="J2825" s="18"/>
      <c r="K2825" s="18"/>
      <c r="L2825" s="18"/>
      <c r="M2825" s="18"/>
      <c r="N2825" s="18"/>
      <c r="O2825" s="18"/>
      <c r="P2825" s="18"/>
      <c r="Q2825" s="18"/>
    </row>
    <row r="2826" spans="1:17">
      <c r="A2826" s="18"/>
      <c r="B2826" s="18"/>
      <c r="C2826" s="18"/>
      <c r="D2826" s="18"/>
      <c r="E2826" s="18"/>
      <c r="F2826" s="18"/>
      <c r="G2826" s="18"/>
      <c r="H2826" s="18"/>
      <c r="I2826" s="18"/>
      <c r="J2826" s="18"/>
      <c r="K2826" s="18"/>
      <c r="L2826" s="18"/>
      <c r="M2826" s="18"/>
      <c r="N2826" s="18"/>
      <c r="O2826" s="18"/>
      <c r="P2826" s="18"/>
      <c r="Q2826" s="18"/>
    </row>
    <row r="2827" spans="1:17">
      <c r="A2827" s="149"/>
      <c r="B2827" s="18"/>
      <c r="C2827" s="18"/>
      <c r="D2827" s="18"/>
      <c r="E2827" s="18"/>
      <c r="F2827" s="18"/>
      <c r="G2827" s="18"/>
      <c r="H2827" s="18"/>
      <c r="I2827" s="18"/>
      <c r="J2827" s="18"/>
      <c r="K2827" s="18"/>
      <c r="L2827" s="18"/>
      <c r="M2827" s="18"/>
      <c r="N2827" s="18"/>
      <c r="O2827" s="18"/>
      <c r="P2827" s="18"/>
      <c r="Q2827" s="18"/>
    </row>
    <row r="2828" spans="1:17">
      <c r="A2828" s="18"/>
      <c r="B2828" s="18"/>
      <c r="C2828" s="18"/>
      <c r="D2828" s="18"/>
      <c r="E2828" s="18"/>
      <c r="F2828" s="18"/>
      <c r="G2828" s="18"/>
      <c r="H2828" s="18"/>
      <c r="I2828" s="18"/>
      <c r="J2828" s="18"/>
      <c r="K2828" s="18"/>
      <c r="L2828" s="18"/>
      <c r="M2828" s="18"/>
      <c r="N2828" s="18"/>
      <c r="O2828" s="18"/>
      <c r="P2828" s="18"/>
      <c r="Q2828" s="18"/>
    </row>
    <row r="2829" spans="1:17">
      <c r="A2829" s="18"/>
      <c r="B2829" s="18"/>
      <c r="C2829" s="18"/>
      <c r="D2829" s="18"/>
      <c r="E2829" s="18"/>
      <c r="F2829" s="18"/>
      <c r="G2829" s="18"/>
      <c r="H2829" s="18"/>
      <c r="I2829" s="18"/>
      <c r="J2829" s="18"/>
      <c r="K2829" s="18"/>
      <c r="L2829" s="18"/>
      <c r="M2829" s="18"/>
      <c r="N2829" s="18"/>
      <c r="O2829" s="18"/>
      <c r="P2829" s="18"/>
      <c r="Q2829" s="18"/>
    </row>
    <row r="2830" spans="1:17">
      <c r="A2830" s="18"/>
      <c r="B2830" s="18"/>
      <c r="C2830" s="18"/>
      <c r="D2830" s="18"/>
      <c r="E2830" s="18"/>
      <c r="F2830" s="18"/>
      <c r="G2830" s="18"/>
      <c r="H2830" s="18"/>
      <c r="I2830" s="18"/>
      <c r="J2830" s="18"/>
      <c r="K2830" s="18"/>
      <c r="L2830" s="18"/>
      <c r="M2830" s="18"/>
      <c r="N2830" s="18"/>
      <c r="O2830" s="18"/>
      <c r="P2830" s="18"/>
      <c r="Q2830" s="18"/>
    </row>
    <row r="2831" spans="1:17">
      <c r="A2831" s="18"/>
      <c r="B2831" s="18"/>
      <c r="C2831" s="18"/>
      <c r="D2831" s="18"/>
      <c r="E2831" s="18"/>
      <c r="F2831" s="18"/>
      <c r="G2831" s="18"/>
      <c r="H2831" s="18"/>
      <c r="I2831" s="18"/>
      <c r="J2831" s="18"/>
      <c r="K2831" s="18"/>
      <c r="L2831" s="18"/>
      <c r="M2831" s="18"/>
      <c r="N2831" s="18"/>
      <c r="O2831" s="18"/>
      <c r="P2831" s="18"/>
      <c r="Q2831" s="18"/>
    </row>
    <row r="2832" spans="1:17">
      <c r="A2832" s="18"/>
      <c r="B2832" s="18"/>
      <c r="C2832" s="18"/>
      <c r="D2832" s="18"/>
      <c r="E2832" s="18"/>
      <c r="F2832" s="18"/>
      <c r="G2832" s="18"/>
      <c r="H2832" s="18"/>
      <c r="I2832" s="18"/>
      <c r="J2832" s="18"/>
      <c r="K2832" s="18"/>
      <c r="L2832" s="18"/>
      <c r="M2832" s="18"/>
      <c r="N2832" s="18"/>
      <c r="O2832" s="18"/>
      <c r="P2832" s="18"/>
      <c r="Q2832" s="18"/>
    </row>
    <row r="2833" spans="1:17">
      <c r="A2833" s="18"/>
      <c r="B2833" s="18"/>
      <c r="C2833" s="18"/>
      <c r="D2833" s="18"/>
      <c r="E2833" s="18"/>
      <c r="F2833" s="18"/>
      <c r="G2833" s="18"/>
      <c r="H2833" s="18"/>
      <c r="I2833" s="18"/>
      <c r="J2833" s="18"/>
      <c r="K2833" s="18"/>
      <c r="L2833" s="18"/>
      <c r="M2833" s="18"/>
      <c r="N2833" s="18"/>
      <c r="O2833" s="18"/>
      <c r="P2833" s="18"/>
      <c r="Q2833" s="18"/>
    </row>
    <row r="2834" spans="1:17">
      <c r="A2834" s="18"/>
      <c r="B2834" s="18"/>
      <c r="C2834" s="18"/>
      <c r="D2834" s="18"/>
      <c r="E2834" s="18"/>
      <c r="F2834" s="18"/>
      <c r="G2834" s="18"/>
      <c r="H2834" s="18"/>
      <c r="I2834" s="18"/>
      <c r="J2834" s="18"/>
      <c r="K2834" s="18"/>
      <c r="L2834" s="18"/>
      <c r="M2834" s="18"/>
      <c r="N2834" s="18"/>
      <c r="O2834" s="18"/>
      <c r="P2834" s="18"/>
      <c r="Q2834" s="18"/>
    </row>
    <row r="2835" spans="1:17">
      <c r="A2835" s="18"/>
      <c r="B2835" s="18"/>
      <c r="C2835" s="18"/>
      <c r="D2835" s="18"/>
      <c r="E2835" s="18"/>
      <c r="F2835" s="18"/>
      <c r="G2835" s="18"/>
      <c r="H2835" s="18"/>
      <c r="I2835" s="18"/>
      <c r="J2835" s="18"/>
      <c r="K2835" s="18"/>
      <c r="L2835" s="18"/>
      <c r="M2835" s="18"/>
      <c r="N2835" s="18"/>
      <c r="O2835" s="18"/>
      <c r="P2835" s="18"/>
      <c r="Q2835" s="18"/>
    </row>
    <row r="2836" spans="1:17">
      <c r="A2836" s="18"/>
      <c r="B2836" s="18"/>
      <c r="C2836" s="18"/>
      <c r="D2836" s="18"/>
      <c r="E2836" s="18"/>
      <c r="F2836" s="18"/>
      <c r="G2836" s="18"/>
      <c r="H2836" s="18"/>
      <c r="I2836" s="18"/>
      <c r="J2836" s="18"/>
      <c r="K2836" s="18"/>
      <c r="L2836" s="18"/>
      <c r="M2836" s="18"/>
      <c r="N2836" s="18"/>
      <c r="O2836" s="18"/>
      <c r="P2836" s="18"/>
      <c r="Q2836" s="18"/>
    </row>
    <row r="2837" spans="1:17">
      <c r="A2837" s="18"/>
      <c r="B2837" s="18"/>
      <c r="C2837" s="18"/>
      <c r="D2837" s="18"/>
      <c r="E2837" s="18"/>
      <c r="F2837" s="18"/>
      <c r="G2837" s="18"/>
      <c r="H2837" s="18"/>
      <c r="I2837" s="18"/>
      <c r="J2837" s="18"/>
      <c r="K2837" s="18"/>
      <c r="L2837" s="18"/>
      <c r="M2837" s="18"/>
      <c r="N2837" s="18"/>
      <c r="O2837" s="18"/>
      <c r="P2837" s="18"/>
      <c r="Q2837" s="18"/>
    </row>
    <row r="2838" spans="1:17">
      <c r="A2838" s="18"/>
      <c r="B2838" s="18"/>
      <c r="C2838" s="18"/>
      <c r="D2838" s="18"/>
      <c r="E2838" s="18"/>
      <c r="F2838" s="18"/>
      <c r="G2838" s="18"/>
      <c r="H2838" s="18"/>
      <c r="I2838" s="18"/>
      <c r="J2838" s="18"/>
      <c r="K2838" s="18"/>
      <c r="L2838" s="18"/>
      <c r="M2838" s="18"/>
      <c r="N2838" s="18"/>
      <c r="O2838" s="18"/>
      <c r="P2838" s="18"/>
      <c r="Q2838" s="18"/>
    </row>
    <row r="2839" spans="1:17">
      <c r="A2839" s="18"/>
      <c r="B2839" s="18"/>
      <c r="C2839" s="18"/>
      <c r="D2839" s="18"/>
      <c r="E2839" s="18"/>
      <c r="F2839" s="18"/>
      <c r="G2839" s="18"/>
      <c r="H2839" s="18"/>
      <c r="I2839" s="18"/>
      <c r="J2839" s="18"/>
      <c r="K2839" s="18"/>
      <c r="L2839" s="18"/>
      <c r="M2839" s="18"/>
      <c r="N2839" s="18"/>
      <c r="O2839" s="18"/>
      <c r="P2839" s="18"/>
      <c r="Q2839" s="18"/>
    </row>
    <row r="2840" spans="1:17">
      <c r="A2840" s="149"/>
      <c r="B2840" s="18"/>
      <c r="C2840" s="18"/>
      <c r="D2840" s="18"/>
      <c r="E2840" s="18"/>
      <c r="F2840" s="18"/>
      <c r="G2840" s="18"/>
      <c r="H2840" s="18"/>
      <c r="I2840" s="18"/>
      <c r="J2840" s="18"/>
      <c r="K2840" s="18"/>
      <c r="L2840" s="18"/>
      <c r="M2840" s="18"/>
      <c r="N2840" s="18"/>
      <c r="O2840" s="18"/>
      <c r="P2840" s="18"/>
      <c r="Q2840" s="18"/>
    </row>
    <row r="2841" spans="1:17">
      <c r="A2841" s="18"/>
      <c r="B2841" s="18"/>
      <c r="C2841" s="18"/>
      <c r="D2841" s="18"/>
      <c r="E2841" s="18"/>
      <c r="F2841" s="18"/>
      <c r="G2841" s="18"/>
      <c r="H2841" s="18"/>
      <c r="I2841" s="18"/>
      <c r="J2841" s="18"/>
      <c r="K2841" s="18"/>
      <c r="L2841" s="18"/>
      <c r="M2841" s="18"/>
      <c r="N2841" s="18"/>
      <c r="O2841" s="18"/>
      <c r="P2841" s="18"/>
      <c r="Q2841" s="18"/>
    </row>
    <row r="2842" spans="1:17">
      <c r="A2842" s="18"/>
      <c r="B2842" s="18"/>
      <c r="C2842" s="18"/>
      <c r="D2842" s="18"/>
      <c r="E2842" s="18"/>
      <c r="F2842" s="18"/>
      <c r="G2842" s="18"/>
      <c r="H2842" s="18"/>
      <c r="I2842" s="18"/>
      <c r="J2842" s="18"/>
      <c r="K2842" s="18"/>
      <c r="L2842" s="18"/>
      <c r="M2842" s="18"/>
      <c r="N2842" s="18"/>
      <c r="O2842" s="18"/>
      <c r="P2842" s="18"/>
      <c r="Q2842" s="18"/>
    </row>
    <row r="2843" spans="1:17">
      <c r="A2843" s="149"/>
      <c r="B2843" s="18"/>
      <c r="C2843" s="18"/>
      <c r="D2843" s="18"/>
      <c r="E2843" s="18"/>
      <c r="F2843" s="18"/>
      <c r="G2843" s="18"/>
      <c r="H2843" s="18"/>
      <c r="I2843" s="18"/>
      <c r="J2843" s="18"/>
      <c r="K2843" s="18"/>
      <c r="L2843" s="18"/>
      <c r="M2843" s="18"/>
      <c r="N2843" s="18"/>
      <c r="O2843" s="18"/>
      <c r="P2843" s="18"/>
      <c r="Q2843" s="18"/>
    </row>
    <row r="2844" spans="1:17">
      <c r="A2844" s="18"/>
      <c r="B2844" s="18"/>
      <c r="C2844" s="18"/>
      <c r="D2844" s="18"/>
      <c r="E2844" s="18"/>
      <c r="F2844" s="18"/>
      <c r="G2844" s="18"/>
      <c r="H2844" s="18"/>
      <c r="I2844" s="18"/>
      <c r="J2844" s="18"/>
      <c r="K2844" s="18"/>
      <c r="L2844" s="18"/>
      <c r="M2844" s="18"/>
      <c r="N2844" s="18"/>
      <c r="O2844" s="18"/>
      <c r="P2844" s="18"/>
      <c r="Q2844" s="18"/>
    </row>
    <row r="2845" spans="1:17">
      <c r="A2845" s="18"/>
      <c r="B2845" s="18"/>
      <c r="C2845" s="18"/>
      <c r="D2845" s="18"/>
      <c r="E2845" s="18"/>
      <c r="F2845" s="18"/>
      <c r="G2845" s="18"/>
      <c r="H2845" s="18"/>
      <c r="I2845" s="18"/>
      <c r="J2845" s="18"/>
      <c r="K2845" s="18"/>
      <c r="L2845" s="18"/>
      <c r="M2845" s="18"/>
      <c r="N2845" s="18"/>
      <c r="O2845" s="18"/>
      <c r="P2845" s="18"/>
      <c r="Q2845" s="18"/>
    </row>
    <row r="2846" spans="1:17">
      <c r="A2846" s="149"/>
      <c r="B2846" s="18"/>
      <c r="C2846" s="18"/>
      <c r="D2846" s="18"/>
      <c r="E2846" s="18"/>
      <c r="F2846" s="18"/>
      <c r="G2846" s="18"/>
      <c r="H2846" s="18"/>
      <c r="I2846" s="18"/>
      <c r="J2846" s="18"/>
      <c r="K2846" s="18"/>
      <c r="L2846" s="18"/>
      <c r="M2846" s="18"/>
      <c r="N2846" s="18"/>
      <c r="O2846" s="18"/>
      <c r="P2846" s="18"/>
      <c r="Q2846" s="18"/>
    </row>
    <row r="2847" spans="1:17">
      <c r="A2847" s="18"/>
      <c r="B2847" s="18"/>
      <c r="C2847" s="18"/>
      <c r="D2847" s="18"/>
      <c r="E2847" s="18"/>
      <c r="F2847" s="18"/>
      <c r="G2847" s="18"/>
      <c r="H2847" s="18"/>
      <c r="I2847" s="18"/>
      <c r="J2847" s="18"/>
      <c r="K2847" s="18"/>
      <c r="L2847" s="18"/>
      <c r="M2847" s="18"/>
      <c r="N2847" s="18"/>
      <c r="O2847" s="18"/>
      <c r="P2847" s="18"/>
      <c r="Q2847" s="18"/>
    </row>
    <row r="2848" spans="1:17">
      <c r="A2848" s="149"/>
      <c r="B2848" s="18"/>
      <c r="C2848" s="18"/>
      <c r="D2848" s="18"/>
      <c r="E2848" s="18"/>
      <c r="F2848" s="18"/>
      <c r="G2848" s="18"/>
      <c r="H2848" s="18"/>
      <c r="I2848" s="18"/>
      <c r="J2848" s="18"/>
      <c r="K2848" s="18"/>
      <c r="L2848" s="18"/>
      <c r="M2848" s="18"/>
      <c r="N2848" s="18"/>
      <c r="O2848" s="18"/>
      <c r="P2848" s="18"/>
      <c r="Q2848" s="18"/>
    </row>
    <row r="2849" spans="1:17">
      <c r="A2849" s="1163"/>
      <c r="B2849" s="18"/>
      <c r="C2849" s="18"/>
      <c r="D2849" s="18"/>
      <c r="E2849" s="18"/>
      <c r="F2849" s="18"/>
      <c r="G2849" s="18"/>
      <c r="H2849" s="18"/>
      <c r="I2849" s="18"/>
      <c r="J2849" s="18"/>
      <c r="K2849" s="18"/>
      <c r="L2849" s="18"/>
      <c r="M2849" s="18"/>
      <c r="N2849" s="18"/>
      <c r="O2849" s="18"/>
      <c r="P2849" s="18"/>
      <c r="Q2849" s="18"/>
    </row>
    <row r="2850" spans="1:17">
      <c r="A2850" s="1163"/>
      <c r="B2850" s="18"/>
      <c r="C2850" s="18"/>
      <c r="D2850" s="18"/>
      <c r="E2850" s="18"/>
      <c r="F2850" s="18"/>
      <c r="G2850" s="18"/>
      <c r="H2850" s="18"/>
      <c r="I2850" s="18"/>
      <c r="J2850" s="18"/>
      <c r="K2850" s="18"/>
      <c r="L2850" s="18"/>
      <c r="M2850" s="18"/>
      <c r="N2850" s="18"/>
      <c r="O2850" s="18"/>
      <c r="P2850" s="18"/>
      <c r="Q2850" s="18"/>
    </row>
    <row r="2851" spans="1:17">
      <c r="A2851" s="1163"/>
      <c r="B2851" s="18"/>
      <c r="C2851" s="18"/>
      <c r="D2851" s="18"/>
      <c r="E2851" s="18"/>
      <c r="F2851" s="18"/>
      <c r="G2851" s="18"/>
      <c r="H2851" s="18"/>
      <c r="I2851" s="18"/>
      <c r="J2851" s="18"/>
      <c r="K2851" s="18"/>
      <c r="L2851" s="18"/>
      <c r="M2851" s="18"/>
      <c r="N2851" s="18"/>
      <c r="O2851" s="18"/>
      <c r="P2851" s="18"/>
      <c r="Q2851" s="18"/>
    </row>
    <row r="2852" spans="1:17">
      <c r="A2852" s="1163"/>
      <c r="B2852" s="18"/>
      <c r="C2852" s="18"/>
      <c r="D2852" s="18"/>
      <c r="E2852" s="18"/>
      <c r="F2852" s="18"/>
      <c r="G2852" s="18"/>
      <c r="H2852" s="18"/>
      <c r="I2852" s="18"/>
      <c r="J2852" s="18"/>
      <c r="K2852" s="18"/>
      <c r="L2852" s="18"/>
      <c r="M2852" s="18"/>
      <c r="N2852" s="18"/>
      <c r="O2852" s="18"/>
      <c r="P2852" s="18"/>
      <c r="Q2852" s="18"/>
    </row>
    <row r="2853" spans="1:17">
      <c r="A2853" s="1163"/>
      <c r="B2853" s="18"/>
      <c r="C2853" s="18"/>
      <c r="D2853" s="18"/>
      <c r="E2853" s="18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8"/>
    </row>
    <row r="2854" spans="1:17">
      <c r="A2854" s="1163"/>
      <c r="B2854" s="18"/>
      <c r="C2854" s="18"/>
      <c r="D2854" s="18"/>
      <c r="E2854" s="18"/>
      <c r="F2854" s="18"/>
      <c r="G2854" s="18"/>
      <c r="H2854" s="18"/>
      <c r="I2854" s="18"/>
      <c r="J2854" s="18"/>
      <c r="K2854" s="18"/>
      <c r="L2854" s="18"/>
      <c r="M2854" s="18"/>
      <c r="N2854" s="18"/>
      <c r="O2854" s="18"/>
      <c r="P2854" s="18"/>
      <c r="Q2854" s="18"/>
    </row>
    <row r="2855" spans="1:17">
      <c r="A2855" s="1163"/>
      <c r="B2855" s="18"/>
      <c r="C2855" s="18"/>
      <c r="D2855" s="18"/>
      <c r="E2855" s="18"/>
      <c r="F2855" s="18"/>
      <c r="G2855" s="18"/>
      <c r="H2855" s="18"/>
      <c r="I2855" s="18"/>
      <c r="J2855" s="18"/>
      <c r="K2855" s="18"/>
      <c r="L2855" s="18"/>
      <c r="M2855" s="18"/>
      <c r="N2855" s="18"/>
      <c r="O2855" s="18"/>
      <c r="P2855" s="18"/>
      <c r="Q2855" s="18"/>
    </row>
    <row r="2856" spans="1:17">
      <c r="A2856" s="18"/>
      <c r="B2856" s="18"/>
      <c r="C2856" s="18"/>
      <c r="D2856" s="18"/>
      <c r="E2856" s="18"/>
      <c r="F2856" s="18"/>
      <c r="G2856" s="18"/>
      <c r="H2856" s="18"/>
      <c r="I2856" s="18"/>
      <c r="J2856" s="18"/>
      <c r="K2856" s="18"/>
      <c r="L2856" s="18"/>
      <c r="M2856" s="18"/>
      <c r="N2856" s="18"/>
      <c r="O2856" s="18"/>
      <c r="P2856" s="18"/>
      <c r="Q2856" s="18"/>
    </row>
    <row r="2857" spans="1:17">
      <c r="A2857" s="18"/>
      <c r="B2857" s="18"/>
      <c r="C2857" s="18"/>
      <c r="D2857" s="18"/>
      <c r="E2857" s="18"/>
      <c r="F2857" s="18"/>
      <c r="G2857" s="18"/>
      <c r="H2857" s="18"/>
      <c r="I2857" s="18"/>
      <c r="J2857" s="18"/>
      <c r="K2857" s="18"/>
      <c r="L2857" s="18"/>
      <c r="M2857" s="18"/>
      <c r="N2857" s="18"/>
      <c r="O2857" s="18"/>
      <c r="P2857" s="18"/>
      <c r="Q2857" s="18"/>
    </row>
    <row r="2858" spans="1:17">
      <c r="A2858" s="149"/>
      <c r="B2858" s="18"/>
      <c r="C2858" s="18"/>
      <c r="D2858" s="18"/>
      <c r="E2858" s="18"/>
      <c r="F2858" s="18"/>
      <c r="G2858" s="18"/>
      <c r="H2858" s="18"/>
      <c r="I2858" s="18"/>
      <c r="J2858" s="18"/>
      <c r="K2858" s="18"/>
      <c r="L2858" s="18"/>
      <c r="M2858" s="18"/>
      <c r="N2858" s="18"/>
      <c r="O2858" s="18"/>
      <c r="P2858" s="18"/>
      <c r="Q2858" s="18"/>
    </row>
    <row r="2859" spans="1:17">
      <c r="A2859" s="18"/>
      <c r="B2859" s="18"/>
      <c r="C2859" s="18"/>
      <c r="D2859" s="18"/>
      <c r="E2859" s="18"/>
      <c r="F2859" s="18"/>
      <c r="G2859" s="18"/>
      <c r="H2859" s="18"/>
      <c r="I2859" s="18"/>
      <c r="J2859" s="18"/>
      <c r="K2859" s="18"/>
      <c r="L2859" s="18"/>
      <c r="M2859" s="18"/>
      <c r="N2859" s="18"/>
      <c r="O2859" s="18"/>
      <c r="P2859" s="18"/>
      <c r="Q2859" s="18"/>
    </row>
    <row r="2860" spans="1:17">
      <c r="A2860" s="18"/>
      <c r="B2860" s="18"/>
      <c r="C2860" s="18"/>
      <c r="D2860" s="18"/>
      <c r="E2860" s="18"/>
      <c r="F2860" s="18"/>
      <c r="G2860" s="18"/>
      <c r="H2860" s="18"/>
      <c r="I2860" s="18"/>
      <c r="J2860" s="18"/>
      <c r="K2860" s="18"/>
      <c r="L2860" s="18"/>
      <c r="M2860" s="18"/>
      <c r="N2860" s="18"/>
      <c r="O2860" s="18"/>
      <c r="P2860" s="18"/>
      <c r="Q2860" s="18"/>
    </row>
    <row r="2861" spans="1:17">
      <c r="A2861" s="18"/>
      <c r="B2861" s="18"/>
      <c r="C2861" s="18"/>
      <c r="D2861" s="18"/>
      <c r="E2861" s="18"/>
      <c r="F2861" s="18"/>
      <c r="G2861" s="18"/>
      <c r="H2861" s="18"/>
      <c r="I2861" s="18"/>
      <c r="J2861" s="18"/>
      <c r="K2861" s="18"/>
      <c r="L2861" s="18"/>
      <c r="M2861" s="18"/>
      <c r="N2861" s="18"/>
      <c r="O2861" s="18"/>
      <c r="P2861" s="18"/>
      <c r="Q2861" s="18"/>
    </row>
    <row r="2862" spans="1:17">
      <c r="A2862" s="18"/>
      <c r="B2862" s="18"/>
      <c r="C2862" s="18"/>
      <c r="D2862" s="18"/>
      <c r="E2862" s="18"/>
      <c r="F2862" s="18"/>
      <c r="G2862" s="18"/>
      <c r="H2862" s="18"/>
      <c r="I2862" s="18"/>
      <c r="J2862" s="18"/>
      <c r="K2862" s="18"/>
      <c r="L2862" s="18"/>
      <c r="M2862" s="18"/>
      <c r="N2862" s="18"/>
      <c r="O2862" s="18"/>
      <c r="P2862" s="18"/>
      <c r="Q2862" s="18"/>
    </row>
    <row r="2863" spans="1:17">
      <c r="A2863" s="149"/>
      <c r="B2863" s="18"/>
      <c r="C2863" s="18"/>
      <c r="D2863" s="18"/>
      <c r="E2863" s="18"/>
      <c r="F2863" s="18"/>
      <c r="G2863" s="18"/>
      <c r="H2863" s="18"/>
      <c r="I2863" s="18"/>
      <c r="J2863" s="18"/>
      <c r="K2863" s="18"/>
      <c r="L2863" s="18"/>
      <c r="M2863" s="18"/>
      <c r="N2863" s="18"/>
      <c r="O2863" s="18"/>
      <c r="P2863" s="18"/>
      <c r="Q2863" s="18"/>
    </row>
    <row r="2864" spans="1:17">
      <c r="A2864" s="18"/>
      <c r="B2864" s="18"/>
      <c r="C2864" s="18"/>
      <c r="D2864" s="18"/>
      <c r="E2864" s="18"/>
      <c r="F2864" s="18"/>
      <c r="G2864" s="18"/>
      <c r="H2864" s="18"/>
      <c r="I2864" s="18"/>
      <c r="J2864" s="18"/>
      <c r="K2864" s="18"/>
      <c r="L2864" s="18"/>
      <c r="M2864" s="18"/>
      <c r="N2864" s="18"/>
      <c r="O2864" s="18"/>
      <c r="P2864" s="18"/>
      <c r="Q2864" s="18"/>
    </row>
    <row r="2865" spans="1:17">
      <c r="A2865" s="18"/>
      <c r="B2865" s="18"/>
      <c r="C2865" s="18"/>
      <c r="D2865" s="18"/>
      <c r="E2865" s="18"/>
      <c r="F2865" s="18"/>
      <c r="G2865" s="18"/>
      <c r="H2865" s="18"/>
      <c r="I2865" s="18"/>
      <c r="J2865" s="18"/>
      <c r="K2865" s="18"/>
      <c r="L2865" s="18"/>
      <c r="M2865" s="18"/>
      <c r="N2865" s="18"/>
      <c r="O2865" s="18"/>
      <c r="P2865" s="18"/>
      <c r="Q2865" s="18"/>
    </row>
    <row r="2866" spans="1:17">
      <c r="A2866" s="149"/>
      <c r="B2866" s="18"/>
      <c r="C2866" s="18"/>
      <c r="D2866" s="18"/>
      <c r="E2866" s="18"/>
      <c r="F2866" s="18"/>
      <c r="G2866" s="18"/>
      <c r="H2866" s="18"/>
      <c r="I2866" s="18"/>
      <c r="J2866" s="18"/>
      <c r="K2866" s="18"/>
      <c r="L2866" s="18"/>
      <c r="M2866" s="18"/>
      <c r="N2866" s="18"/>
      <c r="O2866" s="18"/>
      <c r="P2866" s="18"/>
      <c r="Q2866" s="18"/>
    </row>
    <row r="2867" spans="1:17">
      <c r="A2867" s="18"/>
      <c r="B2867" s="18"/>
      <c r="C2867" s="18"/>
      <c r="D2867" s="18"/>
      <c r="E2867" s="18"/>
      <c r="F2867" s="18"/>
      <c r="G2867" s="18"/>
      <c r="H2867" s="18"/>
      <c r="I2867" s="18"/>
      <c r="J2867" s="18"/>
      <c r="K2867" s="18"/>
      <c r="L2867" s="18"/>
      <c r="M2867" s="18"/>
      <c r="N2867" s="18"/>
      <c r="O2867" s="18"/>
      <c r="P2867" s="18"/>
      <c r="Q2867" s="18"/>
    </row>
    <row r="2868" spans="1:17">
      <c r="A2868" s="18"/>
      <c r="B2868" s="18"/>
      <c r="C2868" s="18"/>
      <c r="D2868" s="18"/>
      <c r="E2868" s="18"/>
      <c r="F2868" s="18"/>
      <c r="G2868" s="18"/>
      <c r="H2868" s="18"/>
      <c r="I2868" s="18"/>
      <c r="J2868" s="18"/>
      <c r="K2868" s="18"/>
      <c r="L2868" s="18"/>
      <c r="M2868" s="18"/>
      <c r="N2868" s="18"/>
      <c r="O2868" s="18"/>
      <c r="P2868" s="18"/>
      <c r="Q2868" s="18"/>
    </row>
    <row r="2869" spans="1:17">
      <c r="A2869" s="18"/>
      <c r="B2869" s="18"/>
      <c r="C2869" s="18"/>
      <c r="D2869" s="18"/>
      <c r="E2869" s="18"/>
      <c r="F2869" s="18"/>
      <c r="G2869" s="18"/>
      <c r="H2869" s="18"/>
      <c r="I2869" s="18"/>
      <c r="J2869" s="18"/>
      <c r="K2869" s="18"/>
      <c r="L2869" s="18"/>
      <c r="M2869" s="18"/>
      <c r="N2869" s="18"/>
      <c r="O2869" s="18"/>
      <c r="P2869" s="18"/>
      <c r="Q2869" s="18"/>
    </row>
    <row r="2870" spans="1:17">
      <c r="A2870" s="18"/>
      <c r="B2870" s="18"/>
      <c r="C2870" s="18"/>
      <c r="D2870" s="18"/>
      <c r="E2870" s="18"/>
      <c r="F2870" s="18"/>
      <c r="G2870" s="18"/>
      <c r="H2870" s="18"/>
      <c r="I2870" s="18"/>
      <c r="J2870" s="18"/>
      <c r="K2870" s="18"/>
      <c r="L2870" s="18"/>
      <c r="M2870" s="18"/>
      <c r="N2870" s="18"/>
      <c r="O2870" s="18"/>
      <c r="P2870" s="18"/>
      <c r="Q2870" s="18"/>
    </row>
    <row r="2871" spans="1:17">
      <c r="A2871" s="149"/>
      <c r="B2871" s="18"/>
      <c r="C2871" s="18"/>
      <c r="D2871" s="18"/>
      <c r="E2871" s="18"/>
      <c r="F2871" s="18"/>
      <c r="G2871" s="18"/>
      <c r="H2871" s="18"/>
      <c r="I2871" s="18"/>
      <c r="J2871" s="18"/>
      <c r="K2871" s="18"/>
      <c r="L2871" s="18"/>
      <c r="M2871" s="18"/>
      <c r="N2871" s="18"/>
      <c r="O2871" s="18"/>
      <c r="P2871" s="18"/>
      <c r="Q2871" s="18"/>
    </row>
    <row r="2872" spans="1:17">
      <c r="A2872" s="18"/>
      <c r="B2872" s="18"/>
      <c r="C2872" s="18"/>
      <c r="D2872" s="18"/>
      <c r="E2872" s="18"/>
      <c r="F2872" s="18"/>
      <c r="G2872" s="18"/>
      <c r="H2872" s="18"/>
      <c r="I2872" s="18"/>
      <c r="J2872" s="18"/>
      <c r="K2872" s="18"/>
      <c r="L2872" s="18"/>
      <c r="M2872" s="18"/>
      <c r="N2872" s="18"/>
      <c r="O2872" s="18"/>
      <c r="P2872" s="18"/>
      <c r="Q2872" s="18"/>
    </row>
    <row r="2873" spans="1:17">
      <c r="A2873" s="18"/>
      <c r="B2873" s="18"/>
      <c r="C2873" s="18"/>
      <c r="D2873" s="18"/>
      <c r="E2873" s="18"/>
      <c r="F2873" s="18"/>
      <c r="G2873" s="18"/>
      <c r="H2873" s="18"/>
      <c r="I2873" s="18"/>
      <c r="J2873" s="18"/>
      <c r="K2873" s="18"/>
      <c r="L2873" s="18"/>
      <c r="M2873" s="18"/>
      <c r="N2873" s="18"/>
      <c r="O2873" s="18"/>
      <c r="P2873" s="18"/>
      <c r="Q2873" s="18"/>
    </row>
    <row r="2874" spans="1:17">
      <c r="A2874" s="18"/>
      <c r="B2874" s="18"/>
      <c r="C2874" s="18"/>
      <c r="D2874" s="18"/>
      <c r="E2874" s="18"/>
      <c r="F2874" s="18"/>
      <c r="G2874" s="18"/>
      <c r="H2874" s="18"/>
      <c r="I2874" s="18"/>
      <c r="J2874" s="18"/>
      <c r="K2874" s="18"/>
      <c r="L2874" s="18"/>
      <c r="M2874" s="18"/>
      <c r="N2874" s="18"/>
      <c r="O2874" s="18"/>
      <c r="P2874" s="18"/>
      <c r="Q2874" s="18"/>
    </row>
    <row r="2875" spans="1:17">
      <c r="A2875" s="18"/>
      <c r="B2875" s="18"/>
      <c r="C2875" s="18"/>
      <c r="D2875" s="18"/>
      <c r="E2875" s="18"/>
      <c r="F2875" s="18"/>
      <c r="G2875" s="18"/>
      <c r="H2875" s="18"/>
      <c r="I2875" s="18"/>
      <c r="J2875" s="18"/>
      <c r="K2875" s="18"/>
      <c r="L2875" s="18"/>
      <c r="M2875" s="18"/>
      <c r="N2875" s="18"/>
      <c r="O2875" s="18"/>
      <c r="P2875" s="18"/>
      <c r="Q2875" s="18"/>
    </row>
    <row r="2876" spans="1:17">
      <c r="A2876" s="18"/>
      <c r="B2876" s="18"/>
      <c r="C2876" s="18"/>
      <c r="D2876" s="18"/>
      <c r="E2876" s="18"/>
      <c r="F2876" s="18"/>
      <c r="G2876" s="18"/>
      <c r="H2876" s="18"/>
      <c r="I2876" s="18"/>
      <c r="J2876" s="18"/>
      <c r="K2876" s="18"/>
      <c r="L2876" s="18"/>
      <c r="M2876" s="18"/>
      <c r="N2876" s="18"/>
      <c r="O2876" s="18"/>
      <c r="P2876" s="18"/>
      <c r="Q2876" s="18"/>
    </row>
    <row r="2877" spans="1:17">
      <c r="A2877" s="18"/>
      <c r="B2877" s="18"/>
      <c r="C2877" s="18"/>
      <c r="D2877" s="18"/>
      <c r="E2877" s="18"/>
      <c r="F2877" s="18"/>
      <c r="G2877" s="18"/>
      <c r="H2877" s="18"/>
      <c r="I2877" s="18"/>
      <c r="J2877" s="18"/>
      <c r="K2877" s="18"/>
      <c r="L2877" s="18"/>
      <c r="M2877" s="18"/>
      <c r="N2877" s="18"/>
      <c r="O2877" s="18"/>
      <c r="P2877" s="18"/>
      <c r="Q2877" s="18"/>
    </row>
    <row r="2878" spans="1:17">
      <c r="A2878" s="18"/>
      <c r="B2878" s="18"/>
      <c r="C2878" s="18"/>
      <c r="D2878" s="18"/>
      <c r="E2878" s="18"/>
      <c r="F2878" s="18"/>
      <c r="G2878" s="18"/>
      <c r="H2878" s="18"/>
      <c r="I2878" s="18"/>
      <c r="J2878" s="18"/>
      <c r="K2878" s="18"/>
      <c r="L2878" s="18"/>
      <c r="M2878" s="18"/>
      <c r="N2878" s="18"/>
      <c r="O2878" s="18"/>
      <c r="P2878" s="18"/>
      <c r="Q2878" s="18"/>
    </row>
    <row r="2879" spans="1:17">
      <c r="A2879" s="18"/>
      <c r="B2879" s="18"/>
      <c r="C2879" s="18"/>
      <c r="D2879" s="18"/>
      <c r="E2879" s="18"/>
      <c r="F2879" s="18"/>
      <c r="G2879" s="18"/>
      <c r="H2879" s="18"/>
      <c r="I2879" s="18"/>
      <c r="J2879" s="18"/>
      <c r="K2879" s="18"/>
      <c r="L2879" s="18"/>
      <c r="M2879" s="18"/>
      <c r="N2879" s="18"/>
      <c r="O2879" s="18"/>
      <c r="P2879" s="18"/>
      <c r="Q2879" s="18"/>
    </row>
    <row r="2880" spans="1:17">
      <c r="A2880" s="18"/>
      <c r="B2880" s="18"/>
      <c r="C2880" s="18"/>
      <c r="D2880" s="18"/>
      <c r="E2880" s="18"/>
      <c r="F2880" s="18"/>
      <c r="G2880" s="18"/>
      <c r="H2880" s="18"/>
      <c r="I2880" s="18"/>
      <c r="J2880" s="18"/>
      <c r="K2880" s="18"/>
      <c r="L2880" s="18"/>
      <c r="M2880" s="18"/>
      <c r="N2880" s="18"/>
      <c r="O2880" s="18"/>
      <c r="P2880" s="18"/>
      <c r="Q2880" s="18"/>
    </row>
    <row r="2881" spans="1:17">
      <c r="A2881" s="18"/>
      <c r="B2881" s="18"/>
      <c r="C2881" s="18"/>
      <c r="D2881" s="18"/>
      <c r="E2881" s="18"/>
      <c r="F2881" s="18"/>
      <c r="G2881" s="18"/>
      <c r="H2881" s="18"/>
      <c r="I2881" s="18"/>
      <c r="J2881" s="18"/>
      <c r="K2881" s="18"/>
      <c r="L2881" s="18"/>
      <c r="M2881" s="18"/>
      <c r="N2881" s="18"/>
      <c r="O2881" s="18"/>
      <c r="P2881" s="18"/>
      <c r="Q2881" s="18"/>
    </row>
    <row r="2882" spans="1:17">
      <c r="A2882" s="18"/>
      <c r="B2882" s="18"/>
      <c r="C2882" s="18"/>
      <c r="D2882" s="18"/>
      <c r="E2882" s="18"/>
      <c r="F2882" s="18"/>
      <c r="G2882" s="18"/>
      <c r="H2882" s="18"/>
      <c r="I2882" s="18"/>
      <c r="J2882" s="18"/>
      <c r="K2882" s="18"/>
      <c r="L2882" s="18"/>
      <c r="M2882" s="18"/>
      <c r="N2882" s="18"/>
      <c r="O2882" s="18"/>
      <c r="P2882" s="18"/>
      <c r="Q2882" s="18"/>
    </row>
    <row r="2883" spans="1:17">
      <c r="A2883" s="18"/>
      <c r="B2883" s="18"/>
      <c r="C2883" s="18"/>
      <c r="D2883" s="18"/>
      <c r="E2883" s="18"/>
      <c r="F2883" s="18"/>
      <c r="G2883" s="18"/>
      <c r="H2883" s="18"/>
      <c r="I2883" s="18"/>
      <c r="J2883" s="18"/>
      <c r="K2883" s="18"/>
      <c r="L2883" s="18"/>
      <c r="M2883" s="18"/>
      <c r="N2883" s="18"/>
      <c r="O2883" s="18"/>
      <c r="P2883" s="18"/>
      <c r="Q2883" s="18"/>
    </row>
    <row r="2884" spans="1:17">
      <c r="A2884" s="18"/>
      <c r="B2884" s="18"/>
      <c r="C2884" s="18"/>
      <c r="D2884" s="18"/>
      <c r="E2884" s="18"/>
      <c r="F2884" s="18"/>
      <c r="G2884" s="18"/>
      <c r="H2884" s="18"/>
      <c r="I2884" s="18"/>
      <c r="J2884" s="18"/>
      <c r="K2884" s="18"/>
      <c r="L2884" s="18"/>
      <c r="M2884" s="18"/>
      <c r="N2884" s="18"/>
      <c r="O2884" s="18"/>
      <c r="P2884" s="18"/>
      <c r="Q2884" s="18"/>
    </row>
    <row r="2885" spans="1:17">
      <c r="A2885" s="18"/>
      <c r="B2885" s="18"/>
      <c r="C2885" s="18"/>
      <c r="D2885" s="18"/>
      <c r="E2885" s="18"/>
      <c r="F2885" s="18"/>
      <c r="G2885" s="18"/>
      <c r="H2885" s="18"/>
      <c r="I2885" s="18"/>
      <c r="J2885" s="18"/>
      <c r="K2885" s="18"/>
      <c r="L2885" s="18"/>
      <c r="M2885" s="18"/>
      <c r="N2885" s="18"/>
      <c r="O2885" s="18"/>
      <c r="P2885" s="18"/>
      <c r="Q2885" s="18"/>
    </row>
    <row r="2886" spans="1:17">
      <c r="A2886" s="18"/>
      <c r="B2886" s="18"/>
      <c r="C2886" s="18"/>
      <c r="D2886" s="18"/>
      <c r="E2886" s="18"/>
      <c r="F2886" s="38"/>
      <c r="G2886" s="18"/>
      <c r="H2886" s="18"/>
      <c r="I2886" s="18"/>
      <c r="J2886" s="18"/>
      <c r="K2886" s="18"/>
      <c r="L2886" s="18"/>
      <c r="M2886" s="18"/>
      <c r="N2886" s="18"/>
      <c r="O2886" s="18"/>
      <c r="P2886" s="18"/>
      <c r="Q2886" s="18"/>
    </row>
    <row r="2887" spans="1:17">
      <c r="A2887" s="18"/>
      <c r="B2887" s="18"/>
      <c r="C2887" s="18"/>
      <c r="D2887" s="18"/>
      <c r="E2887" s="18"/>
      <c r="F2887" s="38"/>
      <c r="G2887" s="18"/>
      <c r="H2887" s="18"/>
      <c r="I2887" s="18"/>
      <c r="J2887" s="18"/>
      <c r="K2887" s="18"/>
      <c r="L2887" s="18"/>
      <c r="M2887" s="18"/>
      <c r="N2887" s="18"/>
      <c r="O2887" s="18"/>
      <c r="P2887" s="18"/>
      <c r="Q2887" s="18"/>
    </row>
    <row r="2888" spans="1:17">
      <c r="A2888" s="18"/>
      <c r="B2888" s="18"/>
      <c r="C2888" s="18"/>
      <c r="D2888" s="18"/>
      <c r="E2888" s="18"/>
      <c r="F2888" s="38"/>
      <c r="G2888" s="18"/>
      <c r="H2888" s="18"/>
      <c r="I2888" s="18"/>
      <c r="J2888" s="18"/>
      <c r="K2888" s="18"/>
      <c r="L2888" s="18"/>
      <c r="M2888" s="18"/>
      <c r="N2888" s="18"/>
      <c r="O2888" s="18"/>
      <c r="P2888" s="18"/>
      <c r="Q2888" s="18"/>
    </row>
    <row r="2889" spans="1:17">
      <c r="A2889" s="18"/>
      <c r="B2889" s="18"/>
      <c r="C2889" s="18"/>
      <c r="D2889" s="18"/>
      <c r="E2889" s="18"/>
      <c r="F2889" s="38"/>
      <c r="G2889" s="18"/>
      <c r="H2889" s="18"/>
      <c r="I2889" s="18"/>
      <c r="J2889" s="18"/>
      <c r="K2889" s="18"/>
      <c r="L2889" s="18"/>
      <c r="M2889" s="18"/>
      <c r="N2889" s="18"/>
      <c r="O2889" s="18"/>
      <c r="P2889" s="18"/>
      <c r="Q2889" s="18"/>
    </row>
    <row r="2890" spans="1:17">
      <c r="A2890" s="18"/>
      <c r="B2890" s="18"/>
      <c r="C2890" s="18"/>
      <c r="D2890" s="18"/>
      <c r="E2890" s="18"/>
      <c r="F2890" s="38"/>
      <c r="G2890" s="18"/>
      <c r="H2890" s="18"/>
      <c r="I2890" s="18"/>
      <c r="J2890" s="18"/>
      <c r="K2890" s="18"/>
      <c r="L2890" s="18"/>
      <c r="M2890" s="18"/>
      <c r="N2890" s="18"/>
      <c r="O2890" s="18"/>
      <c r="P2890" s="18"/>
      <c r="Q2890" s="18"/>
    </row>
    <row r="2891" spans="1:17">
      <c r="A2891" s="18"/>
      <c r="B2891" s="18"/>
      <c r="C2891" s="18"/>
      <c r="D2891" s="18"/>
      <c r="E2891" s="18"/>
      <c r="F2891" s="38"/>
      <c r="G2891" s="18"/>
      <c r="H2891" s="18"/>
      <c r="I2891" s="18"/>
      <c r="J2891" s="18"/>
      <c r="K2891" s="18"/>
      <c r="L2891" s="18"/>
      <c r="M2891" s="18"/>
      <c r="N2891" s="18"/>
      <c r="O2891" s="18"/>
      <c r="P2891" s="18"/>
      <c r="Q2891" s="18"/>
    </row>
    <row r="2892" spans="1:17">
      <c r="A2892" s="18"/>
      <c r="B2892" s="18"/>
      <c r="C2892" s="18"/>
      <c r="D2892" s="18"/>
      <c r="E2892" s="18"/>
      <c r="F2892" s="38"/>
      <c r="G2892" s="18"/>
      <c r="H2892" s="18"/>
      <c r="I2892" s="18"/>
      <c r="J2892" s="18"/>
      <c r="K2892" s="18"/>
      <c r="L2892" s="18"/>
      <c r="M2892" s="18"/>
      <c r="N2892" s="18"/>
      <c r="O2892" s="18"/>
      <c r="P2892" s="18"/>
      <c r="Q2892" s="18"/>
    </row>
    <row r="2893" spans="1:17">
      <c r="A2893" s="18"/>
      <c r="B2893" s="18"/>
      <c r="C2893" s="18"/>
      <c r="D2893" s="18"/>
      <c r="E2893" s="18"/>
      <c r="F2893" s="38"/>
      <c r="G2893" s="18"/>
      <c r="H2893" s="18"/>
      <c r="I2893" s="18"/>
      <c r="J2893" s="18"/>
      <c r="K2893" s="18"/>
      <c r="L2893" s="18"/>
      <c r="M2893" s="18"/>
      <c r="N2893" s="18"/>
      <c r="O2893" s="18"/>
      <c r="P2893" s="18"/>
      <c r="Q2893" s="18"/>
    </row>
    <row r="2894" spans="1:17">
      <c r="A2894" s="18"/>
      <c r="B2894" s="18"/>
      <c r="C2894" s="18"/>
      <c r="D2894" s="18"/>
      <c r="E2894" s="18"/>
      <c r="F2894" s="38"/>
      <c r="G2894" s="18"/>
      <c r="H2894" s="18"/>
      <c r="I2894" s="18"/>
      <c r="J2894" s="18"/>
      <c r="K2894" s="18"/>
      <c r="L2894" s="18"/>
      <c r="M2894" s="18"/>
      <c r="N2894" s="18"/>
      <c r="O2894" s="18"/>
      <c r="P2894" s="18"/>
      <c r="Q2894" s="18"/>
    </row>
    <row r="2895" spans="1:17">
      <c r="A2895" s="18"/>
      <c r="B2895" s="18"/>
      <c r="C2895" s="18"/>
      <c r="D2895" s="18"/>
      <c r="E2895" s="18"/>
      <c r="F2895" s="18"/>
      <c r="G2895" s="18"/>
      <c r="H2895" s="18"/>
      <c r="I2895" s="18"/>
      <c r="J2895" s="18"/>
      <c r="K2895" s="18"/>
      <c r="L2895" s="18"/>
      <c r="M2895" s="18"/>
      <c r="N2895" s="18"/>
      <c r="O2895" s="18"/>
      <c r="P2895" s="18"/>
      <c r="Q2895" s="18"/>
    </row>
    <row r="2896" spans="1:17">
      <c r="A2896" s="18"/>
      <c r="B2896" s="18"/>
      <c r="C2896" s="18"/>
      <c r="D2896" s="18"/>
      <c r="E2896" s="18"/>
      <c r="F2896" s="18"/>
      <c r="G2896" s="18"/>
      <c r="H2896" s="18"/>
      <c r="I2896" s="18"/>
      <c r="J2896" s="18"/>
      <c r="K2896" s="18"/>
      <c r="L2896" s="18"/>
      <c r="M2896" s="18"/>
      <c r="N2896" s="18"/>
      <c r="O2896" s="18"/>
      <c r="P2896" s="18"/>
      <c r="Q2896" s="18"/>
    </row>
    <row r="2897" spans="1:17">
      <c r="A2897" s="18"/>
      <c r="B2897" s="18"/>
      <c r="C2897" s="18"/>
      <c r="D2897" s="18"/>
      <c r="E2897" s="18"/>
      <c r="F2897" s="18"/>
      <c r="G2897" s="18"/>
      <c r="H2897" s="18"/>
      <c r="I2897" s="18"/>
      <c r="J2897" s="18"/>
      <c r="K2897" s="18"/>
      <c r="L2897" s="18"/>
      <c r="M2897" s="18"/>
      <c r="N2897" s="18"/>
      <c r="O2897" s="18"/>
      <c r="P2897" s="18"/>
      <c r="Q2897" s="18"/>
    </row>
    <row r="2898" spans="1:17">
      <c r="A2898" s="18"/>
      <c r="B2898" s="18"/>
      <c r="C2898" s="18"/>
      <c r="D2898" s="18"/>
      <c r="E2898" s="18"/>
      <c r="F2898" s="18"/>
      <c r="G2898" s="18"/>
      <c r="H2898" s="18"/>
      <c r="I2898" s="18"/>
      <c r="J2898" s="18"/>
      <c r="K2898" s="18"/>
      <c r="L2898" s="18"/>
      <c r="M2898" s="18"/>
      <c r="N2898" s="18"/>
      <c r="O2898" s="18"/>
      <c r="P2898" s="18"/>
      <c r="Q2898" s="18"/>
    </row>
    <row r="2899" spans="1:17">
      <c r="A2899" s="18"/>
      <c r="B2899" s="18"/>
      <c r="C2899" s="18"/>
      <c r="D2899" s="18"/>
      <c r="E2899" s="18"/>
      <c r="F2899" s="18"/>
      <c r="G2899" s="18"/>
      <c r="H2899" s="18"/>
      <c r="I2899" s="18"/>
      <c r="J2899" s="18"/>
      <c r="K2899" s="18"/>
      <c r="L2899" s="18"/>
      <c r="M2899" s="18"/>
      <c r="N2899" s="18"/>
      <c r="O2899" s="18"/>
      <c r="P2899" s="18"/>
      <c r="Q2899" s="18"/>
    </row>
    <row r="2900" spans="1:17">
      <c r="A2900" s="18"/>
      <c r="B2900" s="18"/>
      <c r="C2900" s="18"/>
      <c r="D2900" s="18"/>
      <c r="E2900" s="18"/>
      <c r="F2900" s="18"/>
      <c r="G2900" s="18"/>
      <c r="H2900" s="18"/>
      <c r="I2900" s="18"/>
      <c r="J2900" s="18"/>
      <c r="K2900" s="18"/>
      <c r="L2900" s="18"/>
      <c r="M2900" s="18"/>
      <c r="N2900" s="18"/>
      <c r="O2900" s="18"/>
      <c r="P2900" s="18"/>
      <c r="Q2900" s="18"/>
    </row>
    <row r="2901" spans="1:17">
      <c r="A2901" s="18"/>
      <c r="B2901" s="18"/>
      <c r="C2901" s="18"/>
      <c r="D2901" s="18"/>
      <c r="E2901" s="18"/>
      <c r="F2901" s="18"/>
      <c r="G2901" s="18"/>
      <c r="H2901" s="18"/>
      <c r="I2901" s="18"/>
      <c r="J2901" s="18"/>
      <c r="K2901" s="18"/>
      <c r="L2901" s="18"/>
      <c r="M2901" s="18"/>
      <c r="N2901" s="18"/>
      <c r="O2901" s="18"/>
      <c r="P2901" s="18"/>
      <c r="Q2901" s="18"/>
    </row>
    <row r="2902" spans="1:17">
      <c r="A2902" s="18"/>
      <c r="B2902" s="18"/>
      <c r="C2902" s="18"/>
      <c r="D2902" s="18"/>
      <c r="E2902" s="18"/>
      <c r="F2902" s="18"/>
      <c r="G2902" s="18"/>
      <c r="H2902" s="18"/>
      <c r="I2902" s="18"/>
      <c r="J2902" s="18"/>
      <c r="K2902" s="18"/>
      <c r="L2902" s="18"/>
      <c r="M2902" s="18"/>
      <c r="N2902" s="18"/>
      <c r="O2902" s="18"/>
      <c r="P2902" s="18"/>
      <c r="Q2902" s="18"/>
    </row>
    <row r="2903" spans="1:17">
      <c r="A2903" s="149"/>
      <c r="B2903" s="18"/>
      <c r="C2903" s="18"/>
      <c r="D2903" s="18"/>
      <c r="E2903" s="18"/>
      <c r="F2903" s="18"/>
      <c r="G2903" s="18"/>
      <c r="H2903" s="18"/>
      <c r="I2903" s="18"/>
      <c r="J2903" s="18"/>
      <c r="K2903" s="18"/>
      <c r="L2903" s="18"/>
      <c r="M2903" s="18"/>
      <c r="N2903" s="18"/>
      <c r="O2903" s="18"/>
      <c r="P2903" s="18"/>
      <c r="Q2903" s="18"/>
    </row>
    <row r="2904" spans="1:17">
      <c r="A2904" s="18"/>
      <c r="B2904" s="18"/>
      <c r="C2904" s="18"/>
      <c r="D2904" s="18"/>
      <c r="E2904" s="18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8"/>
    </row>
    <row r="2905" spans="1:17">
      <c r="A2905" s="18"/>
      <c r="B2905" s="18"/>
      <c r="C2905" s="18"/>
      <c r="D2905" s="18"/>
      <c r="E2905" s="18"/>
      <c r="F2905" s="18"/>
      <c r="G2905" s="18"/>
      <c r="H2905" s="18"/>
      <c r="I2905" s="18"/>
      <c r="J2905" s="18"/>
      <c r="K2905" s="18"/>
      <c r="L2905" s="18"/>
      <c r="M2905" s="18"/>
      <c r="N2905" s="18"/>
      <c r="O2905" s="18"/>
      <c r="P2905" s="18"/>
      <c r="Q2905" s="18"/>
    </row>
    <row r="2906" spans="1:17">
      <c r="A2906" s="149"/>
      <c r="B2906" s="18"/>
      <c r="C2906" s="18"/>
      <c r="D2906" s="18"/>
      <c r="E2906" s="18"/>
      <c r="F2906" s="18"/>
      <c r="G2906" s="18"/>
      <c r="H2906" s="18"/>
      <c r="I2906" s="18"/>
      <c r="J2906" s="18"/>
      <c r="K2906" s="18"/>
      <c r="L2906" s="18"/>
      <c r="M2906" s="18"/>
      <c r="N2906" s="18"/>
      <c r="O2906" s="18"/>
      <c r="P2906" s="18"/>
      <c r="Q2906" s="18"/>
    </row>
    <row r="2907" spans="1:17">
      <c r="A2907" s="18"/>
      <c r="B2907" s="18"/>
      <c r="C2907" s="18"/>
      <c r="D2907" s="18"/>
      <c r="E2907" s="18"/>
      <c r="F2907" s="18"/>
      <c r="G2907" s="18"/>
      <c r="H2907" s="18"/>
      <c r="I2907" s="18"/>
      <c r="J2907" s="18"/>
      <c r="K2907" s="18"/>
      <c r="L2907" s="18"/>
      <c r="M2907" s="18"/>
      <c r="N2907" s="18"/>
      <c r="O2907" s="18"/>
      <c r="P2907" s="18"/>
      <c r="Q2907" s="18"/>
    </row>
    <row r="2908" spans="1:17">
      <c r="A2908" s="18"/>
      <c r="B2908" s="18"/>
      <c r="C2908" s="18"/>
      <c r="D2908" s="18"/>
      <c r="E2908" s="18"/>
      <c r="F2908" s="18"/>
      <c r="G2908" s="18"/>
      <c r="H2908" s="18"/>
      <c r="I2908" s="18"/>
      <c r="J2908" s="18"/>
      <c r="K2908" s="18"/>
      <c r="L2908" s="18"/>
      <c r="M2908" s="18"/>
      <c r="N2908" s="18"/>
      <c r="O2908" s="18"/>
      <c r="P2908" s="18"/>
      <c r="Q2908" s="18"/>
    </row>
    <row r="2909" spans="1:17">
      <c r="A2909" s="149"/>
      <c r="B2909" s="18"/>
      <c r="C2909" s="18"/>
      <c r="D2909" s="18"/>
      <c r="E2909" s="18"/>
      <c r="F2909" s="18"/>
      <c r="G2909" s="18"/>
      <c r="H2909" s="18"/>
      <c r="I2909" s="18"/>
      <c r="J2909" s="18"/>
      <c r="K2909" s="18"/>
      <c r="L2909" s="18"/>
      <c r="M2909" s="18"/>
      <c r="N2909" s="18"/>
      <c r="O2909" s="18"/>
      <c r="P2909" s="18"/>
      <c r="Q2909" s="18"/>
    </row>
    <row r="2910" spans="1:17">
      <c r="A2910" s="18"/>
      <c r="B2910" s="18"/>
      <c r="C2910" s="18"/>
      <c r="D2910" s="18"/>
      <c r="E2910" s="18"/>
      <c r="F2910" s="18"/>
      <c r="G2910" s="18"/>
      <c r="H2910" s="18"/>
      <c r="I2910" s="18"/>
      <c r="J2910" s="18"/>
      <c r="K2910" s="18"/>
      <c r="L2910" s="18"/>
      <c r="M2910" s="18"/>
      <c r="N2910" s="18"/>
      <c r="O2910" s="18"/>
      <c r="P2910" s="18"/>
      <c r="Q2910" s="18"/>
    </row>
    <row r="2911" spans="1:17">
      <c r="A2911" s="18"/>
      <c r="B2911" s="18"/>
      <c r="C2911" s="18"/>
      <c r="D2911" s="18"/>
      <c r="E2911" s="18"/>
      <c r="F2911" s="18"/>
      <c r="G2911" s="18"/>
      <c r="H2911" s="18"/>
      <c r="I2911" s="18"/>
      <c r="J2911" s="18"/>
      <c r="K2911" s="18"/>
      <c r="L2911" s="18"/>
      <c r="M2911" s="18"/>
      <c r="N2911" s="18"/>
      <c r="O2911" s="18"/>
      <c r="P2911" s="18"/>
      <c r="Q2911" s="18"/>
    </row>
    <row r="2912" spans="1:17">
      <c r="A2912" s="18"/>
      <c r="B2912" s="18"/>
      <c r="C2912" s="18"/>
      <c r="D2912" s="18"/>
      <c r="E2912" s="18"/>
      <c r="F2912" s="18"/>
      <c r="G2912" s="18"/>
      <c r="H2912" s="18"/>
      <c r="I2912" s="18"/>
      <c r="J2912" s="18"/>
      <c r="K2912" s="18"/>
      <c r="L2912" s="18"/>
      <c r="M2912" s="18"/>
      <c r="N2912" s="18"/>
      <c r="O2912" s="18"/>
      <c r="P2912" s="18"/>
      <c r="Q2912" s="18"/>
    </row>
    <row r="2913" spans="1:17">
      <c r="A2913" s="149"/>
      <c r="B2913" s="18"/>
      <c r="C2913" s="18"/>
      <c r="D2913" s="18"/>
      <c r="E2913" s="18"/>
      <c r="F2913" s="18"/>
      <c r="G2913" s="18"/>
      <c r="H2913" s="18"/>
      <c r="I2913" s="18"/>
      <c r="J2913" s="18"/>
      <c r="K2913" s="18"/>
      <c r="L2913" s="18"/>
      <c r="M2913" s="18"/>
      <c r="N2913" s="18"/>
      <c r="O2913" s="18"/>
      <c r="P2913" s="18"/>
      <c r="Q2913" s="18"/>
    </row>
    <row r="2914" spans="1:17">
      <c r="A2914" s="18"/>
      <c r="B2914" s="18"/>
      <c r="C2914" s="18"/>
      <c r="D2914" s="18"/>
      <c r="E2914" s="18"/>
      <c r="F2914" s="18"/>
      <c r="G2914" s="18"/>
      <c r="H2914" s="18"/>
      <c r="I2914" s="18"/>
      <c r="J2914" s="18"/>
      <c r="K2914" s="18"/>
      <c r="L2914" s="18"/>
      <c r="M2914" s="18"/>
      <c r="N2914" s="18"/>
      <c r="O2914" s="18"/>
      <c r="P2914" s="18"/>
      <c r="Q2914" s="18"/>
    </row>
    <row r="2915" spans="1:17">
      <c r="A2915" s="149"/>
      <c r="B2915" s="18"/>
      <c r="C2915" s="18"/>
      <c r="D2915" s="18"/>
      <c r="E2915" s="18"/>
      <c r="F2915" s="18"/>
      <c r="G2915" s="18"/>
      <c r="H2915" s="18"/>
      <c r="I2915" s="18"/>
      <c r="J2915" s="18"/>
      <c r="K2915" s="18"/>
      <c r="L2915" s="18"/>
      <c r="M2915" s="18"/>
      <c r="N2915" s="18"/>
      <c r="O2915" s="18"/>
      <c r="P2915" s="18"/>
      <c r="Q2915" s="18"/>
    </row>
    <row r="2916" spans="1:17">
      <c r="A2916" s="18"/>
      <c r="B2916" s="18"/>
      <c r="C2916" s="18"/>
      <c r="D2916" s="18"/>
      <c r="E2916" s="18"/>
      <c r="F2916" s="18"/>
      <c r="G2916" s="18"/>
      <c r="H2916" s="18"/>
      <c r="I2916" s="18"/>
      <c r="J2916" s="18"/>
      <c r="K2916" s="18"/>
      <c r="L2916" s="18"/>
      <c r="M2916" s="18"/>
      <c r="N2916" s="18"/>
      <c r="O2916" s="18"/>
      <c r="P2916" s="18"/>
      <c r="Q2916" s="18"/>
    </row>
    <row r="2917" spans="1:17">
      <c r="A2917" s="18"/>
      <c r="B2917" s="18"/>
      <c r="C2917" s="18"/>
      <c r="D2917" s="18"/>
      <c r="E2917" s="18"/>
      <c r="F2917" s="18"/>
      <c r="G2917" s="18"/>
      <c r="H2917" s="18"/>
      <c r="I2917" s="18"/>
      <c r="J2917" s="18"/>
      <c r="K2917" s="18"/>
      <c r="L2917" s="18"/>
      <c r="M2917" s="18"/>
      <c r="N2917" s="18"/>
      <c r="O2917" s="18"/>
      <c r="P2917" s="18"/>
      <c r="Q2917" s="18"/>
    </row>
    <row r="2918" spans="1:17">
      <c r="A2918" s="18"/>
      <c r="B2918" s="18"/>
      <c r="C2918" s="18"/>
      <c r="D2918" s="18"/>
      <c r="E2918" s="18"/>
      <c r="F2918" s="18"/>
      <c r="G2918" s="18"/>
      <c r="H2918" s="18"/>
      <c r="I2918" s="18"/>
      <c r="J2918" s="18"/>
      <c r="K2918" s="18"/>
      <c r="L2918" s="18"/>
      <c r="M2918" s="18"/>
      <c r="N2918" s="18"/>
      <c r="O2918" s="18"/>
      <c r="P2918" s="18"/>
      <c r="Q2918" s="18"/>
    </row>
    <row r="2919" spans="1:17">
      <c r="A2919" s="18"/>
      <c r="B2919" s="18"/>
      <c r="C2919" s="18"/>
      <c r="D2919" s="18"/>
      <c r="E2919" s="18"/>
      <c r="F2919" s="18"/>
      <c r="G2919" s="18"/>
      <c r="H2919" s="18"/>
      <c r="I2919" s="18"/>
      <c r="J2919" s="18"/>
      <c r="K2919" s="18"/>
      <c r="L2919" s="18"/>
      <c r="M2919" s="18"/>
      <c r="N2919" s="18"/>
      <c r="O2919" s="18"/>
      <c r="P2919" s="18"/>
      <c r="Q2919" s="18"/>
    </row>
    <row r="2920" spans="1:17">
      <c r="A2920" s="18"/>
      <c r="B2920" s="18"/>
      <c r="C2920" s="18"/>
      <c r="D2920" s="18"/>
      <c r="E2920" s="18"/>
      <c r="F2920" s="18"/>
      <c r="G2920" s="18"/>
      <c r="H2920" s="18"/>
      <c r="I2920" s="18"/>
      <c r="J2920" s="18"/>
      <c r="K2920" s="18"/>
      <c r="L2920" s="18"/>
      <c r="M2920" s="18"/>
      <c r="N2920" s="18"/>
      <c r="O2920" s="18"/>
      <c r="P2920" s="18"/>
      <c r="Q2920" s="18"/>
    </row>
    <row r="2921" spans="1:17">
      <c r="A2921" s="18"/>
      <c r="B2921" s="18"/>
      <c r="C2921" s="18"/>
      <c r="D2921" s="18"/>
      <c r="E2921" s="18"/>
      <c r="F2921" s="18"/>
      <c r="G2921" s="18"/>
      <c r="H2921" s="18"/>
      <c r="I2921" s="18"/>
      <c r="J2921" s="18"/>
      <c r="K2921" s="18"/>
      <c r="L2921" s="18"/>
      <c r="M2921" s="18"/>
      <c r="N2921" s="18"/>
      <c r="O2921" s="18"/>
      <c r="P2921" s="18"/>
      <c r="Q2921" s="18"/>
    </row>
    <row r="2922" spans="1:17">
      <c r="A2922" s="149"/>
      <c r="B2922" s="18"/>
      <c r="C2922" s="18"/>
      <c r="D2922" s="18"/>
      <c r="E2922" s="18"/>
      <c r="F2922" s="18"/>
      <c r="G2922" s="18"/>
      <c r="H2922" s="18"/>
      <c r="I2922" s="18"/>
      <c r="J2922" s="18"/>
      <c r="K2922" s="18"/>
      <c r="L2922" s="18"/>
      <c r="M2922" s="18"/>
      <c r="N2922" s="18"/>
      <c r="O2922" s="18"/>
      <c r="P2922" s="18"/>
      <c r="Q2922" s="18"/>
    </row>
    <row r="2923" spans="1:17">
      <c r="A2923" s="18"/>
      <c r="B2923" s="18"/>
      <c r="C2923" s="18"/>
      <c r="D2923" s="18"/>
      <c r="E2923" s="18"/>
      <c r="F2923" s="18"/>
      <c r="G2923" s="18"/>
      <c r="H2923" s="18"/>
      <c r="I2923" s="18"/>
      <c r="J2923" s="18"/>
      <c r="K2923" s="18"/>
      <c r="L2923" s="18"/>
      <c r="M2923" s="18"/>
      <c r="N2923" s="18"/>
      <c r="O2923" s="18"/>
      <c r="P2923" s="18"/>
      <c r="Q2923" s="18"/>
    </row>
    <row r="2924" spans="1:17">
      <c r="A2924" s="18"/>
      <c r="B2924" s="18"/>
      <c r="C2924" s="18"/>
      <c r="D2924" s="18"/>
      <c r="E2924" s="18"/>
      <c r="F2924" s="18"/>
      <c r="G2924" s="18"/>
      <c r="H2924" s="18"/>
      <c r="I2924" s="18"/>
      <c r="J2924" s="18"/>
      <c r="K2924" s="18"/>
      <c r="L2924" s="18"/>
      <c r="M2924" s="18"/>
      <c r="N2924" s="18"/>
      <c r="O2924" s="18"/>
      <c r="P2924" s="18"/>
      <c r="Q2924" s="18"/>
    </row>
    <row r="2925" spans="1:17">
      <c r="A2925" s="18"/>
      <c r="B2925" s="18"/>
      <c r="C2925" s="18"/>
      <c r="D2925" s="18"/>
      <c r="E2925" s="18"/>
      <c r="F2925" s="18"/>
      <c r="G2925" s="18"/>
      <c r="H2925" s="18"/>
      <c r="I2925" s="18"/>
      <c r="J2925" s="18"/>
      <c r="K2925" s="18"/>
      <c r="L2925" s="18"/>
      <c r="M2925" s="18"/>
      <c r="N2925" s="18"/>
      <c r="O2925" s="18"/>
      <c r="P2925" s="18"/>
      <c r="Q2925" s="18"/>
    </row>
    <row r="2926" spans="1:17">
      <c r="A2926" s="149"/>
      <c r="B2926" s="18"/>
      <c r="C2926" s="18"/>
      <c r="D2926" s="18"/>
      <c r="E2926" s="18"/>
      <c r="F2926" s="18"/>
      <c r="G2926" s="18"/>
      <c r="H2926" s="18"/>
      <c r="I2926" s="18"/>
      <c r="J2926" s="18"/>
      <c r="K2926" s="18"/>
      <c r="L2926" s="18"/>
      <c r="M2926" s="18"/>
      <c r="N2926" s="18"/>
      <c r="O2926" s="18"/>
      <c r="P2926" s="18"/>
      <c r="Q2926" s="18"/>
    </row>
    <row r="2927" spans="1:17">
      <c r="A2927" s="18"/>
      <c r="B2927" s="18"/>
      <c r="C2927" s="18"/>
      <c r="D2927" s="18"/>
      <c r="E2927" s="18"/>
      <c r="F2927" s="18"/>
      <c r="G2927" s="18"/>
      <c r="H2927" s="18"/>
      <c r="I2927" s="18"/>
      <c r="J2927" s="18"/>
      <c r="K2927" s="18"/>
      <c r="L2927" s="18"/>
      <c r="M2927" s="18"/>
      <c r="N2927" s="18"/>
      <c r="O2927" s="18"/>
      <c r="P2927" s="18"/>
      <c r="Q2927" s="18"/>
    </row>
    <row r="2928" spans="1:17">
      <c r="A2928" s="18"/>
      <c r="B2928" s="18"/>
      <c r="C2928" s="18"/>
      <c r="D2928" s="18"/>
      <c r="E2928" s="18"/>
      <c r="F2928" s="18"/>
      <c r="G2928" s="18"/>
      <c r="H2928" s="18"/>
      <c r="I2928" s="18"/>
      <c r="J2928" s="18"/>
      <c r="K2928" s="18"/>
      <c r="L2928" s="18"/>
      <c r="M2928" s="18"/>
      <c r="N2928" s="18"/>
      <c r="O2928" s="18"/>
      <c r="P2928" s="18"/>
      <c r="Q2928" s="18"/>
    </row>
    <row r="2929" spans="1:17">
      <c r="A2929" s="18"/>
      <c r="B2929" s="18"/>
      <c r="C2929" s="18"/>
      <c r="D2929" s="18"/>
      <c r="E2929" s="18"/>
      <c r="F2929" s="18"/>
      <c r="G2929" s="18"/>
      <c r="H2929" s="18"/>
      <c r="I2929" s="18"/>
      <c r="J2929" s="18"/>
      <c r="K2929" s="18"/>
      <c r="L2929" s="18"/>
      <c r="M2929" s="18"/>
      <c r="N2929" s="18"/>
      <c r="O2929" s="18"/>
      <c r="P2929" s="18"/>
      <c r="Q2929" s="18"/>
    </row>
    <row r="2930" spans="1:17">
      <c r="A2930" s="149"/>
      <c r="B2930" s="18"/>
      <c r="C2930" s="18"/>
      <c r="D2930" s="18"/>
      <c r="E2930" s="18"/>
      <c r="F2930" s="18"/>
      <c r="G2930" s="18"/>
      <c r="H2930" s="18"/>
      <c r="I2930" s="18"/>
      <c r="J2930" s="18"/>
      <c r="K2930" s="18"/>
      <c r="L2930" s="18"/>
      <c r="M2930" s="18"/>
      <c r="N2930" s="18"/>
      <c r="O2930" s="18"/>
      <c r="P2930" s="18"/>
      <c r="Q2930" s="18"/>
    </row>
    <row r="2931" spans="1:17">
      <c r="A2931" s="18"/>
      <c r="B2931" s="18"/>
      <c r="C2931" s="18"/>
      <c r="D2931" s="18"/>
      <c r="E2931" s="18"/>
      <c r="F2931" s="18"/>
      <c r="G2931" s="18"/>
      <c r="H2931" s="18"/>
      <c r="I2931" s="18"/>
      <c r="J2931" s="18"/>
      <c r="K2931" s="18"/>
      <c r="L2931" s="18"/>
      <c r="M2931" s="18"/>
      <c r="N2931" s="18"/>
      <c r="O2931" s="18"/>
      <c r="P2931" s="18"/>
      <c r="Q2931" s="18"/>
    </row>
    <row r="2932" spans="1:17">
      <c r="A2932" s="149"/>
      <c r="B2932" s="18"/>
      <c r="C2932" s="18"/>
      <c r="D2932" s="18"/>
      <c r="E2932" s="18"/>
      <c r="F2932" s="18"/>
      <c r="G2932" s="18"/>
      <c r="H2932" s="18"/>
      <c r="I2932" s="18"/>
      <c r="J2932" s="18"/>
      <c r="K2932" s="18"/>
      <c r="L2932" s="18"/>
      <c r="M2932" s="18"/>
      <c r="N2932" s="18"/>
      <c r="O2932" s="18"/>
      <c r="P2932" s="18"/>
      <c r="Q2932" s="18"/>
    </row>
    <row r="2933" spans="1:17">
      <c r="A2933" s="18"/>
      <c r="B2933" s="18"/>
      <c r="C2933" s="18"/>
      <c r="D2933" s="18"/>
      <c r="E2933" s="18"/>
      <c r="F2933" s="18"/>
      <c r="G2933" s="18"/>
      <c r="H2933" s="18"/>
      <c r="I2933" s="18"/>
      <c r="J2933" s="18"/>
      <c r="K2933" s="18"/>
      <c r="L2933" s="18"/>
      <c r="M2933" s="18"/>
      <c r="N2933" s="18"/>
      <c r="O2933" s="18"/>
      <c r="P2933" s="18"/>
      <c r="Q2933" s="18"/>
    </row>
    <row r="2934" spans="1:17">
      <c r="A2934" s="18"/>
      <c r="B2934" s="18"/>
      <c r="C2934" s="18"/>
      <c r="D2934" s="18"/>
      <c r="E2934" s="18"/>
      <c r="F2934" s="18"/>
      <c r="G2934" s="18"/>
      <c r="H2934" s="18"/>
      <c r="I2934" s="18"/>
      <c r="J2934" s="18"/>
      <c r="K2934" s="18"/>
      <c r="L2934" s="18"/>
      <c r="M2934" s="18"/>
      <c r="N2934" s="18"/>
      <c r="O2934" s="18"/>
      <c r="P2934" s="18"/>
      <c r="Q2934" s="18"/>
    </row>
    <row r="2935" spans="1:17">
      <c r="A2935" s="149"/>
      <c r="B2935" s="18"/>
      <c r="C2935" s="18"/>
      <c r="D2935" s="18"/>
      <c r="E2935" s="18"/>
      <c r="F2935" s="18"/>
      <c r="G2935" s="18"/>
      <c r="H2935" s="18"/>
      <c r="I2935" s="18"/>
      <c r="J2935" s="18"/>
      <c r="K2935" s="18"/>
      <c r="L2935" s="18"/>
      <c r="M2935" s="18"/>
      <c r="N2935" s="18"/>
      <c r="O2935" s="18"/>
      <c r="P2935" s="18"/>
      <c r="Q2935" s="18"/>
    </row>
    <row r="2936" spans="1:17">
      <c r="A2936" s="18"/>
      <c r="B2936" s="18"/>
      <c r="C2936" s="18"/>
      <c r="D2936" s="18"/>
      <c r="E2936" s="18"/>
      <c r="F2936" s="18"/>
      <c r="G2936" s="18"/>
      <c r="H2936" s="18"/>
      <c r="I2936" s="18"/>
      <c r="J2936" s="18"/>
      <c r="K2936" s="18"/>
      <c r="L2936" s="18"/>
      <c r="M2936" s="18"/>
      <c r="N2936" s="18"/>
      <c r="O2936" s="18"/>
      <c r="P2936" s="18"/>
      <c r="Q2936" s="18"/>
    </row>
    <row r="2937" spans="1:17">
      <c r="A2937" s="149"/>
      <c r="B2937" s="18"/>
      <c r="C2937" s="18"/>
      <c r="D2937" s="18"/>
      <c r="E2937" s="18"/>
      <c r="F2937" s="18"/>
      <c r="G2937" s="18"/>
      <c r="H2937" s="18"/>
      <c r="I2937" s="18"/>
      <c r="J2937" s="18"/>
      <c r="K2937" s="18"/>
      <c r="L2937" s="18"/>
      <c r="M2937" s="18"/>
      <c r="N2937" s="18"/>
      <c r="O2937" s="18"/>
      <c r="P2937" s="18"/>
      <c r="Q2937" s="18"/>
    </row>
    <row r="2938" spans="1:17">
      <c r="A2938" s="18"/>
      <c r="B2938" s="18"/>
      <c r="C2938" s="18"/>
      <c r="D2938" s="18"/>
      <c r="E2938" s="18"/>
      <c r="F2938" s="18"/>
      <c r="G2938" s="18"/>
      <c r="H2938" s="18"/>
      <c r="I2938" s="18"/>
      <c r="J2938" s="18"/>
      <c r="K2938" s="18"/>
      <c r="L2938" s="18"/>
      <c r="M2938" s="18"/>
      <c r="N2938" s="18"/>
      <c r="O2938" s="18"/>
      <c r="P2938" s="18"/>
      <c r="Q2938" s="18"/>
    </row>
    <row r="2939" spans="1:17">
      <c r="A2939" s="149"/>
      <c r="B2939" s="18"/>
      <c r="C2939" s="18"/>
      <c r="D2939" s="18"/>
      <c r="E2939" s="18"/>
      <c r="F2939" s="18"/>
      <c r="G2939" s="18"/>
      <c r="H2939" s="18"/>
      <c r="I2939" s="18"/>
      <c r="J2939" s="18"/>
      <c r="K2939" s="18"/>
      <c r="L2939" s="18"/>
      <c r="M2939" s="18"/>
      <c r="N2939" s="18"/>
      <c r="O2939" s="18"/>
      <c r="P2939" s="18"/>
      <c r="Q2939" s="18"/>
    </row>
    <row r="2940" spans="1:17">
      <c r="A2940" s="18"/>
      <c r="B2940" s="18"/>
      <c r="C2940" s="18"/>
      <c r="D2940" s="18"/>
      <c r="E2940" s="18"/>
      <c r="F2940" s="18"/>
      <c r="G2940" s="18"/>
      <c r="H2940" s="18"/>
      <c r="I2940" s="18"/>
      <c r="J2940" s="18"/>
      <c r="K2940" s="18"/>
      <c r="L2940" s="18"/>
      <c r="M2940" s="18"/>
      <c r="N2940" s="18"/>
      <c r="O2940" s="18"/>
      <c r="P2940" s="18"/>
      <c r="Q2940" s="18"/>
    </row>
    <row r="2941" spans="1:17">
      <c r="A2941" s="149"/>
      <c r="B2941" s="18"/>
      <c r="C2941" s="18"/>
      <c r="D2941" s="18"/>
      <c r="E2941" s="18"/>
      <c r="F2941" s="18"/>
      <c r="G2941" s="18"/>
      <c r="H2941" s="18"/>
      <c r="I2941" s="18"/>
      <c r="J2941" s="18"/>
      <c r="K2941" s="18"/>
      <c r="L2941" s="18"/>
      <c r="M2941" s="18"/>
      <c r="N2941" s="18"/>
      <c r="O2941" s="18"/>
      <c r="P2941" s="18"/>
      <c r="Q2941" s="18"/>
    </row>
    <row r="2942" spans="1:17">
      <c r="A2942" s="18"/>
      <c r="B2942" s="18"/>
      <c r="C2942" s="18"/>
      <c r="D2942" s="18"/>
      <c r="E2942" s="18"/>
      <c r="F2942" s="18"/>
      <c r="G2942" s="18"/>
      <c r="H2942" s="18"/>
      <c r="I2942" s="18"/>
      <c r="J2942" s="18"/>
      <c r="K2942" s="18"/>
      <c r="L2942" s="18"/>
      <c r="M2942" s="18"/>
      <c r="N2942" s="18"/>
      <c r="O2942" s="18"/>
      <c r="P2942" s="18"/>
      <c r="Q2942" s="18"/>
    </row>
    <row r="2943" spans="1:17">
      <c r="A2943" s="18"/>
      <c r="B2943" s="18"/>
      <c r="C2943" s="18"/>
      <c r="D2943" s="18"/>
      <c r="E2943" s="18"/>
      <c r="F2943" s="18"/>
      <c r="G2943" s="18"/>
      <c r="H2943" s="18"/>
      <c r="I2943" s="18"/>
      <c r="J2943" s="18"/>
      <c r="K2943" s="18"/>
      <c r="L2943" s="18"/>
      <c r="M2943" s="18"/>
      <c r="N2943" s="18"/>
      <c r="O2943" s="18"/>
      <c r="P2943" s="18"/>
      <c r="Q2943" s="18"/>
    </row>
    <row r="2944" spans="1:17">
      <c r="A2944" s="149"/>
      <c r="B2944" s="18"/>
      <c r="C2944" s="18"/>
      <c r="D2944" s="18"/>
      <c r="E2944" s="18"/>
      <c r="F2944" s="18"/>
      <c r="G2944" s="18"/>
      <c r="H2944" s="18"/>
      <c r="I2944" s="18"/>
      <c r="J2944" s="18"/>
      <c r="K2944" s="18"/>
      <c r="L2944" s="18"/>
      <c r="M2944" s="18"/>
      <c r="N2944" s="18"/>
      <c r="O2944" s="18"/>
      <c r="P2944" s="18"/>
      <c r="Q2944" s="18"/>
    </row>
    <row r="2945" spans="1:17">
      <c r="A2945" s="18"/>
      <c r="B2945" s="18"/>
      <c r="C2945" s="18"/>
      <c r="D2945" s="18"/>
      <c r="E2945" s="18"/>
      <c r="F2945" s="18"/>
      <c r="G2945" s="18"/>
      <c r="H2945" s="18"/>
      <c r="I2945" s="18"/>
      <c r="J2945" s="18"/>
      <c r="K2945" s="18"/>
      <c r="L2945" s="18"/>
      <c r="M2945" s="18"/>
      <c r="N2945" s="18"/>
      <c r="O2945" s="18"/>
      <c r="P2945" s="18"/>
      <c r="Q2945" s="18"/>
    </row>
    <row r="2946" spans="1:17">
      <c r="A2946" s="18"/>
      <c r="B2946" s="18"/>
      <c r="C2946" s="18"/>
      <c r="D2946" s="18"/>
      <c r="E2946" s="18"/>
      <c r="F2946" s="18"/>
      <c r="G2946" s="18"/>
      <c r="H2946" s="18"/>
      <c r="I2946" s="18"/>
      <c r="J2946" s="18"/>
      <c r="K2946" s="18"/>
      <c r="L2946" s="18"/>
      <c r="M2946" s="18"/>
      <c r="N2946" s="18"/>
      <c r="O2946" s="18"/>
      <c r="P2946" s="18"/>
      <c r="Q2946" s="18"/>
    </row>
    <row r="2947" spans="1:17">
      <c r="A2947" s="149"/>
      <c r="B2947" s="18"/>
      <c r="C2947" s="18"/>
      <c r="D2947" s="18"/>
      <c r="E2947" s="18"/>
      <c r="F2947" s="18"/>
      <c r="G2947" s="18"/>
      <c r="H2947" s="18"/>
      <c r="I2947" s="18"/>
      <c r="J2947" s="18"/>
      <c r="K2947" s="18"/>
      <c r="L2947" s="18"/>
      <c r="M2947" s="18"/>
      <c r="N2947" s="18"/>
      <c r="O2947" s="18"/>
      <c r="P2947" s="18"/>
      <c r="Q2947" s="18"/>
    </row>
    <row r="2948" spans="1:17">
      <c r="A2948" s="18"/>
      <c r="B2948" s="18"/>
      <c r="C2948" s="18"/>
      <c r="D2948" s="18"/>
      <c r="E2948" s="18"/>
      <c r="F2948" s="18"/>
      <c r="G2948" s="18"/>
      <c r="H2948" s="18"/>
      <c r="I2948" s="18"/>
      <c r="J2948" s="18"/>
      <c r="K2948" s="18"/>
      <c r="L2948" s="18"/>
      <c r="M2948" s="18"/>
      <c r="N2948" s="18"/>
      <c r="O2948" s="18"/>
      <c r="P2948" s="18"/>
      <c r="Q2948" s="18"/>
    </row>
    <row r="2949" spans="1:17">
      <c r="A2949" s="18"/>
      <c r="B2949" s="18"/>
      <c r="C2949" s="18"/>
      <c r="D2949" s="18"/>
      <c r="E2949" s="18"/>
      <c r="F2949" s="18"/>
      <c r="G2949" s="18"/>
      <c r="H2949" s="18"/>
      <c r="I2949" s="18"/>
      <c r="J2949" s="18"/>
      <c r="K2949" s="18"/>
      <c r="L2949" s="18"/>
      <c r="M2949" s="18"/>
      <c r="N2949" s="18"/>
      <c r="O2949" s="18"/>
      <c r="P2949" s="18"/>
      <c r="Q2949" s="18"/>
    </row>
    <row r="2950" spans="1:17">
      <c r="A2950" s="149"/>
      <c r="B2950" s="18"/>
      <c r="C2950" s="18"/>
      <c r="D2950" s="18"/>
      <c r="E2950" s="18"/>
      <c r="F2950" s="18"/>
      <c r="G2950" s="18"/>
      <c r="H2950" s="18"/>
      <c r="I2950" s="18"/>
      <c r="J2950" s="18"/>
      <c r="K2950" s="18"/>
      <c r="L2950" s="18"/>
      <c r="M2950" s="18"/>
      <c r="N2950" s="18"/>
      <c r="O2950" s="18"/>
      <c r="P2950" s="18"/>
      <c r="Q2950" s="18"/>
    </row>
    <row r="2951" spans="1:17">
      <c r="A2951" s="18"/>
      <c r="B2951" s="18"/>
      <c r="C2951" s="18"/>
      <c r="D2951" s="18"/>
      <c r="E2951" s="18"/>
      <c r="F2951" s="18"/>
      <c r="G2951" s="18"/>
      <c r="H2951" s="18"/>
      <c r="I2951" s="18"/>
      <c r="J2951" s="18"/>
      <c r="K2951" s="18"/>
      <c r="L2951" s="18"/>
      <c r="M2951" s="18"/>
      <c r="N2951" s="18"/>
      <c r="O2951" s="18"/>
      <c r="P2951" s="18"/>
      <c r="Q2951" s="18"/>
    </row>
    <row r="2952" spans="1:17">
      <c r="A2952" s="149"/>
      <c r="B2952" s="18"/>
      <c r="C2952" s="18"/>
      <c r="D2952" s="18"/>
      <c r="E2952" s="18"/>
      <c r="F2952" s="18"/>
      <c r="G2952" s="18"/>
      <c r="H2952" s="18"/>
      <c r="I2952" s="18"/>
      <c r="J2952" s="18"/>
      <c r="K2952" s="18"/>
      <c r="L2952" s="18"/>
      <c r="M2952" s="18"/>
      <c r="N2952" s="18"/>
      <c r="O2952" s="18"/>
      <c r="P2952" s="18"/>
      <c r="Q2952" s="18"/>
    </row>
    <row r="2953" spans="1:17">
      <c r="A2953" s="18"/>
      <c r="B2953" s="18"/>
      <c r="C2953" s="18"/>
      <c r="D2953" s="18"/>
      <c r="E2953" s="18"/>
      <c r="F2953" s="18"/>
      <c r="G2953" s="18"/>
      <c r="H2953" s="18"/>
      <c r="I2953" s="18"/>
      <c r="J2953" s="18"/>
      <c r="K2953" s="18"/>
      <c r="L2953" s="18"/>
      <c r="M2953" s="18"/>
      <c r="N2953" s="18"/>
      <c r="O2953" s="18"/>
      <c r="P2953" s="18"/>
      <c r="Q2953" s="18"/>
    </row>
    <row r="2954" spans="1:17">
      <c r="A2954" s="18"/>
      <c r="B2954" s="18"/>
      <c r="C2954" s="18"/>
      <c r="D2954" s="18"/>
      <c r="E2954" s="18"/>
      <c r="F2954" s="18"/>
      <c r="G2954" s="18"/>
      <c r="H2954" s="18"/>
      <c r="I2954" s="18"/>
      <c r="J2954" s="18"/>
      <c r="K2954" s="18"/>
      <c r="L2954" s="18"/>
      <c r="M2954" s="18"/>
      <c r="N2954" s="18"/>
      <c r="O2954" s="18"/>
      <c r="P2954" s="18"/>
      <c r="Q2954" s="18"/>
    </row>
    <row r="2955" spans="1:17">
      <c r="A2955" s="149"/>
      <c r="B2955" s="18"/>
      <c r="C2955" s="18"/>
      <c r="D2955" s="18"/>
      <c r="E2955" s="18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8"/>
    </row>
    <row r="2956" spans="1:17">
      <c r="A2956" s="286"/>
      <c r="B2956" s="18"/>
      <c r="C2956" s="18"/>
      <c r="D2956" s="18"/>
      <c r="E2956" s="18"/>
      <c r="F2956" s="18"/>
      <c r="G2956" s="18"/>
      <c r="H2956" s="18"/>
      <c r="I2956" s="18"/>
      <c r="J2956" s="18"/>
      <c r="K2956" s="18"/>
      <c r="L2956" s="18"/>
      <c r="M2956" s="18"/>
      <c r="N2956" s="18"/>
      <c r="O2956" s="18"/>
      <c r="P2956" s="18"/>
      <c r="Q2956" s="18"/>
    </row>
    <row r="2957" spans="1:17">
      <c r="A2957" s="18"/>
      <c r="B2957" s="18"/>
      <c r="C2957" s="18"/>
      <c r="D2957" s="18"/>
      <c r="E2957" s="18"/>
      <c r="F2957" s="18"/>
      <c r="G2957" s="18"/>
      <c r="H2957" s="18"/>
      <c r="I2957" s="18"/>
      <c r="J2957" s="18"/>
      <c r="K2957" s="18"/>
      <c r="L2957" s="18"/>
      <c r="M2957" s="18"/>
      <c r="N2957" s="18"/>
      <c r="O2957" s="18"/>
      <c r="P2957" s="18"/>
      <c r="Q2957" s="18"/>
    </row>
    <row r="2958" spans="1:17">
      <c r="A2958" s="18"/>
      <c r="B2958" s="18"/>
      <c r="C2958" s="18"/>
      <c r="D2958" s="18"/>
      <c r="E2958" s="18"/>
      <c r="F2958" s="18"/>
      <c r="G2958" s="18"/>
      <c r="H2958" s="18"/>
      <c r="I2958" s="18"/>
      <c r="J2958" s="18"/>
      <c r="K2958" s="18"/>
      <c r="L2958" s="18"/>
      <c r="M2958" s="18"/>
      <c r="N2958" s="18"/>
      <c r="O2958" s="18"/>
      <c r="P2958" s="18"/>
      <c r="Q2958" s="18"/>
    </row>
    <row r="2959" spans="1:17">
      <c r="A2959" s="149"/>
      <c r="B2959" s="18"/>
      <c r="C2959" s="18"/>
      <c r="D2959" s="18"/>
      <c r="E2959" s="18"/>
      <c r="F2959" s="18"/>
      <c r="G2959" s="18"/>
      <c r="H2959" s="18"/>
      <c r="I2959" s="18"/>
      <c r="J2959" s="18"/>
      <c r="K2959" s="18"/>
      <c r="L2959" s="18"/>
      <c r="M2959" s="18"/>
      <c r="N2959" s="18"/>
      <c r="O2959" s="18"/>
      <c r="P2959" s="18"/>
      <c r="Q2959" s="18"/>
    </row>
    <row r="2960" spans="1:17">
      <c r="A2960" s="18"/>
      <c r="B2960" s="18"/>
      <c r="C2960" s="18"/>
      <c r="D2960" s="18"/>
      <c r="E2960" s="18"/>
      <c r="F2960" s="18"/>
      <c r="G2960" s="18"/>
      <c r="H2960" s="18"/>
      <c r="I2960" s="18"/>
      <c r="J2960" s="18"/>
      <c r="K2960" s="18"/>
      <c r="L2960" s="18"/>
      <c r="M2960" s="18"/>
      <c r="N2960" s="18"/>
      <c r="O2960" s="18"/>
      <c r="P2960" s="18"/>
      <c r="Q2960" s="18"/>
    </row>
    <row r="2961" spans="1:17">
      <c r="A2961" s="149"/>
      <c r="B2961" s="18"/>
      <c r="C2961" s="18"/>
      <c r="D2961" s="18"/>
      <c r="E2961" s="18"/>
      <c r="F2961" s="18"/>
      <c r="G2961" s="18"/>
      <c r="H2961" s="18"/>
      <c r="I2961" s="18"/>
      <c r="J2961" s="18"/>
      <c r="K2961" s="18"/>
      <c r="L2961" s="18"/>
      <c r="M2961" s="18"/>
      <c r="N2961" s="18"/>
      <c r="O2961" s="18"/>
      <c r="P2961" s="18"/>
      <c r="Q2961" s="18"/>
    </row>
    <row r="2962" spans="1:17">
      <c r="A2962" s="18"/>
      <c r="B2962" s="18"/>
      <c r="C2962" s="18"/>
      <c r="D2962" s="18"/>
      <c r="E2962" s="18"/>
      <c r="F2962" s="18"/>
      <c r="G2962" s="18"/>
      <c r="H2962" s="18"/>
      <c r="I2962" s="18"/>
      <c r="J2962" s="18"/>
      <c r="K2962" s="18"/>
      <c r="L2962" s="18"/>
      <c r="M2962" s="18"/>
      <c r="N2962" s="18"/>
      <c r="O2962" s="18"/>
      <c r="P2962" s="18"/>
      <c r="Q2962" s="18"/>
    </row>
    <row r="2963" spans="1:17">
      <c r="A2963" s="149"/>
      <c r="B2963" s="18"/>
      <c r="C2963" s="18"/>
      <c r="D2963" s="18"/>
      <c r="E2963" s="18"/>
      <c r="F2963" s="18"/>
      <c r="G2963" s="18"/>
      <c r="H2963" s="18"/>
      <c r="I2963" s="18"/>
      <c r="J2963" s="18"/>
      <c r="K2963" s="18"/>
      <c r="L2963" s="18"/>
      <c r="M2963" s="18"/>
      <c r="N2963" s="18"/>
      <c r="O2963" s="18"/>
      <c r="P2963" s="18"/>
      <c r="Q2963" s="18"/>
    </row>
    <row r="2964" spans="1:17">
      <c r="A2964" s="1163"/>
      <c r="B2964" s="18"/>
      <c r="C2964" s="18"/>
      <c r="D2964" s="18"/>
      <c r="E2964" s="18"/>
      <c r="F2964" s="18"/>
      <c r="G2964" s="18"/>
      <c r="H2964" s="18"/>
      <c r="I2964" s="18"/>
      <c r="J2964" s="18"/>
      <c r="K2964" s="18"/>
      <c r="L2964" s="18"/>
      <c r="M2964" s="18"/>
      <c r="N2964" s="18"/>
      <c r="O2964" s="18"/>
      <c r="P2964" s="18"/>
      <c r="Q2964" s="18"/>
    </row>
    <row r="2965" spans="1:17">
      <c r="A2965" s="18"/>
      <c r="B2965" s="18"/>
      <c r="C2965" s="18"/>
      <c r="D2965" s="18"/>
      <c r="E2965" s="18"/>
      <c r="F2965" s="18"/>
      <c r="G2965" s="18"/>
      <c r="H2965" s="18"/>
      <c r="I2965" s="18"/>
      <c r="J2965" s="18"/>
      <c r="K2965" s="18"/>
      <c r="L2965" s="18"/>
      <c r="M2965" s="18"/>
      <c r="N2965" s="18"/>
      <c r="O2965" s="18"/>
      <c r="P2965" s="18"/>
      <c r="Q2965" s="18"/>
    </row>
    <row r="2966" spans="1:17">
      <c r="A2966" s="149"/>
      <c r="B2966" s="18"/>
      <c r="C2966" s="18"/>
      <c r="D2966" s="18"/>
      <c r="E2966" s="18"/>
      <c r="F2966" s="18"/>
      <c r="G2966" s="18"/>
      <c r="H2966" s="18"/>
      <c r="I2966" s="18"/>
      <c r="J2966" s="18"/>
      <c r="K2966" s="18"/>
      <c r="L2966" s="18"/>
      <c r="M2966" s="18"/>
      <c r="N2966" s="18"/>
      <c r="O2966" s="18"/>
      <c r="P2966" s="18"/>
      <c r="Q2966" s="18"/>
    </row>
    <row r="2967" spans="1:17">
      <c r="A2967" s="18"/>
      <c r="B2967" s="18"/>
      <c r="C2967" s="18"/>
      <c r="D2967" s="18"/>
      <c r="E2967" s="18"/>
      <c r="F2967" s="18"/>
      <c r="G2967" s="18"/>
      <c r="H2967" s="18"/>
      <c r="I2967" s="18"/>
      <c r="J2967" s="18"/>
      <c r="K2967" s="18"/>
      <c r="L2967" s="18"/>
      <c r="M2967" s="18"/>
      <c r="N2967" s="18"/>
      <c r="O2967" s="18"/>
      <c r="P2967" s="18"/>
      <c r="Q2967" s="18"/>
    </row>
    <row r="2968" spans="1:17">
      <c r="A2968" s="18"/>
      <c r="B2968" s="18"/>
      <c r="C2968" s="18"/>
      <c r="D2968" s="18"/>
      <c r="E2968" s="18"/>
      <c r="F2968" s="18"/>
      <c r="G2968" s="18"/>
      <c r="H2968" s="18"/>
      <c r="I2968" s="18"/>
      <c r="J2968" s="18"/>
      <c r="K2968" s="18"/>
      <c r="L2968" s="18"/>
      <c r="M2968" s="18"/>
      <c r="N2968" s="18"/>
      <c r="O2968" s="18"/>
      <c r="P2968" s="18"/>
      <c r="Q2968" s="18"/>
    </row>
    <row r="2969" spans="1:17">
      <c r="A2969" s="18"/>
      <c r="B2969" s="18"/>
      <c r="C2969" s="18"/>
      <c r="D2969" s="18"/>
      <c r="E2969" s="18"/>
      <c r="F2969" s="18"/>
      <c r="G2969" s="18"/>
      <c r="H2969" s="18"/>
      <c r="I2969" s="18"/>
      <c r="J2969" s="18"/>
      <c r="K2969" s="18"/>
      <c r="L2969" s="18"/>
      <c r="M2969" s="18"/>
      <c r="N2969" s="18"/>
      <c r="O2969" s="18"/>
      <c r="P2969" s="18"/>
      <c r="Q2969" s="18"/>
    </row>
    <row r="2970" spans="1:17">
      <c r="A2970" s="149"/>
      <c r="B2970" s="18"/>
      <c r="C2970" s="18"/>
      <c r="D2970" s="18"/>
      <c r="E2970" s="18"/>
      <c r="F2970" s="18"/>
      <c r="G2970" s="18"/>
      <c r="H2970" s="18"/>
      <c r="I2970" s="18"/>
      <c r="J2970" s="18"/>
      <c r="K2970" s="18"/>
      <c r="L2970" s="18"/>
      <c r="M2970" s="18"/>
      <c r="N2970" s="18"/>
      <c r="O2970" s="18"/>
      <c r="P2970" s="18"/>
      <c r="Q2970" s="18"/>
    </row>
    <row r="2971" spans="1:17">
      <c r="A2971" s="18"/>
      <c r="B2971" s="18"/>
      <c r="C2971" s="18"/>
      <c r="D2971" s="18"/>
      <c r="E2971" s="18"/>
      <c r="F2971" s="18"/>
      <c r="G2971" s="18"/>
      <c r="H2971" s="18"/>
      <c r="I2971" s="18"/>
      <c r="J2971" s="18"/>
      <c r="K2971" s="18"/>
      <c r="L2971" s="18"/>
      <c r="M2971" s="18"/>
      <c r="N2971" s="18"/>
      <c r="O2971" s="18"/>
      <c r="P2971" s="18"/>
      <c r="Q2971" s="18"/>
    </row>
    <row r="2972" spans="1:17">
      <c r="A2972" s="18"/>
      <c r="B2972" s="18"/>
      <c r="C2972" s="18"/>
      <c r="D2972" s="18"/>
      <c r="E2972" s="18"/>
      <c r="F2972" s="18"/>
      <c r="G2972" s="18"/>
      <c r="H2972" s="18"/>
      <c r="I2972" s="18"/>
      <c r="J2972" s="18"/>
      <c r="K2972" s="18"/>
      <c r="L2972" s="18"/>
      <c r="M2972" s="18"/>
      <c r="N2972" s="18"/>
      <c r="O2972" s="18"/>
      <c r="P2972" s="18"/>
      <c r="Q2972" s="18"/>
    </row>
    <row r="2973" spans="1:17">
      <c r="A2973" s="18"/>
      <c r="B2973" s="18"/>
      <c r="C2973" s="18"/>
      <c r="D2973" s="18"/>
      <c r="E2973" s="18"/>
      <c r="F2973" s="18"/>
      <c r="G2973" s="18"/>
      <c r="H2973" s="18"/>
      <c r="I2973" s="18"/>
      <c r="J2973" s="18"/>
      <c r="K2973" s="18"/>
      <c r="L2973" s="18"/>
      <c r="M2973" s="18"/>
      <c r="N2973" s="18"/>
      <c r="O2973" s="18"/>
      <c r="P2973" s="18"/>
      <c r="Q2973" s="18"/>
    </row>
    <row r="2974" spans="1:17">
      <c r="A2974" s="18"/>
      <c r="B2974" s="18"/>
      <c r="C2974" s="18"/>
      <c r="D2974" s="18"/>
      <c r="E2974" s="18"/>
      <c r="F2974" s="18"/>
      <c r="G2974" s="18"/>
      <c r="H2974" s="18"/>
      <c r="I2974" s="18"/>
      <c r="J2974" s="18"/>
      <c r="K2974" s="18"/>
      <c r="L2974" s="18"/>
      <c r="M2974" s="18"/>
      <c r="N2974" s="18"/>
      <c r="O2974" s="18"/>
      <c r="P2974" s="18"/>
      <c r="Q2974" s="18"/>
    </row>
    <row r="2975" spans="1:17">
      <c r="A2975" s="149"/>
      <c r="B2975" s="18"/>
      <c r="C2975" s="18"/>
      <c r="D2975" s="18"/>
      <c r="E2975" s="18"/>
      <c r="F2975" s="18"/>
      <c r="G2975" s="18"/>
      <c r="H2975" s="18"/>
      <c r="I2975" s="18"/>
      <c r="J2975" s="18"/>
      <c r="K2975" s="18"/>
      <c r="L2975" s="18"/>
      <c r="M2975" s="18"/>
      <c r="N2975" s="18"/>
      <c r="O2975" s="18"/>
      <c r="P2975" s="18"/>
      <c r="Q2975" s="18"/>
    </row>
    <row r="2976" spans="1:17">
      <c r="A2976" s="18"/>
      <c r="B2976" s="18"/>
      <c r="C2976" s="18"/>
      <c r="D2976" s="18"/>
      <c r="E2976" s="18"/>
      <c r="F2976" s="18"/>
      <c r="G2976" s="18"/>
      <c r="H2976" s="18"/>
      <c r="I2976" s="18"/>
      <c r="J2976" s="18"/>
      <c r="K2976" s="18"/>
      <c r="L2976" s="18"/>
      <c r="M2976" s="18"/>
      <c r="N2976" s="18"/>
      <c r="O2976" s="18"/>
      <c r="P2976" s="18"/>
      <c r="Q2976" s="18"/>
    </row>
    <row r="2977" spans="1:17">
      <c r="A2977" s="18"/>
      <c r="B2977" s="18"/>
      <c r="C2977" s="18"/>
      <c r="D2977" s="18"/>
      <c r="E2977" s="18"/>
      <c r="F2977" s="18"/>
      <c r="G2977" s="18"/>
      <c r="H2977" s="18"/>
      <c r="I2977" s="18"/>
      <c r="J2977" s="18"/>
      <c r="K2977" s="18"/>
      <c r="L2977" s="18"/>
      <c r="M2977" s="18"/>
      <c r="N2977" s="18"/>
      <c r="O2977" s="18"/>
      <c r="P2977" s="18"/>
      <c r="Q2977" s="18"/>
    </row>
    <row r="2978" spans="1:17">
      <c r="A2978" s="18"/>
      <c r="B2978" s="18"/>
      <c r="C2978" s="18"/>
      <c r="D2978" s="18"/>
      <c r="E2978" s="18"/>
      <c r="F2978" s="18"/>
      <c r="G2978" s="18"/>
      <c r="H2978" s="18"/>
      <c r="I2978" s="18"/>
      <c r="J2978" s="18"/>
      <c r="K2978" s="18"/>
      <c r="L2978" s="18"/>
      <c r="M2978" s="18"/>
      <c r="N2978" s="18"/>
      <c r="O2978" s="18"/>
      <c r="P2978" s="18"/>
      <c r="Q2978" s="18"/>
    </row>
    <row r="2979" spans="1:17">
      <c r="A2979" s="18"/>
      <c r="B2979" s="18"/>
      <c r="C2979" s="18"/>
      <c r="D2979" s="18"/>
      <c r="E2979" s="18"/>
      <c r="F2979" s="18"/>
      <c r="G2979" s="18"/>
      <c r="H2979" s="18"/>
      <c r="I2979" s="18"/>
      <c r="J2979" s="18"/>
      <c r="K2979" s="18"/>
      <c r="L2979" s="18"/>
      <c r="M2979" s="18"/>
      <c r="N2979" s="18"/>
      <c r="O2979" s="18"/>
      <c r="P2979" s="18"/>
      <c r="Q2979" s="18"/>
    </row>
    <row r="2980" spans="1:17">
      <c r="A2980" s="18"/>
      <c r="B2980" s="18"/>
      <c r="C2980" s="18"/>
      <c r="D2980" s="18"/>
      <c r="E2980" s="18"/>
      <c r="F2980" s="18"/>
      <c r="G2980" s="18"/>
      <c r="H2980" s="18"/>
      <c r="I2980" s="18"/>
      <c r="J2980" s="18"/>
      <c r="K2980" s="18"/>
      <c r="L2980" s="18"/>
      <c r="M2980" s="18"/>
      <c r="N2980" s="18"/>
      <c r="O2980" s="18"/>
      <c r="P2980" s="18"/>
      <c r="Q2980" s="18"/>
    </row>
    <row r="2981" spans="1:17">
      <c r="A2981" s="18"/>
      <c r="B2981" s="18"/>
      <c r="C2981" s="18"/>
      <c r="D2981" s="18"/>
      <c r="E2981" s="18"/>
      <c r="F2981" s="18"/>
      <c r="G2981" s="18"/>
      <c r="H2981" s="18"/>
      <c r="I2981" s="18"/>
      <c r="J2981" s="18"/>
      <c r="K2981" s="18"/>
      <c r="L2981" s="18"/>
      <c r="M2981" s="18"/>
      <c r="N2981" s="18"/>
      <c r="O2981" s="18"/>
      <c r="P2981" s="18"/>
      <c r="Q2981" s="18"/>
    </row>
    <row r="2982" spans="1:17">
      <c r="A2982" s="18"/>
      <c r="B2982" s="18"/>
      <c r="C2982" s="18"/>
      <c r="D2982" s="18"/>
      <c r="E2982" s="18"/>
      <c r="F2982" s="18"/>
      <c r="G2982" s="18"/>
      <c r="H2982" s="18"/>
      <c r="I2982" s="18"/>
      <c r="J2982" s="18"/>
      <c r="K2982" s="18"/>
      <c r="L2982" s="18"/>
      <c r="M2982" s="18"/>
      <c r="N2982" s="18"/>
      <c r="O2982" s="18"/>
      <c r="P2982" s="18"/>
      <c r="Q2982" s="18"/>
    </row>
    <row r="2983" spans="1:17">
      <c r="A2983" s="307"/>
      <c r="B2983" s="307"/>
      <c r="C2983" s="307"/>
      <c r="D2983" s="307"/>
      <c r="E2983" s="18"/>
      <c r="F2983" s="18"/>
      <c r="G2983" s="18"/>
      <c r="H2983" s="18"/>
      <c r="I2983" s="18"/>
      <c r="J2983" s="18"/>
      <c r="K2983" s="18"/>
      <c r="L2983" s="18"/>
      <c r="M2983" s="18"/>
      <c r="N2983" s="18"/>
      <c r="O2983" s="18"/>
      <c r="P2983" s="18"/>
      <c r="Q2983" s="18"/>
    </row>
    <row r="2984" spans="1:17">
      <c r="A2984" s="307"/>
      <c r="B2984" s="307"/>
      <c r="C2984" s="307"/>
      <c r="D2984" s="307"/>
      <c r="E2984" s="18"/>
      <c r="F2984" s="18"/>
      <c r="G2984" s="18"/>
      <c r="H2984" s="18"/>
      <c r="I2984" s="18"/>
      <c r="J2984" s="18"/>
      <c r="K2984" s="18"/>
      <c r="L2984" s="18"/>
      <c r="M2984" s="18"/>
      <c r="N2984" s="18"/>
      <c r="O2984" s="18"/>
      <c r="P2984" s="18"/>
      <c r="Q2984" s="18"/>
    </row>
    <row r="2985" spans="1:17">
      <c r="A2985" s="18"/>
      <c r="B2985" s="18"/>
      <c r="C2985" s="18"/>
      <c r="D2985" s="18"/>
      <c r="E2985" s="18"/>
      <c r="F2985" s="18"/>
      <c r="G2985" s="18"/>
      <c r="H2985" s="18"/>
      <c r="I2985" s="18"/>
      <c r="J2985" s="18"/>
      <c r="K2985" s="18"/>
      <c r="L2985" s="18"/>
      <c r="M2985" s="18"/>
      <c r="N2985" s="18"/>
      <c r="O2985" s="18"/>
      <c r="P2985" s="18"/>
      <c r="Q2985" s="18"/>
    </row>
    <row r="2986" spans="1:17">
      <c r="A2986" s="18"/>
      <c r="B2986" s="18"/>
      <c r="C2986" s="18"/>
      <c r="D2986" s="18"/>
      <c r="E2986" s="18"/>
      <c r="F2986" s="18"/>
      <c r="G2986" s="18"/>
      <c r="H2986" s="18"/>
      <c r="I2986" s="18"/>
      <c r="J2986" s="18"/>
      <c r="K2986" s="18"/>
      <c r="L2986" s="18"/>
      <c r="M2986" s="18"/>
      <c r="N2986" s="18"/>
      <c r="O2986" s="18"/>
      <c r="P2986" s="18"/>
      <c r="Q2986" s="18"/>
    </row>
    <row r="2987" spans="1:17">
      <c r="A2987" s="149"/>
      <c r="B2987" s="18"/>
      <c r="C2987" s="18"/>
      <c r="D2987" s="18"/>
      <c r="E2987" s="18"/>
      <c r="F2987" s="18"/>
      <c r="G2987" s="18"/>
      <c r="H2987" s="18"/>
      <c r="I2987" s="18"/>
      <c r="J2987" s="18"/>
      <c r="K2987" s="18"/>
      <c r="L2987" s="18"/>
      <c r="M2987" s="18"/>
      <c r="N2987" s="18"/>
      <c r="O2987" s="18"/>
      <c r="P2987" s="18"/>
      <c r="Q2987" s="18"/>
    </row>
    <row r="2988" spans="1:17">
      <c r="A2988" s="1163"/>
      <c r="B2988" s="18"/>
      <c r="C2988" s="18"/>
      <c r="D2988" s="18"/>
      <c r="E2988" s="18"/>
      <c r="F2988" s="18"/>
      <c r="G2988" s="18"/>
      <c r="H2988" s="18"/>
      <c r="I2988" s="18"/>
      <c r="J2988" s="18"/>
      <c r="K2988" s="18"/>
      <c r="L2988" s="18"/>
      <c r="M2988" s="18"/>
      <c r="N2988" s="18"/>
      <c r="O2988" s="18"/>
      <c r="P2988" s="18"/>
      <c r="Q2988" s="18"/>
    </row>
    <row r="2989" spans="1:17">
      <c r="A2989" s="18"/>
      <c r="B2989" s="18"/>
      <c r="C2989" s="18"/>
      <c r="D2989" s="18"/>
      <c r="E2989" s="18"/>
      <c r="F2989" s="18"/>
      <c r="G2989" s="18"/>
      <c r="H2989" s="18"/>
      <c r="I2989" s="18"/>
      <c r="J2989" s="18"/>
      <c r="K2989" s="18"/>
      <c r="L2989" s="18"/>
      <c r="M2989" s="18"/>
      <c r="N2989" s="18"/>
      <c r="O2989" s="18"/>
      <c r="P2989" s="18"/>
      <c r="Q2989" s="18"/>
    </row>
    <row r="2990" spans="1:17">
      <c r="A2990" s="18"/>
      <c r="B2990" s="18"/>
      <c r="C2990" s="18"/>
      <c r="D2990" s="18"/>
      <c r="E2990" s="18"/>
      <c r="F2990" s="18"/>
      <c r="G2990" s="18"/>
      <c r="H2990" s="18"/>
      <c r="I2990" s="18"/>
      <c r="J2990" s="18"/>
      <c r="K2990" s="18"/>
      <c r="L2990" s="18"/>
      <c r="M2990" s="18"/>
      <c r="N2990" s="18"/>
      <c r="O2990" s="18"/>
      <c r="P2990" s="18"/>
      <c r="Q2990" s="18"/>
    </row>
    <row r="2991" spans="1:17">
      <c r="A2991" s="18"/>
      <c r="B2991" s="18"/>
      <c r="C2991" s="18"/>
      <c r="D2991" s="18"/>
      <c r="E2991" s="18"/>
      <c r="F2991" s="18"/>
      <c r="G2991" s="18"/>
      <c r="H2991" s="18"/>
      <c r="I2991" s="18"/>
      <c r="J2991" s="18"/>
      <c r="K2991" s="18"/>
      <c r="L2991" s="18"/>
      <c r="M2991" s="18"/>
      <c r="N2991" s="18"/>
      <c r="O2991" s="18"/>
      <c r="P2991" s="18"/>
      <c r="Q2991" s="18"/>
    </row>
    <row r="2992" spans="1:17">
      <c r="A2992" s="18"/>
      <c r="B2992" s="18"/>
      <c r="C2992" s="18"/>
      <c r="D2992" s="18"/>
      <c r="E2992" s="18"/>
      <c r="F2992" s="18"/>
      <c r="G2992" s="18"/>
      <c r="H2992" s="18"/>
      <c r="I2992" s="18"/>
      <c r="J2992" s="18"/>
      <c r="K2992" s="18"/>
      <c r="L2992" s="18"/>
      <c r="M2992" s="18"/>
      <c r="N2992" s="18"/>
      <c r="O2992" s="18"/>
      <c r="P2992" s="18"/>
      <c r="Q2992" s="18"/>
    </row>
    <row r="2993" spans="1:17">
      <c r="A2993" s="18"/>
      <c r="B2993" s="18"/>
      <c r="C2993" s="18"/>
      <c r="D2993" s="18"/>
      <c r="E2993" s="18"/>
      <c r="F2993" s="18"/>
      <c r="G2993" s="18"/>
      <c r="H2993" s="18"/>
      <c r="I2993" s="18"/>
      <c r="J2993" s="18"/>
      <c r="K2993" s="18"/>
      <c r="L2993" s="18"/>
      <c r="M2993" s="18"/>
      <c r="N2993" s="18"/>
      <c r="O2993" s="18"/>
      <c r="P2993" s="18"/>
      <c r="Q2993" s="18"/>
    </row>
    <row r="2994" spans="1:17">
      <c r="A2994" s="18"/>
      <c r="B2994" s="18"/>
      <c r="C2994" s="18"/>
      <c r="D2994" s="18"/>
      <c r="E2994" s="18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8"/>
    </row>
    <row r="2995" spans="1:17">
      <c r="A2995" s="18"/>
      <c r="B2995" s="18"/>
      <c r="C2995" s="18"/>
      <c r="D2995" s="18"/>
      <c r="E2995" s="18"/>
      <c r="F2995" s="18"/>
      <c r="G2995" s="18"/>
      <c r="H2995" s="18"/>
      <c r="I2995" s="18"/>
      <c r="J2995" s="18"/>
      <c r="K2995" s="18"/>
      <c r="L2995" s="18"/>
      <c r="M2995" s="18"/>
      <c r="N2995" s="18"/>
      <c r="O2995" s="18"/>
      <c r="P2995" s="18"/>
      <c r="Q2995" s="18"/>
    </row>
    <row r="2996" spans="1:17">
      <c r="A2996" s="18"/>
      <c r="B2996" s="18"/>
      <c r="C2996" s="18"/>
      <c r="D2996" s="18"/>
      <c r="E2996" s="18"/>
      <c r="F2996" s="18"/>
      <c r="G2996" s="18"/>
      <c r="H2996" s="18"/>
      <c r="I2996" s="18"/>
      <c r="J2996" s="18"/>
      <c r="K2996" s="18"/>
      <c r="L2996" s="18"/>
      <c r="M2996" s="18"/>
      <c r="N2996" s="18"/>
      <c r="O2996" s="18"/>
      <c r="P2996" s="18"/>
      <c r="Q2996" s="18"/>
    </row>
    <row r="2997" spans="1:17">
      <c r="A2997" s="18"/>
      <c r="B2997" s="18"/>
      <c r="C2997" s="18"/>
      <c r="D2997" s="18"/>
      <c r="E2997" s="18"/>
      <c r="F2997" s="18"/>
      <c r="G2997" s="18"/>
      <c r="H2997" s="18"/>
      <c r="I2997" s="18"/>
      <c r="J2997" s="18"/>
      <c r="K2997" s="18"/>
      <c r="L2997" s="18"/>
      <c r="M2997" s="18"/>
      <c r="N2997" s="18"/>
      <c r="O2997" s="18"/>
      <c r="P2997" s="18"/>
      <c r="Q2997" s="18"/>
    </row>
    <row r="2998" spans="1:17">
      <c r="A2998" s="18"/>
      <c r="B2998" s="18"/>
      <c r="C2998" s="18"/>
      <c r="D2998" s="18"/>
      <c r="E2998" s="18"/>
      <c r="F2998" s="18"/>
      <c r="G2998" s="18"/>
      <c r="H2998" s="18"/>
      <c r="I2998" s="18"/>
      <c r="J2998" s="18"/>
      <c r="K2998" s="18"/>
      <c r="L2998" s="18"/>
      <c r="M2998" s="18"/>
      <c r="N2998" s="18"/>
      <c r="O2998" s="18"/>
      <c r="P2998" s="18"/>
      <c r="Q2998" s="18"/>
    </row>
    <row r="2999" spans="1:17">
      <c r="A2999" s="18"/>
      <c r="B2999" s="18"/>
      <c r="C2999" s="18"/>
      <c r="D2999" s="18"/>
      <c r="E2999" s="18"/>
      <c r="F2999" s="18"/>
      <c r="G2999" s="18"/>
      <c r="H2999" s="18"/>
      <c r="I2999" s="18"/>
      <c r="J2999" s="18"/>
      <c r="K2999" s="18"/>
      <c r="L2999" s="18"/>
      <c r="M2999" s="18"/>
      <c r="N2999" s="18"/>
      <c r="O2999" s="18"/>
      <c r="P2999" s="18"/>
      <c r="Q2999" s="18"/>
    </row>
    <row r="3000" spans="1:17">
      <c r="A3000" s="18"/>
      <c r="B3000" s="18"/>
      <c r="C3000" s="18"/>
      <c r="D3000" s="18"/>
      <c r="E3000" s="18"/>
      <c r="F3000" s="18"/>
      <c r="G3000" s="18"/>
      <c r="H3000" s="18"/>
      <c r="I3000" s="18"/>
      <c r="J3000" s="18"/>
      <c r="K3000" s="18"/>
      <c r="L3000" s="18"/>
      <c r="M3000" s="18"/>
      <c r="N3000" s="18"/>
      <c r="O3000" s="18"/>
      <c r="P3000" s="18"/>
      <c r="Q3000" s="18"/>
    </row>
    <row r="3001" spans="1:17">
      <c r="A3001" s="18"/>
      <c r="B3001" s="18"/>
      <c r="C3001" s="18"/>
      <c r="D3001" s="18"/>
      <c r="E3001" s="18"/>
      <c r="F3001" s="18"/>
      <c r="G3001" s="18"/>
      <c r="H3001" s="18"/>
      <c r="I3001" s="18"/>
      <c r="J3001" s="18"/>
      <c r="K3001" s="18"/>
      <c r="L3001" s="18"/>
      <c r="M3001" s="18"/>
      <c r="N3001" s="18"/>
      <c r="O3001" s="18"/>
      <c r="P3001" s="18"/>
      <c r="Q3001" s="18"/>
    </row>
    <row r="3002" spans="1:17">
      <c r="A3002" s="149"/>
      <c r="B3002" s="18"/>
      <c r="C3002" s="18"/>
      <c r="D3002" s="18"/>
      <c r="E3002" s="18"/>
      <c r="F3002" s="18"/>
      <c r="G3002" s="18"/>
      <c r="H3002" s="18"/>
      <c r="I3002" s="18"/>
      <c r="J3002" s="18"/>
      <c r="K3002" s="18"/>
      <c r="L3002" s="18"/>
      <c r="M3002" s="18"/>
      <c r="N3002" s="18"/>
      <c r="O3002" s="18"/>
      <c r="P3002" s="18"/>
      <c r="Q3002" s="18"/>
    </row>
    <row r="3003" spans="1:17">
      <c r="A3003" s="18"/>
      <c r="B3003" s="18"/>
      <c r="C3003" s="18"/>
      <c r="D3003" s="18"/>
      <c r="E3003" s="18"/>
      <c r="F3003" s="18"/>
      <c r="G3003" s="18"/>
      <c r="H3003" s="18"/>
      <c r="I3003" s="18"/>
      <c r="J3003" s="18"/>
      <c r="K3003" s="18"/>
      <c r="L3003" s="18"/>
      <c r="M3003" s="18"/>
      <c r="N3003" s="18"/>
      <c r="O3003" s="18"/>
      <c r="P3003" s="18"/>
      <c r="Q3003" s="18"/>
    </row>
    <row r="3004" spans="1:17">
      <c r="A3004" s="18"/>
      <c r="B3004" s="18"/>
      <c r="C3004" s="18"/>
      <c r="D3004" s="18"/>
      <c r="E3004" s="18"/>
      <c r="F3004" s="18"/>
      <c r="G3004" s="18"/>
      <c r="H3004" s="18"/>
      <c r="I3004" s="18"/>
      <c r="J3004" s="18"/>
      <c r="K3004" s="18"/>
      <c r="L3004" s="18"/>
      <c r="M3004" s="18"/>
      <c r="N3004" s="18"/>
      <c r="O3004" s="18"/>
      <c r="P3004" s="18"/>
      <c r="Q3004" s="18"/>
    </row>
    <row r="3005" spans="1:17">
      <c r="A3005" s="149"/>
      <c r="B3005" s="18"/>
      <c r="C3005" s="18"/>
      <c r="D3005" s="18"/>
      <c r="E3005" s="18"/>
      <c r="F3005" s="18"/>
      <c r="G3005" s="18"/>
      <c r="H3005" s="18"/>
      <c r="I3005" s="18"/>
      <c r="J3005" s="18"/>
      <c r="K3005" s="18"/>
      <c r="L3005" s="18"/>
      <c r="M3005" s="18"/>
      <c r="N3005" s="18"/>
      <c r="O3005" s="18"/>
      <c r="P3005" s="18"/>
      <c r="Q3005" s="18"/>
    </row>
    <row r="3006" spans="1:17">
      <c r="A3006" s="18"/>
      <c r="B3006" s="18"/>
      <c r="C3006" s="18"/>
      <c r="D3006" s="18"/>
      <c r="E3006" s="18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8"/>
    </row>
    <row r="3007" spans="1:17">
      <c r="A3007" s="18"/>
      <c r="B3007" s="18"/>
      <c r="C3007" s="18"/>
      <c r="D3007" s="18"/>
      <c r="E3007" s="18"/>
      <c r="F3007" s="18"/>
      <c r="G3007" s="18"/>
      <c r="H3007" s="18"/>
      <c r="I3007" s="18"/>
      <c r="J3007" s="18"/>
      <c r="K3007" s="18"/>
      <c r="L3007" s="18"/>
      <c r="M3007" s="18"/>
      <c r="N3007" s="18"/>
      <c r="O3007" s="18"/>
      <c r="P3007" s="18"/>
      <c r="Q3007" s="18"/>
    </row>
    <row r="3008" spans="1:17">
      <c r="A3008" s="149"/>
      <c r="B3008" s="18"/>
      <c r="C3008" s="18"/>
      <c r="D3008" s="18"/>
      <c r="E3008" s="18"/>
      <c r="F3008" s="18"/>
      <c r="G3008" s="18"/>
      <c r="H3008" s="18"/>
      <c r="I3008" s="18"/>
      <c r="J3008" s="18"/>
      <c r="K3008" s="18"/>
      <c r="L3008" s="18"/>
      <c r="M3008" s="18"/>
      <c r="N3008" s="18"/>
      <c r="O3008" s="18"/>
      <c r="P3008" s="18"/>
      <c r="Q3008" s="18"/>
    </row>
    <row r="3009" spans="1:17">
      <c r="A3009" s="18"/>
      <c r="B3009" s="18"/>
      <c r="C3009" s="18"/>
      <c r="D3009" s="18"/>
      <c r="E3009" s="18"/>
      <c r="F3009" s="18"/>
      <c r="G3009" s="18"/>
      <c r="H3009" s="18"/>
      <c r="I3009" s="18"/>
      <c r="J3009" s="18"/>
      <c r="K3009" s="18"/>
      <c r="L3009" s="18"/>
      <c r="M3009" s="18"/>
      <c r="N3009" s="18"/>
      <c r="O3009" s="18"/>
      <c r="P3009" s="18"/>
      <c r="Q3009" s="18"/>
    </row>
    <row r="3010" spans="1:17">
      <c r="A3010" s="18"/>
      <c r="B3010" s="18"/>
      <c r="C3010" s="18"/>
      <c r="D3010" s="18"/>
      <c r="E3010" s="18"/>
      <c r="F3010" s="18"/>
      <c r="G3010" s="18"/>
      <c r="H3010" s="18"/>
      <c r="I3010" s="18"/>
      <c r="J3010" s="18"/>
      <c r="K3010" s="18"/>
      <c r="L3010" s="18"/>
      <c r="M3010" s="18"/>
      <c r="N3010" s="18"/>
      <c r="O3010" s="18"/>
      <c r="P3010" s="18"/>
      <c r="Q3010" s="18"/>
    </row>
    <row r="3011" spans="1:17">
      <c r="A3011" s="18"/>
      <c r="B3011" s="18"/>
      <c r="C3011" s="18"/>
      <c r="D3011" s="18"/>
      <c r="E3011" s="18"/>
      <c r="F3011" s="18"/>
      <c r="G3011" s="18"/>
      <c r="H3011" s="18"/>
      <c r="I3011" s="18"/>
      <c r="J3011" s="18"/>
      <c r="K3011" s="18"/>
      <c r="L3011" s="18"/>
      <c r="M3011" s="18"/>
      <c r="N3011" s="18"/>
      <c r="O3011" s="18"/>
      <c r="P3011" s="18"/>
      <c r="Q3011" s="18"/>
    </row>
    <row r="3012" spans="1:17">
      <c r="A3012" s="18"/>
      <c r="B3012" s="18"/>
      <c r="C3012" s="18"/>
      <c r="D3012" s="18"/>
      <c r="E3012" s="18"/>
      <c r="F3012" s="18"/>
      <c r="G3012" s="18"/>
      <c r="H3012" s="18"/>
      <c r="I3012" s="18"/>
      <c r="J3012" s="18"/>
      <c r="K3012" s="18"/>
      <c r="L3012" s="18"/>
      <c r="M3012" s="18"/>
      <c r="N3012" s="18"/>
      <c r="O3012" s="18"/>
      <c r="P3012" s="18"/>
      <c r="Q3012" s="18"/>
    </row>
    <row r="3013" spans="1:17">
      <c r="A3013" s="18"/>
      <c r="B3013" s="18"/>
      <c r="C3013" s="18"/>
      <c r="D3013" s="18"/>
      <c r="E3013" s="18"/>
      <c r="F3013" s="18"/>
      <c r="G3013" s="18"/>
      <c r="H3013" s="18"/>
      <c r="I3013" s="18"/>
      <c r="J3013" s="18"/>
      <c r="K3013" s="18"/>
      <c r="L3013" s="18"/>
      <c r="M3013" s="18"/>
      <c r="N3013" s="18"/>
      <c r="O3013" s="18"/>
      <c r="P3013" s="18"/>
      <c r="Q3013" s="18"/>
    </row>
    <row r="3014" spans="1:17">
      <c r="A3014" s="18"/>
      <c r="B3014" s="18"/>
      <c r="C3014" s="18"/>
      <c r="D3014" s="18"/>
      <c r="E3014" s="18"/>
      <c r="F3014" s="18"/>
      <c r="G3014" s="18"/>
      <c r="H3014" s="18"/>
      <c r="I3014" s="18"/>
      <c r="J3014" s="18"/>
      <c r="K3014" s="18"/>
      <c r="L3014" s="18"/>
      <c r="M3014" s="18"/>
      <c r="N3014" s="18"/>
      <c r="O3014" s="18"/>
      <c r="P3014" s="18"/>
      <c r="Q3014" s="18"/>
    </row>
    <row r="3015" spans="1:17">
      <c r="A3015" s="18"/>
      <c r="B3015" s="18"/>
      <c r="C3015" s="18"/>
      <c r="D3015" s="18"/>
      <c r="E3015" s="18"/>
      <c r="F3015" s="18"/>
      <c r="G3015" s="18"/>
      <c r="H3015" s="18"/>
      <c r="I3015" s="18"/>
      <c r="J3015" s="18"/>
      <c r="K3015" s="18"/>
      <c r="L3015" s="18"/>
      <c r="M3015" s="18"/>
      <c r="N3015" s="18"/>
      <c r="O3015" s="18"/>
      <c r="P3015" s="18"/>
      <c r="Q3015" s="18"/>
    </row>
    <row r="3016" spans="1:17">
      <c r="A3016" s="149"/>
      <c r="B3016" s="18"/>
      <c r="C3016" s="18"/>
      <c r="D3016" s="18"/>
      <c r="E3016" s="18"/>
      <c r="F3016" s="18"/>
      <c r="G3016" s="18"/>
      <c r="H3016" s="18"/>
      <c r="I3016" s="18"/>
      <c r="J3016" s="18"/>
      <c r="K3016" s="18"/>
      <c r="L3016" s="18"/>
      <c r="M3016" s="18"/>
      <c r="N3016" s="18"/>
      <c r="O3016" s="18"/>
      <c r="P3016" s="18"/>
      <c r="Q3016" s="18"/>
    </row>
    <row r="3017" spans="1:17">
      <c r="A3017" s="18"/>
      <c r="B3017" s="18"/>
      <c r="C3017" s="18"/>
      <c r="D3017" s="18"/>
      <c r="E3017" s="18"/>
      <c r="F3017" s="18"/>
      <c r="G3017" s="18"/>
      <c r="H3017" s="18"/>
      <c r="I3017" s="18"/>
      <c r="J3017" s="18"/>
      <c r="K3017" s="18"/>
      <c r="L3017" s="18"/>
      <c r="M3017" s="18"/>
      <c r="N3017" s="18"/>
      <c r="O3017" s="18"/>
      <c r="P3017" s="18"/>
      <c r="Q3017" s="18"/>
    </row>
    <row r="3018" spans="1:17">
      <c r="A3018" s="18"/>
      <c r="B3018" s="18"/>
      <c r="C3018" s="18"/>
      <c r="D3018" s="18"/>
      <c r="E3018" s="18"/>
      <c r="F3018" s="18"/>
      <c r="G3018" s="18"/>
      <c r="H3018" s="18"/>
      <c r="I3018" s="18"/>
      <c r="J3018" s="18"/>
      <c r="K3018" s="18"/>
      <c r="L3018" s="18"/>
      <c r="M3018" s="18"/>
      <c r="N3018" s="18"/>
      <c r="O3018" s="18"/>
      <c r="P3018" s="18"/>
      <c r="Q3018" s="18"/>
    </row>
    <row r="3019" spans="1:17">
      <c r="A3019" s="149"/>
      <c r="B3019" s="18"/>
      <c r="C3019" s="18"/>
      <c r="D3019" s="18"/>
      <c r="E3019" s="18"/>
      <c r="F3019" s="18"/>
      <c r="G3019" s="18"/>
      <c r="H3019" s="18"/>
      <c r="I3019" s="18"/>
      <c r="J3019" s="18"/>
      <c r="K3019" s="18"/>
      <c r="L3019" s="18"/>
      <c r="M3019" s="18"/>
      <c r="N3019" s="18"/>
      <c r="O3019" s="18"/>
      <c r="P3019" s="18"/>
      <c r="Q3019" s="18"/>
    </row>
    <row r="3020" spans="1:17">
      <c r="A3020" s="18"/>
      <c r="B3020" s="18"/>
      <c r="C3020" s="18"/>
      <c r="D3020" s="18"/>
      <c r="E3020" s="18"/>
      <c r="F3020" s="18"/>
      <c r="G3020" s="18"/>
      <c r="H3020" s="18"/>
      <c r="I3020" s="18"/>
      <c r="J3020" s="18"/>
      <c r="K3020" s="18"/>
      <c r="L3020" s="18"/>
      <c r="M3020" s="18"/>
      <c r="N3020" s="18"/>
      <c r="O3020" s="18"/>
      <c r="P3020" s="18"/>
      <c r="Q3020" s="18"/>
    </row>
    <row r="3021" spans="1:17">
      <c r="A3021" s="149"/>
      <c r="B3021" s="18"/>
      <c r="C3021" s="18"/>
      <c r="D3021" s="18"/>
      <c r="E3021" s="18"/>
      <c r="F3021" s="18"/>
      <c r="G3021" s="18"/>
      <c r="H3021" s="18"/>
      <c r="I3021" s="18"/>
      <c r="J3021" s="18"/>
      <c r="K3021" s="18"/>
      <c r="L3021" s="18"/>
      <c r="M3021" s="18"/>
      <c r="N3021" s="18"/>
      <c r="O3021" s="18"/>
      <c r="P3021" s="18"/>
      <c r="Q3021" s="18"/>
    </row>
    <row r="3022" spans="1:17">
      <c r="A3022" s="18"/>
      <c r="B3022" s="18"/>
      <c r="C3022" s="18"/>
      <c r="D3022" s="18"/>
      <c r="E3022" s="18"/>
      <c r="F3022" s="18"/>
      <c r="G3022" s="18"/>
      <c r="H3022" s="18"/>
      <c r="I3022" s="18"/>
      <c r="J3022" s="18"/>
      <c r="K3022" s="18"/>
      <c r="L3022" s="18"/>
      <c r="M3022" s="18"/>
      <c r="N3022" s="18"/>
      <c r="O3022" s="18"/>
      <c r="P3022" s="18"/>
      <c r="Q3022" s="18"/>
    </row>
    <row r="3023" spans="1:17">
      <c r="A3023" s="18"/>
      <c r="B3023" s="18"/>
      <c r="C3023" s="18"/>
      <c r="D3023" s="18"/>
      <c r="E3023" s="18"/>
      <c r="F3023" s="18"/>
      <c r="G3023" s="18"/>
      <c r="H3023" s="18"/>
      <c r="I3023" s="18"/>
      <c r="J3023" s="18"/>
      <c r="K3023" s="18"/>
      <c r="L3023" s="18"/>
      <c r="M3023" s="18"/>
      <c r="N3023" s="18"/>
      <c r="O3023" s="18"/>
      <c r="P3023" s="18"/>
      <c r="Q3023" s="18"/>
    </row>
    <row r="3024" spans="1:17">
      <c r="A3024" s="18"/>
      <c r="B3024" s="18"/>
      <c r="C3024" s="18"/>
      <c r="D3024" s="18"/>
      <c r="E3024" s="18"/>
      <c r="F3024" s="18"/>
      <c r="G3024" s="18"/>
      <c r="H3024" s="18"/>
      <c r="I3024" s="18"/>
      <c r="J3024" s="18"/>
      <c r="K3024" s="18"/>
      <c r="L3024" s="18"/>
      <c r="M3024" s="18"/>
      <c r="N3024" s="18"/>
      <c r="O3024" s="18"/>
      <c r="P3024" s="18"/>
      <c r="Q3024" s="18"/>
    </row>
    <row r="3025" spans="1:17">
      <c r="A3025" s="149"/>
      <c r="B3025" s="18"/>
      <c r="C3025" s="18"/>
      <c r="D3025" s="18"/>
      <c r="E3025" s="18"/>
      <c r="F3025" s="18"/>
      <c r="G3025" s="18"/>
      <c r="H3025" s="18"/>
      <c r="I3025" s="18"/>
      <c r="J3025" s="18"/>
      <c r="K3025" s="18"/>
      <c r="L3025" s="18"/>
      <c r="M3025" s="18"/>
      <c r="N3025" s="18"/>
      <c r="O3025" s="18"/>
      <c r="P3025" s="18"/>
      <c r="Q3025" s="18"/>
    </row>
    <row r="3026" spans="1:17">
      <c r="A3026" s="73"/>
      <c r="B3026" s="18"/>
      <c r="C3026" s="18"/>
      <c r="D3026" s="18"/>
      <c r="E3026" s="18"/>
      <c r="F3026" s="18"/>
      <c r="G3026" s="18"/>
      <c r="H3026" s="18"/>
      <c r="I3026" s="18"/>
      <c r="J3026" s="18"/>
      <c r="K3026" s="18"/>
      <c r="L3026" s="18"/>
      <c r="M3026" s="18"/>
      <c r="N3026" s="18"/>
      <c r="O3026" s="18"/>
      <c r="P3026" s="18"/>
      <c r="Q3026" s="18"/>
    </row>
    <row r="3027" spans="1:17">
      <c r="A3027" s="73"/>
      <c r="B3027" s="18"/>
      <c r="C3027" s="18"/>
      <c r="D3027" s="18"/>
      <c r="E3027" s="18"/>
      <c r="F3027" s="18"/>
      <c r="G3027" s="18"/>
      <c r="H3027" s="18"/>
      <c r="I3027" s="18"/>
      <c r="J3027" s="18"/>
      <c r="K3027" s="18"/>
      <c r="L3027" s="18"/>
      <c r="M3027" s="18"/>
      <c r="N3027" s="18"/>
      <c r="O3027" s="18"/>
      <c r="P3027" s="18"/>
      <c r="Q3027" s="18"/>
    </row>
    <row r="3028" spans="1:17">
      <c r="A3028" s="18"/>
      <c r="B3028" s="18"/>
      <c r="C3028" s="18"/>
      <c r="D3028" s="18"/>
      <c r="E3028" s="18"/>
      <c r="F3028" s="18"/>
      <c r="G3028" s="18"/>
      <c r="H3028" s="18"/>
      <c r="I3028" s="18"/>
      <c r="J3028" s="18"/>
      <c r="K3028" s="18"/>
      <c r="L3028" s="18"/>
      <c r="M3028" s="18"/>
      <c r="N3028" s="18"/>
      <c r="O3028" s="18"/>
      <c r="P3028" s="18"/>
      <c r="Q3028" s="18"/>
    </row>
    <row r="3029" spans="1:17">
      <c r="A3029" s="149"/>
      <c r="B3029" s="18"/>
      <c r="C3029" s="18"/>
      <c r="D3029" s="18"/>
      <c r="E3029" s="18"/>
      <c r="F3029" s="18"/>
      <c r="G3029" s="18"/>
      <c r="H3029" s="18"/>
      <c r="I3029" s="18"/>
      <c r="J3029" s="18"/>
      <c r="K3029" s="18"/>
      <c r="L3029" s="18"/>
      <c r="M3029" s="18"/>
      <c r="N3029" s="18"/>
      <c r="O3029" s="18"/>
      <c r="P3029" s="18"/>
      <c r="Q3029" s="18"/>
    </row>
    <row r="3030" spans="1:17">
      <c r="A3030" s="18"/>
      <c r="B3030" s="18"/>
      <c r="C3030" s="18"/>
      <c r="D3030" s="18"/>
      <c r="E3030" s="18"/>
      <c r="F3030" s="18"/>
      <c r="G3030" s="18"/>
      <c r="H3030" s="18"/>
      <c r="I3030" s="18"/>
      <c r="J3030" s="18"/>
      <c r="K3030" s="18"/>
      <c r="L3030" s="18"/>
      <c r="M3030" s="18"/>
      <c r="N3030" s="18"/>
      <c r="O3030" s="18"/>
      <c r="P3030" s="18"/>
      <c r="Q3030" s="18"/>
    </row>
    <row r="3031" spans="1:17">
      <c r="A3031" s="18"/>
      <c r="B3031" s="18"/>
      <c r="C3031" s="18"/>
      <c r="D3031" s="18"/>
      <c r="E3031" s="18"/>
      <c r="F3031" s="18"/>
      <c r="G3031" s="18"/>
      <c r="H3031" s="18"/>
      <c r="I3031" s="18"/>
      <c r="J3031" s="18"/>
      <c r="K3031" s="18"/>
      <c r="L3031" s="18"/>
      <c r="M3031" s="18"/>
      <c r="N3031" s="18"/>
      <c r="O3031" s="18"/>
      <c r="P3031" s="18"/>
      <c r="Q3031" s="18"/>
    </row>
    <row r="3032" spans="1:17">
      <c r="A3032" s="149"/>
      <c r="B3032" s="18"/>
      <c r="C3032" s="18"/>
      <c r="D3032" s="18"/>
      <c r="E3032" s="18"/>
      <c r="F3032" s="18"/>
      <c r="G3032" s="18"/>
      <c r="H3032" s="18"/>
      <c r="I3032" s="18"/>
      <c r="J3032" s="18"/>
      <c r="K3032" s="18"/>
      <c r="L3032" s="18"/>
      <c r="M3032" s="18"/>
      <c r="N3032" s="18"/>
      <c r="O3032" s="18"/>
      <c r="P3032" s="18"/>
      <c r="Q3032" s="18"/>
    </row>
    <row r="3033" spans="1:17">
      <c r="A3033" s="18"/>
      <c r="B3033" s="18"/>
      <c r="C3033" s="18"/>
      <c r="D3033" s="18"/>
      <c r="E3033" s="18"/>
      <c r="F3033" s="18"/>
      <c r="G3033" s="18"/>
      <c r="H3033" s="18"/>
      <c r="I3033" s="18"/>
      <c r="J3033" s="18"/>
      <c r="K3033" s="18"/>
      <c r="L3033" s="18"/>
      <c r="M3033" s="18"/>
      <c r="N3033" s="18"/>
      <c r="O3033" s="18"/>
      <c r="P3033" s="18"/>
      <c r="Q3033" s="18"/>
    </row>
    <row r="3034" spans="1:17">
      <c r="A3034" s="18"/>
      <c r="B3034" s="18"/>
      <c r="C3034" s="18"/>
      <c r="D3034" s="18"/>
      <c r="E3034" s="18"/>
      <c r="F3034" s="18"/>
      <c r="G3034" s="18"/>
      <c r="H3034" s="18"/>
      <c r="I3034" s="18"/>
      <c r="J3034" s="18"/>
      <c r="K3034" s="18"/>
      <c r="L3034" s="18"/>
      <c r="M3034" s="18"/>
      <c r="N3034" s="18"/>
      <c r="O3034" s="18"/>
      <c r="P3034" s="18"/>
      <c r="Q3034" s="18"/>
    </row>
    <row r="3035" spans="1:17">
      <c r="A3035" s="18"/>
      <c r="B3035" s="18"/>
      <c r="C3035" s="18"/>
      <c r="D3035" s="18"/>
      <c r="E3035" s="18"/>
      <c r="F3035" s="18"/>
      <c r="G3035" s="18"/>
      <c r="H3035" s="18"/>
      <c r="I3035" s="18"/>
      <c r="J3035" s="18"/>
      <c r="K3035" s="18"/>
      <c r="L3035" s="18"/>
      <c r="M3035" s="18"/>
      <c r="N3035" s="18"/>
      <c r="O3035" s="18"/>
      <c r="P3035" s="18"/>
      <c r="Q3035" s="18"/>
    </row>
    <row r="3036" spans="1:17">
      <c r="A3036" s="149"/>
      <c r="B3036" s="18"/>
      <c r="C3036" s="18"/>
      <c r="D3036" s="18"/>
      <c r="E3036" s="18"/>
      <c r="F3036" s="18"/>
      <c r="G3036" s="18"/>
      <c r="H3036" s="18"/>
      <c r="I3036" s="18"/>
      <c r="J3036" s="18"/>
      <c r="K3036" s="18"/>
      <c r="L3036" s="18"/>
      <c r="M3036" s="18"/>
      <c r="N3036" s="18"/>
      <c r="O3036" s="18"/>
      <c r="P3036" s="18"/>
      <c r="Q3036" s="18"/>
    </row>
    <row r="3037" spans="1:17">
      <c r="A3037" s="18"/>
      <c r="B3037" s="18"/>
      <c r="C3037" s="18"/>
      <c r="D3037" s="18"/>
      <c r="E3037" s="18"/>
      <c r="F3037" s="18"/>
      <c r="G3037" s="18"/>
      <c r="H3037" s="18"/>
      <c r="I3037" s="18"/>
      <c r="J3037" s="18"/>
      <c r="K3037" s="18"/>
      <c r="L3037" s="18"/>
      <c r="M3037" s="18"/>
      <c r="N3037" s="18"/>
      <c r="O3037" s="18"/>
      <c r="P3037" s="18"/>
      <c r="Q3037" s="18"/>
    </row>
    <row r="3038" spans="1:17">
      <c r="A3038" s="18"/>
      <c r="B3038" s="18"/>
      <c r="C3038" s="18"/>
      <c r="D3038" s="18"/>
      <c r="E3038" s="18"/>
      <c r="F3038" s="18"/>
      <c r="G3038" s="18"/>
      <c r="H3038" s="18"/>
      <c r="I3038" s="18"/>
      <c r="J3038" s="18"/>
      <c r="K3038" s="18"/>
      <c r="L3038" s="18"/>
      <c r="M3038" s="18"/>
      <c r="N3038" s="18"/>
      <c r="O3038" s="18"/>
      <c r="P3038" s="18"/>
      <c r="Q3038" s="18"/>
    </row>
    <row r="3039" spans="1:17">
      <c r="A3039" s="149"/>
      <c r="B3039" s="18"/>
      <c r="C3039" s="18"/>
      <c r="D3039" s="18"/>
      <c r="E3039" s="18"/>
      <c r="F3039" s="18"/>
      <c r="G3039" s="18"/>
      <c r="H3039" s="18"/>
      <c r="I3039" s="18"/>
      <c r="J3039" s="18"/>
      <c r="K3039" s="18"/>
      <c r="L3039" s="18"/>
      <c r="M3039" s="18"/>
      <c r="N3039" s="18"/>
      <c r="O3039" s="18"/>
      <c r="P3039" s="18"/>
      <c r="Q3039" s="18"/>
    </row>
    <row r="3040" spans="1:17">
      <c r="A3040" s="18"/>
      <c r="B3040" s="18"/>
      <c r="C3040" s="18"/>
      <c r="D3040" s="18"/>
      <c r="E3040" s="18"/>
      <c r="F3040" s="18"/>
      <c r="G3040" s="18"/>
      <c r="H3040" s="18"/>
      <c r="I3040" s="18"/>
      <c r="J3040" s="18"/>
      <c r="K3040" s="18"/>
      <c r="L3040" s="18"/>
      <c r="M3040" s="18"/>
      <c r="N3040" s="18"/>
      <c r="O3040" s="18"/>
      <c r="P3040" s="18"/>
      <c r="Q3040" s="18"/>
    </row>
    <row r="3041" spans="1:25">
      <c r="A3041" s="18"/>
      <c r="B3041" s="18"/>
      <c r="C3041" s="18"/>
      <c r="D3041" s="18"/>
      <c r="E3041" s="18"/>
      <c r="F3041" s="18"/>
      <c r="G3041" s="18"/>
      <c r="H3041" s="18"/>
      <c r="I3041" s="18"/>
      <c r="J3041" s="18"/>
      <c r="K3041" s="18"/>
      <c r="L3041" s="18"/>
      <c r="M3041" s="18"/>
      <c r="N3041" s="18"/>
      <c r="O3041" s="18"/>
      <c r="P3041" s="18"/>
      <c r="Q3041" s="18"/>
    </row>
    <row r="3042" spans="1:25">
      <c r="A3042" s="18"/>
      <c r="B3042" s="18"/>
      <c r="C3042" s="18"/>
      <c r="D3042" s="18"/>
      <c r="E3042" s="18"/>
      <c r="F3042" s="18"/>
      <c r="G3042" s="18"/>
      <c r="H3042" s="18"/>
      <c r="I3042" s="18"/>
      <c r="J3042" s="18"/>
      <c r="K3042" s="18"/>
      <c r="L3042" s="18"/>
      <c r="M3042" s="18"/>
      <c r="N3042" s="18"/>
      <c r="O3042" s="18"/>
      <c r="P3042" s="18"/>
      <c r="Q3042" s="18"/>
    </row>
    <row r="3043" spans="1:25">
      <c r="A3043" s="149"/>
      <c r="B3043" s="18"/>
      <c r="C3043" s="18"/>
      <c r="D3043" s="18"/>
      <c r="E3043" s="18"/>
      <c r="F3043" s="18"/>
      <c r="G3043" s="18"/>
      <c r="H3043" s="18"/>
      <c r="I3043" s="18"/>
      <c r="J3043" s="18"/>
      <c r="K3043" s="18"/>
      <c r="L3043" s="18"/>
      <c r="M3043" s="18"/>
      <c r="N3043" s="18"/>
      <c r="O3043" s="18"/>
      <c r="P3043" s="18"/>
      <c r="Q3043" s="18"/>
    </row>
    <row r="3044" spans="1:25">
      <c r="A3044" s="18"/>
      <c r="B3044" s="18"/>
      <c r="C3044" s="18"/>
      <c r="D3044" s="18"/>
      <c r="E3044" s="18"/>
      <c r="F3044" s="18"/>
      <c r="G3044" s="18"/>
      <c r="H3044" s="18"/>
      <c r="I3044" s="18"/>
      <c r="J3044" s="18"/>
      <c r="K3044" s="18"/>
      <c r="L3044" s="18"/>
      <c r="M3044" s="18"/>
      <c r="N3044" s="18"/>
      <c r="O3044" s="18"/>
      <c r="P3044" s="18"/>
      <c r="Q3044" s="18"/>
    </row>
    <row r="3045" spans="1:25">
      <c r="A3045" s="18"/>
      <c r="B3045" s="18"/>
      <c r="C3045" s="18"/>
      <c r="D3045" s="18"/>
      <c r="E3045" s="18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8"/>
    </row>
    <row r="3046" spans="1:25">
      <c r="A3046" s="18"/>
      <c r="B3046" s="18"/>
      <c r="C3046" s="18"/>
      <c r="D3046" s="18"/>
      <c r="E3046" s="18"/>
      <c r="F3046" s="18"/>
      <c r="G3046" s="18"/>
      <c r="H3046" s="18"/>
      <c r="I3046" s="18"/>
      <c r="J3046" s="18"/>
      <c r="K3046" s="18"/>
      <c r="L3046" s="18"/>
      <c r="M3046" s="18"/>
      <c r="N3046" s="18"/>
      <c r="O3046" s="18"/>
      <c r="P3046" s="18"/>
      <c r="Q3046" s="18"/>
    </row>
    <row r="3047" spans="1:25">
      <c r="A3047" s="149"/>
      <c r="B3047" s="18"/>
      <c r="C3047" s="18"/>
      <c r="D3047" s="18"/>
      <c r="E3047" s="18"/>
      <c r="F3047" s="18"/>
      <c r="G3047" s="18"/>
      <c r="H3047" s="18"/>
      <c r="I3047" s="18"/>
      <c r="J3047" s="18"/>
      <c r="K3047" s="18"/>
      <c r="L3047" s="18"/>
      <c r="M3047" s="18"/>
      <c r="N3047" s="18"/>
      <c r="O3047" s="18"/>
      <c r="P3047" s="18"/>
      <c r="Q3047" s="18"/>
    </row>
    <row r="3048" spans="1:25">
      <c r="A3048" s="18"/>
      <c r="B3048" s="18"/>
      <c r="C3048" s="18"/>
      <c r="D3048" s="18"/>
      <c r="E3048" s="18"/>
      <c r="F3048" s="18"/>
      <c r="G3048" s="18"/>
      <c r="H3048" s="18"/>
      <c r="I3048" s="18"/>
      <c r="J3048" s="18"/>
      <c r="K3048" s="18"/>
      <c r="L3048" s="18"/>
      <c r="M3048" s="18"/>
      <c r="N3048" s="18"/>
      <c r="O3048" s="18"/>
      <c r="P3048" s="18"/>
      <c r="Q3048" s="18"/>
    </row>
    <row r="3049" spans="1:25">
      <c r="A3049" s="18"/>
      <c r="B3049" s="18"/>
      <c r="C3049" s="18"/>
      <c r="D3049" s="18"/>
      <c r="E3049" s="18"/>
      <c r="F3049" s="18"/>
      <c r="G3049" s="18"/>
      <c r="H3049" s="18"/>
      <c r="I3049" s="18"/>
      <c r="J3049" s="18"/>
      <c r="K3049" s="18"/>
      <c r="L3049" s="18"/>
      <c r="M3049" s="18"/>
      <c r="N3049" s="18"/>
      <c r="O3049" s="18"/>
      <c r="P3049" s="18"/>
      <c r="Q3049" s="18"/>
    </row>
    <row r="3050" spans="1:25" ht="21" thickBot="1">
      <c r="A3050" s="149"/>
      <c r="B3050" s="18"/>
      <c r="C3050" s="18"/>
      <c r="D3050" s="18"/>
      <c r="E3050" s="18"/>
      <c r="F3050" s="18"/>
      <c r="G3050" s="18"/>
      <c r="H3050" s="18"/>
      <c r="I3050" s="18"/>
      <c r="J3050" s="18"/>
      <c r="K3050" s="18"/>
      <c r="L3050" s="18"/>
      <c r="M3050" s="18"/>
      <c r="N3050" s="18"/>
      <c r="O3050" s="18"/>
      <c r="P3050" s="18"/>
      <c r="Q3050" s="1164"/>
      <c r="R3050"/>
      <c r="S3050"/>
      <c r="T3050"/>
      <c r="U3050"/>
      <c r="V3050"/>
      <c r="W3050"/>
      <c r="X3050"/>
      <c r="Y3050"/>
    </row>
    <row r="3051" spans="1:25" ht="16.5" thickBot="1">
      <c r="A3051" s="18"/>
      <c r="B3051" s="18"/>
      <c r="C3051" s="18"/>
      <c r="D3051" s="18"/>
      <c r="E3051" s="18"/>
      <c r="F3051" s="18"/>
      <c r="G3051" s="18"/>
      <c r="H3051" s="18"/>
      <c r="I3051" s="18"/>
      <c r="J3051" s="18"/>
      <c r="K3051" s="18"/>
      <c r="L3051" s="18"/>
      <c r="M3051" s="18"/>
      <c r="N3051" s="18"/>
      <c r="O3051" s="18"/>
      <c r="P3051" s="18"/>
      <c r="Q3051" s="1165"/>
      <c r="R3051" s="1043"/>
      <c r="S3051" s="1044"/>
      <c r="T3051" s="1043"/>
      <c r="U3051" s="1043"/>
      <c r="V3051" s="1043"/>
      <c r="W3051" s="1043"/>
      <c r="X3051" s="1043"/>
      <c r="Y3051" s="1045"/>
    </row>
    <row r="3052" spans="1:25">
      <c r="A3052" s="18"/>
      <c r="B3052" s="18"/>
      <c r="C3052" s="18"/>
      <c r="D3052" s="18"/>
      <c r="E3052" s="18"/>
      <c r="F3052" s="18"/>
      <c r="G3052" s="18"/>
      <c r="H3052" s="18"/>
      <c r="I3052" s="18"/>
      <c r="J3052" s="18"/>
      <c r="K3052" s="18"/>
      <c r="L3052" s="18"/>
      <c r="M3052" s="18"/>
      <c r="N3052" s="18"/>
      <c r="O3052" s="18"/>
      <c r="P3052" s="18"/>
      <c r="Q3052" s="1166"/>
      <c r="R3052" s="1046"/>
      <c r="S3052" s="1047"/>
      <c r="T3052" s="1046"/>
      <c r="U3052" s="1046"/>
      <c r="V3052" s="1046"/>
      <c r="W3052" s="1046"/>
      <c r="X3052" s="1046"/>
      <c r="Y3052" s="1048"/>
    </row>
    <row r="3053" spans="1:25">
      <c r="A3053" s="149"/>
      <c r="B3053" s="18"/>
      <c r="C3053" s="18"/>
      <c r="D3053" s="18"/>
      <c r="E3053" s="18"/>
      <c r="F3053" s="18"/>
      <c r="G3053" s="18"/>
      <c r="H3053" s="18"/>
      <c r="I3053" s="18"/>
      <c r="J3053" s="18"/>
      <c r="K3053" s="18"/>
      <c r="L3053" s="18"/>
      <c r="M3053" s="18"/>
      <c r="N3053" s="18"/>
      <c r="O3053" s="18"/>
      <c r="P3053" s="18"/>
      <c r="Q3053" s="1166"/>
      <c r="R3053" s="1046"/>
      <c r="S3053" s="1049"/>
      <c r="T3053" s="1050"/>
      <c r="U3053" s="1050"/>
      <c r="V3053" s="1051"/>
      <c r="W3053" s="1051"/>
      <c r="X3053" s="1051"/>
      <c r="Y3053" s="1051"/>
    </row>
    <row r="3054" spans="1:25">
      <c r="A3054" s="18"/>
      <c r="B3054" s="18"/>
      <c r="C3054" s="18"/>
      <c r="D3054" s="18"/>
      <c r="E3054" s="18"/>
      <c r="F3054" s="18"/>
      <c r="G3054" s="18"/>
      <c r="H3054" s="18"/>
      <c r="I3054" s="18"/>
      <c r="J3054" s="18"/>
      <c r="K3054" s="18"/>
      <c r="L3054" s="18"/>
      <c r="M3054" s="18"/>
      <c r="N3054" s="18"/>
      <c r="O3054" s="18"/>
      <c r="P3054" s="18"/>
      <c r="Q3054" s="1166"/>
      <c r="R3054" s="1046"/>
      <c r="S3054" s="1052"/>
      <c r="T3054" s="1053"/>
      <c r="U3054" s="1053"/>
      <c r="V3054" s="1046"/>
      <c r="W3054" s="1046"/>
      <c r="X3054" s="1046"/>
      <c r="Y3054" s="1046"/>
    </row>
    <row r="3055" spans="1:25">
      <c r="A3055" s="18"/>
      <c r="B3055" s="18"/>
      <c r="C3055" s="18"/>
      <c r="D3055" s="18"/>
      <c r="E3055" s="18"/>
      <c r="F3055" s="18"/>
      <c r="G3055" s="18"/>
      <c r="H3055" s="18"/>
      <c r="I3055" s="18"/>
      <c r="J3055" s="18"/>
      <c r="K3055" s="18"/>
      <c r="L3055" s="18"/>
      <c r="M3055" s="18"/>
      <c r="N3055" s="18"/>
      <c r="O3055" s="18"/>
      <c r="P3055" s="18"/>
      <c r="Q3055" s="1166"/>
      <c r="R3055" s="1046"/>
      <c r="S3055" s="1052"/>
      <c r="T3055" s="1053"/>
      <c r="U3055" s="1053"/>
      <c r="V3055" s="1053"/>
      <c r="W3055" s="1053"/>
      <c r="X3055" s="1053"/>
      <c r="Y3055" s="1053"/>
    </row>
    <row r="3056" spans="1:25">
      <c r="A3056" s="18"/>
      <c r="B3056" s="18"/>
      <c r="C3056" s="18"/>
      <c r="D3056" s="18"/>
      <c r="E3056" s="18"/>
      <c r="F3056" s="18"/>
      <c r="G3056" s="18"/>
      <c r="H3056" s="18"/>
      <c r="I3056" s="18"/>
      <c r="J3056" s="18"/>
      <c r="K3056" s="18"/>
      <c r="L3056" s="18"/>
      <c r="M3056" s="18"/>
      <c r="N3056" s="18"/>
      <c r="O3056" s="18"/>
      <c r="P3056" s="18"/>
      <c r="Q3056" s="1166"/>
      <c r="R3056" s="1046"/>
      <c r="S3056" s="1054"/>
      <c r="T3056" s="1055"/>
      <c r="U3056" s="1055"/>
      <c r="V3056" s="1055"/>
      <c r="W3056" s="1055"/>
      <c r="X3056" s="1055"/>
      <c r="Y3056" s="1055"/>
    </row>
    <row r="3057" spans="1:25">
      <c r="A3057" s="149"/>
      <c r="B3057" s="18"/>
      <c r="C3057" s="18"/>
      <c r="D3057" s="18"/>
      <c r="E3057" s="18"/>
      <c r="F3057" s="18"/>
      <c r="G3057" s="18"/>
      <c r="H3057" s="18"/>
      <c r="I3057" s="18"/>
      <c r="J3057" s="18"/>
      <c r="K3057" s="18"/>
      <c r="L3057" s="18"/>
      <c r="M3057" s="18"/>
      <c r="N3057" s="18"/>
      <c r="O3057" s="18"/>
      <c r="P3057" s="18"/>
      <c r="Q3057" s="1166"/>
      <c r="R3057" s="1046"/>
      <c r="S3057" s="1054"/>
      <c r="T3057" s="1055"/>
      <c r="U3057" s="1055"/>
      <c r="V3057" s="1055"/>
      <c r="W3057" s="1055"/>
      <c r="X3057" s="1055"/>
      <c r="Y3057" s="1055"/>
    </row>
    <row r="3058" spans="1:25">
      <c r="A3058" s="18"/>
      <c r="B3058" s="18"/>
      <c r="C3058" s="18"/>
      <c r="D3058" s="18"/>
      <c r="E3058" s="18"/>
      <c r="F3058" s="18"/>
      <c r="G3058" s="18"/>
      <c r="H3058" s="18"/>
      <c r="I3058" s="18"/>
      <c r="J3058" s="18"/>
      <c r="K3058" s="18"/>
      <c r="L3058" s="18"/>
      <c r="M3058" s="18"/>
      <c r="N3058" s="18"/>
      <c r="O3058" s="18"/>
      <c r="P3058" s="18"/>
      <c r="Q3058" s="1166"/>
      <c r="R3058" s="1046"/>
      <c r="S3058" s="1054"/>
      <c r="T3058" s="1055"/>
      <c r="U3058" s="1055"/>
      <c r="V3058" s="1055"/>
      <c r="W3058" s="1055"/>
      <c r="X3058" s="1055"/>
      <c r="Y3058" s="1055"/>
    </row>
    <row r="3059" spans="1:25">
      <c r="A3059" s="18"/>
      <c r="B3059" s="18"/>
      <c r="C3059" s="18"/>
      <c r="D3059" s="18"/>
      <c r="E3059" s="18"/>
      <c r="F3059" s="18"/>
      <c r="G3059" s="18"/>
      <c r="H3059" s="18"/>
      <c r="I3059" s="18"/>
      <c r="J3059" s="18"/>
      <c r="K3059" s="18"/>
      <c r="L3059" s="18"/>
      <c r="M3059" s="18"/>
      <c r="N3059" s="18"/>
      <c r="O3059" s="18"/>
      <c r="P3059" s="18"/>
      <c r="Q3059" s="1167"/>
      <c r="R3059" s="1046"/>
      <c r="S3059" s="1054"/>
      <c r="T3059" s="1055"/>
      <c r="U3059" s="1055"/>
      <c r="V3059" s="1046"/>
      <c r="W3059" s="1046"/>
      <c r="X3059" s="1046"/>
      <c r="Y3059" s="1046"/>
    </row>
    <row r="3060" spans="1:25">
      <c r="A3060" s="18"/>
      <c r="B3060" s="18"/>
      <c r="C3060" s="18"/>
      <c r="D3060" s="18"/>
      <c r="E3060" s="18"/>
      <c r="F3060" s="18"/>
      <c r="G3060" s="18"/>
      <c r="H3060" s="18"/>
      <c r="I3060" s="18"/>
      <c r="J3060" s="18"/>
      <c r="K3060" s="18"/>
      <c r="L3060" s="18"/>
      <c r="M3060" s="18"/>
      <c r="N3060" s="18"/>
      <c r="O3060" s="18"/>
      <c r="P3060" s="18"/>
      <c r="Q3060" s="1166"/>
      <c r="R3060" s="1046"/>
      <c r="S3060" s="1054"/>
      <c r="T3060" s="1055"/>
      <c r="U3060" s="1055"/>
      <c r="V3060" s="1046"/>
      <c r="W3060" s="1046"/>
      <c r="X3060" s="1046"/>
      <c r="Y3060" s="1046"/>
    </row>
    <row r="3061" spans="1:25">
      <c r="A3061" s="18"/>
      <c r="B3061" s="18"/>
      <c r="C3061" s="18"/>
      <c r="D3061" s="18"/>
      <c r="E3061" s="18"/>
      <c r="F3061" s="18"/>
      <c r="G3061" s="18"/>
      <c r="H3061" s="18"/>
      <c r="I3061" s="18"/>
      <c r="J3061" s="18"/>
      <c r="K3061" s="18"/>
      <c r="L3061" s="18"/>
      <c r="M3061" s="18"/>
      <c r="N3061" s="18"/>
      <c r="O3061" s="18"/>
      <c r="P3061" s="18"/>
      <c r="Q3061" s="1166"/>
      <c r="R3061" s="1046"/>
      <c r="S3061" s="1054"/>
      <c r="T3061" s="1055"/>
      <c r="U3061" s="1055"/>
      <c r="V3061" s="1055"/>
      <c r="W3061" s="1055"/>
      <c r="X3061" s="1055"/>
      <c r="Y3061" s="1055"/>
    </row>
    <row r="3062" spans="1:25">
      <c r="A3062" s="149"/>
      <c r="B3062" s="18"/>
      <c r="C3062" s="18"/>
      <c r="D3062" s="18"/>
      <c r="E3062" s="18"/>
      <c r="F3062" s="18"/>
      <c r="G3062" s="18"/>
      <c r="H3062" s="18"/>
      <c r="I3062" s="18"/>
      <c r="J3062" s="18"/>
      <c r="K3062" s="18"/>
      <c r="L3062" s="18"/>
      <c r="M3062" s="18"/>
      <c r="N3062" s="18"/>
      <c r="O3062" s="18"/>
      <c r="P3062" s="18"/>
      <c r="Q3062" s="1166"/>
      <c r="R3062" s="1046"/>
      <c r="S3062" s="1054"/>
      <c r="T3062" s="1055"/>
      <c r="U3062" s="1055"/>
      <c r="V3062" s="1046"/>
      <c r="W3062" s="1046"/>
      <c r="X3062" s="1046"/>
      <c r="Y3062" s="1046"/>
    </row>
    <row r="3063" spans="1:25">
      <c r="A3063" s="18"/>
      <c r="B3063" s="18"/>
      <c r="C3063" s="18"/>
      <c r="D3063" s="18"/>
      <c r="E3063" s="18"/>
      <c r="F3063" s="18"/>
      <c r="G3063" s="18"/>
      <c r="H3063" s="18"/>
      <c r="I3063" s="18"/>
      <c r="J3063" s="18"/>
      <c r="K3063" s="18"/>
      <c r="L3063" s="18"/>
      <c r="M3063" s="18"/>
      <c r="N3063" s="18"/>
      <c r="O3063" s="18"/>
      <c r="P3063" s="18"/>
      <c r="Q3063" s="1166"/>
      <c r="R3063" s="1046"/>
      <c r="S3063" s="1054"/>
      <c r="T3063" s="1055"/>
      <c r="U3063" s="1055"/>
      <c r="V3063" s="1055"/>
      <c r="W3063" s="1055"/>
      <c r="X3063" s="1055"/>
      <c r="Y3063" s="1055"/>
    </row>
    <row r="3064" spans="1:25">
      <c r="A3064" s="18"/>
      <c r="B3064" s="18"/>
      <c r="C3064" s="18"/>
      <c r="D3064" s="18"/>
      <c r="E3064" s="18"/>
      <c r="F3064" s="18"/>
      <c r="G3064" s="18"/>
      <c r="H3064" s="18"/>
      <c r="I3064" s="18"/>
      <c r="J3064" s="18"/>
      <c r="K3064" s="18"/>
      <c r="L3064" s="18"/>
      <c r="M3064" s="18"/>
      <c r="N3064" s="18"/>
      <c r="O3064" s="18"/>
      <c r="P3064" s="18"/>
      <c r="Q3064" s="1166"/>
      <c r="R3064" s="1046"/>
      <c r="S3064" s="1054"/>
      <c r="T3064" s="1055"/>
      <c r="U3064" s="1055"/>
      <c r="V3064" s="1046"/>
      <c r="W3064" s="1046"/>
      <c r="X3064" s="1046"/>
      <c r="Y3064" s="1046"/>
    </row>
    <row r="3065" spans="1:25">
      <c r="A3065" s="149"/>
      <c r="B3065" s="18"/>
      <c r="C3065" s="18"/>
      <c r="D3065" s="18"/>
      <c r="E3065" s="18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166"/>
      <c r="R3065" s="1046"/>
      <c r="S3065" s="1054"/>
      <c r="T3065" s="1055"/>
      <c r="U3065" s="1055"/>
      <c r="V3065" s="1055"/>
      <c r="W3065" s="1055"/>
      <c r="X3065" s="1055"/>
      <c r="Y3065" s="1055"/>
    </row>
    <row r="3066" spans="1:25">
      <c r="A3066" s="18"/>
      <c r="B3066" s="18"/>
      <c r="C3066" s="18"/>
      <c r="D3066" s="18"/>
      <c r="E3066" s="18"/>
      <c r="F3066" s="18"/>
      <c r="G3066" s="18"/>
      <c r="H3066" s="18"/>
      <c r="I3066" s="18"/>
      <c r="J3066" s="18"/>
      <c r="K3066" s="18"/>
      <c r="L3066" s="18"/>
      <c r="M3066" s="18"/>
      <c r="N3066" s="18"/>
      <c r="O3066" s="18"/>
      <c r="P3066" s="18"/>
      <c r="Q3066" s="1166"/>
      <c r="R3066" s="1046"/>
      <c r="S3066" s="1054"/>
      <c r="T3066" s="1055"/>
      <c r="U3066" s="1055"/>
      <c r="V3066" s="1055"/>
      <c r="W3066" s="1055"/>
      <c r="X3066" s="1055"/>
      <c r="Y3066" s="1055"/>
    </row>
    <row r="3067" spans="1:25">
      <c r="A3067" s="18"/>
      <c r="B3067" s="18"/>
      <c r="C3067" s="18"/>
      <c r="D3067" s="18"/>
      <c r="E3067" s="18"/>
      <c r="F3067" s="18"/>
      <c r="G3067" s="18"/>
      <c r="H3067" s="18"/>
      <c r="I3067" s="18"/>
      <c r="J3067" s="18"/>
      <c r="K3067" s="18"/>
      <c r="L3067" s="18"/>
      <c r="M3067" s="18"/>
      <c r="N3067" s="18"/>
      <c r="O3067" s="18"/>
      <c r="P3067" s="18"/>
      <c r="Q3067" s="1166"/>
      <c r="R3067" s="1046"/>
      <c r="S3067" s="1054"/>
      <c r="T3067" s="1055"/>
      <c r="U3067" s="1055"/>
      <c r="V3067" s="1055"/>
      <c r="W3067" s="1055"/>
      <c r="X3067" s="1055"/>
      <c r="Y3067" s="1055"/>
    </row>
    <row r="3068" spans="1:25" ht="16.5" thickBot="1">
      <c r="A3068" s="149"/>
      <c r="B3068" s="18"/>
      <c r="C3068" s="18"/>
      <c r="D3068" s="18"/>
      <c r="E3068" s="18"/>
      <c r="F3068" s="18"/>
      <c r="G3068" s="18"/>
      <c r="H3068" s="18"/>
      <c r="I3068" s="18"/>
      <c r="J3068" s="18"/>
      <c r="K3068" s="18"/>
      <c r="L3068" s="18"/>
      <c r="M3068" s="18"/>
      <c r="N3068" s="18"/>
      <c r="O3068" s="18"/>
      <c r="P3068" s="18"/>
      <c r="Q3068" s="1168"/>
      <c r="R3068" s="1056"/>
      <c r="S3068" s="1057"/>
      <c r="T3068" s="1058"/>
      <c r="U3068" s="1058"/>
      <c r="V3068" s="1058"/>
      <c r="W3068" s="1058"/>
      <c r="X3068" s="1058"/>
      <c r="Y3068" s="1058"/>
    </row>
    <row r="3069" spans="1:25">
      <c r="A3069" s="18"/>
      <c r="B3069" s="18"/>
      <c r="C3069" s="18"/>
      <c r="D3069" s="18"/>
      <c r="E3069" s="18"/>
      <c r="F3069" s="18"/>
      <c r="G3069" s="18"/>
      <c r="H3069" s="18"/>
      <c r="I3069" s="18"/>
      <c r="J3069" s="18"/>
      <c r="K3069" s="18"/>
      <c r="L3069" s="18"/>
      <c r="M3069" s="18"/>
      <c r="N3069" s="18"/>
      <c r="O3069" s="18"/>
      <c r="P3069" s="18"/>
      <c r="Q3069" s="18"/>
    </row>
    <row r="3070" spans="1:25">
      <c r="A3070" s="18"/>
      <c r="B3070" s="18"/>
      <c r="C3070" s="18"/>
      <c r="D3070" s="18"/>
      <c r="E3070" s="18"/>
      <c r="F3070" s="18"/>
      <c r="G3070" s="18"/>
      <c r="H3070" s="18"/>
      <c r="I3070" s="18"/>
      <c r="J3070" s="18"/>
      <c r="K3070" s="18"/>
      <c r="L3070" s="18"/>
      <c r="M3070" s="18"/>
      <c r="N3070" s="18"/>
      <c r="O3070" s="18"/>
      <c r="P3070" s="18"/>
      <c r="Q3070" s="18"/>
    </row>
    <row r="3071" spans="1:25">
      <c r="A3071" s="149"/>
      <c r="B3071" s="18"/>
      <c r="C3071" s="18"/>
      <c r="D3071" s="18"/>
      <c r="E3071" s="18"/>
      <c r="F3071" s="18"/>
      <c r="G3071" s="18"/>
      <c r="H3071" s="18"/>
      <c r="I3071" s="18"/>
      <c r="J3071" s="18"/>
      <c r="K3071" s="18"/>
      <c r="L3071" s="18"/>
      <c r="M3071" s="18"/>
      <c r="N3071" s="18"/>
      <c r="O3071" s="18"/>
      <c r="P3071" s="18"/>
      <c r="Q3071" s="18"/>
    </row>
    <row r="3072" spans="1:25">
      <c r="A3072" s="18"/>
      <c r="B3072" s="18"/>
      <c r="C3072" s="18"/>
      <c r="D3072" s="18"/>
      <c r="E3072" s="18"/>
      <c r="F3072" s="18"/>
      <c r="G3072" s="18"/>
      <c r="H3072" s="18"/>
      <c r="I3072" s="18"/>
      <c r="J3072" s="18"/>
      <c r="K3072" s="18"/>
      <c r="L3072" s="18"/>
      <c r="M3072" s="18"/>
      <c r="N3072" s="18"/>
      <c r="O3072" s="18"/>
      <c r="P3072" s="18"/>
      <c r="Q3072" s="18"/>
    </row>
    <row r="3073" spans="1:17">
      <c r="A3073" s="18"/>
      <c r="B3073" s="18"/>
      <c r="C3073" s="18"/>
      <c r="D3073" s="18"/>
      <c r="E3073" s="18"/>
      <c r="F3073" s="18"/>
      <c r="G3073" s="18"/>
      <c r="H3073" s="18"/>
      <c r="I3073" s="18"/>
      <c r="J3073" s="18"/>
      <c r="K3073" s="18"/>
      <c r="L3073" s="18"/>
      <c r="M3073" s="18"/>
      <c r="N3073" s="18"/>
      <c r="O3073" s="18"/>
      <c r="P3073" s="18"/>
      <c r="Q3073" s="18"/>
    </row>
    <row r="3074" spans="1:17">
      <c r="A3074" s="18"/>
      <c r="B3074" s="18"/>
      <c r="C3074" s="18"/>
      <c r="D3074" s="18"/>
      <c r="E3074" s="18"/>
      <c r="F3074" s="18"/>
      <c r="G3074" s="18"/>
      <c r="H3074" s="18"/>
      <c r="I3074" s="18"/>
      <c r="J3074" s="18"/>
      <c r="K3074" s="18"/>
      <c r="L3074" s="18"/>
      <c r="M3074" s="18"/>
      <c r="N3074" s="18"/>
      <c r="O3074" s="18"/>
      <c r="P3074" s="18"/>
      <c r="Q3074" s="18"/>
    </row>
    <row r="3075" spans="1:17">
      <c r="A3075" s="18"/>
      <c r="B3075" s="18"/>
      <c r="C3075" s="18"/>
      <c r="D3075" s="18"/>
      <c r="E3075" s="18"/>
      <c r="F3075" s="18"/>
      <c r="G3075" s="18"/>
      <c r="H3075" s="18"/>
      <c r="I3075" s="18"/>
      <c r="J3075" s="18"/>
      <c r="K3075" s="18"/>
      <c r="L3075" s="18"/>
      <c r="M3075" s="18"/>
      <c r="N3075" s="18"/>
      <c r="O3075" s="18"/>
      <c r="P3075" s="18"/>
      <c r="Q3075" s="18"/>
    </row>
    <row r="3076" spans="1:17">
      <c r="A3076" s="18"/>
      <c r="B3076" s="18"/>
      <c r="C3076" s="18"/>
      <c r="D3076" s="18"/>
      <c r="E3076" s="18"/>
      <c r="F3076" s="18"/>
      <c r="G3076" s="18"/>
      <c r="H3076" s="18"/>
      <c r="I3076" s="18"/>
      <c r="J3076" s="18"/>
      <c r="K3076" s="18"/>
      <c r="L3076" s="18"/>
      <c r="M3076" s="18"/>
      <c r="N3076" s="18"/>
      <c r="O3076" s="18"/>
      <c r="P3076" s="18"/>
      <c r="Q3076" s="18"/>
    </row>
    <row r="3077" spans="1:17">
      <c r="A3077" s="18"/>
      <c r="B3077" s="18"/>
      <c r="C3077" s="18"/>
      <c r="D3077" s="18"/>
      <c r="E3077" s="18"/>
      <c r="F3077" s="18"/>
      <c r="G3077" s="18"/>
      <c r="H3077" s="18"/>
      <c r="I3077" s="18"/>
      <c r="J3077" s="18"/>
      <c r="K3077" s="18"/>
      <c r="L3077" s="18"/>
      <c r="M3077" s="18"/>
      <c r="N3077" s="18"/>
      <c r="O3077" s="18"/>
      <c r="P3077" s="18"/>
      <c r="Q3077" s="18"/>
    </row>
    <row r="3078" spans="1:17">
      <c r="A3078" s="18"/>
      <c r="B3078" s="18"/>
      <c r="C3078" s="18"/>
      <c r="D3078" s="18"/>
      <c r="E3078" s="18"/>
      <c r="F3078" s="18"/>
      <c r="G3078" s="18"/>
      <c r="H3078" s="18"/>
      <c r="I3078" s="18"/>
      <c r="J3078" s="18"/>
      <c r="K3078" s="18"/>
      <c r="L3078" s="18"/>
      <c r="M3078" s="18"/>
      <c r="N3078" s="18"/>
      <c r="O3078" s="18"/>
      <c r="P3078" s="18"/>
      <c r="Q3078" s="18"/>
    </row>
    <row r="3079" spans="1:17">
      <c r="A3079" s="149"/>
      <c r="B3079" s="18"/>
      <c r="C3079" s="18"/>
      <c r="D3079" s="18"/>
      <c r="E3079" s="18"/>
      <c r="F3079" s="18"/>
      <c r="G3079" s="18"/>
      <c r="H3079" s="18"/>
      <c r="I3079" s="18"/>
      <c r="J3079" s="18"/>
      <c r="K3079" s="18"/>
      <c r="L3079" s="18"/>
      <c r="M3079" s="18"/>
      <c r="N3079" s="18"/>
      <c r="O3079" s="18"/>
      <c r="P3079" s="18"/>
      <c r="Q3079" s="18"/>
    </row>
    <row r="3080" spans="1:17">
      <c r="A3080" s="18"/>
      <c r="B3080" s="18"/>
      <c r="C3080" s="18"/>
      <c r="D3080" s="18"/>
      <c r="E3080" s="18"/>
      <c r="F3080" s="18"/>
      <c r="G3080" s="18"/>
      <c r="H3080" s="18"/>
      <c r="I3080" s="18"/>
      <c r="J3080" s="18"/>
      <c r="K3080" s="18"/>
      <c r="L3080" s="18"/>
      <c r="M3080" s="18"/>
      <c r="N3080" s="18"/>
      <c r="O3080" s="18"/>
      <c r="P3080" s="18"/>
      <c r="Q3080" s="18"/>
    </row>
    <row r="3081" spans="1:17">
      <c r="A3081" s="149"/>
      <c r="B3081" s="18"/>
      <c r="C3081" s="18"/>
      <c r="D3081" s="18"/>
      <c r="E3081" s="18"/>
      <c r="F3081" s="18"/>
      <c r="G3081" s="18"/>
      <c r="H3081" s="18"/>
      <c r="I3081" s="18"/>
      <c r="J3081" s="18"/>
      <c r="K3081" s="18"/>
      <c r="L3081" s="18"/>
      <c r="M3081" s="18"/>
      <c r="N3081" s="18"/>
      <c r="O3081" s="18"/>
      <c r="P3081" s="18"/>
      <c r="Q3081" s="18"/>
    </row>
    <row r="3082" spans="1:17">
      <c r="A3082" s="18"/>
      <c r="B3082" s="18"/>
      <c r="C3082" s="18"/>
      <c r="D3082" s="18"/>
      <c r="E3082" s="18"/>
      <c r="F3082" s="18"/>
      <c r="G3082" s="18"/>
      <c r="H3082" s="18"/>
      <c r="I3082" s="18"/>
      <c r="J3082" s="18"/>
      <c r="K3082" s="18"/>
      <c r="L3082" s="18"/>
      <c r="M3082" s="18"/>
      <c r="N3082" s="18"/>
      <c r="O3082" s="18"/>
      <c r="P3082" s="18"/>
      <c r="Q3082" s="18"/>
    </row>
    <row r="3083" spans="1:17">
      <c r="A3083" s="149"/>
      <c r="B3083" s="18"/>
      <c r="C3083" s="18"/>
      <c r="D3083" s="18"/>
      <c r="E3083" s="18"/>
      <c r="F3083" s="18"/>
      <c r="G3083" s="18"/>
      <c r="H3083" s="18"/>
      <c r="I3083" s="18"/>
      <c r="J3083" s="18"/>
      <c r="K3083" s="18"/>
      <c r="L3083" s="18"/>
      <c r="M3083" s="18"/>
      <c r="N3083" s="18"/>
      <c r="O3083" s="18"/>
      <c r="P3083" s="18"/>
      <c r="Q3083" s="18"/>
    </row>
    <row r="3084" spans="1:17">
      <c r="A3084" s="18"/>
      <c r="B3084" s="18"/>
      <c r="C3084" s="18"/>
      <c r="D3084" s="18"/>
      <c r="E3084" s="18"/>
      <c r="F3084" s="18"/>
      <c r="G3084" s="18"/>
      <c r="H3084" s="18"/>
      <c r="I3084" s="18"/>
      <c r="J3084" s="18"/>
      <c r="K3084" s="18"/>
      <c r="L3084" s="18"/>
      <c r="M3084" s="18"/>
      <c r="N3084" s="18"/>
      <c r="O3084" s="18"/>
      <c r="P3084" s="18"/>
      <c r="Q3084" s="18"/>
    </row>
    <row r="3085" spans="1:17">
      <c r="A3085" s="149"/>
      <c r="B3085" s="18"/>
      <c r="C3085" s="18"/>
      <c r="D3085" s="18"/>
      <c r="E3085" s="18"/>
      <c r="F3085" s="18"/>
      <c r="G3085" s="18"/>
      <c r="H3085" s="18"/>
      <c r="I3085" s="18"/>
      <c r="J3085" s="18"/>
      <c r="K3085" s="18"/>
      <c r="L3085" s="18"/>
      <c r="M3085" s="18"/>
      <c r="N3085" s="18"/>
      <c r="O3085" s="18"/>
      <c r="P3085" s="18"/>
      <c r="Q3085" s="18"/>
    </row>
    <row r="3086" spans="1:17">
      <c r="A3086" s="18"/>
      <c r="B3086" s="18"/>
      <c r="C3086" s="18"/>
      <c r="D3086" s="18"/>
      <c r="E3086" s="18"/>
      <c r="F3086" s="18"/>
      <c r="G3086" s="18"/>
      <c r="H3086" s="18"/>
      <c r="I3086" s="18"/>
      <c r="J3086" s="18"/>
      <c r="K3086" s="18"/>
      <c r="L3086" s="18"/>
      <c r="M3086" s="18"/>
      <c r="N3086" s="18"/>
      <c r="O3086" s="18"/>
      <c r="P3086" s="18"/>
      <c r="Q3086" s="18"/>
    </row>
    <row r="3087" spans="1:17">
      <c r="A3087" s="149"/>
      <c r="B3087" s="18"/>
      <c r="C3087" s="18"/>
      <c r="D3087" s="18"/>
      <c r="E3087" s="18"/>
      <c r="F3087" s="18"/>
      <c r="G3087" s="18"/>
      <c r="H3087" s="18"/>
      <c r="I3087" s="18"/>
      <c r="J3087" s="18"/>
      <c r="K3087" s="18"/>
      <c r="L3087" s="18"/>
      <c r="M3087" s="18"/>
      <c r="N3087" s="18"/>
      <c r="O3087" s="18"/>
      <c r="P3087" s="18"/>
      <c r="Q3087" s="18"/>
    </row>
    <row r="3088" spans="1:17">
      <c r="A3088" s="18"/>
      <c r="B3088" s="18"/>
      <c r="C3088" s="18"/>
      <c r="D3088" s="18"/>
      <c r="E3088" s="18"/>
      <c r="F3088" s="18"/>
      <c r="G3088" s="18"/>
      <c r="H3088" s="18"/>
      <c r="I3088" s="18"/>
      <c r="J3088" s="18"/>
      <c r="K3088" s="18"/>
      <c r="L3088" s="18"/>
      <c r="M3088" s="18"/>
      <c r="N3088" s="18"/>
      <c r="O3088" s="18"/>
      <c r="P3088" s="18"/>
      <c r="Q3088" s="18"/>
    </row>
    <row r="3089" spans="1:17">
      <c r="A3089" s="18"/>
      <c r="B3089" s="18"/>
      <c r="C3089" s="18"/>
      <c r="D3089" s="18"/>
      <c r="E3089" s="18"/>
      <c r="F3089" s="18"/>
      <c r="G3089" s="18"/>
      <c r="H3089" s="18"/>
      <c r="I3089" s="18"/>
      <c r="J3089" s="18"/>
      <c r="K3089" s="18"/>
      <c r="L3089" s="18"/>
      <c r="M3089" s="18"/>
      <c r="N3089" s="18"/>
      <c r="O3089" s="18"/>
      <c r="P3089" s="18"/>
      <c r="Q3089" s="18"/>
    </row>
    <row r="3090" spans="1:17">
      <c r="A3090" s="149"/>
      <c r="B3090" s="18"/>
      <c r="C3090" s="18"/>
      <c r="D3090" s="18"/>
      <c r="E3090" s="18"/>
      <c r="F3090" s="18"/>
      <c r="G3090" s="18"/>
      <c r="H3090" s="18"/>
      <c r="I3090" s="18"/>
      <c r="J3090" s="18"/>
      <c r="K3090" s="18"/>
      <c r="L3090" s="18"/>
      <c r="M3090" s="18"/>
      <c r="N3090" s="18"/>
      <c r="O3090" s="18"/>
      <c r="P3090" s="18"/>
      <c r="Q3090" s="18"/>
    </row>
    <row r="3091" spans="1:17">
      <c r="A3091" s="18"/>
      <c r="B3091" s="18"/>
      <c r="C3091" s="18"/>
      <c r="D3091" s="18"/>
      <c r="E3091" s="18"/>
      <c r="F3091" s="18"/>
      <c r="G3091" s="18"/>
      <c r="H3091" s="18"/>
      <c r="I3091" s="18"/>
      <c r="J3091" s="18"/>
      <c r="K3091" s="18"/>
      <c r="L3091" s="18"/>
      <c r="M3091" s="18"/>
      <c r="N3091" s="18"/>
      <c r="O3091" s="18"/>
      <c r="P3091" s="18"/>
      <c r="Q3091" s="18"/>
    </row>
    <row r="3092" spans="1:17">
      <c r="A3092" s="18"/>
      <c r="B3092" s="18"/>
      <c r="C3092" s="18"/>
      <c r="D3092" s="18"/>
      <c r="E3092" s="18"/>
      <c r="F3092" s="18"/>
      <c r="G3092" s="18"/>
      <c r="H3092" s="18"/>
      <c r="I3092" s="18"/>
      <c r="J3092" s="18"/>
      <c r="K3092" s="18"/>
      <c r="L3092" s="18"/>
      <c r="M3092" s="18"/>
      <c r="N3092" s="18"/>
      <c r="O3092" s="18"/>
      <c r="P3092" s="18"/>
      <c r="Q3092" s="18"/>
    </row>
    <row r="3093" spans="1:17">
      <c r="A3093" s="18"/>
      <c r="B3093" s="18"/>
      <c r="C3093" s="18"/>
      <c r="D3093" s="18"/>
      <c r="E3093" s="18"/>
      <c r="F3093" s="18"/>
      <c r="G3093" s="18"/>
      <c r="H3093" s="18"/>
      <c r="I3093" s="18"/>
      <c r="J3093" s="18"/>
      <c r="K3093" s="18"/>
      <c r="L3093" s="18"/>
      <c r="M3093" s="18"/>
      <c r="N3093" s="18"/>
      <c r="O3093" s="18"/>
      <c r="P3093" s="18"/>
      <c r="Q3093" s="18"/>
    </row>
    <row r="3094" spans="1:17">
      <c r="A3094" s="18"/>
      <c r="B3094" s="18"/>
      <c r="C3094" s="18"/>
      <c r="D3094" s="18"/>
      <c r="E3094" s="18"/>
      <c r="F3094" s="18"/>
      <c r="G3094" s="18"/>
      <c r="H3094" s="18"/>
      <c r="I3094" s="18"/>
      <c r="J3094" s="18"/>
      <c r="K3094" s="18"/>
      <c r="L3094" s="18"/>
      <c r="M3094" s="18"/>
      <c r="N3094" s="18"/>
      <c r="O3094" s="18"/>
      <c r="P3094" s="18"/>
      <c r="Q3094" s="18"/>
    </row>
    <row r="3095" spans="1:17">
      <c r="A3095" s="149"/>
      <c r="B3095" s="18"/>
      <c r="C3095" s="18"/>
      <c r="D3095" s="18"/>
      <c r="E3095" s="18"/>
      <c r="F3095" s="18"/>
      <c r="G3095" s="18"/>
      <c r="H3095" s="18"/>
      <c r="I3095" s="18"/>
      <c r="J3095" s="18"/>
      <c r="K3095" s="18"/>
      <c r="L3095" s="18"/>
      <c r="M3095" s="18"/>
      <c r="N3095" s="18"/>
      <c r="O3095" s="18"/>
      <c r="P3095" s="18"/>
      <c r="Q3095" s="18"/>
    </row>
    <row r="3096" spans="1:17">
      <c r="A3096" s="18"/>
      <c r="B3096" s="18"/>
      <c r="C3096" s="18"/>
      <c r="D3096" s="18"/>
      <c r="E3096" s="18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8"/>
    </row>
    <row r="3097" spans="1:17">
      <c r="A3097" s="18"/>
      <c r="B3097" s="18"/>
      <c r="C3097" s="18"/>
      <c r="D3097" s="18"/>
      <c r="E3097" s="18"/>
      <c r="F3097" s="18"/>
      <c r="G3097" s="18"/>
      <c r="H3097" s="18"/>
      <c r="I3097" s="18"/>
      <c r="J3097" s="18"/>
      <c r="K3097" s="18"/>
      <c r="L3097" s="18"/>
      <c r="M3097" s="18"/>
      <c r="N3097" s="18"/>
      <c r="O3097" s="18"/>
      <c r="P3097" s="18"/>
      <c r="Q3097" s="18"/>
    </row>
    <row r="3098" spans="1:17">
      <c r="A3098" s="18"/>
      <c r="B3098" s="18"/>
      <c r="C3098" s="18"/>
      <c r="D3098" s="18"/>
      <c r="E3098" s="18"/>
      <c r="F3098" s="18"/>
      <c r="G3098" s="18"/>
      <c r="H3098" s="18"/>
      <c r="I3098" s="18"/>
      <c r="J3098" s="18"/>
      <c r="K3098" s="18"/>
      <c r="L3098" s="18"/>
      <c r="M3098" s="18"/>
      <c r="N3098" s="18"/>
      <c r="O3098" s="18"/>
      <c r="P3098" s="18"/>
      <c r="Q3098" s="18"/>
    </row>
    <row r="3099" spans="1:17">
      <c r="A3099" s="149"/>
      <c r="B3099" s="18"/>
      <c r="C3099" s="18"/>
      <c r="D3099" s="18"/>
      <c r="E3099" s="18"/>
      <c r="F3099" s="18"/>
      <c r="G3099" s="18"/>
      <c r="H3099" s="18"/>
      <c r="I3099" s="18"/>
      <c r="J3099" s="18"/>
      <c r="K3099" s="18"/>
      <c r="L3099" s="18"/>
      <c r="M3099" s="18"/>
      <c r="N3099" s="18"/>
      <c r="O3099" s="18"/>
      <c r="P3099" s="18"/>
      <c r="Q3099" s="18"/>
    </row>
    <row r="3100" spans="1:17">
      <c r="A3100" s="18"/>
      <c r="B3100" s="18"/>
      <c r="C3100" s="18"/>
      <c r="D3100" s="18"/>
      <c r="E3100" s="18"/>
      <c r="F3100" s="18"/>
      <c r="G3100" s="18"/>
      <c r="H3100" s="18"/>
      <c r="I3100" s="18"/>
      <c r="J3100" s="18"/>
      <c r="K3100" s="18"/>
      <c r="L3100" s="18"/>
      <c r="M3100" s="18"/>
      <c r="N3100" s="18"/>
      <c r="O3100" s="18"/>
      <c r="P3100" s="18"/>
      <c r="Q3100" s="18"/>
    </row>
    <row r="3101" spans="1:17">
      <c r="A3101" s="18"/>
      <c r="B3101" s="18"/>
      <c r="C3101" s="18"/>
      <c r="D3101" s="18"/>
      <c r="E3101" s="18"/>
      <c r="F3101" s="18"/>
      <c r="G3101" s="18"/>
      <c r="H3101" s="18"/>
      <c r="I3101" s="18"/>
      <c r="J3101" s="18"/>
      <c r="K3101" s="18"/>
      <c r="L3101" s="18"/>
      <c r="M3101" s="18"/>
      <c r="N3101" s="18"/>
      <c r="O3101" s="18"/>
      <c r="P3101" s="18"/>
      <c r="Q3101" s="18"/>
    </row>
    <row r="3102" spans="1:17">
      <c r="A3102" s="149"/>
      <c r="B3102" s="18"/>
      <c r="C3102" s="18"/>
      <c r="D3102" s="18"/>
      <c r="E3102" s="18"/>
      <c r="F3102" s="18"/>
      <c r="G3102" s="18"/>
      <c r="H3102" s="18"/>
      <c r="I3102" s="18"/>
      <c r="J3102" s="18"/>
      <c r="K3102" s="18"/>
      <c r="L3102" s="18"/>
      <c r="M3102" s="18"/>
      <c r="N3102" s="18"/>
      <c r="O3102" s="18"/>
      <c r="P3102" s="18"/>
      <c r="Q3102" s="18"/>
    </row>
    <row r="3103" spans="1:17">
      <c r="A3103" s="18"/>
      <c r="B3103" s="18"/>
      <c r="C3103" s="18"/>
      <c r="D3103" s="18"/>
      <c r="E3103" s="18"/>
      <c r="F3103" s="18"/>
      <c r="G3103" s="18"/>
      <c r="H3103" s="18"/>
      <c r="I3103" s="18"/>
      <c r="J3103" s="18"/>
      <c r="K3103" s="18"/>
      <c r="L3103" s="18"/>
      <c r="M3103" s="18"/>
      <c r="N3103" s="18"/>
      <c r="O3103" s="18"/>
      <c r="P3103" s="18"/>
      <c r="Q3103" s="18"/>
    </row>
    <row r="3104" spans="1:17">
      <c r="A3104" s="18"/>
      <c r="B3104" s="18"/>
      <c r="C3104" s="18"/>
      <c r="D3104" s="18"/>
      <c r="E3104" s="18"/>
      <c r="F3104" s="18"/>
      <c r="G3104" s="18"/>
      <c r="H3104" s="18"/>
      <c r="I3104" s="18"/>
      <c r="J3104" s="18"/>
      <c r="K3104" s="18"/>
      <c r="L3104" s="18"/>
      <c r="M3104" s="18"/>
      <c r="N3104" s="18"/>
      <c r="O3104" s="18"/>
      <c r="P3104" s="18"/>
      <c r="Q3104" s="18"/>
    </row>
    <row r="3105" spans="1:17">
      <c r="A3105" s="149"/>
      <c r="B3105" s="18"/>
      <c r="C3105" s="18"/>
      <c r="D3105" s="18"/>
      <c r="E3105" s="18"/>
      <c r="F3105" s="18"/>
      <c r="G3105" s="18"/>
      <c r="H3105" s="18"/>
      <c r="I3105" s="18"/>
      <c r="J3105" s="18"/>
      <c r="K3105" s="18"/>
      <c r="L3105" s="18"/>
      <c r="M3105" s="18"/>
      <c r="N3105" s="18"/>
      <c r="O3105" s="18"/>
      <c r="P3105" s="18"/>
      <c r="Q3105" s="18"/>
    </row>
    <row r="3106" spans="1:17">
      <c r="A3106" s="18"/>
      <c r="B3106" s="18"/>
      <c r="C3106" s="18"/>
      <c r="D3106" s="18"/>
      <c r="E3106" s="18"/>
      <c r="F3106" s="18"/>
      <c r="G3106" s="18"/>
      <c r="H3106" s="18"/>
      <c r="I3106" s="18"/>
      <c r="J3106" s="18"/>
      <c r="K3106" s="18"/>
      <c r="L3106" s="18"/>
      <c r="M3106" s="18"/>
      <c r="N3106" s="18"/>
      <c r="O3106" s="18"/>
      <c r="P3106" s="18"/>
      <c r="Q3106" s="18"/>
    </row>
    <row r="3107" spans="1:17">
      <c r="A3107" s="149"/>
      <c r="B3107" s="18"/>
      <c r="C3107" s="18"/>
      <c r="D3107" s="18"/>
      <c r="E3107" s="18"/>
      <c r="F3107" s="18"/>
      <c r="G3107" s="18"/>
      <c r="H3107" s="18"/>
      <c r="I3107" s="18"/>
      <c r="J3107" s="18"/>
      <c r="K3107" s="18"/>
      <c r="L3107" s="18"/>
      <c r="M3107" s="18"/>
      <c r="N3107" s="18"/>
      <c r="O3107" s="18"/>
      <c r="P3107" s="18"/>
      <c r="Q3107" s="18"/>
    </row>
    <row r="3108" spans="1:17">
      <c r="A3108" s="18"/>
      <c r="B3108" s="18"/>
      <c r="C3108" s="18"/>
      <c r="D3108" s="18"/>
      <c r="E3108" s="18"/>
      <c r="F3108" s="18"/>
      <c r="G3108" s="18"/>
      <c r="H3108" s="18"/>
      <c r="I3108" s="18"/>
      <c r="J3108" s="18"/>
      <c r="K3108" s="18"/>
      <c r="L3108" s="18"/>
      <c r="M3108" s="18"/>
      <c r="N3108" s="18"/>
      <c r="O3108" s="18"/>
      <c r="P3108" s="18"/>
      <c r="Q3108" s="18"/>
    </row>
    <row r="3109" spans="1:17">
      <c r="A3109" s="18"/>
      <c r="B3109" s="18"/>
      <c r="C3109" s="18"/>
      <c r="D3109" s="18"/>
      <c r="E3109" s="18"/>
      <c r="F3109" s="18"/>
      <c r="G3109" s="18"/>
      <c r="H3109" s="18"/>
      <c r="I3109" s="18"/>
      <c r="J3109" s="18"/>
      <c r="K3109" s="18"/>
      <c r="L3109" s="18"/>
      <c r="M3109" s="18"/>
      <c r="N3109" s="18"/>
      <c r="O3109" s="18"/>
      <c r="P3109" s="18"/>
      <c r="Q3109" s="18"/>
    </row>
    <row r="3110" spans="1:17">
      <c r="A3110" s="18"/>
      <c r="B3110" s="18"/>
      <c r="C3110" s="18"/>
      <c r="D3110" s="18"/>
      <c r="E3110" s="18"/>
      <c r="F3110" s="18"/>
      <c r="G3110" s="18"/>
      <c r="H3110" s="18"/>
      <c r="I3110" s="18"/>
      <c r="J3110" s="18"/>
      <c r="K3110" s="18"/>
      <c r="L3110" s="18"/>
      <c r="M3110" s="18"/>
      <c r="N3110" s="18"/>
      <c r="O3110" s="18"/>
      <c r="P3110" s="18"/>
      <c r="Q3110" s="18"/>
    </row>
    <row r="3111" spans="1:17">
      <c r="A3111" s="18"/>
      <c r="B3111" s="18"/>
      <c r="C3111" s="18"/>
      <c r="D3111" s="18"/>
      <c r="E3111" s="18"/>
      <c r="F3111" s="18"/>
      <c r="G3111" s="18"/>
      <c r="H3111" s="18"/>
      <c r="I3111" s="18"/>
      <c r="J3111" s="18"/>
      <c r="K3111" s="18"/>
      <c r="L3111" s="18"/>
      <c r="M3111" s="18"/>
      <c r="N3111" s="18"/>
      <c r="O3111" s="18"/>
      <c r="P3111" s="18"/>
      <c r="Q3111" s="18"/>
    </row>
    <row r="3112" spans="1:17">
      <c r="A3112" s="18"/>
      <c r="B3112" s="18"/>
      <c r="C3112" s="18"/>
      <c r="D3112" s="18"/>
      <c r="E3112" s="18"/>
      <c r="F3112" s="18"/>
      <c r="G3112" s="18"/>
      <c r="H3112" s="18"/>
      <c r="I3112" s="18"/>
      <c r="J3112" s="18"/>
      <c r="K3112" s="18"/>
      <c r="L3112" s="18"/>
      <c r="M3112" s="18"/>
      <c r="N3112" s="18"/>
      <c r="O3112" s="18"/>
      <c r="P3112" s="18"/>
      <c r="Q3112" s="18"/>
    </row>
    <row r="3113" spans="1:17">
      <c r="A3113" s="149"/>
      <c r="B3113" s="18"/>
      <c r="C3113" s="18"/>
      <c r="D3113" s="18"/>
      <c r="E3113" s="18"/>
      <c r="F3113" s="18"/>
      <c r="G3113" s="18"/>
      <c r="H3113" s="18"/>
      <c r="I3113" s="18"/>
      <c r="J3113" s="18"/>
      <c r="K3113" s="18"/>
      <c r="L3113" s="18"/>
      <c r="M3113" s="18"/>
      <c r="N3113" s="18"/>
      <c r="O3113" s="18"/>
      <c r="P3113" s="18"/>
      <c r="Q3113" s="18"/>
    </row>
    <row r="3114" spans="1:17">
      <c r="A3114" s="18"/>
      <c r="B3114" s="18"/>
      <c r="C3114" s="18"/>
      <c r="D3114" s="18"/>
      <c r="E3114" s="18"/>
      <c r="F3114" s="18"/>
      <c r="G3114" s="18"/>
      <c r="H3114" s="18"/>
      <c r="I3114" s="18"/>
      <c r="J3114" s="18"/>
      <c r="K3114" s="18"/>
      <c r="L3114" s="18"/>
      <c r="M3114" s="18"/>
      <c r="N3114" s="18"/>
      <c r="O3114" s="18"/>
      <c r="P3114" s="18"/>
      <c r="Q3114" s="18"/>
    </row>
    <row r="3115" spans="1:17">
      <c r="A3115" s="18"/>
      <c r="B3115" s="18"/>
      <c r="C3115" s="18"/>
      <c r="D3115" s="18"/>
      <c r="E3115" s="18"/>
      <c r="F3115" s="18"/>
      <c r="G3115" s="18"/>
      <c r="H3115" s="18"/>
      <c r="I3115" s="18"/>
      <c r="J3115" s="18"/>
      <c r="K3115" s="18"/>
      <c r="L3115" s="18"/>
      <c r="M3115" s="18"/>
      <c r="N3115" s="18"/>
      <c r="O3115" s="18"/>
      <c r="P3115" s="18"/>
      <c r="Q3115" s="18"/>
    </row>
    <row r="3116" spans="1:17">
      <c r="A3116" s="18"/>
      <c r="B3116" s="18"/>
      <c r="C3116" s="18"/>
      <c r="D3116" s="18"/>
      <c r="E3116" s="18"/>
      <c r="F3116" s="18"/>
      <c r="G3116" s="18"/>
      <c r="H3116" s="18"/>
      <c r="I3116" s="18"/>
      <c r="J3116" s="18"/>
      <c r="K3116" s="18"/>
      <c r="L3116" s="18"/>
      <c r="M3116" s="18"/>
      <c r="N3116" s="18"/>
      <c r="O3116" s="18"/>
      <c r="P3116" s="18"/>
      <c r="Q3116" s="18"/>
    </row>
    <row r="3117" spans="1:17">
      <c r="A3117" s="149"/>
      <c r="B3117" s="18"/>
      <c r="C3117" s="18"/>
      <c r="D3117" s="18"/>
      <c r="E3117" s="18"/>
      <c r="F3117" s="18"/>
      <c r="G3117" s="18"/>
      <c r="H3117" s="18"/>
      <c r="I3117" s="18"/>
      <c r="J3117" s="18"/>
      <c r="K3117" s="18"/>
      <c r="L3117" s="18"/>
      <c r="M3117" s="18"/>
      <c r="N3117" s="18"/>
      <c r="O3117" s="18"/>
      <c r="P3117" s="18"/>
      <c r="Q3117" s="18"/>
    </row>
    <row r="3118" spans="1:17">
      <c r="A3118" s="18"/>
      <c r="B3118" s="18"/>
      <c r="C3118" s="18"/>
      <c r="D3118" s="18"/>
      <c r="E3118" s="18"/>
      <c r="F3118" s="18"/>
      <c r="G3118" s="18"/>
      <c r="H3118" s="18"/>
      <c r="I3118" s="18"/>
      <c r="J3118" s="18"/>
      <c r="K3118" s="18"/>
      <c r="L3118" s="18"/>
      <c r="M3118" s="18"/>
      <c r="N3118" s="18"/>
      <c r="O3118" s="18"/>
      <c r="P3118" s="18"/>
      <c r="Q3118" s="18"/>
    </row>
    <row r="3119" spans="1:17">
      <c r="A3119" s="18"/>
      <c r="B3119" s="18"/>
      <c r="C3119" s="18"/>
      <c r="D3119" s="18"/>
      <c r="E3119" s="18"/>
      <c r="F3119" s="18"/>
      <c r="G3119" s="18"/>
      <c r="H3119" s="18"/>
      <c r="I3119" s="18"/>
      <c r="J3119" s="18"/>
      <c r="K3119" s="18"/>
      <c r="L3119" s="18"/>
      <c r="M3119" s="18"/>
      <c r="N3119" s="18"/>
      <c r="O3119" s="18"/>
      <c r="P3119" s="18"/>
      <c r="Q3119" s="18"/>
    </row>
    <row r="3120" spans="1:17">
      <c r="A3120" s="149"/>
      <c r="B3120" s="18"/>
      <c r="C3120" s="18"/>
      <c r="D3120" s="18"/>
      <c r="E3120" s="18"/>
      <c r="F3120" s="18"/>
      <c r="G3120" s="18"/>
      <c r="H3120" s="18"/>
      <c r="I3120" s="18"/>
      <c r="J3120" s="18"/>
      <c r="K3120" s="18"/>
      <c r="L3120" s="18"/>
      <c r="M3120" s="18"/>
      <c r="N3120" s="18"/>
      <c r="O3120" s="18"/>
      <c r="P3120" s="18"/>
      <c r="Q3120" s="18"/>
    </row>
    <row r="3121" spans="1:17">
      <c r="A3121" s="18"/>
      <c r="B3121" s="18"/>
      <c r="C3121" s="18"/>
      <c r="D3121" s="18"/>
      <c r="E3121" s="18"/>
      <c r="F3121" s="18"/>
      <c r="G3121" s="18"/>
      <c r="H3121" s="18"/>
      <c r="I3121" s="18"/>
      <c r="J3121" s="18"/>
      <c r="K3121" s="18"/>
      <c r="L3121" s="18"/>
      <c r="M3121" s="18"/>
      <c r="N3121" s="18"/>
      <c r="O3121" s="18"/>
      <c r="P3121" s="18"/>
      <c r="Q3121" s="18"/>
    </row>
    <row r="3122" spans="1:17">
      <c r="A3122" s="18"/>
      <c r="B3122" s="18"/>
      <c r="C3122" s="18"/>
      <c r="D3122" s="18"/>
      <c r="E3122" s="18"/>
      <c r="F3122" s="18"/>
      <c r="G3122" s="18"/>
      <c r="H3122" s="18"/>
      <c r="I3122" s="18"/>
      <c r="J3122" s="18"/>
      <c r="K3122" s="18"/>
      <c r="L3122" s="18"/>
      <c r="M3122" s="18"/>
      <c r="N3122" s="18"/>
      <c r="O3122" s="18"/>
      <c r="P3122" s="18"/>
      <c r="Q3122" s="18"/>
    </row>
    <row r="3123" spans="1:17">
      <c r="A3123" s="18"/>
      <c r="B3123" s="18"/>
      <c r="C3123" s="18"/>
      <c r="D3123" s="18"/>
      <c r="E3123" s="18"/>
      <c r="F3123" s="18"/>
      <c r="G3123" s="18"/>
      <c r="H3123" s="18"/>
      <c r="I3123" s="18"/>
      <c r="J3123" s="18"/>
      <c r="K3123" s="18"/>
      <c r="L3123" s="18"/>
      <c r="M3123" s="18"/>
      <c r="N3123" s="18"/>
      <c r="O3123" s="18"/>
      <c r="P3123" s="18"/>
      <c r="Q3123" s="18"/>
    </row>
    <row r="3124" spans="1:17">
      <c r="A3124" s="149"/>
      <c r="B3124" s="18"/>
      <c r="C3124" s="18"/>
      <c r="D3124" s="18"/>
      <c r="E3124" s="18"/>
      <c r="F3124" s="18"/>
      <c r="G3124" s="18"/>
      <c r="H3124" s="18"/>
      <c r="I3124" s="18"/>
      <c r="J3124" s="18"/>
      <c r="K3124" s="18"/>
      <c r="L3124" s="18"/>
      <c r="M3124" s="18"/>
      <c r="N3124" s="18"/>
      <c r="O3124" s="18"/>
      <c r="P3124" s="18"/>
      <c r="Q3124" s="18"/>
    </row>
    <row r="3125" spans="1:17">
      <c r="A3125" s="18"/>
      <c r="B3125" s="18"/>
      <c r="C3125" s="18"/>
      <c r="D3125" s="18"/>
      <c r="E3125" s="18"/>
      <c r="F3125" s="18"/>
      <c r="G3125" s="18"/>
      <c r="H3125" s="18"/>
      <c r="I3125" s="18"/>
      <c r="J3125" s="18"/>
      <c r="K3125" s="18"/>
      <c r="L3125" s="18"/>
      <c r="M3125" s="18"/>
      <c r="N3125" s="18"/>
      <c r="O3125" s="18"/>
      <c r="P3125" s="18"/>
      <c r="Q3125" s="18"/>
    </row>
    <row r="3126" spans="1:17">
      <c r="A3126" s="18"/>
      <c r="B3126" s="18"/>
      <c r="C3126" s="18"/>
      <c r="D3126" s="18"/>
      <c r="E3126" s="18"/>
      <c r="F3126" s="18"/>
      <c r="G3126" s="18"/>
      <c r="H3126" s="18"/>
      <c r="I3126" s="18"/>
      <c r="J3126" s="18"/>
      <c r="K3126" s="18"/>
      <c r="L3126" s="18"/>
      <c r="M3126" s="18"/>
      <c r="N3126" s="18"/>
      <c r="O3126" s="18"/>
      <c r="P3126" s="18"/>
      <c r="Q3126" s="18"/>
    </row>
    <row r="3127" spans="1:17">
      <c r="A3127" s="149"/>
      <c r="B3127" s="18"/>
      <c r="C3127" s="18"/>
      <c r="D3127" s="18"/>
      <c r="E3127" s="18"/>
      <c r="F3127" s="18"/>
      <c r="G3127" s="18"/>
      <c r="H3127" s="18"/>
      <c r="I3127" s="18"/>
      <c r="J3127" s="18"/>
      <c r="K3127" s="18"/>
      <c r="L3127" s="18"/>
      <c r="M3127" s="18"/>
      <c r="N3127" s="18"/>
      <c r="O3127" s="18"/>
      <c r="P3127" s="18"/>
      <c r="Q3127" s="18"/>
    </row>
    <row r="3128" spans="1:17">
      <c r="A3128" s="18"/>
      <c r="B3128" s="18"/>
      <c r="C3128" s="18"/>
      <c r="D3128" s="18"/>
      <c r="E3128" s="18"/>
      <c r="F3128" s="18"/>
      <c r="G3128" s="18"/>
      <c r="H3128" s="18"/>
      <c r="I3128" s="18"/>
      <c r="J3128" s="18"/>
      <c r="K3128" s="18"/>
      <c r="L3128" s="18"/>
      <c r="M3128" s="18"/>
      <c r="N3128" s="18"/>
      <c r="O3128" s="18"/>
      <c r="P3128" s="18"/>
      <c r="Q3128" s="18"/>
    </row>
    <row r="3129" spans="1:17">
      <c r="A3129" s="18"/>
      <c r="B3129" s="18"/>
      <c r="C3129" s="18"/>
      <c r="D3129" s="18"/>
      <c r="E3129" s="18"/>
      <c r="F3129" s="18"/>
      <c r="G3129" s="18"/>
      <c r="H3129" s="18"/>
      <c r="I3129" s="18"/>
      <c r="J3129" s="18"/>
      <c r="K3129" s="18"/>
      <c r="L3129" s="18"/>
      <c r="M3129" s="18"/>
      <c r="N3129" s="18"/>
      <c r="O3129" s="18"/>
      <c r="P3129" s="18"/>
      <c r="Q3129" s="18"/>
    </row>
    <row r="3130" spans="1:17">
      <c r="A3130" s="149"/>
      <c r="B3130" s="18"/>
      <c r="C3130" s="18"/>
      <c r="D3130" s="18"/>
      <c r="E3130" s="18"/>
      <c r="F3130" s="18"/>
      <c r="G3130" s="18"/>
      <c r="H3130" s="18"/>
      <c r="I3130" s="18"/>
      <c r="J3130" s="18"/>
      <c r="K3130" s="18"/>
      <c r="L3130" s="18"/>
      <c r="M3130" s="18"/>
      <c r="N3130" s="18"/>
      <c r="O3130" s="18"/>
      <c r="P3130" s="18"/>
      <c r="Q3130" s="18"/>
    </row>
    <row r="3131" spans="1:17">
      <c r="A3131" s="18"/>
      <c r="B3131" s="18"/>
      <c r="C3131" s="18"/>
      <c r="D3131" s="18"/>
      <c r="E3131" s="18"/>
      <c r="F3131" s="18"/>
      <c r="G3131" s="18"/>
      <c r="H3131" s="18"/>
      <c r="I3131" s="18"/>
      <c r="J3131" s="18"/>
      <c r="K3131" s="18"/>
      <c r="L3131" s="18"/>
      <c r="M3131" s="18"/>
      <c r="N3131" s="18"/>
      <c r="O3131" s="18"/>
      <c r="P3131" s="18"/>
      <c r="Q3131" s="18"/>
    </row>
    <row r="3132" spans="1:17">
      <c r="A3132" s="149"/>
      <c r="B3132" s="18"/>
      <c r="C3132" s="18"/>
      <c r="D3132" s="18"/>
      <c r="E3132" s="18"/>
      <c r="F3132" s="18"/>
      <c r="G3132" s="18"/>
      <c r="H3132" s="18"/>
      <c r="I3132" s="18"/>
      <c r="J3132" s="18"/>
      <c r="K3132" s="18"/>
      <c r="L3132" s="18"/>
      <c r="M3132" s="18"/>
      <c r="N3132" s="18"/>
      <c r="O3132" s="18"/>
      <c r="P3132" s="18"/>
      <c r="Q3132" s="18"/>
    </row>
    <row r="3133" spans="1:17">
      <c r="A3133" s="18"/>
      <c r="B3133" s="18"/>
      <c r="C3133" s="18"/>
      <c r="D3133" s="18"/>
      <c r="E3133" s="18"/>
      <c r="F3133" s="18"/>
      <c r="G3133" s="18"/>
      <c r="H3133" s="18"/>
      <c r="I3133" s="18"/>
      <c r="J3133" s="18"/>
      <c r="K3133" s="18"/>
      <c r="L3133" s="18"/>
      <c r="M3133" s="18"/>
      <c r="N3133" s="18"/>
      <c r="O3133" s="18"/>
      <c r="P3133" s="18"/>
      <c r="Q3133" s="18"/>
    </row>
    <row r="3134" spans="1:17">
      <c r="A3134" s="18"/>
      <c r="B3134" s="18"/>
      <c r="C3134" s="18"/>
      <c r="D3134" s="18"/>
      <c r="E3134" s="18"/>
      <c r="F3134" s="18"/>
      <c r="G3134" s="18"/>
      <c r="H3134" s="18"/>
      <c r="I3134" s="18"/>
      <c r="J3134" s="18"/>
      <c r="K3134" s="18"/>
      <c r="L3134" s="18"/>
      <c r="M3134" s="18"/>
      <c r="N3134" s="18"/>
      <c r="O3134" s="18"/>
      <c r="P3134" s="18"/>
      <c r="Q3134" s="18"/>
    </row>
    <row r="3135" spans="1:17">
      <c r="A3135" s="149"/>
      <c r="B3135" s="18"/>
      <c r="C3135" s="18"/>
      <c r="D3135" s="18"/>
      <c r="E3135" s="18"/>
      <c r="F3135" s="18"/>
      <c r="G3135" s="18"/>
      <c r="H3135" s="18"/>
      <c r="I3135" s="18"/>
      <c r="J3135" s="18"/>
      <c r="K3135" s="18"/>
      <c r="L3135" s="18"/>
      <c r="M3135" s="18"/>
      <c r="N3135" s="18"/>
      <c r="O3135" s="18"/>
      <c r="P3135" s="18"/>
      <c r="Q3135" s="18"/>
    </row>
    <row r="3136" spans="1:17">
      <c r="A3136" s="18"/>
      <c r="B3136" s="18"/>
      <c r="C3136" s="18"/>
      <c r="D3136" s="18"/>
      <c r="E3136" s="18"/>
      <c r="F3136" s="18"/>
      <c r="G3136" s="18"/>
      <c r="H3136" s="18"/>
      <c r="I3136" s="18"/>
      <c r="J3136" s="18"/>
      <c r="K3136" s="18"/>
      <c r="L3136" s="18"/>
      <c r="M3136" s="18"/>
      <c r="N3136" s="18"/>
      <c r="O3136" s="18"/>
      <c r="P3136" s="18"/>
      <c r="Q3136" s="18"/>
    </row>
    <row r="3137" spans="1:17">
      <c r="A3137" s="18"/>
      <c r="B3137" s="18"/>
      <c r="C3137" s="18"/>
      <c r="D3137" s="18"/>
      <c r="E3137" s="18"/>
      <c r="F3137" s="18"/>
      <c r="G3137" s="18"/>
      <c r="H3137" s="18"/>
      <c r="I3137" s="18"/>
      <c r="J3137" s="18"/>
      <c r="K3137" s="18"/>
      <c r="L3137" s="18"/>
      <c r="M3137" s="18"/>
      <c r="N3137" s="18"/>
      <c r="O3137" s="18"/>
      <c r="P3137" s="18"/>
      <c r="Q3137" s="18"/>
    </row>
    <row r="3138" spans="1:17">
      <c r="A3138" s="18"/>
      <c r="B3138" s="18"/>
      <c r="C3138" s="18"/>
      <c r="D3138" s="18"/>
      <c r="E3138" s="18"/>
      <c r="F3138" s="18"/>
      <c r="G3138" s="18"/>
      <c r="H3138" s="18"/>
      <c r="I3138" s="18"/>
      <c r="J3138" s="18"/>
      <c r="K3138" s="18"/>
      <c r="L3138" s="18"/>
      <c r="M3138" s="18"/>
      <c r="N3138" s="18"/>
      <c r="O3138" s="18"/>
      <c r="P3138" s="18"/>
      <c r="Q3138" s="18"/>
    </row>
    <row r="3139" spans="1:17">
      <c r="A3139" s="18"/>
      <c r="B3139" s="18"/>
      <c r="C3139" s="18"/>
      <c r="D3139" s="18"/>
      <c r="E3139" s="18"/>
      <c r="F3139" s="18"/>
      <c r="G3139" s="18"/>
      <c r="H3139" s="18"/>
      <c r="I3139" s="18"/>
      <c r="J3139" s="18"/>
      <c r="K3139" s="18"/>
      <c r="L3139" s="18"/>
      <c r="M3139" s="18"/>
      <c r="N3139" s="18"/>
      <c r="O3139" s="18"/>
      <c r="P3139" s="18"/>
      <c r="Q3139" s="18"/>
    </row>
    <row r="3140" spans="1:17">
      <c r="A3140" s="18"/>
      <c r="B3140" s="18"/>
      <c r="C3140" s="273"/>
      <c r="D3140" s="273"/>
      <c r="E3140" s="273"/>
      <c r="F3140" s="273"/>
      <c r="G3140" s="273"/>
      <c r="H3140" s="273"/>
      <c r="I3140" s="18"/>
      <c r="J3140" s="18"/>
      <c r="K3140" s="18"/>
      <c r="L3140" s="18"/>
      <c r="M3140" s="18"/>
      <c r="N3140" s="18"/>
      <c r="O3140" s="18"/>
      <c r="P3140" s="18"/>
      <c r="Q3140" s="18"/>
    </row>
    <row r="3141" spans="1:17">
      <c r="A3141" s="18"/>
      <c r="B3141" s="18"/>
      <c r="C3141" s="273"/>
      <c r="D3141" s="273"/>
      <c r="E3141" s="273"/>
      <c r="F3141" s="273"/>
      <c r="G3141" s="273"/>
      <c r="H3141" s="273"/>
      <c r="I3141" s="18"/>
      <c r="J3141" s="18"/>
      <c r="K3141" s="18"/>
      <c r="L3141" s="18"/>
      <c r="M3141" s="18"/>
      <c r="N3141" s="18"/>
      <c r="O3141" s="18"/>
      <c r="P3141" s="18"/>
      <c r="Q3141" s="18"/>
    </row>
    <row r="3142" spans="1:17">
      <c r="A3142" s="149"/>
      <c r="B3142" s="18"/>
      <c r="C3142" s="18"/>
      <c r="D3142" s="18"/>
      <c r="E3142" s="18"/>
      <c r="F3142" s="18"/>
      <c r="G3142" s="18"/>
      <c r="H3142" s="18"/>
      <c r="I3142" s="18"/>
      <c r="J3142" s="18"/>
      <c r="K3142" s="18"/>
      <c r="L3142" s="18"/>
      <c r="M3142" s="18"/>
      <c r="N3142" s="18"/>
      <c r="O3142" s="18"/>
      <c r="P3142" s="18"/>
      <c r="Q3142" s="18"/>
    </row>
    <row r="3143" spans="1:17">
      <c r="A3143" s="18"/>
      <c r="B3143" s="18"/>
      <c r="C3143" s="18"/>
      <c r="D3143" s="18"/>
      <c r="E3143" s="18"/>
      <c r="F3143" s="18"/>
      <c r="G3143" s="18"/>
      <c r="H3143" s="18"/>
      <c r="I3143" s="18"/>
      <c r="J3143" s="18"/>
      <c r="K3143" s="18"/>
      <c r="L3143" s="18"/>
      <c r="M3143" s="18"/>
      <c r="N3143" s="18"/>
      <c r="O3143" s="18"/>
      <c r="P3143" s="18"/>
      <c r="Q3143" s="18"/>
    </row>
    <row r="3144" spans="1:17">
      <c r="A3144" s="18"/>
      <c r="B3144" s="18"/>
      <c r="C3144" s="18"/>
      <c r="D3144" s="18"/>
      <c r="E3144" s="18"/>
      <c r="F3144" s="18"/>
      <c r="G3144" s="18"/>
      <c r="H3144" s="18"/>
      <c r="I3144" s="18"/>
      <c r="J3144" s="18"/>
      <c r="K3144" s="18"/>
      <c r="L3144" s="18"/>
      <c r="M3144" s="18"/>
      <c r="N3144" s="18"/>
      <c r="O3144" s="18"/>
      <c r="P3144" s="18"/>
      <c r="Q3144" s="18"/>
    </row>
    <row r="3145" spans="1:17">
      <c r="A3145" s="18"/>
      <c r="B3145" s="18"/>
      <c r="C3145" s="18"/>
      <c r="D3145" s="18"/>
      <c r="E3145" s="18"/>
      <c r="F3145" s="18"/>
      <c r="G3145" s="18"/>
      <c r="H3145" s="18"/>
      <c r="I3145" s="18"/>
      <c r="J3145" s="18"/>
      <c r="K3145" s="18"/>
      <c r="L3145" s="18"/>
      <c r="M3145" s="18"/>
      <c r="N3145" s="18"/>
      <c r="O3145" s="18"/>
      <c r="P3145" s="18"/>
      <c r="Q3145" s="18"/>
    </row>
    <row r="3146" spans="1:17">
      <c r="A3146" s="18"/>
      <c r="B3146" s="18"/>
      <c r="C3146" s="18"/>
      <c r="D3146" s="18"/>
      <c r="E3146" s="18"/>
      <c r="F3146" s="18"/>
      <c r="G3146" s="18"/>
      <c r="H3146" s="18"/>
      <c r="I3146" s="18"/>
      <c r="J3146" s="18"/>
      <c r="K3146" s="18"/>
      <c r="L3146" s="18"/>
      <c r="M3146" s="18"/>
      <c r="N3146" s="18"/>
      <c r="O3146" s="18"/>
      <c r="P3146" s="18"/>
      <c r="Q3146" s="18"/>
    </row>
    <row r="3147" spans="1:17">
      <c r="A3147" s="18"/>
      <c r="B3147" s="18"/>
      <c r="C3147" s="18"/>
      <c r="D3147" s="18"/>
      <c r="E3147" s="18"/>
      <c r="F3147" s="18"/>
      <c r="G3147" s="18"/>
      <c r="H3147" s="18"/>
      <c r="I3147" s="18"/>
      <c r="J3147" s="18"/>
      <c r="K3147" s="18"/>
      <c r="L3147" s="18"/>
      <c r="M3147" s="18"/>
      <c r="N3147" s="18"/>
      <c r="O3147" s="18"/>
      <c r="P3147" s="18"/>
      <c r="Q3147" s="18"/>
    </row>
    <row r="3148" spans="1:17">
      <c r="A3148" s="18"/>
      <c r="B3148" s="18"/>
      <c r="C3148" s="18"/>
      <c r="D3148" s="18"/>
      <c r="E3148" s="18"/>
      <c r="F3148" s="18"/>
      <c r="G3148" s="18"/>
      <c r="H3148" s="18"/>
      <c r="I3148" s="18"/>
      <c r="J3148" s="18"/>
      <c r="K3148" s="18"/>
      <c r="L3148" s="18"/>
      <c r="M3148" s="18"/>
      <c r="N3148" s="18"/>
      <c r="O3148" s="18"/>
      <c r="P3148" s="18"/>
      <c r="Q3148" s="18"/>
    </row>
    <row r="3149" spans="1:17">
      <c r="A3149" s="18"/>
      <c r="B3149" s="18"/>
      <c r="C3149" s="18"/>
      <c r="D3149" s="18"/>
      <c r="E3149" s="18"/>
      <c r="F3149" s="18"/>
      <c r="G3149" s="18"/>
      <c r="H3149" s="18"/>
      <c r="I3149" s="18"/>
      <c r="J3149" s="18"/>
      <c r="K3149" s="18"/>
      <c r="L3149" s="18"/>
      <c r="M3149" s="18"/>
      <c r="N3149" s="18"/>
      <c r="O3149" s="18"/>
      <c r="P3149" s="18"/>
      <c r="Q3149" s="18"/>
    </row>
    <row r="3150" spans="1:17">
      <c r="A3150" s="18"/>
      <c r="B3150" s="18"/>
      <c r="C3150" s="18"/>
      <c r="D3150" s="18"/>
      <c r="E3150" s="18"/>
      <c r="F3150" s="18"/>
      <c r="G3150" s="18"/>
      <c r="H3150" s="18"/>
      <c r="I3150" s="18"/>
      <c r="J3150" s="18"/>
      <c r="K3150" s="18"/>
      <c r="L3150" s="18"/>
      <c r="M3150" s="18"/>
      <c r="N3150" s="18"/>
      <c r="O3150" s="18"/>
      <c r="P3150" s="18"/>
      <c r="Q3150" s="18"/>
    </row>
    <row r="3151" spans="1:17">
      <c r="A3151" s="18"/>
      <c r="B3151" s="18"/>
      <c r="C3151" s="18"/>
      <c r="D3151" s="18"/>
      <c r="E3151" s="18"/>
      <c r="F3151" s="18"/>
      <c r="G3151" s="18"/>
      <c r="H3151" s="18"/>
      <c r="I3151" s="18"/>
      <c r="J3151" s="18"/>
      <c r="K3151" s="18"/>
      <c r="L3151" s="18"/>
      <c r="M3151" s="18"/>
      <c r="N3151" s="18"/>
      <c r="O3151" s="18"/>
      <c r="P3151" s="18"/>
      <c r="Q3151" s="18"/>
    </row>
    <row r="3152" spans="1:17">
      <c r="A3152" s="18"/>
      <c r="B3152" s="18"/>
      <c r="C3152" s="18"/>
      <c r="D3152" s="18"/>
      <c r="E3152" s="18"/>
      <c r="F3152" s="18"/>
      <c r="G3152" s="18"/>
      <c r="H3152" s="18"/>
      <c r="I3152" s="18"/>
      <c r="J3152" s="18"/>
      <c r="K3152" s="18"/>
      <c r="L3152" s="18"/>
      <c r="M3152" s="18"/>
      <c r="N3152" s="18"/>
      <c r="O3152" s="18"/>
      <c r="P3152" s="18"/>
      <c r="Q3152" s="18"/>
    </row>
    <row r="3153" spans="1:17">
      <c r="A3153" s="18"/>
      <c r="B3153" s="18"/>
      <c r="C3153" s="18"/>
      <c r="D3153" s="18"/>
      <c r="E3153" s="18"/>
      <c r="F3153" s="18"/>
      <c r="G3153" s="18"/>
      <c r="H3153" s="18"/>
      <c r="I3153" s="18"/>
      <c r="J3153" s="18"/>
      <c r="K3153" s="18"/>
      <c r="L3153" s="18"/>
      <c r="M3153" s="18"/>
      <c r="N3153" s="18"/>
      <c r="O3153" s="18"/>
      <c r="P3153" s="18"/>
      <c r="Q3153" s="18"/>
    </row>
    <row r="3154" spans="1:17">
      <c r="A3154" s="18"/>
      <c r="B3154" s="18"/>
      <c r="C3154" s="18"/>
      <c r="D3154" s="18"/>
      <c r="E3154" s="18"/>
      <c r="F3154" s="18"/>
      <c r="G3154" s="18"/>
      <c r="H3154" s="18"/>
      <c r="I3154" s="18"/>
      <c r="J3154" s="18"/>
      <c r="K3154" s="18"/>
      <c r="L3154" s="18"/>
      <c r="M3154" s="18"/>
      <c r="N3154" s="18"/>
      <c r="O3154" s="18"/>
      <c r="P3154" s="18"/>
      <c r="Q3154" s="18"/>
    </row>
    <row r="3155" spans="1:17">
      <c r="A3155" s="18"/>
      <c r="B3155" s="18"/>
      <c r="C3155" s="18"/>
      <c r="D3155" s="18"/>
      <c r="E3155" s="18"/>
      <c r="F3155" s="18"/>
      <c r="G3155" s="18"/>
      <c r="H3155" s="18"/>
      <c r="I3155" s="18"/>
      <c r="J3155" s="18"/>
      <c r="K3155" s="18"/>
      <c r="L3155" s="18"/>
      <c r="M3155" s="18"/>
      <c r="N3155" s="18"/>
      <c r="O3155" s="18"/>
      <c r="P3155" s="18"/>
      <c r="Q3155" s="18"/>
    </row>
    <row r="3156" spans="1:17">
      <c r="A3156" s="149"/>
      <c r="B3156" s="18"/>
      <c r="C3156" s="18"/>
      <c r="D3156" s="18"/>
      <c r="E3156" s="18"/>
      <c r="F3156" s="18"/>
      <c r="G3156" s="18"/>
      <c r="H3156" s="18"/>
      <c r="I3156" s="18"/>
      <c r="J3156" s="18"/>
      <c r="K3156" s="18"/>
      <c r="L3156" s="18"/>
      <c r="M3156" s="18"/>
      <c r="N3156" s="18"/>
      <c r="O3156" s="18"/>
      <c r="P3156" s="18"/>
      <c r="Q3156" s="18"/>
    </row>
    <row r="3157" spans="1:17">
      <c r="A3157" s="18"/>
      <c r="B3157" s="18"/>
      <c r="C3157" s="18"/>
      <c r="D3157" s="18"/>
      <c r="E3157" s="18"/>
      <c r="F3157" s="18"/>
      <c r="G3157" s="18"/>
      <c r="H3157" s="18"/>
      <c r="I3157" s="18"/>
      <c r="J3157" s="18"/>
      <c r="K3157" s="18"/>
      <c r="L3157" s="18"/>
      <c r="M3157" s="18"/>
      <c r="N3157" s="18"/>
      <c r="O3157" s="18"/>
      <c r="P3157" s="18"/>
      <c r="Q3157" s="18"/>
    </row>
    <row r="3158" spans="1:17">
      <c r="A3158" s="18"/>
      <c r="B3158" s="18"/>
      <c r="C3158" s="18"/>
      <c r="D3158" s="18"/>
      <c r="E3158" s="18"/>
      <c r="F3158" s="18"/>
      <c r="G3158" s="18"/>
      <c r="H3158" s="18"/>
      <c r="I3158" s="18"/>
      <c r="J3158" s="18"/>
      <c r="K3158" s="18"/>
      <c r="L3158" s="18"/>
      <c r="M3158" s="18"/>
      <c r="N3158" s="18"/>
      <c r="O3158" s="18"/>
      <c r="P3158" s="18"/>
      <c r="Q3158" s="18"/>
    </row>
    <row r="3159" spans="1:17">
      <c r="A3159" s="18"/>
      <c r="B3159" s="18"/>
      <c r="C3159" s="18"/>
      <c r="D3159" s="18"/>
      <c r="E3159" s="18"/>
      <c r="F3159" s="18"/>
      <c r="G3159" s="18"/>
      <c r="H3159" s="18"/>
      <c r="I3159" s="18"/>
      <c r="J3159" s="18"/>
      <c r="K3159" s="18"/>
      <c r="L3159" s="18"/>
      <c r="M3159" s="18"/>
      <c r="N3159" s="18"/>
      <c r="O3159" s="18"/>
      <c r="P3159" s="18"/>
      <c r="Q3159" s="18"/>
    </row>
    <row r="3160" spans="1:17">
      <c r="A3160" s="18"/>
      <c r="B3160" s="18"/>
      <c r="C3160" s="18"/>
      <c r="D3160" s="18"/>
      <c r="E3160" s="18"/>
      <c r="F3160" s="18"/>
      <c r="G3160" s="18"/>
      <c r="H3160" s="18"/>
      <c r="I3160" s="18"/>
      <c r="J3160" s="18"/>
      <c r="K3160" s="18"/>
      <c r="L3160" s="18"/>
      <c r="M3160" s="18"/>
      <c r="N3160" s="18"/>
      <c r="O3160" s="18"/>
      <c r="P3160" s="18"/>
      <c r="Q3160" s="18"/>
    </row>
    <row r="3161" spans="1:17">
      <c r="A3161" s="18"/>
      <c r="B3161" s="18"/>
      <c r="C3161" s="18"/>
      <c r="D3161" s="18"/>
      <c r="E3161" s="18"/>
      <c r="F3161" s="18"/>
      <c r="G3161" s="18"/>
      <c r="H3161" s="18"/>
      <c r="I3161" s="18"/>
      <c r="J3161" s="18"/>
      <c r="K3161" s="18"/>
      <c r="L3161" s="18"/>
      <c r="M3161" s="18"/>
      <c r="N3161" s="18"/>
      <c r="O3161" s="18"/>
      <c r="P3161" s="18"/>
      <c r="Q3161" s="18"/>
    </row>
    <row r="3162" spans="1:17">
      <c r="A3162" s="18"/>
      <c r="B3162" s="18"/>
      <c r="C3162" s="18"/>
      <c r="D3162" s="18"/>
      <c r="E3162" s="18"/>
      <c r="F3162" s="18"/>
      <c r="G3162" s="18"/>
      <c r="H3162" s="18"/>
      <c r="I3162" s="18"/>
      <c r="J3162" s="18"/>
      <c r="K3162" s="18"/>
      <c r="L3162" s="18"/>
      <c r="M3162" s="18"/>
      <c r="N3162" s="18"/>
      <c r="O3162" s="18"/>
      <c r="P3162" s="18"/>
      <c r="Q3162" s="18"/>
    </row>
    <row r="3163" spans="1:17">
      <c r="A3163" s="149"/>
      <c r="B3163" s="18"/>
      <c r="C3163" s="18"/>
      <c r="D3163" s="18"/>
      <c r="E3163" s="18"/>
      <c r="F3163" s="18"/>
      <c r="G3163" s="18"/>
      <c r="H3163" s="18"/>
      <c r="I3163" s="18"/>
      <c r="J3163" s="18"/>
      <c r="K3163" s="18"/>
      <c r="L3163" s="18"/>
      <c r="M3163" s="18"/>
      <c r="N3163" s="18"/>
      <c r="O3163" s="18"/>
      <c r="P3163" s="18"/>
      <c r="Q3163" s="18"/>
    </row>
    <row r="3164" spans="1:17">
      <c r="A3164" s="18"/>
      <c r="B3164" s="18"/>
      <c r="C3164" s="18"/>
      <c r="D3164" s="18"/>
      <c r="E3164" s="18"/>
      <c r="F3164" s="18"/>
      <c r="G3164" s="18"/>
      <c r="H3164" s="18"/>
      <c r="I3164" s="18"/>
      <c r="J3164" s="18"/>
      <c r="K3164" s="18"/>
      <c r="L3164" s="18"/>
      <c r="M3164" s="18"/>
      <c r="N3164" s="18"/>
      <c r="O3164" s="18"/>
      <c r="P3164" s="18"/>
      <c r="Q3164" s="18"/>
    </row>
    <row r="3165" spans="1:17">
      <c r="A3165" s="18"/>
      <c r="B3165" s="18"/>
      <c r="C3165" s="18"/>
      <c r="D3165" s="18"/>
      <c r="E3165" s="18"/>
      <c r="F3165" s="18"/>
      <c r="G3165" s="18"/>
      <c r="H3165" s="18"/>
      <c r="I3165" s="18"/>
      <c r="J3165" s="18"/>
      <c r="K3165" s="18"/>
      <c r="L3165" s="18"/>
      <c r="M3165" s="18"/>
      <c r="N3165" s="18"/>
      <c r="O3165" s="18"/>
      <c r="P3165" s="18"/>
      <c r="Q3165" s="18"/>
    </row>
    <row r="3166" spans="1:17">
      <c r="A3166" s="18"/>
      <c r="B3166" s="18"/>
      <c r="C3166" s="18"/>
      <c r="D3166" s="18"/>
      <c r="E3166" s="18"/>
      <c r="F3166" s="18"/>
      <c r="G3166" s="18"/>
      <c r="H3166" s="18"/>
      <c r="I3166" s="18"/>
      <c r="J3166" s="18"/>
      <c r="K3166" s="18"/>
      <c r="L3166" s="18"/>
      <c r="M3166" s="18"/>
      <c r="N3166" s="18"/>
      <c r="O3166" s="18"/>
      <c r="P3166" s="18"/>
      <c r="Q3166" s="18"/>
    </row>
    <row r="3167" spans="1:17">
      <c r="A3167" s="18"/>
      <c r="B3167" s="18"/>
      <c r="C3167" s="18"/>
      <c r="D3167" s="18"/>
      <c r="E3167" s="18"/>
      <c r="F3167" s="18"/>
      <c r="G3167" s="18"/>
      <c r="H3167" s="18"/>
      <c r="I3167" s="18"/>
      <c r="J3167" s="18"/>
      <c r="K3167" s="18"/>
      <c r="L3167" s="18"/>
      <c r="M3167" s="18"/>
      <c r="N3167" s="18"/>
      <c r="O3167" s="18"/>
      <c r="P3167" s="18"/>
      <c r="Q3167" s="18"/>
    </row>
    <row r="3168" spans="1:17">
      <c r="A3168" s="18"/>
      <c r="B3168" s="18"/>
      <c r="C3168" s="18"/>
      <c r="D3168" s="18"/>
      <c r="E3168" s="18"/>
      <c r="F3168" s="18"/>
      <c r="G3168" s="18"/>
      <c r="H3168" s="18"/>
      <c r="I3168" s="18"/>
      <c r="J3168" s="18"/>
      <c r="K3168" s="18"/>
      <c r="L3168" s="18"/>
      <c r="M3168" s="18"/>
      <c r="N3168" s="18"/>
      <c r="O3168" s="18"/>
      <c r="P3168" s="18"/>
      <c r="Q3168" s="18"/>
    </row>
    <row r="3169" spans="1:17">
      <c r="A3169" s="18"/>
      <c r="B3169" s="18"/>
      <c r="C3169" s="18"/>
      <c r="D3169" s="18"/>
      <c r="E3169" s="18"/>
      <c r="F3169" s="18"/>
      <c r="G3169" s="18"/>
      <c r="H3169" s="18"/>
      <c r="I3169" s="18"/>
      <c r="J3169" s="18"/>
      <c r="K3169" s="18"/>
      <c r="L3169" s="18"/>
      <c r="M3169" s="18"/>
      <c r="N3169" s="18"/>
      <c r="O3169" s="18"/>
      <c r="P3169" s="18"/>
      <c r="Q3169" s="18"/>
    </row>
    <row r="3170" spans="1:17">
      <c r="A3170" s="18"/>
      <c r="B3170" s="18"/>
      <c r="C3170" s="18"/>
      <c r="D3170" s="18"/>
      <c r="E3170" s="18"/>
      <c r="F3170" s="18"/>
      <c r="G3170" s="18"/>
      <c r="H3170" s="18"/>
      <c r="I3170" s="18"/>
      <c r="J3170" s="18"/>
      <c r="K3170" s="18"/>
      <c r="L3170" s="18"/>
      <c r="M3170" s="18"/>
      <c r="N3170" s="18"/>
      <c r="O3170" s="18"/>
      <c r="P3170" s="18"/>
      <c r="Q3170" s="18"/>
    </row>
    <row r="3171" spans="1:17">
      <c r="A3171" s="149"/>
      <c r="B3171" s="18"/>
      <c r="C3171" s="18"/>
      <c r="D3171" s="18"/>
      <c r="E3171" s="18"/>
      <c r="F3171" s="18"/>
      <c r="G3171" s="18"/>
      <c r="H3171" s="18"/>
      <c r="I3171" s="18"/>
      <c r="J3171" s="18"/>
      <c r="K3171" s="18"/>
      <c r="L3171" s="18"/>
      <c r="M3171" s="18"/>
      <c r="N3171" s="18"/>
      <c r="O3171" s="18"/>
      <c r="P3171" s="18"/>
      <c r="Q3171" s="18"/>
    </row>
    <row r="3172" spans="1:17">
      <c r="A3172" s="18"/>
      <c r="B3172" s="18"/>
      <c r="C3172" s="18"/>
      <c r="D3172" s="18"/>
      <c r="E3172" s="18"/>
      <c r="F3172" s="18"/>
      <c r="G3172" s="18"/>
      <c r="H3172" s="18"/>
      <c r="I3172" s="18"/>
      <c r="J3172" s="18"/>
      <c r="K3172" s="18"/>
      <c r="L3172" s="18"/>
      <c r="M3172" s="18"/>
      <c r="N3172" s="18"/>
      <c r="O3172" s="18"/>
      <c r="P3172" s="18"/>
      <c r="Q3172" s="18"/>
    </row>
    <row r="3173" spans="1:17">
      <c r="A3173" s="18"/>
      <c r="B3173" s="18"/>
      <c r="C3173" s="18"/>
      <c r="D3173" s="18"/>
      <c r="E3173" s="18"/>
      <c r="F3173" s="18"/>
      <c r="G3173" s="18"/>
      <c r="H3173" s="18"/>
      <c r="I3173" s="18"/>
      <c r="J3173" s="18"/>
      <c r="K3173" s="18"/>
      <c r="L3173" s="18"/>
      <c r="M3173" s="18"/>
      <c r="N3173" s="18"/>
      <c r="O3173" s="18"/>
      <c r="P3173" s="18"/>
      <c r="Q3173" s="18"/>
    </row>
    <row r="3174" spans="1:17">
      <c r="A3174" s="149"/>
      <c r="B3174" s="18"/>
      <c r="C3174" s="18"/>
      <c r="D3174" s="18"/>
      <c r="E3174" s="18"/>
      <c r="F3174" s="18"/>
      <c r="G3174" s="18"/>
      <c r="H3174" s="18"/>
      <c r="I3174" s="18"/>
      <c r="J3174" s="18"/>
      <c r="K3174" s="18"/>
      <c r="L3174" s="18"/>
      <c r="M3174" s="18"/>
      <c r="N3174" s="18"/>
      <c r="O3174" s="18"/>
      <c r="P3174" s="18"/>
      <c r="Q3174" s="18"/>
    </row>
    <row r="3175" spans="1:17">
      <c r="A3175" s="18"/>
      <c r="B3175" s="18"/>
      <c r="C3175" s="18"/>
      <c r="D3175" s="18"/>
      <c r="E3175" s="18"/>
      <c r="F3175" s="18"/>
      <c r="G3175" s="18"/>
      <c r="H3175" s="18"/>
      <c r="I3175" s="18"/>
      <c r="J3175" s="18"/>
      <c r="K3175" s="18"/>
      <c r="L3175" s="18"/>
      <c r="M3175" s="18"/>
      <c r="N3175" s="18"/>
      <c r="O3175" s="18"/>
      <c r="P3175" s="18"/>
      <c r="Q3175" s="18"/>
    </row>
    <row r="3176" spans="1:17">
      <c r="A3176" s="18"/>
      <c r="B3176" s="18"/>
      <c r="C3176" s="18"/>
      <c r="D3176" s="18"/>
      <c r="E3176" s="18"/>
      <c r="F3176" s="18"/>
      <c r="G3176" s="18"/>
      <c r="H3176" s="18"/>
      <c r="I3176" s="18"/>
      <c r="J3176" s="18"/>
      <c r="K3176" s="18"/>
      <c r="L3176" s="18"/>
      <c r="M3176" s="18"/>
      <c r="N3176" s="18"/>
      <c r="O3176" s="18"/>
      <c r="P3176" s="18"/>
      <c r="Q3176" s="18"/>
    </row>
    <row r="3177" spans="1:17">
      <c r="A3177" s="18"/>
      <c r="B3177" s="18"/>
      <c r="C3177" s="18"/>
      <c r="D3177" s="18"/>
      <c r="E3177" s="18"/>
      <c r="F3177" s="18"/>
      <c r="G3177" s="18"/>
      <c r="H3177" s="18"/>
      <c r="I3177" s="18"/>
      <c r="J3177" s="18"/>
      <c r="K3177" s="18"/>
      <c r="L3177" s="18"/>
      <c r="M3177" s="18"/>
      <c r="N3177" s="18"/>
      <c r="O3177" s="18"/>
      <c r="P3177" s="18"/>
      <c r="Q3177" s="18"/>
    </row>
    <row r="3178" spans="1:17">
      <c r="A3178" s="18"/>
      <c r="B3178" s="18"/>
      <c r="C3178" s="18"/>
      <c r="D3178" s="18"/>
      <c r="E3178" s="18"/>
      <c r="F3178" s="18"/>
      <c r="G3178" s="18"/>
      <c r="H3178" s="18"/>
      <c r="I3178" s="18"/>
      <c r="J3178" s="18"/>
      <c r="K3178" s="18"/>
      <c r="L3178" s="18"/>
      <c r="M3178" s="18"/>
      <c r="N3178" s="18"/>
      <c r="O3178" s="18"/>
      <c r="P3178" s="18"/>
      <c r="Q3178" s="18"/>
    </row>
    <row r="3179" spans="1:17">
      <c r="A3179" s="18"/>
      <c r="B3179" s="18"/>
      <c r="C3179" s="18"/>
      <c r="D3179" s="18"/>
      <c r="E3179" s="18"/>
      <c r="F3179" s="18"/>
      <c r="G3179" s="18"/>
      <c r="H3179" s="18"/>
      <c r="I3179" s="18"/>
      <c r="J3179" s="18"/>
      <c r="K3179" s="18"/>
      <c r="L3179" s="18"/>
      <c r="M3179" s="18"/>
      <c r="N3179" s="18"/>
      <c r="O3179" s="18"/>
      <c r="P3179" s="18"/>
      <c r="Q3179" s="18"/>
    </row>
    <row r="3180" spans="1:17">
      <c r="A3180" s="18"/>
      <c r="B3180" s="18"/>
      <c r="C3180" s="18"/>
      <c r="D3180" s="18"/>
      <c r="E3180" s="18"/>
      <c r="F3180" s="18"/>
      <c r="G3180" s="18"/>
      <c r="H3180" s="18"/>
      <c r="I3180" s="18"/>
      <c r="J3180" s="18"/>
      <c r="K3180" s="18"/>
      <c r="L3180" s="18"/>
      <c r="M3180" s="18"/>
      <c r="N3180" s="18"/>
      <c r="O3180" s="18"/>
      <c r="P3180" s="18"/>
      <c r="Q3180" s="18"/>
    </row>
    <row r="3181" spans="1:17">
      <c r="A3181" s="18"/>
      <c r="B3181" s="18"/>
      <c r="C3181" s="18"/>
      <c r="D3181" s="18"/>
      <c r="E3181" s="18"/>
      <c r="F3181" s="18"/>
      <c r="G3181" s="18"/>
      <c r="H3181" s="18"/>
      <c r="I3181" s="18"/>
      <c r="J3181" s="18"/>
      <c r="K3181" s="18"/>
      <c r="L3181" s="18"/>
      <c r="M3181" s="18"/>
      <c r="N3181" s="18"/>
      <c r="O3181" s="18"/>
      <c r="P3181" s="18"/>
      <c r="Q3181" s="18"/>
    </row>
    <row r="3182" spans="1:17">
      <c r="A3182" s="18"/>
      <c r="B3182" s="18"/>
      <c r="C3182" s="18"/>
      <c r="D3182" s="18"/>
      <c r="E3182" s="18"/>
      <c r="F3182" s="18"/>
      <c r="G3182" s="18"/>
      <c r="H3182" s="18"/>
      <c r="I3182" s="18"/>
      <c r="J3182" s="18"/>
      <c r="K3182" s="18"/>
      <c r="L3182" s="18"/>
      <c r="M3182" s="18"/>
      <c r="N3182" s="18"/>
      <c r="O3182" s="18"/>
      <c r="P3182" s="18"/>
      <c r="Q3182" s="18"/>
    </row>
    <row r="3183" spans="1:17">
      <c r="A3183" s="18"/>
      <c r="B3183" s="18"/>
      <c r="C3183" s="18"/>
      <c r="D3183" s="18"/>
      <c r="E3183" s="18"/>
      <c r="F3183" s="18"/>
      <c r="G3183" s="18"/>
      <c r="H3183" s="18"/>
      <c r="I3183" s="18"/>
      <c r="J3183" s="18"/>
      <c r="K3183" s="18"/>
      <c r="L3183" s="18"/>
      <c r="M3183" s="18"/>
      <c r="N3183" s="18"/>
      <c r="O3183" s="18"/>
      <c r="P3183" s="18"/>
      <c r="Q3183" s="18"/>
    </row>
    <row r="3184" spans="1:17">
      <c r="A3184" s="149"/>
      <c r="B3184" s="18"/>
      <c r="C3184" s="18"/>
      <c r="D3184" s="18"/>
      <c r="E3184" s="18"/>
      <c r="F3184" s="18"/>
      <c r="G3184" s="18"/>
      <c r="H3184" s="18"/>
      <c r="I3184" s="18"/>
      <c r="J3184" s="18"/>
      <c r="K3184" s="18"/>
      <c r="L3184" s="18"/>
      <c r="M3184" s="18"/>
      <c r="N3184" s="18"/>
      <c r="O3184" s="18"/>
      <c r="P3184" s="18"/>
      <c r="Q3184" s="18"/>
    </row>
    <row r="3185" spans="1:17">
      <c r="A3185" s="18"/>
      <c r="B3185" s="18"/>
      <c r="C3185" s="18"/>
      <c r="D3185" s="18"/>
      <c r="E3185" s="18"/>
      <c r="F3185" s="18"/>
      <c r="G3185" s="18"/>
      <c r="H3185" s="18"/>
      <c r="I3185" s="18"/>
      <c r="J3185" s="18"/>
      <c r="K3185" s="18"/>
      <c r="L3185" s="18"/>
      <c r="M3185" s="18"/>
      <c r="N3185" s="18"/>
      <c r="O3185" s="18"/>
      <c r="P3185" s="18"/>
      <c r="Q3185" s="18"/>
    </row>
    <row r="3186" spans="1:17">
      <c r="A3186" s="18"/>
      <c r="B3186" s="18"/>
      <c r="C3186" s="18"/>
      <c r="D3186" s="18"/>
      <c r="E3186" s="18"/>
      <c r="F3186" s="18"/>
      <c r="G3186" s="18"/>
      <c r="H3186" s="18"/>
      <c r="I3186" s="18"/>
      <c r="J3186" s="18"/>
      <c r="K3186" s="18"/>
      <c r="L3186" s="18"/>
      <c r="M3186" s="18"/>
      <c r="N3186" s="18"/>
      <c r="O3186" s="18"/>
      <c r="P3186" s="18"/>
      <c r="Q3186" s="18"/>
    </row>
    <row r="3187" spans="1:17">
      <c r="A3187" s="18"/>
      <c r="B3187" s="18"/>
      <c r="C3187" s="18"/>
      <c r="D3187" s="18"/>
      <c r="E3187" s="18"/>
      <c r="F3187" s="18"/>
      <c r="G3187" s="18"/>
      <c r="H3187" s="18"/>
      <c r="I3187" s="18"/>
      <c r="J3187" s="18"/>
      <c r="K3187" s="18"/>
      <c r="L3187" s="18"/>
      <c r="M3187" s="18"/>
      <c r="N3187" s="18"/>
      <c r="O3187" s="18"/>
      <c r="P3187" s="18"/>
      <c r="Q3187" s="18"/>
    </row>
    <row r="3188" spans="1:17">
      <c r="A3188" s="149"/>
      <c r="B3188" s="18"/>
      <c r="C3188" s="18"/>
      <c r="D3188" s="18"/>
      <c r="E3188" s="18"/>
      <c r="F3188" s="18"/>
      <c r="G3188" s="18"/>
      <c r="H3188" s="18"/>
      <c r="I3188" s="18"/>
      <c r="J3188" s="18"/>
      <c r="K3188" s="18"/>
      <c r="L3188" s="18"/>
      <c r="M3188" s="18"/>
      <c r="N3188" s="18"/>
      <c r="O3188" s="18"/>
      <c r="P3188" s="18"/>
      <c r="Q3188" s="18"/>
    </row>
    <row r="3189" spans="1:17">
      <c r="A3189" s="18"/>
      <c r="B3189" s="18"/>
      <c r="C3189" s="18"/>
      <c r="D3189" s="18"/>
      <c r="E3189" s="18"/>
      <c r="F3189" s="18"/>
      <c r="G3189" s="18"/>
      <c r="H3189" s="18"/>
      <c r="I3189" s="18"/>
      <c r="J3189" s="18"/>
      <c r="K3189" s="18"/>
      <c r="L3189" s="18"/>
      <c r="M3189" s="18"/>
      <c r="N3189" s="18"/>
      <c r="O3189" s="18"/>
      <c r="P3189" s="18"/>
      <c r="Q3189" s="18"/>
    </row>
    <row r="3190" spans="1:17">
      <c r="A3190" s="18"/>
      <c r="B3190" s="18"/>
      <c r="C3190" s="18"/>
      <c r="D3190" s="18"/>
      <c r="E3190" s="18"/>
      <c r="F3190" s="18"/>
      <c r="G3190" s="18"/>
      <c r="H3190" s="18"/>
      <c r="I3190" s="18"/>
      <c r="J3190" s="18"/>
      <c r="K3190" s="18"/>
      <c r="L3190" s="18"/>
      <c r="M3190" s="18"/>
      <c r="N3190" s="18"/>
      <c r="O3190" s="18"/>
      <c r="P3190" s="18"/>
      <c r="Q3190" s="18"/>
    </row>
    <row r="3191" spans="1:17">
      <c r="A3191" s="18"/>
      <c r="B3191" s="18"/>
      <c r="C3191" s="18"/>
      <c r="D3191" s="18"/>
      <c r="E3191" s="18"/>
      <c r="F3191" s="18"/>
      <c r="G3191" s="18"/>
      <c r="H3191" s="18"/>
      <c r="I3191" s="18"/>
      <c r="J3191" s="18"/>
      <c r="K3191" s="18"/>
      <c r="L3191" s="18"/>
      <c r="M3191" s="18"/>
      <c r="N3191" s="18"/>
      <c r="O3191" s="18"/>
      <c r="P3191" s="18"/>
      <c r="Q3191" s="18"/>
    </row>
    <row r="3192" spans="1:17">
      <c r="A3192" s="18"/>
      <c r="B3192" s="18"/>
      <c r="C3192" s="18"/>
      <c r="D3192" s="18"/>
      <c r="E3192" s="18"/>
      <c r="F3192" s="18"/>
      <c r="G3192" s="18"/>
      <c r="H3192" s="18"/>
      <c r="I3192" s="18"/>
      <c r="J3192" s="18"/>
      <c r="K3192" s="18"/>
      <c r="L3192" s="18"/>
      <c r="M3192" s="18"/>
      <c r="N3192" s="18"/>
      <c r="O3192" s="18"/>
      <c r="P3192" s="18"/>
      <c r="Q3192" s="18"/>
    </row>
    <row r="3193" spans="1:17">
      <c r="A3193" s="149"/>
      <c r="B3193" s="18"/>
      <c r="C3193" s="18"/>
      <c r="D3193" s="18"/>
      <c r="E3193" s="18"/>
      <c r="F3193" s="18"/>
      <c r="G3193" s="18"/>
      <c r="H3193" s="18"/>
      <c r="I3193" s="18"/>
      <c r="J3193" s="18"/>
      <c r="K3193" s="18"/>
      <c r="L3193" s="18"/>
      <c r="M3193" s="18"/>
      <c r="N3193" s="18"/>
      <c r="O3193" s="18"/>
      <c r="P3193" s="18"/>
      <c r="Q3193" s="18"/>
    </row>
    <row r="3194" spans="1:17">
      <c r="A3194" s="18"/>
      <c r="B3194" s="18"/>
      <c r="C3194" s="18"/>
      <c r="D3194" s="18"/>
      <c r="E3194" s="18"/>
      <c r="F3194" s="18"/>
      <c r="G3194" s="18"/>
      <c r="H3194" s="18"/>
      <c r="I3194" s="18"/>
      <c r="J3194" s="18"/>
      <c r="K3194" s="18"/>
      <c r="L3194" s="18"/>
      <c r="M3194" s="18"/>
      <c r="N3194" s="18"/>
      <c r="O3194" s="18"/>
      <c r="P3194" s="18"/>
      <c r="Q3194" s="18"/>
    </row>
    <row r="3195" spans="1:17">
      <c r="A3195" s="18"/>
      <c r="B3195" s="18"/>
      <c r="C3195" s="18"/>
      <c r="D3195" s="18"/>
      <c r="E3195" s="18"/>
      <c r="F3195" s="18"/>
      <c r="G3195" s="18"/>
      <c r="H3195" s="18"/>
      <c r="I3195" s="18"/>
      <c r="J3195" s="18"/>
      <c r="K3195" s="18"/>
      <c r="L3195" s="18"/>
      <c r="M3195" s="18"/>
      <c r="N3195" s="18"/>
      <c r="O3195" s="18"/>
      <c r="P3195" s="18"/>
      <c r="Q3195" s="18"/>
    </row>
    <row r="3196" spans="1:17">
      <c r="A3196" s="18"/>
      <c r="B3196" s="18"/>
      <c r="C3196" s="18"/>
      <c r="D3196" s="18"/>
      <c r="E3196" s="18"/>
      <c r="F3196" s="18"/>
      <c r="G3196" s="18"/>
      <c r="H3196" s="18"/>
      <c r="I3196" s="18"/>
      <c r="J3196" s="18"/>
      <c r="K3196" s="18"/>
      <c r="L3196" s="18"/>
      <c r="M3196" s="18"/>
      <c r="N3196" s="18"/>
      <c r="O3196" s="18"/>
      <c r="P3196" s="18"/>
      <c r="Q3196" s="18"/>
    </row>
    <row r="3197" spans="1:17">
      <c r="A3197" s="18"/>
      <c r="B3197" s="18"/>
      <c r="C3197" s="18"/>
      <c r="D3197" s="18"/>
      <c r="E3197" s="18"/>
      <c r="F3197" s="18"/>
      <c r="G3197" s="18"/>
      <c r="H3197" s="18"/>
      <c r="I3197" s="18"/>
      <c r="J3197" s="18"/>
      <c r="K3197" s="18"/>
      <c r="L3197" s="18"/>
      <c r="M3197" s="18"/>
      <c r="N3197" s="18"/>
      <c r="O3197" s="18"/>
      <c r="P3197" s="18"/>
      <c r="Q3197" s="18"/>
    </row>
    <row r="3198" spans="1:17">
      <c r="A3198" s="149"/>
      <c r="B3198" s="18"/>
      <c r="C3198" s="18"/>
      <c r="D3198" s="18"/>
      <c r="E3198" s="18"/>
      <c r="F3198" s="18"/>
      <c r="G3198" s="18"/>
      <c r="H3198" s="18"/>
      <c r="I3198" s="18"/>
      <c r="J3198" s="18"/>
      <c r="K3198" s="18"/>
      <c r="L3198" s="18"/>
      <c r="M3198" s="18"/>
      <c r="N3198" s="18"/>
      <c r="O3198" s="18"/>
      <c r="P3198" s="18"/>
      <c r="Q3198" s="18"/>
    </row>
    <row r="3199" spans="1:17">
      <c r="A3199" s="18"/>
      <c r="B3199" s="18"/>
      <c r="C3199" s="18"/>
      <c r="D3199" s="18"/>
      <c r="E3199" s="18"/>
      <c r="F3199" s="18"/>
      <c r="G3199" s="18"/>
      <c r="H3199" s="18"/>
      <c r="I3199" s="18"/>
      <c r="J3199" s="18"/>
      <c r="K3199" s="18"/>
      <c r="L3199" s="18"/>
      <c r="M3199" s="18"/>
      <c r="N3199" s="18"/>
      <c r="O3199" s="18"/>
      <c r="P3199" s="18"/>
      <c r="Q3199" s="18"/>
    </row>
    <row r="3200" spans="1:17">
      <c r="A3200" s="18"/>
      <c r="B3200" s="18"/>
      <c r="C3200" s="18"/>
      <c r="D3200" s="18"/>
      <c r="E3200" s="18"/>
      <c r="F3200" s="18"/>
      <c r="G3200" s="18"/>
      <c r="H3200" s="18"/>
      <c r="I3200" s="18"/>
      <c r="J3200" s="18"/>
      <c r="K3200" s="18"/>
      <c r="L3200" s="18"/>
      <c r="M3200" s="18"/>
      <c r="N3200" s="18"/>
      <c r="O3200" s="18"/>
      <c r="P3200" s="18"/>
      <c r="Q3200" s="18"/>
    </row>
    <row r="3201" spans="1:17">
      <c r="A3201" s="18"/>
      <c r="B3201" s="18"/>
      <c r="C3201" s="18"/>
      <c r="D3201" s="18"/>
      <c r="E3201" s="18"/>
      <c r="F3201" s="18"/>
      <c r="G3201" s="18"/>
      <c r="H3201" s="18"/>
      <c r="I3201" s="18"/>
      <c r="J3201" s="18"/>
      <c r="K3201" s="18"/>
      <c r="L3201" s="18"/>
      <c r="M3201" s="18"/>
      <c r="N3201" s="18"/>
      <c r="O3201" s="18"/>
      <c r="P3201" s="18"/>
      <c r="Q3201" s="18"/>
    </row>
    <row r="3202" spans="1:17">
      <c r="A3202" s="149"/>
      <c r="B3202" s="18"/>
      <c r="C3202" s="18"/>
      <c r="D3202" s="18"/>
      <c r="E3202" s="18"/>
      <c r="F3202" s="18"/>
      <c r="G3202" s="18"/>
      <c r="H3202" s="18"/>
      <c r="I3202" s="18"/>
      <c r="J3202" s="18"/>
      <c r="K3202" s="18"/>
      <c r="L3202" s="18"/>
      <c r="M3202" s="18"/>
      <c r="N3202" s="18"/>
      <c r="O3202" s="18"/>
      <c r="P3202" s="18"/>
      <c r="Q3202" s="18"/>
    </row>
    <row r="3203" spans="1:17">
      <c r="A3203" s="18"/>
      <c r="B3203" s="18"/>
      <c r="C3203" s="18"/>
      <c r="D3203" s="18"/>
      <c r="E3203" s="18"/>
      <c r="F3203" s="18"/>
      <c r="G3203" s="18"/>
      <c r="H3203" s="18"/>
      <c r="I3203" s="18"/>
      <c r="J3203" s="18"/>
      <c r="K3203" s="18"/>
      <c r="L3203" s="18"/>
      <c r="M3203" s="18"/>
      <c r="N3203" s="18"/>
      <c r="O3203" s="18"/>
      <c r="P3203" s="18"/>
      <c r="Q3203" s="18"/>
    </row>
    <row r="3204" spans="1:17">
      <c r="A3204" s="18"/>
      <c r="B3204" s="18"/>
      <c r="C3204" s="18"/>
      <c r="D3204" s="18"/>
      <c r="E3204" s="18"/>
      <c r="F3204" s="18"/>
      <c r="G3204" s="18"/>
      <c r="H3204" s="18"/>
      <c r="I3204" s="18"/>
      <c r="J3204" s="18"/>
      <c r="K3204" s="18"/>
      <c r="L3204" s="18"/>
      <c r="M3204" s="18"/>
      <c r="N3204" s="18"/>
      <c r="O3204" s="18"/>
      <c r="P3204" s="18"/>
      <c r="Q3204" s="18"/>
    </row>
    <row r="3205" spans="1:17">
      <c r="A3205" s="18"/>
      <c r="B3205" s="18"/>
      <c r="C3205" s="18"/>
      <c r="D3205" s="18"/>
      <c r="E3205" s="18"/>
      <c r="F3205" s="18"/>
      <c r="G3205" s="18"/>
      <c r="H3205" s="18"/>
      <c r="I3205" s="18"/>
      <c r="J3205" s="18"/>
      <c r="K3205" s="18"/>
      <c r="L3205" s="18"/>
      <c r="M3205" s="18"/>
      <c r="N3205" s="18"/>
      <c r="O3205" s="18"/>
      <c r="P3205" s="18"/>
      <c r="Q3205" s="18"/>
    </row>
    <row r="3206" spans="1:17">
      <c r="A3206" s="18"/>
      <c r="B3206" s="18"/>
      <c r="C3206" s="18"/>
      <c r="D3206" s="18"/>
      <c r="E3206" s="18"/>
      <c r="F3206" s="18"/>
      <c r="G3206" s="18"/>
      <c r="H3206" s="18"/>
      <c r="I3206" s="18"/>
      <c r="J3206" s="18"/>
      <c r="K3206" s="18"/>
      <c r="L3206" s="18"/>
      <c r="M3206" s="18"/>
      <c r="N3206" s="18"/>
      <c r="O3206" s="18"/>
      <c r="P3206" s="18"/>
      <c r="Q3206" s="18"/>
    </row>
    <row r="3207" spans="1:17">
      <c r="A3207" s="18"/>
      <c r="B3207" s="18"/>
      <c r="C3207" s="18"/>
      <c r="D3207" s="18"/>
      <c r="E3207" s="18"/>
      <c r="F3207" s="18"/>
      <c r="G3207" s="18"/>
      <c r="H3207" s="18"/>
      <c r="I3207" s="18"/>
      <c r="J3207" s="18"/>
      <c r="K3207" s="18"/>
      <c r="L3207" s="18"/>
      <c r="M3207" s="18"/>
      <c r="N3207" s="18"/>
      <c r="O3207" s="18"/>
      <c r="P3207" s="18"/>
      <c r="Q3207" s="18"/>
    </row>
    <row r="3208" spans="1:17">
      <c r="A3208" s="18"/>
      <c r="B3208" s="18"/>
      <c r="C3208" s="18"/>
      <c r="D3208" s="18"/>
      <c r="E3208" s="18"/>
      <c r="F3208" s="18"/>
      <c r="G3208" s="18"/>
      <c r="H3208" s="18"/>
      <c r="I3208" s="18"/>
      <c r="J3208" s="18"/>
      <c r="K3208" s="18"/>
      <c r="L3208" s="18"/>
      <c r="M3208" s="18"/>
      <c r="N3208" s="18"/>
      <c r="O3208" s="18"/>
      <c r="P3208" s="18"/>
      <c r="Q3208" s="18"/>
    </row>
    <row r="3209" spans="1:17">
      <c r="A3209" s="149"/>
      <c r="B3209" s="18"/>
      <c r="C3209" s="18"/>
      <c r="D3209" s="18"/>
      <c r="E3209" s="18"/>
      <c r="F3209" s="18"/>
      <c r="G3209" s="18"/>
      <c r="H3209" s="18"/>
      <c r="I3209" s="18"/>
      <c r="J3209" s="18"/>
      <c r="K3209" s="18"/>
      <c r="L3209" s="18"/>
      <c r="M3209" s="18"/>
      <c r="N3209" s="18"/>
      <c r="O3209" s="18"/>
      <c r="P3209" s="18"/>
      <c r="Q3209" s="18"/>
    </row>
    <row r="3210" spans="1:17">
      <c r="A3210" s="18"/>
      <c r="B3210" s="18"/>
      <c r="C3210" s="18"/>
      <c r="D3210" s="18"/>
      <c r="E3210" s="18"/>
      <c r="F3210" s="18"/>
      <c r="G3210" s="18"/>
      <c r="H3210" s="18"/>
      <c r="I3210" s="18"/>
      <c r="J3210" s="18"/>
      <c r="K3210" s="18"/>
      <c r="L3210" s="18"/>
      <c r="M3210" s="18"/>
      <c r="N3210" s="18"/>
      <c r="O3210" s="18"/>
      <c r="P3210" s="18"/>
      <c r="Q3210" s="18"/>
    </row>
    <row r="3211" spans="1:17">
      <c r="A3211" s="18"/>
      <c r="B3211" s="18"/>
      <c r="C3211" s="18"/>
      <c r="D3211" s="18"/>
      <c r="E3211" s="18"/>
      <c r="F3211" s="18"/>
      <c r="G3211" s="18"/>
      <c r="H3211" s="18"/>
      <c r="I3211" s="18"/>
      <c r="J3211" s="18"/>
      <c r="K3211" s="18"/>
      <c r="L3211" s="18"/>
      <c r="M3211" s="18"/>
      <c r="N3211" s="18"/>
      <c r="O3211" s="18"/>
      <c r="P3211" s="18"/>
      <c r="Q3211" s="18"/>
    </row>
    <row r="3212" spans="1:17">
      <c r="A3212" s="18"/>
      <c r="B3212" s="18"/>
      <c r="C3212" s="18"/>
      <c r="D3212" s="18"/>
      <c r="E3212" s="18"/>
      <c r="F3212" s="18"/>
      <c r="G3212" s="18"/>
      <c r="H3212" s="18"/>
      <c r="I3212" s="18"/>
      <c r="J3212" s="18"/>
      <c r="K3212" s="18"/>
      <c r="L3212" s="18"/>
      <c r="M3212" s="18"/>
      <c r="N3212" s="18"/>
      <c r="O3212" s="18"/>
      <c r="P3212" s="18"/>
      <c r="Q3212" s="18"/>
    </row>
    <row r="3213" spans="1:17">
      <c r="A3213" s="18"/>
      <c r="B3213" s="18"/>
      <c r="C3213" s="18"/>
      <c r="D3213" s="18"/>
      <c r="E3213" s="18"/>
      <c r="F3213" s="18"/>
      <c r="G3213" s="18"/>
      <c r="H3213" s="18"/>
      <c r="I3213" s="18"/>
      <c r="J3213" s="18"/>
      <c r="K3213" s="18"/>
      <c r="L3213" s="18"/>
      <c r="M3213" s="18"/>
      <c r="N3213" s="18"/>
      <c r="O3213" s="18"/>
      <c r="P3213" s="18"/>
      <c r="Q3213" s="18"/>
    </row>
    <row r="3214" spans="1:17">
      <c r="A3214" s="149"/>
      <c r="B3214" s="18"/>
      <c r="C3214" s="18"/>
      <c r="D3214" s="18"/>
      <c r="E3214" s="18"/>
      <c r="F3214" s="18"/>
      <c r="G3214" s="18"/>
      <c r="H3214" s="18"/>
      <c r="I3214" s="18"/>
      <c r="J3214" s="18"/>
      <c r="K3214" s="18"/>
      <c r="L3214" s="18"/>
      <c r="M3214" s="18"/>
      <c r="N3214" s="18"/>
      <c r="O3214" s="18"/>
      <c r="P3214" s="18"/>
      <c r="Q3214" s="18"/>
    </row>
    <row r="3215" spans="1:17">
      <c r="A3215" s="18"/>
      <c r="B3215" s="18"/>
      <c r="C3215" s="18"/>
      <c r="D3215" s="18"/>
      <c r="E3215" s="18"/>
      <c r="F3215" s="18"/>
      <c r="G3215" s="18"/>
      <c r="H3215" s="18"/>
      <c r="I3215" s="18"/>
      <c r="J3215" s="18"/>
      <c r="K3215" s="18"/>
      <c r="L3215" s="18"/>
      <c r="M3215" s="18"/>
      <c r="N3215" s="18"/>
      <c r="O3215" s="18"/>
      <c r="P3215" s="18"/>
      <c r="Q3215" s="18"/>
    </row>
    <row r="3216" spans="1:17">
      <c r="A3216" s="18"/>
      <c r="B3216" s="18"/>
      <c r="C3216" s="18"/>
      <c r="D3216" s="18"/>
      <c r="E3216" s="18"/>
      <c r="F3216" s="18"/>
      <c r="G3216" s="18"/>
      <c r="H3216" s="18"/>
      <c r="I3216" s="18"/>
      <c r="J3216" s="18"/>
      <c r="K3216" s="18"/>
      <c r="L3216" s="18"/>
      <c r="M3216" s="18"/>
      <c r="N3216" s="18"/>
      <c r="O3216" s="18"/>
      <c r="P3216" s="18"/>
      <c r="Q3216" s="18"/>
    </row>
    <row r="3217" spans="1:17">
      <c r="A3217" s="18"/>
      <c r="B3217" s="18"/>
      <c r="C3217" s="18"/>
      <c r="D3217" s="18"/>
      <c r="E3217" s="18"/>
      <c r="F3217" s="18"/>
      <c r="G3217" s="18"/>
      <c r="H3217" s="18"/>
      <c r="I3217" s="18"/>
      <c r="J3217" s="18"/>
      <c r="K3217" s="18"/>
      <c r="L3217" s="18"/>
      <c r="M3217" s="18"/>
      <c r="N3217" s="18"/>
      <c r="O3217" s="18"/>
      <c r="P3217" s="18"/>
      <c r="Q3217" s="18"/>
    </row>
    <row r="3218" spans="1:17">
      <c r="A3218" s="18"/>
      <c r="B3218" s="18"/>
      <c r="C3218" s="18"/>
      <c r="D3218" s="18"/>
      <c r="E3218" s="18"/>
      <c r="F3218" s="18"/>
      <c r="G3218" s="18"/>
      <c r="H3218" s="18"/>
      <c r="I3218" s="18"/>
      <c r="J3218" s="18"/>
      <c r="K3218" s="18"/>
      <c r="L3218" s="18"/>
      <c r="M3218" s="18"/>
      <c r="N3218" s="18"/>
      <c r="O3218" s="18"/>
      <c r="P3218" s="18"/>
      <c r="Q3218" s="18"/>
    </row>
    <row r="3219" spans="1:17">
      <c r="A3219" s="149"/>
      <c r="B3219" s="18"/>
      <c r="C3219" s="18"/>
      <c r="D3219" s="18"/>
      <c r="E3219" s="18"/>
      <c r="F3219" s="18"/>
      <c r="G3219" s="18"/>
      <c r="H3219" s="18"/>
      <c r="I3219" s="18"/>
      <c r="J3219" s="18"/>
      <c r="K3219" s="18"/>
      <c r="L3219" s="18"/>
      <c r="M3219" s="18"/>
      <c r="N3219" s="18"/>
      <c r="O3219" s="18"/>
      <c r="P3219" s="18"/>
      <c r="Q3219" s="18"/>
    </row>
    <row r="3220" spans="1:17">
      <c r="A3220" s="18"/>
      <c r="B3220" s="18"/>
      <c r="C3220" s="18"/>
      <c r="D3220" s="18"/>
      <c r="E3220" s="18"/>
      <c r="F3220" s="18"/>
      <c r="G3220" s="18"/>
      <c r="H3220" s="18"/>
      <c r="I3220" s="18"/>
      <c r="J3220" s="18"/>
      <c r="K3220" s="18"/>
      <c r="L3220" s="18"/>
      <c r="M3220" s="18"/>
      <c r="N3220" s="18"/>
      <c r="O3220" s="18"/>
      <c r="P3220" s="18"/>
      <c r="Q3220" s="18"/>
    </row>
    <row r="3221" spans="1:17">
      <c r="A3221" s="18"/>
      <c r="B3221" s="18"/>
      <c r="C3221" s="18"/>
      <c r="D3221" s="18"/>
      <c r="E3221" s="18"/>
      <c r="F3221" s="18"/>
      <c r="G3221" s="18"/>
      <c r="H3221" s="18"/>
      <c r="I3221" s="18"/>
      <c r="J3221" s="18"/>
      <c r="K3221" s="18"/>
      <c r="L3221" s="18"/>
      <c r="M3221" s="18"/>
      <c r="N3221" s="18"/>
      <c r="O3221" s="18"/>
      <c r="P3221" s="18"/>
      <c r="Q3221" s="18"/>
    </row>
    <row r="3222" spans="1:17">
      <c r="A3222" s="149"/>
      <c r="B3222" s="18"/>
      <c r="C3222" s="18"/>
      <c r="D3222" s="18"/>
      <c r="E3222" s="18"/>
      <c r="F3222" s="18"/>
      <c r="G3222" s="18"/>
      <c r="H3222" s="18"/>
      <c r="I3222" s="18"/>
      <c r="J3222" s="18"/>
      <c r="K3222" s="18"/>
      <c r="L3222" s="18"/>
      <c r="M3222" s="18"/>
      <c r="N3222" s="18"/>
      <c r="O3222" s="18"/>
      <c r="P3222" s="18"/>
      <c r="Q3222" s="18"/>
    </row>
    <row r="3223" spans="1:17">
      <c r="A3223" s="18"/>
      <c r="B3223" s="18"/>
      <c r="C3223" s="18"/>
      <c r="D3223" s="18"/>
      <c r="E3223" s="18"/>
      <c r="F3223" s="18"/>
      <c r="G3223" s="18"/>
      <c r="H3223" s="18"/>
      <c r="I3223" s="18"/>
      <c r="J3223" s="18"/>
      <c r="K3223" s="18"/>
      <c r="L3223" s="18"/>
      <c r="M3223" s="18"/>
      <c r="N3223" s="18"/>
      <c r="O3223" s="18"/>
      <c r="P3223" s="18"/>
      <c r="Q3223" s="18"/>
    </row>
    <row r="3224" spans="1:17">
      <c r="A3224" s="18"/>
      <c r="B3224" s="18"/>
      <c r="C3224" s="18"/>
      <c r="D3224" s="18"/>
      <c r="E3224" s="18"/>
      <c r="F3224" s="18"/>
      <c r="G3224" s="18"/>
      <c r="H3224" s="18"/>
      <c r="I3224" s="18"/>
      <c r="J3224" s="18"/>
      <c r="K3224" s="18"/>
      <c r="L3224" s="18"/>
      <c r="M3224" s="18"/>
      <c r="N3224" s="18"/>
      <c r="O3224" s="18"/>
      <c r="P3224" s="18"/>
      <c r="Q3224" s="18"/>
    </row>
    <row r="3225" spans="1:17">
      <c r="A3225" s="18"/>
      <c r="B3225" s="18"/>
      <c r="C3225" s="18"/>
      <c r="D3225" s="18"/>
      <c r="E3225" s="18"/>
      <c r="F3225" s="18"/>
      <c r="G3225" s="18"/>
      <c r="H3225" s="18"/>
      <c r="I3225" s="18"/>
      <c r="J3225" s="18"/>
      <c r="K3225" s="18"/>
      <c r="L3225" s="18"/>
      <c r="M3225" s="18"/>
      <c r="N3225" s="18"/>
      <c r="O3225" s="18"/>
      <c r="P3225" s="18"/>
      <c r="Q3225" s="18"/>
    </row>
    <row r="3226" spans="1:17">
      <c r="A3226" s="18"/>
      <c r="B3226" s="18"/>
      <c r="C3226" s="18"/>
      <c r="D3226" s="18"/>
      <c r="E3226" s="18"/>
      <c r="F3226" s="18"/>
      <c r="G3226" s="18"/>
      <c r="H3226" s="18"/>
      <c r="I3226" s="18"/>
      <c r="J3226" s="18"/>
      <c r="K3226" s="18"/>
      <c r="L3226" s="18"/>
      <c r="M3226" s="18"/>
      <c r="N3226" s="18"/>
      <c r="O3226" s="18"/>
      <c r="P3226" s="18"/>
      <c r="Q3226" s="18"/>
    </row>
    <row r="3227" spans="1:17">
      <c r="A3227" s="149"/>
      <c r="B3227" s="18"/>
      <c r="C3227" s="18"/>
      <c r="D3227" s="18"/>
      <c r="E3227" s="18"/>
      <c r="F3227" s="18"/>
      <c r="G3227" s="18"/>
      <c r="H3227" s="18"/>
      <c r="I3227" s="18"/>
      <c r="J3227" s="18"/>
      <c r="K3227" s="18"/>
      <c r="L3227" s="18"/>
      <c r="M3227" s="18"/>
      <c r="N3227" s="18"/>
      <c r="O3227" s="18"/>
      <c r="P3227" s="18"/>
      <c r="Q3227" s="18"/>
    </row>
    <row r="3228" spans="1:17">
      <c r="A3228" s="18"/>
      <c r="B3228" s="18"/>
      <c r="C3228" s="18"/>
      <c r="D3228" s="18"/>
      <c r="E3228" s="18"/>
      <c r="F3228" s="18"/>
      <c r="G3228" s="18"/>
      <c r="H3228" s="18"/>
      <c r="I3228" s="18"/>
      <c r="J3228" s="18"/>
      <c r="K3228" s="18"/>
      <c r="L3228" s="18"/>
      <c r="M3228" s="18"/>
      <c r="N3228" s="18"/>
      <c r="O3228" s="18"/>
      <c r="P3228" s="18"/>
      <c r="Q3228" s="18"/>
    </row>
    <row r="3229" spans="1:17">
      <c r="A3229" s="18"/>
      <c r="B3229" s="18"/>
      <c r="C3229" s="18"/>
      <c r="D3229" s="18"/>
      <c r="E3229" s="18"/>
      <c r="F3229" s="18"/>
      <c r="G3229" s="18"/>
      <c r="H3229" s="18"/>
      <c r="I3229" s="18"/>
      <c r="J3229" s="18"/>
      <c r="K3229" s="18"/>
      <c r="L3229" s="18"/>
      <c r="M3229" s="18"/>
      <c r="N3229" s="18"/>
      <c r="O3229" s="18"/>
      <c r="P3229" s="18"/>
      <c r="Q3229" s="18"/>
    </row>
    <row r="3230" spans="1:17">
      <c r="A3230" s="18"/>
      <c r="B3230" s="18"/>
      <c r="C3230" s="18"/>
      <c r="D3230" s="18"/>
      <c r="E3230" s="18"/>
      <c r="F3230" s="18"/>
      <c r="G3230" s="18"/>
      <c r="H3230" s="18"/>
      <c r="I3230" s="18"/>
      <c r="J3230" s="18"/>
      <c r="K3230" s="18"/>
      <c r="L3230" s="18"/>
      <c r="M3230" s="18"/>
      <c r="N3230" s="18"/>
      <c r="O3230" s="18"/>
      <c r="P3230" s="18"/>
      <c r="Q3230" s="18"/>
    </row>
    <row r="3231" spans="1:17">
      <c r="A3231" s="149"/>
      <c r="B3231" s="18"/>
      <c r="C3231" s="18"/>
      <c r="D3231" s="18"/>
      <c r="E3231" s="18"/>
      <c r="F3231" s="18"/>
      <c r="G3231" s="18"/>
      <c r="H3231" s="18"/>
      <c r="I3231" s="18"/>
      <c r="J3231" s="18"/>
      <c r="K3231" s="18"/>
      <c r="L3231" s="18"/>
      <c r="M3231" s="18"/>
      <c r="N3231" s="18"/>
      <c r="O3231" s="18"/>
      <c r="P3231" s="18"/>
      <c r="Q3231" s="18"/>
    </row>
    <row r="3232" spans="1:17">
      <c r="A3232" s="18"/>
      <c r="B3232" s="18"/>
      <c r="C3232" s="18"/>
      <c r="D3232" s="18"/>
      <c r="E3232" s="18"/>
      <c r="F3232" s="18"/>
      <c r="G3232" s="18"/>
      <c r="H3232" s="18"/>
      <c r="I3232" s="18"/>
      <c r="J3232" s="18"/>
      <c r="K3232" s="18"/>
      <c r="L3232" s="18"/>
      <c r="M3232" s="18"/>
      <c r="N3232" s="18"/>
      <c r="O3232" s="18"/>
      <c r="P3232" s="18"/>
      <c r="Q3232" s="18"/>
    </row>
    <row r="3233" spans="1:17">
      <c r="A3233" s="18"/>
      <c r="B3233" s="18"/>
      <c r="C3233" s="18"/>
      <c r="D3233" s="18"/>
      <c r="E3233" s="18"/>
      <c r="F3233" s="18"/>
      <c r="G3233" s="18"/>
      <c r="H3233" s="18"/>
      <c r="I3233" s="18"/>
      <c r="J3233" s="18"/>
      <c r="K3233" s="18"/>
      <c r="L3233" s="18"/>
      <c r="M3233" s="18"/>
      <c r="N3233" s="18"/>
      <c r="O3233" s="18"/>
      <c r="P3233" s="18"/>
      <c r="Q3233" s="18"/>
    </row>
    <row r="3234" spans="1:17">
      <c r="A3234" s="18"/>
      <c r="B3234" s="18"/>
      <c r="C3234" s="18"/>
      <c r="D3234" s="18"/>
      <c r="E3234" s="18"/>
      <c r="F3234" s="18"/>
      <c r="G3234" s="18"/>
      <c r="H3234" s="18"/>
      <c r="I3234" s="18"/>
      <c r="J3234" s="18"/>
      <c r="K3234" s="18"/>
      <c r="L3234" s="18"/>
      <c r="M3234" s="18"/>
      <c r="N3234" s="18"/>
      <c r="O3234" s="18"/>
      <c r="P3234" s="18"/>
      <c r="Q3234" s="18"/>
    </row>
    <row r="3235" spans="1:17">
      <c r="A3235" s="18"/>
      <c r="B3235" s="18"/>
      <c r="C3235" s="18"/>
      <c r="D3235" s="18"/>
      <c r="E3235" s="18"/>
      <c r="F3235" s="18"/>
      <c r="G3235" s="18"/>
      <c r="H3235" s="18"/>
      <c r="I3235" s="18"/>
      <c r="J3235" s="18"/>
      <c r="K3235" s="18"/>
      <c r="L3235" s="18"/>
      <c r="M3235" s="18"/>
      <c r="N3235" s="18"/>
      <c r="O3235" s="18"/>
      <c r="P3235" s="18"/>
      <c r="Q3235" s="18"/>
    </row>
    <row r="3236" spans="1:17">
      <c r="A3236" s="18"/>
      <c r="B3236" s="18"/>
      <c r="C3236" s="18"/>
      <c r="D3236" s="18"/>
      <c r="E3236" s="18"/>
      <c r="F3236" s="18"/>
      <c r="G3236" s="18"/>
      <c r="H3236" s="18"/>
      <c r="I3236" s="18"/>
      <c r="J3236" s="18"/>
      <c r="K3236" s="18"/>
      <c r="L3236" s="18"/>
      <c r="M3236" s="18"/>
      <c r="N3236" s="18"/>
      <c r="O3236" s="18"/>
      <c r="P3236" s="18"/>
      <c r="Q3236" s="18"/>
    </row>
    <row r="3237" spans="1:17">
      <c r="A3237" s="18"/>
      <c r="B3237" s="18"/>
      <c r="C3237" s="18"/>
      <c r="D3237" s="18"/>
      <c r="E3237" s="18"/>
      <c r="F3237" s="18"/>
      <c r="G3237" s="18"/>
      <c r="H3237" s="18"/>
      <c r="I3237" s="18"/>
      <c r="J3237" s="18"/>
      <c r="K3237" s="18"/>
      <c r="L3237" s="18"/>
      <c r="M3237" s="18"/>
      <c r="N3237" s="18"/>
      <c r="O3237" s="18"/>
      <c r="P3237" s="18"/>
      <c r="Q3237" s="18"/>
    </row>
    <row r="3238" spans="1:17">
      <c r="A3238" s="18"/>
      <c r="B3238" s="18"/>
      <c r="C3238" s="18"/>
      <c r="D3238" s="18"/>
      <c r="E3238" s="18"/>
      <c r="F3238" s="18"/>
      <c r="G3238" s="18"/>
      <c r="H3238" s="18"/>
      <c r="I3238" s="18"/>
      <c r="J3238" s="18"/>
      <c r="K3238" s="18"/>
      <c r="L3238" s="18"/>
      <c r="M3238" s="18"/>
      <c r="N3238" s="18"/>
      <c r="O3238" s="18"/>
      <c r="P3238" s="18"/>
      <c r="Q3238" s="18"/>
    </row>
    <row r="3239" spans="1:17">
      <c r="A3239" s="18"/>
      <c r="B3239" s="18"/>
      <c r="C3239" s="18"/>
      <c r="D3239" s="18"/>
      <c r="E3239" s="18"/>
      <c r="F3239" s="18"/>
      <c r="G3239" s="18"/>
      <c r="H3239" s="18"/>
      <c r="I3239" s="18"/>
      <c r="J3239" s="18"/>
      <c r="K3239" s="18"/>
      <c r="L3239" s="18"/>
      <c r="M3239" s="18"/>
      <c r="N3239" s="18"/>
      <c r="O3239" s="18"/>
      <c r="P3239" s="18"/>
      <c r="Q3239" s="18"/>
    </row>
    <row r="3240" spans="1:17">
      <c r="A3240" s="149"/>
      <c r="B3240" s="18"/>
      <c r="C3240" s="18"/>
      <c r="D3240" s="18"/>
      <c r="E3240" s="18"/>
      <c r="F3240" s="18"/>
      <c r="G3240" s="18"/>
      <c r="H3240" s="18"/>
      <c r="I3240" s="18"/>
      <c r="J3240" s="18"/>
      <c r="K3240" s="18"/>
      <c r="L3240" s="18"/>
      <c r="M3240" s="18"/>
      <c r="N3240" s="18"/>
      <c r="O3240" s="18"/>
      <c r="P3240" s="18"/>
      <c r="Q3240" s="18"/>
    </row>
    <row r="3241" spans="1:17">
      <c r="A3241" s="18"/>
      <c r="B3241" s="18"/>
      <c r="C3241" s="18"/>
      <c r="D3241" s="18"/>
      <c r="E3241" s="18"/>
      <c r="F3241" s="18"/>
      <c r="G3241" s="18"/>
      <c r="H3241" s="18"/>
      <c r="I3241" s="18"/>
      <c r="J3241" s="18"/>
      <c r="K3241" s="18"/>
      <c r="L3241" s="18"/>
      <c r="M3241" s="18"/>
      <c r="N3241" s="18"/>
      <c r="O3241" s="18"/>
      <c r="P3241" s="18"/>
      <c r="Q3241" s="18"/>
    </row>
    <row r="3242" spans="1:17">
      <c r="A3242" s="18"/>
      <c r="B3242" s="18"/>
      <c r="C3242" s="18"/>
      <c r="D3242" s="18"/>
      <c r="E3242" s="18"/>
      <c r="F3242" s="18"/>
      <c r="G3242" s="18"/>
      <c r="H3242" s="18"/>
      <c r="I3242" s="18"/>
      <c r="J3242" s="18"/>
      <c r="K3242" s="18"/>
      <c r="L3242" s="18"/>
      <c r="M3242" s="18"/>
      <c r="N3242" s="18"/>
      <c r="O3242" s="18"/>
      <c r="P3242" s="18"/>
      <c r="Q3242" s="18"/>
    </row>
    <row r="3243" spans="1:17">
      <c r="A3243" s="18"/>
      <c r="B3243" s="18"/>
      <c r="C3243" s="18"/>
      <c r="D3243" s="18"/>
      <c r="E3243" s="18"/>
      <c r="F3243" s="18"/>
      <c r="G3243" s="18"/>
      <c r="H3243" s="18"/>
      <c r="I3243" s="18"/>
      <c r="J3243" s="18"/>
      <c r="K3243" s="18"/>
      <c r="L3243" s="18"/>
      <c r="M3243" s="18"/>
      <c r="N3243" s="18"/>
      <c r="O3243" s="18"/>
      <c r="P3243" s="18"/>
      <c r="Q3243" s="18"/>
    </row>
    <row r="3244" spans="1:17">
      <c r="A3244" s="18"/>
      <c r="B3244" s="18"/>
      <c r="C3244" s="18"/>
      <c r="D3244" s="18"/>
      <c r="E3244" s="18"/>
      <c r="F3244" s="18"/>
      <c r="G3244" s="18"/>
      <c r="H3244" s="18"/>
      <c r="I3244" s="18"/>
      <c r="J3244" s="18"/>
      <c r="K3244" s="18"/>
      <c r="L3244" s="18"/>
      <c r="M3244" s="18"/>
      <c r="N3244" s="18"/>
      <c r="O3244" s="18"/>
      <c r="P3244" s="18"/>
      <c r="Q3244" s="18"/>
    </row>
    <row r="3245" spans="1:17">
      <c r="A3245" s="18"/>
      <c r="B3245" s="18"/>
      <c r="C3245" s="18"/>
      <c r="D3245" s="18"/>
      <c r="E3245" s="18"/>
      <c r="F3245" s="18"/>
      <c r="G3245" s="18"/>
      <c r="H3245" s="18"/>
      <c r="I3245" s="18"/>
      <c r="J3245" s="18"/>
      <c r="K3245" s="18"/>
      <c r="L3245" s="18"/>
      <c r="M3245" s="18"/>
      <c r="N3245" s="18"/>
      <c r="O3245" s="18"/>
      <c r="P3245" s="18"/>
      <c r="Q3245" s="18"/>
    </row>
    <row r="3246" spans="1:17">
      <c r="A3246" s="18"/>
      <c r="B3246" s="18"/>
      <c r="C3246" s="18"/>
      <c r="D3246" s="18"/>
      <c r="E3246" s="18"/>
      <c r="F3246" s="18"/>
      <c r="G3246" s="18"/>
      <c r="H3246" s="18"/>
      <c r="I3246" s="18"/>
      <c r="J3246" s="18"/>
      <c r="K3246" s="18"/>
      <c r="L3246" s="18"/>
      <c r="M3246" s="18"/>
      <c r="N3246" s="18"/>
      <c r="O3246" s="18"/>
      <c r="P3246" s="18"/>
      <c r="Q3246" s="18"/>
    </row>
    <row r="3247" spans="1:17">
      <c r="A3247" s="18"/>
      <c r="B3247" s="18"/>
      <c r="C3247" s="18"/>
      <c r="D3247" s="18"/>
      <c r="E3247" s="18"/>
      <c r="F3247" s="18"/>
      <c r="G3247" s="18"/>
      <c r="H3247" s="18"/>
      <c r="I3247" s="18"/>
      <c r="J3247" s="18"/>
      <c r="K3247" s="18"/>
      <c r="L3247" s="18"/>
      <c r="M3247" s="18"/>
      <c r="N3247" s="18"/>
      <c r="O3247" s="18"/>
      <c r="P3247" s="18"/>
      <c r="Q3247" s="18"/>
    </row>
    <row r="3248" spans="1:17">
      <c r="A3248" s="18"/>
      <c r="B3248" s="18"/>
      <c r="C3248" s="18"/>
      <c r="D3248" s="18"/>
      <c r="E3248" s="18"/>
      <c r="F3248" s="18"/>
      <c r="G3248" s="18"/>
      <c r="H3248" s="18"/>
      <c r="I3248" s="18"/>
      <c r="J3248" s="18"/>
      <c r="K3248" s="18"/>
      <c r="L3248" s="18"/>
      <c r="M3248" s="18"/>
      <c r="N3248" s="18"/>
      <c r="O3248" s="18"/>
      <c r="P3248" s="18"/>
      <c r="Q3248" s="18"/>
    </row>
    <row r="3249" spans="1:17">
      <c r="A3249" s="18"/>
      <c r="B3249" s="18"/>
      <c r="C3249" s="18"/>
      <c r="D3249" s="18"/>
      <c r="E3249" s="18"/>
      <c r="F3249" s="18"/>
      <c r="G3249" s="18"/>
      <c r="H3249" s="18"/>
      <c r="I3249" s="18"/>
      <c r="J3249" s="18"/>
      <c r="K3249" s="18"/>
      <c r="L3249" s="18"/>
      <c r="M3249" s="18"/>
      <c r="N3249" s="18"/>
      <c r="O3249" s="18"/>
      <c r="P3249" s="18"/>
      <c r="Q3249" s="18"/>
    </row>
    <row r="3250" spans="1:17">
      <c r="A3250" s="18"/>
      <c r="B3250" s="18"/>
      <c r="C3250" s="18"/>
      <c r="D3250" s="18"/>
      <c r="E3250" s="18"/>
      <c r="F3250" s="18"/>
      <c r="G3250" s="18"/>
      <c r="H3250" s="18"/>
      <c r="I3250" s="18"/>
      <c r="J3250" s="18"/>
      <c r="K3250" s="18"/>
      <c r="L3250" s="18"/>
      <c r="M3250" s="18"/>
      <c r="N3250" s="18"/>
      <c r="O3250" s="18"/>
      <c r="P3250" s="18"/>
      <c r="Q3250" s="18"/>
    </row>
    <row r="3251" spans="1:17">
      <c r="A3251" s="18"/>
      <c r="B3251" s="18"/>
      <c r="C3251" s="18"/>
      <c r="D3251" s="18"/>
      <c r="E3251" s="18"/>
      <c r="F3251" s="18"/>
      <c r="G3251" s="18"/>
      <c r="H3251" s="18"/>
      <c r="I3251" s="18"/>
      <c r="J3251" s="18"/>
      <c r="K3251" s="18"/>
      <c r="L3251" s="18"/>
      <c r="M3251" s="18"/>
      <c r="N3251" s="18"/>
      <c r="O3251" s="18"/>
      <c r="P3251" s="18"/>
      <c r="Q3251" s="18"/>
    </row>
    <row r="3252" spans="1:17">
      <c r="A3252" s="18"/>
      <c r="B3252" s="18"/>
      <c r="C3252" s="18"/>
      <c r="D3252" s="18"/>
      <c r="E3252" s="18"/>
      <c r="F3252" s="18"/>
      <c r="G3252" s="18"/>
      <c r="H3252" s="18"/>
      <c r="I3252" s="18"/>
      <c r="J3252" s="18"/>
      <c r="K3252" s="18"/>
      <c r="L3252" s="18"/>
      <c r="M3252" s="18"/>
      <c r="N3252" s="18"/>
      <c r="O3252" s="18"/>
      <c r="P3252" s="18"/>
      <c r="Q3252" s="18"/>
    </row>
    <row r="3253" spans="1:17">
      <c r="A3253" s="18"/>
      <c r="B3253" s="18"/>
      <c r="C3253" s="18"/>
      <c r="D3253" s="18"/>
      <c r="E3253" s="18"/>
      <c r="F3253" s="18"/>
      <c r="G3253" s="18"/>
      <c r="H3253" s="18"/>
      <c r="I3253" s="18"/>
      <c r="J3253" s="18"/>
      <c r="K3253" s="18"/>
      <c r="L3253" s="18"/>
      <c r="M3253" s="18"/>
      <c r="N3253" s="18"/>
      <c r="O3253" s="18"/>
      <c r="P3253" s="18"/>
      <c r="Q3253" s="18"/>
    </row>
    <row r="3254" spans="1:17">
      <c r="A3254" s="18"/>
      <c r="B3254" s="18"/>
      <c r="C3254" s="18"/>
      <c r="D3254" s="18"/>
      <c r="E3254" s="18"/>
      <c r="F3254" s="18"/>
      <c r="G3254" s="18"/>
      <c r="H3254" s="18"/>
      <c r="I3254" s="18"/>
      <c r="J3254" s="18"/>
      <c r="K3254" s="18"/>
      <c r="L3254" s="18"/>
      <c r="M3254" s="18"/>
      <c r="N3254" s="18"/>
      <c r="O3254" s="18"/>
      <c r="P3254" s="18"/>
      <c r="Q3254" s="18"/>
    </row>
    <row r="3255" spans="1:17">
      <c r="A3255" s="18"/>
      <c r="B3255" s="18"/>
      <c r="C3255" s="18"/>
      <c r="D3255" s="18"/>
      <c r="E3255" s="18"/>
      <c r="F3255" s="18"/>
      <c r="G3255" s="18"/>
      <c r="H3255" s="18"/>
      <c r="I3255" s="18"/>
      <c r="J3255" s="18"/>
      <c r="K3255" s="18"/>
      <c r="L3255" s="18"/>
      <c r="M3255" s="18"/>
      <c r="N3255" s="18"/>
      <c r="O3255" s="18"/>
      <c r="P3255" s="18"/>
      <c r="Q3255" s="18"/>
    </row>
    <row r="3256" spans="1:17">
      <c r="A3256" s="18"/>
      <c r="B3256" s="18"/>
      <c r="C3256" s="18"/>
      <c r="D3256" s="18"/>
      <c r="E3256" s="18"/>
      <c r="F3256" s="18"/>
      <c r="G3256" s="18"/>
      <c r="H3256" s="18"/>
      <c r="I3256" s="18"/>
      <c r="J3256" s="18"/>
      <c r="K3256" s="18"/>
      <c r="L3256" s="18"/>
      <c r="M3256" s="18"/>
      <c r="N3256" s="18"/>
      <c r="O3256" s="18"/>
      <c r="P3256" s="18"/>
      <c r="Q3256" s="18"/>
    </row>
    <row r="3257" spans="1:17">
      <c r="A3257" s="18"/>
      <c r="B3257" s="18"/>
      <c r="C3257" s="18"/>
      <c r="D3257" s="18"/>
      <c r="E3257" s="18"/>
      <c r="F3257" s="18"/>
      <c r="G3257" s="18"/>
      <c r="H3257" s="18"/>
      <c r="I3257" s="18"/>
      <c r="J3257" s="18"/>
      <c r="K3257" s="18"/>
      <c r="L3257" s="18"/>
      <c r="M3257" s="18"/>
      <c r="N3257" s="18"/>
      <c r="O3257" s="18"/>
      <c r="P3257" s="18"/>
      <c r="Q3257" s="18"/>
    </row>
    <row r="3258" spans="1:17">
      <c r="A3258" s="18"/>
      <c r="B3258" s="18"/>
      <c r="C3258" s="18"/>
      <c r="D3258" s="18"/>
      <c r="E3258" s="18"/>
      <c r="F3258" s="18"/>
      <c r="G3258" s="18"/>
      <c r="H3258" s="18"/>
      <c r="I3258" s="18"/>
      <c r="J3258" s="18"/>
      <c r="K3258" s="18"/>
      <c r="L3258" s="18"/>
      <c r="M3258" s="18"/>
      <c r="N3258" s="18"/>
      <c r="O3258" s="18"/>
      <c r="P3258" s="18"/>
      <c r="Q3258" s="18"/>
    </row>
    <row r="3259" spans="1:17">
      <c r="A3259" s="18"/>
      <c r="B3259" s="18"/>
      <c r="C3259" s="18"/>
      <c r="D3259" s="18"/>
      <c r="E3259" s="18"/>
      <c r="F3259" s="18"/>
      <c r="G3259" s="18"/>
      <c r="H3259" s="18"/>
      <c r="I3259" s="18"/>
      <c r="J3259" s="18"/>
      <c r="K3259" s="18"/>
      <c r="L3259" s="18"/>
      <c r="M3259" s="18"/>
      <c r="N3259" s="18"/>
      <c r="O3259" s="18"/>
      <c r="P3259" s="18"/>
      <c r="Q3259" s="18"/>
    </row>
    <row r="3260" spans="1:17">
      <c r="A3260" s="18"/>
      <c r="B3260" s="18"/>
      <c r="C3260" s="18"/>
      <c r="D3260" s="18"/>
      <c r="E3260" s="18"/>
      <c r="F3260" s="18"/>
      <c r="G3260" s="18"/>
      <c r="H3260" s="18"/>
      <c r="I3260" s="18"/>
      <c r="J3260" s="18"/>
      <c r="K3260" s="18"/>
      <c r="L3260" s="18"/>
      <c r="M3260" s="18"/>
      <c r="N3260" s="18"/>
      <c r="O3260" s="18"/>
      <c r="P3260" s="18"/>
      <c r="Q3260" s="18"/>
    </row>
    <row r="3261" spans="1:17">
      <c r="A3261" s="18"/>
      <c r="B3261" s="18"/>
      <c r="C3261" s="18"/>
      <c r="D3261" s="18"/>
      <c r="E3261" s="18"/>
      <c r="F3261" s="18"/>
      <c r="G3261" s="18"/>
      <c r="H3261" s="18"/>
      <c r="I3261" s="18"/>
      <c r="J3261" s="18"/>
      <c r="K3261" s="18"/>
      <c r="L3261" s="18"/>
      <c r="M3261" s="18"/>
      <c r="N3261" s="18"/>
      <c r="O3261" s="18"/>
      <c r="P3261" s="18"/>
      <c r="Q3261" s="18"/>
    </row>
    <row r="3262" spans="1:17">
      <c r="A3262" s="149"/>
      <c r="B3262" s="18"/>
      <c r="C3262" s="18"/>
      <c r="D3262" s="18"/>
      <c r="E3262" s="18"/>
      <c r="F3262" s="18"/>
      <c r="G3262" s="18"/>
      <c r="H3262" s="18"/>
      <c r="I3262" s="18"/>
      <c r="J3262" s="18"/>
      <c r="K3262" s="18"/>
      <c r="L3262" s="18"/>
      <c r="M3262" s="18"/>
      <c r="N3262" s="18"/>
      <c r="O3262" s="18"/>
      <c r="P3262" s="18"/>
      <c r="Q3262" s="18"/>
    </row>
    <row r="3263" spans="1:17">
      <c r="A3263" s="18"/>
      <c r="B3263" s="18"/>
      <c r="C3263" s="18"/>
      <c r="D3263" s="18"/>
      <c r="E3263" s="18"/>
      <c r="F3263" s="18"/>
      <c r="G3263" s="18"/>
      <c r="H3263" s="18"/>
      <c r="I3263" s="18"/>
      <c r="J3263" s="18"/>
      <c r="K3263" s="18"/>
      <c r="L3263" s="18"/>
      <c r="M3263" s="18"/>
      <c r="N3263" s="18"/>
      <c r="O3263" s="18"/>
      <c r="P3263" s="18"/>
      <c r="Q3263" s="18"/>
    </row>
    <row r="3264" spans="1:17">
      <c r="A3264" s="18"/>
      <c r="B3264" s="18"/>
      <c r="C3264" s="18"/>
      <c r="D3264" s="18"/>
      <c r="E3264" s="18"/>
      <c r="F3264" s="18"/>
      <c r="G3264" s="18"/>
      <c r="H3264" s="18"/>
      <c r="I3264" s="18"/>
      <c r="J3264" s="18"/>
      <c r="K3264" s="18"/>
      <c r="L3264" s="18"/>
      <c r="M3264" s="18"/>
      <c r="N3264" s="18"/>
      <c r="O3264" s="18"/>
      <c r="P3264" s="18"/>
      <c r="Q3264" s="18"/>
    </row>
    <row r="3265" spans="1:17">
      <c r="A3265" s="18"/>
      <c r="B3265" s="18"/>
      <c r="C3265" s="18"/>
      <c r="D3265" s="18"/>
      <c r="E3265" s="18"/>
      <c r="F3265" s="18"/>
      <c r="G3265" s="18"/>
      <c r="H3265" s="18"/>
      <c r="I3265" s="18"/>
      <c r="J3265" s="18"/>
      <c r="K3265" s="18"/>
      <c r="L3265" s="18"/>
      <c r="M3265" s="18"/>
      <c r="N3265" s="18"/>
      <c r="O3265" s="18"/>
      <c r="P3265" s="18"/>
      <c r="Q3265" s="18"/>
    </row>
    <row r="3266" spans="1:17">
      <c r="A3266" s="18"/>
      <c r="B3266" s="18"/>
      <c r="C3266" s="18"/>
      <c r="D3266" s="18"/>
      <c r="E3266" s="18"/>
      <c r="F3266" s="18"/>
      <c r="G3266" s="18"/>
      <c r="H3266" s="18"/>
      <c r="I3266" s="18"/>
      <c r="J3266" s="18"/>
      <c r="K3266" s="18"/>
      <c r="L3266" s="18"/>
      <c r="M3266" s="18"/>
      <c r="N3266" s="18"/>
      <c r="O3266" s="18"/>
      <c r="P3266" s="18"/>
      <c r="Q3266" s="18"/>
    </row>
    <row r="3267" spans="1:17">
      <c r="A3267" s="18"/>
      <c r="B3267" s="18"/>
      <c r="C3267" s="18"/>
      <c r="D3267" s="18"/>
      <c r="E3267" s="18"/>
      <c r="F3267" s="18"/>
      <c r="G3267" s="18"/>
      <c r="H3267" s="18"/>
      <c r="I3267" s="18"/>
      <c r="J3267" s="18"/>
      <c r="K3267" s="18"/>
      <c r="L3267" s="18"/>
      <c r="M3267" s="18"/>
      <c r="N3267" s="18"/>
      <c r="O3267" s="18"/>
      <c r="P3267" s="18"/>
      <c r="Q3267" s="18"/>
    </row>
    <row r="3268" spans="1:17">
      <c r="A3268" s="18"/>
      <c r="B3268" s="18"/>
      <c r="C3268" s="18"/>
      <c r="D3268" s="18"/>
      <c r="E3268" s="18"/>
      <c r="F3268" s="18"/>
      <c r="G3268" s="18"/>
      <c r="H3268" s="18"/>
      <c r="I3268" s="18"/>
      <c r="J3268" s="18"/>
      <c r="K3268" s="18"/>
      <c r="L3268" s="18"/>
      <c r="M3268" s="18"/>
      <c r="N3268" s="18"/>
      <c r="O3268" s="18"/>
      <c r="P3268" s="18"/>
      <c r="Q3268" s="18"/>
    </row>
    <row r="3269" spans="1:17">
      <c r="A3269" s="149"/>
      <c r="B3269" s="18"/>
      <c r="C3269" s="18"/>
      <c r="D3269" s="18"/>
      <c r="E3269" s="18"/>
      <c r="F3269" s="18"/>
      <c r="G3269" s="18"/>
      <c r="H3269" s="18"/>
      <c r="I3269" s="18"/>
      <c r="J3269" s="18"/>
      <c r="K3269" s="18"/>
      <c r="L3269" s="18"/>
      <c r="M3269" s="18"/>
      <c r="N3269" s="18"/>
      <c r="O3269" s="18"/>
      <c r="P3269" s="18"/>
      <c r="Q3269" s="18"/>
    </row>
    <row r="3270" spans="1:17">
      <c r="A3270" s="18"/>
      <c r="B3270" s="18"/>
      <c r="C3270" s="18"/>
      <c r="D3270" s="18"/>
      <c r="E3270" s="18"/>
      <c r="F3270" s="18"/>
      <c r="G3270" s="18"/>
      <c r="H3270" s="18"/>
      <c r="I3270" s="18"/>
      <c r="J3270" s="18"/>
      <c r="K3270" s="18"/>
      <c r="L3270" s="18"/>
      <c r="M3270" s="18"/>
      <c r="N3270" s="18"/>
      <c r="O3270" s="18"/>
      <c r="P3270" s="18"/>
      <c r="Q3270" s="18"/>
    </row>
    <row r="3271" spans="1:17">
      <c r="A3271" s="18"/>
      <c r="B3271" s="18"/>
      <c r="C3271" s="18"/>
      <c r="D3271" s="18"/>
      <c r="E3271" s="18"/>
      <c r="F3271" s="18"/>
      <c r="G3271" s="18"/>
      <c r="H3271" s="18"/>
      <c r="I3271" s="18"/>
      <c r="J3271" s="18"/>
      <c r="K3271" s="18"/>
      <c r="L3271" s="18"/>
      <c r="M3271" s="18"/>
      <c r="N3271" s="18"/>
      <c r="O3271" s="18"/>
      <c r="P3271" s="18"/>
      <c r="Q3271" s="18"/>
    </row>
    <row r="3272" spans="1:17">
      <c r="A3272" s="149"/>
      <c r="B3272" s="18"/>
      <c r="C3272" s="18"/>
      <c r="D3272" s="18"/>
      <c r="E3272" s="18"/>
      <c r="F3272" s="18"/>
      <c r="G3272" s="18"/>
      <c r="H3272" s="18"/>
      <c r="I3272" s="18"/>
      <c r="J3272" s="18"/>
      <c r="K3272" s="18"/>
      <c r="L3272" s="18"/>
      <c r="M3272" s="18"/>
      <c r="N3272" s="18"/>
      <c r="O3272" s="18"/>
      <c r="P3272" s="18"/>
      <c r="Q3272" s="18"/>
    </row>
    <row r="3273" spans="1:17">
      <c r="A3273" s="18"/>
      <c r="B3273" s="18"/>
      <c r="C3273" s="18"/>
      <c r="D3273" s="18"/>
      <c r="E3273" s="18"/>
      <c r="F3273" s="18"/>
      <c r="G3273" s="18"/>
      <c r="H3273" s="18"/>
      <c r="I3273" s="18"/>
      <c r="J3273" s="18"/>
      <c r="K3273" s="18"/>
      <c r="L3273" s="18"/>
      <c r="M3273" s="18"/>
      <c r="N3273" s="18"/>
      <c r="O3273" s="18"/>
      <c r="P3273" s="18"/>
      <c r="Q3273" s="18"/>
    </row>
    <row r="3274" spans="1:17">
      <c r="A3274" s="18"/>
      <c r="B3274" s="18"/>
      <c r="C3274" s="18"/>
      <c r="D3274" s="18"/>
      <c r="E3274" s="18"/>
      <c r="F3274" s="18"/>
      <c r="G3274" s="18"/>
      <c r="H3274" s="18"/>
      <c r="I3274" s="18"/>
      <c r="J3274" s="18"/>
      <c r="K3274" s="18"/>
      <c r="L3274" s="18"/>
      <c r="M3274" s="18"/>
      <c r="N3274" s="18"/>
      <c r="O3274" s="18"/>
      <c r="P3274" s="18"/>
      <c r="Q3274" s="18"/>
    </row>
    <row r="3275" spans="1:17">
      <c r="A3275" s="149"/>
      <c r="B3275" s="18"/>
      <c r="C3275" s="18"/>
      <c r="D3275" s="18"/>
      <c r="E3275" s="18"/>
      <c r="F3275" s="18"/>
      <c r="G3275" s="18"/>
      <c r="H3275" s="18"/>
      <c r="I3275" s="18"/>
      <c r="J3275" s="18"/>
      <c r="K3275" s="18"/>
      <c r="L3275" s="18"/>
      <c r="M3275" s="18"/>
      <c r="N3275" s="18"/>
      <c r="O3275" s="18"/>
      <c r="P3275" s="18"/>
      <c r="Q3275" s="18"/>
    </row>
    <row r="3276" spans="1:17">
      <c r="A3276" s="18"/>
      <c r="B3276" s="18"/>
      <c r="C3276" s="18"/>
      <c r="D3276" s="18"/>
      <c r="E3276" s="18"/>
      <c r="F3276" s="18"/>
      <c r="G3276" s="18"/>
      <c r="H3276" s="18"/>
      <c r="I3276" s="18"/>
      <c r="J3276" s="18"/>
      <c r="K3276" s="18"/>
      <c r="L3276" s="18"/>
      <c r="M3276" s="18"/>
      <c r="N3276" s="18"/>
      <c r="O3276" s="18"/>
      <c r="P3276" s="18"/>
      <c r="Q3276" s="18"/>
    </row>
    <row r="3277" spans="1:17">
      <c r="A3277" s="18"/>
      <c r="B3277" s="18"/>
      <c r="C3277" s="18"/>
      <c r="D3277" s="18"/>
      <c r="E3277" s="18"/>
      <c r="F3277" s="18"/>
      <c r="G3277" s="18"/>
      <c r="H3277" s="18"/>
      <c r="I3277" s="18"/>
      <c r="J3277" s="18"/>
      <c r="K3277" s="18"/>
      <c r="L3277" s="18"/>
      <c r="M3277" s="18"/>
      <c r="N3277" s="18"/>
      <c r="O3277" s="18"/>
      <c r="P3277" s="18"/>
      <c r="Q3277" s="18"/>
    </row>
    <row r="3278" spans="1:17">
      <c r="A3278" s="18"/>
      <c r="B3278" s="18"/>
      <c r="C3278" s="18"/>
      <c r="D3278" s="18"/>
      <c r="E3278" s="18"/>
      <c r="F3278" s="18"/>
      <c r="G3278" s="18"/>
      <c r="H3278" s="18"/>
      <c r="I3278" s="18"/>
      <c r="J3278" s="18"/>
      <c r="K3278" s="18"/>
      <c r="L3278" s="18"/>
      <c r="M3278" s="18"/>
      <c r="N3278" s="18"/>
      <c r="O3278" s="18"/>
      <c r="P3278" s="18"/>
      <c r="Q3278" s="18"/>
    </row>
    <row r="3279" spans="1:17">
      <c r="A3279" s="18"/>
      <c r="B3279" s="18"/>
      <c r="C3279" s="18"/>
      <c r="D3279" s="18"/>
      <c r="E3279" s="18"/>
      <c r="F3279" s="18"/>
      <c r="G3279" s="18"/>
      <c r="H3279" s="18"/>
      <c r="I3279" s="18"/>
      <c r="J3279" s="18"/>
      <c r="K3279" s="18"/>
      <c r="L3279" s="18"/>
      <c r="M3279" s="18"/>
      <c r="N3279" s="18"/>
      <c r="O3279" s="18"/>
      <c r="P3279" s="18"/>
      <c r="Q3279" s="18"/>
    </row>
    <row r="3280" spans="1:17">
      <c r="A3280" s="18"/>
      <c r="B3280" s="18"/>
      <c r="C3280" s="18"/>
      <c r="D3280" s="18"/>
      <c r="E3280" s="18"/>
      <c r="F3280" s="18"/>
      <c r="G3280" s="18"/>
      <c r="H3280" s="18"/>
      <c r="I3280" s="18"/>
      <c r="J3280" s="18"/>
      <c r="K3280" s="18"/>
      <c r="L3280" s="18"/>
      <c r="M3280" s="18"/>
      <c r="N3280" s="18"/>
      <c r="O3280" s="18"/>
      <c r="P3280" s="18"/>
      <c r="Q3280" s="18"/>
    </row>
    <row r="3281" spans="1:17">
      <c r="A3281" s="18"/>
      <c r="B3281" s="18"/>
      <c r="C3281" s="18"/>
      <c r="D3281" s="18"/>
      <c r="E3281" s="18"/>
      <c r="F3281" s="18"/>
      <c r="G3281" s="18"/>
      <c r="H3281" s="18"/>
      <c r="I3281" s="18"/>
      <c r="J3281" s="18"/>
      <c r="K3281" s="18"/>
      <c r="L3281" s="18"/>
      <c r="M3281" s="18"/>
      <c r="N3281" s="18"/>
      <c r="O3281" s="18"/>
      <c r="P3281" s="18"/>
      <c r="Q3281" s="18"/>
    </row>
    <row r="3282" spans="1:17">
      <c r="A3282" s="149"/>
      <c r="B3282" s="18"/>
      <c r="C3282" s="18"/>
      <c r="D3282" s="18"/>
      <c r="E3282" s="18"/>
      <c r="F3282" s="18"/>
      <c r="G3282" s="18"/>
      <c r="H3282" s="18"/>
      <c r="I3282" s="18"/>
      <c r="J3282" s="18"/>
      <c r="K3282" s="18"/>
      <c r="L3282" s="18"/>
      <c r="M3282" s="18"/>
      <c r="N3282" s="18"/>
      <c r="O3282" s="18"/>
      <c r="P3282" s="18"/>
      <c r="Q3282" s="18"/>
    </row>
    <row r="3283" spans="1:17">
      <c r="A3283" s="18"/>
      <c r="B3283" s="18"/>
      <c r="C3283" s="18"/>
      <c r="D3283" s="18"/>
      <c r="E3283" s="18"/>
      <c r="F3283" s="18"/>
      <c r="G3283" s="18"/>
      <c r="H3283" s="18"/>
      <c r="I3283" s="18"/>
      <c r="J3283" s="18"/>
      <c r="K3283" s="18"/>
      <c r="L3283" s="18"/>
      <c r="M3283" s="18"/>
      <c r="N3283" s="18"/>
      <c r="O3283" s="18"/>
      <c r="P3283" s="18"/>
      <c r="Q3283" s="18"/>
    </row>
    <row r="3284" spans="1:17">
      <c r="A3284" s="18"/>
      <c r="B3284" s="18"/>
      <c r="C3284" s="18"/>
      <c r="D3284" s="18"/>
      <c r="E3284" s="18"/>
      <c r="F3284" s="18"/>
      <c r="G3284" s="18"/>
      <c r="H3284" s="18"/>
      <c r="I3284" s="18"/>
      <c r="J3284" s="18"/>
      <c r="K3284" s="18"/>
      <c r="L3284" s="18"/>
      <c r="M3284" s="18"/>
      <c r="N3284" s="18"/>
      <c r="O3284" s="18"/>
      <c r="P3284" s="18"/>
      <c r="Q3284" s="18"/>
    </row>
    <row r="3285" spans="1:17">
      <c r="A3285" s="18"/>
      <c r="B3285" s="18"/>
      <c r="C3285" s="18"/>
      <c r="D3285" s="18"/>
      <c r="E3285" s="18"/>
      <c r="F3285" s="18"/>
      <c r="G3285" s="18"/>
      <c r="H3285" s="18"/>
      <c r="I3285" s="18"/>
      <c r="J3285" s="18"/>
      <c r="K3285" s="18"/>
      <c r="L3285" s="18"/>
      <c r="M3285" s="18"/>
      <c r="N3285" s="18"/>
      <c r="O3285" s="18"/>
      <c r="P3285" s="18"/>
      <c r="Q3285" s="18"/>
    </row>
    <row r="3286" spans="1:17">
      <c r="A3286" s="18"/>
      <c r="B3286" s="18"/>
      <c r="C3286" s="18"/>
      <c r="D3286" s="18"/>
      <c r="E3286" s="18"/>
      <c r="F3286" s="18"/>
      <c r="G3286" s="18"/>
      <c r="H3286" s="18"/>
      <c r="I3286" s="18"/>
      <c r="J3286" s="18"/>
      <c r="K3286" s="18"/>
      <c r="L3286" s="18"/>
      <c r="M3286" s="18"/>
      <c r="N3286" s="18"/>
      <c r="O3286" s="18"/>
      <c r="P3286" s="18"/>
      <c r="Q3286" s="18"/>
    </row>
    <row r="3287" spans="1:17">
      <c r="A3287" s="18"/>
      <c r="B3287" s="18"/>
      <c r="C3287" s="18"/>
      <c r="D3287" s="18"/>
      <c r="E3287" s="18"/>
      <c r="F3287" s="18"/>
      <c r="G3287" s="18"/>
      <c r="H3287" s="18"/>
      <c r="I3287" s="18"/>
      <c r="J3287" s="18"/>
      <c r="K3287" s="18"/>
      <c r="L3287" s="18"/>
      <c r="M3287" s="18"/>
      <c r="N3287" s="18"/>
      <c r="O3287" s="18"/>
      <c r="P3287" s="18"/>
      <c r="Q3287" s="18"/>
    </row>
    <row r="3288" spans="1:17">
      <c r="A3288" s="149"/>
      <c r="B3288" s="18"/>
      <c r="C3288" s="18"/>
      <c r="D3288" s="18"/>
      <c r="E3288" s="18"/>
      <c r="F3288" s="18"/>
      <c r="G3288" s="18"/>
      <c r="H3288" s="18"/>
      <c r="I3288" s="18"/>
      <c r="J3288" s="18"/>
      <c r="K3288" s="18"/>
      <c r="L3288" s="18"/>
      <c r="M3288" s="18"/>
      <c r="N3288" s="18"/>
      <c r="O3288" s="18"/>
      <c r="P3288" s="18"/>
      <c r="Q3288" s="18"/>
    </row>
    <row r="3289" spans="1:17">
      <c r="A3289" s="18"/>
      <c r="B3289" s="18"/>
      <c r="C3289" s="18"/>
      <c r="D3289" s="18"/>
      <c r="E3289" s="18"/>
      <c r="F3289" s="18"/>
      <c r="G3289" s="18"/>
      <c r="H3289" s="18"/>
      <c r="I3289" s="18"/>
      <c r="J3289" s="18"/>
      <c r="K3289" s="18"/>
      <c r="L3289" s="18"/>
      <c r="M3289" s="18"/>
      <c r="N3289" s="18"/>
      <c r="O3289" s="18"/>
      <c r="P3289" s="18"/>
      <c r="Q3289" s="18"/>
    </row>
    <row r="3290" spans="1:17">
      <c r="A3290" s="18"/>
      <c r="B3290" s="18"/>
      <c r="C3290" s="18"/>
      <c r="D3290" s="18"/>
      <c r="E3290" s="18"/>
      <c r="F3290" s="18"/>
      <c r="G3290" s="18"/>
      <c r="H3290" s="18"/>
      <c r="I3290" s="18"/>
      <c r="J3290" s="18"/>
      <c r="K3290" s="18"/>
      <c r="L3290" s="18"/>
      <c r="M3290" s="18"/>
      <c r="N3290" s="18"/>
      <c r="O3290" s="18"/>
      <c r="P3290" s="18"/>
      <c r="Q3290" s="18"/>
    </row>
    <row r="3291" spans="1:17">
      <c r="A3291" s="18"/>
      <c r="B3291" s="18"/>
      <c r="C3291" s="18"/>
      <c r="D3291" s="18"/>
      <c r="E3291" s="18"/>
      <c r="F3291" s="18"/>
      <c r="G3291" s="18"/>
      <c r="H3291" s="18"/>
      <c r="I3291" s="18"/>
      <c r="J3291" s="18"/>
      <c r="K3291" s="18"/>
      <c r="L3291" s="18"/>
      <c r="M3291" s="18"/>
      <c r="N3291" s="18"/>
      <c r="O3291" s="18"/>
      <c r="P3291" s="18"/>
      <c r="Q3291" s="18"/>
    </row>
    <row r="3292" spans="1:17">
      <c r="A3292" s="18"/>
      <c r="B3292" s="18"/>
      <c r="C3292" s="18"/>
      <c r="D3292" s="18"/>
      <c r="E3292" s="18"/>
      <c r="F3292" s="18"/>
      <c r="G3292" s="18"/>
      <c r="H3292" s="18"/>
      <c r="I3292" s="18"/>
      <c r="J3292" s="18"/>
      <c r="K3292" s="18"/>
      <c r="L3292" s="18"/>
      <c r="M3292" s="18"/>
      <c r="N3292" s="18"/>
      <c r="O3292" s="18"/>
      <c r="P3292" s="18"/>
      <c r="Q3292" s="18"/>
    </row>
    <row r="3293" spans="1:17">
      <c r="A3293" s="149"/>
      <c r="B3293" s="18"/>
      <c r="C3293" s="18"/>
      <c r="D3293" s="18"/>
      <c r="E3293" s="18"/>
      <c r="F3293" s="18"/>
      <c r="G3293" s="18"/>
      <c r="H3293" s="18"/>
      <c r="I3293" s="18"/>
      <c r="J3293" s="18"/>
      <c r="K3293" s="18"/>
      <c r="L3293" s="18"/>
      <c r="M3293" s="18"/>
      <c r="N3293" s="18"/>
      <c r="O3293" s="18"/>
      <c r="P3293" s="18"/>
      <c r="Q3293" s="18"/>
    </row>
    <row r="3294" spans="1:17">
      <c r="A3294" s="18"/>
      <c r="B3294" s="18"/>
      <c r="C3294" s="18"/>
      <c r="D3294" s="18"/>
      <c r="E3294" s="18"/>
      <c r="F3294" s="18"/>
      <c r="G3294" s="18"/>
      <c r="H3294" s="18"/>
      <c r="I3294" s="18"/>
      <c r="J3294" s="18"/>
      <c r="K3294" s="18"/>
      <c r="L3294" s="18"/>
      <c r="M3294" s="18"/>
      <c r="N3294" s="18"/>
      <c r="O3294" s="18"/>
      <c r="P3294" s="18"/>
      <c r="Q3294" s="18"/>
    </row>
    <row r="3295" spans="1:17">
      <c r="A3295" s="18"/>
      <c r="B3295" s="18"/>
      <c r="C3295" s="18"/>
      <c r="D3295" s="18"/>
      <c r="E3295" s="18"/>
      <c r="F3295" s="18"/>
      <c r="G3295" s="18"/>
      <c r="H3295" s="18"/>
      <c r="I3295" s="18"/>
      <c r="J3295" s="18"/>
      <c r="K3295" s="18"/>
      <c r="L3295" s="18"/>
      <c r="M3295" s="18"/>
      <c r="N3295" s="18"/>
      <c r="O3295" s="18"/>
      <c r="P3295" s="18"/>
      <c r="Q3295" s="18"/>
    </row>
    <row r="3296" spans="1:17">
      <c r="A3296" s="18"/>
      <c r="B3296" s="18"/>
      <c r="C3296" s="18"/>
      <c r="D3296" s="18"/>
      <c r="E3296" s="18"/>
      <c r="F3296" s="18"/>
      <c r="G3296" s="18"/>
      <c r="H3296" s="18"/>
      <c r="I3296" s="18"/>
      <c r="J3296" s="18"/>
      <c r="K3296" s="18"/>
      <c r="L3296" s="18"/>
      <c r="M3296" s="18"/>
      <c r="N3296" s="18"/>
      <c r="O3296" s="18"/>
      <c r="P3296" s="18"/>
      <c r="Q3296" s="18"/>
    </row>
    <row r="3297" spans="1:17">
      <c r="A3297" s="149"/>
      <c r="B3297" s="18"/>
      <c r="C3297" s="18"/>
      <c r="D3297" s="18"/>
      <c r="E3297" s="18"/>
      <c r="F3297" s="18"/>
      <c r="G3297" s="18"/>
      <c r="H3297" s="18"/>
      <c r="I3297" s="18"/>
      <c r="J3297" s="18"/>
      <c r="K3297" s="18"/>
      <c r="L3297" s="18"/>
      <c r="M3297" s="18"/>
      <c r="N3297" s="18"/>
      <c r="O3297" s="18"/>
      <c r="P3297" s="18"/>
      <c r="Q3297" s="18"/>
    </row>
    <row r="3298" spans="1:17">
      <c r="A3298" s="18"/>
      <c r="B3298" s="18"/>
      <c r="C3298" s="18"/>
      <c r="D3298" s="18"/>
      <c r="E3298" s="18"/>
      <c r="F3298" s="18"/>
      <c r="G3298" s="18"/>
      <c r="H3298" s="18"/>
      <c r="I3298" s="18"/>
      <c r="J3298" s="18"/>
      <c r="K3298" s="18"/>
      <c r="L3298" s="18"/>
      <c r="M3298" s="18"/>
      <c r="N3298" s="18"/>
      <c r="O3298" s="18"/>
      <c r="P3298" s="18"/>
      <c r="Q3298" s="18"/>
    </row>
    <row r="3299" spans="1:17">
      <c r="A3299" s="18"/>
      <c r="B3299" s="18"/>
      <c r="C3299" s="18"/>
      <c r="D3299" s="18"/>
      <c r="E3299" s="18"/>
      <c r="F3299" s="18"/>
      <c r="G3299" s="18"/>
      <c r="H3299" s="18"/>
      <c r="I3299" s="18"/>
      <c r="J3299" s="18"/>
      <c r="K3299" s="18"/>
      <c r="L3299" s="18"/>
      <c r="M3299" s="18"/>
      <c r="N3299" s="18"/>
      <c r="O3299" s="18"/>
      <c r="P3299" s="18"/>
      <c r="Q3299" s="18"/>
    </row>
    <row r="3300" spans="1:17">
      <c r="A3300" s="18"/>
      <c r="B3300" s="18"/>
      <c r="C3300" s="18"/>
      <c r="D3300" s="18"/>
      <c r="E3300" s="18"/>
      <c r="F3300" s="18"/>
      <c r="G3300" s="18"/>
      <c r="H3300" s="18"/>
      <c r="I3300" s="18"/>
      <c r="J3300" s="18"/>
      <c r="K3300" s="18"/>
      <c r="L3300" s="18"/>
      <c r="M3300" s="18"/>
      <c r="N3300" s="18"/>
      <c r="O3300" s="18"/>
      <c r="P3300" s="18"/>
      <c r="Q3300" s="18"/>
    </row>
    <row r="3301" spans="1:17">
      <c r="A3301" s="149"/>
      <c r="B3301" s="18"/>
      <c r="C3301" s="18"/>
      <c r="D3301" s="18"/>
      <c r="E3301" s="18"/>
      <c r="F3301" s="18"/>
      <c r="G3301" s="18"/>
      <c r="H3301" s="18"/>
      <c r="I3301" s="18"/>
      <c r="J3301" s="18"/>
      <c r="K3301" s="18"/>
      <c r="L3301" s="18"/>
      <c r="M3301" s="18"/>
      <c r="N3301" s="18"/>
      <c r="O3301" s="18"/>
      <c r="P3301" s="18"/>
      <c r="Q3301" s="18"/>
    </row>
    <row r="3302" spans="1:17">
      <c r="A3302" s="18"/>
      <c r="B3302" s="12"/>
      <c r="C3302" s="18"/>
      <c r="D3302" s="18"/>
      <c r="E3302" s="18"/>
      <c r="F3302" s="18"/>
      <c r="G3302" s="18"/>
      <c r="H3302" s="18"/>
      <c r="I3302" s="18"/>
      <c r="J3302" s="18"/>
      <c r="K3302" s="18"/>
      <c r="L3302" s="18"/>
      <c r="M3302" s="18"/>
      <c r="N3302" s="18"/>
      <c r="O3302" s="18"/>
      <c r="P3302" s="18"/>
      <c r="Q3302" s="18"/>
    </row>
    <row r="3303" spans="1:17">
      <c r="A3303" s="18"/>
      <c r="B3303" s="18"/>
      <c r="C3303" s="18"/>
      <c r="D3303" s="18"/>
      <c r="E3303" s="18"/>
      <c r="F3303" s="18"/>
      <c r="G3303" s="18"/>
      <c r="H3303" s="18"/>
      <c r="I3303" s="18"/>
      <c r="J3303" s="18"/>
      <c r="K3303" s="18"/>
      <c r="L3303" s="18"/>
      <c r="M3303" s="18"/>
      <c r="N3303" s="18"/>
      <c r="O3303" s="18"/>
      <c r="P3303" s="18"/>
      <c r="Q3303" s="18"/>
    </row>
    <row r="3304" spans="1:17">
      <c r="A3304" s="18"/>
      <c r="B3304" s="18"/>
      <c r="C3304" s="18"/>
      <c r="D3304" s="18"/>
      <c r="E3304" s="18"/>
      <c r="F3304" s="18"/>
      <c r="G3304" s="18"/>
      <c r="H3304" s="18"/>
      <c r="I3304" s="18"/>
      <c r="J3304" s="18"/>
      <c r="K3304" s="18"/>
      <c r="L3304" s="18"/>
      <c r="M3304" s="18"/>
      <c r="N3304" s="18"/>
      <c r="O3304" s="18"/>
      <c r="P3304" s="18"/>
      <c r="Q3304" s="18"/>
    </row>
    <row r="3305" spans="1:17">
      <c r="A3305" s="18"/>
      <c r="B3305" s="18"/>
      <c r="C3305" s="18"/>
      <c r="D3305" s="18"/>
      <c r="E3305" s="18"/>
      <c r="F3305" s="18"/>
      <c r="G3305" s="18"/>
      <c r="H3305" s="18"/>
      <c r="I3305" s="18"/>
      <c r="J3305" s="18"/>
      <c r="K3305" s="18"/>
      <c r="L3305" s="18"/>
      <c r="M3305" s="18"/>
      <c r="N3305" s="18"/>
      <c r="O3305" s="18"/>
      <c r="P3305" s="18"/>
      <c r="Q3305" s="18"/>
    </row>
    <row r="3306" spans="1:17">
      <c r="A3306" s="149"/>
      <c r="B3306" s="18"/>
      <c r="C3306" s="18"/>
      <c r="D3306" s="18"/>
      <c r="E3306" s="18"/>
      <c r="F3306" s="18"/>
      <c r="G3306" s="18"/>
      <c r="H3306" s="18"/>
      <c r="I3306" s="18"/>
      <c r="J3306" s="18"/>
      <c r="K3306" s="18"/>
      <c r="L3306" s="18"/>
      <c r="M3306" s="18"/>
      <c r="N3306" s="18"/>
      <c r="O3306" s="18"/>
      <c r="P3306" s="18"/>
      <c r="Q3306" s="18"/>
    </row>
    <row r="3307" spans="1:17">
      <c r="A3307" s="18"/>
      <c r="B3307" s="18"/>
      <c r="C3307" s="18"/>
      <c r="D3307" s="18"/>
      <c r="E3307" s="18"/>
      <c r="F3307" s="18"/>
      <c r="G3307" s="18"/>
      <c r="H3307" s="18"/>
      <c r="I3307" s="18"/>
      <c r="J3307" s="18"/>
      <c r="K3307" s="18"/>
      <c r="L3307" s="18"/>
      <c r="M3307" s="18"/>
      <c r="N3307" s="18"/>
      <c r="O3307" s="18"/>
      <c r="P3307" s="18"/>
      <c r="Q3307" s="18"/>
    </row>
    <row r="3308" spans="1:17">
      <c r="A3308" s="18"/>
      <c r="B3308" s="18"/>
      <c r="C3308" s="18"/>
      <c r="D3308" s="18"/>
      <c r="E3308" s="18"/>
      <c r="F3308" s="18"/>
      <c r="G3308" s="18"/>
      <c r="H3308" s="18"/>
      <c r="I3308" s="18"/>
      <c r="J3308" s="18"/>
      <c r="K3308" s="18"/>
      <c r="L3308" s="18"/>
      <c r="M3308" s="18"/>
      <c r="N3308" s="18"/>
      <c r="O3308" s="18"/>
      <c r="P3308" s="18"/>
      <c r="Q3308" s="18"/>
    </row>
    <row r="3309" spans="1:17">
      <c r="A3309" s="18"/>
      <c r="B3309" s="18"/>
      <c r="C3309" s="18"/>
      <c r="D3309" s="18"/>
      <c r="E3309" s="18"/>
      <c r="F3309" s="18"/>
      <c r="G3309" s="18"/>
      <c r="H3309" s="18"/>
      <c r="I3309" s="18"/>
      <c r="J3309" s="18"/>
      <c r="K3309" s="18"/>
      <c r="L3309" s="18"/>
      <c r="M3309" s="18"/>
      <c r="N3309" s="18"/>
      <c r="O3309" s="18"/>
      <c r="P3309" s="18"/>
      <c r="Q3309" s="18"/>
    </row>
    <row r="3310" spans="1:17">
      <c r="A3310" s="18"/>
      <c r="B3310" s="18"/>
      <c r="C3310" s="18"/>
      <c r="D3310" s="18"/>
      <c r="E3310" s="18"/>
      <c r="F3310" s="18"/>
      <c r="G3310" s="18"/>
      <c r="H3310" s="18"/>
      <c r="I3310" s="18"/>
      <c r="J3310" s="18"/>
      <c r="K3310" s="18"/>
      <c r="L3310" s="18"/>
      <c r="M3310" s="18"/>
      <c r="N3310" s="18"/>
      <c r="O3310" s="18"/>
      <c r="P3310" s="18"/>
      <c r="Q3310" s="18"/>
    </row>
    <row r="3311" spans="1:17">
      <c r="A3311" s="149"/>
      <c r="B3311" s="18"/>
      <c r="C3311" s="18"/>
      <c r="D3311" s="18"/>
      <c r="E3311" s="18"/>
      <c r="F3311" s="18"/>
      <c r="G3311" s="18"/>
      <c r="H3311" s="18"/>
      <c r="I3311" s="18"/>
      <c r="J3311" s="18"/>
      <c r="K3311" s="18"/>
      <c r="L3311" s="18"/>
      <c r="M3311" s="18"/>
      <c r="N3311" s="18"/>
      <c r="O3311" s="18"/>
      <c r="P3311" s="18"/>
      <c r="Q3311" s="18"/>
    </row>
    <row r="3312" spans="1:17">
      <c r="A3312" s="18"/>
      <c r="B3312" s="18"/>
      <c r="C3312" s="18"/>
      <c r="D3312" s="18"/>
      <c r="E3312" s="18"/>
      <c r="F3312" s="18"/>
      <c r="G3312" s="18"/>
      <c r="H3312" s="18"/>
      <c r="I3312" s="18"/>
      <c r="J3312" s="18"/>
      <c r="K3312" s="18"/>
      <c r="L3312" s="18"/>
      <c r="M3312" s="18"/>
      <c r="N3312" s="18"/>
      <c r="O3312" s="18"/>
      <c r="P3312" s="18"/>
      <c r="Q3312" s="18"/>
    </row>
    <row r="3313" spans="1:17">
      <c r="A3313" s="18"/>
      <c r="B3313" s="18"/>
      <c r="C3313" s="18"/>
      <c r="D3313" s="18"/>
      <c r="E3313" s="18"/>
      <c r="F3313" s="18"/>
      <c r="G3313" s="18"/>
      <c r="H3313" s="18"/>
      <c r="I3313" s="18"/>
      <c r="J3313" s="18"/>
      <c r="K3313" s="18"/>
      <c r="L3313" s="18"/>
      <c r="M3313" s="18"/>
      <c r="N3313" s="18"/>
      <c r="O3313" s="18"/>
      <c r="P3313" s="18"/>
      <c r="Q3313" s="18"/>
    </row>
    <row r="3314" spans="1:17">
      <c r="A3314" s="149"/>
      <c r="B3314" s="18"/>
      <c r="C3314" s="18"/>
      <c r="D3314" s="18"/>
      <c r="E3314" s="18"/>
      <c r="F3314" s="18"/>
      <c r="G3314" s="18"/>
      <c r="H3314" s="18"/>
      <c r="I3314" s="18"/>
      <c r="J3314" s="18"/>
      <c r="K3314" s="18"/>
      <c r="L3314" s="18"/>
      <c r="M3314" s="18"/>
      <c r="N3314" s="18"/>
      <c r="O3314" s="18"/>
      <c r="P3314" s="18"/>
      <c r="Q3314" s="18"/>
    </row>
    <row r="3315" spans="1:17">
      <c r="A3315" s="18"/>
      <c r="B3315" s="18"/>
      <c r="C3315" s="18"/>
      <c r="D3315" s="18"/>
      <c r="E3315" s="18"/>
      <c r="F3315" s="18"/>
      <c r="G3315" s="18"/>
      <c r="H3315" s="18"/>
      <c r="I3315" s="18"/>
      <c r="J3315" s="18"/>
      <c r="K3315" s="18"/>
      <c r="L3315" s="18"/>
      <c r="M3315" s="18"/>
      <c r="N3315" s="18"/>
      <c r="O3315" s="18"/>
      <c r="P3315" s="18"/>
      <c r="Q3315" s="18"/>
    </row>
    <row r="3316" spans="1:17">
      <c r="A3316" s="18"/>
      <c r="B3316" s="18"/>
      <c r="C3316" s="18"/>
      <c r="D3316" s="18"/>
      <c r="E3316" s="18"/>
      <c r="F3316" s="18"/>
      <c r="G3316" s="18"/>
      <c r="H3316" s="18"/>
      <c r="I3316" s="18"/>
      <c r="J3316" s="18"/>
      <c r="K3316" s="18"/>
      <c r="L3316" s="18"/>
      <c r="M3316" s="18"/>
      <c r="N3316" s="18"/>
      <c r="O3316" s="18"/>
      <c r="P3316" s="18"/>
      <c r="Q3316" s="18"/>
    </row>
    <row r="3317" spans="1:17">
      <c r="A3317" s="18"/>
      <c r="B3317" s="18"/>
      <c r="C3317" s="18"/>
      <c r="D3317" s="18"/>
      <c r="E3317" s="18"/>
      <c r="F3317" s="18"/>
      <c r="G3317" s="18"/>
      <c r="H3317" s="18"/>
      <c r="I3317" s="18"/>
      <c r="J3317" s="18"/>
      <c r="K3317" s="18"/>
      <c r="L3317" s="18"/>
      <c r="M3317" s="18"/>
      <c r="N3317" s="18"/>
      <c r="O3317" s="18"/>
      <c r="P3317" s="18"/>
      <c r="Q3317" s="18"/>
    </row>
    <row r="3318" spans="1:17">
      <c r="A3318" s="18"/>
      <c r="B3318" s="18"/>
      <c r="C3318" s="18"/>
      <c r="D3318" s="18"/>
      <c r="E3318" s="18"/>
      <c r="F3318" s="18"/>
      <c r="G3318" s="18"/>
      <c r="H3318" s="18"/>
      <c r="I3318" s="18"/>
      <c r="J3318" s="18"/>
      <c r="K3318" s="18"/>
      <c r="L3318" s="18"/>
      <c r="M3318" s="18"/>
      <c r="N3318" s="18"/>
      <c r="O3318" s="18"/>
      <c r="P3318" s="18"/>
      <c r="Q3318" s="18"/>
    </row>
    <row r="3319" spans="1:17">
      <c r="A3319" s="18"/>
      <c r="B3319" s="18"/>
      <c r="C3319" s="18"/>
      <c r="D3319" s="18"/>
      <c r="E3319" s="18"/>
      <c r="F3319" s="18"/>
      <c r="G3319" s="18"/>
      <c r="H3319" s="18"/>
      <c r="I3319" s="18"/>
      <c r="J3319" s="18"/>
      <c r="K3319" s="18"/>
      <c r="L3319" s="18"/>
      <c r="M3319" s="18"/>
      <c r="N3319" s="18"/>
      <c r="O3319" s="18"/>
      <c r="P3319" s="18"/>
      <c r="Q3319" s="18"/>
    </row>
    <row r="3320" spans="1:17">
      <c r="A3320" s="18"/>
      <c r="B3320" s="18"/>
      <c r="C3320" s="18"/>
      <c r="D3320" s="18"/>
      <c r="E3320" s="18"/>
      <c r="F3320" s="18"/>
      <c r="G3320" s="18"/>
      <c r="H3320" s="18"/>
      <c r="I3320" s="18"/>
      <c r="J3320" s="18"/>
      <c r="K3320" s="18"/>
      <c r="L3320" s="18"/>
      <c r="M3320" s="18"/>
      <c r="N3320" s="18"/>
      <c r="O3320" s="18"/>
      <c r="P3320" s="18"/>
      <c r="Q3320" s="18"/>
    </row>
    <row r="3321" spans="1:17">
      <c r="A3321" s="18"/>
      <c r="B3321" s="18"/>
      <c r="C3321" s="18"/>
      <c r="D3321" s="18"/>
      <c r="E3321" s="18"/>
      <c r="F3321" s="18"/>
      <c r="G3321" s="18"/>
      <c r="H3321" s="18"/>
      <c r="I3321" s="18"/>
      <c r="J3321" s="18"/>
      <c r="K3321" s="18"/>
      <c r="L3321" s="18"/>
      <c r="M3321" s="18"/>
      <c r="N3321" s="18"/>
      <c r="O3321" s="18"/>
      <c r="P3321" s="18"/>
      <c r="Q3321" s="18"/>
    </row>
    <row r="3322" spans="1:17">
      <c r="A3322" s="18"/>
      <c r="B3322" s="18"/>
      <c r="C3322" s="18"/>
      <c r="D3322" s="18"/>
      <c r="E3322" s="18"/>
      <c r="F3322" s="18"/>
      <c r="G3322" s="18"/>
      <c r="H3322" s="18"/>
      <c r="I3322" s="18"/>
      <c r="J3322" s="18"/>
      <c r="K3322" s="18"/>
      <c r="L3322" s="18"/>
      <c r="M3322" s="18"/>
      <c r="N3322" s="18"/>
      <c r="O3322" s="18"/>
      <c r="P3322" s="18"/>
      <c r="Q3322" s="18"/>
    </row>
    <row r="3323" spans="1:17">
      <c r="A3323" s="18"/>
      <c r="B3323" s="18"/>
      <c r="C3323" s="18"/>
      <c r="D3323" s="18"/>
      <c r="E3323" s="18"/>
      <c r="F3323" s="18"/>
      <c r="G3323" s="18"/>
      <c r="H3323" s="18"/>
      <c r="I3323" s="18"/>
      <c r="J3323" s="18"/>
      <c r="K3323" s="18"/>
      <c r="L3323" s="18"/>
      <c r="M3323" s="18"/>
      <c r="N3323" s="18"/>
      <c r="O3323" s="18"/>
      <c r="P3323" s="18"/>
      <c r="Q3323" s="18"/>
    </row>
    <row r="3324" spans="1:17">
      <c r="A3324" s="18"/>
      <c r="B3324" s="18"/>
      <c r="C3324" s="18"/>
      <c r="D3324" s="18"/>
      <c r="E3324" s="18"/>
      <c r="F3324" s="18"/>
      <c r="G3324" s="18"/>
      <c r="H3324" s="18"/>
      <c r="I3324" s="18"/>
      <c r="J3324" s="18"/>
      <c r="K3324" s="18"/>
      <c r="L3324" s="18"/>
      <c r="M3324" s="18"/>
      <c r="N3324" s="18"/>
      <c r="O3324" s="18"/>
      <c r="P3324" s="18"/>
      <c r="Q3324" s="18"/>
    </row>
    <row r="3325" spans="1:17">
      <c r="A3325" s="18"/>
      <c r="B3325" s="18"/>
      <c r="C3325" s="18"/>
      <c r="D3325" s="18"/>
      <c r="E3325" s="18"/>
      <c r="F3325" s="18"/>
      <c r="G3325" s="18"/>
      <c r="H3325" s="18"/>
      <c r="I3325" s="18"/>
      <c r="J3325" s="18"/>
      <c r="K3325" s="18"/>
      <c r="L3325" s="18"/>
      <c r="M3325" s="18"/>
      <c r="N3325" s="18"/>
      <c r="O3325" s="18"/>
      <c r="P3325" s="18"/>
      <c r="Q3325" s="18"/>
    </row>
    <row r="3326" spans="1:17">
      <c r="A3326" s="18"/>
      <c r="B3326" s="18"/>
      <c r="C3326" s="18"/>
      <c r="D3326" s="18"/>
      <c r="E3326" s="18"/>
      <c r="F3326" s="18"/>
      <c r="G3326" s="18"/>
      <c r="H3326" s="18"/>
      <c r="I3326" s="18"/>
      <c r="J3326" s="18"/>
      <c r="K3326" s="18"/>
      <c r="L3326" s="18"/>
      <c r="M3326" s="18"/>
      <c r="N3326" s="18"/>
      <c r="O3326" s="18"/>
      <c r="P3326" s="18"/>
      <c r="Q3326" s="18"/>
    </row>
    <row r="3327" spans="1:17">
      <c r="A3327" s="18"/>
      <c r="B3327" s="18"/>
      <c r="C3327" s="18"/>
      <c r="D3327" s="18"/>
      <c r="E3327" s="18"/>
      <c r="F3327" s="18"/>
      <c r="G3327" s="18"/>
      <c r="H3327" s="18"/>
      <c r="I3327" s="18"/>
      <c r="J3327" s="18"/>
      <c r="K3327" s="18"/>
      <c r="L3327" s="18"/>
      <c r="M3327" s="18"/>
      <c r="N3327" s="18"/>
      <c r="O3327" s="18"/>
      <c r="P3327" s="18"/>
      <c r="Q3327" s="18"/>
    </row>
    <row r="3328" spans="1:17">
      <c r="A3328" s="18"/>
      <c r="B3328" s="18"/>
      <c r="C3328" s="18"/>
      <c r="D3328" s="18"/>
      <c r="E3328" s="18"/>
      <c r="F3328" s="18"/>
      <c r="G3328" s="18"/>
      <c r="H3328" s="18"/>
      <c r="I3328" s="18"/>
      <c r="J3328" s="18"/>
      <c r="K3328" s="18"/>
      <c r="L3328" s="18"/>
      <c r="M3328" s="18"/>
      <c r="N3328" s="18"/>
      <c r="O3328" s="18"/>
      <c r="P3328" s="18"/>
      <c r="Q3328" s="18"/>
    </row>
    <row r="3329" spans="1:17">
      <c r="A3329" s="18"/>
      <c r="B3329" s="18"/>
      <c r="C3329" s="18"/>
      <c r="D3329" s="18"/>
      <c r="E3329" s="18"/>
      <c r="F3329" s="18"/>
      <c r="G3329" s="18"/>
      <c r="H3329" s="18"/>
      <c r="I3329" s="18"/>
      <c r="J3329" s="18"/>
      <c r="K3329" s="18"/>
      <c r="L3329" s="18"/>
      <c r="M3329" s="18"/>
      <c r="N3329" s="18"/>
      <c r="O3329" s="18"/>
      <c r="P3329" s="18"/>
      <c r="Q3329" s="18"/>
    </row>
    <row r="3330" spans="1:17">
      <c r="A3330" s="18"/>
      <c r="B3330" s="18"/>
      <c r="C3330" s="18"/>
      <c r="D3330" s="18"/>
      <c r="E3330" s="18"/>
      <c r="F3330" s="18"/>
      <c r="G3330" s="18"/>
      <c r="H3330" s="18"/>
      <c r="I3330" s="18"/>
      <c r="J3330" s="18"/>
      <c r="K3330" s="18"/>
      <c r="L3330" s="18"/>
      <c r="M3330" s="18"/>
      <c r="N3330" s="18"/>
      <c r="O3330" s="18"/>
      <c r="P3330" s="18"/>
      <c r="Q3330" s="18"/>
    </row>
    <row r="3331" spans="1:17">
      <c r="A3331" s="18"/>
      <c r="B3331" s="18"/>
      <c r="C3331" s="18"/>
      <c r="D3331" s="18"/>
      <c r="E3331" s="18"/>
      <c r="F3331" s="18"/>
      <c r="G3331" s="18"/>
      <c r="H3331" s="18"/>
      <c r="I3331" s="18"/>
      <c r="J3331" s="18"/>
      <c r="K3331" s="18"/>
      <c r="L3331" s="18"/>
      <c r="M3331" s="18"/>
      <c r="N3331" s="18"/>
      <c r="O3331" s="18"/>
      <c r="P3331" s="18"/>
      <c r="Q3331" s="18"/>
    </row>
    <row r="3332" spans="1:17">
      <c r="A3332" s="18"/>
      <c r="B3332" s="18"/>
      <c r="C3332" s="18"/>
      <c r="D3332" s="18"/>
      <c r="E3332" s="18"/>
      <c r="F3332" s="18"/>
      <c r="G3332" s="18"/>
      <c r="H3332" s="18"/>
      <c r="I3332" s="18"/>
      <c r="J3332" s="18"/>
      <c r="K3332" s="18"/>
      <c r="L3332" s="18"/>
      <c r="M3332" s="18"/>
      <c r="N3332" s="18"/>
      <c r="O3332" s="18"/>
      <c r="P3332" s="18"/>
      <c r="Q3332" s="18"/>
    </row>
    <row r="3333" spans="1:17">
      <c r="A3333" s="18"/>
      <c r="B3333" s="18"/>
      <c r="C3333" s="18"/>
      <c r="D3333" s="18"/>
      <c r="E3333" s="18"/>
      <c r="F3333" s="18"/>
      <c r="G3333" s="18"/>
      <c r="H3333" s="18"/>
      <c r="I3333" s="18"/>
      <c r="J3333" s="18"/>
      <c r="K3333" s="18"/>
      <c r="L3333" s="18"/>
      <c r="M3333" s="18"/>
      <c r="N3333" s="18"/>
      <c r="O3333" s="18"/>
      <c r="P3333" s="18"/>
      <c r="Q3333" s="18"/>
    </row>
    <row r="3334" spans="1:17">
      <c r="A3334" s="18"/>
      <c r="B3334" s="18"/>
      <c r="C3334" s="18"/>
      <c r="D3334" s="18"/>
      <c r="E3334" s="18"/>
      <c r="F3334" s="18"/>
      <c r="G3334" s="18"/>
      <c r="H3334" s="18"/>
      <c r="I3334" s="18"/>
      <c r="J3334" s="18"/>
      <c r="K3334" s="18"/>
      <c r="L3334" s="18"/>
      <c r="M3334" s="18"/>
      <c r="N3334" s="18"/>
      <c r="O3334" s="18"/>
      <c r="P3334" s="18"/>
      <c r="Q3334" s="18"/>
    </row>
    <row r="3335" spans="1:17">
      <c r="A3335" s="18"/>
      <c r="B3335" s="18"/>
      <c r="C3335" s="18"/>
      <c r="D3335" s="18"/>
      <c r="E3335" s="18"/>
      <c r="F3335" s="18"/>
      <c r="G3335" s="18"/>
      <c r="H3335" s="18"/>
      <c r="I3335" s="18"/>
      <c r="J3335" s="18"/>
      <c r="K3335" s="18"/>
      <c r="L3335" s="18"/>
      <c r="M3335" s="18"/>
      <c r="N3335" s="18"/>
      <c r="O3335" s="18"/>
      <c r="P3335" s="18"/>
      <c r="Q3335" s="18"/>
    </row>
    <row r="3336" spans="1:17">
      <c r="A3336" s="18"/>
      <c r="B3336" s="18"/>
      <c r="C3336" s="18"/>
      <c r="D3336" s="18"/>
      <c r="E3336" s="18"/>
      <c r="F3336" s="18"/>
      <c r="G3336" s="18"/>
      <c r="H3336" s="18"/>
      <c r="I3336" s="18"/>
      <c r="J3336" s="18"/>
      <c r="K3336" s="18"/>
      <c r="L3336" s="18"/>
      <c r="M3336" s="18"/>
      <c r="N3336" s="18"/>
      <c r="O3336" s="18"/>
      <c r="P3336" s="18"/>
      <c r="Q3336" s="18"/>
    </row>
    <row r="3337" spans="1:17">
      <c r="A3337" s="18"/>
      <c r="B3337" s="18"/>
      <c r="C3337" s="18"/>
      <c r="D3337" s="18"/>
      <c r="E3337" s="18"/>
      <c r="F3337" s="18"/>
      <c r="G3337" s="18"/>
      <c r="H3337" s="18"/>
      <c r="I3337" s="18"/>
      <c r="J3337" s="18"/>
      <c r="K3337" s="18"/>
      <c r="L3337" s="18"/>
      <c r="M3337" s="18"/>
      <c r="N3337" s="18"/>
      <c r="O3337" s="18"/>
      <c r="P3337" s="18"/>
      <c r="Q3337" s="18"/>
    </row>
    <row r="3338" spans="1:17">
      <c r="A3338" s="18"/>
      <c r="B3338" s="18"/>
      <c r="C3338" s="18"/>
      <c r="D3338" s="18"/>
      <c r="E3338" s="18"/>
      <c r="F3338" s="18"/>
      <c r="G3338" s="18"/>
      <c r="H3338" s="18"/>
      <c r="I3338" s="18"/>
      <c r="J3338" s="18"/>
      <c r="K3338" s="18"/>
      <c r="L3338" s="18"/>
      <c r="M3338" s="18"/>
      <c r="N3338" s="18"/>
      <c r="O3338" s="18"/>
      <c r="P3338" s="18"/>
      <c r="Q3338" s="18"/>
    </row>
    <row r="3339" spans="1:17">
      <c r="A3339" s="18"/>
      <c r="B3339" s="18"/>
      <c r="C3339" s="18"/>
      <c r="D3339" s="18"/>
      <c r="E3339" s="18"/>
      <c r="F3339" s="18"/>
      <c r="G3339" s="18"/>
      <c r="H3339" s="18"/>
      <c r="I3339" s="18"/>
      <c r="J3339" s="18"/>
      <c r="K3339" s="18"/>
      <c r="L3339" s="18"/>
      <c r="M3339" s="18"/>
      <c r="N3339" s="18"/>
      <c r="O3339" s="18"/>
      <c r="P3339" s="18"/>
      <c r="Q3339" s="18"/>
    </row>
    <row r="3340" spans="1:17">
      <c r="A3340" s="18"/>
      <c r="B3340" s="18"/>
      <c r="C3340" s="18"/>
      <c r="D3340" s="18"/>
      <c r="E3340" s="18"/>
      <c r="F3340" s="18"/>
      <c r="G3340" s="18"/>
      <c r="H3340" s="18"/>
      <c r="I3340" s="18"/>
      <c r="J3340" s="18"/>
      <c r="K3340" s="18"/>
      <c r="L3340" s="18"/>
      <c r="M3340" s="18"/>
      <c r="N3340" s="18"/>
      <c r="O3340" s="18"/>
      <c r="P3340" s="18"/>
      <c r="Q3340" s="18"/>
    </row>
    <row r="3341" spans="1:17">
      <c r="A3341" s="18"/>
      <c r="B3341" s="18"/>
      <c r="C3341" s="18"/>
      <c r="D3341" s="18"/>
      <c r="E3341" s="18"/>
      <c r="F3341" s="18"/>
      <c r="G3341" s="18"/>
      <c r="H3341" s="18"/>
      <c r="I3341" s="18"/>
      <c r="J3341" s="18"/>
      <c r="K3341" s="18"/>
      <c r="L3341" s="18"/>
      <c r="M3341" s="18"/>
      <c r="N3341" s="18"/>
      <c r="O3341" s="18"/>
      <c r="P3341" s="18"/>
      <c r="Q3341" s="18"/>
    </row>
    <row r="3342" spans="1:17">
      <c r="A3342" s="18"/>
      <c r="B3342" s="18"/>
      <c r="C3342" s="18"/>
      <c r="D3342" s="18"/>
      <c r="E3342" s="18"/>
      <c r="F3342" s="18"/>
      <c r="G3342" s="18"/>
      <c r="H3342" s="18"/>
      <c r="I3342" s="18"/>
      <c r="J3342" s="18"/>
      <c r="K3342" s="18"/>
      <c r="L3342" s="18"/>
      <c r="M3342" s="18"/>
      <c r="N3342" s="18"/>
      <c r="O3342" s="18"/>
      <c r="P3342" s="18"/>
      <c r="Q3342" s="18"/>
    </row>
    <row r="3343" spans="1:17">
      <c r="A3343" s="18"/>
      <c r="B3343" s="18"/>
      <c r="C3343" s="18"/>
      <c r="D3343" s="18"/>
      <c r="E3343" s="18"/>
      <c r="F3343" s="18"/>
      <c r="G3343" s="18"/>
      <c r="H3343" s="18"/>
      <c r="I3343" s="18"/>
      <c r="J3343" s="18"/>
      <c r="K3343" s="18"/>
      <c r="L3343" s="18"/>
      <c r="M3343" s="18"/>
      <c r="N3343" s="18"/>
      <c r="O3343" s="18"/>
      <c r="P3343" s="18"/>
      <c r="Q3343" s="18"/>
    </row>
    <row r="3344" spans="1:17">
      <c r="A3344" s="18"/>
      <c r="B3344" s="18"/>
      <c r="C3344" s="18"/>
      <c r="D3344" s="18"/>
      <c r="E3344" s="18"/>
      <c r="F3344" s="18"/>
      <c r="G3344" s="18"/>
      <c r="H3344" s="18"/>
      <c r="I3344" s="18"/>
      <c r="J3344" s="18"/>
      <c r="K3344" s="18"/>
      <c r="L3344" s="18"/>
      <c r="M3344" s="18"/>
      <c r="N3344" s="18"/>
      <c r="O3344" s="18"/>
      <c r="P3344" s="18"/>
      <c r="Q3344" s="18"/>
    </row>
    <row r="3345" spans="1:17">
      <c r="A3345" s="18"/>
      <c r="B3345" s="18"/>
      <c r="C3345" s="18"/>
      <c r="D3345" s="18"/>
      <c r="E3345" s="18"/>
      <c r="F3345" s="18"/>
      <c r="G3345" s="18"/>
      <c r="H3345" s="18"/>
      <c r="I3345" s="18"/>
      <c r="J3345" s="18"/>
      <c r="K3345" s="18"/>
      <c r="L3345" s="18"/>
      <c r="M3345" s="18"/>
      <c r="N3345" s="18"/>
      <c r="O3345" s="18"/>
      <c r="P3345" s="18"/>
      <c r="Q3345" s="18"/>
    </row>
    <row r="3346" spans="1:17">
      <c r="A3346" s="18"/>
      <c r="B3346" s="18"/>
      <c r="C3346" s="18"/>
      <c r="D3346" s="18"/>
      <c r="E3346" s="18"/>
      <c r="F3346" s="18"/>
      <c r="G3346" s="18"/>
      <c r="H3346" s="18"/>
      <c r="I3346" s="18"/>
      <c r="J3346" s="18"/>
      <c r="K3346" s="18"/>
      <c r="L3346" s="18"/>
      <c r="M3346" s="18"/>
      <c r="N3346" s="18"/>
      <c r="O3346" s="18"/>
      <c r="P3346" s="18"/>
      <c r="Q3346" s="18"/>
    </row>
    <row r="3347" spans="1:17">
      <c r="A3347" s="18"/>
      <c r="B3347" s="18"/>
      <c r="C3347" s="18"/>
      <c r="D3347" s="18"/>
      <c r="E3347" s="18"/>
      <c r="F3347" s="18"/>
      <c r="G3347" s="18"/>
      <c r="H3347" s="18"/>
      <c r="I3347" s="18"/>
      <c r="J3347" s="18"/>
      <c r="K3347" s="18"/>
      <c r="L3347" s="18"/>
      <c r="M3347" s="18"/>
      <c r="N3347" s="18"/>
      <c r="O3347" s="18"/>
      <c r="P3347" s="18"/>
      <c r="Q3347" s="18"/>
    </row>
    <row r="3348" spans="1:17">
      <c r="A3348" s="18"/>
      <c r="B3348" s="18"/>
      <c r="C3348" s="18"/>
      <c r="D3348" s="18"/>
      <c r="E3348" s="18"/>
      <c r="F3348" s="18"/>
      <c r="G3348" s="18"/>
      <c r="H3348" s="18"/>
      <c r="I3348" s="18"/>
      <c r="J3348" s="18"/>
      <c r="K3348" s="18"/>
      <c r="L3348" s="18"/>
      <c r="M3348" s="18"/>
      <c r="N3348" s="18"/>
      <c r="O3348" s="18"/>
      <c r="P3348" s="18"/>
      <c r="Q3348" s="18"/>
    </row>
    <row r="3349" spans="1:17">
      <c r="A3349" s="18"/>
      <c r="B3349" s="18"/>
      <c r="C3349" s="18"/>
      <c r="D3349" s="18"/>
      <c r="E3349" s="18"/>
      <c r="F3349" s="18"/>
      <c r="G3349" s="18"/>
      <c r="H3349" s="18"/>
      <c r="I3349" s="18"/>
      <c r="J3349" s="18"/>
      <c r="K3349" s="18"/>
      <c r="L3349" s="18"/>
      <c r="M3349" s="18"/>
      <c r="N3349" s="18"/>
      <c r="O3349" s="18"/>
      <c r="P3349" s="18"/>
      <c r="Q3349" s="18"/>
    </row>
    <row r="3350" spans="1:17">
      <c r="A3350" s="18"/>
      <c r="B3350" s="18"/>
      <c r="C3350" s="18"/>
      <c r="D3350" s="18"/>
      <c r="E3350" s="18"/>
      <c r="F3350" s="18"/>
      <c r="G3350" s="18"/>
      <c r="H3350" s="18"/>
      <c r="I3350" s="18"/>
      <c r="J3350" s="18"/>
      <c r="K3350" s="18"/>
      <c r="L3350" s="18"/>
      <c r="M3350" s="18"/>
      <c r="N3350" s="18"/>
      <c r="O3350" s="18"/>
      <c r="P3350" s="18"/>
      <c r="Q3350" s="18"/>
    </row>
    <row r="3351" spans="1:17">
      <c r="A3351" s="18"/>
      <c r="B3351" s="18"/>
      <c r="C3351" s="18"/>
      <c r="D3351" s="18"/>
      <c r="E3351" s="18"/>
      <c r="F3351" s="18"/>
      <c r="G3351" s="18"/>
      <c r="H3351" s="18"/>
      <c r="I3351" s="18"/>
      <c r="J3351" s="18"/>
      <c r="K3351" s="18"/>
      <c r="L3351" s="18"/>
      <c r="M3351" s="18"/>
      <c r="N3351" s="18"/>
      <c r="O3351" s="18"/>
      <c r="P3351" s="18"/>
      <c r="Q3351" s="18"/>
    </row>
    <row r="3352" spans="1:17">
      <c r="A3352" s="18"/>
      <c r="B3352" s="18"/>
      <c r="C3352" s="18"/>
      <c r="D3352" s="18"/>
      <c r="E3352" s="18"/>
      <c r="F3352" s="18"/>
      <c r="G3352" s="18"/>
      <c r="H3352" s="18"/>
      <c r="I3352" s="18"/>
      <c r="J3352" s="18"/>
      <c r="K3352" s="18"/>
      <c r="L3352" s="18"/>
      <c r="M3352" s="18"/>
      <c r="N3352" s="18"/>
      <c r="O3352" s="18"/>
      <c r="P3352" s="18"/>
      <c r="Q3352" s="18"/>
    </row>
    <row r="3353" spans="1:17">
      <c r="A3353" s="18"/>
      <c r="B3353" s="18"/>
      <c r="C3353" s="18"/>
      <c r="D3353" s="18"/>
      <c r="E3353" s="18"/>
      <c r="F3353" s="18"/>
      <c r="G3353" s="18"/>
      <c r="H3353" s="18"/>
      <c r="I3353" s="18"/>
      <c r="J3353" s="18"/>
      <c r="K3353" s="18"/>
      <c r="L3353" s="18"/>
      <c r="M3353" s="18"/>
      <c r="N3353" s="18"/>
      <c r="O3353" s="18"/>
      <c r="P3353" s="18"/>
      <c r="Q3353" s="18"/>
    </row>
    <row r="3354" spans="1:17">
      <c r="A3354" s="18"/>
      <c r="B3354" s="18"/>
      <c r="C3354" s="18"/>
      <c r="D3354" s="18"/>
      <c r="E3354" s="18"/>
      <c r="F3354" s="18"/>
      <c r="G3354" s="18"/>
      <c r="H3354" s="18"/>
      <c r="I3354" s="18"/>
      <c r="J3354" s="18"/>
      <c r="K3354" s="18"/>
      <c r="L3354" s="18"/>
      <c r="M3354" s="18"/>
      <c r="N3354" s="18"/>
      <c r="O3354" s="18"/>
      <c r="P3354" s="18"/>
      <c r="Q3354" s="18"/>
    </row>
    <row r="3355" spans="1:17">
      <c r="A3355" s="18"/>
      <c r="B3355" s="18"/>
      <c r="C3355" s="18"/>
      <c r="D3355" s="18"/>
      <c r="E3355" s="18"/>
      <c r="F3355" s="18"/>
      <c r="G3355" s="18"/>
      <c r="H3355" s="18"/>
      <c r="I3355" s="18"/>
      <c r="J3355" s="18"/>
      <c r="K3355" s="18"/>
      <c r="L3355" s="18"/>
      <c r="M3355" s="18"/>
      <c r="N3355" s="18"/>
      <c r="O3355" s="18"/>
      <c r="P3355" s="18"/>
      <c r="Q3355" s="18"/>
    </row>
    <row r="3356" spans="1:17">
      <c r="A3356" s="18"/>
      <c r="B3356" s="18"/>
      <c r="C3356" s="18"/>
      <c r="D3356" s="18"/>
      <c r="E3356" s="18"/>
      <c r="F3356" s="18"/>
      <c r="G3356" s="18"/>
      <c r="H3356" s="18"/>
      <c r="I3356" s="18"/>
      <c r="J3356" s="18"/>
      <c r="K3356" s="18"/>
      <c r="L3356" s="18"/>
      <c r="M3356" s="18"/>
      <c r="N3356" s="18"/>
      <c r="O3356" s="18"/>
      <c r="P3356" s="18"/>
      <c r="Q3356" s="18"/>
    </row>
    <row r="3357" spans="1:17">
      <c r="A3357" s="18"/>
      <c r="B3357" s="18"/>
      <c r="C3357" s="18"/>
      <c r="D3357" s="18"/>
      <c r="E3357" s="18"/>
      <c r="F3357" s="18"/>
      <c r="G3357" s="18"/>
      <c r="H3357" s="18"/>
      <c r="I3357" s="18"/>
      <c r="J3357" s="18"/>
      <c r="K3357" s="18"/>
      <c r="L3357" s="18"/>
      <c r="M3357" s="18"/>
      <c r="N3357" s="18"/>
      <c r="O3357" s="18"/>
      <c r="P3357" s="18"/>
      <c r="Q3357" s="18"/>
    </row>
    <row r="3358" spans="1:17">
      <c r="A3358" s="18"/>
      <c r="B3358" s="18"/>
      <c r="C3358" s="18"/>
      <c r="D3358" s="18"/>
      <c r="E3358" s="18"/>
      <c r="F3358" s="18"/>
      <c r="G3358" s="18"/>
      <c r="H3358" s="18"/>
      <c r="I3358" s="18"/>
      <c r="J3358" s="18"/>
      <c r="K3358" s="18"/>
      <c r="L3358" s="18"/>
      <c r="M3358" s="18"/>
      <c r="N3358" s="18"/>
      <c r="O3358" s="18"/>
      <c r="P3358" s="18"/>
      <c r="Q3358" s="18"/>
    </row>
    <row r="3359" spans="1:17">
      <c r="A3359" s="18"/>
      <c r="B3359" s="18"/>
      <c r="C3359" s="18"/>
      <c r="D3359" s="18"/>
      <c r="E3359" s="18"/>
      <c r="F3359" s="18"/>
      <c r="G3359" s="18"/>
      <c r="H3359" s="18"/>
      <c r="I3359" s="18"/>
      <c r="J3359" s="18"/>
      <c r="K3359" s="18"/>
      <c r="L3359" s="18"/>
      <c r="M3359" s="18"/>
      <c r="N3359" s="18"/>
      <c r="O3359" s="18"/>
      <c r="P3359" s="18"/>
      <c r="Q3359" s="18"/>
    </row>
    <row r="3360" spans="1:17">
      <c r="A3360" s="18"/>
      <c r="B3360" s="18"/>
      <c r="C3360" s="18"/>
      <c r="D3360" s="18"/>
      <c r="E3360" s="18"/>
      <c r="F3360" s="18"/>
      <c r="G3360" s="18"/>
      <c r="H3360" s="18"/>
      <c r="I3360" s="18"/>
      <c r="J3360" s="18"/>
      <c r="K3360" s="18"/>
      <c r="L3360" s="18"/>
      <c r="M3360" s="18"/>
      <c r="N3360" s="18"/>
      <c r="O3360" s="18"/>
      <c r="P3360" s="18"/>
      <c r="Q3360" s="18"/>
    </row>
    <row r="3361" spans="1:17">
      <c r="A3361" s="18"/>
      <c r="B3361" s="18"/>
      <c r="C3361" s="18"/>
      <c r="D3361" s="18"/>
      <c r="E3361" s="18"/>
      <c r="F3361" s="18"/>
      <c r="G3361" s="18"/>
      <c r="H3361" s="18"/>
      <c r="I3361" s="18"/>
      <c r="J3361" s="18"/>
      <c r="K3361" s="18"/>
      <c r="L3361" s="18"/>
      <c r="M3361" s="18"/>
      <c r="N3361" s="18"/>
      <c r="O3361" s="18"/>
      <c r="P3361" s="18"/>
      <c r="Q3361" s="18"/>
    </row>
    <row r="3362" spans="1:17">
      <c r="A3362" s="18"/>
      <c r="B3362" s="18"/>
      <c r="C3362" s="18"/>
      <c r="D3362" s="18"/>
      <c r="E3362" s="18"/>
      <c r="F3362" s="18"/>
      <c r="G3362" s="18"/>
      <c r="H3362" s="18"/>
      <c r="I3362" s="18"/>
      <c r="J3362" s="18"/>
      <c r="K3362" s="18"/>
      <c r="L3362" s="18"/>
      <c r="M3362" s="18"/>
      <c r="N3362" s="18"/>
      <c r="O3362" s="18"/>
      <c r="P3362" s="18"/>
      <c r="Q3362" s="18"/>
    </row>
    <row r="3363" spans="1:17">
      <c r="A3363" s="18"/>
      <c r="B3363" s="18"/>
      <c r="C3363" s="18"/>
      <c r="D3363" s="18"/>
      <c r="E3363" s="18"/>
      <c r="F3363" s="18"/>
      <c r="G3363" s="18"/>
      <c r="H3363" s="18"/>
      <c r="I3363" s="18"/>
      <c r="J3363" s="18"/>
      <c r="K3363" s="18"/>
      <c r="L3363" s="18"/>
      <c r="M3363" s="18"/>
      <c r="N3363" s="18"/>
      <c r="O3363" s="18"/>
      <c r="P3363" s="18"/>
      <c r="Q3363" s="18"/>
    </row>
    <row r="3364" spans="1:17">
      <c r="A3364" s="18"/>
      <c r="B3364" s="18"/>
      <c r="C3364" s="18"/>
      <c r="D3364" s="18"/>
      <c r="E3364" s="18"/>
      <c r="F3364" s="18"/>
      <c r="G3364" s="18"/>
      <c r="H3364" s="18"/>
      <c r="I3364" s="18"/>
      <c r="J3364" s="18"/>
      <c r="K3364" s="18"/>
      <c r="L3364" s="18"/>
      <c r="M3364" s="18"/>
      <c r="N3364" s="18"/>
      <c r="O3364" s="18"/>
      <c r="P3364" s="18"/>
      <c r="Q3364" s="18"/>
    </row>
    <row r="3365" spans="1:17">
      <c r="A3365" s="18"/>
      <c r="B3365" s="18"/>
      <c r="C3365" s="18"/>
      <c r="D3365" s="18"/>
      <c r="E3365" s="18"/>
      <c r="F3365" s="18"/>
      <c r="G3365" s="18"/>
      <c r="H3365" s="18"/>
      <c r="I3365" s="18"/>
      <c r="J3365" s="18"/>
      <c r="K3365" s="18"/>
      <c r="L3365" s="18"/>
      <c r="M3365" s="18"/>
      <c r="N3365" s="18"/>
      <c r="O3365" s="18"/>
      <c r="P3365" s="18"/>
      <c r="Q3365" s="18"/>
    </row>
    <row r="3366" spans="1:17">
      <c r="A3366" s="18"/>
      <c r="B3366" s="18"/>
      <c r="C3366" s="18"/>
      <c r="D3366" s="18"/>
      <c r="E3366" s="18"/>
      <c r="F3366" s="18"/>
      <c r="G3366" s="18"/>
      <c r="H3366" s="18"/>
      <c r="I3366" s="18"/>
      <c r="J3366" s="18"/>
      <c r="K3366" s="18"/>
      <c r="L3366" s="18"/>
      <c r="M3366" s="18"/>
      <c r="N3366" s="18"/>
      <c r="O3366" s="18"/>
      <c r="P3366" s="18"/>
      <c r="Q3366" s="18"/>
    </row>
    <row r="3367" spans="1:17">
      <c r="A3367" s="18"/>
      <c r="B3367" s="18"/>
      <c r="C3367" s="18"/>
      <c r="D3367" s="18"/>
      <c r="E3367" s="18"/>
      <c r="F3367" s="18"/>
      <c r="G3367" s="18"/>
      <c r="H3367" s="18"/>
      <c r="I3367" s="18"/>
      <c r="J3367" s="18"/>
      <c r="K3367" s="18"/>
      <c r="L3367" s="18"/>
      <c r="M3367" s="18"/>
      <c r="N3367" s="18"/>
      <c r="O3367" s="18"/>
      <c r="P3367" s="18"/>
      <c r="Q3367" s="18"/>
    </row>
    <row r="3368" spans="1:17">
      <c r="A3368" s="18"/>
      <c r="B3368" s="18"/>
      <c r="C3368" s="18"/>
      <c r="D3368" s="18"/>
      <c r="E3368" s="18"/>
      <c r="F3368" s="18"/>
      <c r="G3368" s="18"/>
      <c r="H3368" s="18"/>
      <c r="I3368" s="18"/>
      <c r="J3368" s="18"/>
      <c r="K3368" s="18"/>
      <c r="L3368" s="18"/>
      <c r="M3368" s="18"/>
      <c r="N3368" s="18"/>
      <c r="O3368" s="18"/>
      <c r="P3368" s="18"/>
      <c r="Q3368" s="18"/>
    </row>
    <row r="3369" spans="1:17">
      <c r="A3369" s="18"/>
      <c r="B3369" s="18"/>
      <c r="C3369" s="18"/>
      <c r="D3369" s="18"/>
      <c r="E3369" s="18"/>
      <c r="F3369" s="18"/>
      <c r="G3369" s="18"/>
      <c r="H3369" s="18"/>
      <c r="I3369" s="18"/>
      <c r="J3369" s="18"/>
      <c r="K3369" s="18"/>
      <c r="L3369" s="18"/>
      <c r="M3369" s="18"/>
      <c r="N3369" s="18"/>
      <c r="O3369" s="18"/>
      <c r="P3369" s="18"/>
      <c r="Q3369" s="18"/>
    </row>
    <row r="3370" spans="1:17">
      <c r="A3370" s="18"/>
      <c r="B3370" s="18"/>
      <c r="C3370" s="18"/>
      <c r="D3370" s="18"/>
      <c r="E3370" s="18"/>
      <c r="F3370" s="18"/>
      <c r="G3370" s="18"/>
      <c r="H3370" s="18"/>
      <c r="I3370" s="18"/>
      <c r="J3370" s="18"/>
      <c r="K3370" s="18"/>
      <c r="L3370" s="18"/>
      <c r="M3370" s="18"/>
      <c r="N3370" s="18"/>
      <c r="O3370" s="18"/>
      <c r="P3370" s="18"/>
      <c r="Q3370" s="18"/>
    </row>
    <row r="3371" spans="1:17">
      <c r="A3371" s="18"/>
      <c r="B3371" s="18"/>
      <c r="C3371" s="18"/>
      <c r="D3371" s="18"/>
      <c r="E3371" s="18"/>
      <c r="F3371" s="18"/>
      <c r="G3371" s="18"/>
      <c r="H3371" s="18"/>
      <c r="I3371" s="18"/>
      <c r="J3371" s="18"/>
      <c r="K3371" s="18"/>
      <c r="L3371" s="18"/>
      <c r="M3371" s="18"/>
      <c r="N3371" s="18"/>
      <c r="O3371" s="18"/>
      <c r="P3371" s="18"/>
      <c r="Q3371" s="18"/>
    </row>
    <row r="3372" spans="1:17">
      <c r="A3372" s="18"/>
      <c r="B3372" s="18"/>
      <c r="C3372" s="18"/>
      <c r="D3372" s="18"/>
      <c r="E3372" s="18"/>
      <c r="F3372" s="18"/>
      <c r="G3372" s="18"/>
      <c r="H3372" s="18"/>
      <c r="I3372" s="18"/>
      <c r="J3372" s="18"/>
      <c r="K3372" s="18"/>
      <c r="L3372" s="18"/>
      <c r="M3372" s="18"/>
      <c r="N3372" s="18"/>
      <c r="O3372" s="18"/>
      <c r="P3372" s="18"/>
      <c r="Q3372" s="18"/>
    </row>
    <row r="3373" spans="1:17">
      <c r="A3373" s="18"/>
      <c r="B3373" s="18"/>
      <c r="C3373" s="18"/>
      <c r="D3373" s="18"/>
      <c r="E3373" s="18"/>
      <c r="F3373" s="18"/>
      <c r="G3373" s="18"/>
      <c r="H3373" s="18"/>
      <c r="I3373" s="18"/>
      <c r="J3373" s="18"/>
      <c r="K3373" s="18"/>
      <c r="L3373" s="18"/>
      <c r="M3373" s="18"/>
      <c r="N3373" s="18"/>
      <c r="O3373" s="18"/>
      <c r="P3373" s="18"/>
      <c r="Q3373" s="18"/>
    </row>
    <row r="3374" spans="1:17">
      <c r="A3374" s="18"/>
      <c r="B3374" s="18"/>
      <c r="C3374" s="18"/>
      <c r="D3374" s="18"/>
      <c r="E3374" s="18"/>
      <c r="F3374" s="18"/>
      <c r="G3374" s="18"/>
      <c r="H3374" s="18"/>
      <c r="I3374" s="18"/>
      <c r="J3374" s="18"/>
      <c r="K3374" s="18"/>
      <c r="L3374" s="18"/>
      <c r="M3374" s="18"/>
      <c r="N3374" s="18"/>
      <c r="O3374" s="18"/>
      <c r="P3374" s="18"/>
      <c r="Q3374" s="18"/>
    </row>
    <row r="3375" spans="1:17">
      <c r="A3375" s="18"/>
      <c r="B3375" s="18"/>
      <c r="C3375" s="18"/>
      <c r="D3375" s="18"/>
      <c r="E3375" s="18"/>
      <c r="F3375" s="18"/>
      <c r="G3375" s="18"/>
      <c r="H3375" s="18"/>
      <c r="I3375" s="18"/>
      <c r="J3375" s="18"/>
      <c r="K3375" s="18"/>
      <c r="L3375" s="18"/>
      <c r="M3375" s="18"/>
      <c r="N3375" s="18"/>
      <c r="O3375" s="18"/>
      <c r="P3375" s="18"/>
      <c r="Q3375" s="18"/>
    </row>
    <row r="3376" spans="1:17">
      <c r="A3376" s="18"/>
      <c r="B3376" s="18"/>
      <c r="C3376" s="18"/>
      <c r="D3376" s="18"/>
      <c r="E3376" s="18"/>
      <c r="F3376" s="18"/>
      <c r="G3376" s="18"/>
      <c r="H3376" s="18"/>
      <c r="I3376" s="18"/>
      <c r="J3376" s="18"/>
      <c r="K3376" s="18"/>
      <c r="L3376" s="18"/>
      <c r="M3376" s="18"/>
      <c r="N3376" s="18"/>
      <c r="O3376" s="18"/>
      <c r="P3376" s="18"/>
      <c r="Q3376" s="18"/>
    </row>
    <row r="3377" spans="1:17">
      <c r="A3377" s="18"/>
      <c r="B3377" s="18"/>
      <c r="C3377" s="18"/>
      <c r="D3377" s="18"/>
      <c r="E3377" s="18"/>
      <c r="F3377" s="18"/>
      <c r="G3377" s="18"/>
      <c r="H3377" s="18"/>
      <c r="I3377" s="18"/>
      <c r="J3377" s="18"/>
      <c r="K3377" s="18"/>
      <c r="L3377" s="18"/>
      <c r="M3377" s="18"/>
      <c r="N3377" s="18"/>
      <c r="O3377" s="18"/>
      <c r="P3377" s="18"/>
      <c r="Q3377" s="18"/>
    </row>
    <row r="3378" spans="1:17">
      <c r="A3378" s="18"/>
      <c r="B3378" s="18"/>
      <c r="C3378" s="18"/>
      <c r="D3378" s="18"/>
      <c r="E3378" s="18"/>
      <c r="F3378" s="18"/>
      <c r="G3378" s="18"/>
      <c r="H3378" s="18"/>
      <c r="I3378" s="18"/>
      <c r="J3378" s="18"/>
      <c r="K3378" s="18"/>
      <c r="L3378" s="18"/>
      <c r="M3378" s="18"/>
      <c r="N3378" s="18"/>
      <c r="O3378" s="18"/>
      <c r="P3378" s="18"/>
      <c r="Q3378" s="18"/>
    </row>
    <row r="3379" spans="1:17">
      <c r="A3379" s="18"/>
      <c r="B3379" s="18"/>
      <c r="C3379" s="18"/>
      <c r="D3379" s="18"/>
      <c r="E3379" s="18"/>
      <c r="F3379" s="18"/>
      <c r="G3379" s="18"/>
      <c r="H3379" s="18"/>
      <c r="I3379" s="18"/>
      <c r="J3379" s="18"/>
      <c r="K3379" s="18"/>
      <c r="L3379" s="18"/>
      <c r="M3379" s="18"/>
      <c r="N3379" s="18"/>
      <c r="O3379" s="18"/>
      <c r="P3379" s="18"/>
      <c r="Q3379" s="18"/>
    </row>
    <row r="3380" spans="1:17">
      <c r="A3380" s="18"/>
      <c r="B3380" s="18"/>
      <c r="C3380" s="18"/>
      <c r="D3380" s="18"/>
      <c r="E3380" s="18"/>
      <c r="F3380" s="18"/>
      <c r="G3380" s="18"/>
      <c r="H3380" s="18"/>
      <c r="I3380" s="18"/>
      <c r="J3380" s="18"/>
      <c r="K3380" s="18"/>
      <c r="L3380" s="18"/>
      <c r="M3380" s="18"/>
      <c r="N3380" s="18"/>
      <c r="O3380" s="18"/>
      <c r="P3380" s="18"/>
      <c r="Q3380" s="18"/>
    </row>
    <row r="3381" spans="1:17">
      <c r="A3381" s="18"/>
      <c r="B3381" s="18"/>
      <c r="C3381" s="18"/>
      <c r="D3381" s="18"/>
      <c r="E3381" s="18"/>
      <c r="F3381" s="18"/>
      <c r="G3381" s="18"/>
      <c r="H3381" s="18"/>
      <c r="I3381" s="18"/>
      <c r="J3381" s="18"/>
      <c r="K3381" s="18"/>
      <c r="L3381" s="18"/>
      <c r="M3381" s="18"/>
      <c r="N3381" s="18"/>
      <c r="O3381" s="18"/>
      <c r="P3381" s="18"/>
      <c r="Q3381" s="18"/>
    </row>
    <row r="3382" spans="1:17">
      <c r="A3382" s="18"/>
      <c r="B3382" s="18"/>
      <c r="C3382" s="18"/>
      <c r="D3382" s="18"/>
      <c r="E3382" s="18"/>
      <c r="F3382" s="18"/>
      <c r="G3382" s="18"/>
      <c r="H3382" s="18"/>
      <c r="I3382" s="18"/>
      <c r="J3382" s="18"/>
      <c r="K3382" s="18"/>
      <c r="L3382" s="18"/>
      <c r="M3382" s="18"/>
      <c r="N3382" s="18"/>
      <c r="O3382" s="18"/>
      <c r="P3382" s="18"/>
      <c r="Q3382" s="18"/>
    </row>
    <row r="3383" spans="1:17">
      <c r="A3383" s="18"/>
      <c r="B3383" s="18"/>
      <c r="C3383" s="18"/>
      <c r="D3383" s="18"/>
      <c r="E3383" s="18"/>
      <c r="F3383" s="18"/>
      <c r="G3383" s="18"/>
      <c r="H3383" s="18"/>
      <c r="I3383" s="18"/>
      <c r="J3383" s="18"/>
      <c r="K3383" s="18"/>
      <c r="L3383" s="18"/>
      <c r="M3383" s="18"/>
      <c r="N3383" s="18"/>
      <c r="O3383" s="18"/>
      <c r="P3383" s="18"/>
      <c r="Q3383" s="18"/>
    </row>
    <row r="3384" spans="1:17">
      <c r="A3384" s="18"/>
      <c r="B3384" s="18"/>
      <c r="C3384" s="18"/>
      <c r="D3384" s="18"/>
      <c r="E3384" s="18"/>
      <c r="F3384" s="18"/>
      <c r="G3384" s="18"/>
      <c r="H3384" s="18"/>
      <c r="I3384" s="18"/>
      <c r="J3384" s="18"/>
      <c r="K3384" s="18"/>
      <c r="L3384" s="18"/>
      <c r="M3384" s="18"/>
      <c r="N3384" s="18"/>
      <c r="O3384" s="18"/>
      <c r="P3384" s="18"/>
      <c r="Q3384" s="18"/>
    </row>
    <row r="3385" spans="1:17">
      <c r="A3385" s="18"/>
      <c r="B3385" s="18"/>
      <c r="C3385" s="18"/>
      <c r="D3385" s="18"/>
      <c r="E3385" s="18"/>
      <c r="F3385" s="18"/>
      <c r="G3385" s="18"/>
      <c r="H3385" s="18"/>
      <c r="I3385" s="18"/>
      <c r="J3385" s="18"/>
      <c r="K3385" s="18"/>
      <c r="L3385" s="18"/>
      <c r="M3385" s="18"/>
      <c r="N3385" s="18"/>
      <c r="O3385" s="18"/>
      <c r="P3385" s="18"/>
      <c r="Q3385" s="18"/>
    </row>
    <row r="3386" spans="1:17">
      <c r="A3386" s="18"/>
      <c r="B3386" s="18"/>
      <c r="C3386" s="18"/>
      <c r="D3386" s="18"/>
      <c r="E3386" s="18"/>
      <c r="F3386" s="18"/>
      <c r="G3386" s="18"/>
      <c r="H3386" s="18"/>
      <c r="I3386" s="18"/>
      <c r="J3386" s="18"/>
      <c r="K3386" s="18"/>
      <c r="L3386" s="18"/>
      <c r="M3386" s="18"/>
      <c r="N3386" s="18"/>
      <c r="O3386" s="18"/>
      <c r="P3386" s="18"/>
      <c r="Q3386" s="18"/>
    </row>
    <row r="3387" spans="1:17">
      <c r="A3387" s="18"/>
      <c r="B3387" s="18"/>
      <c r="C3387" s="18"/>
      <c r="D3387" s="18"/>
      <c r="E3387" s="18"/>
      <c r="F3387" s="18"/>
      <c r="G3387" s="18"/>
      <c r="H3387" s="18"/>
      <c r="I3387" s="18"/>
      <c r="J3387" s="18"/>
      <c r="K3387" s="18"/>
      <c r="L3387" s="18"/>
      <c r="M3387" s="18"/>
      <c r="N3387" s="18"/>
      <c r="O3387" s="18"/>
      <c r="P3387" s="18"/>
      <c r="Q3387" s="18"/>
    </row>
    <row r="3388" spans="1:17">
      <c r="A3388" s="18"/>
      <c r="B3388" s="18"/>
      <c r="C3388" s="18"/>
      <c r="D3388" s="18"/>
      <c r="E3388" s="18"/>
      <c r="F3388" s="18"/>
      <c r="G3388" s="18"/>
      <c r="H3388" s="18"/>
      <c r="I3388" s="18"/>
      <c r="J3388" s="18"/>
      <c r="K3388" s="18"/>
      <c r="L3388" s="18"/>
      <c r="M3388" s="18"/>
      <c r="N3388" s="18"/>
      <c r="O3388" s="18"/>
      <c r="P3388" s="18"/>
      <c r="Q3388" s="18"/>
    </row>
    <row r="3389" spans="1:17">
      <c r="A3389" s="18"/>
      <c r="B3389" s="18"/>
      <c r="C3389" s="18"/>
      <c r="D3389" s="18"/>
      <c r="E3389" s="18"/>
      <c r="F3389" s="18"/>
      <c r="G3389" s="18"/>
      <c r="H3389" s="18"/>
      <c r="I3389" s="18"/>
      <c r="J3389" s="18"/>
      <c r="K3389" s="18"/>
      <c r="L3389" s="18"/>
      <c r="M3389" s="18"/>
      <c r="N3389" s="18"/>
      <c r="O3389" s="18"/>
      <c r="P3389" s="18"/>
      <c r="Q3389" s="18"/>
    </row>
    <row r="3390" spans="1:17">
      <c r="A3390" s="18"/>
      <c r="B3390" s="18"/>
      <c r="C3390" s="18"/>
      <c r="D3390" s="18"/>
      <c r="E3390" s="18"/>
      <c r="F3390" s="18"/>
      <c r="G3390" s="18"/>
      <c r="H3390" s="18"/>
      <c r="I3390" s="18"/>
      <c r="J3390" s="18"/>
      <c r="K3390" s="18"/>
      <c r="L3390" s="18"/>
      <c r="M3390" s="18"/>
      <c r="N3390" s="18"/>
      <c r="O3390" s="18"/>
      <c r="P3390" s="18"/>
      <c r="Q3390" s="18"/>
    </row>
    <row r="3391" spans="1:17">
      <c r="A3391" s="18"/>
      <c r="B3391" s="18"/>
      <c r="C3391" s="18"/>
      <c r="D3391" s="18"/>
      <c r="E3391" s="18"/>
      <c r="F3391" s="18"/>
      <c r="G3391" s="18"/>
      <c r="H3391" s="18"/>
      <c r="I3391" s="18"/>
      <c r="J3391" s="18"/>
      <c r="K3391" s="18"/>
      <c r="L3391" s="18"/>
      <c r="M3391" s="18"/>
      <c r="N3391" s="18"/>
      <c r="O3391" s="18"/>
      <c r="P3391" s="18"/>
      <c r="Q3391" s="18"/>
    </row>
    <row r="3392" spans="1:17">
      <c r="A3392" s="18"/>
      <c r="B3392" s="18"/>
      <c r="C3392" s="18"/>
      <c r="D3392" s="18"/>
      <c r="E3392" s="18"/>
      <c r="F3392" s="18"/>
      <c r="G3392" s="18"/>
      <c r="H3392" s="18"/>
      <c r="I3392" s="18"/>
      <c r="J3392" s="18"/>
      <c r="K3392" s="18"/>
      <c r="L3392" s="18"/>
      <c r="M3392" s="18"/>
      <c r="N3392" s="18"/>
      <c r="O3392" s="18"/>
      <c r="P3392" s="18"/>
      <c r="Q3392" s="18"/>
    </row>
    <row r="3393" spans="1:17">
      <c r="A3393" s="18"/>
      <c r="B3393" s="18"/>
      <c r="C3393" s="18"/>
      <c r="D3393" s="18"/>
      <c r="E3393" s="18"/>
      <c r="F3393" s="18"/>
      <c r="G3393" s="18"/>
      <c r="H3393" s="18"/>
      <c r="I3393" s="18"/>
      <c r="J3393" s="18"/>
      <c r="K3393" s="18"/>
      <c r="L3393" s="18"/>
      <c r="M3393" s="18"/>
      <c r="N3393" s="18"/>
      <c r="O3393" s="18"/>
      <c r="P3393" s="18"/>
      <c r="Q3393" s="18"/>
    </row>
    <row r="3394" spans="1:17">
      <c r="A3394" s="18"/>
      <c r="B3394" s="18"/>
      <c r="C3394" s="18"/>
      <c r="D3394" s="18"/>
      <c r="E3394" s="18"/>
      <c r="F3394" s="18"/>
      <c r="G3394" s="18"/>
      <c r="H3394" s="18"/>
      <c r="I3394" s="18"/>
      <c r="J3394" s="18"/>
      <c r="K3394" s="18"/>
      <c r="L3394" s="18"/>
      <c r="M3394" s="18"/>
      <c r="N3394" s="18"/>
      <c r="O3394" s="18"/>
      <c r="P3394" s="18"/>
      <c r="Q3394" s="18"/>
    </row>
    <row r="3395" spans="1:17">
      <c r="A3395" s="18"/>
      <c r="B3395" s="18"/>
      <c r="C3395" s="18"/>
      <c r="D3395" s="18"/>
      <c r="E3395" s="18"/>
      <c r="F3395" s="18"/>
      <c r="G3395" s="18"/>
      <c r="H3395" s="18"/>
      <c r="I3395" s="18"/>
      <c r="J3395" s="18"/>
      <c r="K3395" s="18"/>
      <c r="L3395" s="18"/>
      <c r="M3395" s="18"/>
      <c r="N3395" s="18"/>
      <c r="O3395" s="18"/>
      <c r="P3395" s="18"/>
      <c r="Q3395" s="18"/>
    </row>
    <row r="3396" spans="1:17">
      <c r="A3396" s="18"/>
      <c r="B3396" s="18"/>
      <c r="C3396" s="18"/>
      <c r="D3396" s="18"/>
      <c r="E3396" s="18"/>
      <c r="F3396" s="18"/>
      <c r="G3396" s="18"/>
      <c r="H3396" s="18"/>
      <c r="I3396" s="18"/>
      <c r="J3396" s="18"/>
      <c r="K3396" s="18"/>
      <c r="L3396" s="18"/>
      <c r="M3396" s="18"/>
      <c r="N3396" s="18"/>
      <c r="O3396" s="18"/>
      <c r="P3396" s="18"/>
      <c r="Q3396" s="18"/>
    </row>
    <row r="3397" spans="1:17">
      <c r="A3397" s="18"/>
      <c r="B3397" s="18"/>
      <c r="C3397" s="18"/>
      <c r="D3397" s="18"/>
      <c r="E3397" s="18"/>
      <c r="F3397" s="18"/>
      <c r="G3397" s="18"/>
      <c r="H3397" s="18"/>
      <c r="I3397" s="18"/>
      <c r="J3397" s="18"/>
      <c r="K3397" s="18"/>
      <c r="L3397" s="18"/>
      <c r="M3397" s="18"/>
      <c r="N3397" s="18"/>
      <c r="O3397" s="18"/>
      <c r="P3397" s="18"/>
      <c r="Q3397" s="18"/>
    </row>
    <row r="3398" spans="1:17">
      <c r="A3398" s="18"/>
      <c r="B3398" s="18"/>
      <c r="C3398" s="18"/>
      <c r="D3398" s="18"/>
      <c r="E3398" s="18"/>
      <c r="F3398" s="18"/>
      <c r="G3398" s="18"/>
      <c r="H3398" s="18"/>
      <c r="I3398" s="18"/>
      <c r="J3398" s="18"/>
      <c r="K3398" s="18"/>
      <c r="L3398" s="18"/>
      <c r="M3398" s="18"/>
      <c r="N3398" s="18"/>
      <c r="O3398" s="18"/>
      <c r="P3398" s="18"/>
      <c r="Q3398" s="18"/>
    </row>
    <row r="3399" spans="1:17">
      <c r="A3399" s="18"/>
      <c r="B3399" s="18"/>
      <c r="C3399" s="18"/>
      <c r="D3399" s="18"/>
      <c r="E3399" s="18"/>
      <c r="F3399" s="18"/>
      <c r="G3399" s="18"/>
      <c r="H3399" s="18"/>
      <c r="I3399" s="18"/>
      <c r="J3399" s="18"/>
      <c r="K3399" s="18"/>
      <c r="L3399" s="18"/>
      <c r="M3399" s="18"/>
      <c r="N3399" s="18"/>
      <c r="O3399" s="18"/>
      <c r="P3399" s="18"/>
      <c r="Q3399" s="18"/>
    </row>
    <row r="3400" spans="1:17">
      <c r="A3400" s="18"/>
      <c r="B3400" s="18"/>
      <c r="C3400" s="18"/>
      <c r="D3400" s="18"/>
      <c r="E3400" s="18"/>
      <c r="F3400" s="18"/>
      <c r="G3400" s="18"/>
      <c r="H3400" s="18"/>
      <c r="I3400" s="18"/>
      <c r="J3400" s="18"/>
      <c r="K3400" s="18"/>
      <c r="L3400" s="18"/>
      <c r="M3400" s="18"/>
      <c r="N3400" s="18"/>
      <c r="O3400" s="18"/>
      <c r="P3400" s="18"/>
      <c r="Q3400" s="18"/>
    </row>
    <row r="3401" spans="1:17">
      <c r="A3401" s="18"/>
      <c r="B3401" s="18"/>
      <c r="C3401" s="18"/>
      <c r="D3401" s="18"/>
      <c r="E3401" s="18"/>
      <c r="F3401" s="18"/>
      <c r="G3401" s="18"/>
      <c r="H3401" s="18"/>
      <c r="I3401" s="18"/>
      <c r="J3401" s="18"/>
      <c r="K3401" s="18"/>
      <c r="L3401" s="18"/>
      <c r="M3401" s="18"/>
      <c r="N3401" s="18"/>
      <c r="O3401" s="18"/>
      <c r="P3401" s="18"/>
      <c r="Q3401" s="18"/>
    </row>
    <row r="3402" spans="1:17">
      <c r="A3402" s="18"/>
      <c r="B3402" s="18"/>
      <c r="C3402" s="18"/>
      <c r="D3402" s="18"/>
      <c r="E3402" s="18"/>
      <c r="F3402" s="18"/>
      <c r="G3402" s="18"/>
      <c r="H3402" s="18"/>
      <c r="I3402" s="18"/>
      <c r="J3402" s="18"/>
      <c r="K3402" s="18"/>
      <c r="L3402" s="18"/>
      <c r="M3402" s="18"/>
      <c r="N3402" s="18"/>
      <c r="O3402" s="18"/>
      <c r="P3402" s="18"/>
      <c r="Q3402" s="18"/>
    </row>
    <row r="3403" spans="1:17">
      <c r="A3403" s="18"/>
      <c r="B3403" s="18"/>
      <c r="C3403" s="18"/>
      <c r="D3403" s="18"/>
      <c r="E3403" s="18"/>
      <c r="F3403" s="18"/>
      <c r="G3403" s="18"/>
      <c r="H3403" s="18"/>
      <c r="I3403" s="18"/>
      <c r="J3403" s="18"/>
      <c r="K3403" s="18"/>
      <c r="L3403" s="18"/>
      <c r="M3403" s="18"/>
      <c r="N3403" s="18"/>
      <c r="O3403" s="18"/>
      <c r="P3403" s="18"/>
      <c r="Q3403" s="18"/>
    </row>
    <row r="3404" spans="1:17">
      <c r="A3404" s="18"/>
      <c r="B3404" s="18"/>
      <c r="C3404" s="18"/>
      <c r="D3404" s="18"/>
      <c r="E3404" s="18"/>
      <c r="F3404" s="18"/>
      <c r="G3404" s="18"/>
      <c r="H3404" s="18"/>
      <c r="I3404" s="18"/>
      <c r="J3404" s="18"/>
      <c r="K3404" s="18"/>
      <c r="L3404" s="18"/>
      <c r="M3404" s="18"/>
      <c r="N3404" s="18"/>
      <c r="O3404" s="18"/>
      <c r="P3404" s="18"/>
      <c r="Q3404" s="18"/>
    </row>
    <row r="3405" spans="1:17">
      <c r="A3405" s="18"/>
      <c r="B3405" s="18"/>
      <c r="C3405" s="18"/>
      <c r="D3405" s="18"/>
      <c r="E3405" s="18"/>
      <c r="F3405" s="18"/>
      <c r="G3405" s="18"/>
      <c r="H3405" s="18"/>
      <c r="I3405" s="18"/>
      <c r="J3405" s="18"/>
      <c r="K3405" s="18"/>
      <c r="L3405" s="18"/>
      <c r="M3405" s="18"/>
      <c r="N3405" s="18"/>
      <c r="O3405" s="18"/>
      <c r="P3405" s="18"/>
      <c r="Q3405" s="18"/>
    </row>
    <row r="3406" spans="1:17">
      <c r="A3406" s="18"/>
      <c r="B3406" s="18"/>
      <c r="C3406" s="18"/>
      <c r="D3406" s="18"/>
      <c r="E3406" s="18"/>
      <c r="F3406" s="18"/>
      <c r="G3406" s="18"/>
      <c r="H3406" s="18"/>
      <c r="I3406" s="18"/>
      <c r="J3406" s="18"/>
      <c r="K3406" s="18"/>
      <c r="L3406" s="18"/>
      <c r="M3406" s="18"/>
      <c r="N3406" s="18"/>
      <c r="O3406" s="18"/>
      <c r="P3406" s="18"/>
      <c r="Q3406" s="18"/>
    </row>
    <row r="3407" spans="1:17">
      <c r="A3407" s="18"/>
      <c r="B3407" s="18"/>
      <c r="C3407" s="18"/>
      <c r="D3407" s="18"/>
      <c r="E3407" s="18"/>
      <c r="F3407" s="18"/>
      <c r="G3407" s="18"/>
      <c r="H3407" s="18"/>
      <c r="I3407" s="18"/>
      <c r="J3407" s="18"/>
      <c r="K3407" s="18"/>
      <c r="L3407" s="18"/>
      <c r="M3407" s="18"/>
      <c r="N3407" s="18"/>
      <c r="O3407" s="18"/>
      <c r="P3407" s="18"/>
      <c r="Q3407" s="18"/>
    </row>
    <row r="3408" spans="1:17">
      <c r="A3408" s="18"/>
      <c r="B3408" s="18"/>
      <c r="C3408" s="18"/>
      <c r="D3408" s="18"/>
      <c r="E3408" s="18"/>
      <c r="F3408" s="18"/>
      <c r="G3408" s="18"/>
      <c r="H3408" s="18"/>
      <c r="I3408" s="18"/>
      <c r="J3408" s="18"/>
      <c r="K3408" s="18"/>
      <c r="L3408" s="18"/>
      <c r="M3408" s="18"/>
      <c r="N3408" s="18"/>
      <c r="O3408" s="18"/>
      <c r="P3408" s="18"/>
      <c r="Q3408" s="18"/>
    </row>
    <row r="3409" spans="1:17">
      <c r="A3409" s="18"/>
      <c r="B3409" s="18"/>
      <c r="C3409" s="18"/>
      <c r="D3409" s="18"/>
      <c r="E3409" s="18"/>
      <c r="F3409" s="18"/>
      <c r="G3409" s="18"/>
      <c r="H3409" s="18"/>
      <c r="I3409" s="18"/>
      <c r="J3409" s="18"/>
      <c r="K3409" s="18"/>
      <c r="L3409" s="18"/>
      <c r="M3409" s="18"/>
      <c r="N3409" s="18"/>
      <c r="O3409" s="18"/>
      <c r="P3409" s="18"/>
      <c r="Q3409" s="18"/>
    </row>
    <row r="3410" spans="1:17">
      <c r="A3410" s="18"/>
      <c r="B3410" s="18"/>
      <c r="C3410" s="18"/>
      <c r="D3410" s="18"/>
      <c r="E3410" s="18"/>
      <c r="F3410" s="18"/>
      <c r="G3410" s="18"/>
      <c r="H3410" s="18"/>
      <c r="I3410" s="18"/>
      <c r="J3410" s="18"/>
      <c r="K3410" s="18"/>
      <c r="L3410" s="18"/>
      <c r="M3410" s="18"/>
      <c r="N3410" s="18"/>
      <c r="O3410" s="18"/>
      <c r="P3410" s="18"/>
      <c r="Q3410" s="18"/>
    </row>
    <row r="3411" spans="1:17">
      <c r="A3411" s="18"/>
      <c r="B3411" s="18"/>
      <c r="C3411" s="18"/>
      <c r="D3411" s="18"/>
      <c r="E3411" s="18"/>
      <c r="F3411" s="18"/>
      <c r="G3411" s="18"/>
      <c r="H3411" s="18"/>
      <c r="I3411" s="18"/>
      <c r="J3411" s="18"/>
      <c r="K3411" s="18"/>
      <c r="L3411" s="18"/>
      <c r="M3411" s="18"/>
      <c r="N3411" s="18"/>
      <c r="O3411" s="18"/>
      <c r="P3411" s="18"/>
      <c r="Q3411" s="18"/>
    </row>
    <row r="3412" spans="1:17">
      <c r="A3412" s="18"/>
      <c r="B3412" s="18"/>
      <c r="C3412" s="18"/>
      <c r="D3412" s="18"/>
      <c r="E3412" s="18"/>
      <c r="F3412" s="18"/>
      <c r="G3412" s="18"/>
      <c r="H3412" s="18"/>
      <c r="I3412" s="18"/>
      <c r="J3412" s="18"/>
      <c r="K3412" s="18"/>
      <c r="L3412" s="18"/>
      <c r="M3412" s="18"/>
      <c r="N3412" s="18"/>
      <c r="O3412" s="18"/>
      <c r="P3412" s="18"/>
      <c r="Q3412" s="18"/>
    </row>
    <row r="3413" spans="1:17">
      <c r="A3413" s="18"/>
      <c r="B3413" s="18"/>
      <c r="C3413" s="18"/>
      <c r="D3413" s="18"/>
      <c r="E3413" s="18"/>
      <c r="F3413" s="18"/>
      <c r="G3413" s="18"/>
      <c r="H3413" s="18"/>
      <c r="I3413" s="18"/>
      <c r="J3413" s="18"/>
      <c r="K3413" s="18"/>
      <c r="L3413" s="18"/>
      <c r="M3413" s="18"/>
      <c r="N3413" s="18"/>
      <c r="O3413" s="18"/>
      <c r="P3413" s="18"/>
      <c r="Q3413" s="18"/>
    </row>
    <row r="3414" spans="1:17">
      <c r="A3414" s="18"/>
      <c r="B3414" s="18"/>
      <c r="C3414" s="18"/>
      <c r="D3414" s="18"/>
      <c r="E3414" s="18"/>
      <c r="F3414" s="18"/>
      <c r="G3414" s="18"/>
      <c r="H3414" s="18"/>
      <c r="I3414" s="18"/>
      <c r="J3414" s="18"/>
      <c r="K3414" s="18"/>
      <c r="L3414" s="18"/>
      <c r="M3414" s="18"/>
      <c r="N3414" s="18"/>
      <c r="O3414" s="18"/>
      <c r="P3414" s="18"/>
      <c r="Q3414" s="18"/>
    </row>
    <row r="3415" spans="1:17">
      <c r="A3415" s="18"/>
      <c r="B3415" s="18"/>
      <c r="C3415" s="18"/>
      <c r="D3415" s="18"/>
      <c r="E3415" s="18"/>
      <c r="F3415" s="18"/>
      <c r="G3415" s="18"/>
      <c r="H3415" s="18"/>
      <c r="I3415" s="18"/>
      <c r="J3415" s="18"/>
      <c r="K3415" s="18"/>
      <c r="L3415" s="18"/>
      <c r="M3415" s="18"/>
      <c r="N3415" s="18"/>
      <c r="O3415" s="18"/>
      <c r="P3415" s="18"/>
      <c r="Q3415" s="18"/>
    </row>
    <row r="3416" spans="1:17">
      <c r="A3416" s="18"/>
      <c r="B3416" s="18"/>
      <c r="C3416" s="18"/>
      <c r="D3416" s="18"/>
      <c r="E3416" s="18"/>
      <c r="F3416" s="18"/>
      <c r="G3416" s="18"/>
      <c r="H3416" s="18"/>
      <c r="I3416" s="18"/>
      <c r="J3416" s="18"/>
      <c r="K3416" s="18"/>
      <c r="L3416" s="18"/>
      <c r="M3416" s="18"/>
      <c r="N3416" s="18"/>
      <c r="O3416" s="18"/>
      <c r="P3416" s="18"/>
      <c r="Q3416" s="18"/>
    </row>
    <row r="3417" spans="1:17">
      <c r="A3417" s="18"/>
      <c r="B3417" s="18"/>
      <c r="C3417" s="18"/>
      <c r="D3417" s="18"/>
      <c r="E3417" s="18"/>
      <c r="F3417" s="18"/>
      <c r="G3417" s="18"/>
      <c r="H3417" s="18"/>
      <c r="I3417" s="18"/>
      <c r="J3417" s="18"/>
      <c r="K3417" s="18"/>
      <c r="L3417" s="18"/>
      <c r="M3417" s="18"/>
      <c r="N3417" s="18"/>
      <c r="O3417" s="18"/>
      <c r="P3417" s="18"/>
      <c r="Q3417" s="18"/>
    </row>
    <row r="3418" spans="1:17">
      <c r="A3418" s="18"/>
      <c r="B3418" s="18"/>
      <c r="C3418" s="18"/>
      <c r="D3418" s="18"/>
      <c r="E3418" s="18"/>
      <c r="F3418" s="18"/>
      <c r="G3418" s="18"/>
      <c r="H3418" s="18"/>
      <c r="I3418" s="18"/>
      <c r="J3418" s="18"/>
      <c r="K3418" s="18"/>
      <c r="L3418" s="18"/>
      <c r="M3418" s="18"/>
      <c r="N3418" s="18"/>
      <c r="O3418" s="18"/>
      <c r="P3418" s="18"/>
      <c r="Q3418" s="18"/>
    </row>
    <row r="3419" spans="1:17">
      <c r="A3419" s="18"/>
      <c r="B3419" s="18"/>
      <c r="C3419" s="18"/>
      <c r="D3419" s="18"/>
      <c r="E3419" s="18"/>
      <c r="F3419" s="18"/>
      <c r="G3419" s="18"/>
      <c r="H3419" s="18"/>
      <c r="I3419" s="18"/>
      <c r="J3419" s="18"/>
      <c r="K3419" s="18"/>
      <c r="L3419" s="18"/>
      <c r="M3419" s="18"/>
      <c r="N3419" s="18"/>
      <c r="O3419" s="18"/>
      <c r="P3419" s="18"/>
      <c r="Q3419" s="18"/>
    </row>
    <row r="3420" spans="1:17">
      <c r="A3420" s="18"/>
      <c r="B3420" s="18"/>
      <c r="C3420" s="18"/>
      <c r="D3420" s="18"/>
      <c r="E3420" s="18"/>
      <c r="F3420" s="18"/>
      <c r="G3420" s="18"/>
      <c r="H3420" s="18"/>
      <c r="I3420" s="18"/>
      <c r="J3420" s="18"/>
      <c r="K3420" s="18"/>
      <c r="L3420" s="18"/>
      <c r="M3420" s="18"/>
      <c r="N3420" s="18"/>
      <c r="O3420" s="18"/>
      <c r="P3420" s="18"/>
      <c r="Q3420" s="18"/>
    </row>
    <row r="3421" spans="1:17">
      <c r="A3421" s="18"/>
      <c r="B3421" s="18"/>
      <c r="C3421" s="18"/>
      <c r="D3421" s="18"/>
      <c r="E3421" s="18"/>
      <c r="F3421" s="18"/>
      <c r="G3421" s="18"/>
      <c r="H3421" s="18"/>
      <c r="I3421" s="18"/>
      <c r="J3421" s="18"/>
      <c r="K3421" s="18"/>
      <c r="L3421" s="18"/>
      <c r="M3421" s="18"/>
      <c r="N3421" s="18"/>
      <c r="O3421" s="18"/>
      <c r="P3421" s="18"/>
      <c r="Q3421" s="18"/>
    </row>
    <row r="3422" spans="1:17">
      <c r="A3422" s="18"/>
      <c r="B3422" s="18"/>
      <c r="C3422" s="18"/>
      <c r="D3422" s="18"/>
      <c r="E3422" s="18"/>
      <c r="F3422" s="18"/>
      <c r="G3422" s="18"/>
      <c r="H3422" s="18"/>
      <c r="I3422" s="18"/>
      <c r="J3422" s="18"/>
      <c r="K3422" s="18"/>
      <c r="L3422" s="18"/>
      <c r="M3422" s="18"/>
      <c r="N3422" s="18"/>
      <c r="O3422" s="18"/>
      <c r="P3422" s="18"/>
      <c r="Q3422" s="18"/>
    </row>
    <row r="3423" spans="1:17">
      <c r="A3423" s="18"/>
      <c r="B3423" s="18"/>
      <c r="C3423" s="18"/>
      <c r="D3423" s="18"/>
      <c r="E3423" s="18"/>
      <c r="F3423" s="18"/>
      <c r="G3423" s="18"/>
      <c r="H3423" s="18"/>
      <c r="I3423" s="18"/>
      <c r="J3423" s="18"/>
      <c r="K3423" s="18"/>
      <c r="L3423" s="18"/>
      <c r="M3423" s="18"/>
      <c r="N3423" s="18"/>
      <c r="O3423" s="18"/>
      <c r="P3423" s="18"/>
      <c r="Q3423" s="18"/>
    </row>
    <row r="3424" spans="1:17">
      <c r="A3424" s="18"/>
      <c r="B3424" s="18"/>
      <c r="C3424" s="18"/>
      <c r="D3424" s="18"/>
      <c r="E3424" s="18"/>
      <c r="F3424" s="18"/>
      <c r="G3424" s="18"/>
      <c r="H3424" s="18"/>
      <c r="I3424" s="18"/>
      <c r="J3424" s="18"/>
      <c r="K3424" s="18"/>
      <c r="L3424" s="18"/>
      <c r="M3424" s="18"/>
      <c r="N3424" s="18"/>
      <c r="O3424" s="18"/>
      <c r="P3424" s="18"/>
      <c r="Q3424" s="18"/>
    </row>
    <row r="3425" spans="1:17">
      <c r="A3425" s="18"/>
      <c r="B3425" s="18"/>
      <c r="C3425" s="18"/>
      <c r="D3425" s="18"/>
      <c r="E3425" s="18"/>
      <c r="F3425" s="18"/>
      <c r="G3425" s="18"/>
      <c r="H3425" s="18"/>
      <c r="I3425" s="18"/>
      <c r="J3425" s="18"/>
      <c r="K3425" s="18"/>
      <c r="L3425" s="18"/>
      <c r="M3425" s="18"/>
      <c r="N3425" s="18"/>
      <c r="O3425" s="18"/>
      <c r="P3425" s="18"/>
      <c r="Q3425" s="18"/>
    </row>
    <row r="3426" spans="1:17">
      <c r="A3426" s="18"/>
      <c r="B3426" s="18"/>
      <c r="C3426" s="18"/>
      <c r="D3426" s="18"/>
      <c r="E3426" s="18"/>
      <c r="F3426" s="18"/>
      <c r="G3426" s="18"/>
      <c r="H3426" s="18"/>
      <c r="I3426" s="18"/>
      <c r="J3426" s="18"/>
      <c r="K3426" s="18"/>
      <c r="L3426" s="18"/>
      <c r="M3426" s="18"/>
      <c r="N3426" s="18"/>
      <c r="O3426" s="18"/>
      <c r="P3426" s="18"/>
      <c r="Q3426" s="18"/>
    </row>
    <row r="3427" spans="1:17">
      <c r="A3427" s="18"/>
      <c r="B3427" s="18"/>
      <c r="C3427" s="18"/>
      <c r="D3427" s="18"/>
      <c r="E3427" s="18"/>
      <c r="F3427" s="18"/>
      <c r="G3427" s="18"/>
      <c r="H3427" s="18"/>
      <c r="I3427" s="18"/>
      <c r="J3427" s="18"/>
      <c r="K3427" s="18"/>
      <c r="L3427" s="18"/>
      <c r="M3427" s="18"/>
      <c r="N3427" s="18"/>
      <c r="O3427" s="18"/>
      <c r="P3427" s="18"/>
      <c r="Q3427" s="18"/>
    </row>
    <row r="3428" spans="1:17">
      <c r="A3428" s="18"/>
      <c r="B3428" s="18"/>
      <c r="C3428" s="18"/>
      <c r="D3428" s="18"/>
      <c r="E3428" s="18"/>
      <c r="F3428" s="18"/>
      <c r="G3428" s="18"/>
      <c r="H3428" s="18"/>
      <c r="I3428" s="18"/>
      <c r="J3428" s="18"/>
      <c r="K3428" s="18"/>
      <c r="L3428" s="18"/>
      <c r="M3428" s="18"/>
      <c r="N3428" s="18"/>
      <c r="O3428" s="18"/>
      <c r="P3428" s="18"/>
      <c r="Q3428" s="18"/>
    </row>
    <row r="3429" spans="1:17">
      <c r="A3429" s="18"/>
      <c r="B3429" s="18"/>
      <c r="C3429" s="18"/>
      <c r="D3429" s="18"/>
      <c r="E3429" s="18"/>
      <c r="F3429" s="18"/>
      <c r="G3429" s="18"/>
      <c r="H3429" s="18"/>
      <c r="I3429" s="18"/>
      <c r="J3429" s="18"/>
      <c r="K3429" s="18"/>
      <c r="L3429" s="18"/>
      <c r="M3429" s="18"/>
      <c r="N3429" s="18"/>
      <c r="O3429" s="18"/>
      <c r="P3429" s="18"/>
      <c r="Q3429" s="18"/>
    </row>
    <row r="3430" spans="1:17">
      <c r="A3430" s="18"/>
      <c r="B3430" s="18"/>
      <c r="C3430" s="18"/>
      <c r="D3430" s="18"/>
      <c r="E3430" s="18"/>
      <c r="F3430" s="18"/>
      <c r="G3430" s="18"/>
      <c r="H3430" s="18"/>
      <c r="I3430" s="18"/>
      <c r="J3430" s="18"/>
      <c r="K3430" s="18"/>
      <c r="L3430" s="18"/>
      <c r="M3430" s="18"/>
      <c r="N3430" s="18"/>
      <c r="O3430" s="18"/>
      <c r="P3430" s="18"/>
      <c r="Q3430" s="18"/>
    </row>
    <row r="3431" spans="1:17">
      <c r="A3431" s="18"/>
      <c r="B3431" s="18"/>
      <c r="C3431" s="18"/>
      <c r="D3431" s="18"/>
      <c r="E3431" s="18"/>
      <c r="F3431" s="18"/>
      <c r="G3431" s="18"/>
      <c r="H3431" s="18"/>
      <c r="I3431" s="18"/>
      <c r="J3431" s="18"/>
      <c r="K3431" s="18"/>
      <c r="L3431" s="18"/>
      <c r="M3431" s="18"/>
      <c r="N3431" s="18"/>
      <c r="O3431" s="18"/>
      <c r="P3431" s="18"/>
      <c r="Q3431" s="18"/>
    </row>
    <row r="3432" spans="1:17">
      <c r="A3432" s="18"/>
      <c r="B3432" s="18"/>
      <c r="C3432" s="18"/>
      <c r="D3432" s="18"/>
      <c r="E3432" s="18"/>
      <c r="F3432" s="18"/>
      <c r="G3432" s="18"/>
      <c r="H3432" s="18"/>
      <c r="I3432" s="18"/>
      <c r="J3432" s="18"/>
      <c r="K3432" s="18"/>
      <c r="L3432" s="18"/>
      <c r="M3432" s="18"/>
      <c r="N3432" s="18"/>
      <c r="O3432" s="18"/>
      <c r="P3432" s="18"/>
      <c r="Q3432" s="18"/>
    </row>
    <row r="3433" spans="1:17">
      <c r="A3433" s="18"/>
      <c r="B3433" s="18"/>
      <c r="C3433" s="18"/>
      <c r="D3433" s="18"/>
      <c r="E3433" s="18"/>
      <c r="F3433" s="18"/>
      <c r="G3433" s="18"/>
      <c r="H3433" s="18"/>
      <c r="I3433" s="18"/>
      <c r="J3433" s="18"/>
      <c r="K3433" s="18"/>
      <c r="L3433" s="18"/>
      <c r="M3433" s="18"/>
      <c r="N3433" s="18"/>
      <c r="O3433" s="18"/>
      <c r="P3433" s="18"/>
      <c r="Q3433" s="18"/>
    </row>
    <row r="3434" spans="1:17">
      <c r="A3434" s="18"/>
      <c r="B3434" s="18"/>
      <c r="C3434" s="18"/>
      <c r="D3434" s="18"/>
      <c r="E3434" s="18"/>
      <c r="F3434" s="18"/>
      <c r="G3434" s="18"/>
      <c r="H3434" s="18"/>
      <c r="I3434" s="18"/>
      <c r="J3434" s="18"/>
      <c r="K3434" s="18"/>
      <c r="L3434" s="18"/>
      <c r="M3434" s="18"/>
      <c r="N3434" s="18"/>
      <c r="O3434" s="18"/>
      <c r="P3434" s="18"/>
      <c r="Q3434" s="18"/>
    </row>
    <row r="3435" spans="1:17">
      <c r="A3435" s="18"/>
      <c r="B3435" s="18"/>
      <c r="C3435" s="18"/>
      <c r="D3435" s="18"/>
      <c r="E3435" s="18"/>
      <c r="F3435" s="18"/>
      <c r="G3435" s="18"/>
      <c r="H3435" s="18"/>
      <c r="I3435" s="18"/>
      <c r="J3435" s="18"/>
      <c r="K3435" s="18"/>
      <c r="L3435" s="18"/>
      <c r="M3435" s="18"/>
      <c r="N3435" s="18"/>
      <c r="O3435" s="18"/>
      <c r="P3435" s="18"/>
      <c r="Q3435" s="18"/>
    </row>
    <row r="3436" spans="1:17">
      <c r="A3436" s="18"/>
      <c r="B3436" s="18"/>
      <c r="C3436" s="18"/>
      <c r="D3436" s="18"/>
      <c r="E3436" s="18"/>
      <c r="F3436" s="18"/>
      <c r="G3436" s="18"/>
      <c r="H3436" s="18"/>
      <c r="I3436" s="18"/>
      <c r="J3436" s="18"/>
      <c r="K3436" s="18"/>
      <c r="L3436" s="18"/>
      <c r="M3436" s="18"/>
      <c r="N3436" s="18"/>
      <c r="O3436" s="18"/>
      <c r="P3436" s="18"/>
      <c r="Q3436" s="18"/>
    </row>
    <row r="3437" spans="1:17">
      <c r="A3437" s="18"/>
      <c r="B3437" s="18"/>
      <c r="C3437" s="18"/>
      <c r="D3437" s="18"/>
      <c r="E3437" s="18"/>
      <c r="F3437" s="18"/>
      <c r="G3437" s="18"/>
      <c r="H3437" s="18"/>
      <c r="I3437" s="18"/>
      <c r="J3437" s="18"/>
      <c r="K3437" s="18"/>
      <c r="L3437" s="18"/>
      <c r="M3437" s="18"/>
      <c r="N3437" s="18"/>
      <c r="O3437" s="18"/>
      <c r="P3437" s="18"/>
      <c r="Q3437" s="18"/>
    </row>
    <row r="3438" spans="1:17">
      <c r="A3438" s="18"/>
      <c r="B3438" s="18"/>
      <c r="C3438" s="18"/>
      <c r="D3438" s="18"/>
      <c r="E3438" s="18"/>
      <c r="F3438" s="18"/>
      <c r="G3438" s="18"/>
      <c r="H3438" s="18"/>
      <c r="I3438" s="18"/>
      <c r="J3438" s="18"/>
      <c r="K3438" s="18"/>
      <c r="L3438" s="18"/>
      <c r="M3438" s="18"/>
      <c r="N3438" s="18"/>
      <c r="O3438" s="18"/>
      <c r="P3438" s="18"/>
      <c r="Q3438" s="18"/>
    </row>
    <row r="3439" spans="1:17">
      <c r="A3439" s="18"/>
      <c r="B3439" s="18"/>
      <c r="C3439" s="18"/>
      <c r="D3439" s="18"/>
      <c r="E3439" s="18"/>
      <c r="F3439" s="18"/>
      <c r="G3439" s="18"/>
      <c r="H3439" s="18"/>
      <c r="I3439" s="18"/>
      <c r="J3439" s="18"/>
      <c r="K3439" s="18"/>
      <c r="L3439" s="18"/>
      <c r="M3439" s="18"/>
      <c r="N3439" s="18"/>
      <c r="O3439" s="18"/>
      <c r="P3439" s="18"/>
      <c r="Q3439" s="18"/>
    </row>
    <row r="3440" spans="1:17">
      <c r="A3440" s="18"/>
      <c r="B3440" s="18"/>
      <c r="C3440" s="18"/>
      <c r="D3440" s="18"/>
      <c r="E3440" s="18"/>
      <c r="F3440" s="18"/>
      <c r="G3440" s="18"/>
      <c r="H3440" s="18"/>
      <c r="I3440" s="18"/>
      <c r="J3440" s="18"/>
      <c r="K3440" s="18"/>
      <c r="L3440" s="18"/>
      <c r="M3440" s="18"/>
      <c r="N3440" s="18"/>
      <c r="O3440" s="18"/>
      <c r="P3440" s="18"/>
      <c r="Q3440" s="18"/>
    </row>
    <row r="3441" spans="1:17">
      <c r="A3441" s="18"/>
      <c r="B3441" s="18"/>
      <c r="C3441" s="18"/>
      <c r="D3441" s="18"/>
      <c r="E3441" s="18"/>
      <c r="F3441" s="18"/>
      <c r="G3441" s="18"/>
      <c r="H3441" s="18"/>
      <c r="I3441" s="18"/>
      <c r="J3441" s="18"/>
      <c r="K3441" s="18"/>
      <c r="L3441" s="18"/>
      <c r="M3441" s="18"/>
      <c r="N3441" s="18"/>
      <c r="O3441" s="18"/>
      <c r="P3441" s="18"/>
      <c r="Q3441" s="18"/>
    </row>
    <row r="3442" spans="1:17">
      <c r="A3442" s="18"/>
      <c r="B3442" s="18"/>
      <c r="C3442" s="18"/>
      <c r="D3442" s="18"/>
      <c r="E3442" s="18"/>
      <c r="F3442" s="18"/>
      <c r="G3442" s="18"/>
      <c r="H3442" s="18"/>
      <c r="I3442" s="18"/>
      <c r="J3442" s="18"/>
      <c r="K3442" s="18"/>
      <c r="L3442" s="18"/>
      <c r="M3442" s="18"/>
      <c r="N3442" s="18"/>
      <c r="O3442" s="18"/>
      <c r="P3442" s="18"/>
      <c r="Q3442" s="18"/>
    </row>
    <row r="3443" spans="1:17">
      <c r="A3443" s="18"/>
      <c r="B3443" s="18"/>
      <c r="C3443" s="18"/>
      <c r="D3443" s="18"/>
      <c r="E3443" s="18"/>
      <c r="F3443" s="18"/>
      <c r="G3443" s="18"/>
      <c r="H3443" s="18"/>
      <c r="I3443" s="18"/>
      <c r="J3443" s="18"/>
      <c r="K3443" s="18"/>
      <c r="L3443" s="18"/>
      <c r="M3443" s="18"/>
      <c r="N3443" s="18"/>
      <c r="O3443" s="18"/>
      <c r="P3443" s="18"/>
      <c r="Q3443" s="18"/>
    </row>
    <row r="3444" spans="1:17">
      <c r="A3444" s="18"/>
      <c r="B3444" s="18"/>
      <c r="C3444" s="18"/>
      <c r="D3444" s="18"/>
      <c r="E3444" s="18"/>
      <c r="F3444" s="18"/>
      <c r="G3444" s="18"/>
      <c r="H3444" s="18"/>
      <c r="I3444" s="18"/>
      <c r="J3444" s="18"/>
      <c r="K3444" s="18"/>
      <c r="L3444" s="18"/>
      <c r="M3444" s="18"/>
      <c r="N3444" s="18"/>
      <c r="O3444" s="18"/>
      <c r="P3444" s="18"/>
      <c r="Q3444" s="18"/>
    </row>
    <row r="3445" spans="1:17">
      <c r="A3445" s="18"/>
      <c r="B3445" s="18"/>
      <c r="C3445" s="18"/>
      <c r="D3445" s="18"/>
      <c r="E3445" s="18"/>
      <c r="F3445" s="18"/>
      <c r="G3445" s="18"/>
      <c r="H3445" s="18"/>
      <c r="I3445" s="18"/>
      <c r="J3445" s="18"/>
      <c r="K3445" s="18"/>
      <c r="L3445" s="18"/>
      <c r="M3445" s="18"/>
      <c r="N3445" s="18"/>
      <c r="O3445" s="18"/>
      <c r="P3445" s="18"/>
      <c r="Q3445" s="18"/>
    </row>
    <row r="3446" spans="1:17">
      <c r="A3446" s="18"/>
      <c r="B3446" s="18"/>
      <c r="C3446" s="18"/>
      <c r="D3446" s="18"/>
      <c r="E3446" s="18"/>
      <c r="F3446" s="18"/>
      <c r="G3446" s="18"/>
      <c r="H3446" s="18"/>
      <c r="I3446" s="18"/>
      <c r="J3446" s="18"/>
      <c r="K3446" s="18"/>
      <c r="L3446" s="18"/>
      <c r="M3446" s="18"/>
      <c r="N3446" s="18"/>
      <c r="O3446" s="18"/>
      <c r="P3446" s="18"/>
      <c r="Q3446" s="18"/>
    </row>
    <row r="3447" spans="1:17">
      <c r="A3447" s="18"/>
      <c r="B3447" s="18"/>
      <c r="C3447" s="18"/>
      <c r="D3447" s="18"/>
      <c r="E3447" s="18"/>
      <c r="F3447" s="18"/>
      <c r="G3447" s="18"/>
      <c r="H3447" s="18"/>
      <c r="I3447" s="18"/>
      <c r="J3447" s="18"/>
      <c r="K3447" s="18"/>
      <c r="L3447" s="18"/>
      <c r="M3447" s="18"/>
      <c r="N3447" s="18"/>
      <c r="O3447" s="18"/>
      <c r="P3447" s="18"/>
      <c r="Q3447" s="18"/>
    </row>
    <row r="3448" spans="1:17">
      <c r="A3448" s="18"/>
      <c r="B3448" s="18"/>
      <c r="C3448" s="18"/>
      <c r="D3448" s="18"/>
      <c r="E3448" s="18"/>
      <c r="F3448" s="18"/>
      <c r="G3448" s="18"/>
      <c r="H3448" s="18"/>
      <c r="I3448" s="18"/>
      <c r="J3448" s="18"/>
      <c r="K3448" s="18"/>
      <c r="L3448" s="18"/>
      <c r="M3448" s="18"/>
      <c r="N3448" s="18"/>
      <c r="O3448" s="18"/>
      <c r="P3448" s="18"/>
      <c r="Q3448" s="18"/>
    </row>
    <row r="3449" spans="1:17">
      <c r="A3449" s="18"/>
      <c r="B3449" s="18"/>
      <c r="C3449" s="18"/>
      <c r="D3449" s="18"/>
      <c r="E3449" s="18"/>
      <c r="F3449" s="18"/>
      <c r="G3449" s="18"/>
      <c r="H3449" s="18"/>
      <c r="I3449" s="18"/>
      <c r="J3449" s="18"/>
      <c r="K3449" s="18"/>
      <c r="L3449" s="18"/>
      <c r="M3449" s="18"/>
      <c r="N3449" s="18"/>
      <c r="O3449" s="18"/>
      <c r="P3449" s="18"/>
      <c r="Q3449" s="18"/>
    </row>
    <row r="3450" spans="1:17">
      <c r="A3450" s="18"/>
      <c r="B3450" s="18"/>
      <c r="C3450" s="18"/>
      <c r="D3450" s="18"/>
      <c r="E3450" s="18"/>
      <c r="F3450" s="18"/>
      <c r="G3450" s="18"/>
      <c r="H3450" s="18"/>
      <c r="I3450" s="18"/>
      <c r="J3450" s="18"/>
      <c r="K3450" s="18"/>
      <c r="L3450" s="18"/>
      <c r="M3450" s="18"/>
      <c r="N3450" s="18"/>
      <c r="O3450" s="18"/>
      <c r="P3450" s="18"/>
      <c r="Q3450" s="18"/>
    </row>
    <row r="3451" spans="1:17">
      <c r="A3451" s="18"/>
      <c r="B3451" s="18"/>
      <c r="C3451" s="18"/>
      <c r="D3451" s="18"/>
      <c r="E3451" s="18"/>
      <c r="F3451" s="18"/>
      <c r="G3451" s="18"/>
      <c r="H3451" s="18"/>
      <c r="I3451" s="18"/>
      <c r="J3451" s="18"/>
      <c r="K3451" s="18"/>
      <c r="L3451" s="18"/>
      <c r="M3451" s="18"/>
      <c r="N3451" s="18"/>
      <c r="O3451" s="18"/>
      <c r="P3451" s="18"/>
      <c r="Q3451" s="18"/>
    </row>
    <row r="3452" spans="1:17">
      <c r="A3452" s="18"/>
      <c r="B3452" s="18"/>
      <c r="C3452" s="18"/>
      <c r="D3452" s="18"/>
      <c r="E3452" s="18"/>
      <c r="F3452" s="18"/>
      <c r="G3452" s="18"/>
      <c r="H3452" s="18"/>
      <c r="I3452" s="18"/>
      <c r="J3452" s="18"/>
      <c r="K3452" s="18"/>
      <c r="L3452" s="18"/>
      <c r="M3452" s="18"/>
      <c r="N3452" s="18"/>
      <c r="O3452" s="18"/>
      <c r="P3452" s="18"/>
      <c r="Q3452" s="18"/>
    </row>
    <row r="3453" spans="1:17">
      <c r="A3453" s="18"/>
      <c r="B3453" s="18"/>
      <c r="C3453" s="18"/>
      <c r="D3453" s="18"/>
      <c r="E3453" s="18"/>
      <c r="F3453" s="18"/>
      <c r="G3453" s="18"/>
      <c r="H3453" s="18"/>
      <c r="I3453" s="18"/>
      <c r="J3453" s="18"/>
      <c r="K3453" s="18"/>
      <c r="L3453" s="18"/>
      <c r="M3453" s="18"/>
      <c r="N3453" s="18"/>
      <c r="O3453" s="18"/>
      <c r="P3453" s="18"/>
      <c r="Q3453" s="18"/>
    </row>
    <row r="3454" spans="1:17">
      <c r="A3454" s="18"/>
      <c r="B3454" s="18"/>
      <c r="C3454" s="18"/>
      <c r="D3454" s="18"/>
      <c r="E3454" s="18"/>
      <c r="F3454" s="18"/>
      <c r="G3454" s="18"/>
      <c r="H3454" s="18"/>
      <c r="I3454" s="18"/>
      <c r="J3454" s="18"/>
      <c r="K3454" s="18"/>
      <c r="L3454" s="18"/>
      <c r="M3454" s="18"/>
      <c r="N3454" s="18"/>
      <c r="O3454" s="18"/>
      <c r="P3454" s="18"/>
      <c r="Q3454" s="18"/>
    </row>
    <row r="3455" spans="1:17">
      <c r="A3455" s="18"/>
      <c r="B3455" s="18"/>
      <c r="C3455" s="18"/>
      <c r="D3455" s="18"/>
      <c r="E3455" s="18"/>
      <c r="F3455" s="18"/>
      <c r="G3455" s="18"/>
      <c r="H3455" s="18"/>
      <c r="I3455" s="18"/>
      <c r="J3455" s="18"/>
      <c r="K3455" s="18"/>
      <c r="L3455" s="18"/>
      <c r="M3455" s="18"/>
      <c r="N3455" s="18"/>
      <c r="O3455" s="18"/>
      <c r="P3455" s="18"/>
      <c r="Q3455" s="18"/>
    </row>
    <row r="3456" spans="1:17">
      <c r="A3456" s="18"/>
      <c r="B3456" s="18"/>
      <c r="C3456" s="18"/>
      <c r="D3456" s="18"/>
      <c r="E3456" s="18"/>
      <c r="F3456" s="18"/>
      <c r="G3456" s="18"/>
      <c r="H3456" s="18"/>
      <c r="I3456" s="18"/>
      <c r="J3456" s="18"/>
      <c r="K3456" s="18"/>
      <c r="L3456" s="18"/>
      <c r="M3456" s="18"/>
      <c r="N3456" s="18"/>
      <c r="O3456" s="18"/>
      <c r="P3456" s="18"/>
      <c r="Q3456" s="18"/>
    </row>
    <row r="3457" spans="1:17">
      <c r="A3457" s="18"/>
      <c r="B3457" s="18"/>
      <c r="C3457" s="18"/>
      <c r="D3457" s="18"/>
      <c r="E3457" s="18"/>
      <c r="F3457" s="18"/>
      <c r="G3457" s="18"/>
      <c r="H3457" s="18"/>
      <c r="I3457" s="18"/>
      <c r="J3457" s="18"/>
      <c r="K3457" s="18"/>
      <c r="L3457" s="18"/>
      <c r="M3457" s="18"/>
      <c r="N3457" s="18"/>
      <c r="O3457" s="18"/>
      <c r="P3457" s="18"/>
      <c r="Q3457" s="18"/>
    </row>
    <row r="3458" spans="1:17">
      <c r="A3458" s="18"/>
      <c r="B3458" s="18"/>
      <c r="C3458" s="18"/>
      <c r="D3458" s="18"/>
      <c r="E3458" s="18"/>
      <c r="F3458" s="18"/>
      <c r="G3458" s="18"/>
      <c r="H3458" s="18"/>
      <c r="I3458" s="18"/>
      <c r="J3458" s="18"/>
      <c r="K3458" s="18"/>
      <c r="L3458" s="18"/>
      <c r="M3458" s="18"/>
      <c r="N3458" s="18"/>
      <c r="O3458" s="18"/>
      <c r="P3458" s="18"/>
      <c r="Q3458" s="18"/>
    </row>
    <row r="3459" spans="1:17">
      <c r="A3459" s="18"/>
      <c r="B3459" s="18"/>
      <c r="C3459" s="18"/>
      <c r="D3459" s="18"/>
      <c r="E3459" s="18"/>
      <c r="F3459" s="18"/>
      <c r="G3459" s="18"/>
      <c r="H3459" s="18"/>
      <c r="I3459" s="18"/>
      <c r="J3459" s="18"/>
      <c r="K3459" s="18"/>
      <c r="L3459" s="18"/>
      <c r="M3459" s="18"/>
      <c r="N3459" s="18"/>
      <c r="O3459" s="18"/>
      <c r="P3459" s="18"/>
      <c r="Q3459" s="18"/>
    </row>
    <row r="3460" spans="1:17">
      <c r="A3460" s="18"/>
      <c r="B3460" s="18"/>
      <c r="C3460" s="18"/>
      <c r="D3460" s="18"/>
      <c r="E3460" s="18"/>
      <c r="F3460" s="18"/>
      <c r="G3460" s="18"/>
      <c r="H3460" s="18"/>
      <c r="I3460" s="18"/>
      <c r="J3460" s="18"/>
      <c r="K3460" s="18"/>
      <c r="L3460" s="18"/>
      <c r="M3460" s="18"/>
      <c r="N3460" s="18"/>
      <c r="O3460" s="18"/>
      <c r="P3460" s="18"/>
      <c r="Q3460" s="18"/>
    </row>
    <row r="3461" spans="1:17">
      <c r="A3461" s="18"/>
      <c r="B3461" s="18"/>
      <c r="C3461" s="18"/>
      <c r="D3461" s="18"/>
      <c r="E3461" s="18"/>
      <c r="F3461" s="18"/>
      <c r="G3461" s="18"/>
      <c r="H3461" s="18"/>
      <c r="I3461" s="18"/>
      <c r="J3461" s="18"/>
      <c r="K3461" s="18"/>
      <c r="L3461" s="18"/>
      <c r="M3461" s="18"/>
      <c r="N3461" s="18"/>
      <c r="O3461" s="18"/>
      <c r="P3461" s="18"/>
      <c r="Q3461" s="18"/>
    </row>
    <row r="3462" spans="1:17">
      <c r="A3462" s="18"/>
      <c r="B3462" s="18"/>
      <c r="C3462" s="18"/>
      <c r="D3462" s="18"/>
      <c r="E3462" s="18"/>
      <c r="F3462" s="18"/>
      <c r="G3462" s="18"/>
      <c r="H3462" s="18"/>
      <c r="I3462" s="18"/>
      <c r="J3462" s="18"/>
      <c r="K3462" s="18"/>
      <c r="L3462" s="18"/>
      <c r="M3462" s="18"/>
      <c r="N3462" s="18"/>
      <c r="O3462" s="18"/>
      <c r="P3462" s="18"/>
      <c r="Q3462" s="18"/>
    </row>
    <row r="3463" spans="1:17">
      <c r="A3463" s="18"/>
      <c r="B3463" s="18"/>
      <c r="C3463" s="18"/>
      <c r="D3463" s="18"/>
      <c r="E3463" s="18"/>
      <c r="F3463" s="18"/>
      <c r="G3463" s="18"/>
      <c r="H3463" s="18"/>
      <c r="I3463" s="18"/>
      <c r="J3463" s="18"/>
      <c r="K3463" s="18"/>
      <c r="L3463" s="18"/>
      <c r="M3463" s="18"/>
      <c r="N3463" s="18"/>
      <c r="O3463" s="18"/>
      <c r="P3463" s="18"/>
      <c r="Q3463" s="18"/>
    </row>
    <row r="3464" spans="1:17">
      <c r="A3464" s="18"/>
      <c r="B3464" s="18"/>
      <c r="C3464" s="18"/>
      <c r="D3464" s="18"/>
      <c r="E3464" s="18"/>
      <c r="F3464" s="18"/>
      <c r="G3464" s="18"/>
      <c r="H3464" s="18"/>
      <c r="I3464" s="18"/>
      <c r="J3464" s="18"/>
      <c r="K3464" s="18"/>
      <c r="L3464" s="18"/>
      <c r="M3464" s="18"/>
      <c r="N3464" s="18"/>
      <c r="O3464" s="18"/>
      <c r="P3464" s="18"/>
      <c r="Q3464" s="18"/>
    </row>
    <row r="3465" spans="1:17">
      <c r="A3465" s="18"/>
      <c r="B3465" s="18"/>
      <c r="C3465" s="18"/>
      <c r="D3465" s="18"/>
      <c r="E3465" s="18"/>
      <c r="F3465" s="18"/>
      <c r="G3465" s="18"/>
      <c r="H3465" s="18"/>
      <c r="I3465" s="18"/>
      <c r="J3465" s="18"/>
      <c r="K3465" s="18"/>
      <c r="L3465" s="18"/>
      <c r="M3465" s="18"/>
      <c r="N3465" s="18"/>
      <c r="O3465" s="18"/>
      <c r="P3465" s="18"/>
      <c r="Q3465" s="18"/>
    </row>
    <row r="3466" spans="1:17">
      <c r="A3466" s="18"/>
      <c r="B3466" s="18"/>
      <c r="C3466" s="18"/>
      <c r="D3466" s="18"/>
      <c r="E3466" s="18"/>
      <c r="F3466" s="18"/>
      <c r="G3466" s="18"/>
      <c r="H3466" s="18"/>
      <c r="I3466" s="18"/>
      <c r="J3466" s="18"/>
      <c r="K3466" s="18"/>
      <c r="L3466" s="18"/>
      <c r="M3466" s="18"/>
      <c r="N3466" s="18"/>
      <c r="O3466" s="18"/>
      <c r="P3466" s="18"/>
      <c r="Q3466" s="18"/>
    </row>
    <row r="3467" spans="1:17">
      <c r="A3467" s="18"/>
      <c r="B3467" s="18"/>
      <c r="C3467" s="18"/>
      <c r="D3467" s="18"/>
      <c r="E3467" s="18"/>
      <c r="F3467" s="18"/>
      <c r="G3467" s="18"/>
      <c r="H3467" s="18"/>
      <c r="I3467" s="18"/>
      <c r="J3467" s="18"/>
      <c r="K3467" s="18"/>
      <c r="L3467" s="18"/>
      <c r="M3467" s="18"/>
      <c r="N3467" s="18"/>
      <c r="O3467" s="18"/>
      <c r="P3467" s="18"/>
      <c r="Q3467" s="18"/>
    </row>
    <row r="3468" spans="1:17">
      <c r="A3468" s="18"/>
      <c r="B3468" s="18"/>
      <c r="C3468" s="18"/>
      <c r="D3468" s="18"/>
      <c r="E3468" s="18"/>
      <c r="F3468" s="18"/>
      <c r="G3468" s="18"/>
      <c r="H3468" s="18"/>
      <c r="I3468" s="18"/>
      <c r="J3468" s="18"/>
      <c r="K3468" s="18"/>
      <c r="L3468" s="18"/>
      <c r="M3468" s="18"/>
      <c r="N3468" s="18"/>
      <c r="O3468" s="18"/>
      <c r="P3468" s="18"/>
      <c r="Q3468" s="18"/>
    </row>
    <row r="3469" spans="1:17">
      <c r="A3469" s="18"/>
      <c r="B3469" s="18"/>
      <c r="C3469" s="18"/>
      <c r="D3469" s="18"/>
      <c r="E3469" s="18"/>
      <c r="F3469" s="18"/>
      <c r="G3469" s="18"/>
      <c r="H3469" s="18"/>
      <c r="I3469" s="18"/>
      <c r="J3469" s="18"/>
      <c r="K3469" s="18"/>
      <c r="L3469" s="18"/>
      <c r="M3469" s="18"/>
      <c r="N3469" s="18"/>
      <c r="O3469" s="18"/>
      <c r="P3469" s="18"/>
      <c r="Q3469" s="18"/>
    </row>
    <row r="3470" spans="1:17">
      <c r="A3470" s="18"/>
      <c r="B3470" s="18"/>
      <c r="C3470" s="18"/>
      <c r="D3470" s="18"/>
      <c r="E3470" s="18"/>
      <c r="F3470" s="18"/>
      <c r="G3470" s="18"/>
      <c r="H3470" s="18"/>
      <c r="I3470" s="18"/>
      <c r="J3470" s="18"/>
      <c r="K3470" s="18"/>
      <c r="L3470" s="18"/>
      <c r="M3470" s="18"/>
      <c r="N3470" s="18"/>
      <c r="O3470" s="18"/>
      <c r="P3470" s="18"/>
      <c r="Q3470" s="18"/>
    </row>
    <row r="3471" spans="1:17">
      <c r="A3471" s="18"/>
      <c r="B3471" s="18"/>
      <c r="C3471" s="18"/>
      <c r="D3471" s="18"/>
      <c r="E3471" s="18"/>
      <c r="F3471" s="18"/>
      <c r="G3471" s="18"/>
      <c r="H3471" s="18"/>
      <c r="I3471" s="18"/>
      <c r="J3471" s="18"/>
      <c r="K3471" s="18"/>
      <c r="L3471" s="18"/>
      <c r="M3471" s="18"/>
      <c r="N3471" s="18"/>
      <c r="O3471" s="18"/>
      <c r="P3471" s="18"/>
      <c r="Q3471" s="18"/>
    </row>
    <row r="3472" spans="1:17">
      <c r="A3472" s="18"/>
      <c r="B3472" s="18"/>
      <c r="C3472" s="18"/>
      <c r="D3472" s="18"/>
      <c r="E3472" s="18"/>
      <c r="F3472" s="18"/>
      <c r="G3472" s="18"/>
      <c r="H3472" s="18"/>
      <c r="I3472" s="18"/>
      <c r="J3472" s="18"/>
      <c r="K3472" s="18"/>
      <c r="L3472" s="18"/>
      <c r="M3472" s="18"/>
      <c r="N3472" s="18"/>
      <c r="O3472" s="18"/>
      <c r="P3472" s="18"/>
      <c r="Q3472" s="18"/>
    </row>
    <row r="3473" spans="1:17">
      <c r="A3473" s="18"/>
      <c r="B3473" s="18"/>
      <c r="C3473" s="18"/>
      <c r="D3473" s="18"/>
      <c r="E3473" s="18"/>
      <c r="F3473" s="18"/>
      <c r="G3473" s="18"/>
      <c r="H3473" s="18"/>
      <c r="I3473" s="18"/>
      <c r="J3473" s="18"/>
      <c r="K3473" s="18"/>
      <c r="L3473" s="18"/>
      <c r="M3473" s="18"/>
      <c r="N3473" s="18"/>
      <c r="O3473" s="18"/>
      <c r="P3473" s="18"/>
      <c r="Q3473" s="18"/>
    </row>
    <row r="3474" spans="1:17">
      <c r="A3474" s="18"/>
      <c r="B3474" s="18"/>
      <c r="C3474" s="18"/>
      <c r="D3474" s="18"/>
      <c r="E3474" s="18"/>
      <c r="F3474" s="18"/>
      <c r="G3474" s="18"/>
      <c r="H3474" s="18"/>
      <c r="I3474" s="18"/>
      <c r="J3474" s="18"/>
      <c r="K3474" s="18"/>
      <c r="L3474" s="18"/>
      <c r="M3474" s="18"/>
      <c r="N3474" s="18"/>
      <c r="O3474" s="18"/>
      <c r="P3474" s="18"/>
      <c r="Q3474" s="18"/>
    </row>
    <row r="3475" spans="1:17">
      <c r="A3475" s="18"/>
      <c r="B3475" s="18"/>
      <c r="C3475" s="18"/>
      <c r="D3475" s="18"/>
      <c r="E3475" s="18"/>
      <c r="F3475" s="18"/>
      <c r="G3475" s="18"/>
      <c r="H3475" s="18"/>
      <c r="I3475" s="18"/>
      <c r="J3475" s="18"/>
      <c r="K3475" s="18"/>
      <c r="L3475" s="18"/>
      <c r="M3475" s="18"/>
      <c r="N3475" s="18"/>
      <c r="O3475" s="18"/>
      <c r="P3475" s="18"/>
      <c r="Q3475" s="18"/>
    </row>
    <row r="3476" spans="1:17">
      <c r="A3476" s="18"/>
      <c r="B3476" s="18"/>
      <c r="C3476" s="18"/>
      <c r="D3476" s="18"/>
      <c r="E3476" s="18"/>
      <c r="F3476" s="18"/>
      <c r="G3476" s="18"/>
      <c r="H3476" s="18"/>
      <c r="I3476" s="18"/>
      <c r="J3476" s="18"/>
      <c r="K3476" s="18"/>
      <c r="L3476" s="18"/>
      <c r="M3476" s="18"/>
      <c r="N3476" s="18"/>
      <c r="O3476" s="18"/>
      <c r="P3476" s="18"/>
      <c r="Q3476" s="18"/>
    </row>
    <row r="3477" spans="1:17">
      <c r="A3477" s="18"/>
      <c r="B3477" s="18"/>
      <c r="C3477" s="18"/>
      <c r="D3477" s="18"/>
      <c r="E3477" s="18"/>
      <c r="F3477" s="18"/>
      <c r="G3477" s="18"/>
      <c r="H3477" s="18"/>
      <c r="I3477" s="18"/>
      <c r="J3477" s="18"/>
      <c r="K3477" s="18"/>
      <c r="L3477" s="18"/>
      <c r="M3477" s="18"/>
      <c r="N3477" s="18"/>
      <c r="O3477" s="18"/>
      <c r="P3477" s="18"/>
      <c r="Q3477" s="18"/>
    </row>
    <row r="3478" spans="1:17">
      <c r="A3478" s="18"/>
      <c r="B3478" s="18"/>
      <c r="C3478" s="18"/>
      <c r="D3478" s="18"/>
      <c r="E3478" s="18"/>
      <c r="F3478" s="18"/>
      <c r="G3478" s="18"/>
      <c r="H3478" s="18"/>
      <c r="I3478" s="18"/>
      <c r="J3478" s="18"/>
      <c r="K3478" s="18"/>
      <c r="L3478" s="18"/>
      <c r="M3478" s="18"/>
      <c r="N3478" s="18"/>
      <c r="O3478" s="18"/>
      <c r="P3478" s="18"/>
      <c r="Q3478" s="18"/>
    </row>
    <row r="3479" spans="1:17">
      <c r="A3479" s="18"/>
      <c r="B3479" s="18"/>
      <c r="C3479" s="18"/>
      <c r="D3479" s="18"/>
      <c r="E3479" s="18"/>
      <c r="F3479" s="18"/>
      <c r="G3479" s="18"/>
      <c r="H3479" s="18"/>
      <c r="I3479" s="18"/>
      <c r="J3479" s="18"/>
      <c r="K3479" s="18"/>
      <c r="L3479" s="18"/>
      <c r="M3479" s="18"/>
      <c r="N3479" s="18"/>
      <c r="O3479" s="18"/>
      <c r="P3479" s="18"/>
      <c r="Q3479" s="18"/>
    </row>
    <row r="3480" spans="1:17">
      <c r="A3480" s="18"/>
      <c r="B3480" s="18"/>
      <c r="C3480" s="18"/>
      <c r="D3480" s="18"/>
      <c r="E3480" s="18"/>
      <c r="F3480" s="18"/>
      <c r="G3480" s="18"/>
      <c r="H3480" s="18"/>
      <c r="I3480" s="18"/>
      <c r="J3480" s="18"/>
      <c r="K3480" s="18"/>
      <c r="L3480" s="18"/>
      <c r="M3480" s="18"/>
      <c r="N3480" s="18"/>
      <c r="O3480" s="18"/>
      <c r="P3480" s="18"/>
      <c r="Q3480" s="18"/>
    </row>
    <row r="3481" spans="1:17">
      <c r="A3481" s="18"/>
      <c r="B3481" s="18"/>
      <c r="C3481" s="18"/>
      <c r="D3481" s="18"/>
      <c r="E3481" s="18"/>
      <c r="F3481" s="18"/>
      <c r="G3481" s="18"/>
      <c r="H3481" s="18"/>
      <c r="I3481" s="18"/>
      <c r="J3481" s="18"/>
      <c r="K3481" s="18"/>
      <c r="L3481" s="18"/>
      <c r="M3481" s="18"/>
      <c r="N3481" s="18"/>
      <c r="O3481" s="18"/>
      <c r="P3481" s="18"/>
      <c r="Q3481" s="18"/>
    </row>
    <row r="3482" spans="1:17">
      <c r="A3482" s="18"/>
      <c r="B3482" s="18"/>
      <c r="C3482" s="18"/>
      <c r="D3482" s="18"/>
      <c r="E3482" s="18"/>
      <c r="F3482" s="18"/>
      <c r="G3482" s="18"/>
      <c r="H3482" s="18"/>
      <c r="I3482" s="18"/>
      <c r="J3482" s="18"/>
      <c r="K3482" s="18"/>
      <c r="L3482" s="18"/>
      <c r="M3482" s="18"/>
      <c r="N3482" s="18"/>
      <c r="O3482" s="18"/>
      <c r="P3482" s="18"/>
      <c r="Q3482" s="18"/>
    </row>
    <row r="3483" spans="1:17">
      <c r="A3483" s="18"/>
      <c r="B3483" s="18"/>
      <c r="C3483" s="18"/>
      <c r="D3483" s="18"/>
      <c r="E3483" s="18"/>
      <c r="F3483" s="18"/>
      <c r="G3483" s="18"/>
      <c r="H3483" s="18"/>
      <c r="I3483" s="18"/>
      <c r="J3483" s="18"/>
      <c r="K3483" s="18"/>
      <c r="L3483" s="18"/>
      <c r="M3483" s="18"/>
      <c r="N3483" s="18"/>
      <c r="O3483" s="18"/>
      <c r="P3483" s="18"/>
      <c r="Q3483" s="18"/>
    </row>
    <row r="3484" spans="1:17">
      <c r="A3484" s="18"/>
      <c r="B3484" s="18"/>
      <c r="C3484" s="18"/>
      <c r="D3484" s="18"/>
      <c r="E3484" s="18"/>
      <c r="F3484" s="18"/>
      <c r="G3484" s="18"/>
      <c r="H3484" s="18"/>
      <c r="I3484" s="18"/>
      <c r="J3484" s="18"/>
      <c r="K3484" s="18"/>
      <c r="L3484" s="18"/>
      <c r="M3484" s="18"/>
      <c r="N3484" s="18"/>
      <c r="O3484" s="18"/>
      <c r="P3484" s="18"/>
      <c r="Q3484" s="18"/>
    </row>
    <row r="3485" spans="1:17">
      <c r="A3485" s="18"/>
      <c r="B3485" s="18"/>
      <c r="C3485" s="18"/>
      <c r="D3485" s="18"/>
      <c r="E3485" s="18"/>
      <c r="F3485" s="18"/>
      <c r="G3485" s="18"/>
      <c r="H3485" s="18"/>
      <c r="I3485" s="18"/>
      <c r="J3485" s="18"/>
      <c r="K3485" s="18"/>
      <c r="L3485" s="18"/>
      <c r="M3485" s="18"/>
      <c r="N3485" s="18"/>
      <c r="O3485" s="18"/>
      <c r="P3485" s="18"/>
      <c r="Q3485" s="18"/>
    </row>
    <row r="3486" spans="1:17">
      <c r="A3486" s="18"/>
      <c r="B3486" s="18"/>
      <c r="C3486" s="18"/>
      <c r="D3486" s="18"/>
      <c r="E3486" s="18"/>
      <c r="F3486" s="18"/>
      <c r="G3486" s="18"/>
      <c r="H3486" s="18"/>
      <c r="I3486" s="18"/>
      <c r="J3486" s="18"/>
      <c r="K3486" s="18"/>
      <c r="L3486" s="18"/>
      <c r="M3486" s="18"/>
      <c r="N3486" s="18"/>
      <c r="O3486" s="18"/>
      <c r="P3486" s="18"/>
      <c r="Q3486" s="18"/>
    </row>
    <row r="3487" spans="1:17">
      <c r="A3487" s="18"/>
      <c r="B3487" s="18"/>
      <c r="C3487" s="18"/>
      <c r="D3487" s="18"/>
      <c r="E3487" s="18"/>
      <c r="F3487" s="18"/>
      <c r="G3487" s="18"/>
      <c r="H3487" s="18"/>
      <c r="I3487" s="18"/>
      <c r="J3487" s="18"/>
      <c r="K3487" s="18"/>
      <c r="L3487" s="18"/>
      <c r="M3487" s="18"/>
      <c r="N3487" s="18"/>
      <c r="O3487" s="18"/>
      <c r="P3487" s="18"/>
      <c r="Q3487" s="18"/>
    </row>
    <row r="3488" spans="1:17">
      <c r="A3488" s="18"/>
      <c r="B3488" s="18"/>
      <c r="C3488" s="18"/>
      <c r="D3488" s="18"/>
      <c r="E3488" s="18"/>
      <c r="F3488" s="18"/>
      <c r="G3488" s="18"/>
      <c r="H3488" s="18"/>
      <c r="I3488" s="18"/>
      <c r="J3488" s="18"/>
      <c r="K3488" s="18"/>
      <c r="L3488" s="18"/>
      <c r="M3488" s="18"/>
      <c r="N3488" s="18"/>
      <c r="O3488" s="18"/>
      <c r="P3488" s="18"/>
      <c r="Q3488" s="18"/>
    </row>
    <row r="3489" spans="1:17">
      <c r="A3489" s="18"/>
      <c r="B3489" s="18"/>
      <c r="C3489" s="18"/>
      <c r="D3489" s="18"/>
      <c r="E3489" s="18"/>
      <c r="F3489" s="18"/>
      <c r="G3489" s="18"/>
      <c r="H3489" s="18"/>
      <c r="I3489" s="18"/>
      <c r="J3489" s="18"/>
      <c r="K3489" s="18"/>
      <c r="L3489" s="18"/>
      <c r="M3489" s="18"/>
      <c r="N3489" s="18"/>
      <c r="O3489" s="18"/>
      <c r="P3489" s="18"/>
      <c r="Q3489" s="18"/>
    </row>
    <row r="3490" spans="1:17">
      <c r="A3490" s="18"/>
      <c r="B3490" s="18"/>
      <c r="C3490" s="18"/>
      <c r="D3490" s="18"/>
      <c r="E3490" s="18"/>
      <c r="F3490" s="18"/>
      <c r="G3490" s="18"/>
      <c r="H3490" s="18"/>
      <c r="I3490" s="18"/>
      <c r="J3490" s="18"/>
      <c r="K3490" s="18"/>
      <c r="L3490" s="18"/>
      <c r="M3490" s="18"/>
      <c r="N3490" s="18"/>
      <c r="O3490" s="18"/>
      <c r="P3490" s="18"/>
      <c r="Q3490" s="18"/>
    </row>
    <row r="3491" spans="1:17">
      <c r="A3491" s="18"/>
      <c r="B3491" s="18"/>
      <c r="C3491" s="18"/>
      <c r="D3491" s="18"/>
      <c r="E3491" s="18"/>
      <c r="F3491" s="18"/>
      <c r="G3491" s="18"/>
      <c r="H3491" s="18"/>
      <c r="I3491" s="18"/>
      <c r="J3491" s="18"/>
      <c r="K3491" s="18"/>
      <c r="L3491" s="18"/>
      <c r="M3491" s="18"/>
      <c r="N3491" s="18"/>
      <c r="O3491" s="18"/>
      <c r="P3491" s="18"/>
      <c r="Q3491" s="18"/>
    </row>
    <row r="3492" spans="1:17">
      <c r="A3492" s="18"/>
      <c r="B3492" s="18"/>
      <c r="C3492" s="18"/>
      <c r="D3492" s="18"/>
      <c r="E3492" s="18"/>
      <c r="F3492" s="18"/>
      <c r="G3492" s="18"/>
      <c r="H3492" s="18"/>
      <c r="I3492" s="18"/>
      <c r="J3492" s="18"/>
      <c r="K3492" s="18"/>
      <c r="L3492" s="18"/>
      <c r="M3492" s="18"/>
      <c r="N3492" s="18"/>
      <c r="O3492" s="18"/>
      <c r="P3492" s="18"/>
      <c r="Q3492" s="18"/>
    </row>
    <row r="3493" spans="1:17">
      <c r="A3493" s="18"/>
      <c r="B3493" s="18"/>
      <c r="C3493" s="18"/>
      <c r="D3493" s="18"/>
      <c r="E3493" s="18"/>
      <c r="F3493" s="18"/>
      <c r="G3493" s="18"/>
      <c r="H3493" s="18"/>
      <c r="I3493" s="18"/>
      <c r="J3493" s="18"/>
      <c r="K3493" s="18"/>
      <c r="L3493" s="18"/>
      <c r="M3493" s="18"/>
      <c r="N3493" s="18"/>
      <c r="O3493" s="18"/>
      <c r="P3493" s="18"/>
      <c r="Q3493" s="18"/>
    </row>
    <row r="3494" spans="1:17">
      <c r="A3494" s="18"/>
      <c r="B3494" s="18"/>
      <c r="C3494" s="18"/>
      <c r="D3494" s="18"/>
      <c r="E3494" s="18"/>
      <c r="F3494" s="18"/>
      <c r="G3494" s="18"/>
      <c r="H3494" s="18"/>
      <c r="I3494" s="18"/>
      <c r="J3494" s="18"/>
      <c r="K3494" s="18"/>
      <c r="L3494" s="18"/>
      <c r="M3494" s="18"/>
      <c r="N3494" s="18"/>
      <c r="O3494" s="18"/>
      <c r="P3494" s="18"/>
      <c r="Q3494" s="18"/>
    </row>
    <row r="3495" spans="1:17">
      <c r="A3495" s="18"/>
      <c r="B3495" s="18"/>
      <c r="C3495" s="18"/>
      <c r="D3495" s="18"/>
      <c r="E3495" s="18"/>
      <c r="F3495" s="18"/>
      <c r="G3495" s="18"/>
      <c r="H3495" s="18"/>
      <c r="I3495" s="18"/>
      <c r="J3495" s="18"/>
      <c r="K3495" s="18"/>
      <c r="L3495" s="18"/>
      <c r="M3495" s="18"/>
      <c r="N3495" s="18"/>
      <c r="O3495" s="18"/>
      <c r="P3495" s="18"/>
      <c r="Q3495" s="18"/>
    </row>
    <row r="3496" spans="1:17">
      <c r="A3496" s="18"/>
      <c r="B3496" s="18"/>
      <c r="C3496" s="18"/>
      <c r="D3496" s="18"/>
      <c r="E3496" s="18"/>
      <c r="F3496" s="18"/>
      <c r="G3496" s="18"/>
      <c r="H3496" s="18"/>
      <c r="I3496" s="18"/>
      <c r="J3496" s="18"/>
      <c r="K3496" s="18"/>
      <c r="L3496" s="18"/>
      <c r="M3496" s="18"/>
      <c r="N3496" s="18"/>
      <c r="O3496" s="18"/>
      <c r="P3496" s="18"/>
      <c r="Q3496" s="18"/>
    </row>
    <row r="3497" spans="1:17">
      <c r="A3497" s="18"/>
      <c r="B3497" s="18"/>
      <c r="C3497" s="18"/>
      <c r="D3497" s="18"/>
      <c r="E3497" s="18"/>
      <c r="F3497" s="18"/>
      <c r="G3497" s="18"/>
      <c r="H3497" s="18"/>
      <c r="I3497" s="18"/>
      <c r="J3497" s="18"/>
      <c r="K3497" s="18"/>
      <c r="L3497" s="18"/>
      <c r="M3497" s="18"/>
      <c r="N3497" s="18"/>
      <c r="O3497" s="18"/>
      <c r="P3497" s="18"/>
      <c r="Q3497" s="18"/>
    </row>
    <row r="3498" spans="1:17">
      <c r="A3498" s="18"/>
      <c r="B3498" s="18"/>
      <c r="C3498" s="18"/>
      <c r="D3498" s="18"/>
      <c r="E3498" s="18"/>
      <c r="F3498" s="18"/>
      <c r="G3498" s="18"/>
      <c r="H3498" s="18"/>
      <c r="I3498" s="18"/>
      <c r="J3498" s="18"/>
      <c r="K3498" s="18"/>
      <c r="L3498" s="18"/>
      <c r="M3498" s="18"/>
      <c r="N3498" s="18"/>
      <c r="O3498" s="18"/>
      <c r="P3498" s="18"/>
      <c r="Q3498" s="18"/>
    </row>
    <row r="3499" spans="1:17">
      <c r="A3499" s="18"/>
      <c r="B3499" s="18"/>
      <c r="C3499" s="18"/>
      <c r="D3499" s="18"/>
      <c r="E3499" s="18"/>
      <c r="F3499" s="18"/>
      <c r="G3499" s="18"/>
      <c r="H3499" s="18"/>
      <c r="I3499" s="18"/>
      <c r="J3499" s="18"/>
      <c r="K3499" s="18"/>
      <c r="L3499" s="18"/>
      <c r="M3499" s="18"/>
      <c r="N3499" s="18"/>
      <c r="O3499" s="18"/>
      <c r="P3499" s="18"/>
      <c r="Q3499" s="18"/>
    </row>
    <row r="3500" spans="1:17">
      <c r="A3500" s="18"/>
      <c r="B3500" s="18"/>
      <c r="C3500" s="18"/>
      <c r="D3500" s="18"/>
      <c r="E3500" s="18"/>
      <c r="F3500" s="18"/>
      <c r="G3500" s="18"/>
      <c r="H3500" s="18"/>
      <c r="I3500" s="18"/>
      <c r="J3500" s="18"/>
      <c r="K3500" s="18"/>
      <c r="L3500" s="18"/>
      <c r="M3500" s="18"/>
      <c r="N3500" s="18"/>
      <c r="O3500" s="18"/>
      <c r="P3500" s="18"/>
      <c r="Q3500" s="18"/>
    </row>
    <row r="3501" spans="1:17">
      <c r="A3501" s="18"/>
      <c r="B3501" s="18"/>
      <c r="C3501" s="18"/>
      <c r="D3501" s="18"/>
      <c r="E3501" s="18"/>
      <c r="F3501" s="18"/>
      <c r="G3501" s="18"/>
      <c r="H3501" s="18"/>
      <c r="I3501" s="18"/>
      <c r="J3501" s="18"/>
      <c r="K3501" s="18"/>
      <c r="L3501" s="18"/>
      <c r="M3501" s="18"/>
      <c r="N3501" s="18"/>
      <c r="O3501" s="18"/>
      <c r="P3501" s="18"/>
      <c r="Q3501" s="18"/>
    </row>
    <row r="3502" spans="1:17">
      <c r="A3502" s="18"/>
      <c r="B3502" s="18"/>
      <c r="C3502" s="18"/>
      <c r="D3502" s="18"/>
      <c r="E3502" s="18"/>
      <c r="F3502" s="18"/>
      <c r="G3502" s="18"/>
      <c r="H3502" s="18"/>
      <c r="I3502" s="18"/>
      <c r="J3502" s="18"/>
      <c r="K3502" s="18"/>
      <c r="L3502" s="18"/>
      <c r="M3502" s="18"/>
      <c r="N3502" s="18"/>
      <c r="O3502" s="18"/>
      <c r="P3502" s="18"/>
      <c r="Q3502" s="18"/>
    </row>
    <row r="3503" spans="1:17">
      <c r="A3503" s="18"/>
      <c r="B3503" s="18"/>
      <c r="C3503" s="18"/>
      <c r="D3503" s="18"/>
      <c r="E3503" s="18"/>
      <c r="F3503" s="18"/>
      <c r="G3503" s="18"/>
      <c r="H3503" s="18"/>
      <c r="I3503" s="18"/>
      <c r="J3503" s="18"/>
      <c r="K3503" s="18"/>
      <c r="L3503" s="18"/>
      <c r="M3503" s="18"/>
      <c r="N3503" s="18"/>
      <c r="O3503" s="18"/>
      <c r="P3503" s="18"/>
      <c r="Q3503" s="18"/>
    </row>
    <row r="3504" spans="1:17">
      <c r="A3504" s="18"/>
      <c r="B3504" s="18"/>
      <c r="C3504" s="18"/>
      <c r="D3504" s="18"/>
      <c r="E3504" s="18"/>
      <c r="F3504" s="18"/>
      <c r="G3504" s="18"/>
      <c r="H3504" s="18"/>
      <c r="I3504" s="18"/>
      <c r="J3504" s="18"/>
      <c r="K3504" s="18"/>
      <c r="L3504" s="18"/>
      <c r="M3504" s="18"/>
      <c r="N3504" s="18"/>
      <c r="O3504" s="18"/>
      <c r="P3504" s="18"/>
      <c r="Q3504" s="18"/>
    </row>
    <row r="3505" spans="1:17">
      <c r="A3505" s="18"/>
      <c r="B3505" s="18"/>
      <c r="C3505" s="18"/>
      <c r="D3505" s="18"/>
      <c r="E3505" s="18"/>
      <c r="F3505" s="18"/>
      <c r="G3505" s="18"/>
      <c r="H3505" s="18"/>
      <c r="I3505" s="18"/>
      <c r="J3505" s="18"/>
      <c r="K3505" s="18"/>
      <c r="L3505" s="18"/>
      <c r="M3505" s="18"/>
      <c r="N3505" s="18"/>
      <c r="O3505" s="18"/>
      <c r="P3505" s="18"/>
      <c r="Q3505" s="18"/>
    </row>
    <row r="3506" spans="1:17">
      <c r="A3506" s="18"/>
      <c r="B3506" s="18"/>
      <c r="C3506" s="18"/>
      <c r="D3506" s="18"/>
      <c r="E3506" s="18"/>
      <c r="F3506" s="18"/>
      <c r="G3506" s="18"/>
      <c r="H3506" s="18"/>
      <c r="I3506" s="18"/>
      <c r="J3506" s="18"/>
      <c r="K3506" s="18"/>
      <c r="L3506" s="18"/>
      <c r="M3506" s="18"/>
      <c r="N3506" s="18"/>
      <c r="O3506" s="18"/>
      <c r="P3506" s="18"/>
      <c r="Q3506" s="18"/>
    </row>
    <row r="3507" spans="1:17">
      <c r="A3507" s="18"/>
      <c r="B3507" s="18"/>
      <c r="C3507" s="18"/>
      <c r="D3507" s="18"/>
      <c r="E3507" s="18"/>
      <c r="F3507" s="18"/>
      <c r="G3507" s="18"/>
      <c r="H3507" s="18"/>
      <c r="I3507" s="18"/>
      <c r="J3507" s="18"/>
      <c r="K3507" s="18"/>
      <c r="L3507" s="18"/>
      <c r="M3507" s="18"/>
      <c r="N3507" s="18"/>
      <c r="O3507" s="18"/>
      <c r="P3507" s="18"/>
      <c r="Q3507" s="18"/>
    </row>
    <row r="3508" spans="1:17">
      <c r="A3508" s="18"/>
      <c r="B3508" s="18"/>
      <c r="C3508" s="18"/>
      <c r="D3508" s="18"/>
      <c r="E3508" s="18"/>
      <c r="F3508" s="18"/>
      <c r="G3508" s="18"/>
      <c r="H3508" s="18"/>
      <c r="I3508" s="18"/>
      <c r="J3508" s="18"/>
      <c r="K3508" s="18"/>
      <c r="L3508" s="18"/>
      <c r="M3508" s="18"/>
      <c r="N3508" s="18"/>
      <c r="O3508" s="18"/>
      <c r="P3508" s="18"/>
      <c r="Q3508" s="18"/>
    </row>
    <row r="3509" spans="1:17">
      <c r="A3509" s="18"/>
      <c r="B3509" s="18"/>
      <c r="C3509" s="18"/>
      <c r="D3509" s="18"/>
      <c r="E3509" s="18"/>
      <c r="F3509" s="18"/>
      <c r="G3509" s="18"/>
      <c r="H3509" s="18"/>
      <c r="I3509" s="18"/>
      <c r="J3509" s="18"/>
      <c r="K3509" s="18"/>
      <c r="L3509" s="18"/>
      <c r="M3509" s="18"/>
      <c r="N3509" s="18"/>
      <c r="O3509" s="18"/>
      <c r="P3509" s="18"/>
      <c r="Q3509" s="18"/>
    </row>
    <row r="3510" spans="1:17">
      <c r="A3510" s="18"/>
      <c r="B3510" s="18"/>
      <c r="C3510" s="18"/>
      <c r="D3510" s="18"/>
      <c r="E3510" s="18"/>
      <c r="F3510" s="18"/>
      <c r="G3510" s="18"/>
      <c r="H3510" s="18"/>
      <c r="I3510" s="18"/>
      <c r="J3510" s="18"/>
      <c r="K3510" s="18"/>
      <c r="L3510" s="18"/>
      <c r="M3510" s="18"/>
      <c r="N3510" s="18"/>
      <c r="O3510" s="18"/>
      <c r="P3510" s="18"/>
      <c r="Q3510" s="18"/>
    </row>
    <row r="3511" spans="1:17">
      <c r="A3511" s="18"/>
      <c r="B3511" s="18"/>
      <c r="C3511" s="18"/>
      <c r="D3511" s="18"/>
      <c r="E3511" s="18"/>
      <c r="F3511" s="18"/>
      <c r="G3511" s="18"/>
      <c r="H3511" s="18"/>
      <c r="I3511" s="18"/>
      <c r="J3511" s="18"/>
      <c r="K3511" s="18"/>
      <c r="L3511" s="18"/>
      <c r="M3511" s="18"/>
      <c r="N3511" s="18"/>
      <c r="O3511" s="18"/>
      <c r="P3511" s="18"/>
      <c r="Q3511" s="18"/>
    </row>
    <row r="3512" spans="1:17">
      <c r="A3512" s="18"/>
      <c r="B3512" s="18"/>
      <c r="C3512" s="18"/>
      <c r="D3512" s="18"/>
      <c r="E3512" s="18"/>
      <c r="F3512" s="18"/>
      <c r="G3512" s="18"/>
      <c r="H3512" s="18"/>
      <c r="I3512" s="18"/>
      <c r="J3512" s="18"/>
      <c r="K3512" s="18"/>
      <c r="L3512" s="18"/>
      <c r="M3512" s="18"/>
      <c r="N3512" s="18"/>
      <c r="O3512" s="18"/>
      <c r="P3512" s="18"/>
      <c r="Q3512" s="18"/>
    </row>
    <row r="3513" spans="1:17">
      <c r="A3513" s="18"/>
      <c r="B3513" s="18"/>
      <c r="C3513" s="18"/>
      <c r="D3513" s="18"/>
      <c r="E3513" s="18"/>
      <c r="F3513" s="18"/>
      <c r="G3513" s="18"/>
      <c r="H3513" s="18"/>
      <c r="I3513" s="18"/>
      <c r="J3513" s="18"/>
      <c r="K3513" s="18"/>
      <c r="L3513" s="18"/>
      <c r="M3513" s="18"/>
      <c r="N3513" s="18"/>
      <c r="O3513" s="18"/>
      <c r="P3513" s="18"/>
      <c r="Q3513" s="18"/>
    </row>
    <row r="3514" spans="1:17">
      <c r="A3514" s="18"/>
      <c r="B3514" s="18"/>
      <c r="C3514" s="18"/>
      <c r="D3514" s="18"/>
      <c r="E3514" s="18"/>
      <c r="F3514" s="18"/>
      <c r="G3514" s="18"/>
      <c r="H3514" s="18"/>
      <c r="I3514" s="18"/>
      <c r="J3514" s="18"/>
      <c r="K3514" s="18"/>
      <c r="L3514" s="18"/>
      <c r="M3514" s="18"/>
      <c r="N3514" s="18"/>
      <c r="O3514" s="18"/>
      <c r="P3514" s="18"/>
      <c r="Q3514" s="18"/>
    </row>
    <row r="3515" spans="1:17">
      <c r="A3515" s="18"/>
      <c r="B3515" s="18"/>
      <c r="C3515" s="18"/>
      <c r="D3515" s="18"/>
      <c r="E3515" s="18"/>
      <c r="F3515" s="18"/>
      <c r="G3515" s="18"/>
      <c r="H3515" s="18"/>
      <c r="I3515" s="18"/>
      <c r="J3515" s="18"/>
      <c r="K3515" s="18"/>
      <c r="L3515" s="18"/>
      <c r="M3515" s="18"/>
      <c r="N3515" s="18"/>
      <c r="O3515" s="18"/>
      <c r="P3515" s="18"/>
      <c r="Q3515" s="18"/>
    </row>
    <row r="3516" spans="1:17">
      <c r="A3516" s="18"/>
      <c r="B3516" s="18"/>
      <c r="C3516" s="18"/>
      <c r="D3516" s="18"/>
      <c r="E3516" s="18"/>
      <c r="F3516" s="18"/>
      <c r="G3516" s="18"/>
      <c r="H3516" s="18"/>
      <c r="I3516" s="18"/>
      <c r="J3516" s="18"/>
      <c r="K3516" s="18"/>
      <c r="L3516" s="18"/>
      <c r="M3516" s="18"/>
      <c r="N3516" s="18"/>
      <c r="O3516" s="18"/>
      <c r="P3516" s="18"/>
      <c r="Q3516" s="18"/>
    </row>
    <row r="3517" spans="1:17">
      <c r="A3517" s="18"/>
      <c r="B3517" s="18"/>
      <c r="C3517" s="18"/>
      <c r="D3517" s="18"/>
      <c r="E3517" s="18"/>
      <c r="F3517" s="18"/>
      <c r="G3517" s="18"/>
      <c r="H3517" s="18"/>
      <c r="I3517" s="18"/>
      <c r="J3517" s="18"/>
      <c r="K3517" s="18"/>
      <c r="L3517" s="18"/>
      <c r="M3517" s="18"/>
      <c r="N3517" s="18"/>
      <c r="O3517" s="18"/>
      <c r="P3517" s="18"/>
      <c r="Q3517" s="18"/>
    </row>
    <row r="3518" spans="1:17">
      <c r="A3518" s="18"/>
      <c r="B3518" s="18"/>
      <c r="C3518" s="18"/>
      <c r="D3518" s="18"/>
      <c r="E3518" s="18"/>
      <c r="F3518" s="18"/>
      <c r="G3518" s="18"/>
      <c r="H3518" s="18"/>
      <c r="I3518" s="18"/>
      <c r="J3518" s="18"/>
      <c r="K3518" s="18"/>
      <c r="L3518" s="18"/>
      <c r="M3518" s="18"/>
      <c r="N3518" s="18"/>
      <c r="O3518" s="18"/>
      <c r="P3518" s="18"/>
      <c r="Q3518" s="18"/>
    </row>
    <row r="3519" spans="1:17">
      <c r="A3519" s="18"/>
      <c r="B3519" s="18"/>
      <c r="C3519" s="18"/>
      <c r="D3519" s="18"/>
      <c r="E3519" s="18"/>
      <c r="F3519" s="18"/>
      <c r="G3519" s="18"/>
      <c r="H3519" s="18"/>
      <c r="I3519" s="18"/>
      <c r="J3519" s="18"/>
      <c r="K3519" s="18"/>
      <c r="L3519" s="18"/>
      <c r="M3519" s="18"/>
      <c r="N3519" s="18"/>
      <c r="O3519" s="18"/>
      <c r="P3519" s="18"/>
      <c r="Q3519" s="18"/>
    </row>
    <row r="3520" spans="1:17">
      <c r="A3520" s="18"/>
      <c r="B3520" s="18"/>
      <c r="C3520" s="18"/>
      <c r="D3520" s="18"/>
      <c r="E3520" s="18"/>
      <c r="F3520" s="18"/>
      <c r="G3520" s="18"/>
      <c r="H3520" s="18"/>
      <c r="I3520" s="18"/>
      <c r="J3520" s="18"/>
      <c r="K3520" s="18"/>
      <c r="L3520" s="18"/>
      <c r="M3520" s="18"/>
      <c r="N3520" s="18"/>
      <c r="O3520" s="18"/>
      <c r="P3520" s="18"/>
      <c r="Q3520" s="18"/>
    </row>
    <row r="3521" spans="1:17">
      <c r="A3521" s="18"/>
      <c r="B3521" s="18"/>
      <c r="C3521" s="18"/>
      <c r="D3521" s="18"/>
      <c r="E3521" s="18"/>
      <c r="F3521" s="18"/>
      <c r="G3521" s="18"/>
      <c r="H3521" s="18"/>
      <c r="I3521" s="18"/>
      <c r="J3521" s="18"/>
      <c r="K3521" s="18"/>
      <c r="L3521" s="18"/>
      <c r="M3521" s="18"/>
      <c r="N3521" s="18"/>
      <c r="O3521" s="18"/>
      <c r="P3521" s="18"/>
      <c r="Q3521" s="18"/>
    </row>
    <row r="3522" spans="1:17">
      <c r="A3522" s="18"/>
      <c r="B3522" s="18"/>
      <c r="C3522" s="18"/>
      <c r="D3522" s="18"/>
      <c r="E3522" s="18"/>
      <c r="F3522" s="18"/>
      <c r="G3522" s="18"/>
      <c r="H3522" s="18"/>
      <c r="I3522" s="18"/>
      <c r="J3522" s="18"/>
      <c r="K3522" s="18"/>
      <c r="L3522" s="18"/>
      <c r="M3522" s="18"/>
      <c r="N3522" s="18"/>
      <c r="O3522" s="18"/>
      <c r="P3522" s="18"/>
      <c r="Q3522" s="18"/>
    </row>
    <row r="3523" spans="1:17">
      <c r="A3523" s="18"/>
      <c r="B3523" s="18"/>
      <c r="C3523" s="18"/>
      <c r="D3523" s="18"/>
      <c r="E3523" s="18"/>
      <c r="F3523" s="18"/>
      <c r="G3523" s="18"/>
      <c r="H3523" s="18"/>
      <c r="I3523" s="18"/>
      <c r="J3523" s="18"/>
      <c r="K3523" s="18"/>
      <c r="L3523" s="18"/>
      <c r="M3523" s="18"/>
      <c r="N3523" s="18"/>
      <c r="O3523" s="18"/>
      <c r="P3523" s="18"/>
      <c r="Q3523" s="18"/>
    </row>
    <row r="3524" spans="1:17">
      <c r="A3524" s="18"/>
      <c r="B3524" s="18"/>
      <c r="C3524" s="18"/>
      <c r="D3524" s="18"/>
      <c r="E3524" s="18"/>
      <c r="F3524" s="18"/>
      <c r="G3524" s="18"/>
      <c r="H3524" s="18"/>
      <c r="I3524" s="18"/>
      <c r="J3524" s="18"/>
      <c r="K3524" s="18"/>
      <c r="L3524" s="18"/>
      <c r="M3524" s="18"/>
      <c r="N3524" s="18"/>
      <c r="O3524" s="18"/>
      <c r="P3524" s="18"/>
      <c r="Q3524" s="18"/>
    </row>
    <row r="3525" spans="1:17">
      <c r="A3525" s="18"/>
      <c r="B3525" s="18"/>
      <c r="C3525" s="18"/>
      <c r="D3525" s="18"/>
      <c r="E3525" s="18"/>
      <c r="F3525" s="18"/>
      <c r="G3525" s="18"/>
      <c r="H3525" s="18"/>
      <c r="I3525" s="18"/>
      <c r="J3525" s="18"/>
      <c r="K3525" s="18"/>
      <c r="L3525" s="18"/>
      <c r="M3525" s="18"/>
      <c r="N3525" s="18"/>
      <c r="O3525" s="18"/>
      <c r="P3525" s="18"/>
      <c r="Q3525" s="18"/>
    </row>
    <row r="3526" spans="1:17">
      <c r="A3526" s="18"/>
      <c r="B3526" s="18"/>
      <c r="C3526" s="18"/>
      <c r="D3526" s="18"/>
      <c r="E3526" s="18"/>
      <c r="F3526" s="18"/>
      <c r="G3526" s="18"/>
      <c r="H3526" s="18"/>
      <c r="I3526" s="18"/>
      <c r="J3526" s="18"/>
      <c r="K3526" s="18"/>
      <c r="L3526" s="18"/>
      <c r="M3526" s="18"/>
      <c r="N3526" s="18"/>
      <c r="O3526" s="18"/>
      <c r="P3526" s="18"/>
      <c r="Q3526" s="18"/>
    </row>
    <row r="3527" spans="1:17">
      <c r="A3527" s="18"/>
      <c r="B3527" s="18"/>
      <c r="C3527" s="18"/>
      <c r="D3527" s="18"/>
      <c r="E3527" s="18"/>
      <c r="F3527" s="18"/>
      <c r="G3527" s="18"/>
      <c r="H3527" s="18"/>
      <c r="I3527" s="18"/>
      <c r="J3527" s="18"/>
      <c r="K3527" s="18"/>
      <c r="L3527" s="18"/>
      <c r="M3527" s="18"/>
      <c r="N3527" s="18"/>
      <c r="O3527" s="18"/>
      <c r="P3527" s="18"/>
      <c r="Q3527" s="18"/>
    </row>
    <row r="3528" spans="1:17">
      <c r="A3528" s="18"/>
      <c r="B3528" s="18"/>
      <c r="C3528" s="18"/>
      <c r="D3528" s="18"/>
      <c r="E3528" s="18"/>
      <c r="F3528" s="18"/>
      <c r="G3528" s="18"/>
      <c r="H3528" s="18"/>
      <c r="I3528" s="18"/>
      <c r="J3528" s="18"/>
      <c r="K3528" s="18"/>
      <c r="L3528" s="18"/>
      <c r="M3528" s="18"/>
      <c r="N3528" s="18"/>
      <c r="O3528" s="18"/>
      <c r="P3528" s="18"/>
      <c r="Q3528" s="18"/>
    </row>
    <row r="3529" spans="1:17">
      <c r="A3529" s="18"/>
      <c r="B3529" s="18"/>
      <c r="C3529" s="18"/>
      <c r="D3529" s="18"/>
      <c r="E3529" s="18"/>
      <c r="F3529" s="18"/>
      <c r="G3529" s="18"/>
      <c r="H3529" s="18"/>
      <c r="I3529" s="18"/>
      <c r="J3529" s="18"/>
      <c r="K3529" s="18"/>
      <c r="L3529" s="18"/>
      <c r="M3529" s="18"/>
      <c r="N3529" s="18"/>
      <c r="O3529" s="18"/>
      <c r="P3529" s="18"/>
      <c r="Q3529" s="18"/>
    </row>
    <row r="3530" spans="1:17">
      <c r="A3530" s="18"/>
      <c r="B3530" s="18"/>
      <c r="C3530" s="18"/>
      <c r="D3530" s="18"/>
      <c r="E3530" s="18"/>
      <c r="F3530" s="18"/>
      <c r="G3530" s="18"/>
      <c r="H3530" s="18"/>
      <c r="I3530" s="18"/>
      <c r="J3530" s="18"/>
      <c r="K3530" s="18"/>
      <c r="L3530" s="18"/>
      <c r="M3530" s="18"/>
      <c r="N3530" s="18"/>
      <c r="O3530" s="18"/>
      <c r="P3530" s="18"/>
      <c r="Q3530" s="18"/>
    </row>
    <row r="3531" spans="1:17">
      <c r="A3531" s="18"/>
      <c r="B3531" s="18"/>
      <c r="C3531" s="18"/>
      <c r="D3531" s="18"/>
      <c r="E3531" s="18"/>
      <c r="F3531" s="18"/>
      <c r="G3531" s="18"/>
      <c r="H3531" s="18"/>
      <c r="I3531" s="18"/>
      <c r="J3531" s="18"/>
      <c r="K3531" s="18"/>
      <c r="L3531" s="18"/>
      <c r="M3531" s="18"/>
      <c r="N3531" s="18"/>
      <c r="O3531" s="18"/>
      <c r="P3531" s="18"/>
      <c r="Q3531" s="18"/>
    </row>
    <row r="3532" spans="1:17">
      <c r="A3532" s="18"/>
      <c r="B3532" s="18"/>
      <c r="C3532" s="18"/>
      <c r="D3532" s="18"/>
      <c r="E3532" s="18"/>
      <c r="F3532" s="18"/>
      <c r="G3532" s="18"/>
      <c r="H3532" s="18"/>
      <c r="I3532" s="18"/>
      <c r="J3532" s="18"/>
      <c r="K3532" s="18"/>
      <c r="L3532" s="18"/>
      <c r="M3532" s="18"/>
      <c r="N3532" s="18"/>
      <c r="O3532" s="18"/>
      <c r="P3532" s="18"/>
      <c r="Q3532" s="18"/>
    </row>
    <row r="3533" spans="1:17">
      <c r="A3533" s="18"/>
      <c r="B3533" s="18"/>
      <c r="C3533" s="18"/>
      <c r="D3533" s="18"/>
      <c r="E3533" s="18"/>
      <c r="F3533" s="18"/>
      <c r="G3533" s="18"/>
      <c r="H3533" s="18"/>
      <c r="I3533" s="18"/>
      <c r="J3533" s="18"/>
      <c r="K3533" s="18"/>
      <c r="L3533" s="18"/>
      <c r="M3533" s="18"/>
      <c r="N3533" s="18"/>
      <c r="O3533" s="18"/>
      <c r="P3533" s="18"/>
      <c r="Q3533" s="18"/>
    </row>
    <row r="3534" spans="1:17">
      <c r="A3534" s="18"/>
      <c r="B3534" s="18"/>
      <c r="C3534" s="18"/>
      <c r="D3534" s="18"/>
      <c r="E3534" s="18"/>
      <c r="F3534" s="18"/>
      <c r="G3534" s="18"/>
      <c r="H3534" s="18"/>
      <c r="I3534" s="18"/>
      <c r="J3534" s="18"/>
      <c r="K3534" s="18"/>
      <c r="L3534" s="18"/>
      <c r="M3534" s="18"/>
      <c r="N3534" s="18"/>
      <c r="O3534" s="18"/>
      <c r="P3534" s="18"/>
      <c r="Q3534" s="18"/>
    </row>
    <row r="3535" spans="1:17">
      <c r="A3535" s="18"/>
      <c r="B3535" s="18"/>
      <c r="C3535" s="18"/>
      <c r="D3535" s="18"/>
      <c r="E3535" s="18"/>
      <c r="F3535" s="18"/>
      <c r="G3535" s="18"/>
      <c r="H3535" s="18"/>
      <c r="I3535" s="18"/>
      <c r="J3535" s="18"/>
      <c r="K3535" s="18"/>
      <c r="L3535" s="18"/>
      <c r="M3535" s="18"/>
      <c r="N3535" s="18"/>
      <c r="O3535" s="18"/>
      <c r="P3535" s="18"/>
      <c r="Q3535" s="18"/>
    </row>
    <row r="3536" spans="1:17">
      <c r="A3536" s="18"/>
      <c r="B3536" s="18"/>
      <c r="C3536" s="18"/>
      <c r="D3536" s="18"/>
      <c r="E3536" s="18"/>
      <c r="F3536" s="18"/>
      <c r="G3536" s="18"/>
      <c r="H3536" s="18"/>
      <c r="I3536" s="18"/>
      <c r="J3536" s="18"/>
      <c r="K3536" s="18"/>
      <c r="L3536" s="18"/>
      <c r="M3536" s="18"/>
      <c r="N3536" s="18"/>
      <c r="O3536" s="18"/>
      <c r="P3536" s="18"/>
      <c r="Q3536" s="18"/>
    </row>
    <row r="3537" spans="1:17">
      <c r="A3537" s="18"/>
      <c r="B3537" s="18"/>
      <c r="C3537" s="18"/>
      <c r="D3537" s="18"/>
      <c r="E3537" s="18"/>
      <c r="F3537" s="18"/>
      <c r="G3537" s="18"/>
      <c r="H3537" s="18"/>
      <c r="I3537" s="18"/>
      <c r="J3537" s="18"/>
      <c r="K3537" s="18"/>
      <c r="L3537" s="18"/>
      <c r="M3537" s="18"/>
      <c r="N3537" s="18"/>
      <c r="O3537" s="18"/>
      <c r="P3537" s="18"/>
      <c r="Q3537" s="18"/>
    </row>
    <row r="3538" spans="1:17">
      <c r="A3538" s="18"/>
      <c r="B3538" s="18"/>
      <c r="C3538" s="18"/>
      <c r="D3538" s="18"/>
      <c r="E3538" s="18"/>
      <c r="F3538" s="18"/>
      <c r="G3538" s="18"/>
      <c r="H3538" s="18"/>
      <c r="I3538" s="18"/>
      <c r="J3538" s="18"/>
      <c r="K3538" s="18"/>
      <c r="L3538" s="18"/>
      <c r="M3538" s="18"/>
      <c r="N3538" s="18"/>
      <c r="O3538" s="18"/>
      <c r="P3538" s="18"/>
      <c r="Q3538" s="18"/>
    </row>
    <row r="3539" spans="1:17">
      <c r="A3539" s="18"/>
      <c r="B3539" s="18"/>
      <c r="C3539" s="18"/>
      <c r="D3539" s="18"/>
      <c r="E3539" s="18"/>
      <c r="F3539" s="18"/>
      <c r="G3539" s="18"/>
      <c r="H3539" s="18"/>
      <c r="I3539" s="18"/>
      <c r="J3539" s="18"/>
      <c r="K3539" s="18"/>
      <c r="L3539" s="18"/>
      <c r="M3539" s="18"/>
      <c r="N3539" s="18"/>
      <c r="O3539" s="18"/>
      <c r="P3539" s="18"/>
      <c r="Q3539" s="18"/>
    </row>
    <row r="3540" spans="1:17">
      <c r="A3540" s="18"/>
      <c r="B3540" s="18"/>
      <c r="C3540" s="18"/>
      <c r="D3540" s="18"/>
      <c r="E3540" s="18"/>
      <c r="F3540" s="18"/>
      <c r="G3540" s="18"/>
      <c r="H3540" s="18"/>
      <c r="I3540" s="18"/>
      <c r="J3540" s="18"/>
      <c r="K3540" s="18"/>
      <c r="L3540" s="18"/>
      <c r="M3540" s="18"/>
      <c r="N3540" s="18"/>
      <c r="O3540" s="18"/>
      <c r="P3540" s="18"/>
      <c r="Q3540" s="18"/>
    </row>
    <row r="3541" spans="1:17">
      <c r="A3541" s="18"/>
      <c r="B3541" s="18"/>
      <c r="C3541" s="18"/>
      <c r="D3541" s="18"/>
      <c r="E3541" s="18"/>
      <c r="F3541" s="18"/>
      <c r="G3541" s="18"/>
      <c r="H3541" s="18"/>
      <c r="I3541" s="18"/>
      <c r="J3541" s="18"/>
      <c r="K3541" s="18"/>
      <c r="L3541" s="18"/>
      <c r="M3541" s="18"/>
      <c r="N3541" s="18"/>
      <c r="O3541" s="18"/>
      <c r="P3541" s="18"/>
      <c r="Q3541" s="18"/>
    </row>
    <row r="3542" spans="1:17">
      <c r="A3542" s="18"/>
      <c r="B3542" s="18"/>
      <c r="C3542" s="18"/>
      <c r="D3542" s="18"/>
      <c r="E3542" s="18"/>
      <c r="F3542" s="18"/>
      <c r="G3542" s="18"/>
      <c r="H3542" s="18"/>
      <c r="I3542" s="18"/>
      <c r="J3542" s="18"/>
      <c r="K3542" s="18"/>
      <c r="L3542" s="18"/>
      <c r="M3542" s="18"/>
      <c r="N3542" s="18"/>
      <c r="O3542" s="18"/>
      <c r="P3542" s="18"/>
      <c r="Q3542" s="18"/>
    </row>
    <row r="3543" spans="1:17">
      <c r="A3543" s="18"/>
      <c r="B3543" s="18"/>
      <c r="C3543" s="18"/>
      <c r="D3543" s="18"/>
      <c r="E3543" s="18"/>
      <c r="F3543" s="18"/>
      <c r="G3543" s="18"/>
      <c r="H3543" s="18"/>
      <c r="I3543" s="18"/>
      <c r="J3543" s="18"/>
      <c r="K3543" s="18"/>
      <c r="L3543" s="18"/>
      <c r="M3543" s="18"/>
      <c r="N3543" s="18"/>
      <c r="O3543" s="18"/>
      <c r="P3543" s="18"/>
      <c r="Q3543" s="18"/>
    </row>
    <row r="3544" spans="1:17">
      <c r="A3544" s="18"/>
      <c r="B3544" s="18"/>
      <c r="C3544" s="18"/>
      <c r="D3544" s="18"/>
      <c r="E3544" s="18"/>
      <c r="F3544" s="18"/>
      <c r="G3544" s="18"/>
      <c r="H3544" s="18"/>
      <c r="I3544" s="18"/>
      <c r="J3544" s="18"/>
      <c r="K3544" s="18"/>
      <c r="L3544" s="18"/>
      <c r="M3544" s="18"/>
      <c r="N3544" s="18"/>
      <c r="O3544" s="18"/>
      <c r="P3544" s="18"/>
      <c r="Q3544" s="18"/>
    </row>
    <row r="3545" spans="1:17">
      <c r="A3545" s="18"/>
      <c r="B3545" s="18"/>
      <c r="C3545" s="18"/>
      <c r="D3545" s="18"/>
      <c r="E3545" s="18"/>
      <c r="F3545" s="18"/>
      <c r="G3545" s="18"/>
      <c r="H3545" s="18"/>
      <c r="I3545" s="18"/>
      <c r="J3545" s="18"/>
      <c r="K3545" s="18"/>
      <c r="L3545" s="18"/>
      <c r="M3545" s="18"/>
      <c r="N3545" s="18"/>
      <c r="O3545" s="18"/>
      <c r="P3545" s="18"/>
      <c r="Q3545" s="18"/>
    </row>
    <row r="3546" spans="1:17">
      <c r="A3546" s="18"/>
      <c r="B3546" s="18"/>
      <c r="C3546" s="18"/>
      <c r="D3546" s="18"/>
      <c r="E3546" s="18"/>
      <c r="F3546" s="18"/>
      <c r="G3546" s="18"/>
      <c r="H3546" s="18"/>
      <c r="I3546" s="18"/>
      <c r="J3546" s="18"/>
      <c r="K3546" s="18"/>
      <c r="L3546" s="18"/>
      <c r="M3546" s="18"/>
      <c r="N3546" s="18"/>
      <c r="O3546" s="18"/>
      <c r="P3546" s="18"/>
      <c r="Q3546" s="18"/>
    </row>
    <row r="3547" spans="1:17">
      <c r="A3547" s="18"/>
      <c r="B3547" s="18"/>
      <c r="C3547" s="18"/>
      <c r="D3547" s="18"/>
      <c r="E3547" s="18"/>
      <c r="F3547" s="18"/>
      <c r="G3547" s="18"/>
      <c r="H3547" s="18"/>
      <c r="I3547" s="18"/>
      <c r="J3547" s="18"/>
      <c r="K3547" s="18"/>
      <c r="L3547" s="18"/>
      <c r="M3547" s="18"/>
      <c r="N3547" s="18"/>
      <c r="O3547" s="18"/>
      <c r="P3547" s="18"/>
      <c r="Q3547" s="18"/>
    </row>
    <row r="3548" spans="1:17">
      <c r="A3548" s="18"/>
      <c r="B3548" s="18"/>
      <c r="C3548" s="18"/>
      <c r="D3548" s="18"/>
      <c r="E3548" s="18"/>
      <c r="F3548" s="18"/>
      <c r="G3548" s="18"/>
      <c r="H3548" s="18"/>
      <c r="I3548" s="18"/>
      <c r="J3548" s="18"/>
      <c r="K3548" s="18"/>
      <c r="L3548" s="18"/>
      <c r="M3548" s="18"/>
      <c r="N3548" s="18"/>
      <c r="O3548" s="18"/>
      <c r="P3548" s="18"/>
      <c r="Q3548" s="18"/>
    </row>
    <row r="3549" spans="1:17">
      <c r="A3549" s="18"/>
      <c r="B3549" s="18"/>
      <c r="C3549" s="18"/>
      <c r="D3549" s="18"/>
      <c r="E3549" s="18"/>
      <c r="F3549" s="18"/>
      <c r="G3549" s="18"/>
      <c r="H3549" s="18"/>
      <c r="I3549" s="18"/>
      <c r="J3549" s="18"/>
      <c r="K3549" s="18"/>
      <c r="L3549" s="18"/>
      <c r="M3549" s="18"/>
      <c r="N3549" s="18"/>
      <c r="O3549" s="18"/>
      <c r="P3549" s="18"/>
      <c r="Q3549" s="18"/>
    </row>
    <row r="3550" spans="1:17">
      <c r="A3550" s="18"/>
      <c r="B3550" s="18"/>
      <c r="C3550" s="18"/>
      <c r="D3550" s="18"/>
      <c r="E3550" s="18"/>
      <c r="F3550" s="18"/>
      <c r="G3550" s="18"/>
      <c r="H3550" s="18"/>
      <c r="I3550" s="18"/>
      <c r="J3550" s="18"/>
      <c r="K3550" s="18"/>
      <c r="L3550" s="18"/>
      <c r="M3550" s="18"/>
      <c r="N3550" s="18"/>
      <c r="O3550" s="18"/>
      <c r="P3550" s="18"/>
      <c r="Q3550" s="18"/>
    </row>
    <row r="3551" spans="1:17">
      <c r="A3551" s="18"/>
      <c r="B3551" s="18"/>
      <c r="C3551" s="18"/>
      <c r="D3551" s="18"/>
      <c r="E3551" s="18"/>
      <c r="F3551" s="18"/>
      <c r="G3551" s="18"/>
      <c r="H3551" s="18"/>
      <c r="I3551" s="18"/>
      <c r="J3551" s="18"/>
      <c r="K3551" s="18"/>
      <c r="L3551" s="18"/>
      <c r="M3551" s="18"/>
      <c r="N3551" s="18"/>
      <c r="O3551" s="18"/>
      <c r="P3551" s="18"/>
      <c r="Q3551" s="18"/>
    </row>
    <row r="3552" spans="1:17">
      <c r="A3552" s="18"/>
      <c r="B3552" s="18"/>
      <c r="C3552" s="18"/>
      <c r="D3552" s="18"/>
      <c r="E3552" s="18"/>
      <c r="F3552" s="18"/>
      <c r="G3552" s="18"/>
      <c r="H3552" s="18"/>
      <c r="I3552" s="18"/>
      <c r="J3552" s="18"/>
      <c r="K3552" s="18"/>
      <c r="L3552" s="18"/>
      <c r="M3552" s="18"/>
      <c r="N3552" s="18"/>
      <c r="O3552" s="18"/>
      <c r="P3552" s="18"/>
      <c r="Q3552" s="18"/>
    </row>
    <row r="3553" spans="1:17">
      <c r="A3553" s="18"/>
      <c r="B3553" s="18"/>
      <c r="C3553" s="18"/>
      <c r="D3553" s="18"/>
      <c r="E3553" s="18"/>
      <c r="F3553" s="18"/>
      <c r="G3553" s="18"/>
      <c r="H3553" s="18"/>
      <c r="I3553" s="18"/>
      <c r="J3553" s="18"/>
      <c r="K3553" s="18"/>
      <c r="L3553" s="18"/>
      <c r="M3553" s="18"/>
      <c r="N3553" s="18"/>
      <c r="O3553" s="18"/>
      <c r="P3553" s="18"/>
      <c r="Q3553" s="18"/>
    </row>
    <row r="3554" spans="1:17">
      <c r="A3554" s="18"/>
      <c r="B3554" s="18"/>
      <c r="C3554" s="18"/>
      <c r="D3554" s="18"/>
      <c r="E3554" s="18"/>
      <c r="F3554" s="18"/>
      <c r="G3554" s="18"/>
      <c r="H3554" s="18"/>
      <c r="I3554" s="18"/>
      <c r="J3554" s="18"/>
      <c r="K3554" s="18"/>
      <c r="L3554" s="18"/>
      <c r="M3554" s="18"/>
      <c r="N3554" s="18"/>
      <c r="O3554" s="18"/>
      <c r="P3554" s="18"/>
      <c r="Q3554" s="18"/>
    </row>
    <row r="3555" spans="1:17">
      <c r="A3555" s="18"/>
      <c r="B3555" s="18"/>
      <c r="C3555" s="18"/>
      <c r="D3555" s="18"/>
      <c r="E3555" s="18"/>
      <c r="F3555" s="18"/>
      <c r="G3555" s="18"/>
      <c r="H3555" s="18"/>
      <c r="I3555" s="18"/>
      <c r="J3555" s="18"/>
      <c r="K3555" s="18"/>
      <c r="L3555" s="18"/>
      <c r="M3555" s="18"/>
      <c r="N3555" s="18"/>
      <c r="O3555" s="18"/>
      <c r="P3555" s="18"/>
      <c r="Q3555" s="18"/>
    </row>
    <row r="3556" spans="1:17">
      <c r="A3556" s="18"/>
      <c r="B3556" s="18"/>
      <c r="C3556" s="18"/>
      <c r="D3556" s="18"/>
      <c r="E3556" s="18"/>
      <c r="F3556" s="18"/>
      <c r="G3556" s="18"/>
      <c r="H3556" s="18"/>
      <c r="I3556" s="18"/>
      <c r="J3556" s="18"/>
      <c r="K3556" s="18"/>
      <c r="L3556" s="18"/>
      <c r="M3556" s="18"/>
      <c r="N3556" s="18"/>
      <c r="O3556" s="18"/>
      <c r="P3556" s="18"/>
      <c r="Q3556" s="18"/>
    </row>
    <row r="3557" spans="1:17">
      <c r="A3557" s="18"/>
      <c r="B3557" s="18"/>
      <c r="C3557" s="18"/>
      <c r="D3557" s="18"/>
      <c r="E3557" s="18"/>
      <c r="F3557" s="18"/>
      <c r="G3557" s="18"/>
      <c r="H3557" s="18"/>
      <c r="I3557" s="18"/>
      <c r="J3557" s="18"/>
      <c r="K3557" s="18"/>
      <c r="L3557" s="18"/>
      <c r="M3557" s="18"/>
      <c r="N3557" s="18"/>
      <c r="O3557" s="18"/>
      <c r="P3557" s="18"/>
      <c r="Q3557" s="18"/>
    </row>
    <row r="3558" spans="1:17">
      <c r="A3558" s="18"/>
      <c r="B3558" s="18"/>
      <c r="C3558" s="18"/>
      <c r="D3558" s="18"/>
      <c r="E3558" s="18"/>
      <c r="F3558" s="18"/>
      <c r="G3558" s="18"/>
      <c r="H3558" s="18"/>
      <c r="I3558" s="18"/>
      <c r="J3558" s="18"/>
      <c r="K3558" s="18"/>
      <c r="L3558" s="18"/>
      <c r="M3558" s="18"/>
      <c r="N3558" s="18"/>
      <c r="O3558" s="18"/>
      <c r="P3558" s="18"/>
      <c r="Q3558" s="18"/>
    </row>
    <row r="3559" spans="1:17">
      <c r="A3559" s="18"/>
      <c r="B3559" s="18"/>
      <c r="C3559" s="18"/>
      <c r="D3559" s="18"/>
      <c r="E3559" s="18"/>
      <c r="F3559" s="18"/>
      <c r="G3559" s="18"/>
      <c r="H3559" s="18"/>
      <c r="I3559" s="18"/>
      <c r="J3559" s="18"/>
      <c r="K3559" s="18"/>
      <c r="L3559" s="18"/>
      <c r="M3559" s="18"/>
      <c r="N3559" s="18"/>
      <c r="O3559" s="18"/>
      <c r="P3559" s="18"/>
      <c r="Q3559" s="18"/>
    </row>
    <row r="3560" spans="1:17">
      <c r="A3560" s="18"/>
      <c r="B3560" s="18"/>
      <c r="C3560" s="18"/>
      <c r="D3560" s="18"/>
      <c r="E3560" s="18"/>
      <c r="F3560" s="18"/>
      <c r="G3560" s="18"/>
      <c r="H3560" s="18"/>
      <c r="I3560" s="18"/>
      <c r="J3560" s="18"/>
      <c r="K3560" s="18"/>
      <c r="L3560" s="18"/>
      <c r="M3560" s="18"/>
      <c r="N3560" s="18"/>
      <c r="O3560" s="18"/>
      <c r="P3560" s="18"/>
      <c r="Q3560" s="18"/>
    </row>
    <row r="3561" spans="1:17">
      <c r="A3561" s="18"/>
      <c r="B3561" s="18"/>
      <c r="C3561" s="18"/>
      <c r="D3561" s="18"/>
      <c r="E3561" s="18"/>
      <c r="F3561" s="18"/>
      <c r="G3561" s="18"/>
      <c r="H3561" s="18"/>
      <c r="I3561" s="18"/>
      <c r="J3561" s="18"/>
      <c r="K3561" s="18"/>
      <c r="L3561" s="18"/>
      <c r="M3561" s="18"/>
      <c r="N3561" s="18"/>
      <c r="O3561" s="18"/>
      <c r="P3561" s="18"/>
      <c r="Q3561" s="18"/>
    </row>
    <row r="3562" spans="1:17">
      <c r="A3562" s="18"/>
      <c r="B3562" s="18"/>
      <c r="C3562" s="18"/>
      <c r="D3562" s="18"/>
      <c r="E3562" s="18"/>
      <c r="F3562" s="18"/>
      <c r="G3562" s="18"/>
      <c r="H3562" s="18"/>
      <c r="I3562" s="18"/>
      <c r="J3562" s="18"/>
      <c r="K3562" s="18"/>
      <c r="L3562" s="18"/>
      <c r="M3562" s="18"/>
      <c r="N3562" s="18"/>
      <c r="O3562" s="18"/>
      <c r="P3562" s="18"/>
      <c r="Q3562" s="18"/>
    </row>
    <row r="3563" spans="1:17">
      <c r="A3563" s="18"/>
      <c r="B3563" s="18"/>
      <c r="C3563" s="18"/>
      <c r="D3563" s="18"/>
      <c r="E3563" s="18"/>
      <c r="F3563" s="18"/>
      <c r="G3563" s="18"/>
      <c r="H3563" s="18"/>
      <c r="I3563" s="18"/>
      <c r="J3563" s="18"/>
      <c r="K3563" s="18"/>
      <c r="L3563" s="18"/>
      <c r="M3563" s="18"/>
      <c r="N3563" s="18"/>
      <c r="O3563" s="18"/>
      <c r="P3563" s="18"/>
      <c r="Q3563" s="18"/>
    </row>
    <row r="3564" spans="1:17">
      <c r="A3564" s="18"/>
      <c r="B3564" s="18"/>
      <c r="C3564" s="18"/>
      <c r="D3564" s="18"/>
      <c r="E3564" s="18"/>
      <c r="F3564" s="18"/>
      <c r="G3564" s="18"/>
      <c r="H3564" s="18"/>
      <c r="I3564" s="18"/>
      <c r="J3564" s="18"/>
      <c r="K3564" s="18"/>
      <c r="L3564" s="18"/>
      <c r="M3564" s="18"/>
      <c r="N3564" s="18"/>
      <c r="O3564" s="18"/>
      <c r="P3564" s="18"/>
      <c r="Q3564" s="18"/>
    </row>
    <row r="3565" spans="1:17">
      <c r="A3565" s="18"/>
      <c r="B3565" s="18"/>
      <c r="C3565" s="18"/>
      <c r="D3565" s="18"/>
      <c r="E3565" s="18"/>
      <c r="F3565" s="18"/>
      <c r="G3565" s="18"/>
      <c r="H3565" s="18"/>
      <c r="I3565" s="18"/>
      <c r="J3565" s="18"/>
      <c r="K3565" s="18"/>
      <c r="L3565" s="18"/>
      <c r="M3565" s="18"/>
      <c r="N3565" s="18"/>
      <c r="O3565" s="18"/>
      <c r="P3565" s="18"/>
      <c r="Q3565" s="18"/>
    </row>
    <row r="3566" spans="1:17">
      <c r="A3566" s="18"/>
      <c r="B3566" s="18"/>
      <c r="C3566" s="18"/>
      <c r="D3566" s="18"/>
      <c r="E3566" s="18"/>
      <c r="F3566" s="18"/>
      <c r="G3566" s="18"/>
      <c r="H3566" s="18"/>
      <c r="I3566" s="18"/>
      <c r="J3566" s="18"/>
      <c r="K3566" s="18"/>
      <c r="L3566" s="18"/>
      <c r="M3566" s="18"/>
      <c r="N3566" s="18"/>
      <c r="O3566" s="18"/>
      <c r="P3566" s="18"/>
      <c r="Q3566" s="18"/>
    </row>
    <row r="3567" spans="1:17">
      <c r="A3567" s="18"/>
      <c r="B3567" s="18"/>
      <c r="C3567" s="18"/>
      <c r="D3567" s="18"/>
      <c r="E3567" s="18"/>
      <c r="F3567" s="18"/>
      <c r="G3567" s="18"/>
      <c r="H3567" s="18"/>
      <c r="I3567" s="18"/>
      <c r="J3567" s="18"/>
      <c r="K3567" s="18"/>
      <c r="L3567" s="18"/>
      <c r="M3567" s="18"/>
      <c r="N3567" s="18"/>
      <c r="O3567" s="18"/>
      <c r="P3567" s="18"/>
      <c r="Q3567" s="18"/>
    </row>
    <row r="3568" spans="1:17">
      <c r="A3568" s="18"/>
      <c r="B3568" s="18"/>
      <c r="C3568" s="18"/>
      <c r="D3568" s="18"/>
      <c r="E3568" s="18"/>
      <c r="F3568" s="18"/>
      <c r="G3568" s="18"/>
      <c r="H3568" s="18"/>
      <c r="I3568" s="18"/>
      <c r="J3568" s="18"/>
      <c r="K3568" s="18"/>
      <c r="L3568" s="18"/>
      <c r="M3568" s="18"/>
      <c r="N3568" s="18"/>
      <c r="O3568" s="18"/>
      <c r="P3568" s="18"/>
      <c r="Q3568" s="18"/>
    </row>
    <row r="3569" spans="1:17">
      <c r="A3569" s="18"/>
      <c r="B3569" s="18"/>
      <c r="C3569" s="18"/>
      <c r="D3569" s="18"/>
      <c r="E3569" s="18"/>
      <c r="F3569" s="18"/>
      <c r="G3569" s="18"/>
      <c r="H3569" s="18"/>
      <c r="I3569" s="18"/>
      <c r="J3569" s="18"/>
      <c r="K3569" s="18"/>
      <c r="L3569" s="18"/>
      <c r="M3569" s="18"/>
      <c r="N3569" s="18"/>
      <c r="O3569" s="18"/>
      <c r="P3569" s="18"/>
      <c r="Q3569" s="18"/>
    </row>
    <row r="3570" spans="1:17">
      <c r="A3570" s="18"/>
      <c r="B3570" s="18"/>
      <c r="C3570" s="18"/>
      <c r="D3570" s="18"/>
      <c r="E3570" s="18"/>
      <c r="F3570" s="18"/>
      <c r="G3570" s="18"/>
      <c r="H3570" s="18"/>
      <c r="I3570" s="18"/>
      <c r="J3570" s="18"/>
      <c r="K3570" s="18"/>
      <c r="L3570" s="18"/>
      <c r="M3570" s="18"/>
      <c r="N3570" s="18"/>
      <c r="O3570" s="18"/>
      <c r="P3570" s="18"/>
      <c r="Q3570" s="18"/>
    </row>
    <row r="3571" spans="1:17">
      <c r="A3571" s="18"/>
      <c r="B3571" s="18"/>
      <c r="C3571" s="18"/>
      <c r="D3571" s="18"/>
      <c r="E3571" s="18"/>
      <c r="F3571" s="18"/>
      <c r="G3571" s="18"/>
      <c r="H3571" s="18"/>
      <c r="I3571" s="18"/>
      <c r="J3571" s="18"/>
      <c r="K3571" s="18"/>
      <c r="L3571" s="18"/>
      <c r="M3571" s="18"/>
      <c r="N3571" s="18"/>
      <c r="O3571" s="18"/>
      <c r="P3571" s="18"/>
      <c r="Q3571" s="18"/>
    </row>
    <row r="3572" spans="1:17">
      <c r="A3572" s="18"/>
      <c r="B3572" s="18"/>
      <c r="C3572" s="18"/>
      <c r="D3572" s="18"/>
      <c r="E3572" s="18"/>
      <c r="F3572" s="18"/>
      <c r="G3572" s="18"/>
      <c r="H3572" s="18"/>
      <c r="I3572" s="18"/>
      <c r="J3572" s="18"/>
      <c r="K3572" s="18"/>
      <c r="L3572" s="18"/>
      <c r="M3572" s="18"/>
      <c r="N3572" s="18"/>
      <c r="O3572" s="18"/>
      <c r="P3572" s="18"/>
      <c r="Q3572" s="18"/>
    </row>
    <row r="3573" spans="1:17">
      <c r="A3573" s="18"/>
      <c r="B3573" s="18"/>
      <c r="C3573" s="18"/>
      <c r="D3573" s="18"/>
      <c r="E3573" s="18"/>
      <c r="F3573" s="18"/>
      <c r="G3573" s="18"/>
      <c r="H3573" s="18"/>
      <c r="I3573" s="18"/>
      <c r="J3573" s="18"/>
      <c r="K3573" s="18"/>
      <c r="L3573" s="18"/>
      <c r="M3573" s="18"/>
      <c r="N3573" s="18"/>
      <c r="O3573" s="18"/>
      <c r="P3573" s="18"/>
      <c r="Q3573" s="18"/>
    </row>
    <row r="3574" spans="1:17">
      <c r="A3574" s="18"/>
      <c r="B3574" s="18"/>
      <c r="C3574" s="18"/>
      <c r="D3574" s="18"/>
      <c r="E3574" s="18"/>
      <c r="F3574" s="18"/>
      <c r="G3574" s="18"/>
      <c r="H3574" s="18"/>
      <c r="I3574" s="18"/>
      <c r="J3574" s="18"/>
      <c r="K3574" s="18"/>
      <c r="L3574" s="18"/>
      <c r="M3574" s="18"/>
      <c r="N3574" s="18"/>
      <c r="O3574" s="18"/>
      <c r="P3574" s="18"/>
      <c r="Q3574" s="18"/>
    </row>
    <row r="3575" spans="1:17">
      <c r="A3575" s="18"/>
      <c r="B3575" s="18"/>
      <c r="C3575" s="18"/>
      <c r="D3575" s="18"/>
      <c r="E3575" s="18"/>
      <c r="F3575" s="18"/>
      <c r="G3575" s="18"/>
      <c r="H3575" s="18"/>
      <c r="I3575" s="18"/>
      <c r="J3575" s="18"/>
      <c r="K3575" s="18"/>
      <c r="L3575" s="18"/>
      <c r="M3575" s="18"/>
      <c r="N3575" s="18"/>
      <c r="O3575" s="18"/>
      <c r="P3575" s="18"/>
      <c r="Q3575" s="18"/>
    </row>
    <row r="3576" spans="1:17">
      <c r="A3576" s="18"/>
      <c r="B3576" s="18"/>
      <c r="C3576" s="18"/>
      <c r="D3576" s="18"/>
      <c r="E3576" s="18"/>
      <c r="F3576" s="18"/>
      <c r="G3576" s="18"/>
      <c r="H3576" s="18"/>
      <c r="I3576" s="18"/>
      <c r="J3576" s="18"/>
      <c r="K3576" s="18"/>
      <c r="L3576" s="18"/>
      <c r="M3576" s="18"/>
      <c r="N3576" s="18"/>
      <c r="O3576" s="18"/>
      <c r="P3576" s="18"/>
      <c r="Q3576" s="18"/>
    </row>
    <row r="3577" spans="1:17">
      <c r="A3577" s="18"/>
      <c r="B3577" s="18"/>
      <c r="C3577" s="18"/>
      <c r="D3577" s="18"/>
      <c r="E3577" s="18"/>
      <c r="F3577" s="18"/>
      <c r="G3577" s="18"/>
      <c r="H3577" s="18"/>
      <c r="I3577" s="18"/>
      <c r="J3577" s="18"/>
      <c r="K3577" s="18"/>
      <c r="L3577" s="18"/>
      <c r="M3577" s="18"/>
      <c r="N3577" s="18"/>
      <c r="O3577" s="18"/>
      <c r="P3577" s="18"/>
      <c r="Q3577" s="18"/>
    </row>
    <row r="3578" spans="1:17">
      <c r="A3578" s="18"/>
      <c r="B3578" s="18"/>
      <c r="C3578" s="18"/>
      <c r="D3578" s="18"/>
      <c r="E3578" s="18"/>
      <c r="F3578" s="18"/>
      <c r="G3578" s="18"/>
      <c r="H3578" s="18"/>
      <c r="I3578" s="18"/>
      <c r="J3578" s="18"/>
      <c r="K3578" s="18"/>
      <c r="L3578" s="18"/>
      <c r="M3578" s="18"/>
      <c r="N3578" s="18"/>
      <c r="O3578" s="18"/>
      <c r="P3578" s="18"/>
      <c r="Q3578" s="18"/>
    </row>
    <row r="3579" spans="1:17">
      <c r="A3579" s="18"/>
      <c r="B3579" s="18"/>
      <c r="C3579" s="18"/>
      <c r="D3579" s="18"/>
      <c r="E3579" s="18"/>
      <c r="F3579" s="18"/>
      <c r="G3579" s="18"/>
      <c r="H3579" s="18"/>
      <c r="I3579" s="18"/>
      <c r="J3579" s="18"/>
      <c r="K3579" s="18"/>
      <c r="L3579" s="18"/>
      <c r="M3579" s="18"/>
      <c r="N3579" s="18"/>
      <c r="O3579" s="18"/>
      <c r="P3579" s="18"/>
      <c r="Q3579" s="18"/>
    </row>
    <row r="3580" spans="1:17">
      <c r="A3580" s="18"/>
      <c r="B3580" s="18"/>
      <c r="C3580" s="18"/>
      <c r="D3580" s="18"/>
      <c r="E3580" s="18"/>
      <c r="F3580" s="18"/>
      <c r="G3580" s="18"/>
      <c r="H3580" s="18"/>
      <c r="I3580" s="18"/>
      <c r="J3580" s="18"/>
      <c r="K3580" s="18"/>
      <c r="L3580" s="18"/>
      <c r="M3580" s="18"/>
      <c r="N3580" s="18"/>
      <c r="O3580" s="18"/>
      <c r="P3580" s="18"/>
      <c r="Q3580" s="18"/>
    </row>
    <row r="3581" spans="1:17">
      <c r="A3581" s="18"/>
      <c r="B3581" s="18"/>
      <c r="C3581" s="18"/>
      <c r="D3581" s="18"/>
      <c r="E3581" s="18"/>
      <c r="F3581" s="18"/>
      <c r="G3581" s="18"/>
      <c r="H3581" s="18"/>
      <c r="I3581" s="18"/>
      <c r="J3581" s="18"/>
      <c r="K3581" s="18"/>
      <c r="L3581" s="18"/>
      <c r="M3581" s="18"/>
      <c r="N3581" s="18"/>
      <c r="O3581" s="18"/>
      <c r="P3581" s="18"/>
      <c r="Q3581" s="18"/>
    </row>
    <row r="3582" spans="1:17">
      <c r="A3582" s="18"/>
      <c r="B3582" s="18"/>
      <c r="C3582" s="18"/>
      <c r="D3582" s="18"/>
      <c r="E3582" s="18"/>
      <c r="F3582" s="18"/>
      <c r="G3582" s="18"/>
      <c r="H3582" s="18"/>
      <c r="I3582" s="18"/>
      <c r="J3582" s="18"/>
      <c r="K3582" s="18"/>
      <c r="L3582" s="18"/>
      <c r="M3582" s="18"/>
      <c r="N3582" s="18"/>
      <c r="O3582" s="18"/>
      <c r="P3582" s="18"/>
      <c r="Q3582" s="18"/>
    </row>
    <row r="3583" spans="1:17">
      <c r="A3583" s="18"/>
      <c r="B3583" s="18"/>
      <c r="C3583" s="18"/>
      <c r="D3583" s="18"/>
      <c r="E3583" s="18"/>
      <c r="F3583" s="18"/>
      <c r="G3583" s="18"/>
      <c r="H3583" s="18"/>
      <c r="I3583" s="18"/>
      <c r="J3583" s="18"/>
      <c r="K3583" s="18"/>
      <c r="L3583" s="18"/>
      <c r="M3583" s="18"/>
      <c r="N3583" s="18"/>
      <c r="O3583" s="18"/>
      <c r="P3583" s="18"/>
      <c r="Q3583" s="18"/>
    </row>
    <row r="3584" spans="1:17">
      <c r="A3584" s="18"/>
      <c r="B3584" s="18"/>
      <c r="C3584" s="18"/>
      <c r="D3584" s="18"/>
      <c r="E3584" s="18"/>
      <c r="F3584" s="18"/>
      <c r="G3584" s="18"/>
      <c r="H3584" s="18"/>
      <c r="I3584" s="18"/>
      <c r="J3584" s="18"/>
      <c r="K3584" s="18"/>
      <c r="L3584" s="18"/>
      <c r="M3584" s="18"/>
      <c r="N3584" s="18"/>
      <c r="O3584" s="18"/>
      <c r="P3584" s="18"/>
      <c r="Q3584" s="18"/>
    </row>
    <row r="3585" spans="1:17">
      <c r="A3585" s="18"/>
      <c r="B3585" s="18"/>
      <c r="C3585" s="18"/>
      <c r="D3585" s="18"/>
      <c r="E3585" s="18"/>
      <c r="F3585" s="18"/>
      <c r="G3585" s="18"/>
      <c r="H3585" s="18"/>
      <c r="I3585" s="18"/>
      <c r="J3585" s="18"/>
      <c r="K3585" s="18"/>
      <c r="L3585" s="18"/>
      <c r="M3585" s="18"/>
      <c r="N3585" s="18"/>
      <c r="O3585" s="18"/>
      <c r="P3585" s="18"/>
      <c r="Q3585" s="18"/>
    </row>
    <row r="3586" spans="1:17">
      <c r="A3586" s="18"/>
      <c r="B3586" s="18"/>
      <c r="C3586" s="18"/>
      <c r="D3586" s="18"/>
      <c r="E3586" s="18"/>
      <c r="F3586" s="18"/>
      <c r="G3586" s="18"/>
      <c r="H3586" s="18"/>
      <c r="I3586" s="18"/>
      <c r="J3586" s="18"/>
      <c r="K3586" s="18"/>
      <c r="L3586" s="18"/>
      <c r="M3586" s="18"/>
      <c r="N3586" s="18"/>
      <c r="O3586" s="18"/>
      <c r="P3586" s="18"/>
      <c r="Q3586" s="18"/>
    </row>
    <row r="3587" spans="1:17">
      <c r="A3587" s="18"/>
      <c r="B3587" s="18"/>
      <c r="C3587" s="18"/>
      <c r="D3587" s="18"/>
      <c r="E3587" s="18"/>
      <c r="F3587" s="18"/>
      <c r="G3587" s="18"/>
      <c r="H3587" s="18"/>
      <c r="I3587" s="18"/>
      <c r="J3587" s="18"/>
      <c r="K3587" s="18"/>
      <c r="L3587" s="18"/>
      <c r="M3587" s="18"/>
      <c r="N3587" s="18"/>
      <c r="O3587" s="18"/>
      <c r="P3587" s="18"/>
      <c r="Q3587" s="18"/>
    </row>
    <row r="3588" spans="1:17">
      <c r="A3588" s="18"/>
      <c r="B3588" s="18"/>
      <c r="C3588" s="18"/>
      <c r="D3588" s="18"/>
      <c r="E3588" s="18"/>
      <c r="F3588" s="18"/>
      <c r="G3588" s="18"/>
      <c r="H3588" s="18"/>
      <c r="I3588" s="18"/>
      <c r="J3588" s="18"/>
      <c r="K3588" s="18"/>
      <c r="L3588" s="18"/>
      <c r="M3588" s="18"/>
      <c r="N3588" s="18"/>
      <c r="O3588" s="18"/>
      <c r="P3588" s="18"/>
      <c r="Q3588" s="18"/>
    </row>
    <row r="3589" spans="1:17">
      <c r="A3589" s="18"/>
      <c r="B3589" s="18"/>
      <c r="C3589" s="18"/>
      <c r="D3589" s="18"/>
      <c r="E3589" s="18"/>
      <c r="F3589" s="18"/>
      <c r="G3589" s="18"/>
      <c r="H3589" s="18"/>
      <c r="I3589" s="18"/>
      <c r="J3589" s="18"/>
      <c r="K3589" s="18"/>
      <c r="L3589" s="18"/>
      <c r="M3589" s="18"/>
      <c r="N3589" s="18"/>
      <c r="O3589" s="18"/>
      <c r="P3589" s="18"/>
      <c r="Q3589" s="18"/>
    </row>
    <row r="3590" spans="1:17">
      <c r="A3590" s="18"/>
      <c r="B3590" s="18"/>
      <c r="C3590" s="18"/>
      <c r="D3590" s="18"/>
      <c r="E3590" s="18"/>
      <c r="F3590" s="18"/>
      <c r="G3590" s="18"/>
      <c r="H3590" s="18"/>
      <c r="I3590" s="18"/>
      <c r="J3590" s="18"/>
      <c r="K3590" s="18"/>
      <c r="L3590" s="18"/>
      <c r="M3590" s="18"/>
      <c r="N3590" s="18"/>
      <c r="O3590" s="18"/>
      <c r="P3590" s="18"/>
      <c r="Q3590" s="18"/>
    </row>
    <row r="3591" spans="1:17">
      <c r="A3591" s="18"/>
      <c r="B3591" s="18"/>
      <c r="C3591" s="18"/>
      <c r="D3591" s="18"/>
      <c r="E3591" s="18"/>
      <c r="F3591" s="18"/>
      <c r="G3591" s="18"/>
      <c r="H3591" s="18"/>
      <c r="I3591" s="18"/>
      <c r="J3591" s="18"/>
      <c r="K3591" s="18"/>
      <c r="L3591" s="18"/>
      <c r="M3591" s="18"/>
      <c r="N3591" s="18"/>
      <c r="O3591" s="18"/>
      <c r="P3591" s="18"/>
      <c r="Q3591" s="18"/>
    </row>
    <row r="3592" spans="1:17">
      <c r="A3592" s="18"/>
      <c r="B3592" s="18"/>
      <c r="C3592" s="18"/>
      <c r="D3592" s="18"/>
      <c r="E3592" s="18"/>
      <c r="F3592" s="18"/>
      <c r="G3592" s="18"/>
      <c r="H3592" s="18"/>
      <c r="I3592" s="18"/>
      <c r="J3592" s="18"/>
      <c r="K3592" s="18"/>
      <c r="L3592" s="18"/>
      <c r="M3592" s="18"/>
      <c r="N3592" s="18"/>
      <c r="O3592" s="18"/>
      <c r="P3592" s="18"/>
      <c r="Q3592" s="18"/>
    </row>
    <row r="3593" spans="1:17">
      <c r="A3593" s="18"/>
      <c r="B3593" s="18"/>
      <c r="C3593" s="18"/>
      <c r="D3593" s="18"/>
      <c r="E3593" s="18"/>
      <c r="F3593" s="18"/>
      <c r="G3593" s="18"/>
      <c r="H3593" s="18"/>
      <c r="I3593" s="18"/>
      <c r="J3593" s="18"/>
      <c r="K3593" s="18"/>
      <c r="L3593" s="18"/>
      <c r="M3593" s="18"/>
      <c r="N3593" s="18"/>
      <c r="O3593" s="18"/>
      <c r="P3593" s="18"/>
      <c r="Q3593" s="18"/>
    </row>
    <row r="3594" spans="1:17">
      <c r="A3594" s="18"/>
      <c r="B3594" s="18"/>
      <c r="C3594" s="18"/>
      <c r="D3594" s="18"/>
      <c r="E3594" s="18"/>
      <c r="F3594" s="18"/>
      <c r="G3594" s="18"/>
      <c r="H3594" s="18"/>
      <c r="I3594" s="18"/>
      <c r="J3594" s="18"/>
      <c r="K3594" s="18"/>
      <c r="L3594" s="18"/>
      <c r="M3594" s="18"/>
      <c r="N3594" s="18"/>
      <c r="O3594" s="18"/>
      <c r="P3594" s="18"/>
      <c r="Q3594" s="18"/>
    </row>
    <row r="3595" spans="1:17">
      <c r="A3595" s="18"/>
      <c r="B3595" s="18"/>
      <c r="C3595" s="18"/>
      <c r="D3595" s="18"/>
      <c r="E3595" s="18"/>
      <c r="F3595" s="18"/>
      <c r="G3595" s="18"/>
      <c r="H3595" s="18"/>
      <c r="I3595" s="18"/>
      <c r="J3595" s="18"/>
      <c r="K3595" s="18"/>
      <c r="L3595" s="18"/>
      <c r="M3595" s="18"/>
      <c r="N3595" s="18"/>
      <c r="O3595" s="18"/>
      <c r="P3595" s="18"/>
      <c r="Q3595" s="18"/>
    </row>
    <row r="3596" spans="1:17">
      <c r="A3596" s="18"/>
      <c r="B3596" s="18"/>
      <c r="C3596" s="18"/>
      <c r="D3596" s="18"/>
      <c r="E3596" s="18"/>
      <c r="F3596" s="18"/>
      <c r="G3596" s="18"/>
      <c r="H3596" s="18"/>
      <c r="I3596" s="18"/>
      <c r="J3596" s="18"/>
      <c r="K3596" s="18"/>
      <c r="L3596" s="18"/>
      <c r="M3596" s="18"/>
      <c r="N3596" s="18"/>
      <c r="O3596" s="18"/>
      <c r="P3596" s="18"/>
      <c r="Q3596" s="18"/>
    </row>
    <row r="3597" spans="1:17">
      <c r="A3597" s="18"/>
      <c r="B3597" s="18"/>
      <c r="C3597" s="18"/>
      <c r="D3597" s="18"/>
      <c r="E3597" s="18"/>
      <c r="F3597" s="18"/>
      <c r="G3597" s="18"/>
      <c r="H3597" s="18"/>
      <c r="I3597" s="18"/>
      <c r="J3597" s="18"/>
      <c r="K3597" s="18"/>
      <c r="L3597" s="18"/>
      <c r="M3597" s="18"/>
      <c r="N3597" s="18"/>
      <c r="O3597" s="18"/>
      <c r="P3597" s="18"/>
      <c r="Q3597" s="18"/>
    </row>
    <row r="3598" spans="1:17">
      <c r="A3598" s="18"/>
      <c r="B3598" s="18"/>
      <c r="C3598" s="18"/>
      <c r="D3598" s="18"/>
      <c r="E3598" s="18"/>
      <c r="F3598" s="18"/>
      <c r="G3598" s="18"/>
      <c r="H3598" s="18"/>
      <c r="I3598" s="18"/>
      <c r="J3598" s="18"/>
      <c r="K3598" s="18"/>
      <c r="L3598" s="18"/>
      <c r="M3598" s="18"/>
      <c r="N3598" s="18"/>
      <c r="O3598" s="18"/>
      <c r="P3598" s="18"/>
      <c r="Q3598" s="18"/>
    </row>
    <row r="3599" spans="1:17">
      <c r="A3599" s="18"/>
      <c r="B3599" s="18"/>
      <c r="C3599" s="18"/>
      <c r="D3599" s="18"/>
      <c r="E3599" s="18"/>
      <c r="F3599" s="18"/>
      <c r="G3599" s="18"/>
      <c r="H3599" s="18"/>
      <c r="I3599" s="18"/>
      <c r="J3599" s="18"/>
      <c r="K3599" s="18"/>
      <c r="L3599" s="18"/>
      <c r="M3599" s="18"/>
      <c r="N3599" s="18"/>
      <c r="O3599" s="18"/>
      <c r="P3599" s="18"/>
      <c r="Q3599" s="18"/>
    </row>
    <row r="3600" spans="1:17">
      <c r="A3600" s="18"/>
      <c r="B3600" s="18"/>
      <c r="C3600" s="18"/>
      <c r="D3600" s="18"/>
      <c r="E3600" s="18"/>
      <c r="F3600" s="18"/>
      <c r="G3600" s="18"/>
      <c r="H3600" s="18"/>
      <c r="I3600" s="18"/>
      <c r="J3600" s="18"/>
      <c r="K3600" s="18"/>
      <c r="L3600" s="18"/>
      <c r="M3600" s="18"/>
      <c r="N3600" s="18"/>
      <c r="O3600" s="18"/>
      <c r="P3600" s="18"/>
      <c r="Q3600" s="18"/>
    </row>
    <row r="3601" spans="1:17">
      <c r="A3601" s="18"/>
      <c r="B3601" s="18"/>
      <c r="C3601" s="18"/>
      <c r="D3601" s="18"/>
      <c r="E3601" s="18"/>
      <c r="F3601" s="18"/>
      <c r="G3601" s="18"/>
      <c r="H3601" s="18"/>
      <c r="I3601" s="18"/>
      <c r="J3601" s="18"/>
      <c r="K3601" s="18"/>
      <c r="L3601" s="18"/>
      <c r="M3601" s="18"/>
      <c r="N3601" s="18"/>
      <c r="O3601" s="18"/>
      <c r="P3601" s="18"/>
      <c r="Q3601" s="18"/>
    </row>
    <row r="3602" spans="1:17">
      <c r="A3602" s="18"/>
      <c r="B3602" s="18"/>
      <c r="C3602" s="18"/>
      <c r="D3602" s="18"/>
      <c r="E3602" s="18"/>
      <c r="F3602" s="18"/>
      <c r="G3602" s="18"/>
      <c r="H3602" s="18"/>
      <c r="I3602" s="18"/>
      <c r="J3602" s="18"/>
      <c r="K3602" s="18"/>
      <c r="L3602" s="18"/>
      <c r="M3602" s="18"/>
      <c r="N3602" s="18"/>
      <c r="O3602" s="18"/>
      <c r="P3602" s="18"/>
      <c r="Q3602" s="18"/>
    </row>
    <row r="3603" spans="1:17">
      <c r="A3603" s="18"/>
      <c r="B3603" s="18"/>
      <c r="C3603" s="18"/>
      <c r="D3603" s="18"/>
      <c r="E3603" s="18"/>
      <c r="F3603" s="18"/>
      <c r="G3603" s="18"/>
      <c r="H3603" s="18"/>
      <c r="I3603" s="18"/>
      <c r="J3603" s="18"/>
      <c r="K3603" s="18"/>
      <c r="L3603" s="18"/>
      <c r="M3603" s="18"/>
      <c r="N3603" s="18"/>
      <c r="O3603" s="18"/>
      <c r="P3603" s="18"/>
      <c r="Q3603" s="18"/>
    </row>
    <row r="3604" spans="1:17">
      <c r="A3604" s="18"/>
      <c r="B3604" s="18"/>
      <c r="C3604" s="18"/>
      <c r="D3604" s="18"/>
      <c r="E3604" s="18"/>
      <c r="F3604" s="18"/>
      <c r="G3604" s="18"/>
      <c r="H3604" s="18"/>
      <c r="I3604" s="18"/>
      <c r="J3604" s="18"/>
      <c r="K3604" s="18"/>
      <c r="L3604" s="18"/>
      <c r="M3604" s="18"/>
      <c r="N3604" s="18"/>
      <c r="O3604" s="18"/>
      <c r="P3604" s="18"/>
      <c r="Q3604" s="18"/>
    </row>
    <row r="3605" spans="1:17">
      <c r="A3605" s="18"/>
      <c r="B3605" s="18"/>
      <c r="C3605" s="18"/>
      <c r="D3605" s="18"/>
      <c r="E3605" s="18"/>
      <c r="F3605" s="18"/>
      <c r="G3605" s="18"/>
      <c r="H3605" s="18"/>
      <c r="I3605" s="18"/>
      <c r="J3605" s="18"/>
      <c r="K3605" s="18"/>
      <c r="L3605" s="18"/>
      <c r="M3605" s="18"/>
      <c r="N3605" s="18"/>
      <c r="O3605" s="18"/>
      <c r="P3605" s="18"/>
      <c r="Q3605" s="18"/>
    </row>
    <row r="3606" spans="1:17">
      <c r="A3606" s="18"/>
      <c r="B3606" s="18"/>
      <c r="C3606" s="18"/>
      <c r="D3606" s="18"/>
      <c r="E3606" s="18"/>
      <c r="F3606" s="18"/>
      <c r="G3606" s="18"/>
      <c r="H3606" s="18"/>
      <c r="I3606" s="18"/>
      <c r="J3606" s="18"/>
      <c r="K3606" s="18"/>
      <c r="L3606" s="18"/>
      <c r="M3606" s="18"/>
      <c r="N3606" s="18"/>
      <c r="O3606" s="18"/>
      <c r="P3606" s="18"/>
      <c r="Q3606" s="18"/>
    </row>
    <row r="3607" spans="1:17">
      <c r="A3607" s="18"/>
      <c r="B3607" s="18"/>
      <c r="C3607" s="18"/>
      <c r="D3607" s="18"/>
      <c r="E3607" s="18"/>
      <c r="F3607" s="18"/>
      <c r="G3607" s="18"/>
      <c r="H3607" s="18"/>
      <c r="I3607" s="18"/>
      <c r="J3607" s="18"/>
      <c r="K3607" s="18"/>
      <c r="L3607" s="18"/>
      <c r="M3607" s="18"/>
      <c r="N3607" s="18"/>
      <c r="O3607" s="18"/>
      <c r="P3607" s="18"/>
      <c r="Q3607" s="18"/>
    </row>
    <row r="3608" spans="1:17">
      <c r="A3608" s="18"/>
      <c r="B3608" s="18"/>
      <c r="C3608" s="18"/>
      <c r="D3608" s="18"/>
      <c r="E3608" s="18"/>
      <c r="F3608" s="18"/>
      <c r="G3608" s="18"/>
      <c r="H3608" s="18"/>
      <c r="I3608" s="18"/>
      <c r="J3608" s="18"/>
      <c r="K3608" s="18"/>
      <c r="L3608" s="18"/>
      <c r="M3608" s="18"/>
      <c r="N3608" s="18"/>
      <c r="O3608" s="18"/>
      <c r="P3608" s="18"/>
      <c r="Q3608" s="18"/>
    </row>
    <row r="3609" spans="1:17">
      <c r="A3609" s="18"/>
      <c r="B3609" s="18"/>
      <c r="C3609" s="18"/>
      <c r="D3609" s="18"/>
      <c r="E3609" s="18"/>
      <c r="F3609" s="18"/>
      <c r="G3609" s="18"/>
      <c r="H3609" s="18"/>
      <c r="I3609" s="18"/>
      <c r="J3609" s="18"/>
      <c r="K3609" s="18"/>
      <c r="L3609" s="18"/>
      <c r="M3609" s="18"/>
      <c r="N3609" s="18"/>
      <c r="O3609" s="18"/>
      <c r="P3609" s="18"/>
      <c r="Q3609" s="18"/>
    </row>
    <row r="3610" spans="1:17">
      <c r="A3610" s="18"/>
      <c r="B3610" s="18"/>
      <c r="C3610" s="18"/>
      <c r="D3610" s="18"/>
      <c r="E3610" s="18"/>
      <c r="F3610" s="18"/>
      <c r="G3610" s="18"/>
      <c r="H3610" s="18"/>
      <c r="I3610" s="18"/>
      <c r="J3610" s="18"/>
      <c r="K3610" s="18"/>
      <c r="L3610" s="18"/>
      <c r="M3610" s="18"/>
      <c r="N3610" s="18"/>
      <c r="O3610" s="18"/>
      <c r="P3610" s="18"/>
      <c r="Q3610" s="18"/>
    </row>
    <row r="3611" spans="1:17">
      <c r="A3611" s="18"/>
      <c r="B3611" s="18"/>
      <c r="C3611" s="18"/>
      <c r="D3611" s="18"/>
      <c r="E3611" s="18"/>
      <c r="F3611" s="18"/>
      <c r="G3611" s="18"/>
      <c r="H3611" s="18"/>
      <c r="I3611" s="18"/>
      <c r="J3611" s="18"/>
      <c r="K3611" s="18"/>
      <c r="L3611" s="18"/>
      <c r="M3611" s="18"/>
      <c r="N3611" s="18"/>
      <c r="O3611" s="18"/>
      <c r="P3611" s="18"/>
      <c r="Q3611" s="18"/>
    </row>
    <row r="3612" spans="1:17">
      <c r="A3612" s="18"/>
      <c r="B3612" s="18"/>
      <c r="C3612" s="18"/>
      <c r="D3612" s="18"/>
      <c r="E3612" s="18"/>
      <c r="F3612" s="18"/>
      <c r="G3612" s="18"/>
      <c r="H3612" s="18"/>
      <c r="I3612" s="18"/>
      <c r="J3612" s="18"/>
      <c r="K3612" s="18"/>
      <c r="L3612" s="18"/>
      <c r="M3612" s="18"/>
      <c r="N3612" s="18"/>
      <c r="O3612" s="18"/>
      <c r="P3612" s="18"/>
      <c r="Q3612" s="18"/>
    </row>
    <row r="3613" spans="1:17">
      <c r="A3613" s="18"/>
      <c r="B3613" s="18"/>
      <c r="C3613" s="18"/>
      <c r="D3613" s="18"/>
      <c r="E3613" s="18"/>
      <c r="F3613" s="18"/>
      <c r="G3613" s="18"/>
      <c r="H3613" s="18"/>
      <c r="I3613" s="18"/>
      <c r="J3613" s="18"/>
      <c r="K3613" s="18"/>
      <c r="L3613" s="18"/>
      <c r="M3613" s="18"/>
      <c r="N3613" s="18"/>
      <c r="O3613" s="18"/>
      <c r="P3613" s="18"/>
      <c r="Q3613" s="18"/>
    </row>
    <row r="3614" spans="1:17">
      <c r="A3614" s="18"/>
      <c r="B3614" s="18"/>
      <c r="C3614" s="18"/>
      <c r="D3614" s="18"/>
      <c r="E3614" s="18"/>
      <c r="F3614" s="18"/>
      <c r="G3614" s="18"/>
      <c r="H3614" s="18"/>
      <c r="I3614" s="18"/>
      <c r="J3614" s="18"/>
      <c r="K3614" s="18"/>
      <c r="L3614" s="18"/>
      <c r="M3614" s="18"/>
      <c r="N3614" s="18"/>
      <c r="O3614" s="18"/>
      <c r="P3614" s="18"/>
      <c r="Q3614" s="18"/>
    </row>
    <row r="3615" spans="1:17">
      <c r="A3615" s="18"/>
      <c r="B3615" s="18"/>
      <c r="C3615" s="18"/>
      <c r="D3615" s="18"/>
      <c r="E3615" s="18"/>
      <c r="F3615" s="18"/>
      <c r="G3615" s="18"/>
      <c r="H3615" s="18"/>
      <c r="I3615" s="18"/>
      <c r="J3615" s="18"/>
      <c r="K3615" s="18"/>
      <c r="L3615" s="18"/>
      <c r="M3615" s="18"/>
      <c r="N3615" s="18"/>
      <c r="O3615" s="18"/>
      <c r="P3615" s="18"/>
      <c r="Q3615" s="18"/>
    </row>
    <row r="3616" spans="1:17">
      <c r="A3616" s="18"/>
      <c r="B3616" s="18"/>
      <c r="C3616" s="18"/>
      <c r="D3616" s="18"/>
      <c r="E3616" s="18"/>
      <c r="F3616" s="18"/>
      <c r="G3616" s="18"/>
      <c r="H3616" s="18"/>
      <c r="I3616" s="18"/>
      <c r="J3616" s="18"/>
      <c r="K3616" s="18"/>
      <c r="L3616" s="18"/>
      <c r="M3616" s="18"/>
      <c r="N3616" s="18"/>
      <c r="O3616" s="18"/>
      <c r="P3616" s="18"/>
      <c r="Q3616" s="18"/>
    </row>
    <row r="3617" spans="1:17">
      <c r="A3617" s="18"/>
      <c r="B3617" s="18"/>
      <c r="C3617" s="18"/>
      <c r="D3617" s="18"/>
      <c r="E3617" s="18"/>
      <c r="F3617" s="18"/>
      <c r="G3617" s="18"/>
      <c r="H3617" s="18"/>
      <c r="I3617" s="18"/>
      <c r="J3617" s="18"/>
      <c r="K3617" s="18"/>
      <c r="L3617" s="18"/>
      <c r="M3617" s="18"/>
      <c r="N3617" s="18"/>
      <c r="O3617" s="18"/>
      <c r="P3617" s="18"/>
      <c r="Q3617" s="18"/>
    </row>
    <row r="3618" spans="1:17">
      <c r="A3618" s="18"/>
      <c r="B3618" s="18"/>
      <c r="C3618" s="18"/>
      <c r="D3618" s="18"/>
      <c r="E3618" s="18"/>
      <c r="F3618" s="18"/>
      <c r="G3618" s="18"/>
      <c r="H3618" s="18"/>
      <c r="I3618" s="18"/>
      <c r="J3618" s="18"/>
      <c r="K3618" s="18"/>
      <c r="L3618" s="18"/>
      <c r="M3618" s="18"/>
      <c r="N3618" s="18"/>
      <c r="O3618" s="18"/>
      <c r="P3618" s="18"/>
      <c r="Q3618" s="18"/>
    </row>
    <row r="3619" spans="1:17">
      <c r="A3619" s="18"/>
      <c r="B3619" s="18"/>
      <c r="C3619" s="18"/>
      <c r="D3619" s="18"/>
      <c r="E3619" s="18"/>
      <c r="F3619" s="18"/>
      <c r="G3619" s="18"/>
      <c r="H3619" s="18"/>
      <c r="I3619" s="18"/>
      <c r="J3619" s="18"/>
      <c r="K3619" s="18"/>
      <c r="L3619" s="18"/>
      <c r="M3619" s="18"/>
      <c r="N3619" s="18"/>
      <c r="O3619" s="18"/>
      <c r="P3619" s="18"/>
      <c r="Q3619" s="18"/>
    </row>
    <row r="3620" spans="1:17">
      <c r="A3620" s="18"/>
      <c r="B3620" s="18"/>
      <c r="C3620" s="18"/>
      <c r="D3620" s="18"/>
      <c r="E3620" s="18"/>
      <c r="F3620" s="18"/>
      <c r="G3620" s="18"/>
      <c r="H3620" s="18"/>
      <c r="I3620" s="18"/>
      <c r="J3620" s="18"/>
      <c r="K3620" s="18"/>
      <c r="L3620" s="18"/>
      <c r="M3620" s="18"/>
      <c r="N3620" s="18"/>
      <c r="O3620" s="18"/>
      <c r="P3620" s="18"/>
      <c r="Q3620" s="18"/>
    </row>
    <row r="3621" spans="1:17">
      <c r="A3621" s="18"/>
      <c r="B3621" s="18"/>
      <c r="C3621" s="18"/>
      <c r="D3621" s="18"/>
      <c r="E3621" s="18"/>
      <c r="F3621" s="18"/>
      <c r="G3621" s="18"/>
      <c r="H3621" s="18"/>
      <c r="I3621" s="18"/>
      <c r="J3621" s="18"/>
      <c r="K3621" s="18"/>
      <c r="L3621" s="18"/>
      <c r="M3621" s="18"/>
      <c r="N3621" s="18"/>
      <c r="O3621" s="18"/>
      <c r="P3621" s="18"/>
      <c r="Q3621" s="18"/>
    </row>
    <row r="3622" spans="1:17">
      <c r="A3622" s="18"/>
      <c r="B3622" s="18"/>
      <c r="C3622" s="18"/>
      <c r="D3622" s="18"/>
      <c r="E3622" s="18"/>
      <c r="F3622" s="18"/>
      <c r="G3622" s="18"/>
      <c r="H3622" s="18"/>
      <c r="I3622" s="18"/>
      <c r="J3622" s="18"/>
      <c r="K3622" s="18"/>
      <c r="L3622" s="18"/>
      <c r="M3622" s="18"/>
      <c r="N3622" s="18"/>
      <c r="O3622" s="18"/>
      <c r="P3622" s="18"/>
      <c r="Q3622" s="18"/>
    </row>
    <row r="3623" spans="1:17">
      <c r="A3623" s="18"/>
      <c r="B3623" s="18"/>
      <c r="C3623" s="18"/>
      <c r="D3623" s="18"/>
      <c r="E3623" s="18"/>
      <c r="F3623" s="18"/>
      <c r="G3623" s="18"/>
      <c r="H3623" s="18"/>
      <c r="I3623" s="18"/>
      <c r="J3623" s="18"/>
      <c r="K3623" s="18"/>
      <c r="L3623" s="18"/>
      <c r="M3623" s="18"/>
      <c r="N3623" s="18"/>
      <c r="O3623" s="18"/>
      <c r="P3623" s="18"/>
      <c r="Q3623" s="18"/>
    </row>
    <row r="3624" spans="1:17">
      <c r="A3624" s="18"/>
      <c r="B3624" s="18"/>
      <c r="C3624" s="18"/>
      <c r="D3624" s="18"/>
      <c r="E3624" s="18"/>
      <c r="F3624" s="18"/>
      <c r="G3624" s="18"/>
      <c r="H3624" s="18"/>
      <c r="I3624" s="18"/>
      <c r="J3624" s="18"/>
      <c r="K3624" s="18"/>
      <c r="L3624" s="18"/>
      <c r="M3624" s="18"/>
      <c r="N3624" s="18"/>
      <c r="O3624" s="18"/>
      <c r="P3624" s="18"/>
      <c r="Q3624" s="18"/>
    </row>
    <row r="3625" spans="1:17">
      <c r="A3625" s="18"/>
      <c r="B3625" s="18"/>
      <c r="C3625" s="18"/>
      <c r="D3625" s="18"/>
      <c r="E3625" s="18"/>
      <c r="F3625" s="18"/>
      <c r="G3625" s="18"/>
      <c r="H3625" s="18"/>
      <c r="I3625" s="18"/>
      <c r="J3625" s="18"/>
      <c r="K3625" s="18"/>
      <c r="L3625" s="18"/>
      <c r="M3625" s="18"/>
      <c r="N3625" s="18"/>
      <c r="O3625" s="18"/>
      <c r="P3625" s="18"/>
      <c r="Q3625" s="18"/>
    </row>
    <row r="3626" spans="1:17">
      <c r="A3626" s="18"/>
      <c r="B3626" s="18"/>
      <c r="C3626" s="18"/>
      <c r="D3626" s="18"/>
      <c r="E3626" s="18"/>
      <c r="F3626" s="18"/>
      <c r="G3626" s="18"/>
      <c r="H3626" s="18"/>
      <c r="I3626" s="18"/>
      <c r="J3626" s="18"/>
      <c r="K3626" s="18"/>
      <c r="L3626" s="18"/>
      <c r="M3626" s="18"/>
      <c r="N3626" s="18"/>
      <c r="O3626" s="18"/>
      <c r="P3626" s="18"/>
      <c r="Q3626" s="18"/>
    </row>
    <row r="3627" spans="1:17">
      <c r="A3627" s="18"/>
      <c r="B3627" s="18"/>
      <c r="C3627" s="18"/>
      <c r="D3627" s="18"/>
      <c r="E3627" s="18"/>
      <c r="F3627" s="18"/>
      <c r="G3627" s="18"/>
      <c r="H3627" s="18"/>
      <c r="I3627" s="18"/>
      <c r="J3627" s="18"/>
      <c r="K3627" s="18"/>
      <c r="L3627" s="18"/>
      <c r="M3627" s="18"/>
      <c r="N3627" s="18"/>
      <c r="O3627" s="18"/>
      <c r="P3627" s="18"/>
      <c r="Q3627" s="18"/>
    </row>
    <row r="3628" spans="1:17">
      <c r="A3628" s="18"/>
      <c r="B3628" s="18"/>
      <c r="C3628" s="18"/>
      <c r="D3628" s="18"/>
      <c r="E3628" s="18"/>
      <c r="F3628" s="18"/>
      <c r="G3628" s="18"/>
      <c r="H3628" s="18"/>
      <c r="I3628" s="18"/>
      <c r="J3628" s="18"/>
      <c r="K3628" s="18"/>
      <c r="L3628" s="18"/>
      <c r="M3628" s="18"/>
      <c r="N3628" s="18"/>
      <c r="O3628" s="18"/>
      <c r="P3628" s="18"/>
      <c r="Q3628" s="18"/>
    </row>
    <row r="3629" spans="1:17">
      <c r="A3629" s="18"/>
      <c r="B3629" s="18"/>
      <c r="C3629" s="18"/>
      <c r="D3629" s="18"/>
      <c r="E3629" s="18"/>
      <c r="F3629" s="18"/>
      <c r="G3629" s="18"/>
      <c r="H3629" s="18"/>
      <c r="I3629" s="18"/>
      <c r="J3629" s="18"/>
      <c r="K3629" s="18"/>
      <c r="L3629" s="18"/>
      <c r="M3629" s="18"/>
      <c r="N3629" s="18"/>
      <c r="O3629" s="18"/>
      <c r="P3629" s="18"/>
      <c r="Q3629" s="18"/>
    </row>
    <row r="3630" spans="1:17">
      <c r="A3630" s="18"/>
      <c r="B3630" s="18"/>
      <c r="C3630" s="18"/>
      <c r="D3630" s="18"/>
      <c r="E3630" s="18"/>
      <c r="F3630" s="18"/>
      <c r="G3630" s="18"/>
      <c r="H3630" s="18"/>
      <c r="I3630" s="18"/>
      <c r="J3630" s="18"/>
      <c r="K3630" s="18"/>
      <c r="L3630" s="18"/>
      <c r="M3630" s="18"/>
      <c r="N3630" s="18"/>
      <c r="O3630" s="18"/>
      <c r="P3630" s="18"/>
      <c r="Q3630" s="18"/>
    </row>
    <row r="3631" spans="1:17">
      <c r="A3631" s="18"/>
      <c r="B3631" s="18"/>
      <c r="C3631" s="18"/>
      <c r="D3631" s="18"/>
      <c r="E3631" s="18"/>
      <c r="F3631" s="18"/>
      <c r="G3631" s="18"/>
      <c r="H3631" s="18"/>
      <c r="I3631" s="18"/>
      <c r="J3631" s="18"/>
      <c r="K3631" s="18"/>
      <c r="L3631" s="18"/>
      <c r="M3631" s="18"/>
      <c r="N3631" s="18"/>
      <c r="O3631" s="18"/>
      <c r="P3631" s="18"/>
      <c r="Q3631" s="18"/>
    </row>
    <row r="3632" spans="1:17">
      <c r="A3632" s="18"/>
      <c r="B3632" s="18"/>
      <c r="C3632" s="18"/>
      <c r="D3632" s="18"/>
      <c r="E3632" s="18"/>
      <c r="F3632" s="18"/>
      <c r="G3632" s="18"/>
      <c r="H3632" s="18"/>
      <c r="I3632" s="18"/>
      <c r="J3632" s="18"/>
      <c r="K3632" s="18"/>
      <c r="L3632" s="18"/>
      <c r="M3632" s="18"/>
      <c r="N3632" s="18"/>
      <c r="O3632" s="18"/>
      <c r="P3632" s="18"/>
      <c r="Q3632" s="18"/>
    </row>
    <row r="3633" spans="1:17">
      <c r="A3633" s="18"/>
      <c r="B3633" s="18"/>
      <c r="C3633" s="18"/>
      <c r="D3633" s="18"/>
      <c r="E3633" s="18"/>
      <c r="F3633" s="18"/>
      <c r="G3633" s="18"/>
      <c r="H3633" s="18"/>
      <c r="I3633" s="18"/>
      <c r="J3633" s="18"/>
      <c r="K3633" s="18"/>
      <c r="L3633" s="18"/>
      <c r="M3633" s="18"/>
      <c r="N3633" s="18"/>
      <c r="O3633" s="18"/>
      <c r="P3633" s="18"/>
      <c r="Q3633" s="18"/>
    </row>
    <row r="3634" spans="1:17">
      <c r="A3634" s="18"/>
      <c r="B3634" s="18"/>
      <c r="C3634" s="18"/>
      <c r="D3634" s="18"/>
      <c r="E3634" s="18"/>
      <c r="F3634" s="18"/>
      <c r="G3634" s="18"/>
      <c r="H3634" s="18"/>
      <c r="I3634" s="18"/>
      <c r="J3634" s="18"/>
      <c r="K3634" s="18"/>
      <c r="L3634" s="18"/>
      <c r="M3634" s="18"/>
      <c r="N3634" s="18"/>
      <c r="O3634" s="18"/>
      <c r="P3634" s="18"/>
      <c r="Q3634" s="18"/>
    </row>
    <row r="3635" spans="1:17">
      <c r="A3635" s="18"/>
      <c r="B3635" s="18"/>
      <c r="C3635" s="18"/>
      <c r="D3635" s="18"/>
      <c r="E3635" s="18"/>
      <c r="F3635" s="18"/>
      <c r="G3635" s="18"/>
      <c r="H3635" s="18"/>
      <c r="I3635" s="18"/>
      <c r="J3635" s="18"/>
      <c r="K3635" s="18"/>
      <c r="L3635" s="18"/>
      <c r="M3635" s="18"/>
      <c r="N3635" s="18"/>
      <c r="O3635" s="18"/>
      <c r="P3635" s="18"/>
      <c r="Q3635" s="18"/>
    </row>
    <row r="3636" spans="1:17">
      <c r="A3636" s="18"/>
      <c r="B3636" s="18"/>
      <c r="C3636" s="18"/>
      <c r="D3636" s="18"/>
      <c r="E3636" s="18"/>
      <c r="F3636" s="18"/>
      <c r="G3636" s="18"/>
      <c r="H3636" s="18"/>
      <c r="I3636" s="18"/>
      <c r="J3636" s="18"/>
      <c r="K3636" s="18"/>
      <c r="L3636" s="18"/>
      <c r="M3636" s="18"/>
      <c r="N3636" s="18"/>
      <c r="O3636" s="18"/>
      <c r="P3636" s="18"/>
      <c r="Q3636" s="18"/>
    </row>
    <row r="3637" spans="1:17">
      <c r="A3637" s="18"/>
      <c r="B3637" s="18"/>
      <c r="C3637" s="18"/>
      <c r="D3637" s="18"/>
      <c r="E3637" s="18"/>
      <c r="F3637" s="18"/>
      <c r="G3637" s="18"/>
      <c r="H3637" s="18"/>
      <c r="I3637" s="18"/>
      <c r="J3637" s="18"/>
      <c r="K3637" s="18"/>
      <c r="L3637" s="18"/>
      <c r="M3637" s="18"/>
      <c r="N3637" s="18"/>
      <c r="O3637" s="18"/>
      <c r="P3637" s="18"/>
      <c r="Q3637" s="18"/>
    </row>
    <row r="3638" spans="1:17">
      <c r="A3638" s="18"/>
      <c r="B3638" s="18"/>
      <c r="C3638" s="18"/>
      <c r="D3638" s="18"/>
      <c r="E3638" s="18"/>
      <c r="F3638" s="18"/>
      <c r="G3638" s="18"/>
      <c r="H3638" s="18"/>
      <c r="I3638" s="18"/>
      <c r="J3638" s="18"/>
      <c r="K3638" s="18"/>
      <c r="L3638" s="18"/>
      <c r="M3638" s="18"/>
      <c r="N3638" s="18"/>
      <c r="O3638" s="18"/>
      <c r="P3638" s="18"/>
      <c r="Q3638" s="18"/>
    </row>
    <row r="3639" spans="1:17">
      <c r="A3639" s="18"/>
      <c r="B3639" s="18"/>
      <c r="C3639" s="18"/>
      <c r="D3639" s="18"/>
      <c r="E3639" s="18"/>
      <c r="F3639" s="18"/>
      <c r="G3639" s="18"/>
      <c r="H3639" s="18"/>
      <c r="I3639" s="18"/>
      <c r="J3639" s="18"/>
      <c r="K3639" s="18"/>
      <c r="L3639" s="18"/>
      <c r="M3639" s="18"/>
      <c r="N3639" s="18"/>
      <c r="O3639" s="18"/>
      <c r="P3639" s="18"/>
      <c r="Q3639" s="18"/>
    </row>
    <row r="3640" spans="1:17">
      <c r="A3640" s="18"/>
      <c r="B3640" s="18"/>
      <c r="C3640" s="18"/>
      <c r="D3640" s="18"/>
      <c r="E3640" s="18"/>
      <c r="F3640" s="18"/>
      <c r="G3640" s="18"/>
      <c r="H3640" s="18"/>
      <c r="I3640" s="18"/>
      <c r="J3640" s="18"/>
      <c r="K3640" s="18"/>
      <c r="L3640" s="18"/>
      <c r="M3640" s="18"/>
      <c r="N3640" s="18"/>
      <c r="O3640" s="18"/>
      <c r="P3640" s="18"/>
      <c r="Q3640" s="18"/>
    </row>
    <row r="3641" spans="1:17">
      <c r="A3641" s="18"/>
      <c r="B3641" s="18"/>
      <c r="C3641" s="18"/>
      <c r="D3641" s="18"/>
      <c r="E3641" s="18"/>
      <c r="F3641" s="18"/>
      <c r="G3641" s="18"/>
      <c r="H3641" s="18"/>
      <c r="I3641" s="18"/>
      <c r="J3641" s="18"/>
      <c r="K3641" s="18"/>
      <c r="L3641" s="18"/>
      <c r="M3641" s="18"/>
      <c r="N3641" s="18"/>
      <c r="O3641" s="18"/>
      <c r="P3641" s="18"/>
      <c r="Q3641" s="18"/>
    </row>
    <row r="3642" spans="1:17">
      <c r="A3642" s="18"/>
      <c r="B3642" s="18"/>
      <c r="C3642" s="18"/>
      <c r="D3642" s="18"/>
      <c r="E3642" s="18"/>
      <c r="F3642" s="18"/>
      <c r="G3642" s="18"/>
      <c r="H3642" s="18"/>
      <c r="I3642" s="18"/>
      <c r="J3642" s="18"/>
      <c r="K3642" s="18"/>
      <c r="L3642" s="18"/>
      <c r="M3642" s="18"/>
      <c r="N3642" s="18"/>
      <c r="O3642" s="18"/>
      <c r="P3642" s="18"/>
      <c r="Q3642" s="18"/>
    </row>
    <row r="3643" spans="1:17">
      <c r="A3643" s="18"/>
      <c r="B3643" s="18"/>
      <c r="C3643" s="18"/>
      <c r="D3643" s="18"/>
      <c r="E3643" s="18"/>
      <c r="F3643" s="18"/>
      <c r="G3643" s="18"/>
      <c r="H3643" s="18"/>
      <c r="I3643" s="18"/>
      <c r="J3643" s="18"/>
      <c r="K3643" s="18"/>
      <c r="L3643" s="18"/>
      <c r="M3643" s="18"/>
      <c r="N3643" s="18"/>
      <c r="O3643" s="18"/>
      <c r="P3643" s="18"/>
      <c r="Q3643" s="18"/>
    </row>
    <row r="3644" spans="1:17">
      <c r="A3644" s="18"/>
      <c r="B3644" s="18"/>
      <c r="C3644" s="18"/>
      <c r="D3644" s="18"/>
      <c r="E3644" s="18"/>
      <c r="F3644" s="18"/>
      <c r="G3644" s="18"/>
      <c r="H3644" s="18"/>
      <c r="I3644" s="18"/>
      <c r="J3644" s="18"/>
      <c r="K3644" s="18"/>
      <c r="L3644" s="18"/>
      <c r="M3644" s="18"/>
      <c r="N3644" s="18"/>
      <c r="O3644" s="18"/>
      <c r="P3644" s="18"/>
      <c r="Q3644" s="18"/>
    </row>
    <row r="3645" spans="1:17">
      <c r="A3645" s="18"/>
      <c r="B3645" s="18"/>
      <c r="C3645" s="18"/>
      <c r="D3645" s="18"/>
      <c r="E3645" s="18"/>
      <c r="F3645" s="18"/>
      <c r="G3645" s="18"/>
      <c r="H3645" s="18"/>
      <c r="I3645" s="18"/>
      <c r="J3645" s="18"/>
      <c r="K3645" s="18"/>
      <c r="L3645" s="18"/>
      <c r="M3645" s="18"/>
      <c r="N3645" s="18"/>
      <c r="O3645" s="18"/>
      <c r="P3645" s="18"/>
      <c r="Q3645" s="18"/>
    </row>
    <row r="3646" spans="1:17">
      <c r="A3646" s="18"/>
      <c r="B3646" s="18"/>
      <c r="C3646" s="18"/>
      <c r="D3646" s="18"/>
      <c r="E3646" s="18"/>
      <c r="F3646" s="18"/>
      <c r="G3646" s="18"/>
      <c r="H3646" s="18"/>
      <c r="I3646" s="18"/>
      <c r="J3646" s="18"/>
      <c r="K3646" s="18"/>
      <c r="L3646" s="18"/>
      <c r="M3646" s="18"/>
      <c r="N3646" s="18"/>
      <c r="O3646" s="18"/>
      <c r="P3646" s="18"/>
      <c r="Q3646" s="18"/>
    </row>
    <row r="3647" spans="1:17">
      <c r="A3647" s="18"/>
      <c r="B3647" s="18"/>
      <c r="C3647" s="18"/>
      <c r="D3647" s="18"/>
      <c r="E3647" s="18"/>
      <c r="F3647" s="18"/>
      <c r="G3647" s="18"/>
      <c r="H3647" s="18"/>
      <c r="I3647" s="18"/>
      <c r="J3647" s="18"/>
      <c r="K3647" s="18"/>
      <c r="L3647" s="18"/>
      <c r="M3647" s="18"/>
      <c r="N3647" s="18"/>
      <c r="O3647" s="18"/>
      <c r="P3647" s="18"/>
      <c r="Q3647" s="18"/>
    </row>
    <row r="3648" spans="1:17">
      <c r="A3648" s="18"/>
      <c r="B3648" s="18"/>
      <c r="C3648" s="18"/>
      <c r="D3648" s="18"/>
      <c r="E3648" s="18"/>
      <c r="F3648" s="18"/>
      <c r="G3648" s="18"/>
      <c r="H3648" s="18"/>
      <c r="I3648" s="18"/>
      <c r="J3648" s="18"/>
      <c r="K3648" s="18"/>
      <c r="L3648" s="18"/>
      <c r="M3648" s="18"/>
      <c r="N3648" s="18"/>
      <c r="O3648" s="18"/>
      <c r="P3648" s="18"/>
      <c r="Q3648" s="18"/>
    </row>
    <row r="3649" spans="1:17">
      <c r="A3649" s="18"/>
      <c r="B3649" s="18"/>
      <c r="C3649" s="18"/>
      <c r="D3649" s="18"/>
      <c r="E3649" s="18"/>
      <c r="F3649" s="18"/>
      <c r="G3649" s="18"/>
      <c r="H3649" s="18"/>
      <c r="I3649" s="18"/>
      <c r="J3649" s="18"/>
      <c r="K3649" s="18"/>
      <c r="L3649" s="18"/>
      <c r="M3649" s="18"/>
      <c r="N3649" s="18"/>
      <c r="O3649" s="18"/>
      <c r="P3649" s="18"/>
      <c r="Q3649" s="18"/>
    </row>
    <row r="3650" spans="1:17">
      <c r="A3650" s="18"/>
      <c r="B3650" s="18"/>
      <c r="C3650" s="18"/>
      <c r="D3650" s="18"/>
      <c r="E3650" s="18"/>
      <c r="F3650" s="18"/>
      <c r="G3650" s="18"/>
      <c r="H3650" s="18"/>
      <c r="I3650" s="18"/>
      <c r="J3650" s="18"/>
      <c r="K3650" s="18"/>
      <c r="L3650" s="18"/>
      <c r="M3650" s="18"/>
      <c r="N3650" s="18"/>
      <c r="O3650" s="18"/>
      <c r="P3650" s="18"/>
      <c r="Q3650" s="18"/>
    </row>
    <row r="3651" spans="1:17">
      <c r="A3651" s="18"/>
      <c r="B3651" s="18"/>
      <c r="C3651" s="18"/>
      <c r="D3651" s="18"/>
      <c r="E3651" s="18"/>
      <c r="F3651" s="18"/>
      <c r="G3651" s="18"/>
      <c r="H3651" s="18"/>
      <c r="I3651" s="18"/>
      <c r="J3651" s="18"/>
      <c r="K3651" s="18"/>
      <c r="L3651" s="18"/>
      <c r="M3651" s="18"/>
      <c r="N3651" s="18"/>
      <c r="O3651" s="18"/>
      <c r="P3651" s="18"/>
      <c r="Q3651" s="18"/>
    </row>
    <row r="3652" spans="1:17">
      <c r="A3652" s="18"/>
      <c r="B3652" s="18"/>
      <c r="C3652" s="18"/>
      <c r="D3652" s="18"/>
      <c r="E3652" s="18"/>
      <c r="F3652" s="18"/>
      <c r="G3652" s="18"/>
      <c r="H3652" s="18"/>
      <c r="I3652" s="18"/>
      <c r="J3652" s="18"/>
      <c r="K3652" s="18"/>
      <c r="L3652" s="18"/>
      <c r="M3652" s="18"/>
      <c r="N3652" s="18"/>
      <c r="O3652" s="18"/>
      <c r="P3652" s="18"/>
      <c r="Q3652" s="18"/>
    </row>
    <row r="3653" spans="1:17">
      <c r="A3653" s="18"/>
      <c r="B3653" s="18"/>
      <c r="C3653" s="18"/>
      <c r="D3653" s="18"/>
      <c r="E3653" s="18"/>
      <c r="F3653" s="18"/>
      <c r="G3653" s="18"/>
      <c r="H3653" s="18"/>
      <c r="I3653" s="18"/>
      <c r="J3653" s="18"/>
      <c r="K3653" s="18"/>
      <c r="L3653" s="18"/>
      <c r="M3653" s="18"/>
      <c r="N3653" s="18"/>
      <c r="O3653" s="18"/>
      <c r="P3653" s="18"/>
      <c r="Q3653" s="18"/>
    </row>
    <row r="3654" spans="1:17">
      <c r="A3654" s="18"/>
      <c r="B3654" s="18"/>
      <c r="C3654" s="18"/>
      <c r="D3654" s="18"/>
      <c r="E3654" s="18"/>
      <c r="F3654" s="18"/>
      <c r="G3654" s="18"/>
      <c r="H3654" s="18"/>
      <c r="I3654" s="18"/>
      <c r="J3654" s="18"/>
      <c r="K3654" s="18"/>
      <c r="L3654" s="18"/>
      <c r="M3654" s="18"/>
      <c r="N3654" s="18"/>
      <c r="O3654" s="18"/>
      <c r="P3654" s="18"/>
      <c r="Q3654" s="18"/>
    </row>
    <row r="3655" spans="1:17">
      <c r="A3655" s="18"/>
      <c r="B3655" s="18"/>
      <c r="C3655" s="18"/>
      <c r="D3655" s="18"/>
      <c r="E3655" s="18"/>
      <c r="F3655" s="18"/>
      <c r="G3655" s="18"/>
      <c r="H3655" s="18"/>
      <c r="I3655" s="18"/>
      <c r="J3655" s="18"/>
      <c r="K3655" s="18"/>
      <c r="L3655" s="18"/>
      <c r="M3655" s="18"/>
      <c r="N3655" s="18"/>
      <c r="O3655" s="18"/>
      <c r="P3655" s="18"/>
      <c r="Q3655" s="18"/>
    </row>
    <row r="3656" spans="1:17">
      <c r="A3656" s="18"/>
      <c r="B3656" s="18"/>
      <c r="C3656" s="18"/>
      <c r="D3656" s="18"/>
      <c r="E3656" s="18"/>
      <c r="F3656" s="18"/>
      <c r="G3656" s="18"/>
      <c r="H3656" s="18"/>
      <c r="I3656" s="18"/>
      <c r="J3656" s="18"/>
      <c r="K3656" s="18"/>
      <c r="L3656" s="18"/>
      <c r="M3656" s="18"/>
      <c r="N3656" s="18"/>
      <c r="O3656" s="18"/>
      <c r="P3656" s="18"/>
      <c r="Q3656" s="18"/>
    </row>
    <row r="3657" spans="1:17">
      <c r="A3657" s="18"/>
      <c r="B3657" s="18"/>
      <c r="C3657" s="18"/>
      <c r="D3657" s="18"/>
      <c r="E3657" s="18"/>
      <c r="F3657" s="18"/>
      <c r="G3657" s="18"/>
      <c r="H3657" s="18"/>
      <c r="I3657" s="18"/>
      <c r="J3657" s="18"/>
      <c r="K3657" s="18"/>
      <c r="L3657" s="18"/>
      <c r="M3657" s="18"/>
      <c r="N3657" s="18"/>
      <c r="O3657" s="18"/>
      <c r="P3657" s="18"/>
      <c r="Q3657" s="18"/>
    </row>
    <row r="3658" spans="1:17">
      <c r="A3658" s="18"/>
      <c r="B3658" s="18"/>
      <c r="C3658" s="18"/>
      <c r="D3658" s="18"/>
      <c r="E3658" s="18"/>
      <c r="F3658" s="18"/>
      <c r="G3658" s="18"/>
      <c r="H3658" s="18"/>
      <c r="I3658" s="18"/>
      <c r="J3658" s="18"/>
      <c r="K3658" s="18"/>
      <c r="L3658" s="18"/>
      <c r="M3658" s="18"/>
      <c r="N3658" s="18"/>
      <c r="O3658" s="18"/>
      <c r="P3658" s="18"/>
      <c r="Q3658" s="18"/>
    </row>
    <row r="3659" spans="1:17">
      <c r="A3659" s="18"/>
      <c r="B3659" s="18"/>
      <c r="C3659" s="18"/>
      <c r="D3659" s="18"/>
      <c r="E3659" s="18"/>
      <c r="F3659" s="18"/>
      <c r="G3659" s="18"/>
      <c r="H3659" s="18"/>
      <c r="I3659" s="18"/>
      <c r="J3659" s="18"/>
      <c r="K3659" s="18"/>
      <c r="L3659" s="18"/>
      <c r="M3659" s="18"/>
      <c r="N3659" s="18"/>
      <c r="O3659" s="18"/>
      <c r="P3659" s="18"/>
      <c r="Q3659" s="18"/>
    </row>
    <row r="3660" spans="1:17">
      <c r="A3660" s="18"/>
      <c r="B3660" s="18"/>
      <c r="C3660" s="18"/>
      <c r="D3660" s="18"/>
      <c r="E3660" s="18"/>
      <c r="F3660" s="18"/>
      <c r="G3660" s="18"/>
      <c r="H3660" s="18"/>
      <c r="I3660" s="18"/>
      <c r="J3660" s="18"/>
      <c r="K3660" s="18"/>
      <c r="L3660" s="18"/>
      <c r="M3660" s="18"/>
      <c r="N3660" s="18"/>
      <c r="O3660" s="18"/>
      <c r="P3660" s="18"/>
      <c r="Q3660" s="18"/>
    </row>
    <row r="3661" spans="1:17">
      <c r="A3661" s="18"/>
      <c r="B3661" s="18"/>
      <c r="C3661" s="18"/>
      <c r="D3661" s="18"/>
      <c r="E3661" s="18"/>
      <c r="F3661" s="18"/>
      <c r="G3661" s="18"/>
      <c r="H3661" s="18"/>
      <c r="I3661" s="18"/>
      <c r="J3661" s="18"/>
      <c r="K3661" s="18"/>
      <c r="L3661" s="18"/>
      <c r="M3661" s="18"/>
      <c r="N3661" s="18"/>
      <c r="O3661" s="18"/>
      <c r="P3661" s="18"/>
      <c r="Q3661" s="18"/>
    </row>
    <row r="3662" spans="1:17">
      <c r="A3662" s="18"/>
      <c r="B3662" s="18"/>
      <c r="C3662" s="18"/>
      <c r="D3662" s="18"/>
      <c r="E3662" s="18"/>
      <c r="F3662" s="18"/>
      <c r="G3662" s="18"/>
      <c r="H3662" s="18"/>
      <c r="I3662" s="18"/>
      <c r="J3662" s="18"/>
      <c r="K3662" s="18"/>
      <c r="L3662" s="18"/>
      <c r="M3662" s="18"/>
      <c r="N3662" s="18"/>
      <c r="O3662" s="18"/>
      <c r="P3662" s="18"/>
      <c r="Q3662" s="18"/>
    </row>
    <row r="3663" spans="1:17">
      <c r="A3663" s="18"/>
      <c r="B3663" s="18"/>
      <c r="C3663" s="18"/>
      <c r="D3663" s="18"/>
      <c r="E3663" s="18"/>
      <c r="F3663" s="18"/>
      <c r="G3663" s="18"/>
      <c r="H3663" s="18"/>
      <c r="I3663" s="18"/>
      <c r="J3663" s="18"/>
      <c r="K3663" s="18"/>
      <c r="L3663" s="18"/>
      <c r="M3663" s="18"/>
      <c r="N3663" s="18"/>
      <c r="O3663" s="18"/>
      <c r="P3663" s="18"/>
      <c r="Q3663" s="18"/>
    </row>
    <row r="3664" spans="1:17">
      <c r="A3664" s="18"/>
      <c r="B3664" s="18"/>
      <c r="C3664" s="18"/>
      <c r="D3664" s="18"/>
      <c r="E3664" s="18"/>
      <c r="F3664" s="18"/>
      <c r="G3664" s="18"/>
      <c r="H3664" s="18"/>
      <c r="I3664" s="18"/>
      <c r="J3664" s="18"/>
      <c r="K3664" s="18"/>
      <c r="L3664" s="18"/>
      <c r="M3664" s="18"/>
      <c r="N3664" s="18"/>
      <c r="O3664" s="18"/>
      <c r="P3664" s="18"/>
      <c r="Q3664" s="18"/>
    </row>
    <row r="3665" spans="1:17">
      <c r="A3665" s="18"/>
      <c r="B3665" s="18"/>
      <c r="C3665" s="18"/>
      <c r="D3665" s="18"/>
      <c r="E3665" s="18"/>
      <c r="F3665" s="18"/>
      <c r="G3665" s="18"/>
      <c r="H3665" s="18"/>
      <c r="I3665" s="18"/>
      <c r="J3665" s="18"/>
      <c r="K3665" s="18"/>
      <c r="L3665" s="18"/>
      <c r="M3665" s="18"/>
      <c r="N3665" s="18"/>
      <c r="O3665" s="18"/>
      <c r="P3665" s="18"/>
      <c r="Q3665" s="18"/>
    </row>
    <row r="3666" spans="1:17">
      <c r="A3666" s="18"/>
      <c r="B3666" s="18"/>
      <c r="C3666" s="18"/>
      <c r="D3666" s="18"/>
      <c r="E3666" s="18"/>
      <c r="F3666" s="18"/>
      <c r="G3666" s="18"/>
      <c r="H3666" s="18"/>
      <c r="I3666" s="18"/>
      <c r="J3666" s="18"/>
      <c r="K3666" s="18"/>
      <c r="L3666" s="18"/>
      <c r="M3666" s="18"/>
      <c r="N3666" s="18"/>
      <c r="O3666" s="18"/>
      <c r="P3666" s="18"/>
      <c r="Q3666" s="18"/>
    </row>
    <row r="3667" spans="1:17">
      <c r="A3667" s="18"/>
      <c r="B3667" s="18"/>
      <c r="C3667" s="18"/>
      <c r="D3667" s="18"/>
      <c r="E3667" s="18"/>
      <c r="F3667" s="18"/>
      <c r="G3667" s="18"/>
      <c r="H3667" s="18"/>
      <c r="I3667" s="18"/>
      <c r="J3667" s="18"/>
      <c r="K3667" s="18"/>
      <c r="L3667" s="18"/>
      <c r="M3667" s="18"/>
      <c r="N3667" s="18"/>
      <c r="O3667" s="18"/>
      <c r="P3667" s="18"/>
      <c r="Q3667" s="18"/>
    </row>
    <row r="3668" spans="1:17">
      <c r="A3668" s="18"/>
      <c r="B3668" s="18"/>
      <c r="C3668" s="18"/>
      <c r="D3668" s="18"/>
      <c r="E3668" s="18"/>
      <c r="F3668" s="18"/>
      <c r="G3668" s="18"/>
      <c r="H3668" s="18"/>
      <c r="I3668" s="18"/>
      <c r="J3668" s="18"/>
      <c r="K3668" s="18"/>
      <c r="L3668" s="18"/>
      <c r="M3668" s="18"/>
      <c r="N3668" s="18"/>
      <c r="O3668" s="18"/>
      <c r="P3668" s="18"/>
      <c r="Q3668" s="18"/>
    </row>
    <row r="3669" spans="1:17">
      <c r="A3669" s="18"/>
      <c r="B3669" s="18"/>
      <c r="C3669" s="18"/>
      <c r="D3669" s="18"/>
      <c r="E3669" s="18"/>
      <c r="F3669" s="18"/>
      <c r="G3669" s="18"/>
      <c r="H3669" s="18"/>
      <c r="I3669" s="18"/>
      <c r="J3669" s="18"/>
      <c r="K3669" s="18"/>
      <c r="L3669" s="18"/>
      <c r="M3669" s="18"/>
      <c r="N3669" s="18"/>
      <c r="O3669" s="18"/>
      <c r="P3669" s="18"/>
      <c r="Q3669" s="18"/>
    </row>
    <row r="3670" spans="1:17">
      <c r="A3670" s="18"/>
      <c r="B3670" s="18"/>
      <c r="C3670" s="18"/>
      <c r="D3670" s="18"/>
      <c r="E3670" s="18"/>
      <c r="F3670" s="18"/>
      <c r="G3670" s="18"/>
      <c r="H3670" s="18"/>
      <c r="I3670" s="18"/>
      <c r="J3670" s="18"/>
      <c r="K3670" s="18"/>
      <c r="L3670" s="18"/>
      <c r="M3670" s="18"/>
      <c r="N3670" s="18"/>
      <c r="O3670" s="18"/>
      <c r="P3670" s="18"/>
      <c r="Q3670" s="18"/>
    </row>
    <row r="3671" spans="1:17">
      <c r="A3671" s="18"/>
      <c r="B3671" s="18"/>
      <c r="C3671" s="18"/>
      <c r="D3671" s="18"/>
      <c r="E3671" s="18"/>
      <c r="F3671" s="18"/>
      <c r="G3671" s="18"/>
      <c r="H3671" s="18"/>
      <c r="I3671" s="18"/>
      <c r="J3671" s="18"/>
      <c r="K3671" s="18"/>
      <c r="L3671" s="18"/>
      <c r="M3671" s="18"/>
      <c r="N3671" s="18"/>
      <c r="O3671" s="18"/>
      <c r="P3671" s="18"/>
      <c r="Q3671" s="18"/>
    </row>
    <row r="3672" spans="1:17">
      <c r="A3672" s="18"/>
      <c r="B3672" s="18"/>
      <c r="C3672" s="18"/>
      <c r="D3672" s="18"/>
      <c r="E3672" s="18"/>
      <c r="F3672" s="18"/>
      <c r="G3672" s="18"/>
      <c r="H3672" s="18"/>
      <c r="I3672" s="18"/>
      <c r="J3672" s="18"/>
      <c r="K3672" s="18"/>
      <c r="L3672" s="18"/>
      <c r="M3672" s="18"/>
      <c r="N3672" s="18"/>
      <c r="O3672" s="18"/>
      <c r="P3672" s="18"/>
      <c r="Q3672" s="18"/>
    </row>
    <row r="3673" spans="1:17">
      <c r="A3673" s="18"/>
      <c r="B3673" s="18"/>
      <c r="C3673" s="18"/>
      <c r="D3673" s="18"/>
      <c r="E3673" s="18"/>
      <c r="F3673" s="18"/>
      <c r="G3673" s="18"/>
      <c r="H3673" s="18"/>
      <c r="I3673" s="18"/>
      <c r="J3673" s="18"/>
      <c r="K3673" s="18"/>
      <c r="L3673" s="18"/>
      <c r="M3673" s="18"/>
      <c r="N3673" s="18"/>
      <c r="O3673" s="18"/>
      <c r="P3673" s="18"/>
      <c r="Q3673" s="18"/>
    </row>
    <row r="3674" spans="1:17">
      <c r="A3674" s="18"/>
      <c r="B3674" s="18"/>
      <c r="C3674" s="18"/>
      <c r="D3674" s="18"/>
      <c r="E3674" s="18"/>
      <c r="F3674" s="18"/>
      <c r="G3674" s="18"/>
      <c r="H3674" s="18"/>
      <c r="I3674" s="18"/>
      <c r="J3674" s="18"/>
      <c r="K3674" s="18"/>
      <c r="L3674" s="18"/>
      <c r="M3674" s="18"/>
      <c r="N3674" s="18"/>
      <c r="O3674" s="18"/>
      <c r="P3674" s="18"/>
      <c r="Q3674" s="18"/>
    </row>
    <row r="3675" spans="1:17">
      <c r="A3675" s="18"/>
      <c r="B3675" s="18"/>
      <c r="C3675" s="18"/>
      <c r="D3675" s="18"/>
      <c r="E3675" s="18"/>
      <c r="F3675" s="18"/>
      <c r="G3675" s="18"/>
      <c r="H3675" s="18"/>
      <c r="I3675" s="18"/>
      <c r="J3675" s="18"/>
      <c r="K3675" s="18"/>
      <c r="L3675" s="18"/>
      <c r="M3675" s="18"/>
      <c r="N3675" s="18"/>
      <c r="O3675" s="18"/>
      <c r="P3675" s="18"/>
      <c r="Q3675" s="18"/>
    </row>
    <row r="3676" spans="1:17">
      <c r="A3676" s="18"/>
      <c r="B3676" s="18"/>
      <c r="C3676" s="18"/>
      <c r="D3676" s="18"/>
      <c r="E3676" s="18"/>
      <c r="F3676" s="18"/>
      <c r="G3676" s="18"/>
      <c r="H3676" s="18"/>
      <c r="I3676" s="18"/>
      <c r="J3676" s="18"/>
      <c r="K3676" s="18"/>
      <c r="L3676" s="18"/>
      <c r="M3676" s="18"/>
      <c r="N3676" s="18"/>
      <c r="O3676" s="18"/>
      <c r="P3676" s="18"/>
      <c r="Q3676" s="18"/>
    </row>
    <row r="3677" spans="1:17">
      <c r="A3677" s="18"/>
      <c r="B3677" s="18"/>
      <c r="C3677" s="18"/>
      <c r="D3677" s="18"/>
      <c r="E3677" s="18"/>
      <c r="F3677" s="18"/>
      <c r="G3677" s="18"/>
      <c r="H3677" s="18"/>
      <c r="I3677" s="18"/>
      <c r="J3677" s="18"/>
      <c r="K3677" s="18"/>
      <c r="L3677" s="18"/>
      <c r="M3677" s="18"/>
      <c r="N3677" s="18"/>
      <c r="O3677" s="18"/>
      <c r="P3677" s="18"/>
      <c r="Q3677" s="18"/>
    </row>
    <row r="3678" spans="1:17">
      <c r="A3678" s="18"/>
      <c r="B3678" s="18"/>
      <c r="C3678" s="18"/>
      <c r="D3678" s="18"/>
      <c r="E3678" s="18"/>
      <c r="F3678" s="18"/>
      <c r="G3678" s="18"/>
      <c r="H3678" s="18"/>
      <c r="I3678" s="18"/>
      <c r="J3678" s="18"/>
      <c r="K3678" s="18"/>
      <c r="L3678" s="18"/>
      <c r="M3678" s="18"/>
      <c r="N3678" s="18"/>
      <c r="O3678" s="18"/>
      <c r="P3678" s="18"/>
      <c r="Q3678" s="18"/>
    </row>
    <row r="3679" spans="1:17">
      <c r="A3679" s="18"/>
      <c r="B3679" s="18"/>
      <c r="C3679" s="18"/>
      <c r="D3679" s="18"/>
      <c r="E3679" s="18"/>
      <c r="F3679" s="18"/>
      <c r="G3679" s="18"/>
      <c r="H3679" s="18"/>
      <c r="I3679" s="18"/>
      <c r="J3679" s="18"/>
      <c r="K3679" s="18"/>
      <c r="L3679" s="18"/>
      <c r="M3679" s="18"/>
      <c r="N3679" s="18"/>
      <c r="O3679" s="18"/>
      <c r="P3679" s="18"/>
      <c r="Q3679" s="18"/>
    </row>
    <row r="3680" spans="1:17">
      <c r="A3680" s="18"/>
      <c r="B3680" s="18"/>
      <c r="C3680" s="18"/>
      <c r="D3680" s="18"/>
      <c r="E3680" s="18"/>
      <c r="F3680" s="18"/>
      <c r="G3680" s="18"/>
      <c r="H3680" s="18"/>
      <c r="I3680" s="18"/>
      <c r="J3680" s="18"/>
      <c r="K3680" s="18"/>
      <c r="L3680" s="18"/>
      <c r="M3680" s="18"/>
      <c r="N3680" s="18"/>
      <c r="O3680" s="18"/>
      <c r="P3680" s="18"/>
      <c r="Q3680" s="18"/>
    </row>
    <row r="3681" spans="1:17">
      <c r="A3681" s="18"/>
      <c r="B3681" s="18"/>
      <c r="C3681" s="18"/>
      <c r="D3681" s="18"/>
      <c r="E3681" s="18"/>
      <c r="F3681" s="18"/>
      <c r="G3681" s="18"/>
      <c r="H3681" s="18"/>
      <c r="I3681" s="18"/>
      <c r="J3681" s="18"/>
      <c r="K3681" s="18"/>
      <c r="L3681" s="18"/>
      <c r="M3681" s="18"/>
      <c r="N3681" s="18"/>
      <c r="O3681" s="18"/>
      <c r="P3681" s="18"/>
      <c r="Q3681" s="18"/>
    </row>
    <row r="3682" spans="1:17">
      <c r="A3682" s="18"/>
      <c r="B3682" s="18"/>
      <c r="C3682" s="18"/>
      <c r="D3682" s="18"/>
      <c r="E3682" s="18"/>
      <c r="F3682" s="18"/>
      <c r="G3682" s="18"/>
      <c r="H3682" s="18"/>
      <c r="I3682" s="18"/>
      <c r="J3682" s="18"/>
      <c r="K3682" s="18"/>
      <c r="L3682" s="18"/>
      <c r="M3682" s="18"/>
      <c r="N3682" s="18"/>
      <c r="O3682" s="18"/>
      <c r="P3682" s="18"/>
      <c r="Q3682" s="18"/>
    </row>
    <row r="3683" spans="1:17">
      <c r="A3683" s="18"/>
      <c r="B3683" s="18"/>
      <c r="C3683" s="18"/>
      <c r="D3683" s="18"/>
      <c r="E3683" s="18"/>
      <c r="F3683" s="18"/>
      <c r="G3683" s="18"/>
      <c r="H3683" s="18"/>
      <c r="I3683" s="18"/>
      <c r="J3683" s="18"/>
      <c r="K3683" s="18"/>
      <c r="L3683" s="18"/>
      <c r="M3683" s="18"/>
      <c r="N3683" s="18"/>
      <c r="O3683" s="18"/>
      <c r="P3683" s="18"/>
      <c r="Q3683" s="18"/>
    </row>
    <row r="3684" spans="1:17">
      <c r="A3684" s="18"/>
      <c r="B3684" s="18"/>
      <c r="C3684" s="18"/>
      <c r="D3684" s="18"/>
      <c r="E3684" s="18"/>
      <c r="F3684" s="18"/>
      <c r="G3684" s="18"/>
      <c r="H3684" s="18"/>
      <c r="I3684" s="18"/>
      <c r="J3684" s="18"/>
      <c r="K3684" s="18"/>
      <c r="L3684" s="18"/>
      <c r="M3684" s="18"/>
      <c r="N3684" s="18"/>
      <c r="O3684" s="18"/>
      <c r="P3684" s="18"/>
      <c r="Q3684" s="18"/>
    </row>
    <row r="3685" spans="1:17">
      <c r="A3685" s="18"/>
      <c r="B3685" s="18"/>
      <c r="C3685" s="18"/>
      <c r="D3685" s="18"/>
      <c r="E3685" s="18"/>
      <c r="F3685" s="18"/>
      <c r="G3685" s="18"/>
      <c r="H3685" s="18"/>
      <c r="I3685" s="18"/>
      <c r="J3685" s="18"/>
      <c r="K3685" s="18"/>
      <c r="L3685" s="18"/>
      <c r="M3685" s="18"/>
      <c r="N3685" s="18"/>
      <c r="O3685" s="18"/>
      <c r="P3685" s="18"/>
      <c r="Q3685" s="18"/>
    </row>
    <row r="3686" spans="1:17">
      <c r="A3686" s="18"/>
      <c r="B3686" s="18"/>
      <c r="C3686" s="18"/>
      <c r="D3686" s="18"/>
      <c r="E3686" s="18"/>
      <c r="F3686" s="18"/>
      <c r="G3686" s="18"/>
      <c r="H3686" s="18"/>
      <c r="I3686" s="18"/>
      <c r="J3686" s="18"/>
      <c r="K3686" s="18"/>
      <c r="L3686" s="18"/>
      <c r="M3686" s="18"/>
      <c r="N3686" s="18"/>
      <c r="O3686" s="18"/>
      <c r="P3686" s="18"/>
      <c r="Q3686" s="18"/>
    </row>
    <row r="3687" spans="1:17">
      <c r="A3687" s="18"/>
      <c r="B3687" s="18"/>
      <c r="C3687" s="18"/>
      <c r="D3687" s="18"/>
      <c r="E3687" s="18"/>
      <c r="F3687" s="18"/>
      <c r="G3687" s="18"/>
      <c r="H3687" s="18"/>
      <c r="I3687" s="18"/>
      <c r="J3687" s="18"/>
      <c r="K3687" s="18"/>
      <c r="L3687" s="18"/>
      <c r="M3687" s="18"/>
      <c r="N3687" s="18"/>
      <c r="O3687" s="18"/>
      <c r="P3687" s="18"/>
      <c r="Q3687" s="18"/>
    </row>
    <row r="3688" spans="1:17">
      <c r="A3688" s="18"/>
      <c r="B3688" s="18"/>
      <c r="C3688" s="18"/>
      <c r="D3688" s="18"/>
      <c r="E3688" s="18"/>
      <c r="F3688" s="18"/>
      <c r="G3688" s="18"/>
      <c r="H3688" s="18"/>
      <c r="I3688" s="18"/>
      <c r="J3688" s="18"/>
      <c r="K3688" s="18"/>
      <c r="L3688" s="18"/>
      <c r="M3688" s="18"/>
      <c r="N3688" s="18"/>
      <c r="O3688" s="18"/>
      <c r="P3688" s="18"/>
      <c r="Q3688" s="18"/>
    </row>
    <row r="3689" spans="1:17">
      <c r="A3689" s="18"/>
      <c r="B3689" s="18"/>
      <c r="C3689" s="18"/>
      <c r="D3689" s="18"/>
      <c r="E3689" s="18"/>
      <c r="F3689" s="18"/>
      <c r="G3689" s="18"/>
      <c r="H3689" s="18"/>
      <c r="I3689" s="18"/>
      <c r="J3689" s="18"/>
      <c r="K3689" s="18"/>
      <c r="L3689" s="18"/>
      <c r="M3689" s="18"/>
      <c r="N3689" s="18"/>
      <c r="O3689" s="18"/>
      <c r="P3689" s="18"/>
      <c r="Q3689" s="18"/>
    </row>
    <row r="3690" spans="1:17">
      <c r="A3690" s="18"/>
      <c r="B3690" s="18"/>
      <c r="C3690" s="18"/>
      <c r="D3690" s="18"/>
      <c r="E3690" s="18"/>
      <c r="F3690" s="18"/>
      <c r="G3690" s="18"/>
      <c r="H3690" s="18"/>
      <c r="I3690" s="18"/>
      <c r="J3690" s="18"/>
      <c r="K3690" s="18"/>
      <c r="L3690" s="18"/>
      <c r="M3690" s="18"/>
      <c r="N3690" s="18"/>
      <c r="O3690" s="18"/>
      <c r="P3690" s="18"/>
      <c r="Q3690" s="18"/>
    </row>
    <row r="3691" spans="1:17">
      <c r="A3691" s="18"/>
      <c r="B3691" s="18"/>
      <c r="C3691" s="18"/>
      <c r="D3691" s="18"/>
      <c r="E3691" s="18"/>
      <c r="F3691" s="18"/>
      <c r="G3691" s="18"/>
      <c r="H3691" s="18"/>
      <c r="I3691" s="18"/>
      <c r="J3691" s="18"/>
      <c r="K3691" s="18"/>
      <c r="L3691" s="18"/>
      <c r="M3691" s="18"/>
      <c r="N3691" s="18"/>
      <c r="O3691" s="18"/>
      <c r="P3691" s="18"/>
      <c r="Q3691" s="18"/>
    </row>
    <row r="3692" spans="1:17">
      <c r="A3692" s="18"/>
      <c r="B3692" s="18"/>
      <c r="C3692" s="18"/>
      <c r="D3692" s="18"/>
      <c r="E3692" s="18"/>
      <c r="F3692" s="18"/>
      <c r="G3692" s="18"/>
      <c r="H3692" s="18"/>
      <c r="I3692" s="18"/>
      <c r="J3692" s="18"/>
      <c r="K3692" s="18"/>
      <c r="L3692" s="18"/>
      <c r="M3692" s="18"/>
      <c r="N3692" s="18"/>
      <c r="O3692" s="18"/>
      <c r="P3692" s="18"/>
      <c r="Q3692" s="18"/>
    </row>
    <row r="3693" spans="1:17">
      <c r="A3693" s="18"/>
      <c r="B3693" s="18"/>
      <c r="C3693" s="18"/>
      <c r="D3693" s="18"/>
      <c r="E3693" s="18"/>
      <c r="F3693" s="18"/>
      <c r="G3693" s="18"/>
      <c r="H3693" s="18"/>
      <c r="I3693" s="18"/>
      <c r="J3693" s="18"/>
      <c r="K3693" s="18"/>
      <c r="L3693" s="18"/>
      <c r="M3693" s="18"/>
      <c r="N3693" s="18"/>
      <c r="O3693" s="18"/>
      <c r="P3693" s="18"/>
      <c r="Q3693" s="18"/>
    </row>
    <row r="3694" spans="1:17">
      <c r="A3694" s="18"/>
      <c r="B3694" s="18"/>
      <c r="C3694" s="18"/>
      <c r="D3694" s="18"/>
      <c r="E3694" s="18"/>
      <c r="F3694" s="18"/>
      <c r="G3694" s="18"/>
      <c r="H3694" s="18"/>
      <c r="I3694" s="18"/>
      <c r="J3694" s="18"/>
      <c r="K3694" s="18"/>
      <c r="L3694" s="18"/>
      <c r="M3694" s="18"/>
      <c r="N3694" s="18"/>
      <c r="O3694" s="18"/>
      <c r="P3694" s="18"/>
      <c r="Q3694" s="18"/>
    </row>
    <row r="3695" spans="1:17">
      <c r="A3695" s="18"/>
      <c r="B3695" s="18"/>
      <c r="C3695" s="18"/>
      <c r="D3695" s="18"/>
      <c r="E3695" s="18"/>
      <c r="F3695" s="18"/>
      <c r="G3695" s="18"/>
      <c r="H3695" s="18"/>
      <c r="I3695" s="18"/>
      <c r="J3695" s="18"/>
      <c r="K3695" s="18"/>
      <c r="L3695" s="18"/>
      <c r="M3695" s="18"/>
      <c r="N3695" s="18"/>
      <c r="O3695" s="18"/>
      <c r="P3695" s="18"/>
      <c r="Q3695" s="18"/>
    </row>
    <row r="3696" spans="1:17">
      <c r="A3696" s="18"/>
      <c r="B3696" s="18"/>
      <c r="C3696" s="18"/>
      <c r="D3696" s="18"/>
      <c r="E3696" s="18"/>
      <c r="F3696" s="18"/>
      <c r="G3696" s="18"/>
      <c r="H3696" s="18"/>
      <c r="I3696" s="18"/>
      <c r="J3696" s="18"/>
      <c r="K3696" s="18"/>
      <c r="L3696" s="18"/>
      <c r="M3696" s="18"/>
      <c r="N3696" s="18"/>
      <c r="O3696" s="18"/>
      <c r="P3696" s="18"/>
      <c r="Q3696" s="18"/>
    </row>
    <row r="3697" spans="1:17">
      <c r="A3697" s="18"/>
      <c r="B3697" s="18"/>
      <c r="C3697" s="18"/>
      <c r="D3697" s="18"/>
      <c r="E3697" s="18"/>
      <c r="F3697" s="18"/>
      <c r="G3697" s="18"/>
      <c r="H3697" s="18"/>
      <c r="I3697" s="18"/>
      <c r="J3697" s="18"/>
      <c r="K3697" s="18"/>
      <c r="L3697" s="18"/>
      <c r="M3697" s="18"/>
      <c r="N3697" s="18"/>
      <c r="O3697" s="18"/>
      <c r="P3697" s="18"/>
      <c r="Q3697" s="18"/>
    </row>
    <row r="3698" spans="1:17">
      <c r="A3698" s="18"/>
      <c r="B3698" s="18"/>
      <c r="C3698" s="18"/>
      <c r="D3698" s="18"/>
      <c r="E3698" s="18"/>
      <c r="F3698" s="18"/>
      <c r="G3698" s="18"/>
      <c r="H3698" s="18"/>
      <c r="I3698" s="18"/>
      <c r="J3698" s="18"/>
      <c r="K3698" s="18"/>
      <c r="L3698" s="18"/>
      <c r="M3698" s="18"/>
      <c r="N3698" s="18"/>
      <c r="O3698" s="18"/>
      <c r="P3698" s="18"/>
      <c r="Q3698" s="18"/>
    </row>
    <row r="3699" spans="1:17">
      <c r="A3699" s="18"/>
      <c r="B3699" s="18"/>
      <c r="C3699" s="18"/>
      <c r="D3699" s="18"/>
      <c r="E3699" s="18"/>
      <c r="F3699" s="18"/>
      <c r="G3699" s="18"/>
      <c r="H3699" s="18"/>
      <c r="I3699" s="18"/>
      <c r="J3699" s="18"/>
      <c r="K3699" s="18"/>
      <c r="L3699" s="18"/>
      <c r="M3699" s="18"/>
      <c r="N3699" s="18"/>
      <c r="O3699" s="18"/>
      <c r="P3699" s="18"/>
      <c r="Q3699" s="18"/>
    </row>
    <row r="3700" spans="1:17">
      <c r="A3700" s="18"/>
      <c r="B3700" s="18"/>
      <c r="C3700" s="18"/>
      <c r="D3700" s="18"/>
      <c r="E3700" s="18"/>
      <c r="F3700" s="18"/>
      <c r="G3700" s="18"/>
      <c r="H3700" s="18"/>
      <c r="I3700" s="18"/>
      <c r="J3700" s="18"/>
      <c r="K3700" s="18"/>
      <c r="L3700" s="18"/>
      <c r="M3700" s="18"/>
      <c r="N3700" s="18"/>
      <c r="O3700" s="18"/>
      <c r="P3700" s="18"/>
      <c r="Q3700" s="18"/>
    </row>
    <row r="3701" spans="1:17">
      <c r="A3701" s="18"/>
      <c r="B3701" s="18"/>
      <c r="C3701" s="18"/>
      <c r="D3701" s="18"/>
      <c r="E3701" s="18"/>
      <c r="F3701" s="18"/>
      <c r="G3701" s="18"/>
      <c r="H3701" s="18"/>
      <c r="I3701" s="18"/>
      <c r="J3701" s="18"/>
      <c r="K3701" s="18"/>
      <c r="L3701" s="18"/>
      <c r="M3701" s="18"/>
      <c r="N3701" s="18"/>
      <c r="O3701" s="18"/>
      <c r="P3701" s="18"/>
      <c r="Q3701" s="18"/>
    </row>
    <row r="3702" spans="1:17">
      <c r="A3702" s="18"/>
      <c r="B3702" s="18"/>
      <c r="C3702" s="18"/>
      <c r="D3702" s="18"/>
      <c r="E3702" s="18"/>
      <c r="F3702" s="18"/>
      <c r="G3702" s="18"/>
      <c r="H3702" s="18"/>
      <c r="I3702" s="18"/>
      <c r="J3702" s="18"/>
      <c r="K3702" s="18"/>
      <c r="L3702" s="18"/>
      <c r="M3702" s="18"/>
      <c r="N3702" s="18"/>
      <c r="O3702" s="18"/>
      <c r="P3702" s="18"/>
      <c r="Q3702" s="18"/>
    </row>
    <row r="3703" spans="1:17">
      <c r="A3703" s="18"/>
      <c r="B3703" s="18"/>
      <c r="C3703" s="18"/>
      <c r="D3703" s="18"/>
      <c r="E3703" s="18"/>
      <c r="F3703" s="18"/>
      <c r="G3703" s="18"/>
      <c r="H3703" s="18"/>
      <c r="I3703" s="18"/>
      <c r="J3703" s="18"/>
      <c r="K3703" s="18"/>
      <c r="L3703" s="18"/>
      <c r="M3703" s="18"/>
      <c r="N3703" s="18"/>
      <c r="O3703" s="18"/>
      <c r="P3703" s="18"/>
      <c r="Q3703" s="18"/>
    </row>
    <row r="3704" spans="1:17">
      <c r="A3704" s="18"/>
      <c r="B3704" s="18"/>
      <c r="C3704" s="18"/>
      <c r="D3704" s="18"/>
      <c r="E3704" s="18"/>
      <c r="F3704" s="18"/>
      <c r="G3704" s="18"/>
      <c r="H3704" s="18"/>
      <c r="I3704" s="18"/>
      <c r="J3704" s="18"/>
      <c r="K3704" s="18"/>
      <c r="L3704" s="18"/>
      <c r="M3704" s="18"/>
      <c r="N3704" s="18"/>
      <c r="O3704" s="18"/>
      <c r="P3704" s="18"/>
      <c r="Q3704" s="18"/>
    </row>
    <row r="3705" spans="1:17">
      <c r="A3705" s="18"/>
      <c r="B3705" s="18"/>
      <c r="C3705" s="18"/>
      <c r="D3705" s="18"/>
      <c r="E3705" s="18"/>
      <c r="F3705" s="18"/>
      <c r="G3705" s="18"/>
      <c r="H3705" s="18"/>
      <c r="I3705" s="18"/>
      <c r="J3705" s="18"/>
      <c r="K3705" s="18"/>
      <c r="L3705" s="18"/>
      <c r="M3705" s="18"/>
      <c r="N3705" s="18"/>
      <c r="O3705" s="18"/>
      <c r="P3705" s="18"/>
      <c r="Q3705" s="18"/>
    </row>
    <row r="3706" spans="1:17">
      <c r="A3706" s="18"/>
      <c r="B3706" s="18"/>
      <c r="C3706" s="18"/>
      <c r="D3706" s="18"/>
      <c r="E3706" s="18"/>
      <c r="F3706" s="18"/>
      <c r="G3706" s="18"/>
      <c r="H3706" s="18"/>
      <c r="I3706" s="18"/>
      <c r="J3706" s="18"/>
      <c r="K3706" s="18"/>
      <c r="L3706" s="18"/>
      <c r="M3706" s="18"/>
      <c r="N3706" s="18"/>
      <c r="O3706" s="18"/>
      <c r="P3706" s="18"/>
      <c r="Q3706" s="18"/>
    </row>
    <row r="3707" spans="1:17">
      <c r="A3707" s="18"/>
      <c r="B3707" s="18"/>
      <c r="C3707" s="18"/>
      <c r="D3707" s="18"/>
      <c r="E3707" s="18"/>
      <c r="F3707" s="18"/>
      <c r="G3707" s="18"/>
      <c r="H3707" s="18"/>
      <c r="I3707" s="18"/>
      <c r="J3707" s="18"/>
      <c r="K3707" s="18"/>
      <c r="L3707" s="18"/>
      <c r="M3707" s="18"/>
      <c r="N3707" s="18"/>
      <c r="O3707" s="18"/>
      <c r="P3707" s="18"/>
      <c r="Q3707" s="18"/>
    </row>
    <row r="3708" spans="1:17">
      <c r="A3708" s="18"/>
      <c r="B3708" s="18"/>
      <c r="C3708" s="18"/>
      <c r="D3708" s="18"/>
      <c r="E3708" s="18"/>
      <c r="F3708" s="18"/>
      <c r="G3708" s="18"/>
      <c r="H3708" s="18"/>
      <c r="I3708" s="18"/>
      <c r="J3708" s="18"/>
      <c r="K3708" s="18"/>
      <c r="L3708" s="18"/>
      <c r="M3708" s="18"/>
      <c r="N3708" s="18"/>
      <c r="O3708" s="18"/>
      <c r="P3708" s="18"/>
      <c r="Q3708" s="18"/>
    </row>
    <row r="3709" spans="1:17">
      <c r="A3709" s="18"/>
      <c r="B3709" s="18"/>
      <c r="C3709" s="18"/>
      <c r="D3709" s="18"/>
      <c r="E3709" s="18"/>
      <c r="F3709" s="18"/>
      <c r="G3709" s="18"/>
      <c r="H3709" s="18"/>
      <c r="I3709" s="18"/>
      <c r="J3709" s="18"/>
      <c r="K3709" s="18"/>
      <c r="L3709" s="18"/>
      <c r="M3709" s="18"/>
      <c r="N3709" s="18"/>
      <c r="O3709" s="18"/>
      <c r="P3709" s="18"/>
      <c r="Q3709" s="18"/>
    </row>
    <row r="3710" spans="1:17">
      <c r="A3710" s="18"/>
      <c r="B3710" s="18"/>
      <c r="C3710" s="18"/>
      <c r="D3710" s="18"/>
      <c r="E3710" s="18"/>
      <c r="F3710" s="18"/>
      <c r="G3710" s="18"/>
      <c r="H3710" s="18"/>
      <c r="I3710" s="18"/>
      <c r="J3710" s="18"/>
      <c r="K3710" s="18"/>
      <c r="L3710" s="18"/>
      <c r="M3710" s="18"/>
      <c r="N3710" s="18"/>
      <c r="O3710" s="18"/>
      <c r="P3710" s="18"/>
      <c r="Q3710" s="18"/>
    </row>
    <row r="3711" spans="1:17">
      <c r="A3711" s="18"/>
      <c r="B3711" s="18"/>
      <c r="C3711" s="18"/>
      <c r="D3711" s="18"/>
      <c r="E3711" s="18"/>
      <c r="F3711" s="18"/>
      <c r="G3711" s="18"/>
      <c r="H3711" s="18"/>
      <c r="I3711" s="18"/>
      <c r="J3711" s="18"/>
      <c r="K3711" s="18"/>
      <c r="L3711" s="18"/>
      <c r="M3711" s="18"/>
      <c r="N3711" s="18"/>
      <c r="O3711" s="18"/>
      <c r="P3711" s="18"/>
      <c r="Q3711" s="18"/>
    </row>
    <row r="3712" spans="1:17">
      <c r="A3712" s="18"/>
      <c r="B3712" s="18"/>
      <c r="C3712" s="18"/>
      <c r="D3712" s="18"/>
      <c r="E3712" s="18"/>
      <c r="F3712" s="18"/>
      <c r="G3712" s="18"/>
      <c r="H3712" s="18"/>
      <c r="I3712" s="18"/>
      <c r="J3712" s="18"/>
      <c r="K3712" s="18"/>
      <c r="L3712" s="18"/>
      <c r="M3712" s="18"/>
      <c r="N3712" s="18"/>
      <c r="O3712" s="18"/>
      <c r="P3712" s="18"/>
      <c r="Q3712" s="18"/>
    </row>
    <row r="3713" spans="1:17">
      <c r="A3713" s="18"/>
      <c r="B3713" s="18"/>
      <c r="C3713" s="18"/>
      <c r="D3713" s="18"/>
      <c r="E3713" s="18"/>
      <c r="F3713" s="18"/>
      <c r="G3713" s="18"/>
      <c r="H3713" s="18"/>
      <c r="I3713" s="18"/>
      <c r="J3713" s="18"/>
      <c r="K3713" s="18"/>
      <c r="L3713" s="18"/>
      <c r="M3713" s="18"/>
      <c r="N3713" s="18"/>
      <c r="O3713" s="18"/>
      <c r="P3713" s="18"/>
      <c r="Q3713" s="18"/>
    </row>
    <row r="3714" spans="1:17">
      <c r="A3714" s="18"/>
      <c r="B3714" s="18"/>
      <c r="C3714" s="18"/>
      <c r="D3714" s="18"/>
      <c r="E3714" s="18"/>
      <c r="F3714" s="18"/>
      <c r="G3714" s="18"/>
      <c r="H3714" s="18"/>
      <c r="I3714" s="18"/>
      <c r="J3714" s="18"/>
      <c r="K3714" s="18"/>
      <c r="L3714" s="18"/>
      <c r="M3714" s="18"/>
      <c r="N3714" s="18"/>
      <c r="O3714" s="18"/>
      <c r="P3714" s="18"/>
      <c r="Q3714" s="18"/>
    </row>
    <row r="3715" spans="1:17">
      <c r="A3715" s="18"/>
      <c r="B3715" s="18"/>
      <c r="C3715" s="18"/>
      <c r="D3715" s="18"/>
      <c r="E3715" s="18"/>
      <c r="F3715" s="18"/>
      <c r="G3715" s="18"/>
      <c r="H3715" s="18"/>
      <c r="I3715" s="18"/>
      <c r="J3715" s="18"/>
      <c r="K3715" s="18"/>
      <c r="L3715" s="18"/>
      <c r="M3715" s="18"/>
      <c r="N3715" s="18"/>
      <c r="O3715" s="18"/>
      <c r="P3715" s="18"/>
      <c r="Q3715" s="18"/>
    </row>
    <row r="3716" spans="1:17">
      <c r="A3716" s="18"/>
      <c r="B3716" s="18"/>
      <c r="C3716" s="18"/>
      <c r="D3716" s="18"/>
      <c r="E3716" s="18"/>
      <c r="F3716" s="18"/>
      <c r="G3716" s="18"/>
      <c r="H3716" s="18"/>
      <c r="I3716" s="18"/>
      <c r="J3716" s="18"/>
      <c r="K3716" s="18"/>
      <c r="L3716" s="18"/>
      <c r="M3716" s="18"/>
      <c r="N3716" s="18"/>
      <c r="O3716" s="18"/>
      <c r="P3716" s="18"/>
      <c r="Q3716" s="18"/>
    </row>
    <row r="3717" spans="1:17">
      <c r="A3717" s="18"/>
      <c r="B3717" s="18"/>
      <c r="C3717" s="18"/>
      <c r="D3717" s="18"/>
      <c r="E3717" s="18"/>
      <c r="F3717" s="18"/>
      <c r="G3717" s="18"/>
      <c r="H3717" s="18"/>
      <c r="I3717" s="18"/>
      <c r="J3717" s="18"/>
      <c r="K3717" s="18"/>
      <c r="L3717" s="18"/>
      <c r="M3717" s="18"/>
      <c r="N3717" s="18"/>
      <c r="O3717" s="18"/>
      <c r="P3717" s="18"/>
      <c r="Q3717" s="18"/>
    </row>
    <row r="3718" spans="1:17">
      <c r="A3718" s="18"/>
      <c r="B3718" s="18"/>
      <c r="C3718" s="18"/>
      <c r="D3718" s="18"/>
      <c r="E3718" s="18"/>
      <c r="F3718" s="18"/>
      <c r="G3718" s="18"/>
      <c r="H3718" s="18"/>
      <c r="I3718" s="18"/>
      <c r="J3718" s="18"/>
      <c r="K3718" s="18"/>
      <c r="L3718" s="18"/>
      <c r="M3718" s="18"/>
      <c r="N3718" s="18"/>
      <c r="O3718" s="18"/>
      <c r="P3718" s="18"/>
      <c r="Q3718" s="18"/>
    </row>
    <row r="3719" spans="1:17">
      <c r="A3719" s="18"/>
      <c r="B3719" s="18"/>
      <c r="C3719" s="18"/>
      <c r="D3719" s="18"/>
      <c r="E3719" s="18"/>
      <c r="F3719" s="18"/>
      <c r="G3719" s="18"/>
      <c r="H3719" s="18"/>
      <c r="I3719" s="18"/>
      <c r="J3719" s="18"/>
      <c r="K3719" s="18"/>
      <c r="L3719" s="18"/>
      <c r="M3719" s="18"/>
      <c r="N3719" s="18"/>
      <c r="O3719" s="18"/>
      <c r="P3719" s="18"/>
      <c r="Q3719" s="18"/>
    </row>
    <row r="3720" spans="1:17">
      <c r="A3720" s="18"/>
      <c r="B3720" s="18"/>
      <c r="C3720" s="18"/>
      <c r="D3720" s="18"/>
      <c r="E3720" s="18"/>
      <c r="F3720" s="18"/>
      <c r="G3720" s="18"/>
      <c r="H3720" s="18"/>
      <c r="I3720" s="18"/>
      <c r="J3720" s="18"/>
      <c r="K3720" s="18"/>
      <c r="L3720" s="18"/>
      <c r="M3720" s="18"/>
      <c r="N3720" s="18"/>
      <c r="O3720" s="18"/>
      <c r="P3720" s="18"/>
      <c r="Q3720" s="18"/>
    </row>
    <row r="3721" spans="1:17">
      <c r="A3721" s="18"/>
      <c r="B3721" s="18"/>
      <c r="C3721" s="18"/>
      <c r="D3721" s="18"/>
      <c r="E3721" s="18"/>
      <c r="F3721" s="18"/>
      <c r="G3721" s="18"/>
      <c r="H3721" s="18"/>
      <c r="I3721" s="18"/>
      <c r="J3721" s="18"/>
      <c r="K3721" s="18"/>
      <c r="L3721" s="18"/>
      <c r="M3721" s="18"/>
      <c r="N3721" s="18"/>
      <c r="O3721" s="18"/>
      <c r="P3721" s="18"/>
      <c r="Q3721" s="18"/>
    </row>
    <row r="3722" spans="1:17">
      <c r="A3722" s="18"/>
      <c r="B3722" s="18"/>
      <c r="C3722" s="18"/>
      <c r="D3722" s="18"/>
      <c r="E3722" s="18"/>
      <c r="F3722" s="18"/>
      <c r="G3722" s="18"/>
      <c r="H3722" s="18"/>
      <c r="I3722" s="18"/>
      <c r="J3722" s="18"/>
      <c r="K3722" s="18"/>
      <c r="L3722" s="18"/>
      <c r="M3722" s="18"/>
      <c r="N3722" s="18"/>
      <c r="O3722" s="18"/>
      <c r="P3722" s="18"/>
      <c r="Q3722" s="18"/>
    </row>
    <row r="3723" spans="1:17">
      <c r="A3723" s="18"/>
      <c r="B3723" s="18"/>
      <c r="C3723" s="18"/>
      <c r="D3723" s="18"/>
      <c r="E3723" s="18"/>
      <c r="F3723" s="18"/>
      <c r="G3723" s="18"/>
      <c r="H3723" s="18"/>
      <c r="I3723" s="18"/>
      <c r="J3723" s="18"/>
      <c r="K3723" s="18"/>
      <c r="L3723" s="18"/>
      <c r="M3723" s="18"/>
      <c r="N3723" s="18"/>
      <c r="O3723" s="18"/>
      <c r="P3723" s="18"/>
      <c r="Q3723" s="18"/>
    </row>
    <row r="3724" spans="1:17">
      <c r="A3724" s="18"/>
      <c r="B3724" s="18"/>
      <c r="C3724" s="18"/>
      <c r="D3724" s="18"/>
      <c r="E3724" s="18"/>
      <c r="F3724" s="18"/>
      <c r="G3724" s="18"/>
      <c r="H3724" s="18"/>
      <c r="I3724" s="18"/>
      <c r="J3724" s="18"/>
      <c r="K3724" s="18"/>
      <c r="L3724" s="18"/>
      <c r="M3724" s="18"/>
      <c r="N3724" s="18"/>
      <c r="O3724" s="18"/>
      <c r="P3724" s="18"/>
      <c r="Q3724" s="18"/>
    </row>
    <row r="3725" spans="1:17">
      <c r="A3725" s="18"/>
      <c r="B3725" s="18"/>
      <c r="C3725" s="18"/>
      <c r="D3725" s="18"/>
      <c r="E3725" s="18"/>
      <c r="F3725" s="18"/>
      <c r="G3725" s="18"/>
      <c r="H3725" s="18"/>
      <c r="I3725" s="18"/>
      <c r="J3725" s="18"/>
      <c r="K3725" s="18"/>
      <c r="L3725" s="18"/>
      <c r="M3725" s="18"/>
      <c r="N3725" s="18"/>
      <c r="O3725" s="18"/>
      <c r="P3725" s="18"/>
      <c r="Q3725" s="18"/>
    </row>
    <row r="3726" spans="1:17">
      <c r="A3726" s="18"/>
      <c r="B3726" s="18"/>
      <c r="C3726" s="18"/>
      <c r="D3726" s="18"/>
      <c r="E3726" s="18"/>
      <c r="F3726" s="18"/>
      <c r="G3726" s="18"/>
      <c r="H3726" s="18"/>
      <c r="I3726" s="18"/>
      <c r="J3726" s="18"/>
      <c r="K3726" s="18"/>
      <c r="L3726" s="18"/>
      <c r="M3726" s="18"/>
      <c r="N3726" s="18"/>
      <c r="O3726" s="18"/>
      <c r="P3726" s="18"/>
      <c r="Q3726" s="18"/>
    </row>
    <row r="3727" spans="1:17">
      <c r="A3727" s="18"/>
      <c r="B3727" s="18"/>
      <c r="C3727" s="18"/>
      <c r="D3727" s="18"/>
      <c r="E3727" s="18"/>
      <c r="F3727" s="18"/>
      <c r="G3727" s="18"/>
      <c r="H3727" s="18"/>
      <c r="I3727" s="18"/>
      <c r="J3727" s="18"/>
      <c r="K3727" s="18"/>
      <c r="L3727" s="18"/>
      <c r="M3727" s="18"/>
      <c r="N3727" s="18"/>
      <c r="O3727" s="18"/>
      <c r="P3727" s="18"/>
      <c r="Q3727" s="18"/>
    </row>
    <row r="3728" spans="1:17">
      <c r="A3728" s="18"/>
      <c r="B3728" s="18"/>
      <c r="C3728" s="18"/>
      <c r="D3728" s="18"/>
      <c r="E3728" s="18"/>
      <c r="F3728" s="18"/>
      <c r="G3728" s="18"/>
      <c r="H3728" s="18"/>
      <c r="I3728" s="18"/>
      <c r="J3728" s="18"/>
      <c r="K3728" s="18"/>
      <c r="L3728" s="18"/>
      <c r="M3728" s="18"/>
      <c r="N3728" s="18"/>
      <c r="O3728" s="18"/>
      <c r="P3728" s="18"/>
      <c r="Q3728" s="18"/>
    </row>
    <row r="3729" spans="1:17">
      <c r="A3729" s="18"/>
      <c r="B3729" s="18"/>
      <c r="C3729" s="18"/>
      <c r="D3729" s="18"/>
      <c r="E3729" s="18"/>
      <c r="F3729" s="18"/>
      <c r="G3729" s="18"/>
      <c r="H3729" s="18"/>
      <c r="I3729" s="18"/>
      <c r="J3729" s="18"/>
      <c r="K3729" s="18"/>
      <c r="L3729" s="18"/>
      <c r="M3729" s="18"/>
      <c r="N3729" s="18"/>
      <c r="O3729" s="18"/>
      <c r="P3729" s="18"/>
      <c r="Q3729" s="18"/>
    </row>
    <row r="3730" spans="1:17">
      <c r="A3730" s="18"/>
      <c r="B3730" s="18"/>
      <c r="C3730" s="18"/>
      <c r="D3730" s="18"/>
      <c r="E3730" s="18"/>
      <c r="F3730" s="18"/>
      <c r="G3730" s="18"/>
      <c r="H3730" s="18"/>
      <c r="I3730" s="18"/>
      <c r="J3730" s="18"/>
      <c r="K3730" s="18"/>
      <c r="L3730" s="18"/>
      <c r="M3730" s="18"/>
      <c r="N3730" s="18"/>
      <c r="O3730" s="18"/>
      <c r="P3730" s="18"/>
      <c r="Q3730" s="18"/>
    </row>
    <row r="3731" spans="1:17">
      <c r="A3731" s="18"/>
      <c r="B3731" s="18"/>
      <c r="C3731" s="18"/>
      <c r="D3731" s="18"/>
      <c r="E3731" s="18"/>
      <c r="F3731" s="18"/>
      <c r="G3731" s="18"/>
      <c r="H3731" s="18"/>
      <c r="I3731" s="18"/>
      <c r="J3731" s="18"/>
      <c r="K3731" s="18"/>
      <c r="L3731" s="18"/>
      <c r="M3731" s="18"/>
      <c r="N3731" s="18"/>
      <c r="O3731" s="18"/>
      <c r="P3731" s="18"/>
      <c r="Q3731" s="18"/>
    </row>
    <row r="3732" spans="1:17">
      <c r="A3732" s="18"/>
      <c r="B3732" s="18"/>
      <c r="C3732" s="18"/>
      <c r="D3732" s="18"/>
      <c r="E3732" s="18"/>
      <c r="F3732" s="18"/>
      <c r="G3732" s="18"/>
      <c r="H3732" s="18"/>
      <c r="I3732" s="18"/>
      <c r="J3732" s="18"/>
      <c r="K3732" s="18"/>
      <c r="L3732" s="18"/>
      <c r="M3732" s="18"/>
      <c r="N3732" s="18"/>
      <c r="O3732" s="18"/>
      <c r="P3732" s="18"/>
      <c r="Q3732" s="18"/>
    </row>
    <row r="3733" spans="1:17">
      <c r="A3733" s="18"/>
      <c r="B3733" s="18"/>
      <c r="C3733" s="18"/>
      <c r="D3733" s="18"/>
      <c r="E3733" s="18"/>
      <c r="F3733" s="18"/>
      <c r="G3733" s="18"/>
      <c r="H3733" s="18"/>
      <c r="I3733" s="18"/>
      <c r="J3733" s="18"/>
      <c r="K3733" s="18"/>
      <c r="L3733" s="18"/>
      <c r="M3733" s="18"/>
      <c r="N3733" s="18"/>
      <c r="O3733" s="18"/>
      <c r="P3733" s="18"/>
      <c r="Q3733" s="18"/>
    </row>
    <row r="3734" spans="1:17">
      <c r="A3734" s="18"/>
      <c r="B3734" s="18"/>
      <c r="C3734" s="18"/>
      <c r="D3734" s="18"/>
      <c r="E3734" s="18"/>
      <c r="F3734" s="18"/>
      <c r="G3734" s="18"/>
      <c r="H3734" s="18"/>
      <c r="I3734" s="18"/>
      <c r="J3734" s="18"/>
      <c r="K3734" s="18"/>
      <c r="L3734" s="18"/>
      <c r="M3734" s="18"/>
      <c r="N3734" s="18"/>
      <c r="O3734" s="18"/>
      <c r="P3734" s="18"/>
      <c r="Q3734" s="18"/>
    </row>
    <row r="3735" spans="1:17">
      <c r="A3735" s="18"/>
      <c r="B3735" s="18"/>
      <c r="C3735" s="18"/>
      <c r="D3735" s="18"/>
      <c r="E3735" s="18"/>
      <c r="F3735" s="18"/>
      <c r="G3735" s="18"/>
      <c r="H3735" s="18"/>
      <c r="I3735" s="18"/>
      <c r="J3735" s="18"/>
      <c r="K3735" s="18"/>
      <c r="L3735" s="18"/>
      <c r="M3735" s="18"/>
      <c r="N3735" s="18"/>
      <c r="O3735" s="18"/>
      <c r="P3735" s="18"/>
      <c r="Q3735" s="18"/>
    </row>
    <row r="3736" spans="1:17">
      <c r="A3736" s="18"/>
      <c r="B3736" s="18"/>
      <c r="C3736" s="18"/>
      <c r="D3736" s="18"/>
      <c r="E3736" s="18"/>
      <c r="F3736" s="18"/>
      <c r="G3736" s="18"/>
      <c r="H3736" s="18"/>
      <c r="I3736" s="18"/>
      <c r="J3736" s="18"/>
      <c r="K3736" s="18"/>
      <c r="L3736" s="18"/>
      <c r="M3736" s="18"/>
      <c r="N3736" s="18"/>
      <c r="O3736" s="18"/>
      <c r="P3736" s="18"/>
      <c r="Q3736" s="18"/>
    </row>
    <row r="3737" spans="1:17">
      <c r="A3737" s="18"/>
      <c r="B3737" s="18"/>
      <c r="C3737" s="18"/>
      <c r="D3737" s="18"/>
      <c r="E3737" s="18"/>
      <c r="F3737" s="18"/>
      <c r="G3737" s="18"/>
      <c r="H3737" s="18"/>
      <c r="I3737" s="18"/>
      <c r="J3737" s="18"/>
      <c r="K3737" s="18"/>
      <c r="L3737" s="18"/>
      <c r="M3737" s="18"/>
      <c r="N3737" s="18"/>
      <c r="O3737" s="18"/>
      <c r="P3737" s="18"/>
      <c r="Q3737" s="18"/>
    </row>
    <row r="3738" spans="1:17">
      <c r="A3738" s="18"/>
      <c r="B3738" s="18"/>
      <c r="C3738" s="18"/>
      <c r="D3738" s="18"/>
      <c r="E3738" s="18"/>
      <c r="F3738" s="18"/>
      <c r="G3738" s="18"/>
      <c r="H3738" s="18"/>
      <c r="I3738" s="18"/>
      <c r="J3738" s="18"/>
      <c r="K3738" s="18"/>
      <c r="L3738" s="18"/>
      <c r="M3738" s="18"/>
      <c r="N3738" s="18"/>
      <c r="O3738" s="18"/>
      <c r="P3738" s="18"/>
      <c r="Q3738" s="18"/>
    </row>
    <row r="3739" spans="1:17">
      <c r="A3739" s="18"/>
      <c r="B3739" s="18"/>
      <c r="C3739" s="18"/>
      <c r="D3739" s="18"/>
      <c r="E3739" s="18"/>
      <c r="F3739" s="18"/>
      <c r="G3739" s="18"/>
      <c r="H3739" s="18"/>
      <c r="I3739" s="18"/>
      <c r="J3739" s="18"/>
      <c r="K3739" s="18"/>
      <c r="L3739" s="18"/>
      <c r="M3739" s="18"/>
      <c r="N3739" s="18"/>
      <c r="O3739" s="18"/>
      <c r="P3739" s="18"/>
      <c r="Q3739" s="18"/>
    </row>
    <row r="3740" spans="1:17">
      <c r="A3740" s="18"/>
      <c r="B3740" s="18"/>
      <c r="C3740" s="18"/>
      <c r="D3740" s="18"/>
      <c r="E3740" s="18"/>
      <c r="F3740" s="18"/>
      <c r="G3740" s="18"/>
      <c r="H3740" s="18"/>
      <c r="I3740" s="18"/>
      <c r="J3740" s="18"/>
      <c r="K3740" s="18"/>
      <c r="L3740" s="18"/>
      <c r="M3740" s="18"/>
      <c r="N3740" s="18"/>
      <c r="O3740" s="18"/>
      <c r="P3740" s="18"/>
      <c r="Q3740" s="18"/>
    </row>
    <row r="3741" spans="1:17">
      <c r="A3741" s="18"/>
      <c r="B3741" s="18"/>
      <c r="C3741" s="18"/>
      <c r="D3741" s="18"/>
      <c r="E3741" s="18"/>
      <c r="F3741" s="18"/>
      <c r="G3741" s="18"/>
      <c r="H3741" s="18"/>
      <c r="I3741" s="18"/>
      <c r="J3741" s="18"/>
      <c r="K3741" s="18"/>
      <c r="L3741" s="18"/>
      <c r="M3741" s="18"/>
      <c r="N3741" s="18"/>
      <c r="O3741" s="18"/>
      <c r="P3741" s="18"/>
      <c r="Q3741" s="18"/>
    </row>
    <row r="3742" spans="1:17">
      <c r="A3742" s="18"/>
      <c r="B3742" s="18"/>
      <c r="C3742" s="18"/>
      <c r="D3742" s="18"/>
      <c r="E3742" s="18"/>
      <c r="F3742" s="18"/>
      <c r="G3742" s="18"/>
      <c r="H3742" s="18"/>
      <c r="I3742" s="18"/>
      <c r="J3742" s="18"/>
      <c r="K3742" s="18"/>
      <c r="L3742" s="18"/>
      <c r="M3742" s="18"/>
      <c r="N3742" s="18"/>
      <c r="O3742" s="18"/>
      <c r="P3742" s="18"/>
      <c r="Q3742" s="18"/>
    </row>
    <row r="3743" spans="1:17">
      <c r="A3743" s="18"/>
      <c r="B3743" s="18"/>
      <c r="C3743" s="18"/>
      <c r="D3743" s="18"/>
      <c r="E3743" s="18"/>
      <c r="F3743" s="18"/>
      <c r="G3743" s="18"/>
      <c r="H3743" s="18"/>
      <c r="I3743" s="18"/>
      <c r="J3743" s="18"/>
      <c r="K3743" s="18"/>
      <c r="L3743" s="18"/>
      <c r="M3743" s="18"/>
      <c r="N3743" s="18"/>
      <c r="O3743" s="18"/>
      <c r="P3743" s="18"/>
      <c r="Q3743" s="18"/>
    </row>
    <row r="3744" spans="1:17">
      <c r="A3744" s="18"/>
      <c r="B3744" s="18"/>
      <c r="C3744" s="18"/>
      <c r="D3744" s="18"/>
      <c r="E3744" s="18"/>
      <c r="F3744" s="18"/>
      <c r="G3744" s="18"/>
      <c r="H3744" s="18"/>
      <c r="I3744" s="18"/>
      <c r="J3744" s="18"/>
      <c r="K3744" s="18"/>
      <c r="L3744" s="18"/>
      <c r="M3744" s="18"/>
      <c r="N3744" s="18"/>
      <c r="O3744" s="18"/>
      <c r="P3744" s="18"/>
      <c r="Q3744" s="18"/>
    </row>
    <row r="3745" spans="1:17">
      <c r="A3745" s="18"/>
      <c r="B3745" s="18"/>
      <c r="C3745" s="18"/>
      <c r="D3745" s="18"/>
      <c r="E3745" s="18"/>
      <c r="F3745" s="18"/>
      <c r="G3745" s="18"/>
      <c r="H3745" s="18"/>
      <c r="I3745" s="18"/>
      <c r="J3745" s="18"/>
      <c r="K3745" s="18"/>
      <c r="L3745" s="18"/>
      <c r="M3745" s="18"/>
      <c r="N3745" s="18"/>
      <c r="O3745" s="18"/>
      <c r="P3745" s="18"/>
      <c r="Q3745" s="18"/>
    </row>
    <row r="3746" spans="1:17">
      <c r="A3746" s="18"/>
      <c r="B3746" s="18"/>
      <c r="C3746" s="18"/>
      <c r="D3746" s="18"/>
      <c r="E3746" s="18"/>
      <c r="F3746" s="18"/>
      <c r="G3746" s="18"/>
      <c r="H3746" s="18"/>
      <c r="I3746" s="18"/>
      <c r="J3746" s="18"/>
      <c r="K3746" s="18"/>
      <c r="L3746" s="18"/>
      <c r="M3746" s="18"/>
      <c r="N3746" s="18"/>
      <c r="O3746" s="18"/>
      <c r="P3746" s="18"/>
      <c r="Q3746" s="18"/>
    </row>
    <row r="3747" spans="1:17">
      <c r="A3747" s="18"/>
      <c r="B3747" s="18"/>
      <c r="C3747" s="18"/>
      <c r="D3747" s="18"/>
      <c r="E3747" s="18"/>
      <c r="F3747" s="18"/>
      <c r="G3747" s="18"/>
      <c r="H3747" s="18"/>
      <c r="I3747" s="18"/>
      <c r="J3747" s="18"/>
      <c r="K3747" s="18"/>
      <c r="L3747" s="18"/>
      <c r="M3747" s="18"/>
      <c r="N3747" s="18"/>
      <c r="O3747" s="18"/>
      <c r="P3747" s="18"/>
      <c r="Q3747" s="18"/>
    </row>
    <row r="3748" spans="1:17">
      <c r="A3748" s="18"/>
      <c r="B3748" s="18"/>
      <c r="C3748" s="18"/>
      <c r="D3748" s="18"/>
      <c r="E3748" s="18"/>
      <c r="F3748" s="18"/>
      <c r="G3748" s="18"/>
      <c r="H3748" s="18"/>
      <c r="I3748" s="18"/>
      <c r="J3748" s="18"/>
      <c r="K3748" s="18"/>
      <c r="L3748" s="18"/>
      <c r="M3748" s="18"/>
      <c r="N3748" s="18"/>
      <c r="O3748" s="18"/>
      <c r="P3748" s="18"/>
      <c r="Q3748" s="18"/>
    </row>
    <row r="3749" spans="1:17">
      <c r="A3749" s="18"/>
      <c r="B3749" s="18"/>
      <c r="C3749" s="18"/>
      <c r="D3749" s="18"/>
      <c r="E3749" s="18"/>
      <c r="F3749" s="18"/>
      <c r="G3749" s="18"/>
      <c r="H3749" s="18"/>
      <c r="I3749" s="18"/>
      <c r="J3749" s="18"/>
      <c r="K3749" s="18"/>
      <c r="L3749" s="18"/>
      <c r="M3749" s="18"/>
      <c r="N3749" s="18"/>
      <c r="O3749" s="18"/>
      <c r="P3749" s="18"/>
      <c r="Q3749" s="18"/>
    </row>
    <row r="3750" spans="1:17">
      <c r="A3750" s="18"/>
      <c r="B3750" s="18"/>
      <c r="C3750" s="18"/>
      <c r="D3750" s="18"/>
      <c r="E3750" s="18"/>
      <c r="F3750" s="18"/>
      <c r="G3750" s="18"/>
      <c r="H3750" s="18"/>
      <c r="I3750" s="18"/>
      <c r="J3750" s="18"/>
      <c r="K3750" s="18"/>
      <c r="L3750" s="18"/>
      <c r="M3750" s="18"/>
      <c r="N3750" s="18"/>
      <c r="O3750" s="18"/>
      <c r="P3750" s="18"/>
      <c r="Q3750" s="18"/>
    </row>
    <row r="3751" spans="1:17">
      <c r="A3751" s="18"/>
      <c r="B3751" s="18"/>
      <c r="C3751" s="18"/>
      <c r="D3751" s="18"/>
      <c r="E3751" s="18"/>
      <c r="F3751" s="18"/>
      <c r="G3751" s="18"/>
      <c r="H3751" s="18"/>
      <c r="I3751" s="18"/>
      <c r="J3751" s="18"/>
      <c r="K3751" s="18"/>
      <c r="L3751" s="18"/>
      <c r="M3751" s="18"/>
      <c r="N3751" s="18"/>
      <c r="O3751" s="18"/>
      <c r="P3751" s="18"/>
      <c r="Q3751" s="18"/>
    </row>
    <row r="3752" spans="1:17">
      <c r="A3752" s="18"/>
      <c r="B3752" s="18"/>
      <c r="C3752" s="18"/>
      <c r="D3752" s="18"/>
      <c r="E3752" s="18"/>
      <c r="F3752" s="18"/>
      <c r="G3752" s="18"/>
      <c r="H3752" s="18"/>
      <c r="I3752" s="18"/>
      <c r="J3752" s="18"/>
      <c r="K3752" s="18"/>
      <c r="L3752" s="18"/>
      <c r="M3752" s="18"/>
      <c r="N3752" s="18"/>
      <c r="O3752" s="18"/>
      <c r="P3752" s="18"/>
      <c r="Q3752" s="18"/>
    </row>
    <row r="3753" spans="1:17">
      <c r="A3753" s="18"/>
      <c r="B3753" s="18"/>
      <c r="C3753" s="18"/>
      <c r="D3753" s="18"/>
      <c r="E3753" s="18"/>
      <c r="F3753" s="18"/>
      <c r="G3753" s="18"/>
      <c r="H3753" s="18"/>
      <c r="I3753" s="18"/>
      <c r="J3753" s="18"/>
      <c r="K3753" s="18"/>
      <c r="L3753" s="18"/>
      <c r="M3753" s="18"/>
      <c r="N3753" s="18"/>
      <c r="O3753" s="18"/>
      <c r="P3753" s="18"/>
      <c r="Q3753" s="18"/>
    </row>
    <row r="3754" spans="1:17">
      <c r="A3754" s="18"/>
      <c r="B3754" s="18"/>
      <c r="C3754" s="18"/>
      <c r="D3754" s="18"/>
      <c r="E3754" s="18"/>
      <c r="F3754" s="18"/>
      <c r="G3754" s="18"/>
      <c r="H3754" s="18"/>
      <c r="I3754" s="18"/>
      <c r="J3754" s="18"/>
      <c r="K3754" s="18"/>
      <c r="L3754" s="18"/>
      <c r="M3754" s="18"/>
      <c r="N3754" s="18"/>
      <c r="O3754" s="18"/>
      <c r="P3754" s="18"/>
      <c r="Q3754" s="18"/>
    </row>
    <row r="3755" spans="1:17">
      <c r="A3755" s="18"/>
      <c r="B3755" s="18"/>
      <c r="C3755" s="18"/>
      <c r="D3755" s="18"/>
      <c r="E3755" s="18"/>
      <c r="F3755" s="18"/>
      <c r="G3755" s="18"/>
      <c r="H3755" s="18"/>
      <c r="I3755" s="18"/>
      <c r="J3755" s="18"/>
      <c r="K3755" s="18"/>
      <c r="L3755" s="18"/>
      <c r="M3755" s="18"/>
      <c r="N3755" s="18"/>
      <c r="O3755" s="18"/>
      <c r="P3755" s="18"/>
      <c r="Q3755" s="18"/>
    </row>
    <row r="3756" spans="1:17">
      <c r="A3756" s="18"/>
      <c r="B3756" s="18"/>
      <c r="C3756" s="18"/>
      <c r="D3756" s="18"/>
      <c r="E3756" s="18"/>
      <c r="F3756" s="18"/>
      <c r="G3756" s="18"/>
      <c r="H3756" s="18"/>
      <c r="I3756" s="18"/>
      <c r="J3756" s="18"/>
      <c r="K3756" s="18"/>
      <c r="L3756" s="18"/>
      <c r="M3756" s="18"/>
      <c r="N3756" s="18"/>
      <c r="O3756" s="18"/>
      <c r="P3756" s="18"/>
      <c r="Q3756" s="18"/>
    </row>
    <row r="3757" spans="1:17">
      <c r="A3757" s="18"/>
      <c r="B3757" s="18"/>
      <c r="C3757" s="18"/>
      <c r="D3757" s="18"/>
      <c r="E3757" s="18"/>
      <c r="F3757" s="18"/>
      <c r="G3757" s="18"/>
      <c r="H3757" s="18"/>
      <c r="I3757" s="18"/>
      <c r="J3757" s="18"/>
      <c r="K3757" s="18"/>
      <c r="L3757" s="18"/>
      <c r="M3757" s="18"/>
      <c r="N3757" s="18"/>
      <c r="O3757" s="18"/>
      <c r="P3757" s="18"/>
      <c r="Q3757" s="18"/>
    </row>
    <row r="3758" spans="1:17">
      <c r="A3758" s="18"/>
      <c r="B3758" s="18"/>
      <c r="C3758" s="18"/>
      <c r="D3758" s="18"/>
      <c r="E3758" s="18"/>
      <c r="F3758" s="18"/>
      <c r="G3758" s="18"/>
      <c r="H3758" s="18"/>
      <c r="I3758" s="18"/>
      <c r="J3758" s="18"/>
      <c r="K3758" s="18"/>
      <c r="L3758" s="18"/>
      <c r="M3758" s="18"/>
      <c r="N3758" s="18"/>
      <c r="O3758" s="18"/>
      <c r="P3758" s="18"/>
      <c r="Q3758" s="18"/>
    </row>
    <row r="3759" spans="1:17">
      <c r="A3759" s="18"/>
      <c r="B3759" s="18"/>
      <c r="C3759" s="18"/>
      <c r="D3759" s="18"/>
      <c r="E3759" s="18"/>
      <c r="F3759" s="18"/>
      <c r="G3759" s="18"/>
      <c r="H3759" s="18"/>
      <c r="I3759" s="18"/>
      <c r="J3759" s="18"/>
      <c r="K3759" s="18"/>
      <c r="L3759" s="18"/>
      <c r="M3759" s="18"/>
      <c r="N3759" s="18"/>
      <c r="O3759" s="18"/>
      <c r="P3759" s="18"/>
      <c r="Q3759" s="18"/>
    </row>
    <row r="3760" spans="1:17">
      <c r="A3760" s="18"/>
      <c r="B3760" s="18"/>
      <c r="C3760" s="18"/>
      <c r="D3760" s="18"/>
      <c r="E3760" s="18"/>
      <c r="F3760" s="18"/>
      <c r="G3760" s="18"/>
      <c r="H3760" s="18"/>
      <c r="I3760" s="18"/>
      <c r="J3760" s="18"/>
      <c r="K3760" s="18"/>
      <c r="L3760" s="18"/>
      <c r="M3760" s="18"/>
      <c r="N3760" s="18"/>
      <c r="O3760" s="18"/>
      <c r="P3760" s="18"/>
      <c r="Q3760" s="18"/>
    </row>
    <row r="3761" spans="1:17">
      <c r="A3761" s="18"/>
      <c r="B3761" s="18"/>
      <c r="C3761" s="18"/>
      <c r="D3761" s="18"/>
      <c r="E3761" s="18"/>
      <c r="F3761" s="18"/>
      <c r="G3761" s="18"/>
      <c r="H3761" s="18"/>
      <c r="I3761" s="18"/>
      <c r="J3761" s="18"/>
      <c r="K3761" s="18"/>
      <c r="L3761" s="18"/>
      <c r="M3761" s="18"/>
      <c r="N3761" s="18"/>
      <c r="O3761" s="18"/>
      <c r="P3761" s="18"/>
      <c r="Q3761" s="18"/>
    </row>
    <row r="3762" spans="1:17">
      <c r="A3762" s="18"/>
      <c r="B3762" s="18"/>
      <c r="C3762" s="18"/>
      <c r="D3762" s="18"/>
      <c r="E3762" s="18"/>
      <c r="F3762" s="18"/>
      <c r="G3762" s="18"/>
      <c r="H3762" s="18"/>
      <c r="I3762" s="18"/>
      <c r="J3762" s="18"/>
      <c r="K3762" s="18"/>
      <c r="L3762" s="18"/>
      <c r="M3762" s="18"/>
      <c r="N3762" s="18"/>
      <c r="O3762" s="18"/>
      <c r="P3762" s="18"/>
      <c r="Q3762" s="18"/>
    </row>
    <row r="3763" spans="1:17">
      <c r="A3763" s="18"/>
      <c r="B3763" s="18"/>
      <c r="C3763" s="18"/>
      <c r="D3763" s="18"/>
      <c r="E3763" s="18"/>
      <c r="F3763" s="18"/>
      <c r="G3763" s="18"/>
      <c r="H3763" s="18"/>
      <c r="I3763" s="18"/>
      <c r="J3763" s="18"/>
      <c r="K3763" s="18"/>
      <c r="L3763" s="18"/>
      <c r="M3763" s="18"/>
      <c r="N3763" s="18"/>
      <c r="O3763" s="18"/>
      <c r="P3763" s="18"/>
      <c r="Q3763" s="18"/>
    </row>
    <row r="3764" spans="1:17">
      <c r="A3764" s="18"/>
      <c r="B3764" s="18"/>
      <c r="C3764" s="18"/>
      <c r="D3764" s="18"/>
      <c r="E3764" s="18"/>
      <c r="F3764" s="18"/>
      <c r="G3764" s="18"/>
      <c r="H3764" s="18"/>
      <c r="I3764" s="18"/>
      <c r="J3764" s="18"/>
      <c r="K3764" s="18"/>
      <c r="L3764" s="18"/>
      <c r="M3764" s="18"/>
      <c r="N3764" s="18"/>
      <c r="O3764" s="18"/>
      <c r="P3764" s="18"/>
      <c r="Q3764" s="18"/>
    </row>
    <row r="3765" spans="1:17">
      <c r="A3765" s="18"/>
      <c r="B3765" s="18"/>
      <c r="C3765" s="18"/>
      <c r="D3765" s="18"/>
      <c r="E3765" s="18"/>
      <c r="F3765" s="18"/>
      <c r="G3765" s="18"/>
      <c r="H3765" s="18"/>
      <c r="I3765" s="18"/>
      <c r="J3765" s="18"/>
      <c r="K3765" s="18"/>
      <c r="L3765" s="18"/>
      <c r="M3765" s="18"/>
      <c r="N3765" s="18"/>
      <c r="O3765" s="18"/>
      <c r="P3765" s="18"/>
      <c r="Q3765" s="18"/>
    </row>
    <row r="3766" spans="1:17">
      <c r="A3766" s="18"/>
      <c r="B3766" s="18"/>
      <c r="C3766" s="18"/>
      <c r="D3766" s="18"/>
      <c r="E3766" s="18"/>
      <c r="F3766" s="18"/>
      <c r="G3766" s="18"/>
      <c r="H3766" s="18"/>
      <c r="I3766" s="18"/>
      <c r="J3766" s="18"/>
      <c r="K3766" s="18"/>
      <c r="L3766" s="18"/>
      <c r="M3766" s="18"/>
      <c r="N3766" s="18"/>
      <c r="O3766" s="18"/>
      <c r="P3766" s="18"/>
      <c r="Q3766" s="18"/>
    </row>
    <row r="3767" spans="1:17">
      <c r="A3767" s="18"/>
      <c r="B3767" s="18"/>
      <c r="C3767" s="18"/>
      <c r="D3767" s="18"/>
      <c r="E3767" s="18"/>
      <c r="F3767" s="18"/>
      <c r="G3767" s="18"/>
      <c r="H3767" s="18"/>
      <c r="I3767" s="18"/>
      <c r="J3767" s="18"/>
      <c r="K3767" s="18"/>
      <c r="L3767" s="18"/>
      <c r="M3767" s="18"/>
      <c r="N3767" s="18"/>
      <c r="O3767" s="18"/>
      <c r="P3767" s="18"/>
      <c r="Q3767" s="18"/>
    </row>
    <row r="3768" spans="1:17">
      <c r="A3768" s="18"/>
      <c r="B3768" s="18"/>
      <c r="C3768" s="18"/>
      <c r="D3768" s="18"/>
      <c r="E3768" s="18"/>
      <c r="F3768" s="18"/>
      <c r="G3768" s="18"/>
      <c r="H3768" s="18"/>
      <c r="I3768" s="18"/>
      <c r="J3768" s="18"/>
      <c r="K3768" s="18"/>
      <c r="L3768" s="18"/>
      <c r="M3768" s="18"/>
      <c r="N3768" s="18"/>
      <c r="O3768" s="18"/>
      <c r="P3768" s="18"/>
      <c r="Q3768" s="18"/>
    </row>
    <row r="3769" spans="1:17">
      <c r="A3769" s="18"/>
      <c r="B3769" s="18"/>
      <c r="C3769" s="18"/>
      <c r="D3769" s="18"/>
      <c r="E3769" s="18"/>
      <c r="F3769" s="18"/>
      <c r="G3769" s="18"/>
      <c r="H3769" s="18"/>
      <c r="I3769" s="18"/>
      <c r="J3769" s="18"/>
      <c r="K3769" s="18"/>
      <c r="L3769" s="18"/>
      <c r="M3769" s="18"/>
      <c r="N3769" s="18"/>
      <c r="O3769" s="18"/>
      <c r="P3769" s="18"/>
      <c r="Q3769" s="18"/>
    </row>
    <row r="3770" spans="1:17">
      <c r="A3770" s="18"/>
      <c r="B3770" s="18"/>
      <c r="C3770" s="18"/>
      <c r="D3770" s="18"/>
      <c r="E3770" s="18"/>
      <c r="F3770" s="18"/>
      <c r="G3770" s="18"/>
      <c r="H3770" s="18"/>
      <c r="I3770" s="18"/>
      <c r="J3770" s="18"/>
      <c r="K3770" s="18"/>
      <c r="L3770" s="18"/>
      <c r="M3770" s="18"/>
      <c r="N3770" s="18"/>
      <c r="O3770" s="18"/>
      <c r="P3770" s="18"/>
      <c r="Q3770" s="18"/>
    </row>
    <row r="3771" spans="1:17">
      <c r="A3771" s="18"/>
      <c r="B3771" s="18"/>
      <c r="C3771" s="18"/>
      <c r="D3771" s="18"/>
      <c r="E3771" s="18"/>
      <c r="F3771" s="18"/>
      <c r="G3771" s="18"/>
      <c r="H3771" s="18"/>
      <c r="I3771" s="18"/>
      <c r="J3771" s="18"/>
      <c r="K3771" s="18"/>
      <c r="L3771" s="18"/>
      <c r="M3771" s="18"/>
      <c r="N3771" s="18"/>
      <c r="O3771" s="18"/>
      <c r="P3771" s="18"/>
      <c r="Q3771" s="18"/>
    </row>
    <row r="3772" spans="1:17">
      <c r="A3772" s="18"/>
      <c r="B3772" s="18"/>
      <c r="C3772" s="18"/>
      <c r="D3772" s="18"/>
      <c r="E3772" s="18"/>
      <c r="F3772" s="18"/>
      <c r="G3772" s="18"/>
      <c r="H3772" s="18"/>
      <c r="I3772" s="18"/>
      <c r="J3772" s="18"/>
      <c r="K3772" s="18"/>
      <c r="L3772" s="18"/>
      <c r="M3772" s="18"/>
      <c r="N3772" s="18"/>
      <c r="O3772" s="18"/>
      <c r="P3772" s="18"/>
      <c r="Q3772" s="18"/>
    </row>
    <row r="3773" spans="1:17">
      <c r="A3773" s="18"/>
      <c r="B3773" s="18"/>
      <c r="C3773" s="18"/>
      <c r="D3773" s="18"/>
      <c r="E3773" s="18"/>
      <c r="F3773" s="18"/>
      <c r="G3773" s="18"/>
      <c r="H3773" s="18"/>
      <c r="I3773" s="18"/>
      <c r="J3773" s="18"/>
      <c r="K3773" s="18"/>
      <c r="L3773" s="18"/>
      <c r="M3773" s="18"/>
      <c r="N3773" s="18"/>
      <c r="O3773" s="18"/>
      <c r="P3773" s="18"/>
      <c r="Q3773" s="18"/>
    </row>
    <row r="3774" spans="1:17">
      <c r="A3774" s="18"/>
      <c r="B3774" s="18"/>
      <c r="C3774" s="18"/>
      <c r="D3774" s="18"/>
      <c r="E3774" s="18"/>
      <c r="F3774" s="18"/>
      <c r="G3774" s="18"/>
      <c r="H3774" s="18"/>
      <c r="I3774" s="18"/>
      <c r="J3774" s="18"/>
      <c r="K3774" s="18"/>
      <c r="L3774" s="18"/>
      <c r="M3774" s="18"/>
      <c r="N3774" s="18"/>
      <c r="O3774" s="18"/>
      <c r="P3774" s="18"/>
      <c r="Q3774" s="18"/>
    </row>
    <row r="3775" spans="1:17">
      <c r="A3775" s="18"/>
      <c r="B3775" s="18"/>
      <c r="C3775" s="18"/>
      <c r="D3775" s="18"/>
      <c r="E3775" s="18"/>
      <c r="F3775" s="18"/>
      <c r="G3775" s="18"/>
      <c r="H3775" s="18"/>
      <c r="I3775" s="18"/>
      <c r="J3775" s="18"/>
      <c r="K3775" s="18"/>
      <c r="L3775" s="18"/>
      <c r="M3775" s="18"/>
      <c r="N3775" s="18"/>
      <c r="O3775" s="18"/>
      <c r="P3775" s="18"/>
      <c r="Q3775" s="18"/>
    </row>
    <row r="3776" spans="1:17">
      <c r="A3776" s="18"/>
      <c r="B3776" s="18"/>
      <c r="C3776" s="18"/>
      <c r="D3776" s="18"/>
      <c r="E3776" s="18"/>
      <c r="F3776" s="18"/>
      <c r="G3776" s="18"/>
      <c r="H3776" s="18"/>
      <c r="I3776" s="18"/>
      <c r="J3776" s="18"/>
      <c r="K3776" s="18"/>
      <c r="L3776" s="18"/>
      <c r="M3776" s="18"/>
      <c r="N3776" s="18"/>
      <c r="O3776" s="18"/>
      <c r="P3776" s="18"/>
      <c r="Q3776" s="18"/>
    </row>
    <row r="3777" spans="1:17">
      <c r="A3777" s="18"/>
      <c r="B3777" s="18"/>
      <c r="C3777" s="18"/>
      <c r="D3777" s="18"/>
      <c r="E3777" s="18"/>
      <c r="F3777" s="18"/>
      <c r="G3777" s="18"/>
      <c r="H3777" s="18"/>
      <c r="I3777" s="18"/>
      <c r="J3777" s="18"/>
      <c r="K3777" s="18"/>
      <c r="L3777" s="18"/>
      <c r="M3777" s="18"/>
      <c r="N3777" s="18"/>
      <c r="O3777" s="18"/>
      <c r="P3777" s="18"/>
      <c r="Q3777" s="18"/>
    </row>
    <row r="3778" spans="1:17">
      <c r="A3778" s="18"/>
      <c r="B3778" s="18"/>
      <c r="C3778" s="18"/>
      <c r="D3778" s="18"/>
      <c r="E3778" s="18"/>
      <c r="F3778" s="18"/>
      <c r="G3778" s="18"/>
      <c r="H3778" s="18"/>
      <c r="I3778" s="18"/>
      <c r="J3778" s="18"/>
      <c r="K3778" s="18"/>
      <c r="L3778" s="18"/>
      <c r="M3778" s="18"/>
      <c r="N3778" s="18"/>
      <c r="O3778" s="18"/>
      <c r="P3778" s="18"/>
      <c r="Q3778" s="18"/>
    </row>
    <row r="3779" spans="1:17">
      <c r="A3779" s="18"/>
      <c r="B3779" s="18"/>
      <c r="C3779" s="18"/>
      <c r="D3779" s="18"/>
      <c r="E3779" s="18"/>
      <c r="F3779" s="18"/>
      <c r="G3779" s="18"/>
      <c r="H3779" s="18"/>
      <c r="I3779" s="18"/>
      <c r="J3779" s="18"/>
      <c r="K3779" s="18"/>
      <c r="L3779" s="18"/>
      <c r="M3779" s="18"/>
      <c r="N3779" s="18"/>
      <c r="O3779" s="18"/>
      <c r="P3779" s="18"/>
      <c r="Q3779" s="18"/>
    </row>
    <row r="3780" spans="1:17">
      <c r="A3780" s="18"/>
      <c r="B3780" s="18"/>
      <c r="C3780" s="18"/>
      <c r="D3780" s="18"/>
      <c r="E3780" s="18"/>
      <c r="F3780" s="18"/>
      <c r="G3780" s="18"/>
      <c r="H3780" s="18"/>
      <c r="I3780" s="18"/>
      <c r="J3780" s="18"/>
      <c r="K3780" s="18"/>
      <c r="L3780" s="18"/>
      <c r="M3780" s="18"/>
      <c r="N3780" s="18"/>
      <c r="O3780" s="18"/>
      <c r="P3780" s="18"/>
      <c r="Q3780" s="18"/>
    </row>
    <row r="3781" spans="1:17">
      <c r="A3781" s="18"/>
      <c r="B3781" s="18"/>
      <c r="C3781" s="18"/>
      <c r="D3781" s="18"/>
      <c r="E3781" s="18"/>
      <c r="F3781" s="18"/>
      <c r="G3781" s="18"/>
      <c r="H3781" s="18"/>
      <c r="I3781" s="18"/>
      <c r="J3781" s="18"/>
      <c r="K3781" s="18"/>
      <c r="L3781" s="18"/>
      <c r="M3781" s="18"/>
      <c r="N3781" s="18"/>
      <c r="O3781" s="18"/>
      <c r="P3781" s="18"/>
      <c r="Q3781" s="18"/>
    </row>
    <row r="3782" spans="1:17">
      <c r="A3782" s="18"/>
      <c r="B3782" s="18"/>
      <c r="C3782" s="18"/>
      <c r="D3782" s="18"/>
      <c r="E3782" s="18"/>
      <c r="F3782" s="18"/>
      <c r="G3782" s="18"/>
      <c r="H3782" s="18"/>
      <c r="I3782" s="18"/>
      <c r="J3782" s="18"/>
      <c r="K3782" s="18"/>
      <c r="L3782" s="18"/>
      <c r="M3782" s="18"/>
      <c r="N3782" s="18"/>
      <c r="O3782" s="18"/>
      <c r="P3782" s="18"/>
      <c r="Q3782" s="18"/>
    </row>
    <row r="3783" spans="1:17">
      <c r="A3783" s="18"/>
      <c r="B3783" s="18"/>
      <c r="C3783" s="18"/>
      <c r="D3783" s="18"/>
      <c r="E3783" s="18"/>
      <c r="F3783" s="18"/>
      <c r="G3783" s="18"/>
      <c r="H3783" s="18"/>
      <c r="I3783" s="18"/>
      <c r="J3783" s="18"/>
      <c r="K3783" s="18"/>
      <c r="L3783" s="18"/>
      <c r="M3783" s="18"/>
      <c r="N3783" s="18"/>
      <c r="O3783" s="18"/>
      <c r="P3783" s="18"/>
      <c r="Q3783" s="18"/>
    </row>
    <row r="3784" spans="1:17">
      <c r="A3784" s="18"/>
      <c r="B3784" s="18"/>
      <c r="C3784" s="18"/>
      <c r="D3784" s="18"/>
      <c r="E3784" s="18"/>
      <c r="F3784" s="18"/>
      <c r="G3784" s="18"/>
      <c r="H3784" s="18"/>
      <c r="I3784" s="18"/>
      <c r="J3784" s="18"/>
      <c r="K3784" s="18"/>
      <c r="L3784" s="18"/>
      <c r="M3784" s="18"/>
      <c r="N3784" s="18"/>
      <c r="O3784" s="18"/>
      <c r="P3784" s="18"/>
      <c r="Q3784" s="18"/>
    </row>
    <row r="3785" spans="1:17">
      <c r="A3785" s="18"/>
      <c r="B3785" s="18"/>
      <c r="C3785" s="18"/>
      <c r="D3785" s="18"/>
      <c r="E3785" s="18"/>
      <c r="F3785" s="18"/>
      <c r="G3785" s="18"/>
      <c r="H3785" s="18"/>
      <c r="I3785" s="18"/>
      <c r="J3785" s="18"/>
      <c r="K3785" s="18"/>
      <c r="L3785" s="18"/>
      <c r="M3785" s="18"/>
      <c r="N3785" s="18"/>
      <c r="O3785" s="18"/>
      <c r="P3785" s="18"/>
      <c r="Q3785" s="18"/>
    </row>
    <row r="3786" spans="1:17">
      <c r="A3786" s="18"/>
      <c r="B3786" s="18"/>
      <c r="C3786" s="18"/>
      <c r="D3786" s="18"/>
      <c r="E3786" s="18"/>
      <c r="F3786" s="18"/>
      <c r="G3786" s="18"/>
      <c r="H3786" s="18"/>
      <c r="I3786" s="18"/>
      <c r="J3786" s="18"/>
      <c r="K3786" s="18"/>
      <c r="L3786" s="18"/>
      <c r="M3786" s="18"/>
      <c r="N3786" s="18"/>
      <c r="O3786" s="18"/>
      <c r="P3786" s="18"/>
      <c r="Q3786" s="18"/>
    </row>
    <row r="3787" spans="1:17">
      <c r="A3787" s="18"/>
      <c r="B3787" s="18"/>
      <c r="C3787" s="18"/>
      <c r="D3787" s="18"/>
      <c r="E3787" s="18"/>
      <c r="F3787" s="18"/>
      <c r="G3787" s="18"/>
      <c r="H3787" s="18"/>
      <c r="I3787" s="18"/>
      <c r="J3787" s="18"/>
      <c r="K3787" s="18"/>
      <c r="L3787" s="18"/>
      <c r="M3787" s="18"/>
      <c r="N3787" s="18"/>
      <c r="O3787" s="18"/>
      <c r="P3787" s="18"/>
      <c r="Q3787" s="18"/>
    </row>
    <row r="3788" spans="1:17">
      <c r="A3788" s="18"/>
      <c r="B3788" s="18"/>
      <c r="C3788" s="18"/>
      <c r="D3788" s="18"/>
      <c r="E3788" s="18"/>
      <c r="F3788" s="18"/>
      <c r="G3788" s="18"/>
      <c r="H3788" s="18"/>
      <c r="I3788" s="18"/>
      <c r="J3788" s="18"/>
      <c r="K3788" s="18"/>
      <c r="L3788" s="18"/>
      <c r="M3788" s="18"/>
      <c r="N3788" s="18"/>
      <c r="O3788" s="18"/>
      <c r="P3788" s="18"/>
      <c r="Q3788" s="18"/>
    </row>
    <row r="3789" spans="1:17">
      <c r="A3789" s="18"/>
      <c r="B3789" s="18"/>
      <c r="C3789" s="18"/>
      <c r="D3789" s="18"/>
      <c r="E3789" s="18"/>
      <c r="F3789" s="18"/>
      <c r="G3789" s="18"/>
      <c r="H3789" s="18"/>
      <c r="I3789" s="18"/>
      <c r="J3789" s="18"/>
      <c r="K3789" s="18"/>
      <c r="L3789" s="18"/>
      <c r="M3789" s="18"/>
      <c r="N3789" s="18"/>
      <c r="O3789" s="18"/>
      <c r="P3789" s="18"/>
      <c r="Q3789" s="18"/>
    </row>
    <row r="3790" spans="1:17">
      <c r="A3790" s="18"/>
      <c r="B3790" s="18"/>
      <c r="C3790" s="18"/>
      <c r="D3790" s="18"/>
      <c r="E3790" s="18"/>
      <c r="F3790" s="18"/>
      <c r="G3790" s="18"/>
      <c r="H3790" s="18"/>
      <c r="I3790" s="18"/>
      <c r="J3790" s="18"/>
      <c r="K3790" s="18"/>
      <c r="L3790" s="18"/>
      <c r="M3790" s="18"/>
      <c r="N3790" s="18"/>
      <c r="O3790" s="18"/>
      <c r="P3790" s="18"/>
      <c r="Q3790" s="18"/>
    </row>
    <row r="3791" spans="1:17">
      <c r="A3791" s="18"/>
      <c r="B3791" s="18"/>
      <c r="C3791" s="18"/>
      <c r="D3791" s="18"/>
      <c r="E3791" s="18"/>
      <c r="F3791" s="18"/>
      <c r="G3791" s="18"/>
      <c r="H3791" s="18"/>
      <c r="I3791" s="18"/>
      <c r="J3791" s="18"/>
      <c r="K3791" s="18"/>
      <c r="L3791" s="18"/>
      <c r="M3791" s="18"/>
      <c r="N3791" s="18"/>
      <c r="O3791" s="18"/>
      <c r="P3791" s="18"/>
      <c r="Q3791" s="18"/>
    </row>
    <row r="3792" spans="1:17">
      <c r="A3792" s="18"/>
      <c r="B3792" s="18"/>
      <c r="C3792" s="18"/>
      <c r="D3792" s="18"/>
      <c r="E3792" s="18"/>
      <c r="F3792" s="18"/>
      <c r="G3792" s="18"/>
      <c r="H3792" s="18"/>
      <c r="I3792" s="18"/>
      <c r="J3792" s="18"/>
      <c r="K3792" s="18"/>
      <c r="L3792" s="18"/>
      <c r="M3792" s="18"/>
      <c r="N3792" s="18"/>
      <c r="O3792" s="18"/>
      <c r="P3792" s="18"/>
      <c r="Q3792" s="18"/>
    </row>
    <row r="3793" spans="1:17">
      <c r="A3793" s="18"/>
      <c r="B3793" s="18"/>
      <c r="C3793" s="18"/>
      <c r="D3793" s="18"/>
      <c r="E3793" s="18"/>
      <c r="F3793" s="18"/>
      <c r="G3793" s="18"/>
      <c r="H3793" s="18"/>
      <c r="I3793" s="18"/>
      <c r="J3793" s="18"/>
      <c r="K3793" s="18"/>
      <c r="L3793" s="18"/>
      <c r="M3793" s="18"/>
      <c r="N3793" s="18"/>
      <c r="O3793" s="18"/>
      <c r="P3793" s="18"/>
      <c r="Q3793" s="18"/>
    </row>
    <row r="3794" spans="1:17">
      <c r="A3794" s="18"/>
      <c r="B3794" s="18"/>
      <c r="C3794" s="18"/>
      <c r="D3794" s="18"/>
      <c r="E3794" s="18"/>
      <c r="F3794" s="18"/>
      <c r="G3794" s="18"/>
      <c r="H3794" s="18"/>
      <c r="I3794" s="18"/>
      <c r="J3794" s="18"/>
      <c r="K3794" s="18"/>
      <c r="L3794" s="18"/>
      <c r="M3794" s="18"/>
      <c r="N3794" s="18"/>
      <c r="O3794" s="18"/>
      <c r="P3794" s="18"/>
      <c r="Q3794" s="18"/>
    </row>
    <row r="3795" spans="1:17">
      <c r="A3795" s="18"/>
      <c r="B3795" s="18"/>
      <c r="C3795" s="18"/>
      <c r="D3795" s="18"/>
      <c r="E3795" s="18"/>
      <c r="F3795" s="18"/>
      <c r="G3795" s="18"/>
      <c r="H3795" s="18"/>
      <c r="I3795" s="18"/>
      <c r="J3795" s="18"/>
      <c r="K3795" s="18"/>
      <c r="L3795" s="18"/>
      <c r="M3795" s="18"/>
      <c r="N3795" s="18"/>
      <c r="O3795" s="18"/>
      <c r="P3795" s="18"/>
      <c r="Q3795" s="18"/>
    </row>
    <row r="3796" spans="1:17">
      <c r="A3796" s="18"/>
      <c r="B3796" s="18"/>
      <c r="C3796" s="18"/>
      <c r="D3796" s="18"/>
      <c r="E3796" s="18"/>
      <c r="F3796" s="18"/>
      <c r="G3796" s="18"/>
      <c r="H3796" s="18"/>
      <c r="I3796" s="18"/>
      <c r="J3796" s="18"/>
      <c r="K3796" s="18"/>
      <c r="L3796" s="18"/>
      <c r="M3796" s="18"/>
      <c r="N3796" s="18"/>
      <c r="O3796" s="18"/>
      <c r="P3796" s="18"/>
      <c r="Q3796" s="18"/>
    </row>
    <row r="3797" spans="1:17">
      <c r="A3797" s="18"/>
      <c r="B3797" s="18"/>
      <c r="C3797" s="18"/>
      <c r="D3797" s="18"/>
      <c r="E3797" s="18"/>
      <c r="F3797" s="18"/>
      <c r="G3797" s="18"/>
      <c r="H3797" s="18"/>
      <c r="I3797" s="18"/>
      <c r="J3797" s="18"/>
      <c r="K3797" s="18"/>
      <c r="L3797" s="18"/>
      <c r="M3797" s="18"/>
      <c r="N3797" s="18"/>
      <c r="O3797" s="18"/>
      <c r="P3797" s="18"/>
      <c r="Q3797" s="18"/>
    </row>
    <row r="3798" spans="1:17">
      <c r="A3798" s="18"/>
      <c r="B3798" s="18"/>
      <c r="C3798" s="18"/>
      <c r="D3798" s="18"/>
      <c r="E3798" s="18"/>
      <c r="F3798" s="18"/>
      <c r="G3798" s="18"/>
      <c r="H3798" s="18"/>
      <c r="I3798" s="18"/>
      <c r="J3798" s="18"/>
      <c r="K3798" s="18"/>
      <c r="L3798" s="18"/>
      <c r="M3798" s="18"/>
      <c r="N3798" s="18"/>
      <c r="O3798" s="18"/>
      <c r="P3798" s="18"/>
      <c r="Q3798" s="18"/>
    </row>
    <row r="3799" spans="1:17">
      <c r="A3799" s="18"/>
      <c r="B3799" s="18"/>
      <c r="C3799" s="18"/>
      <c r="D3799" s="18"/>
      <c r="E3799" s="18"/>
      <c r="F3799" s="18"/>
      <c r="G3799" s="18"/>
      <c r="H3799" s="18"/>
      <c r="I3799" s="18"/>
      <c r="J3799" s="18"/>
      <c r="K3799" s="18"/>
      <c r="L3799" s="18"/>
      <c r="M3799" s="18"/>
      <c r="N3799" s="18"/>
      <c r="O3799" s="18"/>
      <c r="P3799" s="18"/>
      <c r="Q3799" s="18"/>
    </row>
    <row r="3800" spans="1:17">
      <c r="A3800" s="18"/>
      <c r="B3800" s="18"/>
      <c r="C3800" s="18"/>
      <c r="D3800" s="18"/>
      <c r="E3800" s="18"/>
      <c r="F3800" s="18"/>
      <c r="G3800" s="18"/>
      <c r="H3800" s="18"/>
      <c r="I3800" s="18"/>
      <c r="J3800" s="18"/>
      <c r="K3800" s="18"/>
      <c r="L3800" s="18"/>
      <c r="M3800" s="18"/>
      <c r="N3800" s="18"/>
      <c r="O3800" s="18"/>
      <c r="P3800" s="18"/>
      <c r="Q3800" s="18"/>
    </row>
    <row r="3801" spans="1:17">
      <c r="A3801" s="18"/>
      <c r="B3801" s="18"/>
      <c r="C3801" s="18"/>
      <c r="D3801" s="18"/>
      <c r="E3801" s="18"/>
      <c r="F3801" s="18"/>
      <c r="G3801" s="18"/>
      <c r="H3801" s="18"/>
      <c r="I3801" s="18"/>
      <c r="J3801" s="18"/>
      <c r="K3801" s="18"/>
      <c r="L3801" s="18"/>
      <c r="M3801" s="18"/>
      <c r="N3801" s="18"/>
      <c r="O3801" s="18"/>
      <c r="P3801" s="18"/>
      <c r="Q3801" s="18"/>
    </row>
    <row r="3802" spans="1:17">
      <c r="A3802" s="18"/>
      <c r="B3802" s="18"/>
      <c r="C3802" s="18"/>
      <c r="D3802" s="18"/>
      <c r="E3802" s="18"/>
      <c r="F3802" s="18"/>
      <c r="G3802" s="18"/>
      <c r="H3802" s="18"/>
      <c r="I3802" s="18"/>
      <c r="J3802" s="18"/>
      <c r="K3802" s="18"/>
      <c r="L3802" s="18"/>
      <c r="M3802" s="18"/>
      <c r="N3802" s="18"/>
      <c r="O3802" s="18"/>
      <c r="P3802" s="18"/>
      <c r="Q3802" s="18"/>
    </row>
    <row r="3803" spans="1:17">
      <c r="A3803" s="18"/>
      <c r="B3803" s="18"/>
      <c r="C3803" s="18"/>
      <c r="D3803" s="18"/>
      <c r="E3803" s="18"/>
      <c r="F3803" s="18"/>
      <c r="G3803" s="18"/>
      <c r="H3803" s="18"/>
      <c r="I3803" s="18"/>
      <c r="J3803" s="18"/>
      <c r="K3803" s="18"/>
      <c r="L3803" s="18"/>
      <c r="M3803" s="18"/>
      <c r="N3803" s="18"/>
      <c r="O3803" s="18"/>
      <c r="P3803" s="18"/>
      <c r="Q3803" s="18"/>
    </row>
    <row r="3804" spans="1:17">
      <c r="A3804" s="18"/>
      <c r="B3804" s="18"/>
      <c r="C3804" s="18"/>
      <c r="D3804" s="18"/>
      <c r="E3804" s="18"/>
      <c r="F3804" s="18"/>
      <c r="G3804" s="18"/>
      <c r="H3804" s="18"/>
      <c r="I3804" s="18"/>
      <c r="J3804" s="18"/>
      <c r="K3804" s="18"/>
      <c r="L3804" s="18"/>
      <c r="M3804" s="18"/>
      <c r="N3804" s="18"/>
      <c r="O3804" s="18"/>
      <c r="P3804" s="18"/>
      <c r="Q3804" s="18"/>
    </row>
    <row r="3805" spans="1:17">
      <c r="A3805" s="18"/>
      <c r="B3805" s="18"/>
      <c r="C3805" s="18"/>
      <c r="D3805" s="18"/>
      <c r="E3805" s="18"/>
      <c r="F3805" s="18"/>
      <c r="G3805" s="18"/>
      <c r="H3805" s="18"/>
      <c r="I3805" s="18"/>
      <c r="J3805" s="18"/>
      <c r="K3805" s="18"/>
      <c r="L3805" s="18"/>
      <c r="M3805" s="18"/>
      <c r="N3805" s="18"/>
      <c r="O3805" s="18"/>
      <c r="P3805" s="18"/>
      <c r="Q3805" s="18"/>
    </row>
    <row r="3806" spans="1:17">
      <c r="A3806" s="18"/>
      <c r="B3806" s="18"/>
      <c r="C3806" s="18"/>
      <c r="D3806" s="18"/>
      <c r="E3806" s="18"/>
      <c r="F3806" s="18"/>
      <c r="G3806" s="18"/>
      <c r="H3806" s="18"/>
      <c r="I3806" s="18"/>
      <c r="J3806" s="18"/>
      <c r="K3806" s="18"/>
      <c r="L3806" s="18"/>
      <c r="M3806" s="18"/>
      <c r="N3806" s="18"/>
      <c r="O3806" s="18"/>
      <c r="P3806" s="18"/>
      <c r="Q3806" s="18"/>
    </row>
    <row r="3807" spans="1:17">
      <c r="A3807" s="18"/>
      <c r="B3807" s="18"/>
      <c r="C3807" s="18"/>
      <c r="D3807" s="18"/>
      <c r="E3807" s="18"/>
      <c r="F3807" s="18"/>
      <c r="G3807" s="18"/>
      <c r="H3807" s="18"/>
      <c r="I3807" s="18"/>
      <c r="J3807" s="18"/>
      <c r="K3807" s="18"/>
      <c r="L3807" s="18"/>
      <c r="M3807" s="18"/>
      <c r="N3807" s="18"/>
      <c r="O3807" s="18"/>
      <c r="P3807" s="18"/>
      <c r="Q3807" s="18"/>
    </row>
    <row r="3808" spans="1:17">
      <c r="A3808" s="18"/>
      <c r="B3808" s="18"/>
      <c r="C3808" s="18"/>
      <c r="D3808" s="18"/>
      <c r="E3808" s="18"/>
      <c r="F3808" s="18"/>
      <c r="G3808" s="18"/>
      <c r="H3808" s="18"/>
      <c r="I3808" s="18"/>
      <c r="J3808" s="18"/>
      <c r="K3808" s="18"/>
      <c r="L3808" s="18"/>
      <c r="M3808" s="18"/>
      <c r="N3808" s="18"/>
      <c r="O3808" s="18"/>
      <c r="P3808" s="18"/>
      <c r="Q3808" s="18"/>
    </row>
    <row r="3809" spans="1:17">
      <c r="A3809" s="18"/>
      <c r="B3809" s="18"/>
      <c r="C3809" s="18"/>
      <c r="D3809" s="18"/>
      <c r="E3809" s="18"/>
      <c r="F3809" s="18"/>
      <c r="G3809" s="18"/>
      <c r="H3809" s="18"/>
      <c r="I3809" s="18"/>
      <c r="J3809" s="18"/>
      <c r="K3809" s="18"/>
      <c r="L3809" s="18"/>
      <c r="M3809" s="18"/>
      <c r="N3809" s="18"/>
      <c r="O3809" s="18"/>
      <c r="P3809" s="18"/>
      <c r="Q3809" s="18"/>
    </row>
    <row r="3810" spans="1:17">
      <c r="A3810" s="18"/>
      <c r="B3810" s="18"/>
      <c r="C3810" s="18"/>
      <c r="D3810" s="18"/>
      <c r="E3810" s="18"/>
      <c r="F3810" s="18"/>
      <c r="G3810" s="18"/>
      <c r="H3810" s="18"/>
      <c r="I3810" s="18"/>
      <c r="J3810" s="18"/>
      <c r="K3810" s="18"/>
      <c r="L3810" s="18"/>
      <c r="M3810" s="18"/>
      <c r="N3810" s="18"/>
      <c r="O3810" s="18"/>
      <c r="P3810" s="18"/>
      <c r="Q3810" s="18"/>
    </row>
    <row r="3811" spans="1:17">
      <c r="A3811" s="18"/>
      <c r="B3811" s="18"/>
      <c r="C3811" s="18"/>
      <c r="D3811" s="18"/>
      <c r="E3811" s="18"/>
      <c r="F3811" s="18"/>
      <c r="G3811" s="18"/>
      <c r="H3811" s="18"/>
      <c r="I3811" s="18"/>
      <c r="J3811" s="18"/>
      <c r="K3811" s="18"/>
      <c r="L3811" s="18"/>
      <c r="M3811" s="18"/>
      <c r="N3811" s="18"/>
      <c r="O3811" s="18"/>
      <c r="P3811" s="18"/>
      <c r="Q3811" s="18"/>
    </row>
    <row r="3812" spans="1:17">
      <c r="A3812" s="18"/>
      <c r="B3812" s="18"/>
      <c r="C3812" s="18"/>
      <c r="D3812" s="18"/>
      <c r="E3812" s="18"/>
      <c r="F3812" s="18"/>
      <c r="G3812" s="18"/>
      <c r="H3812" s="18"/>
      <c r="I3812" s="18"/>
      <c r="J3812" s="18"/>
      <c r="K3812" s="18"/>
      <c r="L3812" s="18"/>
      <c r="M3812" s="18"/>
      <c r="N3812" s="18"/>
      <c r="O3812" s="18"/>
      <c r="P3812" s="18"/>
      <c r="Q3812" s="18"/>
    </row>
    <row r="3813" spans="1:17">
      <c r="A3813" s="18"/>
      <c r="B3813" s="18"/>
      <c r="C3813" s="18"/>
      <c r="D3813" s="18"/>
      <c r="E3813" s="18"/>
      <c r="F3813" s="18"/>
      <c r="G3813" s="18"/>
      <c r="H3813" s="18"/>
      <c r="I3813" s="18"/>
      <c r="J3813" s="18"/>
      <c r="K3813" s="18"/>
      <c r="L3813" s="18"/>
      <c r="M3813" s="18"/>
      <c r="N3813" s="18"/>
      <c r="O3813" s="18"/>
      <c r="P3813" s="18"/>
      <c r="Q3813" s="18"/>
    </row>
    <row r="3814" spans="1:17">
      <c r="A3814" s="18"/>
      <c r="B3814" s="18"/>
      <c r="C3814" s="18"/>
      <c r="D3814" s="18"/>
      <c r="E3814" s="18"/>
      <c r="F3814" s="18"/>
      <c r="G3814" s="18"/>
      <c r="H3814" s="18"/>
      <c r="I3814" s="18"/>
      <c r="J3814" s="18"/>
      <c r="K3814" s="18"/>
      <c r="L3814" s="18"/>
      <c r="M3814" s="18"/>
      <c r="N3814" s="18"/>
      <c r="O3814" s="18"/>
      <c r="P3814" s="18"/>
      <c r="Q3814" s="18"/>
    </row>
    <row r="3815" spans="1:17">
      <c r="A3815" s="18"/>
      <c r="B3815" s="18"/>
      <c r="C3815" s="18"/>
      <c r="D3815" s="18"/>
      <c r="E3815" s="18"/>
      <c r="F3815" s="18"/>
      <c r="G3815" s="18"/>
      <c r="H3815" s="18"/>
      <c r="I3815" s="18"/>
      <c r="J3815" s="18"/>
      <c r="K3815" s="18"/>
      <c r="L3815" s="18"/>
      <c r="M3815" s="18"/>
      <c r="N3815" s="18"/>
      <c r="O3815" s="18"/>
      <c r="P3815" s="18"/>
      <c r="Q3815" s="18"/>
    </row>
    <row r="3816" spans="1:17">
      <c r="A3816" s="18"/>
      <c r="B3816" s="18"/>
      <c r="C3816" s="18"/>
      <c r="D3816" s="18"/>
      <c r="E3816" s="18"/>
      <c r="F3816" s="18"/>
      <c r="G3816" s="18"/>
      <c r="H3816" s="18"/>
      <c r="I3816" s="18"/>
      <c r="J3816" s="18"/>
      <c r="K3816" s="18"/>
      <c r="L3816" s="18"/>
      <c r="M3816" s="18"/>
      <c r="N3816" s="18"/>
      <c r="O3816" s="18"/>
      <c r="P3816" s="18"/>
      <c r="Q3816" s="18"/>
    </row>
    <row r="3817" spans="1:17">
      <c r="A3817" s="18"/>
      <c r="B3817" s="18"/>
      <c r="C3817" s="18"/>
      <c r="D3817" s="18"/>
      <c r="E3817" s="18"/>
      <c r="F3817" s="18"/>
      <c r="G3817" s="18"/>
      <c r="H3817" s="18"/>
      <c r="I3817" s="18"/>
      <c r="J3817" s="18"/>
      <c r="K3817" s="18"/>
      <c r="L3817" s="18"/>
      <c r="M3817" s="18"/>
      <c r="N3817" s="18"/>
      <c r="O3817" s="18"/>
      <c r="P3817" s="18"/>
      <c r="Q3817" s="18"/>
    </row>
    <row r="3818" spans="1:17">
      <c r="A3818" s="18"/>
      <c r="B3818" s="18"/>
      <c r="C3818" s="18"/>
      <c r="D3818" s="18"/>
      <c r="E3818" s="18"/>
      <c r="F3818" s="18"/>
      <c r="G3818" s="18"/>
      <c r="H3818" s="18"/>
      <c r="I3818" s="18"/>
      <c r="J3818" s="18"/>
      <c r="K3818" s="18"/>
      <c r="L3818" s="18"/>
      <c r="M3818" s="18"/>
      <c r="N3818" s="18"/>
      <c r="O3818" s="18"/>
      <c r="P3818" s="18"/>
      <c r="Q3818" s="18"/>
    </row>
    <row r="3819" spans="1:17">
      <c r="A3819" s="18"/>
      <c r="B3819" s="18"/>
      <c r="C3819" s="18"/>
      <c r="D3819" s="18"/>
      <c r="E3819" s="18"/>
      <c r="F3819" s="18"/>
      <c r="G3819" s="18"/>
      <c r="H3819" s="18"/>
      <c r="I3819" s="18"/>
      <c r="J3819" s="18"/>
      <c r="K3819" s="18"/>
      <c r="L3819" s="18"/>
      <c r="M3819" s="18"/>
      <c r="N3819" s="18"/>
      <c r="O3819" s="18"/>
      <c r="P3819" s="18"/>
      <c r="Q3819" s="18"/>
    </row>
    <row r="3820" spans="1:17">
      <c r="A3820" s="18"/>
      <c r="B3820" s="18"/>
      <c r="C3820" s="18"/>
      <c r="D3820" s="18"/>
      <c r="E3820" s="18"/>
      <c r="F3820" s="18"/>
      <c r="G3820" s="18"/>
      <c r="H3820" s="18"/>
      <c r="I3820" s="18"/>
      <c r="J3820" s="18"/>
      <c r="K3820" s="18"/>
      <c r="L3820" s="18"/>
      <c r="M3820" s="18"/>
      <c r="N3820" s="18"/>
      <c r="O3820" s="18"/>
      <c r="P3820" s="18"/>
      <c r="Q3820" s="18"/>
    </row>
    <row r="3821" spans="1:17">
      <c r="A3821" s="18"/>
      <c r="B3821" s="18"/>
      <c r="C3821" s="18"/>
      <c r="D3821" s="18"/>
      <c r="E3821" s="18"/>
      <c r="F3821" s="18"/>
      <c r="G3821" s="18"/>
      <c r="H3821" s="18"/>
      <c r="I3821" s="18"/>
      <c r="J3821" s="18"/>
      <c r="K3821" s="18"/>
      <c r="L3821" s="18"/>
      <c r="M3821" s="18"/>
      <c r="N3821" s="18"/>
      <c r="O3821" s="18"/>
      <c r="P3821" s="18"/>
      <c r="Q3821" s="18"/>
    </row>
    <row r="3822" spans="1:17">
      <c r="A3822" s="18"/>
      <c r="B3822" s="18"/>
      <c r="C3822" s="18"/>
      <c r="D3822" s="18"/>
      <c r="E3822" s="18"/>
      <c r="F3822" s="18"/>
      <c r="G3822" s="18"/>
      <c r="H3822" s="18"/>
      <c r="I3822" s="18"/>
      <c r="J3822" s="18"/>
      <c r="K3822" s="18"/>
      <c r="L3822" s="18"/>
      <c r="M3822" s="18"/>
      <c r="N3822" s="18"/>
      <c r="O3822" s="18"/>
      <c r="P3822" s="18"/>
      <c r="Q3822" s="18"/>
    </row>
    <row r="3823" spans="1:17">
      <c r="A3823" s="18"/>
      <c r="B3823" s="18"/>
      <c r="C3823" s="18"/>
      <c r="D3823" s="18"/>
      <c r="E3823" s="18"/>
      <c r="F3823" s="18"/>
      <c r="G3823" s="18"/>
      <c r="H3823" s="18"/>
      <c r="I3823" s="18"/>
      <c r="J3823" s="18"/>
      <c r="K3823" s="18"/>
      <c r="L3823" s="18"/>
      <c r="M3823" s="18"/>
      <c r="N3823" s="18"/>
      <c r="O3823" s="18"/>
      <c r="P3823" s="18"/>
      <c r="Q3823" s="18"/>
    </row>
    <row r="3824" spans="1:17">
      <c r="A3824" s="18"/>
      <c r="B3824" s="18"/>
      <c r="C3824" s="18"/>
      <c r="D3824" s="18"/>
      <c r="E3824" s="18"/>
      <c r="F3824" s="18"/>
      <c r="G3824" s="18"/>
      <c r="H3824" s="18"/>
      <c r="I3824" s="18"/>
      <c r="J3824" s="18"/>
      <c r="K3824" s="18"/>
      <c r="L3824" s="18"/>
      <c r="M3824" s="18"/>
      <c r="N3824" s="18"/>
      <c r="O3824" s="18"/>
      <c r="P3824" s="18"/>
      <c r="Q3824" s="18"/>
    </row>
    <row r="3825" spans="1:17">
      <c r="A3825" s="18"/>
      <c r="B3825" s="18"/>
      <c r="C3825" s="18"/>
      <c r="D3825" s="18"/>
      <c r="E3825" s="18"/>
      <c r="F3825" s="18"/>
      <c r="G3825" s="18"/>
      <c r="H3825" s="18"/>
      <c r="I3825" s="18"/>
      <c r="J3825" s="18"/>
      <c r="K3825" s="18"/>
      <c r="L3825" s="18"/>
      <c r="M3825" s="18"/>
      <c r="N3825" s="18"/>
      <c r="O3825" s="18"/>
      <c r="P3825" s="18"/>
      <c r="Q3825" s="18"/>
    </row>
    <row r="3826" spans="1:17">
      <c r="A3826" s="18"/>
      <c r="B3826" s="18"/>
      <c r="C3826" s="18"/>
      <c r="D3826" s="18"/>
      <c r="E3826" s="18"/>
      <c r="F3826" s="18"/>
      <c r="G3826" s="18"/>
      <c r="H3826" s="18"/>
      <c r="I3826" s="18"/>
      <c r="J3826" s="18"/>
      <c r="K3826" s="18"/>
      <c r="L3826" s="18"/>
      <c r="M3826" s="18"/>
      <c r="N3826" s="18"/>
      <c r="O3826" s="18"/>
      <c r="P3826" s="18"/>
      <c r="Q3826" s="18"/>
    </row>
    <row r="3827" spans="1:17">
      <c r="A3827" s="18"/>
      <c r="B3827" s="18"/>
      <c r="C3827" s="18"/>
      <c r="D3827" s="18"/>
      <c r="E3827" s="18"/>
      <c r="F3827" s="18"/>
      <c r="G3827" s="18"/>
      <c r="H3827" s="18"/>
      <c r="I3827" s="18"/>
      <c r="J3827" s="18"/>
      <c r="K3827" s="18"/>
      <c r="L3827" s="18"/>
      <c r="M3827" s="18"/>
      <c r="N3827" s="18"/>
      <c r="O3827" s="18"/>
      <c r="P3827" s="18"/>
      <c r="Q3827" s="18"/>
    </row>
    <row r="3828" spans="1:17">
      <c r="A3828" s="18"/>
      <c r="B3828" s="18"/>
      <c r="C3828" s="18"/>
      <c r="D3828" s="18"/>
      <c r="E3828" s="18"/>
      <c r="F3828" s="18"/>
      <c r="G3828" s="18"/>
      <c r="H3828" s="18"/>
      <c r="I3828" s="18"/>
      <c r="J3828" s="18"/>
      <c r="K3828" s="18"/>
      <c r="L3828" s="18"/>
      <c r="M3828" s="18"/>
      <c r="N3828" s="18"/>
      <c r="O3828" s="18"/>
      <c r="P3828" s="18"/>
      <c r="Q3828" s="18"/>
    </row>
    <row r="3829" spans="1:17">
      <c r="A3829" s="18"/>
      <c r="B3829" s="18"/>
      <c r="C3829" s="18"/>
      <c r="D3829" s="18"/>
      <c r="E3829" s="18"/>
      <c r="F3829" s="18"/>
      <c r="G3829" s="18"/>
      <c r="H3829" s="18"/>
      <c r="I3829" s="18"/>
      <c r="J3829" s="18"/>
      <c r="K3829" s="18"/>
      <c r="L3829" s="18"/>
      <c r="M3829" s="18"/>
      <c r="N3829" s="18"/>
      <c r="O3829" s="18"/>
      <c r="P3829" s="18"/>
      <c r="Q3829" s="18"/>
    </row>
    <row r="3830" spans="1:17">
      <c r="A3830" s="18"/>
      <c r="B3830" s="18"/>
      <c r="C3830" s="18"/>
      <c r="D3830" s="18"/>
      <c r="E3830" s="18"/>
      <c r="F3830" s="18"/>
      <c r="G3830" s="18"/>
      <c r="H3830" s="18"/>
      <c r="I3830" s="18"/>
      <c r="J3830" s="18"/>
      <c r="K3830" s="18"/>
      <c r="L3830" s="18"/>
      <c r="M3830" s="18"/>
      <c r="N3830" s="18"/>
      <c r="O3830" s="18"/>
      <c r="P3830" s="18"/>
      <c r="Q3830" s="18"/>
    </row>
    <row r="3831" spans="1:17">
      <c r="A3831" s="18"/>
      <c r="B3831" s="18"/>
      <c r="C3831" s="18"/>
      <c r="D3831" s="18"/>
      <c r="E3831" s="18"/>
      <c r="F3831" s="18"/>
      <c r="G3831" s="18"/>
      <c r="H3831" s="18"/>
      <c r="I3831" s="18"/>
      <c r="J3831" s="18"/>
      <c r="K3831" s="18"/>
      <c r="L3831" s="18"/>
      <c r="M3831" s="18"/>
      <c r="N3831" s="18"/>
      <c r="O3831" s="18"/>
      <c r="P3831" s="18"/>
      <c r="Q3831" s="18"/>
    </row>
    <row r="3832" spans="1:17">
      <c r="A3832" s="18"/>
      <c r="B3832" s="18"/>
      <c r="C3832" s="18"/>
      <c r="D3832" s="18"/>
      <c r="E3832" s="18"/>
      <c r="F3832" s="18"/>
      <c r="G3832" s="18"/>
      <c r="H3832" s="18"/>
      <c r="I3832" s="18"/>
      <c r="J3832" s="18"/>
      <c r="K3832" s="18"/>
      <c r="L3832" s="18"/>
      <c r="M3832" s="18"/>
      <c r="N3832" s="18"/>
      <c r="O3832" s="18"/>
      <c r="P3832" s="18"/>
      <c r="Q3832" s="18"/>
    </row>
    <row r="3833" spans="1:17">
      <c r="A3833" s="18"/>
      <c r="B3833" s="18"/>
      <c r="C3833" s="18"/>
      <c r="D3833" s="18"/>
      <c r="E3833" s="18"/>
      <c r="F3833" s="18"/>
      <c r="G3833" s="18"/>
      <c r="H3833" s="18"/>
      <c r="I3833" s="18"/>
      <c r="J3833" s="18"/>
      <c r="K3833" s="18"/>
      <c r="L3833" s="18"/>
      <c r="M3833" s="18"/>
      <c r="N3833" s="18"/>
      <c r="O3833" s="18"/>
      <c r="P3833" s="18"/>
      <c r="Q3833" s="18"/>
    </row>
    <row r="3834" spans="1:17">
      <c r="A3834" s="18"/>
      <c r="B3834" s="18"/>
      <c r="C3834" s="18"/>
      <c r="D3834" s="18"/>
      <c r="E3834" s="18"/>
      <c r="F3834" s="18"/>
      <c r="G3834" s="18"/>
      <c r="H3834" s="18"/>
      <c r="I3834" s="18"/>
      <c r="J3834" s="18"/>
      <c r="K3834" s="18"/>
      <c r="L3834" s="18"/>
      <c r="M3834" s="18"/>
      <c r="N3834" s="18"/>
      <c r="O3834" s="18"/>
      <c r="P3834" s="18"/>
      <c r="Q3834" s="18"/>
    </row>
    <row r="3835" spans="1:17">
      <c r="A3835" s="18"/>
      <c r="B3835" s="18"/>
      <c r="C3835" s="18"/>
      <c r="D3835" s="18"/>
      <c r="E3835" s="18"/>
      <c r="F3835" s="18"/>
      <c r="G3835" s="18"/>
      <c r="H3835" s="18"/>
      <c r="I3835" s="18"/>
      <c r="J3835" s="18"/>
      <c r="K3835" s="18"/>
      <c r="L3835" s="18"/>
      <c r="M3835" s="18"/>
      <c r="N3835" s="18"/>
      <c r="O3835" s="18"/>
      <c r="P3835" s="18"/>
      <c r="Q3835" s="18"/>
    </row>
    <row r="3836" spans="1:17">
      <c r="A3836" s="18"/>
      <c r="B3836" s="18"/>
      <c r="C3836" s="18"/>
      <c r="D3836" s="18"/>
      <c r="E3836" s="18"/>
      <c r="F3836" s="18"/>
      <c r="G3836" s="18"/>
      <c r="H3836" s="18"/>
      <c r="I3836" s="18"/>
      <c r="J3836" s="18"/>
      <c r="K3836" s="18"/>
      <c r="L3836" s="18"/>
      <c r="M3836" s="18"/>
      <c r="N3836" s="18"/>
      <c r="O3836" s="18"/>
      <c r="P3836" s="18"/>
      <c r="Q3836" s="18"/>
    </row>
    <row r="3837" spans="1:17">
      <c r="A3837" s="18"/>
      <c r="B3837" s="18"/>
      <c r="C3837" s="18"/>
      <c r="D3837" s="18"/>
      <c r="E3837" s="18"/>
      <c r="F3837" s="18"/>
      <c r="G3837" s="18"/>
      <c r="H3837" s="18"/>
      <c r="I3837" s="18"/>
      <c r="J3837" s="18"/>
      <c r="K3837" s="18"/>
      <c r="L3837" s="18"/>
      <c r="M3837" s="18"/>
      <c r="N3837" s="18"/>
      <c r="O3837" s="18"/>
      <c r="P3837" s="18"/>
      <c r="Q3837" s="18"/>
    </row>
    <row r="3838" spans="1:17">
      <c r="A3838" s="18"/>
      <c r="B3838" s="18"/>
      <c r="C3838" s="18"/>
      <c r="D3838" s="18"/>
      <c r="E3838" s="18"/>
      <c r="F3838" s="18"/>
      <c r="G3838" s="18"/>
      <c r="H3838" s="18"/>
      <c r="I3838" s="18"/>
      <c r="J3838" s="18"/>
      <c r="K3838" s="18"/>
      <c r="L3838" s="18"/>
      <c r="M3838" s="18"/>
      <c r="N3838" s="18"/>
      <c r="O3838" s="18"/>
      <c r="P3838" s="18"/>
      <c r="Q3838" s="18"/>
    </row>
    <row r="3839" spans="1:17">
      <c r="A3839" s="18"/>
      <c r="B3839" s="18"/>
      <c r="C3839" s="18"/>
      <c r="D3839" s="18"/>
      <c r="E3839" s="18"/>
      <c r="F3839" s="18"/>
      <c r="G3839" s="18"/>
      <c r="H3839" s="18"/>
      <c r="I3839" s="18"/>
      <c r="J3839" s="18"/>
      <c r="K3839" s="18"/>
      <c r="L3839" s="18"/>
      <c r="M3839" s="18"/>
      <c r="N3839" s="18"/>
      <c r="O3839" s="18"/>
      <c r="P3839" s="18"/>
      <c r="Q3839" s="18"/>
    </row>
    <row r="3840" spans="1:17">
      <c r="A3840" s="18"/>
      <c r="B3840" s="18"/>
      <c r="C3840" s="18"/>
      <c r="D3840" s="18"/>
      <c r="E3840" s="18"/>
      <c r="F3840" s="18"/>
      <c r="G3840" s="18"/>
      <c r="H3840" s="18"/>
      <c r="I3840" s="18"/>
      <c r="J3840" s="18"/>
      <c r="K3840" s="18"/>
      <c r="L3840" s="18"/>
      <c r="M3840" s="18"/>
      <c r="N3840" s="18"/>
      <c r="O3840" s="18"/>
      <c r="P3840" s="18"/>
      <c r="Q3840" s="18"/>
    </row>
    <row r="3841" spans="1:17">
      <c r="A3841" s="18"/>
      <c r="B3841" s="18"/>
      <c r="C3841" s="18"/>
      <c r="D3841" s="18"/>
      <c r="E3841" s="18"/>
      <c r="F3841" s="18"/>
      <c r="G3841" s="18"/>
      <c r="H3841" s="18"/>
      <c r="I3841" s="18"/>
      <c r="J3841" s="18"/>
      <c r="K3841" s="18"/>
      <c r="L3841" s="18"/>
      <c r="M3841" s="18"/>
      <c r="N3841" s="18"/>
      <c r="O3841" s="18"/>
      <c r="P3841" s="18"/>
      <c r="Q3841" s="18"/>
    </row>
    <row r="3842" spans="1:17">
      <c r="A3842" s="18"/>
      <c r="B3842" s="18"/>
      <c r="C3842" s="18"/>
      <c r="D3842" s="18"/>
      <c r="E3842" s="18"/>
      <c r="F3842" s="18"/>
      <c r="G3842" s="18"/>
      <c r="H3842" s="18"/>
      <c r="I3842" s="18"/>
      <c r="J3842" s="18"/>
      <c r="K3842" s="18"/>
      <c r="L3842" s="18"/>
      <c r="M3842" s="18"/>
      <c r="N3842" s="18"/>
      <c r="O3842" s="18"/>
      <c r="P3842" s="18"/>
      <c r="Q3842" s="18"/>
    </row>
    <row r="3843" spans="1:17">
      <c r="A3843" s="18"/>
      <c r="B3843" s="18"/>
      <c r="C3843" s="18"/>
      <c r="D3843" s="18"/>
      <c r="E3843" s="18"/>
      <c r="F3843" s="18"/>
      <c r="G3843" s="18"/>
      <c r="H3843" s="18"/>
      <c r="I3843" s="18"/>
      <c r="J3843" s="18"/>
      <c r="K3843" s="18"/>
      <c r="L3843" s="18"/>
      <c r="M3843" s="18"/>
      <c r="N3843" s="18"/>
      <c r="O3843" s="18"/>
      <c r="P3843" s="18"/>
      <c r="Q3843" s="18"/>
    </row>
    <row r="3844" spans="1:17">
      <c r="A3844" s="18"/>
      <c r="B3844" s="18"/>
      <c r="C3844" s="18"/>
      <c r="D3844" s="18"/>
      <c r="E3844" s="18"/>
      <c r="F3844" s="18"/>
      <c r="G3844" s="18"/>
      <c r="H3844" s="18"/>
      <c r="I3844" s="18"/>
      <c r="J3844" s="18"/>
      <c r="K3844" s="18"/>
      <c r="L3844" s="18"/>
      <c r="M3844" s="18"/>
      <c r="N3844" s="18"/>
      <c r="O3844" s="18"/>
      <c r="P3844" s="18"/>
      <c r="Q3844" s="18"/>
    </row>
    <row r="3845" spans="1:17">
      <c r="A3845" s="18"/>
      <c r="B3845" s="18"/>
      <c r="C3845" s="18"/>
      <c r="D3845" s="18"/>
      <c r="E3845" s="18"/>
      <c r="F3845" s="18"/>
      <c r="G3845" s="18"/>
      <c r="H3845" s="18"/>
      <c r="I3845" s="18"/>
      <c r="J3845" s="18"/>
      <c r="K3845" s="18"/>
      <c r="L3845" s="18"/>
      <c r="M3845" s="18"/>
      <c r="N3845" s="18"/>
      <c r="O3845" s="18"/>
      <c r="P3845" s="18"/>
      <c r="Q3845" s="18"/>
    </row>
    <row r="3846" spans="1:17">
      <c r="A3846" s="18"/>
      <c r="B3846" s="18"/>
      <c r="C3846" s="18"/>
      <c r="D3846" s="18"/>
      <c r="E3846" s="18"/>
      <c r="F3846" s="18"/>
      <c r="G3846" s="18"/>
      <c r="H3846" s="18"/>
      <c r="I3846" s="18"/>
      <c r="J3846" s="18"/>
      <c r="K3846" s="18"/>
      <c r="L3846" s="18"/>
      <c r="M3846" s="18"/>
      <c r="N3846" s="18"/>
      <c r="O3846" s="18"/>
      <c r="P3846" s="18"/>
      <c r="Q3846" s="18"/>
    </row>
    <row r="3847" spans="1:17">
      <c r="A3847" s="18"/>
      <c r="B3847" s="18"/>
      <c r="C3847" s="18"/>
      <c r="D3847" s="18"/>
      <c r="E3847" s="18"/>
      <c r="F3847" s="18"/>
      <c r="G3847" s="18"/>
      <c r="H3847" s="18"/>
      <c r="I3847" s="18"/>
      <c r="J3847" s="18"/>
      <c r="K3847" s="18"/>
      <c r="L3847" s="18"/>
      <c r="M3847" s="18"/>
      <c r="N3847" s="18"/>
      <c r="O3847" s="18"/>
      <c r="P3847" s="18"/>
      <c r="Q3847" s="18"/>
    </row>
    <row r="3848" spans="1:17">
      <c r="A3848" s="18"/>
      <c r="B3848" s="18"/>
      <c r="C3848" s="18"/>
      <c r="D3848" s="18"/>
      <c r="E3848" s="18"/>
      <c r="F3848" s="18"/>
      <c r="G3848" s="18"/>
      <c r="H3848" s="18"/>
      <c r="I3848" s="18"/>
      <c r="J3848" s="18"/>
      <c r="K3848" s="18"/>
      <c r="L3848" s="18"/>
      <c r="M3848" s="18"/>
      <c r="N3848" s="18"/>
      <c r="O3848" s="18"/>
      <c r="P3848" s="18"/>
      <c r="Q3848" s="18"/>
    </row>
    <row r="3849" spans="1:17">
      <c r="A3849" s="18"/>
      <c r="B3849" s="18"/>
      <c r="C3849" s="18"/>
      <c r="D3849" s="18"/>
      <c r="E3849" s="18"/>
      <c r="F3849" s="18"/>
      <c r="G3849" s="18"/>
      <c r="H3849" s="18"/>
      <c r="I3849" s="18"/>
      <c r="J3849" s="18"/>
      <c r="K3849" s="18"/>
      <c r="L3849" s="18"/>
      <c r="M3849" s="18"/>
      <c r="N3849" s="18"/>
      <c r="O3849" s="18"/>
      <c r="P3849" s="18"/>
      <c r="Q3849" s="18"/>
    </row>
    <row r="3850" spans="1:17">
      <c r="A3850" s="18"/>
      <c r="B3850" s="18"/>
      <c r="C3850" s="18"/>
      <c r="D3850" s="18"/>
      <c r="E3850" s="18"/>
      <c r="F3850" s="18"/>
      <c r="G3850" s="18"/>
      <c r="H3850" s="18"/>
      <c r="I3850" s="18"/>
      <c r="J3850" s="18"/>
      <c r="K3850" s="18"/>
      <c r="L3850" s="18"/>
      <c r="M3850" s="18"/>
      <c r="N3850" s="18"/>
      <c r="O3850" s="18"/>
      <c r="P3850" s="18"/>
      <c r="Q3850" s="18"/>
    </row>
    <row r="3851" spans="1:17">
      <c r="A3851" s="18"/>
      <c r="B3851" s="18"/>
      <c r="C3851" s="18"/>
      <c r="D3851" s="18"/>
      <c r="E3851" s="18"/>
      <c r="F3851" s="18"/>
      <c r="G3851" s="18"/>
      <c r="H3851" s="18"/>
      <c r="I3851" s="18"/>
      <c r="J3851" s="18"/>
      <c r="K3851" s="18"/>
      <c r="L3851" s="18"/>
      <c r="M3851" s="18"/>
      <c r="N3851" s="18"/>
      <c r="O3851" s="18"/>
      <c r="P3851" s="18"/>
      <c r="Q3851" s="18"/>
    </row>
    <row r="3852" spans="1:17">
      <c r="A3852" s="18"/>
      <c r="B3852" s="18"/>
      <c r="C3852" s="18"/>
      <c r="D3852" s="18"/>
      <c r="E3852" s="18"/>
      <c r="F3852" s="18"/>
      <c r="G3852" s="18"/>
      <c r="H3852" s="18"/>
      <c r="I3852" s="18"/>
      <c r="J3852" s="18"/>
      <c r="K3852" s="18"/>
      <c r="L3852" s="18"/>
      <c r="M3852" s="18"/>
      <c r="N3852" s="18"/>
      <c r="O3852" s="18"/>
      <c r="P3852" s="18"/>
      <c r="Q3852" s="18"/>
    </row>
    <row r="3853" spans="1:17">
      <c r="A3853" s="18"/>
      <c r="B3853" s="18"/>
      <c r="C3853" s="18"/>
      <c r="D3853" s="18"/>
      <c r="E3853" s="18"/>
      <c r="F3853" s="18"/>
      <c r="G3853" s="18"/>
      <c r="H3853" s="18"/>
      <c r="I3853" s="18"/>
      <c r="J3853" s="18"/>
      <c r="K3853" s="18"/>
      <c r="L3853" s="18"/>
      <c r="M3853" s="18"/>
      <c r="N3853" s="18"/>
      <c r="O3853" s="18"/>
      <c r="P3853" s="18"/>
      <c r="Q3853" s="18"/>
    </row>
    <row r="3854" spans="1:17">
      <c r="A3854" s="18"/>
      <c r="B3854" s="18"/>
      <c r="C3854" s="18"/>
      <c r="D3854" s="18"/>
      <c r="E3854" s="18"/>
      <c r="F3854" s="18"/>
      <c r="G3854" s="18"/>
      <c r="H3854" s="18"/>
      <c r="I3854" s="18"/>
      <c r="J3854" s="18"/>
      <c r="K3854" s="18"/>
      <c r="L3854" s="18"/>
      <c r="M3854" s="18"/>
      <c r="N3854" s="18"/>
      <c r="O3854" s="18"/>
      <c r="P3854" s="18"/>
      <c r="Q3854" s="18"/>
    </row>
    <row r="3855" spans="1:17">
      <c r="A3855" s="18"/>
      <c r="B3855" s="18"/>
      <c r="C3855" s="18"/>
      <c r="D3855" s="18"/>
      <c r="E3855" s="18"/>
      <c r="F3855" s="18"/>
      <c r="G3855" s="18"/>
      <c r="H3855" s="18"/>
      <c r="I3855" s="18"/>
      <c r="J3855" s="18"/>
      <c r="K3855" s="18"/>
      <c r="L3855" s="18"/>
      <c r="M3855" s="18"/>
      <c r="N3855" s="18"/>
      <c r="O3855" s="18"/>
      <c r="P3855" s="18"/>
      <c r="Q3855" s="18"/>
    </row>
    <row r="3856" spans="1:17">
      <c r="A3856" s="18"/>
      <c r="B3856" s="18"/>
      <c r="C3856" s="18"/>
      <c r="D3856" s="18"/>
      <c r="E3856" s="18"/>
      <c r="F3856" s="18"/>
      <c r="G3856" s="18"/>
      <c r="H3856" s="18"/>
      <c r="I3856" s="18"/>
      <c r="J3856" s="18"/>
      <c r="K3856" s="18"/>
      <c r="L3856" s="18"/>
      <c r="M3856" s="18"/>
      <c r="N3856" s="18"/>
      <c r="O3856" s="18"/>
      <c r="P3856" s="18"/>
      <c r="Q3856" s="18"/>
    </row>
    <row r="3857" spans="1:17">
      <c r="A3857" s="18"/>
      <c r="B3857" s="18"/>
      <c r="C3857" s="18"/>
      <c r="D3857" s="18"/>
      <c r="E3857" s="18"/>
      <c r="F3857" s="18"/>
      <c r="G3857" s="18"/>
      <c r="H3857" s="18"/>
      <c r="I3857" s="18"/>
      <c r="J3857" s="18"/>
      <c r="K3857" s="18"/>
      <c r="L3857" s="18"/>
      <c r="M3857" s="18"/>
      <c r="N3857" s="18"/>
      <c r="O3857" s="18"/>
      <c r="P3857" s="18"/>
      <c r="Q3857" s="18"/>
    </row>
    <row r="3858" spans="1:17">
      <c r="A3858" s="18"/>
      <c r="B3858" s="18"/>
      <c r="C3858" s="18"/>
      <c r="D3858" s="18"/>
      <c r="E3858" s="18"/>
      <c r="F3858" s="18"/>
      <c r="G3858" s="18"/>
      <c r="H3858" s="18"/>
      <c r="I3858" s="18"/>
      <c r="J3858" s="18"/>
      <c r="K3858" s="18"/>
      <c r="L3858" s="18"/>
      <c r="M3858" s="18"/>
      <c r="N3858" s="18"/>
      <c r="O3858" s="18"/>
      <c r="P3858" s="18"/>
      <c r="Q3858" s="18"/>
    </row>
    <row r="3859" spans="1:17">
      <c r="A3859" s="18"/>
      <c r="B3859" s="18"/>
      <c r="C3859" s="18"/>
      <c r="D3859" s="18"/>
      <c r="E3859" s="18"/>
      <c r="F3859" s="18"/>
      <c r="G3859" s="18"/>
      <c r="H3859" s="18"/>
      <c r="I3859" s="18"/>
      <c r="J3859" s="18"/>
      <c r="K3859" s="18"/>
      <c r="L3859" s="18"/>
      <c r="M3859" s="18"/>
      <c r="N3859" s="18"/>
      <c r="O3859" s="18"/>
      <c r="P3859" s="18"/>
      <c r="Q3859" s="18"/>
    </row>
    <row r="3860" spans="1:17">
      <c r="A3860" s="18"/>
      <c r="B3860" s="18"/>
      <c r="C3860" s="18"/>
      <c r="D3860" s="18"/>
      <c r="E3860" s="18"/>
      <c r="F3860" s="18"/>
      <c r="G3860" s="18"/>
      <c r="H3860" s="18"/>
      <c r="I3860" s="18"/>
      <c r="J3860" s="18"/>
      <c r="K3860" s="18"/>
      <c r="L3860" s="18"/>
      <c r="M3860" s="18"/>
      <c r="N3860" s="18"/>
      <c r="O3860" s="18"/>
      <c r="P3860" s="18"/>
      <c r="Q3860" s="18"/>
    </row>
    <row r="3861" spans="1:17">
      <c r="A3861" s="18"/>
      <c r="B3861" s="18"/>
      <c r="C3861" s="18"/>
      <c r="D3861" s="18"/>
      <c r="E3861" s="18"/>
      <c r="F3861" s="18"/>
      <c r="G3861" s="18"/>
      <c r="H3861" s="18"/>
      <c r="I3861" s="18"/>
      <c r="J3861" s="18"/>
      <c r="K3861" s="18"/>
      <c r="L3861" s="18"/>
      <c r="M3861" s="18"/>
      <c r="N3861" s="18"/>
      <c r="O3861" s="18"/>
      <c r="P3861" s="18"/>
      <c r="Q3861" s="18"/>
    </row>
    <row r="3862" spans="1:17">
      <c r="A3862" s="18"/>
      <c r="B3862" s="18"/>
      <c r="C3862" s="18"/>
      <c r="D3862" s="18"/>
      <c r="E3862" s="18"/>
      <c r="F3862" s="18"/>
      <c r="G3862" s="18"/>
      <c r="H3862" s="18"/>
      <c r="I3862" s="18"/>
      <c r="J3862" s="18"/>
      <c r="K3862" s="18"/>
      <c r="L3862" s="18"/>
      <c r="M3862" s="18"/>
      <c r="N3862" s="18"/>
      <c r="O3862" s="18"/>
      <c r="P3862" s="18"/>
      <c r="Q3862" s="18"/>
    </row>
    <row r="3863" spans="1:17">
      <c r="A3863" s="18"/>
      <c r="B3863" s="18"/>
      <c r="C3863" s="18"/>
      <c r="D3863" s="18"/>
      <c r="E3863" s="18"/>
      <c r="F3863" s="18"/>
      <c r="G3863" s="18"/>
      <c r="H3863" s="18"/>
      <c r="I3863" s="18"/>
      <c r="J3863" s="18"/>
      <c r="K3863" s="18"/>
      <c r="L3863" s="18"/>
      <c r="M3863" s="18"/>
      <c r="N3863" s="18"/>
      <c r="O3863" s="18"/>
      <c r="P3863" s="18"/>
      <c r="Q3863" s="18"/>
    </row>
    <row r="3864" spans="1:17">
      <c r="A3864" s="18"/>
      <c r="B3864" s="18"/>
      <c r="C3864" s="18"/>
      <c r="D3864" s="18"/>
      <c r="E3864" s="18"/>
      <c r="F3864" s="18"/>
      <c r="G3864" s="18"/>
      <c r="H3864" s="18"/>
      <c r="I3864" s="18"/>
      <c r="J3864" s="18"/>
      <c r="K3864" s="18"/>
      <c r="L3864" s="18"/>
      <c r="M3864" s="18"/>
      <c r="N3864" s="18"/>
      <c r="O3864" s="18"/>
      <c r="P3864" s="18"/>
      <c r="Q3864" s="18"/>
    </row>
    <row r="3865" spans="1:17">
      <c r="A3865" s="18"/>
      <c r="B3865" s="18"/>
      <c r="C3865" s="18"/>
      <c r="D3865" s="18"/>
      <c r="E3865" s="18"/>
      <c r="F3865" s="18"/>
      <c r="G3865" s="18"/>
      <c r="H3865" s="18"/>
      <c r="I3865" s="18"/>
      <c r="J3865" s="18"/>
      <c r="K3865" s="18"/>
      <c r="L3865" s="18"/>
      <c r="M3865" s="18"/>
      <c r="N3865" s="18"/>
      <c r="O3865" s="18"/>
      <c r="P3865" s="18"/>
      <c r="Q3865" s="18"/>
    </row>
    <row r="3866" spans="1:17">
      <c r="A3866" s="18"/>
      <c r="B3866" s="18"/>
      <c r="C3866" s="18"/>
      <c r="D3866" s="18"/>
      <c r="E3866" s="18"/>
      <c r="F3866" s="18"/>
      <c r="G3866" s="18"/>
      <c r="H3866" s="18"/>
      <c r="I3866" s="18"/>
      <c r="J3866" s="18"/>
      <c r="K3866" s="18"/>
      <c r="L3866" s="18"/>
      <c r="M3866" s="18"/>
      <c r="N3866" s="18"/>
      <c r="O3866" s="18"/>
      <c r="P3866" s="18"/>
      <c r="Q3866" s="18"/>
    </row>
    <row r="3867" spans="1:17">
      <c r="A3867" s="18"/>
      <c r="B3867" s="18"/>
      <c r="C3867" s="18"/>
      <c r="D3867" s="18"/>
      <c r="E3867" s="18"/>
      <c r="F3867" s="18"/>
      <c r="G3867" s="18"/>
      <c r="H3867" s="18"/>
      <c r="I3867" s="18"/>
      <c r="J3867" s="18"/>
      <c r="K3867" s="18"/>
      <c r="L3867" s="18"/>
      <c r="M3867" s="18"/>
      <c r="N3867" s="18"/>
      <c r="O3867" s="18"/>
      <c r="P3867" s="18"/>
      <c r="Q3867" s="18"/>
    </row>
    <row r="3868" spans="1:17">
      <c r="A3868" s="18"/>
      <c r="B3868" s="18"/>
      <c r="C3868" s="18"/>
      <c r="D3868" s="18"/>
      <c r="E3868" s="18"/>
      <c r="F3868" s="18"/>
      <c r="G3868" s="18"/>
      <c r="H3868" s="18"/>
      <c r="I3868" s="18"/>
      <c r="J3868" s="18"/>
      <c r="K3868" s="18"/>
      <c r="L3868" s="18"/>
      <c r="M3868" s="18"/>
      <c r="N3868" s="18"/>
      <c r="O3868" s="18"/>
      <c r="P3868" s="18"/>
      <c r="Q3868" s="18"/>
    </row>
    <row r="3869" spans="1:17">
      <c r="A3869" s="18"/>
      <c r="B3869" s="18"/>
      <c r="C3869" s="18"/>
      <c r="D3869" s="18"/>
      <c r="E3869" s="18"/>
      <c r="F3869" s="18"/>
      <c r="G3869" s="18"/>
      <c r="H3869" s="18"/>
      <c r="I3869" s="18"/>
      <c r="J3869" s="18"/>
      <c r="K3869" s="18"/>
      <c r="L3869" s="18"/>
      <c r="M3869" s="18"/>
      <c r="N3869" s="18"/>
      <c r="O3869" s="18"/>
      <c r="P3869" s="18"/>
      <c r="Q3869" s="18"/>
    </row>
    <row r="3870" spans="1:17">
      <c r="A3870" s="18"/>
      <c r="B3870" s="18"/>
      <c r="C3870" s="18"/>
      <c r="D3870" s="18"/>
      <c r="E3870" s="18"/>
      <c r="F3870" s="18"/>
      <c r="G3870" s="18"/>
      <c r="H3870" s="18"/>
      <c r="I3870" s="18"/>
      <c r="J3870" s="18"/>
      <c r="K3870" s="18"/>
      <c r="L3870" s="18"/>
      <c r="M3870" s="18"/>
      <c r="N3870" s="18"/>
      <c r="O3870" s="18"/>
      <c r="P3870" s="18"/>
      <c r="Q3870" s="18"/>
    </row>
    <row r="3871" spans="1:17">
      <c r="A3871" s="18"/>
      <c r="B3871" s="18"/>
      <c r="C3871" s="18"/>
      <c r="D3871" s="18"/>
      <c r="E3871" s="18"/>
      <c r="F3871" s="18"/>
      <c r="G3871" s="18"/>
      <c r="H3871" s="18"/>
      <c r="I3871" s="18"/>
      <c r="J3871" s="18"/>
      <c r="K3871" s="18"/>
      <c r="L3871" s="18"/>
      <c r="M3871" s="18"/>
      <c r="N3871" s="18"/>
      <c r="O3871" s="18"/>
      <c r="P3871" s="18"/>
      <c r="Q3871" s="18"/>
    </row>
    <row r="3872" spans="1:17">
      <c r="A3872" s="18"/>
      <c r="B3872" s="18"/>
      <c r="C3872" s="18"/>
      <c r="D3872" s="18"/>
      <c r="E3872" s="18"/>
      <c r="F3872" s="18"/>
      <c r="G3872" s="18"/>
      <c r="H3872" s="18"/>
      <c r="I3872" s="18"/>
      <c r="J3872" s="18"/>
      <c r="K3872" s="18"/>
      <c r="L3872" s="18"/>
      <c r="M3872" s="18"/>
      <c r="N3872" s="18"/>
      <c r="O3872" s="18"/>
      <c r="P3872" s="18"/>
      <c r="Q3872" s="18"/>
    </row>
    <row r="3873" spans="1:17">
      <c r="A3873" s="18"/>
      <c r="B3873" s="18"/>
      <c r="C3873" s="18"/>
      <c r="D3873" s="18"/>
      <c r="E3873" s="18"/>
      <c r="F3873" s="18"/>
      <c r="G3873" s="18"/>
      <c r="H3873" s="18"/>
      <c r="I3873" s="18"/>
      <c r="J3873" s="18"/>
      <c r="K3873" s="18"/>
      <c r="L3873" s="18"/>
      <c r="M3873" s="18"/>
      <c r="N3873" s="18"/>
      <c r="O3873" s="18"/>
      <c r="P3873" s="18"/>
      <c r="Q3873" s="18"/>
    </row>
    <row r="3874" spans="1:17">
      <c r="A3874" s="18"/>
      <c r="B3874" s="18"/>
      <c r="C3874" s="18"/>
      <c r="D3874" s="18"/>
      <c r="E3874" s="18"/>
      <c r="F3874" s="18"/>
      <c r="G3874" s="18"/>
      <c r="H3874" s="18"/>
      <c r="I3874" s="18"/>
      <c r="J3874" s="18"/>
      <c r="K3874" s="18"/>
      <c r="L3874" s="18"/>
      <c r="M3874" s="18"/>
      <c r="N3874" s="18"/>
      <c r="O3874" s="18"/>
      <c r="P3874" s="18"/>
      <c r="Q3874" s="18"/>
    </row>
    <row r="3875" spans="1:17">
      <c r="A3875" s="18"/>
      <c r="B3875" s="18"/>
      <c r="C3875" s="18"/>
      <c r="D3875" s="18"/>
      <c r="E3875" s="18"/>
      <c r="F3875" s="18"/>
      <c r="G3875" s="18"/>
      <c r="H3875" s="18"/>
      <c r="I3875" s="18"/>
      <c r="J3875" s="18"/>
      <c r="K3875" s="18"/>
      <c r="L3875" s="18"/>
      <c r="M3875" s="18"/>
      <c r="N3875" s="18"/>
      <c r="O3875" s="18"/>
      <c r="P3875" s="18"/>
      <c r="Q3875" s="18"/>
    </row>
    <row r="3876" spans="1:17">
      <c r="A3876" s="18"/>
      <c r="B3876" s="18"/>
      <c r="C3876" s="18"/>
      <c r="D3876" s="18"/>
      <c r="E3876" s="18"/>
      <c r="F3876" s="18"/>
      <c r="G3876" s="18"/>
      <c r="H3876" s="18"/>
      <c r="I3876" s="18"/>
      <c r="J3876" s="18"/>
      <c r="K3876" s="18"/>
      <c r="L3876" s="18"/>
      <c r="M3876" s="18"/>
      <c r="N3876" s="18"/>
      <c r="O3876" s="18"/>
      <c r="P3876" s="18"/>
      <c r="Q3876" s="18"/>
    </row>
    <row r="3877" spans="1:17">
      <c r="A3877" s="18"/>
      <c r="B3877" s="18"/>
      <c r="C3877" s="18"/>
      <c r="D3877" s="18"/>
      <c r="E3877" s="18"/>
      <c r="F3877" s="18"/>
      <c r="G3877" s="18"/>
      <c r="H3877" s="18"/>
      <c r="I3877" s="18"/>
      <c r="J3877" s="18"/>
      <c r="K3877" s="18"/>
      <c r="L3877" s="18"/>
      <c r="M3877" s="18"/>
      <c r="N3877" s="18"/>
      <c r="O3877" s="18"/>
      <c r="P3877" s="18"/>
      <c r="Q3877" s="18"/>
    </row>
    <row r="3878" spans="1:17">
      <c r="A3878" s="18"/>
      <c r="B3878" s="18"/>
      <c r="C3878" s="18"/>
      <c r="D3878" s="18"/>
      <c r="E3878" s="18"/>
      <c r="F3878" s="18"/>
      <c r="G3878" s="18"/>
      <c r="H3878" s="18"/>
      <c r="I3878" s="18"/>
      <c r="J3878" s="18"/>
      <c r="K3878" s="18"/>
      <c r="L3878" s="18"/>
      <c r="M3878" s="18"/>
      <c r="N3878" s="18"/>
      <c r="O3878" s="18"/>
      <c r="P3878" s="18"/>
      <c r="Q3878" s="18"/>
    </row>
    <row r="3879" spans="1:17">
      <c r="A3879" s="18"/>
      <c r="B3879" s="18"/>
      <c r="C3879" s="18"/>
      <c r="D3879" s="18"/>
      <c r="E3879" s="18"/>
      <c r="F3879" s="18"/>
      <c r="G3879" s="18"/>
      <c r="H3879" s="18"/>
      <c r="I3879" s="18"/>
      <c r="J3879" s="18"/>
      <c r="K3879" s="18"/>
      <c r="L3879" s="18"/>
      <c r="M3879" s="18"/>
      <c r="N3879" s="18"/>
      <c r="O3879" s="18"/>
      <c r="P3879" s="18"/>
      <c r="Q3879" s="18"/>
    </row>
    <row r="3880" spans="1:17">
      <c r="A3880" s="18"/>
      <c r="B3880" s="18"/>
      <c r="C3880" s="18"/>
      <c r="D3880" s="18"/>
      <c r="E3880" s="18"/>
      <c r="F3880" s="18"/>
      <c r="G3880" s="18"/>
      <c r="H3880" s="18"/>
      <c r="I3880" s="18"/>
      <c r="J3880" s="18"/>
      <c r="K3880" s="18"/>
      <c r="L3880" s="18"/>
      <c r="M3880" s="18"/>
      <c r="N3880" s="18"/>
      <c r="O3880" s="18"/>
      <c r="P3880" s="18"/>
      <c r="Q3880" s="18"/>
    </row>
    <row r="3881" spans="1:17">
      <c r="A3881" s="18"/>
      <c r="B3881" s="18"/>
      <c r="C3881" s="18"/>
      <c r="D3881" s="18"/>
      <c r="E3881" s="18"/>
      <c r="F3881" s="18"/>
      <c r="G3881" s="18"/>
      <c r="H3881" s="18"/>
      <c r="I3881" s="18"/>
      <c r="J3881" s="18"/>
      <c r="K3881" s="18"/>
      <c r="L3881" s="18"/>
      <c r="M3881" s="18"/>
      <c r="N3881" s="18"/>
      <c r="O3881" s="18"/>
      <c r="P3881" s="18"/>
      <c r="Q3881" s="18"/>
    </row>
    <row r="3882" spans="1:17">
      <c r="A3882" s="18"/>
      <c r="B3882" s="18"/>
      <c r="C3882" s="18"/>
      <c r="D3882" s="18"/>
      <c r="E3882" s="18"/>
      <c r="F3882" s="18"/>
      <c r="G3882" s="18"/>
      <c r="H3882" s="18"/>
      <c r="I3882" s="18"/>
      <c r="J3882" s="18"/>
      <c r="K3882" s="18"/>
      <c r="L3882" s="18"/>
      <c r="M3882" s="18"/>
      <c r="N3882" s="18"/>
      <c r="O3882" s="18"/>
      <c r="P3882" s="18"/>
      <c r="Q3882" s="18"/>
    </row>
    <row r="3883" spans="1:17">
      <c r="A3883" s="18"/>
      <c r="B3883" s="18"/>
      <c r="C3883" s="18"/>
      <c r="D3883" s="18"/>
      <c r="E3883" s="18"/>
      <c r="F3883" s="18"/>
      <c r="G3883" s="18"/>
      <c r="H3883" s="18"/>
      <c r="I3883" s="18"/>
      <c r="J3883" s="18"/>
      <c r="K3883" s="18"/>
      <c r="L3883" s="18"/>
      <c r="M3883" s="18"/>
      <c r="N3883" s="18"/>
      <c r="O3883" s="18"/>
      <c r="P3883" s="18"/>
      <c r="Q3883" s="18"/>
    </row>
    <row r="3884" spans="1:17">
      <c r="A3884" s="18"/>
      <c r="B3884" s="18"/>
      <c r="C3884" s="18"/>
      <c r="D3884" s="18"/>
      <c r="E3884" s="18"/>
      <c r="F3884" s="18"/>
      <c r="G3884" s="18"/>
      <c r="H3884" s="18"/>
      <c r="I3884" s="18"/>
      <c r="J3884" s="18"/>
      <c r="K3884" s="18"/>
      <c r="L3884" s="18"/>
      <c r="M3884" s="18"/>
      <c r="N3884" s="18"/>
      <c r="O3884" s="18"/>
      <c r="P3884" s="18"/>
      <c r="Q3884" s="18"/>
    </row>
    <row r="3885" spans="1:17">
      <c r="A3885" s="18"/>
      <c r="B3885" s="18"/>
      <c r="C3885" s="18"/>
      <c r="D3885" s="18"/>
      <c r="E3885" s="18"/>
      <c r="F3885" s="18"/>
      <c r="G3885" s="18"/>
      <c r="H3885" s="18"/>
      <c r="I3885" s="18"/>
      <c r="J3885" s="18"/>
      <c r="K3885" s="18"/>
      <c r="L3885" s="18"/>
      <c r="M3885" s="18"/>
      <c r="N3885" s="18"/>
      <c r="O3885" s="18"/>
      <c r="P3885" s="18"/>
      <c r="Q3885" s="18"/>
    </row>
    <row r="3886" spans="1:17">
      <c r="A3886" s="18"/>
      <c r="B3886" s="18"/>
      <c r="C3886" s="18"/>
      <c r="D3886" s="18"/>
      <c r="E3886" s="18"/>
      <c r="F3886" s="18"/>
      <c r="G3886" s="18"/>
      <c r="H3886" s="18"/>
      <c r="I3886" s="18"/>
      <c r="J3886" s="18"/>
      <c r="K3886" s="18"/>
      <c r="L3886" s="18"/>
      <c r="M3886" s="18"/>
      <c r="N3886" s="18"/>
      <c r="O3886" s="18"/>
      <c r="P3886" s="18"/>
      <c r="Q3886" s="18"/>
    </row>
    <row r="3887" spans="1:17">
      <c r="A3887" s="18"/>
      <c r="B3887" s="18"/>
      <c r="C3887" s="18"/>
      <c r="D3887" s="18"/>
      <c r="E3887" s="18"/>
      <c r="F3887" s="18"/>
      <c r="G3887" s="18"/>
      <c r="H3887" s="18"/>
      <c r="I3887" s="18"/>
      <c r="J3887" s="18"/>
      <c r="K3887" s="18"/>
      <c r="L3887" s="18"/>
      <c r="M3887" s="18"/>
      <c r="N3887" s="18"/>
      <c r="O3887" s="18"/>
      <c r="P3887" s="18"/>
      <c r="Q3887" s="18"/>
    </row>
    <row r="3888" spans="1:17">
      <c r="A3888" s="18"/>
      <c r="B3888" s="18"/>
      <c r="C3888" s="18"/>
      <c r="D3888" s="18"/>
      <c r="E3888" s="18"/>
      <c r="F3888" s="18"/>
      <c r="G3888" s="18"/>
      <c r="H3888" s="18"/>
      <c r="I3888" s="18"/>
      <c r="J3888" s="18"/>
      <c r="K3888" s="18"/>
      <c r="L3888" s="18"/>
      <c r="M3888" s="18"/>
      <c r="N3888" s="18"/>
      <c r="O3888" s="18"/>
      <c r="P3888" s="18"/>
      <c r="Q3888" s="18"/>
    </row>
    <row r="3889" spans="1:17">
      <c r="A3889" s="18"/>
      <c r="B3889" s="18"/>
      <c r="C3889" s="18"/>
      <c r="D3889" s="18"/>
      <c r="E3889" s="18"/>
      <c r="F3889" s="18"/>
      <c r="G3889" s="18"/>
      <c r="H3889" s="18"/>
      <c r="I3889" s="18"/>
      <c r="J3889" s="18"/>
      <c r="K3889" s="18"/>
      <c r="L3889" s="18"/>
      <c r="M3889" s="18"/>
      <c r="N3889" s="18"/>
      <c r="O3889" s="18"/>
      <c r="P3889" s="18"/>
      <c r="Q3889" s="18"/>
    </row>
    <row r="3890" spans="1:17">
      <c r="A3890" s="18"/>
      <c r="B3890" s="18"/>
      <c r="C3890" s="18"/>
      <c r="D3890" s="18"/>
      <c r="E3890" s="18"/>
      <c r="F3890" s="18"/>
      <c r="G3890" s="18"/>
      <c r="H3890" s="18"/>
      <c r="I3890" s="18"/>
      <c r="J3890" s="18"/>
      <c r="K3890" s="18"/>
      <c r="L3890" s="18"/>
      <c r="M3890" s="18"/>
      <c r="N3890" s="18"/>
      <c r="O3890" s="18"/>
      <c r="P3890" s="18"/>
      <c r="Q3890" s="18"/>
    </row>
    <row r="3891" spans="1:17">
      <c r="A3891" s="18"/>
      <c r="B3891" s="18"/>
      <c r="C3891" s="18"/>
      <c r="D3891" s="18"/>
      <c r="E3891" s="18"/>
      <c r="F3891" s="18"/>
      <c r="G3891" s="18"/>
      <c r="H3891" s="18"/>
      <c r="I3891" s="18"/>
      <c r="J3891" s="18"/>
      <c r="K3891" s="18"/>
      <c r="L3891" s="18"/>
      <c r="M3891" s="18"/>
      <c r="N3891" s="18"/>
      <c r="O3891" s="18"/>
      <c r="P3891" s="18"/>
      <c r="Q3891" s="18"/>
    </row>
    <row r="3892" spans="1:17">
      <c r="A3892" s="18"/>
      <c r="B3892" s="18"/>
      <c r="C3892" s="18"/>
      <c r="D3892" s="18"/>
      <c r="E3892" s="18"/>
      <c r="F3892" s="18"/>
      <c r="G3892" s="18"/>
      <c r="H3892" s="18"/>
      <c r="I3892" s="18"/>
      <c r="J3892" s="18"/>
      <c r="K3892" s="18"/>
      <c r="L3892" s="18"/>
      <c r="M3892" s="18"/>
      <c r="N3892" s="18"/>
      <c r="O3892" s="18"/>
      <c r="P3892" s="18"/>
      <c r="Q3892" s="18"/>
    </row>
    <row r="3893" spans="1:17">
      <c r="A3893" s="18"/>
      <c r="B3893" s="18"/>
      <c r="C3893" s="18"/>
      <c r="D3893" s="18"/>
      <c r="E3893" s="18"/>
      <c r="F3893" s="18"/>
      <c r="G3893" s="18"/>
      <c r="H3893" s="18"/>
      <c r="I3893" s="18"/>
      <c r="J3893" s="18"/>
      <c r="K3893" s="18"/>
      <c r="L3893" s="18"/>
      <c r="M3893" s="18"/>
      <c r="N3893" s="18"/>
      <c r="O3893" s="18"/>
      <c r="P3893" s="18"/>
      <c r="Q3893" s="18"/>
    </row>
    <row r="3894" spans="1:17">
      <c r="A3894" s="18"/>
      <c r="B3894" s="18"/>
      <c r="C3894" s="18"/>
      <c r="D3894" s="18"/>
      <c r="E3894" s="18"/>
      <c r="F3894" s="18"/>
      <c r="G3894" s="18"/>
      <c r="H3894" s="18"/>
      <c r="I3894" s="18"/>
      <c r="J3894" s="18"/>
      <c r="K3894" s="18"/>
      <c r="L3894" s="18"/>
      <c r="M3894" s="18"/>
      <c r="N3894" s="18"/>
      <c r="O3894" s="18"/>
      <c r="P3894" s="18"/>
      <c r="Q3894" s="18"/>
    </row>
    <row r="3895" spans="1:17">
      <c r="A3895" s="18"/>
      <c r="B3895" s="18"/>
      <c r="C3895" s="18"/>
      <c r="D3895" s="18"/>
      <c r="E3895" s="18"/>
      <c r="F3895" s="18"/>
      <c r="G3895" s="18"/>
      <c r="H3895" s="18"/>
      <c r="I3895" s="18"/>
      <c r="J3895" s="18"/>
      <c r="K3895" s="18"/>
      <c r="L3895" s="18"/>
      <c r="M3895" s="18"/>
      <c r="N3895" s="18"/>
      <c r="O3895" s="18"/>
      <c r="P3895" s="18"/>
      <c r="Q3895" s="18"/>
    </row>
    <row r="3896" spans="1:17">
      <c r="A3896" s="18"/>
      <c r="B3896" s="18"/>
      <c r="C3896" s="18"/>
      <c r="D3896" s="18"/>
      <c r="E3896" s="18"/>
      <c r="F3896" s="18"/>
      <c r="G3896" s="18"/>
      <c r="H3896" s="18"/>
      <c r="I3896" s="18"/>
      <c r="J3896" s="18"/>
      <c r="K3896" s="18"/>
      <c r="L3896" s="18"/>
      <c r="M3896" s="18"/>
      <c r="N3896" s="18"/>
      <c r="O3896" s="18"/>
      <c r="P3896" s="18"/>
      <c r="Q3896" s="18"/>
    </row>
    <row r="3897" spans="1:17">
      <c r="A3897" s="18"/>
      <c r="B3897" s="18"/>
      <c r="C3897" s="18"/>
      <c r="D3897" s="18"/>
      <c r="E3897" s="18"/>
      <c r="F3897" s="18"/>
      <c r="G3897" s="18"/>
      <c r="H3897" s="18"/>
      <c r="I3897" s="18"/>
      <c r="J3897" s="18"/>
      <c r="K3897" s="18"/>
      <c r="L3897" s="18"/>
      <c r="M3897" s="18"/>
      <c r="N3897" s="18"/>
      <c r="O3897" s="18"/>
      <c r="P3897" s="18"/>
      <c r="Q3897" s="18"/>
    </row>
    <row r="3898" spans="1:17">
      <c r="A3898" s="18"/>
      <c r="B3898" s="18"/>
      <c r="C3898" s="18"/>
      <c r="D3898" s="18"/>
      <c r="E3898" s="18"/>
      <c r="F3898" s="18"/>
      <c r="G3898" s="18"/>
      <c r="H3898" s="18"/>
      <c r="I3898" s="18"/>
      <c r="J3898" s="18"/>
      <c r="K3898" s="18"/>
      <c r="L3898" s="18"/>
      <c r="M3898" s="18"/>
      <c r="N3898" s="18"/>
      <c r="O3898" s="18"/>
      <c r="P3898" s="18"/>
      <c r="Q3898" s="18"/>
    </row>
    <row r="3899" spans="1:17">
      <c r="A3899" s="18"/>
      <c r="B3899" s="18"/>
      <c r="C3899" s="18"/>
      <c r="D3899" s="18"/>
      <c r="E3899" s="18"/>
      <c r="F3899" s="18"/>
      <c r="G3899" s="18"/>
      <c r="H3899" s="18"/>
      <c r="I3899" s="18"/>
      <c r="J3899" s="18"/>
      <c r="K3899" s="18"/>
      <c r="L3899" s="18"/>
      <c r="M3899" s="18"/>
      <c r="N3899" s="18"/>
      <c r="O3899" s="18"/>
      <c r="P3899" s="18"/>
      <c r="Q3899" s="18"/>
    </row>
    <row r="3900" spans="1:17">
      <c r="A3900" s="18"/>
      <c r="B3900" s="18"/>
      <c r="C3900" s="18"/>
      <c r="D3900" s="18"/>
      <c r="E3900" s="18"/>
      <c r="F3900" s="18"/>
      <c r="G3900" s="18"/>
      <c r="H3900" s="18"/>
      <c r="I3900" s="18"/>
      <c r="J3900" s="18"/>
      <c r="K3900" s="18"/>
      <c r="L3900" s="18"/>
      <c r="M3900" s="18"/>
      <c r="N3900" s="18"/>
      <c r="O3900" s="18"/>
      <c r="P3900" s="18"/>
      <c r="Q3900" s="18"/>
    </row>
    <row r="3901" spans="1:17">
      <c r="A3901" s="18"/>
      <c r="B3901" s="18"/>
      <c r="C3901" s="18"/>
      <c r="D3901" s="18"/>
      <c r="E3901" s="18"/>
      <c r="F3901" s="18"/>
      <c r="G3901" s="18"/>
      <c r="H3901" s="18"/>
      <c r="I3901" s="18"/>
      <c r="J3901" s="18"/>
      <c r="K3901" s="18"/>
      <c r="L3901" s="18"/>
      <c r="M3901" s="18"/>
      <c r="N3901" s="18"/>
      <c r="O3901" s="18"/>
      <c r="P3901" s="18"/>
      <c r="Q3901" s="18"/>
    </row>
    <row r="3902" spans="1:17">
      <c r="A3902" s="18"/>
      <c r="B3902" s="18"/>
      <c r="C3902" s="18"/>
      <c r="D3902" s="18"/>
      <c r="E3902" s="18"/>
      <c r="F3902" s="18"/>
      <c r="G3902" s="18"/>
      <c r="H3902" s="18"/>
      <c r="I3902" s="18"/>
      <c r="J3902" s="18"/>
      <c r="K3902" s="18"/>
      <c r="L3902" s="18"/>
      <c r="M3902" s="18"/>
      <c r="N3902" s="18"/>
      <c r="O3902" s="18"/>
      <c r="P3902" s="18"/>
      <c r="Q3902" s="18"/>
    </row>
    <row r="3903" spans="1:17">
      <c r="A3903" s="18"/>
      <c r="B3903" s="18"/>
      <c r="C3903" s="18"/>
      <c r="D3903" s="18"/>
      <c r="E3903" s="18"/>
      <c r="F3903" s="18"/>
      <c r="G3903" s="18"/>
      <c r="H3903" s="18"/>
      <c r="I3903" s="18"/>
      <c r="J3903" s="18"/>
      <c r="K3903" s="18"/>
      <c r="L3903" s="18"/>
      <c r="M3903" s="18"/>
      <c r="N3903" s="18"/>
      <c r="O3903" s="18"/>
      <c r="P3903" s="18"/>
      <c r="Q3903" s="18"/>
    </row>
    <row r="3904" spans="1:17">
      <c r="A3904" s="18"/>
      <c r="B3904" s="18"/>
      <c r="C3904" s="18"/>
      <c r="D3904" s="18"/>
      <c r="E3904" s="18"/>
      <c r="F3904" s="18"/>
      <c r="G3904" s="18"/>
      <c r="H3904" s="18"/>
      <c r="I3904" s="18"/>
      <c r="J3904" s="18"/>
      <c r="K3904" s="18"/>
      <c r="L3904" s="18"/>
      <c r="M3904" s="18"/>
      <c r="N3904" s="18"/>
      <c r="O3904" s="18"/>
      <c r="P3904" s="18"/>
      <c r="Q3904" s="18"/>
    </row>
    <row r="3905" spans="1:17">
      <c r="A3905" s="18"/>
      <c r="B3905" s="18"/>
      <c r="C3905" s="18"/>
      <c r="D3905" s="18"/>
      <c r="E3905" s="18"/>
      <c r="F3905" s="18"/>
      <c r="G3905" s="18"/>
      <c r="H3905" s="18"/>
      <c r="I3905" s="18"/>
      <c r="J3905" s="18"/>
      <c r="K3905" s="18"/>
      <c r="L3905" s="18"/>
      <c r="M3905" s="18"/>
      <c r="N3905" s="18"/>
      <c r="O3905" s="18"/>
      <c r="P3905" s="18"/>
      <c r="Q3905" s="18"/>
    </row>
    <row r="3906" spans="1:17">
      <c r="A3906" s="18"/>
      <c r="B3906" s="18"/>
      <c r="C3906" s="18"/>
      <c r="D3906" s="18"/>
      <c r="E3906" s="18"/>
      <c r="F3906" s="18"/>
      <c r="G3906" s="18"/>
      <c r="H3906" s="18"/>
      <c r="I3906" s="18"/>
      <c r="J3906" s="18"/>
      <c r="K3906" s="18"/>
      <c r="L3906" s="18"/>
      <c r="M3906" s="18"/>
      <c r="N3906" s="18"/>
      <c r="O3906" s="18"/>
      <c r="P3906" s="18"/>
      <c r="Q3906" s="18"/>
    </row>
    <row r="3907" spans="1:17">
      <c r="A3907" s="18"/>
      <c r="B3907" s="18"/>
      <c r="C3907" s="18"/>
      <c r="D3907" s="18"/>
      <c r="E3907" s="18"/>
      <c r="F3907" s="18"/>
      <c r="G3907" s="18"/>
      <c r="H3907" s="18"/>
      <c r="I3907" s="18"/>
      <c r="J3907" s="18"/>
      <c r="K3907" s="18"/>
      <c r="L3907" s="18"/>
      <c r="M3907" s="18"/>
      <c r="N3907" s="18"/>
      <c r="O3907" s="18"/>
      <c r="P3907" s="18"/>
      <c r="Q3907" s="18"/>
    </row>
    <row r="3908" spans="1:17">
      <c r="A3908" s="18"/>
      <c r="B3908" s="18"/>
      <c r="C3908" s="18"/>
      <c r="D3908" s="18"/>
      <c r="E3908" s="18"/>
      <c r="F3908" s="18"/>
      <c r="G3908" s="18"/>
      <c r="H3908" s="18"/>
      <c r="I3908" s="18"/>
      <c r="J3908" s="18"/>
      <c r="K3908" s="18"/>
      <c r="L3908" s="18"/>
      <c r="M3908" s="18"/>
      <c r="N3908" s="18"/>
      <c r="O3908" s="18"/>
      <c r="P3908" s="18"/>
      <c r="Q3908" s="18"/>
    </row>
    <row r="3909" spans="1:17">
      <c r="A3909" s="18"/>
      <c r="B3909" s="18"/>
      <c r="C3909" s="18"/>
      <c r="D3909" s="18"/>
      <c r="E3909" s="18"/>
      <c r="F3909" s="18"/>
      <c r="G3909" s="18"/>
      <c r="H3909" s="18"/>
      <c r="I3909" s="18"/>
      <c r="J3909" s="18"/>
      <c r="K3909" s="18"/>
      <c r="L3909" s="18"/>
      <c r="M3909" s="18"/>
      <c r="N3909" s="18"/>
      <c r="O3909" s="18"/>
      <c r="P3909" s="18"/>
      <c r="Q3909" s="18"/>
    </row>
    <row r="3910" spans="1:17">
      <c r="A3910" s="18"/>
      <c r="B3910" s="18"/>
      <c r="C3910" s="18"/>
      <c r="D3910" s="18"/>
      <c r="E3910" s="18"/>
      <c r="F3910" s="18"/>
      <c r="G3910" s="18"/>
      <c r="H3910" s="18"/>
      <c r="I3910" s="18"/>
      <c r="J3910" s="18"/>
      <c r="K3910" s="18"/>
      <c r="L3910" s="18"/>
      <c r="M3910" s="18"/>
      <c r="N3910" s="18"/>
      <c r="O3910" s="18"/>
      <c r="P3910" s="18"/>
      <c r="Q3910" s="18"/>
    </row>
    <row r="3911" spans="1:17">
      <c r="A3911" s="18"/>
      <c r="B3911" s="18"/>
      <c r="C3911" s="18"/>
      <c r="D3911" s="18"/>
      <c r="E3911" s="18"/>
      <c r="F3911" s="18"/>
      <c r="G3911" s="18"/>
      <c r="H3911" s="18"/>
      <c r="I3911" s="18"/>
      <c r="J3911" s="18"/>
      <c r="K3911" s="18"/>
      <c r="L3911" s="18"/>
      <c r="M3911" s="18"/>
      <c r="N3911" s="18"/>
      <c r="O3911" s="18"/>
      <c r="P3911" s="18"/>
      <c r="Q3911" s="18"/>
    </row>
    <row r="3912" spans="1:17">
      <c r="A3912" s="18"/>
      <c r="B3912" s="18"/>
      <c r="C3912" s="18"/>
      <c r="D3912" s="18"/>
      <c r="E3912" s="18"/>
      <c r="F3912" s="18"/>
      <c r="G3912" s="18"/>
      <c r="H3912" s="18"/>
      <c r="I3912" s="18"/>
      <c r="J3912" s="18"/>
      <c r="K3912" s="18"/>
      <c r="L3912" s="18"/>
      <c r="M3912" s="18"/>
      <c r="N3912" s="18"/>
      <c r="O3912" s="18"/>
      <c r="P3912" s="18"/>
      <c r="Q3912" s="18"/>
    </row>
    <row r="3913" spans="1:17">
      <c r="A3913" s="18"/>
      <c r="B3913" s="18"/>
      <c r="C3913" s="18"/>
      <c r="D3913" s="18"/>
      <c r="E3913" s="18"/>
      <c r="F3913" s="18"/>
      <c r="G3913" s="18"/>
      <c r="H3913" s="18"/>
      <c r="I3913" s="18"/>
      <c r="J3913" s="18"/>
      <c r="K3913" s="18"/>
      <c r="L3913" s="18"/>
      <c r="M3913" s="18"/>
      <c r="N3913" s="18"/>
      <c r="O3913" s="18"/>
      <c r="P3913" s="18"/>
      <c r="Q3913" s="18"/>
    </row>
    <row r="3914" spans="1:17">
      <c r="A3914" s="18"/>
      <c r="B3914" s="18"/>
      <c r="C3914" s="18"/>
      <c r="D3914" s="18"/>
      <c r="E3914" s="18"/>
      <c r="F3914" s="18"/>
      <c r="G3914" s="18"/>
      <c r="H3914" s="18"/>
      <c r="I3914" s="18"/>
      <c r="J3914" s="18"/>
      <c r="K3914" s="18"/>
      <c r="L3914" s="18"/>
      <c r="M3914" s="18"/>
      <c r="N3914" s="18"/>
      <c r="O3914" s="18"/>
      <c r="P3914" s="18"/>
      <c r="Q3914" s="18"/>
    </row>
    <row r="3915" spans="1:17">
      <c r="A3915" s="18"/>
      <c r="B3915" s="18"/>
      <c r="C3915" s="18"/>
      <c r="D3915" s="18"/>
      <c r="E3915" s="18"/>
      <c r="F3915" s="18"/>
      <c r="G3915" s="18"/>
      <c r="H3915" s="18"/>
      <c r="I3915" s="18"/>
      <c r="J3915" s="18"/>
      <c r="K3915" s="18"/>
      <c r="L3915" s="18"/>
      <c r="M3915" s="18"/>
      <c r="N3915" s="18"/>
      <c r="O3915" s="18"/>
      <c r="P3915" s="18"/>
      <c r="Q3915" s="18"/>
    </row>
    <row r="3916" spans="1:17">
      <c r="A3916" s="18"/>
      <c r="B3916" s="18"/>
      <c r="C3916" s="18"/>
      <c r="D3916" s="18"/>
      <c r="E3916" s="18"/>
      <c r="F3916" s="18"/>
      <c r="G3916" s="18"/>
      <c r="H3916" s="18"/>
      <c r="I3916" s="18"/>
      <c r="J3916" s="18"/>
      <c r="K3916" s="18"/>
      <c r="L3916" s="18"/>
      <c r="M3916" s="18"/>
      <c r="N3916" s="18"/>
      <c r="O3916" s="18"/>
      <c r="P3916" s="18"/>
      <c r="Q3916" s="18"/>
    </row>
    <row r="3917" spans="1:17">
      <c r="A3917" s="18"/>
      <c r="B3917" s="18"/>
      <c r="C3917" s="18"/>
      <c r="D3917" s="18"/>
      <c r="E3917" s="18"/>
      <c r="F3917" s="18"/>
      <c r="G3917" s="18"/>
      <c r="H3917" s="18"/>
      <c r="I3917" s="18"/>
      <c r="J3917" s="18"/>
      <c r="K3917" s="18"/>
      <c r="L3917" s="18"/>
      <c r="M3917" s="18"/>
      <c r="N3917" s="18"/>
      <c r="O3917" s="18"/>
      <c r="P3917" s="18"/>
      <c r="Q3917" s="18"/>
    </row>
    <row r="3918" spans="1:17">
      <c r="A3918" s="18"/>
      <c r="B3918" s="18"/>
      <c r="C3918" s="18"/>
      <c r="D3918" s="18"/>
      <c r="E3918" s="18"/>
      <c r="F3918" s="18"/>
      <c r="G3918" s="18"/>
      <c r="H3918" s="18"/>
      <c r="I3918" s="18"/>
      <c r="J3918" s="18"/>
      <c r="K3918" s="18"/>
      <c r="L3918" s="18"/>
      <c r="M3918" s="18"/>
      <c r="N3918" s="18"/>
      <c r="O3918" s="18"/>
      <c r="P3918" s="18"/>
      <c r="Q3918" s="18"/>
    </row>
    <row r="3919" spans="1:17">
      <c r="A3919" s="18"/>
      <c r="B3919" s="18"/>
      <c r="C3919" s="18"/>
      <c r="D3919" s="18"/>
      <c r="E3919" s="18"/>
      <c r="F3919" s="18"/>
      <c r="G3919" s="18"/>
      <c r="H3919" s="18"/>
      <c r="I3919" s="18"/>
      <c r="J3919" s="18"/>
      <c r="K3919" s="18"/>
      <c r="L3919" s="18"/>
      <c r="M3919" s="18"/>
      <c r="N3919" s="18"/>
      <c r="O3919" s="18"/>
      <c r="P3919" s="18"/>
      <c r="Q3919" s="18"/>
    </row>
    <row r="3920" spans="1:17">
      <c r="A3920" s="18"/>
      <c r="B3920" s="18"/>
      <c r="C3920" s="18"/>
      <c r="D3920" s="18"/>
      <c r="E3920" s="18"/>
      <c r="F3920" s="18"/>
      <c r="G3920" s="18"/>
      <c r="H3920" s="18"/>
      <c r="I3920" s="18"/>
      <c r="J3920" s="18"/>
      <c r="K3920" s="18"/>
      <c r="L3920" s="18"/>
      <c r="M3920" s="18"/>
      <c r="N3920" s="18"/>
      <c r="O3920" s="18"/>
      <c r="P3920" s="18"/>
      <c r="Q3920" s="18"/>
    </row>
    <row r="3921" spans="1:17">
      <c r="A3921" s="18"/>
      <c r="B3921" s="18"/>
      <c r="C3921" s="18"/>
      <c r="D3921" s="18"/>
      <c r="E3921" s="18"/>
      <c r="F3921" s="18"/>
      <c r="G3921" s="18"/>
      <c r="H3921" s="18"/>
      <c r="I3921" s="18"/>
      <c r="J3921" s="18"/>
      <c r="K3921" s="18"/>
      <c r="L3921" s="18"/>
      <c r="M3921" s="18"/>
      <c r="N3921" s="18"/>
      <c r="O3921" s="18"/>
      <c r="P3921" s="18"/>
      <c r="Q3921" s="18"/>
    </row>
    <row r="3922" spans="1:17">
      <c r="A3922" s="18"/>
      <c r="B3922" s="18"/>
      <c r="C3922" s="18"/>
      <c r="D3922" s="18"/>
      <c r="E3922" s="18"/>
      <c r="F3922" s="18"/>
      <c r="G3922" s="18"/>
      <c r="H3922" s="18"/>
      <c r="I3922" s="18"/>
      <c r="J3922" s="18"/>
      <c r="K3922" s="18"/>
      <c r="L3922" s="18"/>
      <c r="M3922" s="18"/>
      <c r="N3922" s="18"/>
      <c r="O3922" s="18"/>
      <c r="P3922" s="18"/>
      <c r="Q3922" s="18"/>
    </row>
    <row r="3923" spans="1:17">
      <c r="A3923" s="18"/>
      <c r="B3923" s="18"/>
      <c r="C3923" s="18"/>
      <c r="D3923" s="18"/>
      <c r="E3923" s="18"/>
      <c r="F3923" s="18"/>
      <c r="G3923" s="18"/>
      <c r="H3923" s="18"/>
      <c r="I3923" s="18"/>
      <c r="J3923" s="18"/>
      <c r="K3923" s="18"/>
      <c r="L3923" s="18"/>
      <c r="M3923" s="18"/>
      <c r="N3923" s="18"/>
      <c r="O3923" s="18"/>
      <c r="P3923" s="18"/>
      <c r="Q3923" s="18"/>
    </row>
    <row r="3924" spans="1:17">
      <c r="A3924" s="18"/>
      <c r="B3924" s="18"/>
      <c r="C3924" s="18"/>
      <c r="D3924" s="18"/>
      <c r="E3924" s="18"/>
      <c r="F3924" s="18"/>
      <c r="G3924" s="18"/>
      <c r="H3924" s="18"/>
      <c r="I3924" s="18"/>
      <c r="J3924" s="18"/>
      <c r="K3924" s="18"/>
      <c r="L3924" s="18"/>
      <c r="M3924" s="18"/>
      <c r="N3924" s="18"/>
      <c r="O3924" s="18"/>
      <c r="P3924" s="18"/>
      <c r="Q3924" s="18"/>
    </row>
    <row r="3925" spans="1:17">
      <c r="A3925" s="18"/>
      <c r="B3925" s="18"/>
      <c r="C3925" s="18"/>
      <c r="D3925" s="18"/>
      <c r="E3925" s="18"/>
      <c r="F3925" s="18"/>
      <c r="G3925" s="18"/>
      <c r="H3925" s="18"/>
      <c r="I3925" s="18"/>
      <c r="J3925" s="18"/>
      <c r="K3925" s="18"/>
      <c r="L3925" s="18"/>
      <c r="M3925" s="18"/>
      <c r="N3925" s="18"/>
      <c r="O3925" s="18"/>
      <c r="P3925" s="18"/>
      <c r="Q3925" s="18"/>
    </row>
    <row r="3926" spans="1:17">
      <c r="A3926" s="18"/>
      <c r="B3926" s="18"/>
      <c r="C3926" s="18"/>
      <c r="D3926" s="18"/>
      <c r="E3926" s="18"/>
      <c r="F3926" s="18"/>
      <c r="G3926" s="18"/>
      <c r="H3926" s="18"/>
      <c r="I3926" s="18"/>
      <c r="J3926" s="18"/>
      <c r="K3926" s="18"/>
      <c r="L3926" s="18"/>
      <c r="M3926" s="18"/>
      <c r="N3926" s="18"/>
      <c r="O3926" s="18"/>
      <c r="P3926" s="18"/>
      <c r="Q3926" s="18"/>
    </row>
    <row r="3927" spans="1:17">
      <c r="A3927" s="18"/>
      <c r="B3927" s="18"/>
      <c r="C3927" s="18"/>
      <c r="D3927" s="18"/>
      <c r="E3927" s="18"/>
      <c r="F3927" s="18"/>
      <c r="G3927" s="18"/>
      <c r="H3927" s="18"/>
      <c r="I3927" s="18"/>
      <c r="J3927" s="18"/>
      <c r="K3927" s="18"/>
      <c r="L3927" s="18"/>
      <c r="M3927" s="18"/>
      <c r="N3927" s="18"/>
      <c r="O3927" s="18"/>
      <c r="P3927" s="18"/>
      <c r="Q3927" s="18"/>
    </row>
    <row r="3928" spans="1:17">
      <c r="A3928" s="18"/>
      <c r="B3928" s="18"/>
      <c r="C3928" s="18"/>
      <c r="D3928" s="18"/>
      <c r="E3928" s="18"/>
      <c r="F3928" s="18"/>
      <c r="G3928" s="18"/>
      <c r="H3928" s="18"/>
      <c r="I3928" s="18"/>
      <c r="J3928" s="18"/>
      <c r="K3928" s="18"/>
      <c r="L3928" s="18"/>
      <c r="M3928" s="18"/>
      <c r="N3928" s="18"/>
      <c r="O3928" s="18"/>
      <c r="P3928" s="18"/>
      <c r="Q3928" s="18"/>
    </row>
    <row r="3929" spans="1:17">
      <c r="A3929" s="18"/>
      <c r="B3929" s="18"/>
      <c r="C3929" s="18"/>
      <c r="D3929" s="18"/>
      <c r="E3929" s="18"/>
      <c r="F3929" s="18"/>
      <c r="G3929" s="18"/>
      <c r="H3929" s="18"/>
      <c r="I3929" s="18"/>
      <c r="J3929" s="18"/>
      <c r="K3929" s="18"/>
      <c r="L3929" s="18"/>
      <c r="M3929" s="18"/>
      <c r="N3929" s="18"/>
      <c r="O3929" s="18"/>
      <c r="P3929" s="18"/>
      <c r="Q3929" s="18"/>
    </row>
    <row r="3930" spans="1:17">
      <c r="A3930" s="18"/>
      <c r="B3930" s="18"/>
      <c r="C3930" s="18"/>
      <c r="D3930" s="18"/>
      <c r="E3930" s="18"/>
      <c r="F3930" s="18"/>
      <c r="G3930" s="18"/>
      <c r="H3930" s="18"/>
      <c r="I3930" s="18"/>
      <c r="J3930" s="18"/>
      <c r="K3930" s="18"/>
      <c r="L3930" s="18"/>
      <c r="M3930" s="18"/>
      <c r="N3930" s="18"/>
      <c r="O3930" s="18"/>
      <c r="P3930" s="18"/>
      <c r="Q3930" s="18"/>
    </row>
    <row r="3931" spans="1:17">
      <c r="A3931" s="18"/>
      <c r="B3931" s="18"/>
      <c r="C3931" s="18"/>
      <c r="D3931" s="18"/>
      <c r="E3931" s="18"/>
      <c r="F3931" s="18"/>
      <c r="G3931" s="18"/>
      <c r="H3931" s="18"/>
      <c r="I3931" s="18"/>
      <c r="J3931" s="18"/>
      <c r="K3931" s="18"/>
      <c r="L3931" s="18"/>
      <c r="M3931" s="18"/>
      <c r="N3931" s="18"/>
      <c r="O3931" s="18"/>
      <c r="P3931" s="18"/>
      <c r="Q3931" s="18"/>
    </row>
    <row r="3932" spans="1:17">
      <c r="A3932" s="18"/>
      <c r="B3932" s="18"/>
      <c r="C3932" s="18"/>
      <c r="D3932" s="18"/>
      <c r="E3932" s="18"/>
      <c r="F3932" s="18"/>
      <c r="G3932" s="18"/>
      <c r="H3932" s="18"/>
      <c r="I3932" s="18"/>
      <c r="J3932" s="18"/>
      <c r="K3932" s="18"/>
      <c r="L3932" s="18"/>
      <c r="M3932" s="18"/>
      <c r="N3932" s="18"/>
      <c r="O3932" s="18"/>
      <c r="P3932" s="18"/>
      <c r="Q3932" s="18"/>
    </row>
    <row r="3933" spans="1:17">
      <c r="A3933" s="18"/>
      <c r="B3933" s="18"/>
      <c r="C3933" s="18"/>
      <c r="D3933" s="18"/>
      <c r="E3933" s="18"/>
      <c r="F3933" s="18"/>
      <c r="G3933" s="18"/>
      <c r="H3933" s="18"/>
      <c r="I3933" s="18"/>
      <c r="J3933" s="18"/>
      <c r="K3933" s="18"/>
      <c r="L3933" s="18"/>
      <c r="M3933" s="18"/>
      <c r="N3933" s="18"/>
      <c r="O3933" s="18"/>
      <c r="P3933" s="18"/>
      <c r="Q3933" s="18"/>
    </row>
    <row r="3934" spans="1:17">
      <c r="A3934" s="18"/>
      <c r="B3934" s="18"/>
      <c r="C3934" s="18"/>
      <c r="D3934" s="18"/>
      <c r="E3934" s="18"/>
      <c r="F3934" s="18"/>
      <c r="G3934" s="18"/>
      <c r="H3934" s="18"/>
      <c r="I3934" s="18"/>
      <c r="J3934" s="18"/>
      <c r="K3934" s="18"/>
      <c r="L3934" s="18"/>
      <c r="M3934" s="18"/>
      <c r="N3934" s="18"/>
      <c r="O3934" s="18"/>
      <c r="P3934" s="18"/>
      <c r="Q3934" s="18"/>
    </row>
    <row r="3935" spans="1:17">
      <c r="A3935" s="18"/>
      <c r="B3935" s="18"/>
      <c r="C3935" s="18"/>
      <c r="D3935" s="18"/>
      <c r="E3935" s="18"/>
      <c r="F3935" s="18"/>
      <c r="G3935" s="18"/>
      <c r="H3935" s="18"/>
      <c r="I3935" s="18"/>
      <c r="J3935" s="18"/>
      <c r="K3935" s="18"/>
      <c r="L3935" s="18"/>
      <c r="M3935" s="18"/>
      <c r="N3935" s="18"/>
      <c r="O3935" s="18"/>
      <c r="P3935" s="18"/>
      <c r="Q3935" s="18"/>
    </row>
    <row r="3936" spans="1:17">
      <c r="A3936" s="18"/>
      <c r="B3936" s="18"/>
      <c r="C3936" s="18"/>
      <c r="D3936" s="18"/>
      <c r="E3936" s="18"/>
      <c r="F3936" s="18"/>
      <c r="G3936" s="18"/>
      <c r="H3936" s="18"/>
      <c r="I3936" s="18"/>
      <c r="J3936" s="18"/>
      <c r="K3936" s="18"/>
      <c r="L3936" s="18"/>
      <c r="M3936" s="18"/>
      <c r="N3936" s="18"/>
      <c r="O3936" s="18"/>
      <c r="P3936" s="18"/>
      <c r="Q3936" s="18"/>
    </row>
    <row r="3937" spans="1:17">
      <c r="A3937" s="18"/>
      <c r="B3937" s="18"/>
      <c r="C3937" s="18"/>
      <c r="D3937" s="18"/>
      <c r="E3937" s="18"/>
      <c r="F3937" s="18"/>
      <c r="G3937" s="18"/>
      <c r="H3937" s="18"/>
      <c r="I3937" s="18"/>
      <c r="J3937" s="18"/>
      <c r="K3937" s="18"/>
      <c r="L3937" s="18"/>
      <c r="M3937" s="18"/>
      <c r="N3937" s="18"/>
      <c r="O3937" s="18"/>
      <c r="P3937" s="18"/>
      <c r="Q3937" s="18"/>
    </row>
    <row r="3938" spans="1:17">
      <c r="A3938" s="18"/>
      <c r="B3938" s="18"/>
      <c r="C3938" s="18"/>
      <c r="D3938" s="18"/>
      <c r="E3938" s="18"/>
      <c r="F3938" s="18"/>
      <c r="G3938" s="18"/>
      <c r="H3938" s="18"/>
      <c r="I3938" s="18"/>
      <c r="J3938" s="18"/>
      <c r="K3938" s="18"/>
      <c r="L3938" s="18"/>
      <c r="M3938" s="18"/>
      <c r="N3938" s="18"/>
      <c r="O3938" s="18"/>
      <c r="P3938" s="18"/>
      <c r="Q3938" s="18"/>
    </row>
    <row r="3939" spans="1:17">
      <c r="A3939" s="18"/>
      <c r="B3939" s="18"/>
      <c r="C3939" s="18"/>
      <c r="D3939" s="18"/>
      <c r="E3939" s="18"/>
      <c r="F3939" s="18"/>
      <c r="G3939" s="18"/>
      <c r="H3939" s="18"/>
      <c r="I3939" s="18"/>
      <c r="J3939" s="18"/>
      <c r="K3939" s="18"/>
      <c r="L3939" s="18"/>
      <c r="M3939" s="18"/>
      <c r="N3939" s="18"/>
      <c r="O3939" s="18"/>
      <c r="P3939" s="18"/>
      <c r="Q3939" s="18"/>
    </row>
    <row r="3940" spans="1:17">
      <c r="A3940" s="18"/>
      <c r="B3940" s="18"/>
      <c r="C3940" s="18"/>
      <c r="D3940" s="18"/>
      <c r="E3940" s="18"/>
      <c r="F3940" s="18"/>
      <c r="G3940" s="18"/>
      <c r="H3940" s="18"/>
      <c r="I3940" s="18"/>
      <c r="J3940" s="18"/>
      <c r="K3940" s="18"/>
      <c r="L3940" s="18"/>
      <c r="M3940" s="18"/>
      <c r="N3940" s="18"/>
      <c r="O3940" s="18"/>
      <c r="P3940" s="18"/>
      <c r="Q3940" s="18"/>
    </row>
    <row r="3941" spans="1:17">
      <c r="A3941" s="18"/>
      <c r="B3941" s="18"/>
      <c r="C3941" s="18"/>
      <c r="D3941" s="18"/>
      <c r="E3941" s="18"/>
      <c r="F3941" s="18"/>
      <c r="G3941" s="18"/>
      <c r="H3941" s="18"/>
      <c r="I3941" s="18"/>
      <c r="J3941" s="18"/>
      <c r="K3941" s="18"/>
      <c r="L3941" s="18"/>
      <c r="M3941" s="18"/>
      <c r="N3941" s="18"/>
      <c r="O3941" s="18"/>
      <c r="P3941" s="18"/>
      <c r="Q3941" s="18"/>
    </row>
    <row r="3942" spans="1:17">
      <c r="A3942" s="18"/>
      <c r="B3942" s="18"/>
      <c r="C3942" s="18"/>
      <c r="D3942" s="18"/>
      <c r="E3942" s="18"/>
      <c r="F3942" s="18"/>
      <c r="G3942" s="18"/>
      <c r="H3942" s="18"/>
      <c r="I3942" s="18"/>
      <c r="J3942" s="18"/>
      <c r="K3942" s="18"/>
      <c r="L3942" s="18"/>
      <c r="M3942" s="18"/>
      <c r="N3942" s="18"/>
      <c r="O3942" s="18"/>
      <c r="P3942" s="18"/>
      <c r="Q3942" s="18"/>
    </row>
    <row r="3943" spans="1:17">
      <c r="A3943" s="18"/>
      <c r="B3943" s="18"/>
      <c r="C3943" s="18"/>
      <c r="D3943" s="18"/>
      <c r="E3943" s="18"/>
      <c r="F3943" s="18"/>
      <c r="G3943" s="18"/>
      <c r="H3943" s="18"/>
      <c r="I3943" s="18"/>
      <c r="J3943" s="18"/>
      <c r="K3943" s="18"/>
      <c r="L3943" s="18"/>
      <c r="M3943" s="18"/>
      <c r="N3943" s="18"/>
      <c r="O3943" s="18"/>
      <c r="P3943" s="18"/>
      <c r="Q3943" s="18"/>
    </row>
    <row r="3944" spans="1:17">
      <c r="A3944" s="18"/>
      <c r="B3944" s="18"/>
      <c r="C3944" s="18"/>
      <c r="D3944" s="18"/>
      <c r="E3944" s="18"/>
      <c r="F3944" s="18"/>
      <c r="G3944" s="18"/>
      <c r="H3944" s="18"/>
      <c r="I3944" s="18"/>
      <c r="J3944" s="18"/>
      <c r="K3944" s="18"/>
      <c r="L3944" s="18"/>
      <c r="M3944" s="18"/>
      <c r="N3944" s="18"/>
      <c r="O3944" s="18"/>
      <c r="P3944" s="18"/>
      <c r="Q3944" s="18"/>
    </row>
    <row r="3945" spans="1:17">
      <c r="A3945" s="18"/>
      <c r="B3945" s="18"/>
      <c r="C3945" s="18"/>
      <c r="D3945" s="18"/>
      <c r="E3945" s="18"/>
      <c r="F3945" s="18"/>
      <c r="G3945" s="18"/>
      <c r="H3945" s="18"/>
      <c r="I3945" s="18"/>
      <c r="J3945" s="18"/>
      <c r="K3945" s="18"/>
      <c r="L3945" s="18"/>
      <c r="M3945" s="18"/>
      <c r="N3945" s="18"/>
      <c r="O3945" s="18"/>
      <c r="P3945" s="18"/>
      <c r="Q3945" s="18"/>
    </row>
    <row r="3946" spans="1:17">
      <c r="A3946" s="18"/>
      <c r="B3946" s="18"/>
      <c r="C3946" s="18"/>
      <c r="D3946" s="18"/>
      <c r="E3946" s="18"/>
      <c r="F3946" s="18"/>
      <c r="G3946" s="18"/>
      <c r="H3946" s="18"/>
      <c r="I3946" s="18"/>
      <c r="J3946" s="18"/>
      <c r="K3946" s="18"/>
      <c r="L3946" s="18"/>
      <c r="M3946" s="18"/>
      <c r="N3946" s="18"/>
      <c r="O3946" s="18"/>
      <c r="P3946" s="18"/>
      <c r="Q3946" s="18"/>
    </row>
    <row r="3947" spans="1:17">
      <c r="A3947" s="18"/>
      <c r="B3947" s="18"/>
      <c r="C3947" s="18"/>
      <c r="D3947" s="18"/>
      <c r="E3947" s="18"/>
      <c r="F3947" s="18"/>
      <c r="G3947" s="18"/>
      <c r="H3947" s="18"/>
      <c r="I3947" s="18"/>
      <c r="J3947" s="18"/>
      <c r="K3947" s="18"/>
      <c r="L3947" s="18"/>
      <c r="M3947" s="18"/>
      <c r="N3947" s="18"/>
      <c r="O3947" s="18"/>
      <c r="P3947" s="18"/>
      <c r="Q3947" s="18"/>
    </row>
    <row r="3948" spans="1:17">
      <c r="A3948" s="18"/>
      <c r="B3948" s="18"/>
      <c r="C3948" s="18"/>
      <c r="D3948" s="18"/>
      <c r="E3948" s="18"/>
      <c r="F3948" s="18"/>
      <c r="G3948" s="18"/>
      <c r="H3948" s="18"/>
      <c r="I3948" s="18"/>
      <c r="J3948" s="18"/>
      <c r="K3948" s="18"/>
      <c r="L3948" s="18"/>
      <c r="M3948" s="18"/>
      <c r="N3948" s="18"/>
      <c r="O3948" s="18"/>
      <c r="P3948" s="18"/>
      <c r="Q3948" s="18"/>
    </row>
    <row r="3949" spans="1:17">
      <c r="A3949" s="18"/>
      <c r="B3949" s="18"/>
      <c r="C3949" s="18"/>
      <c r="D3949" s="18"/>
      <c r="E3949" s="18"/>
      <c r="F3949" s="18"/>
      <c r="G3949" s="18"/>
      <c r="H3949" s="18"/>
      <c r="I3949" s="18"/>
      <c r="J3949" s="18"/>
      <c r="K3949" s="18"/>
      <c r="L3949" s="18"/>
      <c r="M3949" s="18"/>
      <c r="N3949" s="18"/>
      <c r="O3949" s="18"/>
      <c r="P3949" s="18"/>
      <c r="Q3949" s="18"/>
    </row>
    <row r="3950" spans="1:17">
      <c r="A3950" s="18"/>
      <c r="B3950" s="18"/>
      <c r="C3950" s="18"/>
      <c r="D3950" s="18"/>
      <c r="E3950" s="18"/>
      <c r="F3950" s="18"/>
      <c r="G3950" s="18"/>
      <c r="H3950" s="18"/>
      <c r="I3950" s="18"/>
      <c r="J3950" s="18"/>
      <c r="K3950" s="18"/>
      <c r="L3950" s="18"/>
      <c r="M3950" s="18"/>
      <c r="N3950" s="18"/>
      <c r="O3950" s="18"/>
      <c r="P3950" s="18"/>
      <c r="Q3950" s="18"/>
    </row>
    <row r="3951" spans="1:17">
      <c r="A3951" s="18"/>
      <c r="B3951" s="18"/>
      <c r="C3951" s="18"/>
      <c r="D3951" s="18"/>
      <c r="E3951" s="18"/>
      <c r="F3951" s="18"/>
      <c r="G3951" s="18"/>
      <c r="H3951" s="18"/>
      <c r="I3951" s="18"/>
      <c r="J3951" s="18"/>
      <c r="K3951" s="18"/>
      <c r="L3951" s="18"/>
      <c r="M3951" s="18"/>
      <c r="N3951" s="18"/>
      <c r="O3951" s="18"/>
      <c r="P3951" s="18"/>
      <c r="Q3951" s="18"/>
    </row>
    <row r="3952" spans="1:17">
      <c r="A3952" s="18"/>
      <c r="B3952" s="18"/>
      <c r="C3952" s="18"/>
      <c r="D3952" s="18"/>
      <c r="E3952" s="18"/>
      <c r="F3952" s="18"/>
      <c r="G3952" s="18"/>
      <c r="H3952" s="18"/>
      <c r="I3952" s="18"/>
      <c r="J3952" s="18"/>
      <c r="K3952" s="18"/>
      <c r="L3952" s="18"/>
      <c r="M3952" s="18"/>
      <c r="N3952" s="18"/>
      <c r="O3952" s="18"/>
      <c r="P3952" s="18"/>
      <c r="Q3952" s="18"/>
    </row>
    <row r="3953" spans="1:17">
      <c r="A3953" s="18"/>
      <c r="B3953" s="18"/>
      <c r="C3953" s="18"/>
      <c r="D3953" s="18"/>
      <c r="E3953" s="18"/>
      <c r="F3953" s="18"/>
      <c r="G3953" s="18"/>
      <c r="H3953" s="18"/>
      <c r="I3953" s="18"/>
      <c r="J3953" s="18"/>
      <c r="K3953" s="18"/>
      <c r="L3953" s="18"/>
      <c r="M3953" s="18"/>
      <c r="N3953" s="18"/>
      <c r="O3953" s="18"/>
      <c r="P3953" s="18"/>
      <c r="Q3953" s="18"/>
    </row>
    <row r="3954" spans="1:17">
      <c r="A3954" s="18"/>
      <c r="B3954" s="18"/>
      <c r="C3954" s="18"/>
      <c r="D3954" s="18"/>
      <c r="E3954" s="18"/>
      <c r="F3954" s="18"/>
      <c r="G3954" s="18"/>
      <c r="H3954" s="18"/>
      <c r="I3954" s="18"/>
      <c r="J3954" s="18"/>
      <c r="K3954" s="18"/>
      <c r="L3954" s="18"/>
      <c r="M3954" s="18"/>
      <c r="N3954" s="18"/>
      <c r="O3954" s="18"/>
      <c r="P3954" s="18"/>
      <c r="Q3954" s="18"/>
    </row>
    <row r="3955" spans="1:17">
      <c r="A3955" s="18"/>
      <c r="B3955" s="18"/>
      <c r="C3955" s="18"/>
      <c r="D3955" s="18"/>
      <c r="E3955" s="18"/>
      <c r="F3955" s="18"/>
      <c r="G3955" s="18"/>
      <c r="H3955" s="18"/>
      <c r="I3955" s="18"/>
      <c r="J3955" s="18"/>
      <c r="K3955" s="18"/>
      <c r="L3955" s="18"/>
      <c r="M3955" s="18"/>
      <c r="N3955" s="18"/>
      <c r="O3955" s="18"/>
      <c r="P3955" s="18"/>
      <c r="Q3955" s="18"/>
    </row>
    <row r="3956" spans="1:17">
      <c r="A3956" s="18"/>
      <c r="B3956" s="18"/>
      <c r="C3956" s="18"/>
      <c r="D3956" s="18"/>
      <c r="E3956" s="18"/>
      <c r="F3956" s="18"/>
      <c r="G3956" s="18"/>
      <c r="H3956" s="18"/>
      <c r="I3956" s="18"/>
      <c r="J3956" s="18"/>
      <c r="K3956" s="18"/>
      <c r="L3956" s="18"/>
      <c r="M3956" s="18"/>
      <c r="N3956" s="18"/>
      <c r="O3956" s="18"/>
      <c r="P3956" s="18"/>
      <c r="Q3956" s="18"/>
    </row>
    <row r="3957" spans="1:17">
      <c r="A3957" s="18"/>
      <c r="B3957" s="18"/>
      <c r="C3957" s="18"/>
      <c r="D3957" s="18"/>
      <c r="E3957" s="18"/>
      <c r="F3957" s="18"/>
      <c r="G3957" s="18"/>
      <c r="H3957" s="18"/>
      <c r="I3957" s="18"/>
      <c r="J3957" s="18"/>
      <c r="K3957" s="18"/>
      <c r="L3957" s="18"/>
      <c r="M3957" s="18"/>
      <c r="N3957" s="18"/>
      <c r="O3957" s="18"/>
      <c r="P3957" s="18"/>
      <c r="Q3957" s="18"/>
    </row>
    <row r="3958" spans="1:17">
      <c r="A3958" s="18"/>
      <c r="B3958" s="18"/>
      <c r="C3958" s="18"/>
      <c r="D3958" s="18"/>
      <c r="E3958" s="18"/>
      <c r="F3958" s="18"/>
      <c r="G3958" s="18"/>
      <c r="H3958" s="18"/>
      <c r="I3958" s="18"/>
      <c r="J3958" s="18"/>
      <c r="K3958" s="18"/>
      <c r="L3958" s="18"/>
      <c r="M3958" s="18"/>
      <c r="N3958" s="18"/>
      <c r="O3958" s="18"/>
      <c r="P3958" s="18"/>
      <c r="Q3958" s="18"/>
    </row>
    <row r="3959" spans="1:17">
      <c r="A3959" s="18"/>
      <c r="B3959" s="18"/>
      <c r="C3959" s="18"/>
      <c r="D3959" s="18"/>
      <c r="E3959" s="18"/>
      <c r="F3959" s="18"/>
      <c r="G3959" s="18"/>
      <c r="H3959" s="18"/>
      <c r="I3959" s="18"/>
      <c r="J3959" s="18"/>
      <c r="K3959" s="18"/>
      <c r="L3959" s="18"/>
      <c r="M3959" s="18"/>
      <c r="N3959" s="18"/>
      <c r="O3959" s="18"/>
      <c r="P3959" s="18"/>
      <c r="Q3959" s="18"/>
    </row>
    <row r="3960" spans="1:17">
      <c r="A3960" s="18"/>
      <c r="B3960" s="18"/>
      <c r="C3960" s="18"/>
      <c r="D3960" s="18"/>
      <c r="E3960" s="18"/>
      <c r="F3960" s="18"/>
      <c r="G3960" s="18"/>
      <c r="H3960" s="18"/>
      <c r="I3960" s="18"/>
      <c r="J3960" s="18"/>
      <c r="K3960" s="18"/>
      <c r="L3960" s="18"/>
      <c r="M3960" s="18"/>
      <c r="N3960" s="18"/>
      <c r="O3960" s="18"/>
      <c r="P3960" s="18"/>
      <c r="Q3960" s="18"/>
    </row>
    <row r="3961" spans="1:17">
      <c r="A3961" s="18"/>
      <c r="B3961" s="18"/>
      <c r="C3961" s="18"/>
      <c r="D3961" s="18"/>
      <c r="E3961" s="18"/>
      <c r="F3961" s="18"/>
      <c r="G3961" s="18"/>
      <c r="H3961" s="18"/>
      <c r="I3961" s="18"/>
      <c r="J3961" s="18"/>
      <c r="K3961" s="18"/>
      <c r="L3961" s="18"/>
      <c r="M3961" s="18"/>
      <c r="N3961" s="18"/>
      <c r="O3961" s="18"/>
      <c r="P3961" s="18"/>
      <c r="Q3961" s="18"/>
    </row>
    <row r="3962" spans="1:17">
      <c r="A3962" s="18"/>
      <c r="B3962" s="18"/>
      <c r="C3962" s="18"/>
      <c r="D3962" s="18"/>
      <c r="E3962" s="18"/>
      <c r="F3962" s="18"/>
      <c r="G3962" s="18"/>
      <c r="H3962" s="18"/>
      <c r="I3962" s="18"/>
      <c r="J3962" s="18"/>
      <c r="K3962" s="18"/>
      <c r="L3962" s="18"/>
      <c r="M3962" s="18"/>
      <c r="N3962" s="18"/>
      <c r="O3962" s="18"/>
      <c r="P3962" s="18"/>
      <c r="Q3962" s="18"/>
    </row>
    <row r="3963" spans="1:17">
      <c r="A3963" s="18"/>
      <c r="B3963" s="18"/>
      <c r="C3963" s="18"/>
      <c r="D3963" s="18"/>
      <c r="E3963" s="18"/>
      <c r="F3963" s="18"/>
      <c r="G3963" s="18"/>
      <c r="H3963" s="18"/>
      <c r="I3963" s="18"/>
      <c r="J3963" s="18"/>
      <c r="K3963" s="18"/>
      <c r="L3963" s="18"/>
      <c r="M3963" s="18"/>
      <c r="N3963" s="18"/>
      <c r="O3963" s="18"/>
      <c r="P3963" s="18"/>
      <c r="Q3963" s="18"/>
    </row>
    <row r="3964" spans="1:17">
      <c r="A3964" s="18"/>
      <c r="B3964" s="18"/>
      <c r="C3964" s="18"/>
      <c r="D3964" s="18"/>
      <c r="E3964" s="18"/>
      <c r="F3964" s="18"/>
      <c r="G3964" s="18"/>
      <c r="H3964" s="18"/>
      <c r="I3964" s="18"/>
      <c r="J3964" s="18"/>
      <c r="K3964" s="18"/>
      <c r="L3964" s="18"/>
      <c r="M3964" s="18"/>
      <c r="N3964" s="18"/>
      <c r="O3964" s="18"/>
      <c r="P3964" s="18"/>
      <c r="Q3964" s="18"/>
    </row>
    <row r="3965" spans="1:17">
      <c r="A3965" s="18"/>
      <c r="B3965" s="18"/>
      <c r="C3965" s="18"/>
      <c r="D3965" s="18"/>
      <c r="E3965" s="18"/>
      <c r="F3965" s="18"/>
      <c r="G3965" s="18"/>
      <c r="H3965" s="18"/>
      <c r="I3965" s="18"/>
      <c r="J3965" s="18"/>
      <c r="K3965" s="18"/>
      <c r="L3965" s="18"/>
      <c r="M3965" s="18"/>
      <c r="N3965" s="18"/>
      <c r="O3965" s="18"/>
      <c r="P3965" s="18"/>
      <c r="Q3965" s="18"/>
    </row>
    <row r="3966" spans="1:17">
      <c r="A3966" s="18"/>
      <c r="B3966" s="18"/>
      <c r="C3966" s="18"/>
      <c r="D3966" s="18"/>
      <c r="E3966" s="18"/>
      <c r="F3966" s="18"/>
      <c r="G3966" s="18"/>
      <c r="H3966" s="18"/>
      <c r="I3966" s="18"/>
      <c r="J3966" s="18"/>
      <c r="K3966" s="18"/>
      <c r="L3966" s="18"/>
      <c r="M3966" s="18"/>
      <c r="N3966" s="18"/>
      <c r="O3966" s="18"/>
      <c r="P3966" s="18"/>
      <c r="Q3966" s="18"/>
    </row>
    <row r="3967" spans="1:17">
      <c r="A3967" s="18"/>
      <c r="B3967" s="18"/>
      <c r="C3967" s="18"/>
      <c r="D3967" s="18"/>
      <c r="E3967" s="18"/>
      <c r="F3967" s="18"/>
      <c r="G3967" s="18"/>
      <c r="H3967" s="18"/>
      <c r="I3967" s="18"/>
      <c r="J3967" s="18"/>
      <c r="K3967" s="18"/>
      <c r="L3967" s="18"/>
      <c r="M3967" s="18"/>
      <c r="N3967" s="18"/>
      <c r="O3967" s="18"/>
      <c r="P3967" s="18"/>
      <c r="Q3967" s="18"/>
    </row>
    <row r="3968" spans="1:17">
      <c r="A3968" s="18"/>
      <c r="B3968" s="18"/>
      <c r="C3968" s="18"/>
      <c r="D3968" s="18"/>
      <c r="E3968" s="18"/>
      <c r="F3968" s="18"/>
      <c r="G3968" s="18"/>
      <c r="H3968" s="18"/>
      <c r="I3968" s="18"/>
      <c r="J3968" s="18"/>
      <c r="K3968" s="18"/>
      <c r="L3968" s="18"/>
      <c r="M3968" s="18"/>
      <c r="N3968" s="18"/>
      <c r="O3968" s="18"/>
      <c r="P3968" s="18"/>
      <c r="Q3968" s="18"/>
    </row>
    <row r="3969" spans="1:17">
      <c r="A3969" s="18"/>
      <c r="B3969" s="18"/>
      <c r="C3969" s="18"/>
      <c r="D3969" s="18"/>
      <c r="E3969" s="18"/>
      <c r="F3969" s="18"/>
      <c r="G3969" s="18"/>
      <c r="H3969" s="18"/>
      <c r="I3969" s="18"/>
      <c r="J3969" s="18"/>
      <c r="K3969" s="18"/>
      <c r="L3969" s="18"/>
      <c r="M3969" s="18"/>
      <c r="N3969" s="18"/>
      <c r="O3969" s="18"/>
      <c r="P3969" s="18"/>
      <c r="Q3969" s="18"/>
    </row>
    <row r="3970" spans="1:17">
      <c r="A3970" s="18"/>
      <c r="B3970" s="18"/>
      <c r="C3970" s="18"/>
      <c r="D3970" s="18"/>
      <c r="E3970" s="18"/>
      <c r="F3970" s="18"/>
      <c r="G3970" s="18"/>
      <c r="H3970" s="18"/>
      <c r="I3970" s="18"/>
      <c r="J3970" s="18"/>
      <c r="K3970" s="18"/>
      <c r="L3970" s="18"/>
      <c r="M3970" s="18"/>
      <c r="N3970" s="18"/>
      <c r="O3970" s="18"/>
      <c r="P3970" s="18"/>
      <c r="Q3970" s="18"/>
    </row>
    <row r="3971" spans="1:17">
      <c r="A3971" s="18"/>
      <c r="B3971" s="18"/>
      <c r="C3971" s="18"/>
      <c r="D3971" s="18"/>
      <c r="E3971" s="18"/>
      <c r="F3971" s="18"/>
      <c r="G3971" s="18"/>
      <c r="H3971" s="18"/>
      <c r="I3971" s="18"/>
      <c r="J3971" s="18"/>
      <c r="K3971" s="18"/>
      <c r="L3971" s="18"/>
      <c r="M3971" s="18"/>
      <c r="N3971" s="18"/>
      <c r="O3971" s="18"/>
      <c r="P3971" s="18"/>
      <c r="Q3971" s="18"/>
    </row>
    <row r="3972" spans="1:17">
      <c r="A3972" s="18"/>
      <c r="B3972" s="18"/>
      <c r="C3972" s="18"/>
      <c r="D3972" s="18"/>
      <c r="E3972" s="18"/>
      <c r="F3972" s="18"/>
      <c r="G3972" s="18"/>
      <c r="H3972" s="18"/>
      <c r="I3972" s="18"/>
      <c r="J3972" s="18"/>
      <c r="K3972" s="18"/>
      <c r="L3972" s="18"/>
      <c r="M3972" s="18"/>
      <c r="N3972" s="18"/>
      <c r="O3972" s="18"/>
      <c r="P3972" s="18"/>
      <c r="Q3972" s="18"/>
    </row>
    <row r="3973" spans="1:17">
      <c r="A3973" s="18"/>
      <c r="B3973" s="18"/>
      <c r="C3973" s="18"/>
      <c r="D3973" s="18"/>
      <c r="E3973" s="18"/>
      <c r="F3973" s="18"/>
      <c r="G3973" s="18"/>
      <c r="H3973" s="18"/>
      <c r="I3973" s="18"/>
      <c r="J3973" s="18"/>
      <c r="K3973" s="18"/>
      <c r="L3973" s="18"/>
      <c r="M3973" s="18"/>
      <c r="N3973" s="18"/>
      <c r="O3973" s="18"/>
      <c r="P3973" s="18"/>
      <c r="Q3973" s="18"/>
    </row>
    <row r="3974" spans="1:17">
      <c r="A3974" s="18"/>
      <c r="B3974" s="18"/>
      <c r="C3974" s="18"/>
      <c r="D3974" s="18"/>
      <c r="E3974" s="18"/>
      <c r="F3974" s="18"/>
      <c r="G3974" s="18"/>
      <c r="H3974" s="18"/>
      <c r="I3974" s="18"/>
      <c r="J3974" s="18"/>
      <c r="K3974" s="18"/>
      <c r="L3974" s="18"/>
      <c r="M3974" s="18"/>
      <c r="N3974" s="18"/>
      <c r="O3974" s="18"/>
      <c r="P3974" s="18"/>
      <c r="Q3974" s="18"/>
    </row>
    <row r="3975" spans="1:17">
      <c r="A3975" s="18"/>
      <c r="B3975" s="18"/>
      <c r="C3975" s="18"/>
      <c r="D3975" s="18"/>
      <c r="E3975" s="18"/>
      <c r="F3975" s="18"/>
      <c r="G3975" s="18"/>
      <c r="H3975" s="18"/>
      <c r="I3975" s="18"/>
      <c r="J3975" s="18"/>
      <c r="K3975" s="18"/>
      <c r="L3975" s="18"/>
      <c r="M3975" s="18"/>
      <c r="N3975" s="18"/>
      <c r="O3975" s="18"/>
      <c r="P3975" s="18"/>
      <c r="Q3975" s="18"/>
    </row>
    <row r="3976" spans="1:17">
      <c r="A3976" s="18"/>
      <c r="B3976" s="18"/>
      <c r="C3976" s="18"/>
      <c r="D3976" s="18"/>
      <c r="E3976" s="18"/>
      <c r="F3976" s="18"/>
      <c r="G3976" s="18"/>
      <c r="H3976" s="18"/>
      <c r="I3976" s="18"/>
      <c r="J3976" s="18"/>
      <c r="K3976" s="18"/>
      <c r="L3976" s="18"/>
      <c r="M3976" s="18"/>
      <c r="N3976" s="18"/>
      <c r="O3976" s="18"/>
      <c r="P3976" s="18"/>
      <c r="Q3976" s="18"/>
    </row>
    <row r="3977" spans="1:17">
      <c r="A3977" s="18"/>
      <c r="B3977" s="18"/>
      <c r="C3977" s="18"/>
      <c r="D3977" s="18"/>
      <c r="E3977" s="18"/>
      <c r="F3977" s="18"/>
      <c r="G3977" s="18"/>
      <c r="H3977" s="18"/>
      <c r="I3977" s="18"/>
      <c r="J3977" s="18"/>
      <c r="K3977" s="18"/>
      <c r="L3977" s="18"/>
      <c r="M3977" s="18"/>
      <c r="N3977" s="18"/>
      <c r="O3977" s="18"/>
      <c r="P3977" s="18"/>
      <c r="Q3977" s="18"/>
    </row>
    <row r="3978" spans="1:17">
      <c r="A3978" s="18"/>
      <c r="B3978" s="18"/>
      <c r="C3978" s="18"/>
      <c r="D3978" s="18"/>
      <c r="E3978" s="18"/>
      <c r="F3978" s="18"/>
      <c r="G3978" s="18"/>
      <c r="H3978" s="18"/>
      <c r="I3978" s="18"/>
      <c r="J3978" s="18"/>
      <c r="K3978" s="18"/>
      <c r="L3978" s="18"/>
      <c r="M3978" s="18"/>
      <c r="N3978" s="18"/>
      <c r="O3978" s="18"/>
      <c r="P3978" s="18"/>
      <c r="Q3978" s="18"/>
    </row>
    <row r="3979" spans="1:17">
      <c r="A3979" s="18"/>
      <c r="B3979" s="18"/>
      <c r="C3979" s="18"/>
      <c r="D3979" s="18"/>
      <c r="E3979" s="18"/>
      <c r="F3979" s="18"/>
      <c r="G3979" s="18"/>
      <c r="H3979" s="18"/>
      <c r="I3979" s="18"/>
      <c r="J3979" s="18"/>
      <c r="K3979" s="18"/>
      <c r="L3979" s="18"/>
      <c r="M3979" s="18"/>
      <c r="N3979" s="18"/>
      <c r="O3979" s="18"/>
      <c r="P3979" s="18"/>
      <c r="Q3979" s="18"/>
    </row>
    <row r="3980" spans="1:17">
      <c r="A3980" s="18"/>
      <c r="B3980" s="18"/>
      <c r="C3980" s="18"/>
      <c r="D3980" s="18"/>
      <c r="E3980" s="18"/>
      <c r="F3980" s="18"/>
      <c r="G3980" s="18"/>
      <c r="H3980" s="18"/>
      <c r="I3980" s="18"/>
      <c r="J3980" s="18"/>
      <c r="K3980" s="18"/>
      <c r="L3980" s="18"/>
      <c r="M3980" s="18"/>
      <c r="N3980" s="18"/>
      <c r="O3980" s="18"/>
      <c r="P3980" s="18"/>
      <c r="Q3980" s="18"/>
    </row>
    <row r="3981" spans="1:17">
      <c r="A3981" s="18"/>
      <c r="B3981" s="18"/>
      <c r="C3981" s="18"/>
      <c r="D3981" s="18"/>
      <c r="E3981" s="18"/>
      <c r="F3981" s="18"/>
      <c r="G3981" s="18"/>
      <c r="H3981" s="18"/>
      <c r="I3981" s="18"/>
      <c r="J3981" s="18"/>
      <c r="K3981" s="18"/>
      <c r="L3981" s="18"/>
      <c r="M3981" s="18"/>
      <c r="N3981" s="18"/>
      <c r="O3981" s="18"/>
      <c r="P3981" s="18"/>
      <c r="Q3981" s="18"/>
    </row>
    <row r="3982" spans="1:17">
      <c r="A3982" s="18"/>
      <c r="B3982" s="18"/>
      <c r="C3982" s="18"/>
      <c r="D3982" s="18"/>
      <c r="E3982" s="18"/>
      <c r="F3982" s="18"/>
      <c r="G3982" s="18"/>
      <c r="H3982" s="18"/>
      <c r="I3982" s="18"/>
      <c r="J3982" s="18"/>
      <c r="K3982" s="18"/>
      <c r="L3982" s="18"/>
      <c r="M3982" s="18"/>
      <c r="N3982" s="18"/>
      <c r="O3982" s="18"/>
      <c r="P3982" s="18"/>
      <c r="Q3982" s="18"/>
    </row>
    <row r="3983" spans="1:17">
      <c r="A3983" s="18"/>
      <c r="B3983" s="18"/>
      <c r="C3983" s="18"/>
      <c r="D3983" s="18"/>
      <c r="E3983" s="18"/>
      <c r="F3983" s="18"/>
      <c r="G3983" s="18"/>
      <c r="H3983" s="18"/>
      <c r="I3983" s="18"/>
      <c r="J3983" s="18"/>
      <c r="K3983" s="18"/>
      <c r="L3983" s="18"/>
      <c r="M3983" s="18"/>
      <c r="N3983" s="18"/>
      <c r="O3983" s="18"/>
      <c r="P3983" s="18"/>
      <c r="Q3983" s="18"/>
    </row>
    <row r="3984" spans="1:17">
      <c r="A3984" s="18"/>
      <c r="B3984" s="18"/>
      <c r="C3984" s="18"/>
      <c r="D3984" s="18"/>
      <c r="E3984" s="18"/>
      <c r="F3984" s="18"/>
      <c r="G3984" s="18"/>
      <c r="H3984" s="18"/>
      <c r="I3984" s="18"/>
      <c r="J3984" s="18"/>
      <c r="K3984" s="18"/>
      <c r="L3984" s="18"/>
      <c r="M3984" s="18"/>
      <c r="N3984" s="18"/>
      <c r="O3984" s="18"/>
      <c r="P3984" s="18"/>
      <c r="Q3984" s="18"/>
    </row>
    <row r="3985" spans="1:17">
      <c r="A3985" s="18"/>
      <c r="B3985" s="18"/>
      <c r="C3985" s="18"/>
      <c r="D3985" s="18"/>
      <c r="E3985" s="18"/>
      <c r="F3985" s="18"/>
      <c r="G3985" s="18"/>
      <c r="H3985" s="18"/>
      <c r="I3985" s="18"/>
      <c r="J3985" s="18"/>
      <c r="K3985" s="18"/>
      <c r="L3985" s="18"/>
      <c r="M3985" s="18"/>
      <c r="N3985" s="18"/>
      <c r="O3985" s="18"/>
      <c r="P3985" s="18"/>
      <c r="Q3985" s="18"/>
    </row>
    <row r="3986" spans="1:17">
      <c r="A3986" s="18"/>
      <c r="B3986" s="18"/>
      <c r="C3986" s="18"/>
      <c r="D3986" s="18"/>
      <c r="E3986" s="18"/>
      <c r="F3986" s="18"/>
      <c r="G3986" s="18"/>
      <c r="H3986" s="18"/>
      <c r="I3986" s="18"/>
      <c r="J3986" s="18"/>
      <c r="K3986" s="18"/>
      <c r="L3986" s="18"/>
      <c r="M3986" s="18"/>
      <c r="N3986" s="18"/>
      <c r="O3986" s="18"/>
      <c r="P3986" s="18"/>
      <c r="Q3986" s="18"/>
    </row>
    <row r="3987" spans="1:17">
      <c r="A3987" s="18"/>
      <c r="B3987" s="18"/>
      <c r="C3987" s="18"/>
      <c r="D3987" s="18"/>
      <c r="E3987" s="18"/>
      <c r="F3987" s="18"/>
      <c r="G3987" s="18"/>
      <c r="H3987" s="18"/>
      <c r="I3987" s="18"/>
      <c r="J3987" s="18"/>
      <c r="K3987" s="18"/>
      <c r="L3987" s="18"/>
      <c r="M3987" s="18"/>
      <c r="N3987" s="18"/>
      <c r="O3987" s="18"/>
      <c r="P3987" s="18"/>
      <c r="Q3987" s="18"/>
    </row>
    <row r="3988" spans="1:17">
      <c r="A3988" s="18"/>
      <c r="B3988" s="18"/>
      <c r="C3988" s="18"/>
      <c r="D3988" s="18"/>
      <c r="E3988" s="18"/>
      <c r="F3988" s="18"/>
      <c r="G3988" s="18"/>
      <c r="H3988" s="18"/>
      <c r="I3988" s="18"/>
      <c r="J3988" s="18"/>
      <c r="K3988" s="18"/>
      <c r="L3988" s="18"/>
      <c r="M3988" s="18"/>
      <c r="N3988" s="18"/>
      <c r="O3988" s="18"/>
      <c r="P3988" s="18"/>
      <c r="Q3988" s="18"/>
    </row>
    <row r="3989" spans="1:17">
      <c r="A3989" s="18"/>
      <c r="B3989" s="18"/>
      <c r="C3989" s="18"/>
      <c r="D3989" s="18"/>
      <c r="E3989" s="18"/>
      <c r="F3989" s="18"/>
      <c r="G3989" s="18"/>
      <c r="H3989" s="18"/>
      <c r="I3989" s="18"/>
      <c r="J3989" s="18"/>
      <c r="K3989" s="18"/>
      <c r="L3989" s="18"/>
      <c r="M3989" s="18"/>
      <c r="N3989" s="18"/>
      <c r="O3989" s="18"/>
      <c r="P3989" s="18"/>
      <c r="Q3989" s="18"/>
    </row>
    <row r="3990" spans="1:17">
      <c r="A3990" s="18"/>
      <c r="B3990" s="18"/>
      <c r="C3990" s="18"/>
      <c r="D3990" s="18"/>
      <c r="E3990" s="18"/>
      <c r="F3990" s="18"/>
      <c r="G3990" s="18"/>
      <c r="H3990" s="18"/>
      <c r="I3990" s="18"/>
      <c r="J3990" s="18"/>
      <c r="K3990" s="18"/>
      <c r="L3990" s="18"/>
      <c r="M3990" s="18"/>
      <c r="N3990" s="18"/>
      <c r="O3990" s="18"/>
      <c r="P3990" s="18"/>
      <c r="Q3990" s="18"/>
    </row>
    <row r="3991" spans="1:17">
      <c r="A3991" s="18"/>
      <c r="B3991" s="18"/>
      <c r="C3991" s="18"/>
      <c r="D3991" s="18"/>
      <c r="E3991" s="18"/>
      <c r="F3991" s="18"/>
      <c r="G3991" s="18"/>
      <c r="H3991" s="18"/>
      <c r="I3991" s="18"/>
      <c r="J3991" s="18"/>
      <c r="K3991" s="18"/>
      <c r="L3991" s="18"/>
      <c r="M3991" s="18"/>
      <c r="N3991" s="18"/>
      <c r="O3991" s="18"/>
      <c r="P3991" s="18"/>
      <c r="Q3991" s="18"/>
    </row>
    <row r="3992" spans="1:17">
      <c r="A3992" s="18"/>
      <c r="B3992" s="18"/>
      <c r="C3992" s="18"/>
      <c r="D3992" s="18"/>
      <c r="E3992" s="18"/>
      <c r="F3992" s="18"/>
      <c r="G3992" s="18"/>
      <c r="H3992" s="18"/>
      <c r="I3992" s="18"/>
      <c r="J3992" s="18"/>
      <c r="K3992" s="18"/>
      <c r="L3992" s="18"/>
      <c r="M3992" s="18"/>
      <c r="N3992" s="18"/>
      <c r="O3992" s="18"/>
      <c r="P3992" s="18"/>
      <c r="Q3992" s="18"/>
    </row>
    <row r="3993" spans="1:17">
      <c r="A3993" s="18"/>
      <c r="B3993" s="18"/>
      <c r="C3993" s="18"/>
      <c r="D3993" s="18"/>
      <c r="E3993" s="18"/>
      <c r="F3993" s="18"/>
      <c r="G3993" s="18"/>
      <c r="H3993" s="18"/>
      <c r="I3993" s="18"/>
      <c r="J3993" s="18"/>
      <c r="K3993" s="18"/>
      <c r="L3993" s="18"/>
      <c r="M3993" s="18"/>
      <c r="N3993" s="18"/>
      <c r="O3993" s="18"/>
      <c r="P3993" s="18"/>
      <c r="Q3993" s="18"/>
    </row>
    <row r="3994" spans="1:17">
      <c r="A3994" s="18"/>
      <c r="B3994" s="18"/>
      <c r="C3994" s="18"/>
      <c r="D3994" s="18"/>
      <c r="E3994" s="18"/>
      <c r="F3994" s="18"/>
      <c r="G3994" s="18"/>
      <c r="H3994" s="18"/>
      <c r="I3994" s="18"/>
      <c r="J3994" s="18"/>
      <c r="K3994" s="18"/>
      <c r="L3994" s="18"/>
      <c r="M3994" s="18"/>
      <c r="N3994" s="18"/>
      <c r="O3994" s="18"/>
      <c r="P3994" s="18"/>
      <c r="Q3994" s="18"/>
    </row>
    <row r="3995" spans="1:17">
      <c r="A3995" s="18"/>
      <c r="B3995" s="18"/>
      <c r="C3995" s="18"/>
      <c r="D3995" s="18"/>
      <c r="E3995" s="18"/>
      <c r="F3995" s="18"/>
      <c r="G3995" s="18"/>
      <c r="H3995" s="18"/>
      <c r="I3995" s="18"/>
      <c r="J3995" s="18"/>
      <c r="K3995" s="18"/>
      <c r="L3995" s="18"/>
      <c r="M3995" s="18"/>
      <c r="N3995" s="18"/>
      <c r="O3995" s="18"/>
      <c r="P3995" s="18"/>
      <c r="Q3995" s="18"/>
    </row>
    <row r="3996" spans="1:17">
      <c r="A3996" s="18"/>
      <c r="B3996" s="18"/>
      <c r="C3996" s="18"/>
      <c r="D3996" s="18"/>
      <c r="E3996" s="18"/>
      <c r="F3996" s="18"/>
      <c r="G3996" s="18"/>
      <c r="H3996" s="18"/>
      <c r="I3996" s="18"/>
      <c r="J3996" s="18"/>
      <c r="K3996" s="18"/>
      <c r="L3996" s="18"/>
      <c r="M3996" s="18"/>
      <c r="N3996" s="18"/>
      <c r="O3996" s="18"/>
      <c r="P3996" s="18"/>
      <c r="Q3996" s="18"/>
    </row>
    <row r="3997" spans="1:17">
      <c r="A3997" s="18"/>
      <c r="B3997" s="18"/>
      <c r="C3997" s="18"/>
      <c r="D3997" s="18"/>
      <c r="E3997" s="18"/>
      <c r="F3997" s="18"/>
      <c r="G3997" s="18"/>
      <c r="H3997" s="18"/>
      <c r="I3997" s="18"/>
      <c r="J3997" s="18"/>
      <c r="K3997" s="18"/>
      <c r="L3997" s="18"/>
      <c r="M3997" s="18"/>
      <c r="N3997" s="18"/>
      <c r="O3997" s="18"/>
      <c r="P3997" s="18"/>
      <c r="Q3997" s="18"/>
    </row>
    <row r="3998" spans="1:17">
      <c r="A3998" s="18"/>
      <c r="B3998" s="18"/>
      <c r="C3998" s="18"/>
      <c r="D3998" s="18"/>
      <c r="E3998" s="18"/>
      <c r="F3998" s="18"/>
      <c r="G3998" s="18"/>
      <c r="H3998" s="18"/>
      <c r="I3998" s="18"/>
      <c r="J3998" s="18"/>
      <c r="K3998" s="18"/>
      <c r="L3998" s="18"/>
      <c r="M3998" s="18"/>
      <c r="N3998" s="18"/>
      <c r="O3998" s="18"/>
      <c r="P3998" s="18"/>
      <c r="Q3998" s="18"/>
    </row>
    <row r="3999" spans="1:17">
      <c r="A3999" s="18"/>
      <c r="B3999" s="18"/>
      <c r="C3999" s="18"/>
      <c r="D3999" s="18"/>
      <c r="E3999" s="18"/>
      <c r="F3999" s="18"/>
      <c r="G3999" s="18"/>
      <c r="H3999" s="18"/>
      <c r="I3999" s="18"/>
      <c r="J3999" s="18"/>
      <c r="K3999" s="18"/>
      <c r="L3999" s="18"/>
      <c r="M3999" s="18"/>
      <c r="N3999" s="18"/>
      <c r="O3999" s="18"/>
      <c r="P3999" s="18"/>
      <c r="Q3999" s="18"/>
    </row>
    <row r="4000" spans="1:17">
      <c r="A4000" s="18"/>
      <c r="B4000" s="18"/>
      <c r="C4000" s="18"/>
      <c r="D4000" s="18"/>
      <c r="E4000" s="18"/>
      <c r="F4000" s="18"/>
      <c r="G4000" s="18"/>
      <c r="H4000" s="18"/>
      <c r="I4000" s="18"/>
      <c r="J4000" s="18"/>
      <c r="K4000" s="18"/>
      <c r="L4000" s="18"/>
      <c r="M4000" s="18"/>
      <c r="N4000" s="18"/>
      <c r="O4000" s="18"/>
      <c r="P4000" s="18"/>
      <c r="Q4000" s="18"/>
    </row>
    <row r="4001" spans="1:17">
      <c r="A4001" s="18"/>
      <c r="B4001" s="18"/>
      <c r="C4001" s="18"/>
      <c r="D4001" s="18"/>
      <c r="E4001" s="18"/>
      <c r="F4001" s="18"/>
      <c r="G4001" s="18"/>
      <c r="H4001" s="18"/>
      <c r="I4001" s="18"/>
      <c r="J4001" s="18"/>
      <c r="K4001" s="18"/>
      <c r="L4001" s="18"/>
      <c r="M4001" s="18"/>
      <c r="N4001" s="18"/>
      <c r="O4001" s="18"/>
      <c r="P4001" s="18"/>
      <c r="Q4001" s="18"/>
    </row>
    <row r="4002" spans="1:17">
      <c r="A4002" s="18"/>
      <c r="B4002" s="18"/>
      <c r="C4002" s="18"/>
      <c r="D4002" s="18"/>
      <c r="E4002" s="18"/>
      <c r="F4002" s="18"/>
      <c r="G4002" s="18"/>
      <c r="H4002" s="18"/>
      <c r="I4002" s="18"/>
      <c r="J4002" s="18"/>
      <c r="K4002" s="18"/>
      <c r="L4002" s="18"/>
      <c r="M4002" s="18"/>
      <c r="N4002" s="18"/>
      <c r="O4002" s="18"/>
      <c r="P4002" s="18"/>
      <c r="Q4002" s="18"/>
    </row>
    <row r="4003" spans="1:17">
      <c r="A4003" s="18"/>
      <c r="B4003" s="18"/>
      <c r="C4003" s="18"/>
      <c r="D4003" s="18"/>
      <c r="E4003" s="18"/>
      <c r="F4003" s="18"/>
      <c r="G4003" s="18"/>
      <c r="H4003" s="18"/>
      <c r="I4003" s="18"/>
      <c r="J4003" s="18"/>
      <c r="K4003" s="18"/>
      <c r="L4003" s="18"/>
      <c r="M4003" s="18"/>
      <c r="N4003" s="18"/>
      <c r="O4003" s="18"/>
      <c r="P4003" s="18"/>
      <c r="Q4003" s="18"/>
    </row>
    <row r="4004" spans="1:17">
      <c r="A4004" s="18"/>
      <c r="B4004" s="18"/>
      <c r="C4004" s="18"/>
      <c r="D4004" s="18"/>
      <c r="E4004" s="18"/>
      <c r="F4004" s="18"/>
      <c r="G4004" s="18"/>
      <c r="H4004" s="18"/>
      <c r="I4004" s="18"/>
      <c r="J4004" s="18"/>
      <c r="K4004" s="18"/>
      <c r="L4004" s="18"/>
      <c r="M4004" s="18"/>
      <c r="N4004" s="18"/>
      <c r="O4004" s="18"/>
      <c r="P4004" s="18"/>
      <c r="Q4004" s="18"/>
    </row>
    <row r="4005" spans="1:17">
      <c r="A4005" s="18"/>
      <c r="B4005" s="18"/>
      <c r="C4005" s="18"/>
      <c r="D4005" s="18"/>
      <c r="E4005" s="18"/>
      <c r="F4005" s="18"/>
      <c r="G4005" s="18"/>
      <c r="H4005" s="18"/>
      <c r="I4005" s="18"/>
      <c r="J4005" s="18"/>
      <c r="K4005" s="18"/>
      <c r="L4005" s="18"/>
      <c r="M4005" s="18"/>
      <c r="N4005" s="18"/>
      <c r="O4005" s="18"/>
      <c r="P4005" s="18"/>
      <c r="Q4005" s="18"/>
    </row>
    <row r="4006" spans="1:17">
      <c r="A4006" s="18"/>
      <c r="B4006" s="18"/>
      <c r="C4006" s="18"/>
      <c r="D4006" s="18"/>
      <c r="E4006" s="18"/>
      <c r="F4006" s="18"/>
      <c r="G4006" s="18"/>
      <c r="H4006" s="18"/>
      <c r="I4006" s="18"/>
      <c r="J4006" s="18"/>
      <c r="K4006" s="18"/>
      <c r="L4006" s="18"/>
      <c r="M4006" s="18"/>
      <c r="N4006" s="18"/>
      <c r="O4006" s="18"/>
      <c r="P4006" s="18"/>
      <c r="Q4006" s="18"/>
    </row>
    <row r="4007" spans="1:17">
      <c r="A4007" s="18"/>
      <c r="B4007" s="18"/>
      <c r="C4007" s="18"/>
      <c r="D4007" s="18"/>
      <c r="E4007" s="18"/>
      <c r="F4007" s="18"/>
      <c r="G4007" s="18"/>
      <c r="H4007" s="18"/>
      <c r="I4007" s="18"/>
      <c r="J4007" s="18"/>
      <c r="K4007" s="18"/>
      <c r="L4007" s="18"/>
      <c r="M4007" s="18"/>
      <c r="N4007" s="18"/>
      <c r="O4007" s="18"/>
      <c r="P4007" s="18"/>
      <c r="Q4007" s="18"/>
    </row>
    <row r="4008" spans="1:17">
      <c r="A4008" s="18"/>
      <c r="B4008" s="18"/>
      <c r="C4008" s="18"/>
      <c r="D4008" s="18"/>
      <c r="E4008" s="18"/>
      <c r="F4008" s="18"/>
      <c r="G4008" s="18"/>
      <c r="H4008" s="18"/>
      <c r="I4008" s="18"/>
      <c r="J4008" s="18"/>
      <c r="K4008" s="18"/>
      <c r="L4008" s="18"/>
      <c r="M4008" s="18"/>
      <c r="N4008" s="18"/>
      <c r="O4008" s="18"/>
      <c r="P4008" s="18"/>
      <c r="Q4008" s="18"/>
    </row>
    <row r="4009" spans="1:17">
      <c r="A4009" s="18"/>
      <c r="B4009" s="18"/>
      <c r="C4009" s="18"/>
      <c r="D4009" s="18"/>
      <c r="E4009" s="18"/>
      <c r="F4009" s="18"/>
      <c r="G4009" s="18"/>
      <c r="H4009" s="18"/>
      <c r="I4009" s="18"/>
      <c r="J4009" s="18"/>
      <c r="K4009" s="18"/>
      <c r="L4009" s="18"/>
      <c r="M4009" s="18"/>
      <c r="N4009" s="18"/>
      <c r="O4009" s="18"/>
      <c r="P4009" s="18"/>
      <c r="Q4009" s="18"/>
    </row>
    <row r="4010" spans="1:17">
      <c r="A4010" s="18"/>
      <c r="B4010" s="18"/>
      <c r="C4010" s="18"/>
      <c r="D4010" s="18"/>
      <c r="E4010" s="18"/>
      <c r="F4010" s="18"/>
      <c r="G4010" s="18"/>
      <c r="H4010" s="18"/>
      <c r="I4010" s="18"/>
      <c r="J4010" s="18"/>
      <c r="K4010" s="18"/>
      <c r="L4010" s="18"/>
      <c r="M4010" s="18"/>
      <c r="N4010" s="18"/>
      <c r="O4010" s="18"/>
      <c r="P4010" s="18"/>
      <c r="Q4010" s="18"/>
    </row>
    <row r="4011" spans="1:17">
      <c r="A4011" s="18"/>
      <c r="B4011" s="18"/>
      <c r="C4011" s="18"/>
      <c r="D4011" s="18"/>
      <c r="E4011" s="18"/>
      <c r="F4011" s="18"/>
      <c r="G4011" s="18"/>
      <c r="H4011" s="18"/>
      <c r="I4011" s="18"/>
      <c r="J4011" s="18"/>
      <c r="K4011" s="18"/>
      <c r="L4011" s="18"/>
      <c r="M4011" s="18"/>
      <c r="N4011" s="18"/>
      <c r="O4011" s="18"/>
      <c r="P4011" s="18"/>
      <c r="Q4011" s="18"/>
    </row>
    <row r="4012" spans="1:17">
      <c r="A4012" s="18"/>
      <c r="B4012" s="18"/>
      <c r="C4012" s="18"/>
      <c r="D4012" s="18"/>
      <c r="E4012" s="18"/>
      <c r="F4012" s="18"/>
      <c r="G4012" s="18"/>
      <c r="H4012" s="18"/>
      <c r="I4012" s="18"/>
      <c r="J4012" s="18"/>
      <c r="K4012" s="18"/>
      <c r="L4012" s="18"/>
      <c r="M4012" s="18"/>
      <c r="N4012" s="18"/>
      <c r="O4012" s="18"/>
      <c r="P4012" s="18"/>
      <c r="Q4012" s="18"/>
    </row>
    <row r="4013" spans="1:17">
      <c r="A4013" s="18"/>
      <c r="B4013" s="18"/>
      <c r="C4013" s="18"/>
      <c r="D4013" s="18"/>
      <c r="E4013" s="18"/>
      <c r="F4013" s="18"/>
      <c r="G4013" s="18"/>
      <c r="H4013" s="18"/>
      <c r="I4013" s="18"/>
      <c r="J4013" s="18"/>
      <c r="K4013" s="18"/>
      <c r="L4013" s="18"/>
      <c r="M4013" s="18"/>
      <c r="N4013" s="18"/>
      <c r="O4013" s="18"/>
      <c r="P4013" s="18"/>
      <c r="Q4013" s="18"/>
    </row>
    <row r="4014" spans="1:17">
      <c r="A4014" s="18"/>
      <c r="B4014" s="18"/>
      <c r="C4014" s="18"/>
      <c r="D4014" s="18"/>
      <c r="E4014" s="18"/>
      <c r="F4014" s="18"/>
      <c r="G4014" s="18"/>
      <c r="H4014" s="18"/>
      <c r="I4014" s="18"/>
      <c r="J4014" s="18"/>
      <c r="K4014" s="18"/>
      <c r="L4014" s="18"/>
      <c r="M4014" s="18"/>
      <c r="N4014" s="18"/>
      <c r="O4014" s="18"/>
      <c r="P4014" s="18"/>
      <c r="Q4014" s="18"/>
    </row>
    <row r="4015" spans="1:17">
      <c r="A4015" s="18"/>
      <c r="B4015" s="18"/>
      <c r="C4015" s="18"/>
      <c r="D4015" s="18"/>
      <c r="E4015" s="18"/>
      <c r="F4015" s="18"/>
      <c r="G4015" s="18"/>
      <c r="H4015" s="18"/>
      <c r="I4015" s="18"/>
      <c r="J4015" s="18"/>
      <c r="K4015" s="18"/>
      <c r="L4015" s="18"/>
      <c r="M4015" s="18"/>
      <c r="N4015" s="18"/>
      <c r="O4015" s="18"/>
      <c r="P4015" s="18"/>
      <c r="Q4015" s="18"/>
    </row>
    <row r="4016" spans="1:17">
      <c r="A4016" s="18"/>
      <c r="B4016" s="18"/>
      <c r="C4016" s="18"/>
      <c r="D4016" s="18"/>
      <c r="E4016" s="18"/>
      <c r="F4016" s="18"/>
      <c r="G4016" s="18"/>
      <c r="H4016" s="18"/>
      <c r="I4016" s="18"/>
      <c r="J4016" s="18"/>
      <c r="K4016" s="18"/>
      <c r="L4016" s="18"/>
      <c r="M4016" s="18"/>
      <c r="N4016" s="18"/>
      <c r="O4016" s="18"/>
      <c r="P4016" s="18"/>
      <c r="Q4016" s="18"/>
    </row>
    <row r="4017" spans="1:17">
      <c r="A4017" s="18"/>
      <c r="B4017" s="18"/>
      <c r="C4017" s="18"/>
      <c r="D4017" s="18"/>
      <c r="E4017" s="18"/>
      <c r="F4017" s="18"/>
      <c r="G4017" s="18"/>
      <c r="H4017" s="18"/>
      <c r="I4017" s="18"/>
      <c r="J4017" s="18"/>
      <c r="K4017" s="18"/>
      <c r="L4017" s="18"/>
      <c r="M4017" s="18"/>
      <c r="N4017" s="18"/>
      <c r="O4017" s="18"/>
      <c r="P4017" s="18"/>
      <c r="Q4017" s="18"/>
    </row>
    <row r="4018" spans="1:17">
      <c r="A4018" s="18"/>
      <c r="B4018" s="18"/>
      <c r="C4018" s="18"/>
      <c r="D4018" s="18"/>
      <c r="E4018" s="18"/>
      <c r="F4018" s="18"/>
      <c r="G4018" s="18"/>
      <c r="H4018" s="18"/>
      <c r="I4018" s="18"/>
      <c r="J4018" s="18"/>
      <c r="K4018" s="18"/>
      <c r="L4018" s="18"/>
      <c r="M4018" s="18"/>
      <c r="N4018" s="18"/>
      <c r="O4018" s="18"/>
      <c r="P4018" s="18"/>
      <c r="Q4018" s="18"/>
    </row>
    <row r="4019" spans="1:17">
      <c r="A4019" s="18"/>
      <c r="B4019" s="18"/>
      <c r="C4019" s="18"/>
      <c r="D4019" s="18"/>
      <c r="E4019" s="18"/>
      <c r="F4019" s="18"/>
      <c r="G4019" s="18"/>
      <c r="H4019" s="18"/>
      <c r="I4019" s="18"/>
      <c r="J4019" s="18"/>
      <c r="K4019" s="18"/>
      <c r="L4019" s="18"/>
      <c r="M4019" s="18"/>
      <c r="N4019" s="18"/>
      <c r="O4019" s="18"/>
      <c r="P4019" s="18"/>
      <c r="Q4019" s="18"/>
    </row>
    <row r="4020" spans="1:17">
      <c r="A4020" s="18"/>
      <c r="B4020" s="18"/>
      <c r="C4020" s="18"/>
      <c r="D4020" s="18"/>
      <c r="E4020" s="18"/>
      <c r="F4020" s="18"/>
      <c r="G4020" s="18"/>
      <c r="H4020" s="18"/>
      <c r="I4020" s="18"/>
      <c r="J4020" s="18"/>
      <c r="K4020" s="18"/>
      <c r="L4020" s="18"/>
      <c r="M4020" s="18"/>
      <c r="N4020" s="18"/>
      <c r="O4020" s="18"/>
      <c r="P4020" s="18"/>
      <c r="Q4020" s="18"/>
    </row>
    <row r="4021" spans="1:17">
      <c r="A4021" s="18"/>
      <c r="B4021" s="18"/>
      <c r="C4021" s="18"/>
      <c r="D4021" s="18"/>
      <c r="E4021" s="18"/>
      <c r="F4021" s="18"/>
      <c r="G4021" s="18"/>
      <c r="H4021" s="18"/>
      <c r="I4021" s="18"/>
      <c r="J4021" s="18"/>
      <c r="K4021" s="18"/>
      <c r="L4021" s="18"/>
      <c r="M4021" s="18"/>
      <c r="N4021" s="18"/>
      <c r="O4021" s="18"/>
      <c r="P4021" s="18"/>
      <c r="Q4021" s="18"/>
    </row>
    <row r="4022" spans="1:17">
      <c r="A4022" s="18"/>
      <c r="B4022" s="18"/>
      <c r="C4022" s="18"/>
      <c r="D4022" s="18"/>
      <c r="E4022" s="18"/>
      <c r="F4022" s="18"/>
      <c r="G4022" s="18"/>
      <c r="H4022" s="18"/>
      <c r="I4022" s="18"/>
      <c r="J4022" s="18"/>
      <c r="K4022" s="18"/>
      <c r="L4022" s="18"/>
      <c r="M4022" s="18"/>
      <c r="N4022" s="18"/>
      <c r="O4022" s="18"/>
      <c r="P4022" s="18"/>
      <c r="Q4022" s="18"/>
    </row>
    <row r="4023" spans="1:17">
      <c r="A4023" s="18"/>
      <c r="B4023" s="18"/>
      <c r="C4023" s="18"/>
      <c r="D4023" s="18"/>
      <c r="E4023" s="18"/>
      <c r="F4023" s="18"/>
      <c r="G4023" s="18"/>
      <c r="H4023" s="18"/>
      <c r="I4023" s="18"/>
      <c r="J4023" s="18"/>
      <c r="K4023" s="18"/>
      <c r="L4023" s="18"/>
      <c r="M4023" s="18"/>
      <c r="N4023" s="18"/>
      <c r="O4023" s="18"/>
      <c r="P4023" s="18"/>
      <c r="Q4023" s="18"/>
    </row>
    <row r="4024" spans="1:17">
      <c r="A4024" s="18"/>
      <c r="B4024" s="18"/>
      <c r="C4024" s="18"/>
      <c r="D4024" s="18"/>
      <c r="E4024" s="18"/>
      <c r="F4024" s="18"/>
      <c r="G4024" s="18"/>
      <c r="H4024" s="18"/>
      <c r="I4024" s="18"/>
      <c r="J4024" s="18"/>
      <c r="K4024" s="18"/>
      <c r="L4024" s="18"/>
      <c r="M4024" s="18"/>
      <c r="N4024" s="18"/>
      <c r="O4024" s="18"/>
      <c r="P4024" s="18"/>
      <c r="Q4024" s="18"/>
    </row>
    <row r="4025" spans="1:17">
      <c r="A4025" s="18"/>
      <c r="B4025" s="18"/>
      <c r="C4025" s="18"/>
      <c r="D4025" s="18"/>
      <c r="E4025" s="18"/>
      <c r="F4025" s="18"/>
      <c r="G4025" s="18"/>
      <c r="H4025" s="18"/>
      <c r="I4025" s="18"/>
      <c r="J4025" s="18"/>
      <c r="K4025" s="18"/>
      <c r="L4025" s="18"/>
      <c r="M4025" s="18"/>
      <c r="N4025" s="18"/>
      <c r="O4025" s="18"/>
      <c r="P4025" s="18"/>
      <c r="Q4025" s="18"/>
    </row>
    <row r="4026" spans="1:17">
      <c r="A4026" s="18"/>
      <c r="B4026" s="18"/>
      <c r="C4026" s="18"/>
      <c r="D4026" s="18"/>
      <c r="E4026" s="18"/>
      <c r="F4026" s="18"/>
      <c r="G4026" s="18"/>
      <c r="H4026" s="18"/>
      <c r="I4026" s="18"/>
      <c r="J4026" s="18"/>
      <c r="K4026" s="18"/>
      <c r="L4026" s="18"/>
      <c r="M4026" s="18"/>
      <c r="N4026" s="18"/>
      <c r="O4026" s="18"/>
      <c r="P4026" s="18"/>
      <c r="Q4026" s="18"/>
    </row>
    <row r="4027" spans="1:17">
      <c r="A4027" s="18"/>
      <c r="B4027" s="18"/>
      <c r="C4027" s="18"/>
      <c r="D4027" s="18"/>
      <c r="E4027" s="18"/>
      <c r="F4027" s="18"/>
      <c r="G4027" s="18"/>
      <c r="H4027" s="18"/>
      <c r="I4027" s="18"/>
      <c r="J4027" s="18"/>
      <c r="K4027" s="18"/>
      <c r="L4027" s="18"/>
      <c r="M4027" s="18"/>
      <c r="N4027" s="18"/>
      <c r="O4027" s="18"/>
      <c r="P4027" s="18"/>
      <c r="Q4027" s="18"/>
    </row>
    <row r="4028" spans="1:17">
      <c r="A4028" s="18"/>
      <c r="B4028" s="18"/>
      <c r="C4028" s="18"/>
      <c r="D4028" s="18"/>
      <c r="E4028" s="18"/>
      <c r="F4028" s="18"/>
      <c r="G4028" s="18"/>
      <c r="H4028" s="18"/>
      <c r="I4028" s="18"/>
      <c r="J4028" s="18"/>
      <c r="K4028" s="18"/>
      <c r="L4028" s="18"/>
      <c r="M4028" s="18"/>
      <c r="N4028" s="18"/>
      <c r="O4028" s="18"/>
      <c r="P4028" s="18"/>
      <c r="Q4028" s="18"/>
    </row>
    <row r="4029" spans="1:17">
      <c r="A4029" s="18"/>
      <c r="B4029" s="18"/>
      <c r="C4029" s="18"/>
      <c r="D4029" s="18"/>
      <c r="E4029" s="18"/>
      <c r="F4029" s="18"/>
      <c r="G4029" s="18"/>
      <c r="H4029" s="18"/>
      <c r="I4029" s="18"/>
      <c r="J4029" s="18"/>
      <c r="K4029" s="18"/>
      <c r="L4029" s="18"/>
      <c r="M4029" s="18"/>
      <c r="N4029" s="18"/>
      <c r="O4029" s="18"/>
      <c r="P4029" s="18"/>
      <c r="Q4029" s="18"/>
    </row>
    <row r="4030" spans="1:17">
      <c r="A4030" s="18"/>
      <c r="B4030" s="18"/>
      <c r="C4030" s="18"/>
      <c r="D4030" s="18"/>
      <c r="E4030" s="18"/>
      <c r="F4030" s="18"/>
      <c r="G4030" s="18"/>
      <c r="H4030" s="18"/>
      <c r="I4030" s="18"/>
      <c r="J4030" s="18"/>
      <c r="K4030" s="18"/>
      <c r="L4030" s="18"/>
      <c r="M4030" s="18"/>
      <c r="N4030" s="18"/>
      <c r="O4030" s="18"/>
      <c r="P4030" s="18"/>
      <c r="Q4030" s="18"/>
    </row>
    <row r="4031" spans="1:17">
      <c r="A4031" s="18"/>
      <c r="B4031" s="18"/>
      <c r="C4031" s="18"/>
      <c r="D4031" s="18"/>
      <c r="E4031" s="18"/>
      <c r="F4031" s="18"/>
      <c r="G4031" s="18"/>
      <c r="H4031" s="18"/>
      <c r="I4031" s="18"/>
      <c r="J4031" s="18"/>
      <c r="K4031" s="18"/>
      <c r="L4031" s="18"/>
      <c r="M4031" s="18"/>
      <c r="N4031" s="18"/>
      <c r="O4031" s="18"/>
      <c r="P4031" s="18"/>
      <c r="Q4031" s="18"/>
    </row>
    <row r="4032" spans="1:17">
      <c r="A4032" s="18"/>
      <c r="B4032" s="18"/>
      <c r="C4032" s="18"/>
      <c r="D4032" s="18"/>
      <c r="E4032" s="18"/>
      <c r="F4032" s="18"/>
      <c r="G4032" s="18"/>
      <c r="H4032" s="18"/>
      <c r="I4032" s="18"/>
      <c r="J4032" s="18"/>
      <c r="K4032" s="18"/>
      <c r="L4032" s="18"/>
      <c r="M4032" s="18"/>
      <c r="N4032" s="18"/>
      <c r="O4032" s="18"/>
      <c r="P4032" s="18"/>
      <c r="Q4032" s="18"/>
    </row>
    <row r="4033" spans="1:17">
      <c r="A4033" s="18"/>
      <c r="B4033" s="18"/>
      <c r="C4033" s="18"/>
      <c r="D4033" s="18"/>
      <c r="E4033" s="18"/>
      <c r="F4033" s="18"/>
      <c r="G4033" s="18"/>
      <c r="H4033" s="18"/>
      <c r="I4033" s="18"/>
      <c r="J4033" s="18"/>
      <c r="K4033" s="18"/>
      <c r="L4033" s="18"/>
      <c r="M4033" s="18"/>
      <c r="N4033" s="18"/>
      <c r="O4033" s="18"/>
      <c r="P4033" s="18"/>
      <c r="Q4033" s="18"/>
    </row>
    <row r="4034" spans="1:17">
      <c r="A4034" s="18"/>
      <c r="B4034" s="18"/>
      <c r="C4034" s="18"/>
      <c r="D4034" s="18"/>
      <c r="E4034" s="18"/>
      <c r="F4034" s="18"/>
      <c r="G4034" s="18"/>
      <c r="H4034" s="18"/>
      <c r="I4034" s="18"/>
      <c r="J4034" s="18"/>
      <c r="K4034" s="18"/>
      <c r="L4034" s="18"/>
      <c r="M4034" s="18"/>
      <c r="N4034" s="18"/>
      <c r="O4034" s="18"/>
      <c r="P4034" s="18"/>
      <c r="Q4034" s="18"/>
    </row>
    <row r="4035" spans="1:17">
      <c r="A4035" s="18"/>
      <c r="B4035" s="18"/>
      <c r="C4035" s="18"/>
      <c r="D4035" s="18"/>
      <c r="E4035" s="18"/>
      <c r="F4035" s="18"/>
      <c r="G4035" s="18"/>
      <c r="H4035" s="18"/>
      <c r="I4035" s="18"/>
      <c r="J4035" s="18"/>
      <c r="K4035" s="18"/>
      <c r="L4035" s="18"/>
      <c r="M4035" s="18"/>
      <c r="N4035" s="18"/>
      <c r="O4035" s="18"/>
      <c r="P4035" s="18"/>
      <c r="Q4035" s="18"/>
    </row>
    <row r="4036" spans="1:17">
      <c r="A4036" s="18"/>
      <c r="B4036" s="18"/>
      <c r="C4036" s="18"/>
      <c r="D4036" s="18"/>
      <c r="E4036" s="18"/>
      <c r="F4036" s="18"/>
      <c r="G4036" s="18"/>
      <c r="H4036" s="18"/>
      <c r="I4036" s="18"/>
      <c r="J4036" s="18"/>
      <c r="K4036" s="18"/>
      <c r="L4036" s="18"/>
      <c r="M4036" s="18"/>
      <c r="N4036" s="18"/>
      <c r="O4036" s="18"/>
      <c r="P4036" s="18"/>
      <c r="Q4036" s="18"/>
    </row>
    <row r="4037" spans="1:17">
      <c r="A4037" s="18"/>
      <c r="B4037" s="18"/>
      <c r="C4037" s="18"/>
      <c r="D4037" s="18"/>
      <c r="E4037" s="18"/>
      <c r="F4037" s="18"/>
      <c r="G4037" s="18"/>
      <c r="H4037" s="18"/>
      <c r="I4037" s="18"/>
      <c r="J4037" s="18"/>
      <c r="K4037" s="18"/>
      <c r="L4037" s="18"/>
      <c r="M4037" s="18"/>
      <c r="N4037" s="18"/>
      <c r="O4037" s="18"/>
      <c r="P4037" s="18"/>
      <c r="Q4037" s="18"/>
    </row>
    <row r="4038" spans="1:17">
      <c r="A4038" s="18"/>
      <c r="B4038" s="18"/>
      <c r="C4038" s="18"/>
      <c r="D4038" s="18"/>
      <c r="E4038" s="18"/>
      <c r="F4038" s="18"/>
      <c r="G4038" s="18"/>
      <c r="H4038" s="18"/>
      <c r="I4038" s="18"/>
      <c r="J4038" s="18"/>
      <c r="K4038" s="18"/>
      <c r="L4038" s="18"/>
      <c r="M4038" s="18"/>
      <c r="N4038" s="18"/>
      <c r="O4038" s="18"/>
      <c r="P4038" s="18"/>
      <c r="Q4038" s="18"/>
    </row>
    <row r="4039" spans="1:17">
      <c r="A4039" s="18"/>
      <c r="B4039" s="18"/>
      <c r="C4039" s="18"/>
      <c r="D4039" s="18"/>
      <c r="E4039" s="18"/>
      <c r="F4039" s="18"/>
      <c r="G4039" s="18"/>
      <c r="H4039" s="18"/>
      <c r="I4039" s="18"/>
      <c r="J4039" s="18"/>
      <c r="K4039" s="18"/>
      <c r="L4039" s="18"/>
      <c r="M4039" s="18"/>
      <c r="N4039" s="18"/>
      <c r="O4039" s="18"/>
      <c r="P4039" s="18"/>
      <c r="Q4039" s="18"/>
    </row>
    <row r="4040" spans="1:17">
      <c r="A4040" s="18"/>
      <c r="B4040" s="18"/>
      <c r="C4040" s="18"/>
      <c r="D4040" s="18"/>
      <c r="E4040" s="18"/>
      <c r="F4040" s="18"/>
      <c r="G4040" s="18"/>
      <c r="H4040" s="18"/>
      <c r="I4040" s="18"/>
      <c r="J4040" s="18"/>
      <c r="K4040" s="18"/>
      <c r="L4040" s="18"/>
      <c r="M4040" s="18"/>
      <c r="N4040" s="18"/>
      <c r="O4040" s="18"/>
      <c r="P4040" s="18"/>
      <c r="Q4040" s="18"/>
    </row>
    <row r="4041" spans="1:17">
      <c r="A4041" s="18"/>
      <c r="B4041" s="18"/>
      <c r="C4041" s="18"/>
      <c r="D4041" s="18"/>
      <c r="E4041" s="18"/>
      <c r="F4041" s="18"/>
      <c r="G4041" s="18"/>
      <c r="H4041" s="18"/>
      <c r="I4041" s="18"/>
      <c r="J4041" s="18"/>
      <c r="K4041" s="18"/>
      <c r="L4041" s="18"/>
      <c r="M4041" s="18"/>
      <c r="N4041" s="18"/>
      <c r="O4041" s="18"/>
      <c r="P4041" s="18"/>
      <c r="Q4041" s="18"/>
    </row>
    <row r="4042" spans="1:17">
      <c r="A4042" s="18"/>
      <c r="B4042" s="18"/>
      <c r="C4042" s="18"/>
      <c r="D4042" s="18"/>
      <c r="E4042" s="18"/>
      <c r="F4042" s="18"/>
      <c r="G4042" s="18"/>
      <c r="H4042" s="18"/>
      <c r="I4042" s="18"/>
      <c r="J4042" s="18"/>
      <c r="K4042" s="18"/>
      <c r="L4042" s="18"/>
      <c r="M4042" s="18"/>
      <c r="N4042" s="18"/>
      <c r="O4042" s="18"/>
      <c r="P4042" s="18"/>
      <c r="Q4042" s="18"/>
    </row>
    <row r="4043" spans="1:17">
      <c r="A4043" s="18"/>
      <c r="B4043" s="18"/>
      <c r="C4043" s="18"/>
      <c r="D4043" s="18"/>
      <c r="E4043" s="18"/>
      <c r="F4043" s="18"/>
      <c r="G4043" s="18"/>
      <c r="H4043" s="18"/>
      <c r="I4043" s="18"/>
      <c r="J4043" s="18"/>
      <c r="K4043" s="18"/>
      <c r="L4043" s="18"/>
      <c r="M4043" s="18"/>
      <c r="N4043" s="18"/>
      <c r="O4043" s="18"/>
      <c r="P4043" s="18"/>
      <c r="Q4043" s="18"/>
    </row>
    <row r="4044" spans="1:17">
      <c r="A4044" s="18"/>
      <c r="B4044" s="18"/>
      <c r="C4044" s="18"/>
      <c r="D4044" s="18"/>
      <c r="E4044" s="18"/>
      <c r="F4044" s="18"/>
      <c r="G4044" s="18"/>
      <c r="H4044" s="18"/>
      <c r="I4044" s="18"/>
      <c r="J4044" s="18"/>
      <c r="K4044" s="18"/>
      <c r="L4044" s="18"/>
      <c r="M4044" s="18"/>
      <c r="N4044" s="18"/>
      <c r="O4044" s="18"/>
      <c r="P4044" s="18"/>
      <c r="Q4044" s="18"/>
    </row>
    <row r="4045" spans="1:17">
      <c r="A4045" s="18"/>
      <c r="B4045" s="18"/>
      <c r="C4045" s="18"/>
      <c r="D4045" s="18"/>
      <c r="E4045" s="18"/>
      <c r="F4045" s="18"/>
      <c r="G4045" s="18"/>
      <c r="H4045" s="18"/>
      <c r="I4045" s="18"/>
      <c r="J4045" s="18"/>
      <c r="K4045" s="18"/>
      <c r="L4045" s="18"/>
      <c r="M4045" s="18"/>
      <c r="N4045" s="18"/>
      <c r="O4045" s="18"/>
      <c r="P4045" s="18"/>
      <c r="Q4045" s="18"/>
    </row>
    <row r="4046" spans="1:17">
      <c r="A4046" s="18"/>
      <c r="B4046" s="18"/>
      <c r="C4046" s="18"/>
      <c r="D4046" s="18"/>
      <c r="E4046" s="18"/>
      <c r="F4046" s="18"/>
      <c r="G4046" s="18"/>
      <c r="H4046" s="18"/>
      <c r="I4046" s="18"/>
      <c r="J4046" s="18"/>
      <c r="K4046" s="18"/>
      <c r="L4046" s="18"/>
      <c r="M4046" s="18"/>
      <c r="N4046" s="18"/>
      <c r="O4046" s="18"/>
      <c r="P4046" s="18"/>
      <c r="Q4046" s="18"/>
    </row>
    <row r="4047" spans="1:17">
      <c r="A4047" s="18"/>
      <c r="B4047" s="18"/>
      <c r="C4047" s="18"/>
      <c r="D4047" s="18"/>
      <c r="E4047" s="18"/>
      <c r="F4047" s="18"/>
      <c r="G4047" s="18"/>
      <c r="H4047" s="18"/>
      <c r="I4047" s="18"/>
      <c r="J4047" s="18"/>
      <c r="K4047" s="18"/>
      <c r="L4047" s="18"/>
      <c r="M4047" s="18"/>
      <c r="N4047" s="18"/>
      <c r="O4047" s="18"/>
      <c r="P4047" s="18"/>
      <c r="Q4047" s="18"/>
    </row>
    <row r="4048" spans="1:17">
      <c r="A4048" s="18"/>
      <c r="B4048" s="18"/>
      <c r="C4048" s="18"/>
      <c r="D4048" s="18"/>
      <c r="E4048" s="18"/>
      <c r="F4048" s="18"/>
      <c r="G4048" s="18"/>
      <c r="H4048" s="18"/>
      <c r="I4048" s="18"/>
      <c r="J4048" s="18"/>
      <c r="K4048" s="18"/>
      <c r="L4048" s="18"/>
      <c r="M4048" s="18"/>
      <c r="N4048" s="18"/>
      <c r="O4048" s="18"/>
      <c r="P4048" s="18"/>
      <c r="Q4048" s="18"/>
    </row>
    <row r="4049" spans="1:17">
      <c r="A4049" s="18"/>
      <c r="B4049" s="18"/>
      <c r="C4049" s="18"/>
      <c r="D4049" s="18"/>
      <c r="E4049" s="18"/>
      <c r="F4049" s="18"/>
      <c r="G4049" s="18"/>
      <c r="H4049" s="18"/>
      <c r="I4049" s="18"/>
      <c r="J4049" s="18"/>
      <c r="K4049" s="18"/>
      <c r="L4049" s="18"/>
      <c r="M4049" s="18"/>
      <c r="N4049" s="18"/>
      <c r="O4049" s="18"/>
      <c r="P4049" s="18"/>
      <c r="Q4049" s="18"/>
    </row>
    <row r="4050" spans="1:17">
      <c r="A4050" s="18"/>
      <c r="B4050" s="18"/>
      <c r="C4050" s="18"/>
      <c r="D4050" s="18"/>
      <c r="E4050" s="18"/>
      <c r="F4050" s="18"/>
      <c r="G4050" s="18"/>
      <c r="H4050" s="18"/>
      <c r="I4050" s="18"/>
      <c r="J4050" s="18"/>
      <c r="K4050" s="18"/>
      <c r="L4050" s="18"/>
      <c r="M4050" s="18"/>
      <c r="N4050" s="18"/>
      <c r="O4050" s="18"/>
      <c r="P4050" s="18"/>
      <c r="Q4050" s="18"/>
    </row>
    <row r="4051" spans="1:17">
      <c r="A4051" s="18"/>
      <c r="B4051" s="18"/>
      <c r="C4051" s="18"/>
      <c r="D4051" s="18"/>
      <c r="E4051" s="18"/>
      <c r="F4051" s="18"/>
      <c r="G4051" s="18"/>
      <c r="H4051" s="18"/>
      <c r="I4051" s="18"/>
      <c r="J4051" s="18"/>
      <c r="K4051" s="18"/>
      <c r="L4051" s="18"/>
      <c r="M4051" s="18"/>
      <c r="N4051" s="18"/>
      <c r="O4051" s="18"/>
      <c r="P4051" s="18"/>
      <c r="Q4051" s="18"/>
    </row>
    <row r="4052" spans="1:17">
      <c r="A4052" s="18"/>
      <c r="B4052" s="18"/>
      <c r="C4052" s="18"/>
      <c r="D4052" s="18"/>
      <c r="E4052" s="18"/>
      <c r="F4052" s="18"/>
      <c r="G4052" s="18"/>
      <c r="H4052" s="18"/>
      <c r="I4052" s="18"/>
      <c r="J4052" s="18"/>
      <c r="K4052" s="18"/>
      <c r="L4052" s="18"/>
      <c r="M4052" s="18"/>
      <c r="N4052" s="18"/>
      <c r="O4052" s="18"/>
      <c r="P4052" s="18"/>
      <c r="Q4052" s="18"/>
    </row>
    <row r="4053" spans="1:17">
      <c r="A4053" s="18"/>
      <c r="B4053" s="18"/>
      <c r="C4053" s="18"/>
      <c r="D4053" s="18"/>
      <c r="E4053" s="18"/>
      <c r="F4053" s="18"/>
      <c r="G4053" s="18"/>
      <c r="H4053" s="18"/>
      <c r="I4053" s="18"/>
      <c r="J4053" s="18"/>
      <c r="K4053" s="18"/>
      <c r="L4053" s="18"/>
      <c r="M4053" s="18"/>
      <c r="N4053" s="18"/>
      <c r="O4053" s="18"/>
      <c r="P4053" s="18"/>
      <c r="Q4053" s="18"/>
    </row>
    <row r="4054" spans="1:17">
      <c r="A4054" s="18"/>
      <c r="B4054" s="18"/>
      <c r="C4054" s="18"/>
      <c r="D4054" s="18"/>
      <c r="E4054" s="18"/>
      <c r="F4054" s="18"/>
      <c r="G4054" s="18"/>
      <c r="H4054" s="18"/>
      <c r="I4054" s="18"/>
      <c r="J4054" s="18"/>
      <c r="K4054" s="18"/>
      <c r="L4054" s="18"/>
      <c r="M4054" s="18"/>
      <c r="N4054" s="18"/>
      <c r="O4054" s="18"/>
      <c r="P4054" s="18"/>
      <c r="Q4054" s="18"/>
    </row>
    <row r="4055" spans="1:17">
      <c r="A4055" s="18"/>
      <c r="B4055" s="18"/>
      <c r="C4055" s="18"/>
      <c r="D4055" s="18"/>
      <c r="E4055" s="18"/>
      <c r="F4055" s="18"/>
      <c r="G4055" s="18"/>
      <c r="H4055" s="18"/>
      <c r="I4055" s="18"/>
      <c r="J4055" s="18"/>
      <c r="K4055" s="18"/>
      <c r="L4055" s="18"/>
      <c r="M4055" s="18"/>
      <c r="N4055" s="18"/>
      <c r="O4055" s="18"/>
      <c r="P4055" s="18"/>
      <c r="Q4055" s="18"/>
    </row>
    <row r="4056" spans="1:17">
      <c r="A4056" s="18"/>
      <c r="B4056" s="18"/>
      <c r="C4056" s="18"/>
      <c r="D4056" s="18"/>
      <c r="E4056" s="18"/>
      <c r="F4056" s="18"/>
      <c r="G4056" s="18"/>
      <c r="H4056" s="18"/>
      <c r="I4056" s="18"/>
      <c r="J4056" s="18"/>
      <c r="K4056" s="18"/>
      <c r="L4056" s="18"/>
      <c r="M4056" s="18"/>
      <c r="N4056" s="18"/>
      <c r="O4056" s="18"/>
      <c r="P4056" s="18"/>
      <c r="Q4056" s="18"/>
    </row>
    <row r="4057" spans="1:17">
      <c r="A4057" s="18"/>
      <c r="B4057" s="18"/>
      <c r="C4057" s="18"/>
      <c r="D4057" s="18"/>
      <c r="E4057" s="18"/>
      <c r="F4057" s="18"/>
      <c r="G4057" s="18"/>
      <c r="H4057" s="18"/>
      <c r="I4057" s="18"/>
      <c r="J4057" s="18"/>
      <c r="K4057" s="18"/>
      <c r="L4057" s="18"/>
      <c r="M4057" s="18"/>
      <c r="N4057" s="18"/>
      <c r="O4057" s="18"/>
      <c r="P4057" s="18"/>
      <c r="Q4057" s="18"/>
    </row>
    <row r="4058" spans="1:17">
      <c r="A4058" s="18"/>
      <c r="B4058" s="18"/>
      <c r="C4058" s="18"/>
      <c r="D4058" s="18"/>
      <c r="E4058" s="18"/>
      <c r="F4058" s="18"/>
      <c r="G4058" s="18"/>
      <c r="H4058" s="18"/>
      <c r="I4058" s="18"/>
      <c r="J4058" s="18"/>
      <c r="K4058" s="18"/>
      <c r="L4058" s="18"/>
      <c r="M4058" s="18"/>
      <c r="N4058" s="18"/>
      <c r="O4058" s="18"/>
      <c r="P4058" s="18"/>
      <c r="Q4058" s="18"/>
    </row>
    <row r="4059" spans="1:17">
      <c r="A4059" s="18"/>
      <c r="B4059" s="18"/>
      <c r="C4059" s="18"/>
      <c r="D4059" s="18"/>
      <c r="E4059" s="18"/>
      <c r="F4059" s="18"/>
      <c r="G4059" s="18"/>
      <c r="H4059" s="18"/>
      <c r="I4059" s="18"/>
      <c r="J4059" s="18"/>
      <c r="K4059" s="18"/>
      <c r="L4059" s="18"/>
      <c r="M4059" s="18"/>
      <c r="N4059" s="18"/>
      <c r="O4059" s="18"/>
      <c r="P4059" s="18"/>
      <c r="Q4059" s="18"/>
    </row>
    <row r="4060" spans="1:17">
      <c r="A4060" s="18"/>
      <c r="B4060" s="18"/>
      <c r="C4060" s="18"/>
      <c r="D4060" s="18"/>
      <c r="E4060" s="18"/>
      <c r="F4060" s="18"/>
      <c r="G4060" s="18"/>
      <c r="H4060" s="18"/>
      <c r="I4060" s="18"/>
      <c r="J4060" s="18"/>
      <c r="K4060" s="18"/>
      <c r="L4060" s="18"/>
      <c r="M4060" s="18"/>
      <c r="N4060" s="18"/>
      <c r="O4060" s="18"/>
      <c r="P4060" s="18"/>
      <c r="Q4060" s="18"/>
    </row>
    <row r="4061" spans="1:17">
      <c r="A4061" s="18"/>
      <c r="B4061" s="18"/>
      <c r="C4061" s="18"/>
      <c r="D4061" s="18"/>
      <c r="E4061" s="18"/>
      <c r="F4061" s="18"/>
      <c r="G4061" s="18"/>
      <c r="H4061" s="18"/>
      <c r="I4061" s="18"/>
      <c r="J4061" s="18"/>
      <c r="K4061" s="18"/>
      <c r="L4061" s="18"/>
      <c r="M4061" s="18"/>
      <c r="N4061" s="18"/>
      <c r="O4061" s="18"/>
      <c r="P4061" s="18"/>
      <c r="Q4061" s="18"/>
    </row>
    <row r="4062" spans="1:17">
      <c r="A4062" s="18"/>
      <c r="B4062" s="18"/>
      <c r="C4062" s="18"/>
      <c r="D4062" s="18"/>
      <c r="E4062" s="18"/>
      <c r="F4062" s="18"/>
      <c r="G4062" s="18"/>
      <c r="H4062" s="18"/>
      <c r="I4062" s="18"/>
      <c r="J4062" s="18"/>
      <c r="K4062" s="18"/>
      <c r="L4062" s="18"/>
      <c r="M4062" s="18"/>
      <c r="N4062" s="18"/>
      <c r="O4062" s="18"/>
      <c r="P4062" s="18"/>
      <c r="Q4062" s="18"/>
    </row>
    <row r="4063" spans="1:17">
      <c r="A4063" s="18"/>
      <c r="B4063" s="18"/>
      <c r="C4063" s="18"/>
      <c r="D4063" s="18"/>
      <c r="E4063" s="18"/>
      <c r="F4063" s="18"/>
      <c r="G4063" s="18"/>
      <c r="H4063" s="18"/>
      <c r="I4063" s="18"/>
      <c r="J4063" s="18"/>
      <c r="K4063" s="18"/>
      <c r="L4063" s="18"/>
      <c r="M4063" s="18"/>
      <c r="N4063" s="18"/>
      <c r="O4063" s="18"/>
      <c r="P4063" s="18"/>
      <c r="Q4063" s="18"/>
    </row>
    <row r="4064" spans="1:17">
      <c r="A4064" s="18"/>
      <c r="B4064" s="18"/>
      <c r="C4064" s="18"/>
      <c r="D4064" s="18"/>
      <c r="E4064" s="18"/>
      <c r="F4064" s="18"/>
      <c r="G4064" s="18"/>
      <c r="H4064" s="18"/>
      <c r="I4064" s="18"/>
      <c r="J4064" s="18"/>
      <c r="K4064" s="18"/>
      <c r="L4064" s="18"/>
      <c r="M4064" s="18"/>
      <c r="N4064" s="18"/>
      <c r="O4064" s="18"/>
      <c r="P4064" s="18"/>
      <c r="Q4064" s="18"/>
    </row>
    <row r="4065" spans="1:17">
      <c r="A4065" s="18"/>
      <c r="B4065" s="18"/>
      <c r="C4065" s="18"/>
      <c r="D4065" s="18"/>
      <c r="E4065" s="18"/>
      <c r="F4065" s="18"/>
      <c r="G4065" s="18"/>
      <c r="H4065" s="18"/>
      <c r="I4065" s="18"/>
      <c r="J4065" s="18"/>
      <c r="K4065" s="18"/>
      <c r="L4065" s="18"/>
      <c r="M4065" s="18"/>
      <c r="N4065" s="18"/>
      <c r="O4065" s="18"/>
      <c r="P4065" s="18"/>
      <c r="Q4065" s="18"/>
    </row>
    <row r="4066" spans="1:17">
      <c r="A4066" s="18"/>
      <c r="B4066" s="18"/>
      <c r="C4066" s="18"/>
      <c r="D4066" s="18"/>
      <c r="E4066" s="18"/>
      <c r="F4066" s="18"/>
      <c r="G4066" s="18"/>
      <c r="H4066" s="18"/>
      <c r="I4066" s="18"/>
      <c r="J4066" s="18"/>
      <c r="K4066" s="18"/>
      <c r="L4066" s="18"/>
      <c r="M4066" s="18"/>
      <c r="N4066" s="18"/>
      <c r="O4066" s="18"/>
      <c r="P4066" s="18"/>
      <c r="Q4066" s="18"/>
    </row>
    <row r="4067" spans="1:17">
      <c r="A4067" s="18"/>
      <c r="B4067" s="18"/>
      <c r="C4067" s="18"/>
      <c r="D4067" s="18"/>
      <c r="E4067" s="18"/>
      <c r="F4067" s="18"/>
      <c r="G4067" s="18"/>
      <c r="H4067" s="18"/>
      <c r="I4067" s="18"/>
      <c r="J4067" s="18"/>
      <c r="K4067" s="18"/>
      <c r="L4067" s="18"/>
      <c r="M4067" s="18"/>
      <c r="N4067" s="18"/>
      <c r="O4067" s="18"/>
      <c r="P4067" s="18"/>
      <c r="Q4067" s="18"/>
    </row>
    <row r="4068" spans="1:17">
      <c r="A4068" s="18"/>
      <c r="B4068" s="18"/>
      <c r="C4068" s="18"/>
      <c r="D4068" s="18"/>
      <c r="E4068" s="18"/>
      <c r="F4068" s="18"/>
      <c r="G4068" s="18"/>
      <c r="H4068" s="18"/>
      <c r="I4068" s="18"/>
      <c r="J4068" s="18"/>
      <c r="K4068" s="18"/>
      <c r="L4068" s="18"/>
      <c r="M4068" s="18"/>
      <c r="N4068" s="18"/>
      <c r="O4068" s="18"/>
      <c r="P4068" s="18"/>
      <c r="Q4068" s="18"/>
    </row>
    <row r="4069" spans="1:17">
      <c r="A4069" s="18"/>
      <c r="B4069" s="18"/>
      <c r="C4069" s="18"/>
      <c r="D4069" s="18"/>
      <c r="E4069" s="18"/>
      <c r="F4069" s="18"/>
      <c r="G4069" s="18"/>
      <c r="H4069" s="18"/>
      <c r="I4069" s="18"/>
      <c r="J4069" s="18"/>
      <c r="K4069" s="18"/>
      <c r="L4069" s="18"/>
      <c r="M4069" s="18"/>
      <c r="N4069" s="18"/>
      <c r="O4069" s="18"/>
      <c r="P4069" s="18"/>
      <c r="Q4069" s="18"/>
    </row>
    <row r="4070" spans="1:17">
      <c r="A4070" s="18"/>
      <c r="B4070" s="18"/>
      <c r="C4070" s="18"/>
      <c r="D4070" s="18"/>
      <c r="E4070" s="18"/>
      <c r="F4070" s="18"/>
      <c r="G4070" s="18"/>
      <c r="H4070" s="18"/>
      <c r="I4070" s="18"/>
      <c r="J4070" s="18"/>
      <c r="K4070" s="18"/>
      <c r="L4070" s="18"/>
      <c r="M4070" s="18"/>
      <c r="N4070" s="18"/>
      <c r="O4070" s="18"/>
      <c r="P4070" s="18"/>
      <c r="Q4070" s="18"/>
    </row>
    <row r="4071" spans="1:17">
      <c r="A4071" s="18"/>
      <c r="B4071" s="18"/>
      <c r="C4071" s="18"/>
      <c r="D4071" s="18"/>
      <c r="E4071" s="18"/>
      <c r="F4071" s="18"/>
      <c r="G4071" s="18"/>
      <c r="H4071" s="18"/>
      <c r="I4071" s="18"/>
      <c r="J4071" s="18"/>
      <c r="K4071" s="18"/>
      <c r="L4071" s="18"/>
      <c r="M4071" s="18"/>
      <c r="N4071" s="18"/>
      <c r="O4071" s="18"/>
      <c r="P4071" s="18"/>
      <c r="Q4071" s="18"/>
    </row>
    <row r="4072" spans="1:17">
      <c r="A4072" s="18"/>
      <c r="B4072" s="18"/>
      <c r="C4072" s="18"/>
      <c r="D4072" s="18"/>
      <c r="E4072" s="18"/>
      <c r="F4072" s="18"/>
      <c r="G4072" s="18"/>
      <c r="H4072" s="18"/>
      <c r="I4072" s="18"/>
      <c r="J4072" s="18"/>
      <c r="K4072" s="18"/>
      <c r="L4072" s="18"/>
      <c r="M4072" s="18"/>
      <c r="N4072" s="18"/>
      <c r="O4072" s="18"/>
      <c r="P4072" s="18"/>
      <c r="Q4072" s="18"/>
    </row>
    <row r="4073" spans="1:17">
      <c r="A4073" s="18"/>
      <c r="B4073" s="18"/>
      <c r="C4073" s="18"/>
      <c r="D4073" s="18"/>
      <c r="E4073" s="18"/>
      <c r="F4073" s="18"/>
      <c r="G4073" s="18"/>
      <c r="H4073" s="18"/>
      <c r="I4073" s="18"/>
      <c r="J4073" s="18"/>
      <c r="K4073" s="18"/>
      <c r="L4073" s="18"/>
      <c r="M4073" s="18"/>
      <c r="N4073" s="18"/>
      <c r="O4073" s="18"/>
      <c r="P4073" s="18"/>
      <c r="Q4073" s="18"/>
    </row>
    <row r="4074" spans="1:17">
      <c r="A4074" s="18"/>
      <c r="B4074" s="18"/>
      <c r="C4074" s="18"/>
      <c r="D4074" s="18"/>
      <c r="E4074" s="18"/>
      <c r="F4074" s="18"/>
      <c r="G4074" s="18"/>
      <c r="H4074" s="18"/>
      <c r="I4074" s="18"/>
      <c r="J4074" s="18"/>
      <c r="K4074" s="18"/>
      <c r="L4074" s="18"/>
      <c r="M4074" s="18"/>
      <c r="N4074" s="18"/>
      <c r="O4074" s="18"/>
      <c r="P4074" s="18"/>
      <c r="Q4074" s="18"/>
    </row>
    <row r="4075" spans="1:17">
      <c r="A4075" s="18"/>
      <c r="B4075" s="18"/>
      <c r="C4075" s="18"/>
      <c r="D4075" s="18"/>
      <c r="E4075" s="18"/>
      <c r="F4075" s="18"/>
      <c r="G4075" s="18"/>
      <c r="H4075" s="18"/>
      <c r="I4075" s="18"/>
      <c r="J4075" s="18"/>
      <c r="K4075" s="18"/>
      <c r="L4075" s="18"/>
      <c r="M4075" s="18"/>
      <c r="N4075" s="18"/>
      <c r="O4075" s="18"/>
      <c r="P4075" s="18"/>
      <c r="Q4075" s="18"/>
    </row>
    <row r="4076" spans="1:17">
      <c r="A4076" s="18"/>
      <c r="B4076" s="18"/>
      <c r="C4076" s="18"/>
      <c r="D4076" s="18"/>
      <c r="E4076" s="18"/>
      <c r="F4076" s="18"/>
      <c r="G4076" s="18"/>
      <c r="H4076" s="18"/>
      <c r="I4076" s="18"/>
      <c r="J4076" s="18"/>
      <c r="K4076" s="18"/>
      <c r="L4076" s="18"/>
      <c r="M4076" s="18"/>
      <c r="N4076" s="18"/>
      <c r="O4076" s="18"/>
      <c r="P4076" s="18"/>
      <c r="Q4076" s="18"/>
    </row>
    <row r="4077" spans="1:17">
      <c r="A4077" s="18"/>
      <c r="B4077" s="18"/>
      <c r="C4077" s="18"/>
      <c r="D4077" s="18"/>
      <c r="E4077" s="18"/>
      <c r="F4077" s="18"/>
      <c r="G4077" s="18"/>
      <c r="H4077" s="18"/>
      <c r="I4077" s="18"/>
      <c r="J4077" s="18"/>
      <c r="K4077" s="18"/>
      <c r="L4077" s="18"/>
      <c r="M4077" s="18"/>
      <c r="N4077" s="18"/>
      <c r="O4077" s="18"/>
      <c r="P4077" s="18"/>
      <c r="Q4077" s="18"/>
    </row>
    <row r="4078" spans="1:17">
      <c r="A4078" s="18"/>
      <c r="B4078" s="18"/>
      <c r="C4078" s="18"/>
      <c r="D4078" s="18"/>
      <c r="E4078" s="18"/>
      <c r="F4078" s="18"/>
      <c r="G4078" s="18"/>
      <c r="H4078" s="18"/>
      <c r="I4078" s="18"/>
      <c r="J4078" s="18"/>
      <c r="K4078" s="18"/>
      <c r="L4078" s="18"/>
      <c r="M4078" s="18"/>
      <c r="N4078" s="18"/>
      <c r="O4078" s="18"/>
      <c r="P4078" s="18"/>
      <c r="Q4078" s="18"/>
    </row>
    <row r="4079" spans="1:17">
      <c r="A4079" s="18"/>
      <c r="B4079" s="18"/>
      <c r="C4079" s="18"/>
      <c r="D4079" s="18"/>
      <c r="E4079" s="18"/>
      <c r="F4079" s="18"/>
      <c r="G4079" s="18"/>
      <c r="H4079" s="18"/>
      <c r="I4079" s="18"/>
      <c r="J4079" s="18"/>
      <c r="K4079" s="18"/>
      <c r="L4079" s="18"/>
      <c r="M4079" s="18"/>
      <c r="N4079" s="18"/>
      <c r="O4079" s="18"/>
      <c r="P4079" s="18"/>
      <c r="Q4079" s="18"/>
    </row>
    <row r="4080" spans="1:17">
      <c r="A4080" s="18"/>
      <c r="B4080" s="18"/>
      <c r="C4080" s="18"/>
      <c r="D4080" s="18"/>
      <c r="E4080" s="18"/>
      <c r="F4080" s="18"/>
      <c r="G4080" s="18"/>
      <c r="H4080" s="18"/>
      <c r="I4080" s="18"/>
      <c r="J4080" s="18"/>
      <c r="K4080" s="18"/>
      <c r="L4080" s="18"/>
      <c r="M4080" s="18"/>
      <c r="N4080" s="18"/>
      <c r="O4080" s="18"/>
      <c r="P4080" s="18"/>
      <c r="Q4080" s="18"/>
    </row>
    <row r="4081" spans="1:17">
      <c r="A4081" s="18"/>
      <c r="B4081" s="18"/>
      <c r="C4081" s="18"/>
      <c r="D4081" s="18"/>
      <c r="E4081" s="18"/>
      <c r="F4081" s="18"/>
      <c r="G4081" s="18"/>
      <c r="H4081" s="18"/>
      <c r="I4081" s="18"/>
      <c r="J4081" s="18"/>
      <c r="K4081" s="18"/>
      <c r="L4081" s="18"/>
      <c r="M4081" s="18"/>
      <c r="N4081" s="18"/>
      <c r="O4081" s="18"/>
      <c r="P4081" s="18"/>
      <c r="Q4081" s="18"/>
    </row>
    <row r="4082" spans="1:17">
      <c r="A4082" s="18"/>
      <c r="B4082" s="18"/>
      <c r="C4082" s="18"/>
      <c r="D4082" s="18"/>
      <c r="E4082" s="18"/>
      <c r="F4082" s="18"/>
      <c r="G4082" s="18"/>
      <c r="H4082" s="18"/>
      <c r="I4082" s="18"/>
      <c r="J4082" s="18"/>
      <c r="K4082" s="18"/>
      <c r="L4082" s="18"/>
      <c r="M4082" s="18"/>
      <c r="N4082" s="18"/>
      <c r="O4082" s="18"/>
      <c r="P4082" s="18"/>
      <c r="Q4082" s="18"/>
    </row>
    <row r="4083" spans="1:17">
      <c r="A4083" s="18"/>
      <c r="B4083" s="18"/>
      <c r="C4083" s="18"/>
      <c r="D4083" s="18"/>
      <c r="E4083" s="18"/>
      <c r="F4083" s="18"/>
      <c r="G4083" s="18"/>
      <c r="H4083" s="18"/>
      <c r="I4083" s="18"/>
      <c r="J4083" s="18"/>
      <c r="K4083" s="18"/>
      <c r="L4083" s="18"/>
      <c r="M4083" s="18"/>
      <c r="N4083" s="18"/>
      <c r="O4083" s="18"/>
      <c r="P4083" s="18"/>
      <c r="Q4083" s="18"/>
    </row>
    <row r="4084" spans="1:17">
      <c r="A4084" s="18"/>
      <c r="B4084" s="18"/>
      <c r="C4084" s="18"/>
      <c r="D4084" s="18"/>
      <c r="E4084" s="18"/>
      <c r="F4084" s="18"/>
      <c r="G4084" s="18"/>
      <c r="H4084" s="18"/>
      <c r="I4084" s="18"/>
      <c r="J4084" s="18"/>
      <c r="K4084" s="18"/>
      <c r="L4084" s="18"/>
      <c r="M4084" s="18"/>
      <c r="N4084" s="18"/>
      <c r="O4084" s="18"/>
      <c r="P4084" s="18"/>
      <c r="Q4084" s="18"/>
    </row>
    <row r="4085" spans="1:17">
      <c r="A4085" s="18"/>
      <c r="B4085" s="18"/>
      <c r="C4085" s="18"/>
      <c r="D4085" s="18"/>
      <c r="E4085" s="18"/>
      <c r="F4085" s="18"/>
      <c r="G4085" s="18"/>
      <c r="H4085" s="18"/>
      <c r="I4085" s="18"/>
      <c r="J4085" s="18"/>
      <c r="K4085" s="18"/>
      <c r="L4085" s="18"/>
      <c r="M4085" s="18"/>
      <c r="N4085" s="18"/>
      <c r="O4085" s="18"/>
      <c r="P4085" s="18"/>
      <c r="Q4085" s="18"/>
    </row>
    <row r="4086" spans="1:17">
      <c r="A4086" s="18"/>
      <c r="B4086" s="18"/>
      <c r="C4086" s="18"/>
      <c r="D4086" s="18"/>
      <c r="E4086" s="18"/>
      <c r="F4086" s="18"/>
      <c r="G4086" s="18"/>
      <c r="H4086" s="18"/>
      <c r="I4086" s="18"/>
      <c r="J4086" s="18"/>
      <c r="K4086" s="18"/>
      <c r="L4086" s="18"/>
      <c r="M4086" s="18"/>
      <c r="N4086" s="18"/>
      <c r="O4086" s="18"/>
      <c r="P4086" s="18"/>
      <c r="Q4086" s="18"/>
    </row>
    <row r="4087" spans="1:17">
      <c r="A4087" s="18"/>
      <c r="B4087" s="18"/>
      <c r="C4087" s="18"/>
      <c r="D4087" s="18"/>
      <c r="E4087" s="18"/>
      <c r="F4087" s="18"/>
      <c r="G4087" s="18"/>
      <c r="H4087" s="18"/>
      <c r="I4087" s="18"/>
      <c r="J4087" s="18"/>
      <c r="K4087" s="18"/>
      <c r="L4087" s="18"/>
      <c r="M4087" s="18"/>
      <c r="N4087" s="18"/>
      <c r="O4087" s="18"/>
      <c r="P4087" s="18"/>
      <c r="Q4087" s="18"/>
    </row>
    <row r="4088" spans="1:17">
      <c r="A4088" s="18"/>
      <c r="B4088" s="18"/>
      <c r="C4088" s="18"/>
      <c r="D4088" s="18"/>
      <c r="E4088" s="18"/>
      <c r="F4088" s="18"/>
      <c r="G4088" s="18"/>
      <c r="H4088" s="18"/>
      <c r="I4088" s="18"/>
      <c r="J4088" s="18"/>
      <c r="K4088" s="18"/>
      <c r="L4088" s="18"/>
      <c r="M4088" s="18"/>
      <c r="N4088" s="18"/>
      <c r="O4088" s="18"/>
      <c r="P4088" s="18"/>
      <c r="Q4088" s="18"/>
    </row>
    <row r="4089" spans="1:17">
      <c r="A4089" s="18"/>
      <c r="B4089" s="18"/>
      <c r="C4089" s="18"/>
      <c r="D4089" s="18"/>
      <c r="E4089" s="18"/>
      <c r="F4089" s="18"/>
      <c r="G4089" s="18"/>
      <c r="H4089" s="18"/>
      <c r="I4089" s="18"/>
      <c r="J4089" s="18"/>
      <c r="K4089" s="18"/>
      <c r="L4089" s="18"/>
      <c r="M4089" s="18"/>
      <c r="N4089" s="18"/>
      <c r="O4089" s="18"/>
      <c r="P4089" s="18"/>
      <c r="Q4089" s="18"/>
    </row>
    <row r="4090" spans="1:17">
      <c r="A4090" s="18"/>
      <c r="B4090" s="18"/>
      <c r="C4090" s="18"/>
      <c r="D4090" s="18"/>
      <c r="E4090" s="18"/>
      <c r="F4090" s="18"/>
      <c r="G4090" s="18"/>
      <c r="H4090" s="18"/>
      <c r="I4090" s="18"/>
      <c r="J4090" s="18"/>
      <c r="K4090" s="18"/>
      <c r="L4090" s="18"/>
      <c r="M4090" s="18"/>
      <c r="N4090" s="18"/>
      <c r="O4090" s="18"/>
      <c r="P4090" s="18"/>
      <c r="Q4090" s="18"/>
    </row>
    <row r="4091" spans="1:17">
      <c r="A4091" s="18"/>
      <c r="B4091" s="18"/>
      <c r="C4091" s="18"/>
      <c r="D4091" s="18"/>
      <c r="E4091" s="18"/>
      <c r="F4091" s="18"/>
      <c r="G4091" s="18"/>
      <c r="H4091" s="18"/>
      <c r="I4091" s="18"/>
      <c r="J4091" s="18"/>
      <c r="K4091" s="18"/>
      <c r="L4091" s="18"/>
      <c r="M4091" s="18"/>
      <c r="N4091" s="18"/>
      <c r="O4091" s="18"/>
      <c r="P4091" s="18"/>
      <c r="Q4091" s="18"/>
    </row>
    <row r="4092" spans="1:17">
      <c r="A4092" s="18"/>
      <c r="B4092" s="18"/>
      <c r="C4092" s="18"/>
      <c r="D4092" s="18"/>
      <c r="E4092" s="18"/>
      <c r="F4092" s="18"/>
      <c r="G4092" s="18"/>
      <c r="H4092" s="18"/>
      <c r="I4092" s="18"/>
      <c r="J4092" s="18"/>
      <c r="K4092" s="18"/>
      <c r="L4092" s="18"/>
      <c r="M4092" s="18"/>
      <c r="N4092" s="18"/>
      <c r="O4092" s="18"/>
      <c r="P4092" s="18"/>
      <c r="Q4092" s="18"/>
    </row>
    <row r="4093" spans="1:17">
      <c r="A4093" s="18"/>
      <c r="B4093" s="18"/>
      <c r="C4093" s="18"/>
      <c r="D4093" s="18"/>
      <c r="E4093" s="18"/>
      <c r="F4093" s="18"/>
      <c r="G4093" s="18"/>
      <c r="H4093" s="18"/>
      <c r="I4093" s="18"/>
      <c r="J4093" s="18"/>
      <c r="K4093" s="18"/>
      <c r="L4093" s="18"/>
      <c r="M4093" s="18"/>
      <c r="N4093" s="18"/>
      <c r="O4093" s="18"/>
      <c r="P4093" s="18"/>
      <c r="Q4093" s="18"/>
    </row>
    <row r="4094" spans="1:17">
      <c r="A4094" s="18"/>
      <c r="B4094" s="18"/>
      <c r="C4094" s="18"/>
      <c r="D4094" s="18"/>
      <c r="E4094" s="18"/>
      <c r="F4094" s="18"/>
      <c r="G4094" s="18"/>
      <c r="H4094" s="18"/>
      <c r="I4094" s="18"/>
      <c r="J4094" s="18"/>
      <c r="K4094" s="18"/>
      <c r="L4094" s="18"/>
      <c r="M4094" s="18"/>
      <c r="N4094" s="18"/>
      <c r="O4094" s="18"/>
      <c r="P4094" s="18"/>
      <c r="Q4094" s="18"/>
    </row>
    <row r="4095" spans="1:17">
      <c r="A4095" s="18"/>
      <c r="B4095" s="18"/>
      <c r="C4095" s="18"/>
      <c r="D4095" s="18"/>
      <c r="E4095" s="18"/>
      <c r="F4095" s="18"/>
      <c r="G4095" s="18"/>
      <c r="H4095" s="18"/>
      <c r="I4095" s="18"/>
      <c r="J4095" s="18"/>
      <c r="K4095" s="18"/>
      <c r="L4095" s="18"/>
      <c r="M4095" s="18"/>
      <c r="N4095" s="18"/>
      <c r="O4095" s="18"/>
      <c r="P4095" s="18"/>
      <c r="Q4095" s="18"/>
    </row>
    <row r="4096" spans="1:17">
      <c r="A4096" s="18"/>
      <c r="B4096" s="18"/>
      <c r="C4096" s="18"/>
      <c r="D4096" s="18"/>
      <c r="E4096" s="18"/>
      <c r="F4096" s="18"/>
      <c r="G4096" s="18"/>
      <c r="H4096" s="18"/>
      <c r="I4096" s="18"/>
      <c r="J4096" s="18"/>
      <c r="K4096" s="18"/>
      <c r="L4096" s="18"/>
      <c r="M4096" s="18"/>
      <c r="N4096" s="18"/>
      <c r="O4096" s="18"/>
      <c r="P4096" s="18"/>
      <c r="Q4096" s="18"/>
    </row>
    <row r="4097" spans="1:17">
      <c r="A4097" s="18"/>
      <c r="B4097" s="18"/>
      <c r="C4097" s="18"/>
      <c r="D4097" s="18"/>
      <c r="E4097" s="18"/>
      <c r="F4097" s="18"/>
      <c r="G4097" s="18"/>
      <c r="H4097" s="18"/>
      <c r="I4097" s="18"/>
      <c r="J4097" s="18"/>
      <c r="K4097" s="18"/>
      <c r="L4097" s="18"/>
      <c r="M4097" s="18"/>
      <c r="N4097" s="18"/>
      <c r="O4097" s="18"/>
      <c r="P4097" s="18"/>
      <c r="Q4097" s="18"/>
    </row>
    <row r="4098" spans="1:17">
      <c r="A4098" s="18"/>
      <c r="B4098" s="18"/>
      <c r="C4098" s="18"/>
      <c r="D4098" s="18"/>
      <c r="E4098" s="18"/>
      <c r="F4098" s="18"/>
      <c r="G4098" s="18"/>
      <c r="H4098" s="18"/>
      <c r="I4098" s="18"/>
      <c r="J4098" s="18"/>
      <c r="K4098" s="18"/>
      <c r="L4098" s="18"/>
      <c r="M4098" s="18"/>
      <c r="N4098" s="18"/>
      <c r="O4098" s="18"/>
      <c r="P4098" s="18"/>
      <c r="Q4098" s="18"/>
    </row>
    <row r="4099" spans="1:17">
      <c r="A4099" s="18"/>
      <c r="B4099" s="18"/>
      <c r="C4099" s="18"/>
      <c r="D4099" s="18"/>
      <c r="E4099" s="18"/>
      <c r="F4099" s="18"/>
      <c r="G4099" s="18"/>
      <c r="H4099" s="18"/>
      <c r="I4099" s="18"/>
      <c r="J4099" s="18"/>
      <c r="K4099" s="18"/>
      <c r="L4099" s="18"/>
      <c r="M4099" s="18"/>
      <c r="N4099" s="18"/>
      <c r="O4099" s="18"/>
      <c r="P4099" s="18"/>
      <c r="Q4099" s="18"/>
    </row>
    <row r="4100" spans="1:17">
      <c r="A4100" s="18"/>
      <c r="B4100" s="18"/>
      <c r="C4100" s="18"/>
      <c r="D4100" s="18"/>
      <c r="E4100" s="18"/>
      <c r="F4100" s="18"/>
      <c r="G4100" s="18"/>
      <c r="H4100" s="18"/>
      <c r="I4100" s="18"/>
      <c r="J4100" s="18"/>
      <c r="K4100" s="18"/>
      <c r="L4100" s="18"/>
      <c r="M4100" s="18"/>
      <c r="N4100" s="18"/>
      <c r="O4100" s="18"/>
      <c r="P4100" s="18"/>
      <c r="Q4100" s="18"/>
    </row>
    <row r="4101" spans="1:17">
      <c r="A4101" s="18"/>
      <c r="B4101" s="18"/>
      <c r="C4101" s="18"/>
      <c r="D4101" s="18"/>
      <c r="E4101" s="18"/>
      <c r="F4101" s="18"/>
      <c r="G4101" s="18"/>
      <c r="H4101" s="18"/>
      <c r="I4101" s="18"/>
      <c r="J4101" s="18"/>
      <c r="K4101" s="18"/>
      <c r="L4101" s="18"/>
      <c r="M4101" s="18"/>
      <c r="N4101" s="18"/>
      <c r="O4101" s="18"/>
      <c r="P4101" s="18"/>
      <c r="Q4101" s="18"/>
    </row>
    <row r="4102" spans="1:17">
      <c r="A4102" s="18"/>
      <c r="B4102" s="18"/>
      <c r="C4102" s="18"/>
      <c r="D4102" s="18"/>
      <c r="E4102" s="18"/>
      <c r="F4102" s="18"/>
      <c r="G4102" s="18"/>
      <c r="H4102" s="18"/>
      <c r="I4102" s="18"/>
      <c r="J4102" s="18"/>
      <c r="K4102" s="18"/>
      <c r="L4102" s="18"/>
      <c r="M4102" s="18"/>
      <c r="N4102" s="18"/>
      <c r="O4102" s="18"/>
      <c r="P4102" s="18"/>
      <c r="Q4102" s="18"/>
    </row>
    <row r="4103" spans="1:17">
      <c r="A4103" s="18"/>
      <c r="B4103" s="18"/>
      <c r="C4103" s="18"/>
      <c r="D4103" s="18"/>
      <c r="E4103" s="18"/>
      <c r="F4103" s="18"/>
      <c r="G4103" s="18"/>
      <c r="H4103" s="18"/>
      <c r="I4103" s="18"/>
      <c r="J4103" s="18"/>
      <c r="K4103" s="18"/>
      <c r="L4103" s="18"/>
      <c r="M4103" s="18"/>
      <c r="N4103" s="18"/>
      <c r="O4103" s="18"/>
      <c r="P4103" s="18"/>
      <c r="Q4103" s="18"/>
    </row>
    <row r="4104" spans="1:17">
      <c r="A4104" s="18"/>
      <c r="B4104" s="18"/>
      <c r="C4104" s="18"/>
      <c r="D4104" s="18"/>
      <c r="E4104" s="18"/>
      <c r="F4104" s="18"/>
      <c r="G4104" s="18"/>
      <c r="H4104" s="18"/>
      <c r="I4104" s="18"/>
      <c r="J4104" s="18"/>
      <c r="K4104" s="18"/>
      <c r="L4104" s="18"/>
      <c r="M4104" s="18"/>
      <c r="N4104" s="18"/>
      <c r="O4104" s="18"/>
      <c r="P4104" s="18"/>
      <c r="Q4104" s="18"/>
    </row>
    <row r="4105" spans="1:17">
      <c r="A4105" s="18"/>
      <c r="B4105" s="18"/>
      <c r="C4105" s="18"/>
      <c r="D4105" s="18"/>
      <c r="E4105" s="18"/>
      <c r="F4105" s="18"/>
      <c r="G4105" s="18"/>
      <c r="H4105" s="18"/>
      <c r="I4105" s="18"/>
      <c r="J4105" s="18"/>
      <c r="K4105" s="18"/>
      <c r="L4105" s="18"/>
      <c r="M4105" s="18"/>
      <c r="N4105" s="18"/>
      <c r="O4105" s="18"/>
      <c r="P4105" s="18"/>
      <c r="Q4105" s="18"/>
    </row>
    <row r="4106" spans="1:17">
      <c r="A4106" s="18"/>
      <c r="B4106" s="18"/>
      <c r="C4106" s="18"/>
      <c r="D4106" s="18"/>
      <c r="E4106" s="18"/>
      <c r="F4106" s="18"/>
      <c r="G4106" s="18"/>
      <c r="H4106" s="18"/>
      <c r="I4106" s="18"/>
      <c r="J4106" s="18"/>
      <c r="K4106" s="18"/>
      <c r="L4106" s="18"/>
      <c r="M4106" s="18"/>
      <c r="N4106" s="18"/>
      <c r="O4106" s="18"/>
      <c r="P4106" s="18"/>
      <c r="Q4106" s="18"/>
    </row>
    <row r="4107" spans="1:17">
      <c r="A4107" s="18"/>
      <c r="B4107" s="18"/>
      <c r="C4107" s="18"/>
      <c r="D4107" s="18"/>
      <c r="E4107" s="18"/>
      <c r="F4107" s="18"/>
      <c r="G4107" s="18"/>
      <c r="H4107" s="18"/>
      <c r="I4107" s="18"/>
      <c r="J4107" s="18"/>
      <c r="K4107" s="18"/>
      <c r="L4107" s="18"/>
      <c r="M4107" s="18"/>
      <c r="N4107" s="18"/>
      <c r="O4107" s="18"/>
      <c r="P4107" s="18"/>
      <c r="Q4107" s="18"/>
    </row>
    <row r="4108" spans="1:17">
      <c r="A4108" s="18"/>
      <c r="B4108" s="18"/>
      <c r="C4108" s="18"/>
      <c r="D4108" s="18"/>
      <c r="E4108" s="18"/>
      <c r="F4108" s="18"/>
      <c r="G4108" s="18"/>
      <c r="H4108" s="18"/>
      <c r="I4108" s="18"/>
      <c r="J4108" s="18"/>
      <c r="K4108" s="18"/>
      <c r="L4108" s="18"/>
      <c r="M4108" s="18"/>
      <c r="N4108" s="18"/>
      <c r="O4108" s="18"/>
      <c r="P4108" s="18"/>
      <c r="Q4108" s="18"/>
    </row>
    <row r="4109" spans="1:17">
      <c r="A4109" s="18"/>
      <c r="B4109" s="18"/>
      <c r="C4109" s="18"/>
      <c r="D4109" s="18"/>
      <c r="E4109" s="18"/>
      <c r="F4109" s="18"/>
      <c r="G4109" s="18"/>
      <c r="H4109" s="18"/>
      <c r="I4109" s="18"/>
      <c r="J4109" s="18"/>
      <c r="K4109" s="18"/>
      <c r="L4109" s="18"/>
      <c r="M4109" s="18"/>
      <c r="N4109" s="18"/>
      <c r="O4109" s="18"/>
      <c r="P4109" s="18"/>
      <c r="Q4109" s="18"/>
    </row>
    <row r="4110" spans="1:17">
      <c r="A4110" s="18"/>
      <c r="B4110" s="18"/>
      <c r="C4110" s="18"/>
      <c r="D4110" s="18"/>
      <c r="E4110" s="18"/>
      <c r="F4110" s="18"/>
      <c r="G4110" s="18"/>
      <c r="H4110" s="18"/>
      <c r="I4110" s="18"/>
      <c r="J4110" s="18"/>
      <c r="K4110" s="18"/>
      <c r="L4110" s="18"/>
      <c r="M4110" s="18"/>
      <c r="N4110" s="18"/>
      <c r="O4110" s="18"/>
      <c r="P4110" s="18"/>
      <c r="Q4110" s="18"/>
    </row>
    <row r="4111" spans="1:17">
      <c r="A4111" s="18"/>
      <c r="B4111" s="18"/>
      <c r="C4111" s="18"/>
      <c r="D4111" s="18"/>
      <c r="E4111" s="18"/>
      <c r="F4111" s="18"/>
      <c r="G4111" s="18"/>
      <c r="H4111" s="18"/>
      <c r="I4111" s="18"/>
      <c r="J4111" s="18"/>
      <c r="K4111" s="18"/>
      <c r="L4111" s="18"/>
      <c r="M4111" s="18"/>
      <c r="N4111" s="18"/>
      <c r="O4111" s="18"/>
      <c r="P4111" s="18"/>
      <c r="Q4111" s="18"/>
    </row>
    <row r="4112" spans="1:17">
      <c r="A4112" s="18"/>
      <c r="B4112" s="18"/>
      <c r="C4112" s="18"/>
      <c r="D4112" s="18"/>
      <c r="E4112" s="18"/>
      <c r="F4112" s="18"/>
      <c r="G4112" s="18"/>
      <c r="H4112" s="18"/>
      <c r="I4112" s="18"/>
      <c r="J4112" s="18"/>
      <c r="K4112" s="18"/>
      <c r="L4112" s="18"/>
      <c r="M4112" s="18"/>
      <c r="N4112" s="18"/>
      <c r="O4112" s="18"/>
      <c r="P4112" s="18"/>
      <c r="Q4112" s="18"/>
    </row>
    <row r="4113" spans="1:17">
      <c r="A4113" s="18"/>
      <c r="B4113" s="18"/>
      <c r="C4113" s="18"/>
      <c r="D4113" s="18"/>
      <c r="E4113" s="18"/>
      <c r="F4113" s="18"/>
      <c r="G4113" s="18"/>
      <c r="H4113" s="18"/>
      <c r="I4113" s="18"/>
      <c r="J4113" s="18"/>
      <c r="K4113" s="18"/>
      <c r="L4113" s="18"/>
      <c r="M4113" s="18"/>
      <c r="N4113" s="18"/>
      <c r="O4113" s="18"/>
      <c r="P4113" s="18"/>
      <c r="Q4113" s="18"/>
    </row>
    <row r="4114" spans="1:17">
      <c r="A4114" s="18"/>
      <c r="B4114" s="18"/>
      <c r="C4114" s="18"/>
      <c r="D4114" s="18"/>
      <c r="E4114" s="18"/>
      <c r="F4114" s="18"/>
      <c r="G4114" s="18"/>
      <c r="H4114" s="18"/>
      <c r="I4114" s="18"/>
      <c r="J4114" s="18"/>
      <c r="K4114" s="18"/>
      <c r="L4114" s="18"/>
      <c r="M4114" s="18"/>
      <c r="N4114" s="18"/>
      <c r="O4114" s="18"/>
      <c r="P4114" s="18"/>
      <c r="Q4114" s="18"/>
    </row>
    <row r="4115" spans="1:17">
      <c r="A4115" s="18"/>
      <c r="B4115" s="18"/>
      <c r="C4115" s="18"/>
      <c r="D4115" s="18"/>
      <c r="E4115" s="18"/>
      <c r="F4115" s="18"/>
      <c r="G4115" s="18"/>
      <c r="H4115" s="18"/>
      <c r="I4115" s="18"/>
      <c r="J4115" s="18"/>
      <c r="K4115" s="18"/>
      <c r="L4115" s="18"/>
      <c r="M4115" s="18"/>
      <c r="N4115" s="18"/>
      <c r="O4115" s="18"/>
      <c r="P4115" s="18"/>
      <c r="Q4115" s="18"/>
    </row>
    <row r="4116" spans="1:17">
      <c r="A4116" s="18"/>
      <c r="B4116" s="18"/>
      <c r="C4116" s="18"/>
      <c r="D4116" s="18"/>
      <c r="E4116" s="18"/>
      <c r="F4116" s="18"/>
      <c r="G4116" s="18"/>
      <c r="H4116" s="18"/>
      <c r="I4116" s="18"/>
      <c r="J4116" s="18"/>
      <c r="K4116" s="18"/>
      <c r="L4116" s="18"/>
      <c r="M4116" s="18"/>
      <c r="N4116" s="18"/>
      <c r="O4116" s="18"/>
      <c r="P4116" s="18"/>
      <c r="Q4116" s="18"/>
    </row>
    <row r="4117" spans="1:17">
      <c r="A4117" s="18"/>
      <c r="B4117" s="18"/>
      <c r="C4117" s="18"/>
      <c r="D4117" s="18"/>
      <c r="E4117" s="18"/>
      <c r="F4117" s="18"/>
      <c r="G4117" s="18"/>
      <c r="H4117" s="18"/>
      <c r="I4117" s="18"/>
      <c r="J4117" s="18"/>
      <c r="K4117" s="18"/>
      <c r="L4117" s="18"/>
      <c r="M4117" s="18"/>
      <c r="N4117" s="18"/>
      <c r="O4117" s="18"/>
      <c r="P4117" s="18"/>
      <c r="Q4117" s="18"/>
    </row>
    <row r="4118" spans="1:17">
      <c r="A4118" s="18"/>
      <c r="B4118" s="18"/>
      <c r="C4118" s="18"/>
      <c r="D4118" s="18"/>
      <c r="E4118" s="18"/>
      <c r="F4118" s="18"/>
      <c r="G4118" s="18"/>
      <c r="H4118" s="18"/>
      <c r="I4118" s="18"/>
      <c r="J4118" s="18"/>
      <c r="K4118" s="18"/>
      <c r="L4118" s="18"/>
      <c r="M4118" s="18"/>
      <c r="N4118" s="18"/>
      <c r="O4118" s="18"/>
      <c r="P4118" s="18"/>
      <c r="Q4118" s="18"/>
    </row>
    <row r="4119" spans="1:17">
      <c r="A4119" s="18"/>
      <c r="B4119" s="18"/>
      <c r="C4119" s="18"/>
      <c r="D4119" s="18"/>
      <c r="E4119" s="18"/>
      <c r="F4119" s="18"/>
      <c r="G4119" s="18"/>
      <c r="H4119" s="18"/>
      <c r="I4119" s="18"/>
      <c r="J4119" s="18"/>
      <c r="K4119" s="18"/>
      <c r="L4119" s="18"/>
      <c r="M4119" s="18"/>
      <c r="N4119" s="18"/>
      <c r="O4119" s="18"/>
      <c r="P4119" s="18"/>
      <c r="Q4119" s="18"/>
    </row>
    <row r="4120" spans="1:17">
      <c r="A4120" s="18"/>
      <c r="B4120" s="18"/>
      <c r="C4120" s="18"/>
      <c r="D4120" s="18"/>
      <c r="E4120" s="18"/>
      <c r="F4120" s="18"/>
      <c r="G4120" s="18"/>
      <c r="H4120" s="18"/>
      <c r="I4120" s="18"/>
      <c r="J4120" s="18"/>
      <c r="K4120" s="18"/>
      <c r="L4120" s="18"/>
      <c r="M4120" s="18"/>
      <c r="N4120" s="18"/>
      <c r="O4120" s="18"/>
      <c r="P4120" s="18"/>
      <c r="Q4120" s="18"/>
    </row>
    <row r="4121" spans="1:17">
      <c r="A4121" s="18"/>
      <c r="B4121" s="18"/>
      <c r="C4121" s="18"/>
      <c r="D4121" s="18"/>
      <c r="E4121" s="18"/>
      <c r="F4121" s="18"/>
      <c r="G4121" s="18"/>
      <c r="H4121" s="18"/>
      <c r="I4121" s="18"/>
      <c r="J4121" s="18"/>
      <c r="K4121" s="18"/>
      <c r="L4121" s="18"/>
      <c r="M4121" s="18"/>
      <c r="N4121" s="18"/>
      <c r="O4121" s="18"/>
      <c r="P4121" s="18"/>
      <c r="Q4121" s="18"/>
    </row>
    <row r="4122" spans="1:17">
      <c r="A4122" s="18"/>
      <c r="B4122" s="18"/>
      <c r="C4122" s="18"/>
      <c r="D4122" s="18"/>
      <c r="E4122" s="18"/>
      <c r="F4122" s="18"/>
      <c r="G4122" s="18"/>
      <c r="H4122" s="18"/>
      <c r="I4122" s="18"/>
      <c r="J4122" s="18"/>
      <c r="K4122" s="18"/>
      <c r="L4122" s="18"/>
      <c r="M4122" s="18"/>
      <c r="N4122" s="18"/>
      <c r="O4122" s="18"/>
      <c r="P4122" s="18"/>
      <c r="Q4122" s="18"/>
    </row>
    <row r="4123" spans="1:17">
      <c r="A4123" s="18"/>
      <c r="B4123" s="18"/>
      <c r="C4123" s="18"/>
      <c r="D4123" s="18"/>
      <c r="E4123" s="18"/>
      <c r="F4123" s="18"/>
      <c r="G4123" s="18"/>
      <c r="H4123" s="18"/>
      <c r="I4123" s="18"/>
      <c r="J4123" s="18"/>
      <c r="K4123" s="18"/>
      <c r="L4123" s="18"/>
      <c r="M4123" s="18"/>
      <c r="N4123" s="18"/>
      <c r="O4123" s="18"/>
      <c r="P4123" s="18"/>
      <c r="Q4123" s="18"/>
    </row>
    <row r="4124" spans="1:17">
      <c r="A4124" s="18"/>
      <c r="B4124" s="18"/>
      <c r="C4124" s="18"/>
      <c r="D4124" s="18"/>
      <c r="E4124" s="18"/>
      <c r="F4124" s="18"/>
      <c r="G4124" s="18"/>
      <c r="H4124" s="18"/>
      <c r="I4124" s="18"/>
      <c r="J4124" s="18"/>
      <c r="K4124" s="18"/>
      <c r="L4124" s="18"/>
      <c r="M4124" s="18"/>
      <c r="N4124" s="18"/>
      <c r="O4124" s="18"/>
      <c r="P4124" s="18"/>
      <c r="Q4124" s="18"/>
    </row>
    <row r="4125" spans="1:17">
      <c r="A4125" s="18"/>
      <c r="B4125" s="18"/>
      <c r="C4125" s="18"/>
      <c r="D4125" s="18"/>
      <c r="E4125" s="18"/>
      <c r="F4125" s="18"/>
      <c r="G4125" s="18"/>
      <c r="H4125" s="18"/>
      <c r="I4125" s="18"/>
      <c r="J4125" s="18"/>
      <c r="K4125" s="18"/>
      <c r="L4125" s="18"/>
      <c r="M4125" s="18"/>
      <c r="N4125" s="18"/>
      <c r="O4125" s="18"/>
      <c r="P4125" s="18"/>
      <c r="Q4125" s="18"/>
    </row>
    <row r="4126" spans="1:17">
      <c r="A4126" s="18"/>
      <c r="B4126" s="18"/>
      <c r="C4126" s="18"/>
      <c r="D4126" s="18"/>
      <c r="E4126" s="18"/>
      <c r="F4126" s="18"/>
      <c r="G4126" s="18"/>
      <c r="H4126" s="18"/>
      <c r="I4126" s="18"/>
      <c r="J4126" s="18"/>
      <c r="K4126" s="18"/>
      <c r="L4126" s="18"/>
      <c r="M4126" s="18"/>
      <c r="N4126" s="18"/>
      <c r="O4126" s="18"/>
      <c r="P4126" s="18"/>
      <c r="Q4126" s="18"/>
    </row>
    <row r="4127" spans="1:17">
      <c r="A4127" s="18"/>
      <c r="B4127" s="18"/>
      <c r="C4127" s="18"/>
      <c r="D4127" s="18"/>
      <c r="E4127" s="18"/>
      <c r="F4127" s="18"/>
      <c r="G4127" s="18"/>
      <c r="H4127" s="18"/>
      <c r="I4127" s="18"/>
      <c r="J4127" s="18"/>
      <c r="K4127" s="18"/>
      <c r="L4127" s="18"/>
      <c r="M4127" s="18"/>
      <c r="N4127" s="18"/>
      <c r="O4127" s="18"/>
      <c r="P4127" s="18"/>
      <c r="Q4127" s="18"/>
    </row>
    <row r="4128" spans="1:17">
      <c r="A4128" s="18"/>
      <c r="B4128" s="18"/>
      <c r="C4128" s="18"/>
      <c r="D4128" s="18"/>
      <c r="E4128" s="18"/>
      <c r="F4128" s="18"/>
      <c r="G4128" s="18"/>
      <c r="H4128" s="18"/>
      <c r="I4128" s="18"/>
      <c r="J4128" s="18"/>
      <c r="K4128" s="18"/>
      <c r="L4128" s="18"/>
      <c r="M4128" s="18"/>
      <c r="N4128" s="18"/>
      <c r="O4128" s="18"/>
      <c r="P4128" s="18"/>
      <c r="Q4128" s="18"/>
    </row>
    <row r="4129" spans="1:17">
      <c r="A4129" s="18"/>
      <c r="B4129" s="18"/>
      <c r="C4129" s="18"/>
      <c r="D4129" s="18"/>
      <c r="E4129" s="18"/>
      <c r="F4129" s="18"/>
      <c r="G4129" s="18"/>
      <c r="H4129" s="18"/>
      <c r="I4129" s="18"/>
      <c r="J4129" s="18"/>
      <c r="K4129" s="18"/>
      <c r="L4129" s="18"/>
      <c r="M4129" s="18"/>
      <c r="N4129" s="18"/>
      <c r="O4129" s="18"/>
      <c r="P4129" s="18"/>
      <c r="Q4129" s="18"/>
    </row>
    <row r="4130" spans="1:17">
      <c r="A4130" s="18"/>
      <c r="B4130" s="18"/>
      <c r="C4130" s="18"/>
      <c r="D4130" s="18"/>
      <c r="E4130" s="18"/>
      <c r="F4130" s="18"/>
      <c r="G4130" s="18"/>
      <c r="H4130" s="18"/>
      <c r="I4130" s="18"/>
      <c r="J4130" s="18"/>
      <c r="K4130" s="18"/>
      <c r="L4130" s="18"/>
      <c r="M4130" s="18"/>
      <c r="N4130" s="18"/>
      <c r="O4130" s="18"/>
      <c r="P4130" s="18"/>
      <c r="Q4130" s="18"/>
    </row>
    <row r="4131" spans="1:17">
      <c r="A4131" s="18"/>
      <c r="B4131" s="18"/>
      <c r="C4131" s="18"/>
      <c r="D4131" s="18"/>
      <c r="E4131" s="18"/>
      <c r="F4131" s="18"/>
      <c r="G4131" s="18"/>
      <c r="H4131" s="18"/>
      <c r="I4131" s="18"/>
      <c r="J4131" s="18"/>
      <c r="K4131" s="18"/>
      <c r="L4131" s="18"/>
      <c r="M4131" s="18"/>
      <c r="N4131" s="18"/>
      <c r="O4131" s="18"/>
      <c r="P4131" s="18"/>
      <c r="Q4131" s="18"/>
    </row>
    <row r="4132" spans="1:17">
      <c r="A4132" s="18"/>
      <c r="B4132" s="18"/>
      <c r="C4132" s="18"/>
      <c r="D4132" s="18"/>
      <c r="E4132" s="18"/>
      <c r="F4132" s="18"/>
      <c r="G4132" s="18"/>
      <c r="H4132" s="18"/>
      <c r="I4132" s="18"/>
      <c r="J4132" s="18"/>
      <c r="K4132" s="18"/>
      <c r="L4132" s="18"/>
      <c r="M4132" s="18"/>
      <c r="N4132" s="18"/>
      <c r="O4132" s="18"/>
      <c r="P4132" s="18"/>
      <c r="Q4132" s="18"/>
    </row>
    <row r="4133" spans="1:17">
      <c r="A4133" s="18"/>
      <c r="B4133" s="18"/>
      <c r="C4133" s="18"/>
      <c r="D4133" s="18"/>
      <c r="E4133" s="18"/>
      <c r="F4133" s="18"/>
      <c r="G4133" s="18"/>
      <c r="H4133" s="18"/>
      <c r="I4133" s="18"/>
      <c r="J4133" s="18"/>
      <c r="K4133" s="18"/>
      <c r="L4133" s="18"/>
      <c r="M4133" s="18"/>
      <c r="N4133" s="18"/>
      <c r="O4133" s="18"/>
      <c r="P4133" s="18"/>
      <c r="Q4133" s="18"/>
    </row>
    <row r="4134" spans="1:17">
      <c r="A4134" s="18"/>
      <c r="B4134" s="18"/>
      <c r="C4134" s="18"/>
      <c r="D4134" s="18"/>
      <c r="E4134" s="18"/>
      <c r="F4134" s="18"/>
      <c r="G4134" s="18"/>
      <c r="H4134" s="18"/>
      <c r="I4134" s="18"/>
      <c r="J4134" s="18"/>
      <c r="K4134" s="18"/>
      <c r="L4134" s="18"/>
      <c r="M4134" s="18"/>
      <c r="N4134" s="18"/>
      <c r="O4134" s="18"/>
      <c r="P4134" s="18"/>
      <c r="Q4134" s="18"/>
    </row>
    <row r="4135" spans="1:17">
      <c r="A4135" s="18"/>
      <c r="B4135" s="18"/>
      <c r="C4135" s="18"/>
      <c r="D4135" s="18"/>
      <c r="E4135" s="18"/>
      <c r="F4135" s="18"/>
      <c r="G4135" s="18"/>
      <c r="H4135" s="18"/>
      <c r="I4135" s="18"/>
      <c r="J4135" s="18"/>
      <c r="K4135" s="18"/>
      <c r="L4135" s="18"/>
      <c r="M4135" s="18"/>
      <c r="N4135" s="18"/>
      <c r="O4135" s="18"/>
      <c r="P4135" s="18"/>
      <c r="Q4135" s="18"/>
    </row>
    <row r="4136" spans="1:17">
      <c r="A4136" s="18"/>
      <c r="B4136" s="18"/>
      <c r="C4136" s="18"/>
      <c r="D4136" s="18"/>
      <c r="E4136" s="18"/>
      <c r="F4136" s="18"/>
      <c r="G4136" s="18"/>
      <c r="H4136" s="18"/>
      <c r="I4136" s="18"/>
      <c r="J4136" s="18"/>
      <c r="K4136" s="18"/>
      <c r="L4136" s="18"/>
      <c r="M4136" s="18"/>
      <c r="N4136" s="18"/>
      <c r="O4136" s="18"/>
      <c r="P4136" s="18"/>
      <c r="Q4136" s="18"/>
    </row>
    <row r="4137" spans="1:17">
      <c r="A4137" s="18"/>
      <c r="B4137" s="18"/>
      <c r="C4137" s="18"/>
      <c r="D4137" s="18"/>
      <c r="E4137" s="18"/>
      <c r="F4137" s="18"/>
      <c r="G4137" s="18"/>
      <c r="H4137" s="18"/>
      <c r="I4137" s="18"/>
      <c r="J4137" s="18"/>
      <c r="K4137" s="18"/>
      <c r="L4137" s="18"/>
      <c r="M4137" s="18"/>
      <c r="N4137" s="18"/>
      <c r="O4137" s="18"/>
      <c r="P4137" s="18"/>
      <c r="Q4137" s="18"/>
    </row>
    <row r="4138" spans="1:17">
      <c r="A4138" s="18"/>
      <c r="B4138" s="18"/>
      <c r="C4138" s="18"/>
      <c r="D4138" s="18"/>
      <c r="E4138" s="18"/>
      <c r="F4138" s="18"/>
      <c r="G4138" s="18"/>
      <c r="H4138" s="18"/>
      <c r="I4138" s="18"/>
      <c r="J4138" s="18"/>
      <c r="K4138" s="18"/>
      <c r="L4138" s="18"/>
      <c r="M4138" s="18"/>
      <c r="N4138" s="18"/>
      <c r="O4138" s="18"/>
      <c r="P4138" s="18"/>
      <c r="Q4138" s="18"/>
    </row>
    <row r="4139" spans="1:17">
      <c r="A4139" s="18"/>
      <c r="B4139" s="18"/>
      <c r="C4139" s="18"/>
      <c r="D4139" s="18"/>
      <c r="E4139" s="18"/>
      <c r="F4139" s="18"/>
      <c r="G4139" s="18"/>
      <c r="H4139" s="18"/>
      <c r="I4139" s="18"/>
      <c r="J4139" s="18"/>
      <c r="K4139" s="18"/>
      <c r="L4139" s="18"/>
      <c r="M4139" s="18"/>
      <c r="N4139" s="18"/>
      <c r="O4139" s="18"/>
      <c r="P4139" s="18"/>
      <c r="Q4139" s="18"/>
    </row>
    <row r="4140" spans="1:17">
      <c r="A4140" s="18"/>
      <c r="B4140" s="18"/>
      <c r="C4140" s="18"/>
      <c r="D4140" s="18"/>
      <c r="E4140" s="18"/>
      <c r="F4140" s="18"/>
      <c r="G4140" s="18"/>
      <c r="H4140" s="18"/>
      <c r="I4140" s="18"/>
      <c r="J4140" s="18"/>
      <c r="K4140" s="18"/>
      <c r="L4140" s="18"/>
      <c r="M4140" s="18"/>
      <c r="N4140" s="18"/>
      <c r="O4140" s="18"/>
      <c r="P4140" s="18"/>
      <c r="Q4140" s="18"/>
    </row>
    <row r="4141" spans="1:17">
      <c r="A4141" s="18"/>
      <c r="B4141" s="18"/>
      <c r="C4141" s="18"/>
      <c r="D4141" s="18"/>
      <c r="E4141" s="18"/>
      <c r="F4141" s="18"/>
      <c r="G4141" s="18"/>
      <c r="H4141" s="18"/>
      <c r="I4141" s="18"/>
      <c r="J4141" s="18"/>
      <c r="K4141" s="18"/>
      <c r="L4141" s="18"/>
      <c r="M4141" s="18"/>
      <c r="N4141" s="18"/>
      <c r="O4141" s="18"/>
      <c r="P4141" s="18"/>
      <c r="Q4141" s="18"/>
    </row>
    <row r="4142" spans="1:17">
      <c r="A4142" s="18"/>
      <c r="B4142" s="18"/>
      <c r="C4142" s="18"/>
      <c r="D4142" s="18"/>
      <c r="E4142" s="18"/>
      <c r="F4142" s="18"/>
      <c r="G4142" s="18"/>
      <c r="H4142" s="18"/>
      <c r="I4142" s="18"/>
      <c r="J4142" s="18"/>
      <c r="K4142" s="18"/>
      <c r="L4142" s="18"/>
      <c r="M4142" s="18"/>
      <c r="N4142" s="18"/>
      <c r="O4142" s="18"/>
      <c r="P4142" s="18"/>
      <c r="Q4142" s="18"/>
    </row>
    <row r="4143" spans="1:17">
      <c r="A4143" s="18"/>
      <c r="B4143" s="18"/>
      <c r="C4143" s="18"/>
      <c r="D4143" s="18"/>
      <c r="E4143" s="18"/>
      <c r="F4143" s="18"/>
      <c r="G4143" s="18"/>
      <c r="H4143" s="18"/>
      <c r="I4143" s="18"/>
      <c r="J4143" s="18"/>
      <c r="K4143" s="18"/>
      <c r="L4143" s="18"/>
      <c r="M4143" s="18"/>
      <c r="N4143" s="18"/>
      <c r="O4143" s="18"/>
      <c r="P4143" s="18"/>
      <c r="Q4143" s="18"/>
    </row>
    <row r="4144" spans="1:17">
      <c r="A4144" s="18"/>
      <c r="B4144" s="18"/>
      <c r="C4144" s="18"/>
      <c r="D4144" s="18"/>
      <c r="E4144" s="18"/>
      <c r="F4144" s="18"/>
      <c r="G4144" s="18"/>
      <c r="H4144" s="18"/>
      <c r="I4144" s="18"/>
      <c r="J4144" s="18"/>
      <c r="K4144" s="18"/>
      <c r="L4144" s="18"/>
      <c r="M4144" s="18"/>
      <c r="N4144" s="18"/>
      <c r="O4144" s="18"/>
      <c r="P4144" s="18"/>
      <c r="Q4144" s="18"/>
    </row>
    <row r="4145" spans="1:17">
      <c r="A4145" s="18"/>
      <c r="B4145" s="18"/>
      <c r="C4145" s="18"/>
      <c r="D4145" s="18"/>
      <c r="E4145" s="18"/>
      <c r="F4145" s="18"/>
      <c r="G4145" s="18"/>
      <c r="H4145" s="18"/>
      <c r="I4145" s="18"/>
      <c r="J4145" s="18"/>
      <c r="K4145" s="18"/>
      <c r="L4145" s="18"/>
      <c r="M4145" s="18"/>
      <c r="N4145" s="18"/>
      <c r="O4145" s="18"/>
      <c r="P4145" s="18"/>
      <c r="Q4145" s="18"/>
    </row>
    <row r="4146" spans="1:17">
      <c r="A4146" s="18"/>
      <c r="B4146" s="18"/>
      <c r="C4146" s="18"/>
      <c r="D4146" s="18"/>
      <c r="E4146" s="18"/>
      <c r="F4146" s="18"/>
      <c r="G4146" s="18"/>
      <c r="H4146" s="18"/>
      <c r="I4146" s="18"/>
      <c r="J4146" s="18"/>
      <c r="K4146" s="18"/>
      <c r="L4146" s="18"/>
      <c r="M4146" s="18"/>
      <c r="N4146" s="18"/>
      <c r="O4146" s="18"/>
      <c r="P4146" s="18"/>
      <c r="Q4146" s="18"/>
    </row>
    <row r="4147" spans="1:17">
      <c r="A4147" s="18"/>
      <c r="B4147" s="18"/>
      <c r="C4147" s="18"/>
      <c r="D4147" s="18"/>
      <c r="E4147" s="18"/>
      <c r="F4147" s="18"/>
      <c r="G4147" s="18"/>
      <c r="H4147" s="18"/>
      <c r="I4147" s="18"/>
      <c r="J4147" s="18"/>
      <c r="K4147" s="18"/>
      <c r="L4147" s="18"/>
      <c r="M4147" s="18"/>
      <c r="N4147" s="18"/>
      <c r="O4147" s="18"/>
      <c r="P4147" s="18"/>
      <c r="Q4147" s="18"/>
    </row>
    <row r="4148" spans="1:17">
      <c r="A4148" s="18"/>
      <c r="B4148" s="18"/>
      <c r="C4148" s="18"/>
      <c r="D4148" s="18"/>
      <c r="E4148" s="18"/>
      <c r="F4148" s="18"/>
      <c r="G4148" s="18"/>
      <c r="H4148" s="18"/>
      <c r="I4148" s="18"/>
      <c r="J4148" s="18"/>
      <c r="K4148" s="18"/>
      <c r="L4148" s="18"/>
      <c r="M4148" s="18"/>
      <c r="N4148" s="18"/>
      <c r="O4148" s="18"/>
      <c r="P4148" s="18"/>
      <c r="Q4148" s="18"/>
    </row>
    <row r="4149" spans="1:17">
      <c r="A4149" s="18"/>
      <c r="B4149" s="18"/>
      <c r="C4149" s="18"/>
      <c r="D4149" s="18"/>
      <c r="E4149" s="18"/>
      <c r="F4149" s="18"/>
      <c r="G4149" s="18"/>
      <c r="H4149" s="18"/>
      <c r="I4149" s="18"/>
      <c r="J4149" s="18"/>
      <c r="K4149" s="18"/>
      <c r="L4149" s="18"/>
      <c r="M4149" s="18"/>
      <c r="N4149" s="18"/>
      <c r="O4149" s="18"/>
      <c r="P4149" s="18"/>
      <c r="Q4149" s="18"/>
    </row>
    <row r="4150" spans="1:17">
      <c r="A4150" s="18"/>
      <c r="B4150" s="18"/>
      <c r="C4150" s="18"/>
      <c r="D4150" s="18"/>
      <c r="E4150" s="18"/>
      <c r="F4150" s="18"/>
      <c r="G4150" s="18"/>
      <c r="H4150" s="18"/>
      <c r="I4150" s="18"/>
      <c r="J4150" s="18"/>
      <c r="K4150" s="18"/>
      <c r="L4150" s="18"/>
      <c r="M4150" s="18"/>
      <c r="N4150" s="18"/>
      <c r="O4150" s="18"/>
      <c r="P4150" s="18"/>
      <c r="Q4150" s="18"/>
    </row>
    <row r="4151" spans="1:17">
      <c r="A4151" s="18"/>
      <c r="B4151" s="18"/>
      <c r="C4151" s="18"/>
      <c r="D4151" s="18"/>
      <c r="E4151" s="18"/>
      <c r="F4151" s="18"/>
      <c r="G4151" s="18"/>
      <c r="H4151" s="18"/>
      <c r="I4151" s="18"/>
      <c r="J4151" s="18"/>
      <c r="K4151" s="18"/>
      <c r="L4151" s="18"/>
      <c r="M4151" s="18"/>
      <c r="N4151" s="18"/>
      <c r="O4151" s="18"/>
      <c r="P4151" s="18"/>
      <c r="Q4151" s="18"/>
    </row>
    <row r="4152" spans="1:17">
      <c r="A4152" s="18"/>
      <c r="B4152" s="18"/>
      <c r="C4152" s="18"/>
      <c r="D4152" s="18"/>
      <c r="E4152" s="18"/>
      <c r="F4152" s="18"/>
      <c r="G4152" s="18"/>
      <c r="H4152" s="18"/>
      <c r="I4152" s="18"/>
      <c r="J4152" s="18"/>
      <c r="K4152" s="18"/>
      <c r="L4152" s="18"/>
      <c r="M4152" s="18"/>
      <c r="N4152" s="18"/>
      <c r="O4152" s="18"/>
      <c r="P4152" s="18"/>
      <c r="Q4152" s="18"/>
    </row>
    <row r="4153" spans="1:17">
      <c r="A4153" s="18"/>
      <c r="B4153" s="18"/>
      <c r="C4153" s="18"/>
      <c r="D4153" s="18"/>
      <c r="E4153" s="18"/>
      <c r="F4153" s="18"/>
      <c r="G4153" s="18"/>
      <c r="H4153" s="18"/>
      <c r="I4153" s="18"/>
      <c r="J4153" s="18"/>
      <c r="K4153" s="18"/>
      <c r="L4153" s="18"/>
      <c r="M4153" s="18"/>
      <c r="N4153" s="18"/>
      <c r="O4153" s="18"/>
      <c r="P4153" s="18"/>
      <c r="Q4153" s="18"/>
    </row>
    <row r="4154" spans="1:17">
      <c r="A4154" s="18"/>
      <c r="B4154" s="18"/>
      <c r="C4154" s="18"/>
      <c r="D4154" s="18"/>
      <c r="E4154" s="18"/>
      <c r="F4154" s="18"/>
      <c r="G4154" s="18"/>
      <c r="H4154" s="18"/>
      <c r="I4154" s="18"/>
      <c r="J4154" s="18"/>
      <c r="K4154" s="18"/>
      <c r="L4154" s="18"/>
      <c r="M4154" s="18"/>
      <c r="N4154" s="18"/>
      <c r="O4154" s="18"/>
      <c r="P4154" s="18"/>
      <c r="Q4154" s="18"/>
    </row>
    <row r="4155" spans="1:17">
      <c r="A4155" s="18"/>
      <c r="B4155" s="18"/>
      <c r="C4155" s="18"/>
      <c r="D4155" s="18"/>
      <c r="E4155" s="18"/>
      <c r="F4155" s="18"/>
      <c r="G4155" s="18"/>
      <c r="H4155" s="18"/>
      <c r="I4155" s="18"/>
      <c r="J4155" s="18"/>
      <c r="K4155" s="18"/>
      <c r="L4155" s="18"/>
      <c r="M4155" s="18"/>
      <c r="N4155" s="18"/>
      <c r="O4155" s="18"/>
      <c r="P4155" s="18"/>
      <c r="Q4155" s="18"/>
    </row>
    <row r="4156" spans="1:17">
      <c r="A4156" s="18"/>
      <c r="B4156" s="18"/>
      <c r="C4156" s="18"/>
      <c r="D4156" s="18"/>
      <c r="E4156" s="18"/>
      <c r="F4156" s="18"/>
      <c r="G4156" s="18"/>
      <c r="H4156" s="18"/>
      <c r="I4156" s="18"/>
      <c r="J4156" s="18"/>
      <c r="K4156" s="18"/>
      <c r="L4156" s="18"/>
      <c r="M4156" s="18"/>
      <c r="N4156" s="18"/>
      <c r="O4156" s="18"/>
      <c r="P4156" s="18"/>
      <c r="Q4156" s="18"/>
    </row>
    <row r="4157" spans="1:17">
      <c r="A4157" s="18"/>
      <c r="B4157" s="18"/>
      <c r="C4157" s="18"/>
      <c r="D4157" s="18"/>
      <c r="E4157" s="18"/>
      <c r="F4157" s="18"/>
      <c r="G4157" s="18"/>
      <c r="H4157" s="18"/>
      <c r="I4157" s="18"/>
      <c r="J4157" s="18"/>
      <c r="K4157" s="18"/>
      <c r="L4157" s="18"/>
      <c r="M4157" s="18"/>
      <c r="N4157" s="18"/>
      <c r="O4157" s="18"/>
      <c r="P4157" s="18"/>
      <c r="Q4157" s="18"/>
    </row>
    <row r="4158" spans="1:17">
      <c r="A4158" s="18"/>
      <c r="B4158" s="18"/>
      <c r="C4158" s="18"/>
      <c r="D4158" s="18"/>
      <c r="E4158" s="18"/>
      <c r="F4158" s="18"/>
      <c r="G4158" s="18"/>
      <c r="H4158" s="18"/>
      <c r="I4158" s="18"/>
      <c r="J4158" s="18"/>
      <c r="K4158" s="18"/>
      <c r="L4158" s="18"/>
      <c r="M4158" s="18"/>
      <c r="N4158" s="18"/>
      <c r="O4158" s="18"/>
      <c r="P4158" s="18"/>
      <c r="Q4158" s="18"/>
    </row>
    <row r="4159" spans="1:17">
      <c r="A4159" s="18"/>
      <c r="B4159" s="18"/>
      <c r="C4159" s="18"/>
      <c r="D4159" s="18"/>
      <c r="E4159" s="18"/>
      <c r="F4159" s="18"/>
      <c r="G4159" s="18"/>
      <c r="H4159" s="18"/>
      <c r="I4159" s="18"/>
      <c r="J4159" s="18"/>
      <c r="K4159" s="18"/>
      <c r="L4159" s="18"/>
      <c r="M4159" s="18"/>
      <c r="N4159" s="18"/>
      <c r="O4159" s="18"/>
      <c r="P4159" s="18"/>
      <c r="Q4159" s="18"/>
    </row>
    <row r="4160" spans="1:17">
      <c r="A4160" s="18"/>
      <c r="B4160" s="18"/>
      <c r="C4160" s="18"/>
      <c r="D4160" s="18"/>
      <c r="E4160" s="18"/>
      <c r="F4160" s="18"/>
      <c r="G4160" s="18"/>
      <c r="H4160" s="18"/>
      <c r="I4160" s="18"/>
      <c r="J4160" s="18"/>
      <c r="K4160" s="18"/>
      <c r="L4160" s="18"/>
      <c r="M4160" s="18"/>
      <c r="N4160" s="18"/>
      <c r="O4160" s="18"/>
      <c r="P4160" s="18"/>
      <c r="Q4160" s="18"/>
    </row>
    <row r="4161" spans="1:17">
      <c r="A4161" s="18"/>
      <c r="B4161" s="18"/>
      <c r="C4161" s="18"/>
      <c r="D4161" s="18"/>
      <c r="E4161" s="18"/>
      <c r="F4161" s="18"/>
      <c r="G4161" s="18"/>
      <c r="H4161" s="18"/>
      <c r="I4161" s="18"/>
      <c r="J4161" s="18"/>
      <c r="K4161" s="18"/>
      <c r="L4161" s="18"/>
      <c r="M4161" s="18"/>
      <c r="N4161" s="18"/>
      <c r="O4161" s="18"/>
      <c r="P4161" s="18"/>
      <c r="Q4161" s="18"/>
    </row>
    <row r="4162" spans="1:17">
      <c r="A4162" s="18"/>
      <c r="B4162" s="18"/>
      <c r="C4162" s="18"/>
      <c r="D4162" s="18"/>
      <c r="E4162" s="18"/>
      <c r="F4162" s="18"/>
      <c r="G4162" s="18"/>
      <c r="H4162" s="18"/>
      <c r="I4162" s="18"/>
      <c r="J4162" s="18"/>
      <c r="K4162" s="18"/>
      <c r="L4162" s="18"/>
      <c r="M4162" s="18"/>
      <c r="N4162" s="18"/>
      <c r="O4162" s="18"/>
      <c r="P4162" s="18"/>
      <c r="Q4162" s="18"/>
    </row>
    <row r="4163" spans="1:17">
      <c r="A4163" s="18"/>
      <c r="B4163" s="18"/>
      <c r="C4163" s="18"/>
      <c r="D4163" s="18"/>
      <c r="E4163" s="18"/>
      <c r="F4163" s="18"/>
      <c r="G4163" s="18"/>
      <c r="H4163" s="18"/>
      <c r="I4163" s="18"/>
      <c r="J4163" s="18"/>
      <c r="K4163" s="18"/>
      <c r="L4163" s="18"/>
      <c r="M4163" s="18"/>
      <c r="N4163" s="18"/>
      <c r="O4163" s="18"/>
      <c r="P4163" s="18"/>
      <c r="Q4163" s="18"/>
    </row>
    <row r="4164" spans="1:17">
      <c r="A4164" s="18"/>
      <c r="B4164" s="18"/>
      <c r="C4164" s="18"/>
      <c r="D4164" s="18"/>
      <c r="E4164" s="18"/>
      <c r="F4164" s="18"/>
      <c r="G4164" s="18"/>
      <c r="H4164" s="18"/>
      <c r="I4164" s="18"/>
      <c r="J4164" s="18"/>
      <c r="K4164" s="18"/>
      <c r="L4164" s="18"/>
      <c r="M4164" s="18"/>
      <c r="N4164" s="18"/>
      <c r="O4164" s="18"/>
      <c r="P4164" s="18"/>
      <c r="Q4164" s="18"/>
    </row>
    <row r="4165" spans="1:17">
      <c r="A4165" s="18"/>
      <c r="B4165" s="18"/>
      <c r="C4165" s="18"/>
      <c r="D4165" s="18"/>
      <c r="E4165" s="18"/>
      <c r="F4165" s="18"/>
      <c r="G4165" s="18"/>
      <c r="H4165" s="18"/>
      <c r="I4165" s="18"/>
      <c r="J4165" s="18"/>
      <c r="K4165" s="18"/>
      <c r="L4165" s="18"/>
      <c r="M4165" s="18"/>
      <c r="N4165" s="18"/>
      <c r="O4165" s="18"/>
      <c r="P4165" s="18"/>
      <c r="Q4165" s="18"/>
    </row>
    <row r="4166" spans="1:17">
      <c r="A4166" s="18"/>
      <c r="B4166" s="18"/>
      <c r="C4166" s="18"/>
      <c r="D4166" s="18"/>
      <c r="E4166" s="18"/>
      <c r="F4166" s="18"/>
      <c r="G4166" s="18"/>
      <c r="H4166" s="18"/>
      <c r="I4166" s="18"/>
      <c r="J4166" s="18"/>
      <c r="K4166" s="18"/>
      <c r="L4166" s="18"/>
      <c r="M4166" s="18"/>
      <c r="N4166" s="18"/>
      <c r="O4166" s="18"/>
      <c r="P4166" s="18"/>
      <c r="Q4166" s="18"/>
    </row>
    <row r="4167" spans="1:17">
      <c r="A4167" s="18"/>
      <c r="B4167" s="18"/>
      <c r="C4167" s="18"/>
      <c r="D4167" s="18"/>
      <c r="E4167" s="18"/>
      <c r="F4167" s="18"/>
      <c r="G4167" s="18"/>
      <c r="H4167" s="18"/>
      <c r="I4167" s="18"/>
      <c r="J4167" s="18"/>
      <c r="K4167" s="18"/>
      <c r="L4167" s="18"/>
      <c r="M4167" s="18"/>
      <c r="N4167" s="18"/>
      <c r="O4167" s="18"/>
      <c r="P4167" s="18"/>
      <c r="Q4167" s="18"/>
    </row>
    <row r="4168" spans="1:17">
      <c r="A4168" s="18"/>
      <c r="B4168" s="18"/>
      <c r="C4168" s="18"/>
      <c r="D4168" s="18"/>
      <c r="E4168" s="18"/>
      <c r="F4168" s="18"/>
      <c r="G4168" s="18"/>
      <c r="H4168" s="18"/>
      <c r="I4168" s="18"/>
      <c r="J4168" s="18"/>
      <c r="K4168" s="18"/>
      <c r="L4168" s="18"/>
      <c r="M4168" s="18"/>
      <c r="N4168" s="18"/>
      <c r="O4168" s="18"/>
      <c r="P4168" s="18"/>
      <c r="Q4168" s="18"/>
    </row>
    <row r="4169" spans="1:17">
      <c r="A4169" s="18"/>
      <c r="B4169" s="18"/>
      <c r="C4169" s="18"/>
      <c r="D4169" s="18"/>
      <c r="E4169" s="18"/>
      <c r="F4169" s="18"/>
      <c r="G4169" s="18"/>
      <c r="H4169" s="18"/>
      <c r="I4169" s="18"/>
      <c r="J4169" s="18"/>
      <c r="K4169" s="18"/>
      <c r="L4169" s="18"/>
      <c r="M4169" s="18"/>
      <c r="N4169" s="18"/>
      <c r="O4169" s="18"/>
      <c r="P4169" s="18"/>
      <c r="Q4169" s="18"/>
    </row>
    <row r="4170" spans="1:17">
      <c r="A4170" s="18"/>
      <c r="B4170" s="18"/>
      <c r="C4170" s="18"/>
      <c r="D4170" s="18"/>
      <c r="E4170" s="18"/>
      <c r="F4170" s="18"/>
      <c r="G4170" s="18"/>
      <c r="H4170" s="18"/>
      <c r="I4170" s="18"/>
      <c r="J4170" s="18"/>
      <c r="K4170" s="18"/>
      <c r="L4170" s="18"/>
      <c r="M4170" s="18"/>
      <c r="N4170" s="18"/>
      <c r="O4170" s="18"/>
      <c r="P4170" s="18"/>
      <c r="Q4170" s="18"/>
    </row>
    <row r="4171" spans="1:17">
      <c r="A4171" s="18"/>
      <c r="B4171" s="18"/>
      <c r="C4171" s="18"/>
      <c r="D4171" s="18"/>
      <c r="E4171" s="18"/>
      <c r="F4171" s="18"/>
      <c r="G4171" s="18"/>
      <c r="H4171" s="18"/>
      <c r="I4171" s="18"/>
      <c r="J4171" s="18"/>
      <c r="K4171" s="18"/>
      <c r="L4171" s="18"/>
      <c r="M4171" s="18"/>
      <c r="N4171" s="18"/>
      <c r="O4171" s="18"/>
      <c r="P4171" s="18"/>
      <c r="Q4171" s="18"/>
    </row>
    <row r="4172" spans="1:17">
      <c r="A4172" s="18"/>
      <c r="B4172" s="18"/>
      <c r="C4172" s="18"/>
      <c r="D4172" s="18"/>
      <c r="E4172" s="18"/>
      <c r="F4172" s="18"/>
      <c r="G4172" s="18"/>
      <c r="H4172" s="18"/>
      <c r="I4172" s="18"/>
      <c r="J4172" s="18"/>
      <c r="K4172" s="18"/>
      <c r="L4172" s="18"/>
      <c r="M4172" s="18"/>
      <c r="N4172" s="18"/>
      <c r="O4172" s="18"/>
      <c r="P4172" s="18"/>
      <c r="Q4172" s="18"/>
    </row>
    <row r="4173" spans="1:17">
      <c r="A4173" s="18"/>
      <c r="B4173" s="18"/>
      <c r="C4173" s="18"/>
      <c r="D4173" s="18"/>
      <c r="E4173" s="18"/>
      <c r="F4173" s="18"/>
      <c r="G4173" s="18"/>
      <c r="H4173" s="18"/>
      <c r="I4173" s="18"/>
      <c r="J4173" s="18"/>
      <c r="K4173" s="18"/>
      <c r="L4173" s="18"/>
      <c r="M4173" s="18"/>
      <c r="N4173" s="18"/>
      <c r="O4173" s="18"/>
      <c r="P4173" s="18"/>
      <c r="Q4173" s="18"/>
    </row>
    <row r="4174" spans="1:17">
      <c r="A4174" s="18"/>
      <c r="B4174" s="18"/>
      <c r="C4174" s="18"/>
      <c r="D4174" s="18"/>
      <c r="E4174" s="18"/>
      <c r="F4174" s="18"/>
      <c r="G4174" s="18"/>
      <c r="H4174" s="18"/>
      <c r="I4174" s="18"/>
      <c r="J4174" s="18"/>
      <c r="K4174" s="18"/>
      <c r="L4174" s="18"/>
      <c r="M4174" s="18"/>
      <c r="N4174" s="18"/>
      <c r="O4174" s="18"/>
      <c r="P4174" s="18"/>
      <c r="Q4174" s="18"/>
    </row>
    <row r="4175" spans="1:17">
      <c r="A4175" s="18"/>
      <c r="B4175" s="18"/>
      <c r="C4175" s="18"/>
      <c r="D4175" s="18"/>
      <c r="E4175" s="18"/>
      <c r="F4175" s="18"/>
      <c r="G4175" s="18"/>
      <c r="H4175" s="18"/>
      <c r="I4175" s="18"/>
      <c r="J4175" s="18"/>
      <c r="K4175" s="18"/>
      <c r="L4175" s="18"/>
      <c r="M4175" s="18"/>
      <c r="N4175" s="18"/>
      <c r="O4175" s="18"/>
      <c r="P4175" s="18"/>
      <c r="Q4175" s="18"/>
    </row>
    <row r="4176" spans="1:17">
      <c r="A4176" s="18"/>
      <c r="B4176" s="18"/>
      <c r="C4176" s="18"/>
      <c r="D4176" s="18"/>
      <c r="E4176" s="18"/>
      <c r="F4176" s="18"/>
      <c r="G4176" s="18"/>
      <c r="H4176" s="18"/>
      <c r="I4176" s="18"/>
      <c r="J4176" s="18"/>
      <c r="K4176" s="18"/>
      <c r="L4176" s="18"/>
      <c r="M4176" s="18"/>
      <c r="N4176" s="18"/>
      <c r="O4176" s="18"/>
      <c r="P4176" s="18"/>
      <c r="Q4176" s="18"/>
    </row>
    <row r="4177" spans="1:17">
      <c r="A4177" s="18"/>
      <c r="B4177" s="18"/>
      <c r="C4177" s="18"/>
      <c r="D4177" s="18"/>
      <c r="E4177" s="18"/>
      <c r="F4177" s="18"/>
      <c r="G4177" s="18"/>
      <c r="H4177" s="18"/>
      <c r="I4177" s="18"/>
      <c r="J4177" s="18"/>
      <c r="K4177" s="18"/>
      <c r="L4177" s="18"/>
      <c r="M4177" s="18"/>
      <c r="N4177" s="18"/>
      <c r="O4177" s="18"/>
      <c r="P4177" s="18"/>
      <c r="Q4177" s="18"/>
    </row>
    <row r="4178" spans="1:17">
      <c r="A4178" s="18"/>
      <c r="B4178" s="18"/>
      <c r="C4178" s="18"/>
      <c r="D4178" s="18"/>
      <c r="E4178" s="18"/>
      <c r="F4178" s="18"/>
      <c r="G4178" s="18"/>
      <c r="H4178" s="18"/>
      <c r="I4178" s="18"/>
      <c r="J4178" s="18"/>
      <c r="K4178" s="18"/>
      <c r="L4178" s="18"/>
      <c r="M4178" s="18"/>
      <c r="N4178" s="18"/>
      <c r="O4178" s="18"/>
      <c r="P4178" s="18"/>
      <c r="Q4178" s="18"/>
    </row>
    <row r="4179" spans="1:17">
      <c r="A4179" s="18"/>
      <c r="B4179" s="18"/>
      <c r="C4179" s="18"/>
      <c r="D4179" s="18"/>
      <c r="E4179" s="18"/>
      <c r="F4179" s="18"/>
      <c r="G4179" s="18"/>
      <c r="H4179" s="18"/>
      <c r="I4179" s="18"/>
      <c r="J4179" s="18"/>
      <c r="K4179" s="18"/>
      <c r="L4179" s="18"/>
      <c r="M4179" s="18"/>
      <c r="N4179" s="18"/>
      <c r="O4179" s="18"/>
      <c r="P4179" s="18"/>
      <c r="Q4179" s="18"/>
    </row>
    <row r="4180" spans="1:17">
      <c r="A4180" s="18"/>
      <c r="B4180" s="18"/>
      <c r="C4180" s="18"/>
      <c r="D4180" s="18"/>
      <c r="E4180" s="18"/>
      <c r="F4180" s="18"/>
      <c r="G4180" s="18"/>
      <c r="H4180" s="18"/>
      <c r="I4180" s="18"/>
      <c r="J4180" s="18"/>
      <c r="K4180" s="18"/>
      <c r="L4180" s="18"/>
      <c r="M4180" s="18"/>
      <c r="N4180" s="18"/>
      <c r="O4180" s="18"/>
      <c r="P4180" s="18"/>
      <c r="Q4180" s="18"/>
    </row>
    <row r="4181" spans="1:17">
      <c r="A4181" s="18"/>
      <c r="B4181" s="18"/>
      <c r="C4181" s="18"/>
      <c r="D4181" s="18"/>
      <c r="E4181" s="18"/>
      <c r="F4181" s="18"/>
      <c r="G4181" s="18"/>
      <c r="H4181" s="18"/>
      <c r="I4181" s="18"/>
      <c r="J4181" s="18"/>
      <c r="K4181" s="18"/>
      <c r="L4181" s="18"/>
      <c r="M4181" s="18"/>
      <c r="N4181" s="18"/>
      <c r="O4181" s="18"/>
      <c r="P4181" s="18"/>
      <c r="Q4181" s="18"/>
    </row>
    <row r="4182" spans="1:17">
      <c r="A4182" s="18"/>
      <c r="B4182" s="18"/>
      <c r="C4182" s="18"/>
      <c r="D4182" s="18"/>
      <c r="E4182" s="18"/>
      <c r="F4182" s="18"/>
      <c r="G4182" s="18"/>
      <c r="H4182" s="18"/>
      <c r="I4182" s="18"/>
      <c r="J4182" s="18"/>
      <c r="K4182" s="18"/>
      <c r="L4182" s="18"/>
      <c r="M4182" s="18"/>
      <c r="N4182" s="18"/>
      <c r="O4182" s="18"/>
      <c r="P4182" s="18"/>
      <c r="Q4182" s="18"/>
    </row>
    <row r="4183" spans="1:17">
      <c r="A4183" s="18"/>
      <c r="B4183" s="18"/>
      <c r="C4183" s="18"/>
      <c r="D4183" s="18"/>
      <c r="E4183" s="18"/>
      <c r="F4183" s="18"/>
      <c r="G4183" s="18"/>
      <c r="H4183" s="18"/>
      <c r="I4183" s="18"/>
      <c r="J4183" s="18"/>
      <c r="K4183" s="18"/>
      <c r="L4183" s="18"/>
      <c r="M4183" s="18"/>
      <c r="N4183" s="18"/>
      <c r="O4183" s="18"/>
      <c r="P4183" s="18"/>
      <c r="Q4183" s="18"/>
    </row>
    <row r="4184" spans="1:17">
      <c r="A4184" s="18"/>
      <c r="B4184" s="18"/>
      <c r="C4184" s="18"/>
      <c r="D4184" s="18"/>
      <c r="E4184" s="18"/>
      <c r="F4184" s="18"/>
      <c r="G4184" s="18"/>
      <c r="H4184" s="18"/>
      <c r="I4184" s="18"/>
      <c r="J4184" s="18"/>
      <c r="K4184" s="18"/>
      <c r="L4184" s="18"/>
      <c r="M4184" s="18"/>
      <c r="N4184" s="18"/>
      <c r="O4184" s="18"/>
      <c r="P4184" s="18"/>
      <c r="Q4184" s="18"/>
    </row>
    <row r="4185" spans="1:17">
      <c r="A4185" s="18"/>
      <c r="B4185" s="18"/>
      <c r="C4185" s="18"/>
      <c r="D4185" s="18"/>
      <c r="E4185" s="18"/>
      <c r="F4185" s="18"/>
      <c r="G4185" s="18"/>
      <c r="H4185" s="18"/>
      <c r="I4185" s="18"/>
      <c r="J4185" s="18"/>
      <c r="K4185" s="18"/>
      <c r="L4185" s="18"/>
      <c r="M4185" s="18"/>
      <c r="N4185" s="18"/>
      <c r="O4185" s="18"/>
      <c r="P4185" s="18"/>
      <c r="Q4185" s="18"/>
    </row>
    <row r="4186" spans="1:17">
      <c r="A4186" s="18"/>
      <c r="B4186" s="18"/>
      <c r="C4186" s="18"/>
      <c r="D4186" s="18"/>
      <c r="E4186" s="18"/>
      <c r="F4186" s="18"/>
      <c r="G4186" s="18"/>
      <c r="H4186" s="18"/>
      <c r="I4186" s="18"/>
      <c r="J4186" s="18"/>
      <c r="K4186" s="18"/>
      <c r="L4186" s="18"/>
      <c r="M4186" s="18"/>
      <c r="N4186" s="18"/>
      <c r="O4186" s="18"/>
      <c r="P4186" s="18"/>
      <c r="Q4186" s="18"/>
    </row>
    <row r="4187" spans="1:17">
      <c r="A4187" s="18"/>
      <c r="B4187" s="18"/>
      <c r="C4187" s="18"/>
      <c r="D4187" s="18"/>
      <c r="E4187" s="18"/>
      <c r="F4187" s="18"/>
      <c r="G4187" s="18"/>
      <c r="H4187" s="18"/>
      <c r="I4187" s="18"/>
      <c r="J4187" s="18"/>
      <c r="K4187" s="18"/>
      <c r="L4187" s="18"/>
      <c r="M4187" s="18"/>
      <c r="N4187" s="18"/>
      <c r="O4187" s="18"/>
      <c r="P4187" s="18"/>
      <c r="Q4187" s="18"/>
    </row>
    <row r="4188" spans="1:17">
      <c r="A4188" s="18"/>
      <c r="B4188" s="18"/>
      <c r="C4188" s="18"/>
      <c r="D4188" s="18"/>
      <c r="E4188" s="18"/>
      <c r="F4188" s="18"/>
      <c r="G4188" s="18"/>
      <c r="H4188" s="18"/>
      <c r="I4188" s="18"/>
      <c r="J4188" s="18"/>
      <c r="K4188" s="18"/>
      <c r="L4188" s="18"/>
      <c r="M4188" s="18"/>
      <c r="N4188" s="18"/>
      <c r="O4188" s="18"/>
      <c r="P4188" s="18"/>
      <c r="Q4188" s="18"/>
    </row>
    <row r="4189" spans="1:17">
      <c r="A4189" s="18"/>
      <c r="B4189" s="18"/>
      <c r="C4189" s="18"/>
      <c r="D4189" s="18"/>
      <c r="E4189" s="18"/>
      <c r="F4189" s="18"/>
      <c r="G4189" s="18"/>
      <c r="H4189" s="18"/>
      <c r="I4189" s="18"/>
      <c r="J4189" s="18"/>
      <c r="K4189" s="18"/>
      <c r="L4189" s="18"/>
      <c r="M4189" s="18"/>
      <c r="N4189" s="18"/>
      <c r="O4189" s="18"/>
      <c r="P4189" s="18"/>
      <c r="Q4189" s="18"/>
    </row>
    <row r="4190" spans="1:17">
      <c r="A4190" s="18"/>
      <c r="B4190" s="18"/>
      <c r="C4190" s="18"/>
      <c r="D4190" s="18"/>
      <c r="E4190" s="18"/>
      <c r="F4190" s="18"/>
      <c r="G4190" s="18"/>
      <c r="H4190" s="18"/>
      <c r="I4190" s="18"/>
      <c r="J4190" s="18"/>
      <c r="K4190" s="18"/>
      <c r="L4190" s="18"/>
      <c r="M4190" s="18"/>
      <c r="N4190" s="18"/>
      <c r="O4190" s="18"/>
      <c r="P4190" s="18"/>
      <c r="Q4190" s="18"/>
    </row>
    <row r="4191" spans="1:17">
      <c r="A4191" s="18"/>
      <c r="B4191" s="18"/>
      <c r="C4191" s="18"/>
      <c r="D4191" s="18"/>
      <c r="E4191" s="18"/>
      <c r="F4191" s="18"/>
      <c r="G4191" s="18"/>
      <c r="H4191" s="18"/>
      <c r="I4191" s="18"/>
      <c r="J4191" s="18"/>
      <c r="K4191" s="18"/>
      <c r="L4191" s="18"/>
      <c r="M4191" s="18"/>
      <c r="N4191" s="18"/>
      <c r="O4191" s="18"/>
      <c r="P4191" s="18"/>
      <c r="Q4191" s="18"/>
    </row>
    <row r="4192" spans="1:17">
      <c r="A4192" s="18"/>
      <c r="B4192" s="18"/>
      <c r="C4192" s="18"/>
      <c r="D4192" s="18"/>
      <c r="E4192" s="18"/>
      <c r="F4192" s="18"/>
      <c r="G4192" s="18"/>
      <c r="H4192" s="18"/>
      <c r="I4192" s="18"/>
      <c r="J4192" s="18"/>
      <c r="K4192" s="18"/>
      <c r="L4192" s="18"/>
      <c r="M4192" s="18"/>
      <c r="N4192" s="18"/>
      <c r="O4192" s="18"/>
      <c r="P4192" s="18"/>
      <c r="Q4192" s="18"/>
    </row>
    <row r="4193" spans="1:17">
      <c r="A4193" s="18"/>
      <c r="B4193" s="18"/>
      <c r="C4193" s="18"/>
      <c r="D4193" s="18"/>
      <c r="E4193" s="18"/>
      <c r="F4193" s="18"/>
      <c r="G4193" s="18"/>
      <c r="H4193" s="18"/>
      <c r="I4193" s="18"/>
      <c r="J4193" s="18"/>
      <c r="K4193" s="18"/>
      <c r="L4193" s="18"/>
      <c r="M4193" s="18"/>
      <c r="N4193" s="18"/>
      <c r="O4193" s="18"/>
      <c r="P4193" s="18"/>
      <c r="Q4193" s="18"/>
    </row>
    <row r="4194" spans="1:17">
      <c r="A4194" s="18"/>
      <c r="B4194" s="18"/>
      <c r="C4194" s="18"/>
      <c r="D4194" s="18"/>
      <c r="E4194" s="18"/>
      <c r="F4194" s="18"/>
      <c r="G4194" s="18"/>
      <c r="H4194" s="18"/>
      <c r="I4194" s="18"/>
      <c r="J4194" s="18"/>
      <c r="K4194" s="18"/>
      <c r="L4194" s="18"/>
      <c r="M4194" s="18"/>
      <c r="N4194" s="18"/>
      <c r="O4194" s="18"/>
      <c r="P4194" s="18"/>
      <c r="Q4194" s="18"/>
    </row>
    <row r="4195" spans="1:17">
      <c r="A4195" s="18"/>
      <c r="B4195" s="18"/>
      <c r="C4195" s="18"/>
      <c r="D4195" s="18"/>
      <c r="E4195" s="18"/>
      <c r="F4195" s="18"/>
      <c r="G4195" s="18"/>
      <c r="H4195" s="18"/>
      <c r="I4195" s="18"/>
      <c r="J4195" s="18"/>
      <c r="K4195" s="18"/>
      <c r="L4195" s="18"/>
      <c r="M4195" s="18"/>
      <c r="N4195" s="18"/>
      <c r="O4195" s="18"/>
      <c r="P4195" s="18"/>
      <c r="Q4195" s="18"/>
    </row>
    <row r="4196" spans="1:17">
      <c r="A4196" s="18"/>
      <c r="B4196" s="18"/>
      <c r="C4196" s="18"/>
      <c r="D4196" s="18"/>
      <c r="E4196" s="18"/>
      <c r="F4196" s="18"/>
      <c r="G4196" s="18"/>
      <c r="H4196" s="18"/>
      <c r="I4196" s="18"/>
      <c r="J4196" s="18"/>
      <c r="K4196" s="18"/>
      <c r="L4196" s="18"/>
      <c r="M4196" s="18"/>
      <c r="N4196" s="18"/>
      <c r="O4196" s="18"/>
      <c r="P4196" s="18"/>
      <c r="Q4196" s="18"/>
    </row>
    <row r="4197" spans="1:17">
      <c r="A4197" s="18"/>
      <c r="B4197" s="18"/>
      <c r="C4197" s="18"/>
      <c r="D4197" s="18"/>
      <c r="E4197" s="18"/>
      <c r="F4197" s="18"/>
      <c r="G4197" s="18"/>
      <c r="H4197" s="18"/>
      <c r="I4197" s="18"/>
      <c r="J4197" s="18"/>
      <c r="K4197" s="18"/>
      <c r="L4197" s="18"/>
      <c r="M4197" s="18"/>
      <c r="N4197" s="18"/>
      <c r="O4197" s="18"/>
      <c r="P4197" s="18"/>
      <c r="Q4197" s="18"/>
    </row>
    <row r="4198" spans="1:17">
      <c r="A4198" s="18"/>
      <c r="B4198" s="18"/>
      <c r="C4198" s="18"/>
      <c r="D4198" s="18"/>
      <c r="E4198" s="18"/>
      <c r="F4198" s="18"/>
      <c r="G4198" s="18"/>
      <c r="H4198" s="18"/>
      <c r="I4198" s="18"/>
      <c r="J4198" s="18"/>
      <c r="K4198" s="18"/>
      <c r="L4198" s="18"/>
      <c r="M4198" s="18"/>
      <c r="N4198" s="18"/>
      <c r="O4198" s="18"/>
      <c r="P4198" s="18"/>
      <c r="Q4198" s="18"/>
    </row>
    <row r="4199" spans="1:17">
      <c r="A4199" s="18"/>
      <c r="B4199" s="18"/>
      <c r="C4199" s="18"/>
      <c r="D4199" s="18"/>
      <c r="E4199" s="18"/>
      <c r="F4199" s="18"/>
      <c r="G4199" s="18"/>
      <c r="H4199" s="18"/>
      <c r="I4199" s="18"/>
      <c r="J4199" s="18"/>
      <c r="K4199" s="18"/>
      <c r="L4199" s="18"/>
      <c r="M4199" s="18"/>
      <c r="N4199" s="18"/>
      <c r="O4199" s="18"/>
      <c r="P4199" s="18"/>
      <c r="Q4199" s="18"/>
    </row>
    <row r="4200" spans="1:17">
      <c r="A4200" s="18"/>
      <c r="B4200" s="18"/>
      <c r="C4200" s="18"/>
      <c r="D4200" s="18"/>
      <c r="E4200" s="18"/>
      <c r="F4200" s="18"/>
      <c r="G4200" s="18"/>
      <c r="H4200" s="18"/>
      <c r="I4200" s="18"/>
      <c r="J4200" s="18"/>
      <c r="K4200" s="18"/>
      <c r="L4200" s="18"/>
      <c r="M4200" s="18"/>
      <c r="N4200" s="18"/>
      <c r="O4200" s="18"/>
      <c r="P4200" s="18"/>
      <c r="Q4200" s="18"/>
    </row>
    <row r="4201" spans="1:17">
      <c r="A4201" s="18"/>
      <c r="B4201" s="18"/>
      <c r="C4201" s="18"/>
      <c r="D4201" s="18"/>
      <c r="E4201" s="18"/>
      <c r="F4201" s="18"/>
      <c r="G4201" s="18"/>
      <c r="H4201" s="18"/>
      <c r="I4201" s="18"/>
      <c r="J4201" s="18"/>
      <c r="K4201" s="18"/>
      <c r="L4201" s="18"/>
      <c r="M4201" s="18"/>
      <c r="N4201" s="18"/>
      <c r="O4201" s="18"/>
      <c r="P4201" s="18"/>
      <c r="Q4201" s="18"/>
    </row>
    <row r="4202" spans="1:17">
      <c r="A4202" s="18"/>
      <c r="B4202" s="18"/>
      <c r="C4202" s="18"/>
      <c r="D4202" s="18"/>
      <c r="E4202" s="18"/>
      <c r="F4202" s="18"/>
      <c r="G4202" s="18"/>
      <c r="H4202" s="18"/>
      <c r="I4202" s="18"/>
      <c r="J4202" s="18"/>
      <c r="K4202" s="18"/>
      <c r="L4202" s="18"/>
      <c r="M4202" s="18"/>
      <c r="N4202" s="18"/>
      <c r="O4202" s="18"/>
      <c r="P4202" s="18"/>
      <c r="Q4202" s="18"/>
    </row>
    <row r="4203" spans="1:17">
      <c r="A4203" s="18"/>
      <c r="B4203" s="18"/>
      <c r="C4203" s="18"/>
      <c r="D4203" s="18"/>
      <c r="E4203" s="18"/>
      <c r="F4203" s="18"/>
      <c r="G4203" s="18"/>
      <c r="H4203" s="18"/>
      <c r="I4203" s="18"/>
      <c r="J4203" s="18"/>
      <c r="K4203" s="18"/>
      <c r="L4203" s="18"/>
      <c r="M4203" s="18"/>
      <c r="N4203" s="18"/>
      <c r="O4203" s="18"/>
      <c r="P4203" s="18"/>
      <c r="Q4203" s="18"/>
    </row>
    <row r="4204" spans="1:17">
      <c r="A4204" s="18"/>
      <c r="B4204" s="18"/>
      <c r="C4204" s="18"/>
      <c r="D4204" s="18"/>
      <c r="E4204" s="18"/>
      <c r="F4204" s="18"/>
      <c r="G4204" s="18"/>
      <c r="H4204" s="18"/>
      <c r="I4204" s="18"/>
      <c r="J4204" s="18"/>
      <c r="K4204" s="18"/>
      <c r="L4204" s="18"/>
      <c r="M4204" s="18"/>
      <c r="N4204" s="18"/>
      <c r="O4204" s="18"/>
      <c r="P4204" s="18"/>
      <c r="Q4204" s="18"/>
    </row>
    <row r="4205" spans="1:17">
      <c r="A4205" s="18"/>
      <c r="B4205" s="18"/>
      <c r="C4205" s="18"/>
      <c r="D4205" s="18"/>
      <c r="E4205" s="18"/>
      <c r="F4205" s="18"/>
      <c r="G4205" s="18"/>
      <c r="H4205" s="18"/>
      <c r="I4205" s="18"/>
      <c r="J4205" s="18"/>
      <c r="K4205" s="18"/>
      <c r="L4205" s="18"/>
      <c r="M4205" s="18"/>
      <c r="N4205" s="18"/>
      <c r="O4205" s="18"/>
      <c r="P4205" s="18"/>
      <c r="Q4205" s="18"/>
    </row>
    <row r="4206" spans="1:17">
      <c r="A4206" s="18"/>
      <c r="B4206" s="18"/>
      <c r="C4206" s="18"/>
      <c r="D4206" s="18"/>
      <c r="E4206" s="18"/>
      <c r="F4206" s="18"/>
      <c r="G4206" s="18"/>
      <c r="H4206" s="18"/>
      <c r="I4206" s="18"/>
      <c r="J4206" s="18"/>
      <c r="K4206" s="18"/>
      <c r="L4206" s="18"/>
      <c r="M4206" s="18"/>
      <c r="N4206" s="18"/>
      <c r="O4206" s="18"/>
      <c r="P4206" s="18"/>
      <c r="Q4206" s="18"/>
    </row>
    <row r="4207" spans="1:17">
      <c r="A4207" s="18"/>
      <c r="B4207" s="18"/>
      <c r="C4207" s="18"/>
      <c r="D4207" s="18"/>
      <c r="E4207" s="18"/>
      <c r="F4207" s="18"/>
      <c r="G4207" s="18"/>
      <c r="H4207" s="18"/>
      <c r="I4207" s="18"/>
      <c r="J4207" s="18"/>
      <c r="K4207" s="18"/>
      <c r="L4207" s="18"/>
      <c r="M4207" s="18"/>
      <c r="N4207" s="18"/>
      <c r="O4207" s="18"/>
      <c r="P4207" s="18"/>
      <c r="Q4207" s="18"/>
    </row>
    <row r="4208" spans="1:17">
      <c r="A4208" s="18"/>
      <c r="B4208" s="18"/>
      <c r="C4208" s="18"/>
      <c r="D4208" s="18"/>
      <c r="E4208" s="18"/>
      <c r="F4208" s="18"/>
      <c r="G4208" s="18"/>
      <c r="H4208" s="18"/>
      <c r="I4208" s="18"/>
      <c r="J4208" s="18"/>
      <c r="K4208" s="18"/>
      <c r="L4208" s="18"/>
      <c r="M4208" s="18"/>
      <c r="N4208" s="18"/>
      <c r="O4208" s="18"/>
      <c r="P4208" s="18"/>
      <c r="Q4208" s="18"/>
    </row>
    <row r="4209" spans="1:17">
      <c r="A4209" s="18"/>
      <c r="B4209" s="18"/>
      <c r="C4209" s="18"/>
      <c r="D4209" s="18"/>
      <c r="E4209" s="18"/>
      <c r="F4209" s="18"/>
      <c r="G4209" s="18"/>
      <c r="H4209" s="18"/>
      <c r="I4209" s="18"/>
      <c r="J4209" s="18"/>
      <c r="K4209" s="18"/>
      <c r="L4209" s="18"/>
      <c r="M4209" s="18"/>
      <c r="N4209" s="18"/>
      <c r="O4209" s="18"/>
      <c r="P4209" s="18"/>
      <c r="Q4209" s="18"/>
    </row>
    <row r="4210" spans="1:17">
      <c r="A4210" s="18"/>
      <c r="B4210" s="18"/>
      <c r="C4210" s="18"/>
      <c r="D4210" s="18"/>
      <c r="E4210" s="18"/>
      <c r="F4210" s="18"/>
      <c r="G4210" s="18"/>
      <c r="H4210" s="18"/>
      <c r="I4210" s="18"/>
      <c r="J4210" s="18"/>
      <c r="K4210" s="18"/>
      <c r="L4210" s="18"/>
      <c r="M4210" s="18"/>
      <c r="N4210" s="18"/>
      <c r="O4210" s="18"/>
      <c r="P4210" s="18"/>
      <c r="Q4210" s="18"/>
    </row>
    <row r="4211" spans="1:17">
      <c r="A4211" s="18"/>
      <c r="B4211" s="18"/>
      <c r="C4211" s="18"/>
      <c r="D4211" s="18"/>
      <c r="E4211" s="18"/>
      <c r="F4211" s="18"/>
      <c r="G4211" s="18"/>
      <c r="H4211" s="18"/>
      <c r="I4211" s="18"/>
      <c r="J4211" s="18"/>
      <c r="K4211" s="18"/>
      <c r="L4211" s="18"/>
      <c r="M4211" s="18"/>
      <c r="N4211" s="18"/>
      <c r="O4211" s="18"/>
      <c r="P4211" s="18"/>
      <c r="Q4211" s="18"/>
    </row>
    <row r="4212" spans="1:17">
      <c r="A4212" s="18"/>
      <c r="B4212" s="18"/>
      <c r="C4212" s="18"/>
      <c r="D4212" s="18"/>
      <c r="E4212" s="18"/>
      <c r="F4212" s="18"/>
      <c r="G4212" s="18"/>
      <c r="H4212" s="18"/>
      <c r="I4212" s="18"/>
      <c r="J4212" s="18"/>
      <c r="K4212" s="18"/>
      <c r="L4212" s="18"/>
      <c r="M4212" s="18"/>
      <c r="N4212" s="18"/>
      <c r="O4212" s="18"/>
      <c r="P4212" s="18"/>
      <c r="Q4212" s="18"/>
    </row>
    <row r="4213" spans="1:17">
      <c r="A4213" s="18"/>
      <c r="B4213" s="18"/>
      <c r="C4213" s="18"/>
      <c r="D4213" s="18"/>
      <c r="E4213" s="18"/>
      <c r="F4213" s="18"/>
      <c r="G4213" s="18"/>
      <c r="H4213" s="18"/>
      <c r="I4213" s="18"/>
      <c r="J4213" s="18"/>
      <c r="K4213" s="18"/>
      <c r="L4213" s="18"/>
      <c r="M4213" s="18"/>
      <c r="N4213" s="18"/>
      <c r="O4213" s="18"/>
      <c r="P4213" s="18"/>
      <c r="Q4213" s="18"/>
    </row>
    <row r="4214" spans="1:17">
      <c r="A4214" s="18"/>
      <c r="B4214" s="18"/>
      <c r="C4214" s="18"/>
      <c r="D4214" s="18"/>
      <c r="E4214" s="18"/>
      <c r="F4214" s="18"/>
      <c r="G4214" s="18"/>
      <c r="H4214" s="18"/>
      <c r="I4214" s="18"/>
      <c r="J4214" s="18"/>
      <c r="K4214" s="18"/>
      <c r="L4214" s="18"/>
      <c r="M4214" s="18"/>
      <c r="N4214" s="18"/>
      <c r="O4214" s="18"/>
      <c r="P4214" s="18"/>
      <c r="Q4214" s="18"/>
    </row>
    <row r="4215" spans="1:17">
      <c r="A4215" s="18"/>
      <c r="B4215" s="18"/>
      <c r="C4215" s="18"/>
      <c r="D4215" s="18"/>
      <c r="E4215" s="18"/>
      <c r="F4215" s="18"/>
      <c r="G4215" s="18"/>
      <c r="H4215" s="18"/>
      <c r="I4215" s="18"/>
      <c r="J4215" s="18"/>
      <c r="K4215" s="18"/>
      <c r="L4215" s="18"/>
      <c r="M4215" s="18"/>
      <c r="N4215" s="18"/>
      <c r="O4215" s="18"/>
      <c r="P4215" s="18"/>
      <c r="Q4215" s="18"/>
    </row>
    <row r="4216" spans="1:17">
      <c r="A4216" s="18"/>
      <c r="B4216" s="18"/>
      <c r="C4216" s="18"/>
      <c r="D4216" s="18"/>
      <c r="E4216" s="18"/>
      <c r="F4216" s="18"/>
      <c r="G4216" s="18"/>
      <c r="H4216" s="18"/>
      <c r="I4216" s="18"/>
      <c r="J4216" s="18"/>
      <c r="K4216" s="18"/>
      <c r="L4216" s="18"/>
      <c r="M4216" s="18"/>
      <c r="N4216" s="18"/>
      <c r="O4216" s="18"/>
      <c r="P4216" s="18"/>
      <c r="Q4216" s="18"/>
    </row>
    <row r="4217" spans="1:17">
      <c r="A4217" s="18"/>
      <c r="B4217" s="18"/>
      <c r="C4217" s="18"/>
      <c r="D4217" s="18"/>
      <c r="E4217" s="18"/>
      <c r="F4217" s="18"/>
      <c r="G4217" s="18"/>
      <c r="H4217" s="18"/>
      <c r="I4217" s="18"/>
      <c r="J4217" s="18"/>
      <c r="K4217" s="18"/>
      <c r="L4217" s="18"/>
      <c r="M4217" s="18"/>
      <c r="N4217" s="18"/>
      <c r="O4217" s="18"/>
      <c r="P4217" s="18"/>
      <c r="Q4217" s="18"/>
    </row>
    <row r="4218" spans="1:17">
      <c r="A4218" s="18"/>
      <c r="B4218" s="18"/>
      <c r="C4218" s="18"/>
      <c r="D4218" s="18"/>
      <c r="E4218" s="18"/>
      <c r="F4218" s="18"/>
      <c r="G4218" s="18"/>
      <c r="H4218" s="18"/>
      <c r="I4218" s="18"/>
      <c r="J4218" s="18"/>
      <c r="K4218" s="18"/>
      <c r="L4218" s="18"/>
      <c r="M4218" s="18"/>
      <c r="N4218" s="18"/>
      <c r="O4218" s="18"/>
      <c r="P4218" s="18"/>
      <c r="Q4218" s="18"/>
    </row>
    <row r="4219" spans="1:17">
      <c r="A4219" s="18"/>
      <c r="B4219" s="18"/>
      <c r="C4219" s="18"/>
      <c r="D4219" s="18"/>
      <c r="E4219" s="18"/>
      <c r="F4219" s="18"/>
      <c r="G4219" s="18"/>
      <c r="H4219" s="18"/>
      <c r="I4219" s="18"/>
      <c r="J4219" s="18"/>
      <c r="K4219" s="18"/>
      <c r="L4219" s="18"/>
      <c r="M4219" s="18"/>
      <c r="N4219" s="18"/>
      <c r="O4219" s="18"/>
      <c r="P4219" s="18"/>
      <c r="Q4219" s="18"/>
    </row>
    <row r="4220" spans="1:17">
      <c r="A4220" s="18"/>
      <c r="B4220" s="18"/>
      <c r="C4220" s="18"/>
      <c r="D4220" s="18"/>
      <c r="E4220" s="18"/>
      <c r="F4220" s="18"/>
      <c r="G4220" s="18"/>
      <c r="H4220" s="18"/>
      <c r="I4220" s="18"/>
      <c r="J4220" s="18"/>
      <c r="K4220" s="18"/>
      <c r="L4220" s="18"/>
      <c r="M4220" s="18"/>
      <c r="N4220" s="18"/>
      <c r="O4220" s="18"/>
      <c r="P4220" s="18"/>
      <c r="Q4220" s="18"/>
    </row>
    <row r="4221" spans="1:17">
      <c r="A4221" s="18"/>
      <c r="B4221" s="18"/>
      <c r="C4221" s="18"/>
      <c r="D4221" s="18"/>
      <c r="E4221" s="18"/>
      <c r="F4221" s="18"/>
      <c r="G4221" s="18"/>
      <c r="H4221" s="18"/>
      <c r="I4221" s="18"/>
      <c r="J4221" s="18"/>
      <c r="K4221" s="18"/>
      <c r="L4221" s="18"/>
      <c r="M4221" s="18"/>
      <c r="N4221" s="18"/>
      <c r="O4221" s="18"/>
      <c r="P4221" s="18"/>
      <c r="Q4221" s="18"/>
    </row>
    <row r="4222" spans="1:17">
      <c r="A4222" s="18"/>
      <c r="B4222" s="18"/>
      <c r="C4222" s="18"/>
      <c r="D4222" s="18"/>
      <c r="E4222" s="18"/>
      <c r="F4222" s="18"/>
      <c r="G4222" s="18"/>
      <c r="H4222" s="18"/>
      <c r="I4222" s="18"/>
      <c r="J4222" s="18"/>
      <c r="K4222" s="18"/>
      <c r="L4222" s="18"/>
      <c r="M4222" s="18"/>
      <c r="N4222" s="18"/>
      <c r="O4222" s="18"/>
      <c r="P4222" s="18"/>
      <c r="Q4222" s="18"/>
    </row>
    <row r="4223" spans="1:17">
      <c r="A4223" s="18"/>
      <c r="B4223" s="18"/>
      <c r="C4223" s="18"/>
      <c r="D4223" s="18"/>
      <c r="E4223" s="18"/>
      <c r="F4223" s="18"/>
      <c r="G4223" s="18"/>
      <c r="H4223" s="18"/>
      <c r="I4223" s="18"/>
      <c r="J4223" s="18"/>
      <c r="K4223" s="18"/>
      <c r="L4223" s="18"/>
      <c r="M4223" s="18"/>
      <c r="N4223" s="18"/>
      <c r="O4223" s="18"/>
      <c r="P4223" s="18"/>
      <c r="Q4223" s="18"/>
    </row>
    <row r="4224" spans="1:17">
      <c r="A4224" s="18"/>
      <c r="B4224" s="18"/>
      <c r="C4224" s="18"/>
      <c r="D4224" s="18"/>
      <c r="E4224" s="18"/>
      <c r="F4224" s="18"/>
      <c r="G4224" s="18"/>
      <c r="H4224" s="18"/>
      <c r="I4224" s="18"/>
      <c r="J4224" s="18"/>
      <c r="K4224" s="18"/>
      <c r="L4224" s="18"/>
      <c r="M4224" s="18"/>
      <c r="N4224" s="18"/>
      <c r="O4224" s="18"/>
      <c r="P4224" s="18"/>
      <c r="Q4224" s="18"/>
    </row>
    <row r="4225" spans="1:17">
      <c r="A4225" s="18"/>
      <c r="B4225" s="18"/>
      <c r="C4225" s="18"/>
      <c r="D4225" s="18"/>
      <c r="E4225" s="18"/>
      <c r="F4225" s="18"/>
      <c r="G4225" s="18"/>
      <c r="H4225" s="18"/>
      <c r="I4225" s="18"/>
      <c r="J4225" s="18"/>
      <c r="K4225" s="18"/>
      <c r="L4225" s="18"/>
      <c r="M4225" s="18"/>
      <c r="N4225" s="18"/>
      <c r="O4225" s="18"/>
      <c r="P4225" s="18"/>
      <c r="Q4225" s="18"/>
    </row>
    <row r="4226" spans="1:17">
      <c r="A4226" s="18"/>
      <c r="B4226" s="18"/>
      <c r="C4226" s="18"/>
      <c r="D4226" s="18"/>
      <c r="E4226" s="18"/>
      <c r="F4226" s="18"/>
      <c r="G4226" s="18"/>
      <c r="H4226" s="18"/>
      <c r="I4226" s="18"/>
      <c r="J4226" s="18"/>
      <c r="K4226" s="18"/>
      <c r="L4226" s="18"/>
      <c r="M4226" s="18"/>
      <c r="N4226" s="18"/>
      <c r="O4226" s="18"/>
      <c r="P4226" s="18"/>
      <c r="Q4226" s="18"/>
    </row>
    <row r="4227" spans="1:17">
      <c r="A4227" s="18"/>
      <c r="B4227" s="18"/>
      <c r="C4227" s="18"/>
      <c r="D4227" s="18"/>
      <c r="E4227" s="18"/>
      <c r="F4227" s="18"/>
      <c r="G4227" s="18"/>
      <c r="H4227" s="18"/>
      <c r="I4227" s="18"/>
      <c r="J4227" s="18"/>
      <c r="K4227" s="18"/>
      <c r="L4227" s="18"/>
      <c r="M4227" s="18"/>
      <c r="N4227" s="18"/>
      <c r="O4227" s="18"/>
      <c r="P4227" s="18"/>
      <c r="Q4227" s="18"/>
    </row>
    <row r="4228" spans="1:17">
      <c r="A4228" s="18"/>
      <c r="B4228" s="18"/>
      <c r="C4228" s="18"/>
      <c r="D4228" s="18"/>
      <c r="E4228" s="18"/>
      <c r="F4228" s="18"/>
      <c r="G4228" s="18"/>
      <c r="H4228" s="18"/>
      <c r="I4228" s="18"/>
      <c r="J4228" s="18"/>
      <c r="K4228" s="18"/>
      <c r="L4228" s="18"/>
      <c r="M4228" s="18"/>
      <c r="N4228" s="18"/>
      <c r="O4228" s="18"/>
      <c r="P4228" s="18"/>
      <c r="Q4228" s="18"/>
    </row>
    <row r="4229" spans="1:17">
      <c r="A4229" s="18"/>
      <c r="B4229" s="18"/>
      <c r="C4229" s="18"/>
      <c r="D4229" s="18"/>
      <c r="E4229" s="18"/>
      <c r="F4229" s="18"/>
      <c r="G4229" s="18"/>
      <c r="H4229" s="18"/>
      <c r="I4229" s="18"/>
      <c r="J4229" s="18"/>
      <c r="K4229" s="18"/>
      <c r="L4229" s="18"/>
      <c r="M4229" s="18"/>
      <c r="N4229" s="18"/>
      <c r="O4229" s="18"/>
      <c r="P4229" s="18"/>
      <c r="Q4229" s="18"/>
    </row>
    <row r="4230" spans="1:17">
      <c r="A4230" s="18"/>
      <c r="B4230" s="18"/>
      <c r="C4230" s="18"/>
      <c r="D4230" s="18"/>
      <c r="E4230" s="18"/>
      <c r="F4230" s="18"/>
      <c r="G4230" s="18"/>
      <c r="H4230" s="18"/>
      <c r="I4230" s="18"/>
      <c r="J4230" s="18"/>
      <c r="K4230" s="18"/>
      <c r="L4230" s="18"/>
      <c r="M4230" s="18"/>
      <c r="N4230" s="18"/>
      <c r="O4230" s="18"/>
      <c r="P4230" s="18"/>
      <c r="Q4230" s="18"/>
    </row>
    <row r="4231" spans="1:17">
      <c r="A4231" s="18"/>
      <c r="B4231" s="18"/>
      <c r="C4231" s="18"/>
      <c r="D4231" s="18"/>
      <c r="E4231" s="18"/>
      <c r="F4231" s="18"/>
      <c r="G4231" s="18"/>
      <c r="H4231" s="18"/>
      <c r="I4231" s="18"/>
      <c r="J4231" s="18"/>
      <c r="K4231" s="18"/>
      <c r="L4231" s="18"/>
      <c r="M4231" s="18"/>
      <c r="N4231" s="18"/>
      <c r="O4231" s="18"/>
      <c r="P4231" s="18"/>
      <c r="Q4231" s="18"/>
    </row>
    <row r="4232" spans="1:17">
      <c r="A4232" s="18"/>
      <c r="B4232" s="18"/>
      <c r="C4232" s="18"/>
      <c r="D4232" s="18"/>
      <c r="E4232" s="18"/>
      <c r="F4232" s="18"/>
      <c r="G4232" s="18"/>
      <c r="H4232" s="18"/>
      <c r="I4232" s="18"/>
      <c r="J4232" s="18"/>
      <c r="K4232" s="18"/>
      <c r="L4232" s="18"/>
      <c r="M4232" s="18"/>
      <c r="N4232" s="18"/>
      <c r="O4232" s="18"/>
      <c r="P4232" s="18"/>
      <c r="Q4232" s="18"/>
    </row>
    <row r="4233" spans="1:17">
      <c r="A4233" s="18"/>
      <c r="B4233" s="18"/>
      <c r="C4233" s="18"/>
      <c r="D4233" s="18"/>
      <c r="E4233" s="18"/>
      <c r="F4233" s="18"/>
      <c r="G4233" s="18"/>
      <c r="H4233" s="18"/>
      <c r="I4233" s="18"/>
      <c r="J4233" s="18"/>
      <c r="K4233" s="18"/>
      <c r="L4233" s="18"/>
      <c r="M4233" s="18"/>
      <c r="N4233" s="18"/>
      <c r="O4233" s="18"/>
      <c r="P4233" s="18"/>
      <c r="Q4233" s="18"/>
    </row>
    <row r="4234" spans="1:17">
      <c r="A4234" s="18"/>
      <c r="B4234" s="18"/>
      <c r="C4234" s="18"/>
      <c r="D4234" s="18"/>
      <c r="E4234" s="18"/>
      <c r="F4234" s="18"/>
      <c r="G4234" s="18"/>
      <c r="H4234" s="18"/>
      <c r="I4234" s="18"/>
      <c r="J4234" s="18"/>
      <c r="K4234" s="18"/>
      <c r="L4234" s="18"/>
      <c r="M4234" s="18"/>
      <c r="N4234" s="18"/>
      <c r="O4234" s="18"/>
      <c r="P4234" s="18"/>
      <c r="Q4234" s="18"/>
    </row>
    <row r="4235" spans="1:17">
      <c r="A4235" s="18"/>
      <c r="B4235" s="18"/>
      <c r="C4235" s="18"/>
      <c r="D4235" s="18"/>
      <c r="E4235" s="18"/>
      <c r="F4235" s="18"/>
      <c r="G4235" s="18"/>
      <c r="H4235" s="18"/>
      <c r="I4235" s="18"/>
      <c r="J4235" s="18"/>
      <c r="K4235" s="18"/>
      <c r="L4235" s="18"/>
      <c r="M4235" s="18"/>
      <c r="N4235" s="18"/>
      <c r="O4235" s="18"/>
      <c r="P4235" s="18"/>
      <c r="Q4235" s="18"/>
    </row>
    <row r="4236" spans="1:17">
      <c r="A4236" s="18"/>
      <c r="B4236" s="18"/>
      <c r="C4236" s="18"/>
      <c r="D4236" s="18"/>
      <c r="E4236" s="18"/>
      <c r="F4236" s="18"/>
      <c r="G4236" s="18"/>
      <c r="H4236" s="18"/>
      <c r="I4236" s="18"/>
      <c r="J4236" s="18"/>
      <c r="K4236" s="18"/>
      <c r="L4236" s="18"/>
      <c r="M4236" s="18"/>
      <c r="N4236" s="18"/>
      <c r="O4236" s="18"/>
      <c r="P4236" s="18"/>
      <c r="Q4236" s="18"/>
    </row>
    <row r="4237" spans="1:17">
      <c r="A4237" s="18"/>
      <c r="B4237" s="18"/>
      <c r="C4237" s="18"/>
      <c r="D4237" s="18"/>
      <c r="E4237" s="18"/>
      <c r="F4237" s="18"/>
      <c r="G4237" s="18"/>
      <c r="H4237" s="18"/>
      <c r="I4237" s="18"/>
      <c r="J4237" s="18"/>
      <c r="K4237" s="18"/>
      <c r="L4237" s="18"/>
      <c r="M4237" s="18"/>
      <c r="N4237" s="18"/>
      <c r="O4237" s="18"/>
      <c r="P4237" s="18"/>
      <c r="Q4237" s="18"/>
    </row>
    <row r="4238" spans="1:17">
      <c r="A4238" s="18"/>
      <c r="B4238" s="18"/>
      <c r="C4238" s="18"/>
      <c r="D4238" s="18"/>
      <c r="E4238" s="18"/>
      <c r="F4238" s="18"/>
      <c r="G4238" s="18"/>
      <c r="H4238" s="18"/>
      <c r="I4238" s="18"/>
      <c r="J4238" s="18"/>
      <c r="K4238" s="18"/>
      <c r="L4238" s="18"/>
      <c r="M4238" s="18"/>
      <c r="N4238" s="18"/>
      <c r="O4238" s="18"/>
      <c r="P4238" s="18"/>
      <c r="Q4238" s="18"/>
    </row>
    <row r="4239" spans="1:17">
      <c r="A4239" s="18"/>
      <c r="B4239" s="18"/>
      <c r="C4239" s="18"/>
      <c r="D4239" s="18"/>
      <c r="E4239" s="18"/>
      <c r="F4239" s="18"/>
      <c r="G4239" s="18"/>
      <c r="H4239" s="18"/>
      <c r="I4239" s="18"/>
      <c r="J4239" s="18"/>
      <c r="K4239" s="18"/>
      <c r="L4239" s="18"/>
      <c r="M4239" s="18"/>
      <c r="N4239" s="18"/>
      <c r="O4239" s="18"/>
      <c r="P4239" s="18"/>
      <c r="Q4239" s="18"/>
    </row>
    <row r="4240" spans="1:17">
      <c r="A4240" s="18"/>
      <c r="B4240" s="18"/>
      <c r="C4240" s="18"/>
      <c r="D4240" s="18"/>
      <c r="E4240" s="18"/>
      <c r="F4240" s="18"/>
      <c r="G4240" s="18"/>
      <c r="H4240" s="18"/>
      <c r="I4240" s="18"/>
      <c r="J4240" s="18"/>
      <c r="K4240" s="18"/>
      <c r="L4240" s="18"/>
      <c r="M4240" s="18"/>
      <c r="N4240" s="18"/>
      <c r="O4240" s="18"/>
      <c r="P4240" s="18"/>
      <c r="Q4240" s="18"/>
    </row>
    <row r="4241" spans="1:17">
      <c r="A4241" s="18"/>
      <c r="B4241" s="18"/>
      <c r="C4241" s="18"/>
      <c r="D4241" s="18"/>
      <c r="E4241" s="18"/>
      <c r="F4241" s="18"/>
      <c r="G4241" s="18"/>
      <c r="H4241" s="18"/>
      <c r="I4241" s="18"/>
      <c r="J4241" s="18"/>
      <c r="K4241" s="18"/>
      <c r="L4241" s="18"/>
      <c r="M4241" s="18"/>
      <c r="N4241" s="18"/>
      <c r="O4241" s="18"/>
      <c r="P4241" s="18"/>
      <c r="Q4241" s="18"/>
    </row>
    <row r="4242" spans="1:17">
      <c r="A4242" s="18"/>
      <c r="B4242" s="18"/>
      <c r="C4242" s="18"/>
      <c r="D4242" s="18"/>
      <c r="E4242" s="18"/>
      <c r="F4242" s="18"/>
      <c r="G4242" s="18"/>
      <c r="H4242" s="18"/>
      <c r="I4242" s="18"/>
      <c r="J4242" s="18"/>
      <c r="K4242" s="18"/>
      <c r="L4242" s="18"/>
      <c r="M4242" s="18"/>
      <c r="N4242" s="18"/>
      <c r="O4242" s="18"/>
      <c r="P4242" s="18"/>
      <c r="Q4242" s="18"/>
    </row>
    <row r="4243" spans="1:17">
      <c r="A4243" s="18"/>
      <c r="B4243" s="18"/>
      <c r="C4243" s="18"/>
      <c r="D4243" s="18"/>
      <c r="E4243" s="18"/>
      <c r="F4243" s="18"/>
      <c r="G4243" s="18"/>
      <c r="H4243" s="18"/>
      <c r="I4243" s="18"/>
      <c r="J4243" s="18"/>
      <c r="K4243" s="18"/>
      <c r="L4243" s="18"/>
      <c r="M4243" s="18"/>
      <c r="N4243" s="18"/>
      <c r="O4243" s="18"/>
      <c r="P4243" s="18"/>
      <c r="Q4243" s="18"/>
    </row>
    <row r="4244" spans="1:17">
      <c r="A4244" s="18"/>
      <c r="B4244" s="18"/>
      <c r="C4244" s="18"/>
      <c r="D4244" s="18"/>
      <c r="E4244" s="18"/>
      <c r="F4244" s="18"/>
      <c r="G4244" s="18"/>
      <c r="H4244" s="18"/>
      <c r="I4244" s="18"/>
      <c r="J4244" s="18"/>
      <c r="K4244" s="18"/>
      <c r="L4244" s="18"/>
      <c r="M4244" s="18"/>
      <c r="N4244" s="18"/>
      <c r="O4244" s="18"/>
      <c r="P4244" s="18"/>
      <c r="Q4244" s="18"/>
    </row>
    <row r="4245" spans="1:17">
      <c r="A4245" s="18"/>
      <c r="B4245" s="18"/>
      <c r="C4245" s="18"/>
      <c r="D4245" s="18"/>
      <c r="E4245" s="18"/>
      <c r="F4245" s="18"/>
      <c r="G4245" s="18"/>
      <c r="H4245" s="18"/>
      <c r="I4245" s="18"/>
      <c r="J4245" s="18"/>
      <c r="K4245" s="18"/>
      <c r="L4245" s="18"/>
      <c r="M4245" s="18"/>
      <c r="N4245" s="18"/>
      <c r="O4245" s="18"/>
      <c r="P4245" s="18"/>
      <c r="Q4245" s="18"/>
    </row>
    <row r="4246" spans="1:17">
      <c r="A4246" s="18"/>
      <c r="B4246" s="18"/>
      <c r="C4246" s="18"/>
      <c r="D4246" s="18"/>
      <c r="E4246" s="18"/>
      <c r="F4246" s="18"/>
      <c r="G4246" s="18"/>
      <c r="H4246" s="18"/>
      <c r="I4246" s="18"/>
      <c r="J4246" s="18"/>
      <c r="K4246" s="18"/>
      <c r="L4246" s="18"/>
      <c r="M4246" s="18"/>
      <c r="N4246" s="18"/>
      <c r="O4246" s="18"/>
      <c r="P4246" s="18"/>
      <c r="Q4246" s="18"/>
    </row>
    <row r="4247" spans="1:17">
      <c r="A4247" s="18"/>
      <c r="B4247" s="18"/>
      <c r="C4247" s="18"/>
      <c r="D4247" s="18"/>
      <c r="E4247" s="18"/>
      <c r="F4247" s="18"/>
      <c r="G4247" s="18"/>
      <c r="H4247" s="18"/>
      <c r="I4247" s="18"/>
      <c r="J4247" s="18"/>
      <c r="K4247" s="18"/>
      <c r="L4247" s="18"/>
      <c r="M4247" s="18"/>
      <c r="N4247" s="18"/>
      <c r="O4247" s="18"/>
      <c r="P4247" s="18"/>
      <c r="Q4247" s="18"/>
    </row>
    <row r="4248" spans="1:17">
      <c r="A4248" s="18"/>
      <c r="B4248" s="18"/>
      <c r="C4248" s="18"/>
      <c r="D4248" s="18"/>
      <c r="E4248" s="18"/>
      <c r="F4248" s="18"/>
      <c r="G4248" s="18"/>
      <c r="H4248" s="18"/>
      <c r="I4248" s="18"/>
      <c r="J4248" s="18"/>
      <c r="K4248" s="18"/>
      <c r="L4248" s="18"/>
      <c r="M4248" s="18"/>
      <c r="N4248" s="18"/>
      <c r="O4248" s="18"/>
      <c r="P4248" s="18"/>
      <c r="Q4248" s="18"/>
    </row>
    <row r="4249" spans="1:17">
      <c r="A4249" s="18"/>
      <c r="B4249" s="18"/>
      <c r="C4249" s="18"/>
      <c r="D4249" s="18"/>
      <c r="E4249" s="18"/>
      <c r="F4249" s="18"/>
      <c r="G4249" s="18"/>
      <c r="H4249" s="18"/>
      <c r="I4249" s="18"/>
      <c r="J4249" s="18"/>
      <c r="K4249" s="18"/>
      <c r="L4249" s="18"/>
      <c r="M4249" s="18"/>
      <c r="N4249" s="18"/>
      <c r="O4249" s="18"/>
      <c r="P4249" s="18"/>
      <c r="Q4249" s="18"/>
    </row>
    <row r="4250" spans="1:17">
      <c r="A4250" s="18"/>
      <c r="B4250" s="18"/>
      <c r="C4250" s="18"/>
      <c r="D4250" s="18"/>
      <c r="E4250" s="18"/>
      <c r="F4250" s="18"/>
      <c r="G4250" s="18"/>
      <c r="H4250" s="18"/>
      <c r="I4250" s="18"/>
      <c r="J4250" s="18"/>
      <c r="K4250" s="18"/>
      <c r="L4250" s="18"/>
      <c r="M4250" s="18"/>
      <c r="N4250" s="18"/>
      <c r="O4250" s="18"/>
      <c r="P4250" s="18"/>
      <c r="Q4250" s="18"/>
    </row>
    <row r="4251" spans="1:17">
      <c r="A4251" s="18"/>
      <c r="B4251" s="18"/>
      <c r="C4251" s="18"/>
      <c r="D4251" s="18"/>
      <c r="E4251" s="18"/>
      <c r="F4251" s="18"/>
      <c r="G4251" s="18"/>
      <c r="H4251" s="18"/>
      <c r="I4251" s="18"/>
      <c r="J4251" s="18"/>
      <c r="K4251" s="18"/>
      <c r="L4251" s="18"/>
      <c r="M4251" s="18"/>
      <c r="N4251" s="18"/>
      <c r="O4251" s="18"/>
      <c r="P4251" s="18"/>
      <c r="Q4251" s="18"/>
    </row>
    <row r="4252" spans="1:17">
      <c r="A4252" s="18"/>
      <c r="B4252" s="18"/>
      <c r="C4252" s="18"/>
      <c r="D4252" s="18"/>
      <c r="E4252" s="18"/>
      <c r="F4252" s="18"/>
      <c r="G4252" s="18"/>
      <c r="H4252" s="18"/>
      <c r="I4252" s="18"/>
      <c r="J4252" s="18"/>
      <c r="K4252" s="18"/>
      <c r="L4252" s="18"/>
      <c r="M4252" s="18"/>
      <c r="N4252" s="18"/>
      <c r="O4252" s="18"/>
      <c r="P4252" s="18"/>
      <c r="Q4252" s="18"/>
    </row>
    <row r="4253" spans="1:17">
      <c r="A4253" s="18"/>
      <c r="B4253" s="18"/>
      <c r="C4253" s="18"/>
      <c r="D4253" s="18"/>
      <c r="E4253" s="18"/>
      <c r="F4253" s="18"/>
      <c r="G4253" s="18"/>
      <c r="H4253" s="18"/>
      <c r="I4253" s="18"/>
      <c r="J4253" s="18"/>
      <c r="K4253" s="18"/>
      <c r="L4253" s="18"/>
      <c r="M4253" s="18"/>
      <c r="N4253" s="18"/>
      <c r="O4253" s="18"/>
      <c r="P4253" s="18"/>
      <c r="Q4253" s="18"/>
    </row>
    <row r="4254" spans="1:17">
      <c r="A4254" s="18"/>
      <c r="B4254" s="18"/>
      <c r="C4254" s="18"/>
      <c r="D4254" s="18"/>
      <c r="E4254" s="18"/>
      <c r="F4254" s="18"/>
      <c r="G4254" s="18"/>
      <c r="H4254" s="18"/>
      <c r="I4254" s="18"/>
      <c r="J4254" s="18"/>
      <c r="K4254" s="18"/>
      <c r="L4254" s="18"/>
      <c r="M4254" s="18"/>
      <c r="N4254" s="18"/>
      <c r="O4254" s="18"/>
      <c r="P4254" s="18"/>
      <c r="Q4254" s="18"/>
    </row>
    <row r="4255" spans="1:17">
      <c r="A4255" s="18"/>
      <c r="B4255" s="18"/>
      <c r="C4255" s="18"/>
      <c r="D4255" s="18"/>
      <c r="E4255" s="18"/>
      <c r="F4255" s="18"/>
      <c r="G4255" s="18"/>
      <c r="H4255" s="18"/>
      <c r="I4255" s="18"/>
      <c r="J4255" s="18"/>
      <c r="K4255" s="18"/>
      <c r="L4255" s="18"/>
      <c r="M4255" s="18"/>
      <c r="N4255" s="18"/>
      <c r="O4255" s="18"/>
      <c r="P4255" s="18"/>
      <c r="Q4255" s="18"/>
    </row>
    <row r="4256" spans="1:17">
      <c r="A4256" s="18"/>
      <c r="B4256" s="18"/>
      <c r="C4256" s="18"/>
      <c r="D4256" s="18"/>
      <c r="E4256" s="18"/>
      <c r="F4256" s="18"/>
      <c r="G4256" s="18"/>
      <c r="H4256" s="18"/>
      <c r="I4256" s="18"/>
      <c r="J4256" s="18"/>
      <c r="K4256" s="18"/>
      <c r="L4256" s="18"/>
      <c r="M4256" s="18"/>
      <c r="N4256" s="18"/>
      <c r="O4256" s="18"/>
      <c r="P4256" s="18"/>
      <c r="Q4256" s="18"/>
    </row>
    <row r="4257" spans="1:17">
      <c r="A4257" s="18"/>
      <c r="B4257" s="18"/>
      <c r="C4257" s="18"/>
      <c r="D4257" s="18"/>
      <c r="E4257" s="18"/>
      <c r="F4257" s="18"/>
      <c r="G4257" s="18"/>
      <c r="H4257" s="18"/>
      <c r="I4257" s="18"/>
      <c r="J4257" s="18"/>
      <c r="K4257" s="18"/>
      <c r="L4257" s="18"/>
      <c r="M4257" s="18"/>
      <c r="N4257" s="18"/>
      <c r="O4257" s="18"/>
      <c r="P4257" s="18"/>
      <c r="Q4257" s="18"/>
    </row>
    <row r="4258" spans="1:17">
      <c r="A4258" s="18"/>
      <c r="B4258" s="18"/>
      <c r="C4258" s="18"/>
      <c r="D4258" s="18"/>
      <c r="E4258" s="18"/>
      <c r="F4258" s="18"/>
      <c r="G4258" s="18"/>
      <c r="H4258" s="18"/>
      <c r="I4258" s="18"/>
      <c r="J4258" s="18"/>
      <c r="K4258" s="18"/>
      <c r="L4258" s="18"/>
      <c r="M4258" s="18"/>
      <c r="N4258" s="18"/>
      <c r="O4258" s="18"/>
      <c r="P4258" s="18"/>
      <c r="Q4258" s="18"/>
    </row>
    <row r="4259" spans="1:17">
      <c r="A4259" s="18"/>
      <c r="B4259" s="18"/>
      <c r="C4259" s="18"/>
      <c r="D4259" s="18"/>
      <c r="E4259" s="18"/>
      <c r="F4259" s="18"/>
      <c r="G4259" s="18"/>
      <c r="H4259" s="18"/>
      <c r="I4259" s="18"/>
      <c r="J4259" s="18"/>
      <c r="K4259" s="18"/>
      <c r="L4259" s="18"/>
      <c r="M4259" s="18"/>
      <c r="N4259" s="18"/>
      <c r="O4259" s="18"/>
      <c r="P4259" s="18"/>
      <c r="Q4259" s="18"/>
    </row>
    <row r="4260" spans="1:17">
      <c r="A4260" s="18"/>
      <c r="B4260" s="18"/>
      <c r="C4260" s="18"/>
      <c r="D4260" s="18"/>
      <c r="E4260" s="18"/>
      <c r="F4260" s="18"/>
      <c r="G4260" s="18"/>
      <c r="H4260" s="18"/>
      <c r="I4260" s="18"/>
      <c r="J4260" s="18"/>
      <c r="K4260" s="18"/>
      <c r="L4260" s="18"/>
      <c r="M4260" s="18"/>
      <c r="N4260" s="18"/>
      <c r="O4260" s="18"/>
      <c r="P4260" s="18"/>
      <c r="Q4260" s="18"/>
    </row>
    <row r="4261" spans="1:17">
      <c r="A4261" s="18"/>
      <c r="B4261" s="18"/>
      <c r="C4261" s="18"/>
      <c r="D4261" s="18"/>
      <c r="E4261" s="18"/>
      <c r="F4261" s="18"/>
      <c r="G4261" s="18"/>
      <c r="H4261" s="18"/>
      <c r="I4261" s="18"/>
      <c r="J4261" s="18"/>
      <c r="K4261" s="18"/>
      <c r="L4261" s="18"/>
      <c r="M4261" s="18"/>
      <c r="N4261" s="18"/>
      <c r="O4261" s="18"/>
      <c r="P4261" s="18"/>
      <c r="Q4261" s="18"/>
    </row>
    <row r="4262" spans="1:17">
      <c r="A4262" s="18"/>
      <c r="B4262" s="18"/>
      <c r="C4262" s="18"/>
      <c r="D4262" s="18"/>
      <c r="E4262" s="18"/>
      <c r="F4262" s="18"/>
      <c r="G4262" s="18"/>
      <c r="H4262" s="18"/>
      <c r="I4262" s="18"/>
      <c r="J4262" s="18"/>
      <c r="K4262" s="18"/>
      <c r="L4262" s="18"/>
      <c r="M4262" s="18"/>
      <c r="N4262" s="18"/>
      <c r="O4262" s="18"/>
      <c r="P4262" s="18"/>
      <c r="Q4262" s="18"/>
    </row>
    <row r="4263" spans="1:17">
      <c r="A4263" s="18"/>
      <c r="B4263" s="18"/>
      <c r="C4263" s="18"/>
      <c r="D4263" s="18"/>
      <c r="E4263" s="18"/>
      <c r="F4263" s="18"/>
      <c r="G4263" s="18"/>
      <c r="H4263" s="18"/>
      <c r="I4263" s="18"/>
      <c r="J4263" s="18"/>
      <c r="K4263" s="18"/>
      <c r="L4263" s="18"/>
      <c r="M4263" s="18"/>
      <c r="N4263" s="18"/>
      <c r="O4263" s="18"/>
      <c r="P4263" s="18"/>
      <c r="Q4263" s="18"/>
    </row>
    <row r="4264" spans="1:17">
      <c r="A4264" s="18"/>
      <c r="B4264" s="18"/>
      <c r="C4264" s="18"/>
      <c r="D4264" s="18"/>
      <c r="E4264" s="18"/>
      <c r="F4264" s="18"/>
      <c r="G4264" s="18"/>
      <c r="H4264" s="18"/>
      <c r="I4264" s="18"/>
      <c r="J4264" s="18"/>
      <c r="K4264" s="18"/>
      <c r="L4264" s="18"/>
      <c r="M4264" s="18"/>
      <c r="N4264" s="18"/>
      <c r="O4264" s="18"/>
      <c r="P4264" s="18"/>
      <c r="Q4264" s="18"/>
    </row>
    <row r="4265" spans="1:17">
      <c r="A4265" s="18"/>
      <c r="B4265" s="18"/>
      <c r="C4265" s="18"/>
      <c r="D4265" s="18"/>
      <c r="E4265" s="18"/>
      <c r="F4265" s="18"/>
      <c r="G4265" s="18"/>
      <c r="H4265" s="18"/>
      <c r="I4265" s="18"/>
      <c r="J4265" s="18"/>
      <c r="K4265" s="18"/>
      <c r="L4265" s="18"/>
      <c r="M4265" s="18"/>
      <c r="N4265" s="18"/>
      <c r="O4265" s="18"/>
      <c r="P4265" s="18"/>
      <c r="Q4265" s="18"/>
    </row>
    <row r="4266" spans="1:17">
      <c r="A4266" s="18"/>
      <c r="B4266" s="18"/>
      <c r="C4266" s="18"/>
      <c r="D4266" s="18"/>
      <c r="E4266" s="18"/>
      <c r="F4266" s="18"/>
      <c r="G4266" s="18"/>
      <c r="H4266" s="18"/>
      <c r="I4266" s="18"/>
      <c r="J4266" s="18"/>
      <c r="K4266" s="18"/>
      <c r="L4266" s="18"/>
      <c r="M4266" s="18"/>
      <c r="N4266" s="18"/>
      <c r="O4266" s="18"/>
      <c r="P4266" s="18"/>
      <c r="Q4266" s="18"/>
    </row>
    <row r="4267" spans="1:17">
      <c r="A4267" s="18"/>
      <c r="B4267" s="18"/>
      <c r="C4267" s="18"/>
      <c r="D4267" s="18"/>
      <c r="E4267" s="18"/>
      <c r="F4267" s="18"/>
      <c r="G4267" s="18"/>
      <c r="H4267" s="18"/>
      <c r="I4267" s="18"/>
      <c r="J4267" s="18"/>
      <c r="K4267" s="18"/>
      <c r="L4267" s="18"/>
      <c r="M4267" s="18"/>
      <c r="N4267" s="18"/>
      <c r="O4267" s="18"/>
      <c r="P4267" s="18"/>
      <c r="Q4267" s="18"/>
    </row>
    <row r="4268" spans="1:17">
      <c r="A4268" s="18"/>
      <c r="B4268" s="18"/>
      <c r="C4268" s="18"/>
      <c r="D4268" s="18"/>
      <c r="E4268" s="18"/>
      <c r="F4268" s="18"/>
      <c r="G4268" s="18"/>
      <c r="H4268" s="18"/>
      <c r="I4268" s="18"/>
      <c r="J4268" s="18"/>
      <c r="K4268" s="18"/>
      <c r="L4268" s="18"/>
      <c r="M4268" s="18"/>
      <c r="N4268" s="18"/>
      <c r="O4268" s="18"/>
      <c r="P4268" s="18"/>
      <c r="Q4268" s="18"/>
    </row>
    <row r="4269" spans="1:17">
      <c r="A4269" s="18"/>
      <c r="B4269" s="18"/>
      <c r="C4269" s="18"/>
      <c r="D4269" s="18"/>
      <c r="E4269" s="18"/>
      <c r="F4269" s="18"/>
      <c r="G4269" s="18"/>
      <c r="H4269" s="18"/>
      <c r="I4269" s="18"/>
      <c r="J4269" s="18"/>
      <c r="K4269" s="18"/>
      <c r="L4269" s="18"/>
      <c r="M4269" s="18"/>
      <c r="N4269" s="18"/>
      <c r="O4269" s="18"/>
      <c r="P4269" s="18"/>
      <c r="Q4269" s="18"/>
    </row>
    <row r="4270" spans="1:17">
      <c r="A4270" s="18"/>
      <c r="B4270" s="18"/>
      <c r="C4270" s="18"/>
      <c r="D4270" s="18"/>
      <c r="E4270" s="18"/>
      <c r="F4270" s="18"/>
      <c r="G4270" s="18"/>
      <c r="H4270" s="18"/>
      <c r="I4270" s="18"/>
      <c r="J4270" s="18"/>
      <c r="K4270" s="18"/>
      <c r="L4270" s="18"/>
      <c r="M4270" s="18"/>
      <c r="N4270" s="18"/>
      <c r="O4270" s="18"/>
      <c r="P4270" s="18"/>
      <c r="Q4270" s="18"/>
    </row>
    <row r="4271" spans="1:17">
      <c r="A4271" s="18"/>
      <c r="B4271" s="18"/>
      <c r="C4271" s="18"/>
      <c r="D4271" s="18"/>
      <c r="E4271" s="18"/>
      <c r="F4271" s="18"/>
      <c r="G4271" s="18"/>
      <c r="H4271" s="18"/>
      <c r="I4271" s="18"/>
      <c r="J4271" s="18"/>
      <c r="K4271" s="18"/>
      <c r="L4271" s="18"/>
      <c r="M4271" s="18"/>
      <c r="N4271" s="18"/>
      <c r="O4271" s="18"/>
      <c r="P4271" s="18"/>
      <c r="Q4271" s="18"/>
    </row>
    <row r="4272" spans="1:17">
      <c r="A4272" s="18"/>
      <c r="B4272" s="18"/>
      <c r="C4272" s="18"/>
      <c r="D4272" s="18"/>
      <c r="E4272" s="18"/>
      <c r="F4272" s="18"/>
      <c r="G4272" s="18"/>
      <c r="H4272" s="18"/>
      <c r="I4272" s="18"/>
      <c r="J4272" s="18"/>
      <c r="K4272" s="18"/>
      <c r="L4272" s="18"/>
      <c r="M4272" s="18"/>
      <c r="N4272" s="18"/>
      <c r="O4272" s="18"/>
      <c r="P4272" s="18"/>
      <c r="Q4272" s="18"/>
    </row>
    <row r="4273" spans="1:17">
      <c r="A4273" s="18"/>
      <c r="B4273" s="18"/>
      <c r="C4273" s="18"/>
      <c r="D4273" s="18"/>
      <c r="E4273" s="18"/>
      <c r="F4273" s="18"/>
      <c r="G4273" s="18"/>
      <c r="H4273" s="18"/>
      <c r="I4273" s="18"/>
      <c r="J4273" s="18"/>
      <c r="K4273" s="18"/>
      <c r="L4273" s="18"/>
      <c r="M4273" s="18"/>
      <c r="N4273" s="18"/>
      <c r="O4273" s="18"/>
      <c r="P4273" s="18"/>
      <c r="Q4273" s="18"/>
    </row>
    <row r="4274" spans="1:17">
      <c r="A4274" s="18"/>
      <c r="B4274" s="18"/>
      <c r="C4274" s="18"/>
      <c r="D4274" s="18"/>
      <c r="E4274" s="18"/>
      <c r="F4274" s="18"/>
      <c r="G4274" s="18"/>
      <c r="H4274" s="18"/>
      <c r="I4274" s="18"/>
      <c r="J4274" s="18"/>
      <c r="K4274" s="18"/>
      <c r="L4274" s="18"/>
      <c r="M4274" s="18"/>
      <c r="N4274" s="18"/>
      <c r="O4274" s="18"/>
      <c r="P4274" s="18"/>
      <c r="Q4274" s="18"/>
    </row>
    <row r="4275" spans="1:17">
      <c r="A4275" s="18"/>
      <c r="B4275" s="18"/>
      <c r="C4275" s="18"/>
      <c r="D4275" s="18"/>
      <c r="E4275" s="18"/>
      <c r="F4275" s="18"/>
      <c r="G4275" s="18"/>
      <c r="H4275" s="18"/>
      <c r="I4275" s="18"/>
      <c r="J4275" s="18"/>
      <c r="K4275" s="18"/>
      <c r="L4275" s="18"/>
      <c r="M4275" s="18"/>
      <c r="N4275" s="18"/>
      <c r="O4275" s="18"/>
      <c r="P4275" s="18"/>
      <c r="Q4275" s="18"/>
    </row>
    <row r="4276" spans="1:17">
      <c r="A4276" s="18"/>
      <c r="B4276" s="18"/>
      <c r="C4276" s="18"/>
      <c r="D4276" s="18"/>
      <c r="E4276" s="18"/>
      <c r="F4276" s="18"/>
      <c r="G4276" s="18"/>
      <c r="H4276" s="18"/>
      <c r="I4276" s="18"/>
      <c r="J4276" s="18"/>
      <c r="K4276" s="18"/>
      <c r="L4276" s="18"/>
      <c r="M4276" s="18"/>
      <c r="N4276" s="18"/>
      <c r="O4276" s="18"/>
      <c r="P4276" s="18"/>
      <c r="Q4276" s="18"/>
    </row>
    <row r="4277" spans="1:17">
      <c r="A4277" s="18"/>
      <c r="B4277" s="18"/>
      <c r="C4277" s="18"/>
      <c r="D4277" s="18"/>
      <c r="E4277" s="18"/>
      <c r="F4277" s="18"/>
      <c r="G4277" s="18"/>
      <c r="H4277" s="18"/>
      <c r="I4277" s="18"/>
      <c r="J4277" s="18"/>
      <c r="K4277" s="18"/>
      <c r="L4277" s="18"/>
      <c r="M4277" s="18"/>
      <c r="N4277" s="18"/>
      <c r="O4277" s="18"/>
      <c r="P4277" s="18"/>
      <c r="Q4277" s="18"/>
    </row>
    <row r="4278" spans="1:17">
      <c r="A4278" s="18"/>
      <c r="B4278" s="18"/>
      <c r="C4278" s="18"/>
      <c r="D4278" s="18"/>
      <c r="E4278" s="18"/>
      <c r="F4278" s="18"/>
      <c r="G4278" s="18"/>
      <c r="H4278" s="18"/>
      <c r="I4278" s="18"/>
      <c r="J4278" s="18"/>
      <c r="K4278" s="18"/>
      <c r="L4278" s="18"/>
      <c r="M4278" s="18"/>
      <c r="N4278" s="18"/>
      <c r="O4278" s="18"/>
      <c r="P4278" s="18"/>
      <c r="Q4278" s="18"/>
    </row>
    <row r="4279" spans="1:17">
      <c r="A4279" s="18"/>
      <c r="B4279" s="18"/>
      <c r="C4279" s="18"/>
      <c r="D4279" s="18"/>
      <c r="E4279" s="18"/>
      <c r="F4279" s="18"/>
      <c r="G4279" s="18"/>
      <c r="H4279" s="18"/>
      <c r="I4279" s="18"/>
      <c r="J4279" s="18"/>
      <c r="K4279" s="18"/>
      <c r="L4279" s="18"/>
      <c r="M4279" s="18"/>
      <c r="N4279" s="18"/>
      <c r="O4279" s="18"/>
      <c r="P4279" s="18"/>
      <c r="Q4279" s="18"/>
    </row>
    <row r="4280" spans="1:17">
      <c r="A4280" s="18"/>
      <c r="B4280" s="18"/>
      <c r="C4280" s="18"/>
      <c r="D4280" s="18"/>
      <c r="E4280" s="18"/>
      <c r="F4280" s="18"/>
      <c r="G4280" s="18"/>
      <c r="H4280" s="18"/>
      <c r="I4280" s="18"/>
      <c r="J4280" s="18"/>
      <c r="K4280" s="18"/>
      <c r="L4280" s="18"/>
      <c r="M4280" s="18"/>
      <c r="N4280" s="18"/>
      <c r="O4280" s="18"/>
      <c r="P4280" s="18"/>
      <c r="Q4280" s="18"/>
    </row>
    <row r="4281" spans="1:17">
      <c r="A4281" s="18"/>
      <c r="B4281" s="18"/>
      <c r="C4281" s="18"/>
      <c r="D4281" s="18"/>
      <c r="E4281" s="18"/>
      <c r="F4281" s="18"/>
      <c r="G4281" s="18"/>
      <c r="H4281" s="18"/>
      <c r="I4281" s="18"/>
      <c r="J4281" s="18"/>
      <c r="K4281" s="18"/>
      <c r="L4281" s="18"/>
      <c r="M4281" s="18"/>
      <c r="N4281" s="18"/>
      <c r="O4281" s="18"/>
      <c r="P4281" s="18"/>
      <c r="Q4281" s="18"/>
    </row>
    <row r="4282" spans="1:17">
      <c r="A4282" s="18"/>
      <c r="B4282" s="18"/>
      <c r="C4282" s="18"/>
      <c r="D4282" s="18"/>
      <c r="E4282" s="18"/>
      <c r="F4282" s="18"/>
      <c r="G4282" s="18"/>
      <c r="H4282" s="18"/>
      <c r="I4282" s="18"/>
      <c r="J4282" s="18"/>
      <c r="K4282" s="18"/>
      <c r="L4282" s="18"/>
      <c r="M4282" s="18"/>
      <c r="N4282" s="18"/>
      <c r="O4282" s="18"/>
      <c r="P4282" s="18"/>
      <c r="Q4282" s="18"/>
    </row>
    <row r="4283" spans="1:17">
      <c r="A4283" s="18"/>
      <c r="B4283" s="18"/>
      <c r="C4283" s="18"/>
      <c r="D4283" s="18"/>
      <c r="E4283" s="18"/>
      <c r="F4283" s="18"/>
      <c r="G4283" s="18"/>
      <c r="H4283" s="18"/>
      <c r="I4283" s="18"/>
      <c r="J4283" s="18"/>
      <c r="K4283" s="18"/>
      <c r="L4283" s="18"/>
      <c r="M4283" s="18"/>
      <c r="N4283" s="18"/>
      <c r="O4283" s="18"/>
      <c r="P4283" s="18"/>
      <c r="Q4283" s="18"/>
    </row>
    <row r="4284" spans="1:17">
      <c r="A4284" s="18"/>
      <c r="B4284" s="18"/>
      <c r="C4284" s="18"/>
      <c r="D4284" s="18"/>
      <c r="E4284" s="18"/>
      <c r="F4284" s="18"/>
      <c r="G4284" s="18"/>
      <c r="H4284" s="18"/>
      <c r="I4284" s="18"/>
      <c r="J4284" s="18"/>
      <c r="K4284" s="18"/>
      <c r="L4284" s="18"/>
      <c r="M4284" s="18"/>
      <c r="N4284" s="18"/>
      <c r="O4284" s="18"/>
      <c r="P4284" s="18"/>
      <c r="Q4284" s="18"/>
    </row>
    <row r="4285" spans="1:17">
      <c r="A4285" s="18"/>
      <c r="B4285" s="18"/>
      <c r="C4285" s="18"/>
      <c r="D4285" s="18"/>
      <c r="E4285" s="18"/>
      <c r="F4285" s="18"/>
      <c r="G4285" s="18"/>
      <c r="H4285" s="18"/>
      <c r="I4285" s="18"/>
      <c r="J4285" s="18"/>
      <c r="K4285" s="18"/>
      <c r="L4285" s="18"/>
      <c r="M4285" s="18"/>
      <c r="N4285" s="18"/>
      <c r="O4285" s="18"/>
      <c r="P4285" s="18"/>
      <c r="Q4285" s="18"/>
    </row>
    <row r="4286" spans="1:17">
      <c r="A4286" s="18"/>
      <c r="B4286" s="18"/>
      <c r="C4286" s="18"/>
      <c r="D4286" s="18"/>
      <c r="E4286" s="18"/>
      <c r="F4286" s="18"/>
      <c r="G4286" s="18"/>
      <c r="H4286" s="18"/>
      <c r="I4286" s="18"/>
      <c r="J4286" s="18"/>
      <c r="K4286" s="18"/>
      <c r="L4286" s="18"/>
      <c r="M4286" s="18"/>
      <c r="N4286" s="18"/>
      <c r="O4286" s="18"/>
      <c r="P4286" s="18"/>
      <c r="Q4286" s="18"/>
    </row>
    <row r="4287" spans="1:17">
      <c r="A4287" s="18"/>
      <c r="B4287" s="18"/>
      <c r="C4287" s="18"/>
      <c r="D4287" s="18"/>
      <c r="E4287" s="18"/>
      <c r="F4287" s="18"/>
      <c r="G4287" s="18"/>
      <c r="H4287" s="18"/>
      <c r="I4287" s="18"/>
      <c r="J4287" s="18"/>
      <c r="K4287" s="18"/>
      <c r="L4287" s="18"/>
      <c r="M4287" s="18"/>
      <c r="N4287" s="18"/>
      <c r="O4287" s="18"/>
      <c r="P4287" s="18"/>
      <c r="Q4287" s="18"/>
    </row>
    <row r="4288" spans="1:17">
      <c r="A4288" s="18"/>
      <c r="B4288" s="18"/>
      <c r="C4288" s="18"/>
      <c r="D4288" s="18"/>
      <c r="E4288" s="18"/>
      <c r="F4288" s="18"/>
      <c r="G4288" s="18"/>
      <c r="H4288" s="18"/>
      <c r="I4288" s="18"/>
      <c r="J4288" s="18"/>
      <c r="K4288" s="18"/>
      <c r="L4288" s="18"/>
      <c r="M4288" s="18"/>
      <c r="N4288" s="18"/>
      <c r="O4288" s="18"/>
      <c r="P4288" s="18"/>
      <c r="Q4288" s="18"/>
    </row>
    <row r="4289" spans="1:17">
      <c r="A4289" s="18"/>
      <c r="B4289" s="18"/>
      <c r="C4289" s="18"/>
      <c r="D4289" s="18"/>
      <c r="E4289" s="18"/>
      <c r="F4289" s="18"/>
      <c r="G4289" s="18"/>
      <c r="H4289" s="18"/>
      <c r="I4289" s="18"/>
      <c r="J4289" s="18"/>
      <c r="K4289" s="18"/>
      <c r="L4289" s="18"/>
      <c r="M4289" s="18"/>
      <c r="N4289" s="18"/>
      <c r="O4289" s="18"/>
      <c r="P4289" s="18"/>
      <c r="Q4289" s="18"/>
    </row>
    <row r="4290" spans="1:17">
      <c r="A4290" s="18"/>
      <c r="B4290" s="18"/>
      <c r="C4290" s="18"/>
      <c r="D4290" s="18"/>
      <c r="E4290" s="18"/>
      <c r="F4290" s="18"/>
      <c r="G4290" s="18"/>
      <c r="H4290" s="18"/>
      <c r="I4290" s="18"/>
      <c r="J4290" s="18"/>
      <c r="K4290" s="18"/>
      <c r="L4290" s="18"/>
      <c r="M4290" s="18"/>
      <c r="N4290" s="18"/>
      <c r="O4290" s="18"/>
      <c r="P4290" s="18"/>
      <c r="Q4290" s="18"/>
    </row>
    <row r="4291" spans="1:17">
      <c r="A4291" s="18"/>
      <c r="B4291" s="18"/>
      <c r="C4291" s="18"/>
      <c r="D4291" s="18"/>
      <c r="E4291" s="18"/>
      <c r="F4291" s="18"/>
      <c r="G4291" s="18"/>
      <c r="H4291" s="18"/>
      <c r="I4291" s="18"/>
      <c r="J4291" s="18"/>
      <c r="K4291" s="18"/>
      <c r="L4291" s="18"/>
      <c r="M4291" s="18"/>
      <c r="N4291" s="18"/>
      <c r="O4291" s="18"/>
      <c r="P4291" s="18"/>
      <c r="Q4291" s="18"/>
    </row>
    <row r="4292" spans="1:17">
      <c r="A4292" s="18"/>
      <c r="B4292" s="18"/>
      <c r="C4292" s="18"/>
      <c r="D4292" s="18"/>
      <c r="E4292" s="18"/>
      <c r="F4292" s="18"/>
      <c r="G4292" s="18"/>
      <c r="H4292" s="18"/>
      <c r="I4292" s="18"/>
      <c r="J4292" s="18"/>
      <c r="K4292" s="18"/>
      <c r="L4292" s="18"/>
      <c r="M4292" s="18"/>
      <c r="N4292" s="18"/>
      <c r="O4292" s="18"/>
      <c r="P4292" s="18"/>
      <c r="Q4292" s="18"/>
    </row>
    <row r="4293" spans="1:17">
      <c r="A4293" s="18"/>
      <c r="B4293" s="18"/>
      <c r="C4293" s="18"/>
      <c r="D4293" s="18"/>
      <c r="E4293" s="18"/>
      <c r="F4293" s="18"/>
      <c r="G4293" s="18"/>
      <c r="H4293" s="18"/>
      <c r="I4293" s="18"/>
      <c r="J4293" s="18"/>
      <c r="K4293" s="18"/>
      <c r="L4293" s="18"/>
      <c r="M4293" s="18"/>
      <c r="N4293" s="18"/>
      <c r="O4293" s="18"/>
      <c r="P4293" s="18"/>
      <c r="Q4293" s="18"/>
    </row>
    <row r="4294" spans="1:17">
      <c r="A4294" s="18"/>
      <c r="B4294" s="18"/>
      <c r="C4294" s="18"/>
      <c r="D4294" s="18"/>
      <c r="E4294" s="18"/>
      <c r="F4294" s="18"/>
      <c r="G4294" s="18"/>
      <c r="H4294" s="18"/>
      <c r="I4294" s="18"/>
      <c r="J4294" s="18"/>
      <c r="K4294" s="18"/>
      <c r="L4294" s="18"/>
      <c r="M4294" s="18"/>
      <c r="N4294" s="18"/>
      <c r="O4294" s="18"/>
      <c r="P4294" s="18"/>
      <c r="Q4294" s="18"/>
    </row>
    <row r="4295" spans="1:17">
      <c r="A4295" s="18"/>
      <c r="B4295" s="18"/>
      <c r="C4295" s="18"/>
      <c r="D4295" s="18"/>
      <c r="E4295" s="18"/>
      <c r="F4295" s="18"/>
      <c r="G4295" s="18"/>
      <c r="H4295" s="18"/>
      <c r="I4295" s="18"/>
      <c r="J4295" s="18"/>
      <c r="K4295" s="18"/>
      <c r="L4295" s="18"/>
      <c r="M4295" s="18"/>
      <c r="N4295" s="18"/>
      <c r="O4295" s="18"/>
      <c r="P4295" s="18"/>
      <c r="Q4295" s="18"/>
    </row>
    <row r="4296" spans="1:17">
      <c r="A4296" s="18"/>
      <c r="B4296" s="18"/>
      <c r="C4296" s="18"/>
      <c r="D4296" s="18"/>
      <c r="E4296" s="18"/>
      <c r="F4296" s="18"/>
      <c r="G4296" s="18"/>
      <c r="H4296" s="18"/>
      <c r="I4296" s="18"/>
      <c r="J4296" s="18"/>
      <c r="K4296" s="18"/>
      <c r="L4296" s="18"/>
      <c r="M4296" s="18"/>
      <c r="N4296" s="18"/>
      <c r="O4296" s="18"/>
      <c r="P4296" s="18"/>
      <c r="Q4296" s="18"/>
    </row>
    <row r="4297" spans="1:17">
      <c r="A4297" s="18"/>
      <c r="B4297" s="18"/>
      <c r="C4297" s="18"/>
      <c r="D4297" s="18"/>
      <c r="E4297" s="18"/>
      <c r="F4297" s="18"/>
      <c r="G4297" s="18"/>
      <c r="H4297" s="18"/>
      <c r="I4297" s="18"/>
      <c r="J4297" s="18"/>
      <c r="K4297" s="18"/>
      <c r="L4297" s="18"/>
      <c r="M4297" s="18"/>
      <c r="N4297" s="18"/>
      <c r="O4297" s="18"/>
      <c r="P4297" s="18"/>
      <c r="Q4297" s="18"/>
    </row>
    <row r="4298" spans="1:17">
      <c r="A4298" s="18"/>
      <c r="B4298" s="18"/>
      <c r="C4298" s="18"/>
      <c r="D4298" s="18"/>
      <c r="E4298" s="18"/>
      <c r="F4298" s="18"/>
      <c r="G4298" s="18"/>
      <c r="H4298" s="18"/>
      <c r="I4298" s="18"/>
      <c r="J4298" s="18"/>
      <c r="K4298" s="18"/>
      <c r="L4298" s="18"/>
      <c r="M4298" s="18"/>
      <c r="N4298" s="18"/>
      <c r="O4298" s="18"/>
      <c r="P4298" s="18"/>
      <c r="Q4298" s="18"/>
    </row>
    <row r="4299" spans="1:17">
      <c r="A4299" s="18"/>
      <c r="B4299" s="18"/>
      <c r="C4299" s="18"/>
      <c r="D4299" s="18"/>
      <c r="E4299" s="18"/>
      <c r="F4299" s="18"/>
      <c r="G4299" s="18"/>
      <c r="H4299" s="18"/>
      <c r="I4299" s="18"/>
      <c r="J4299" s="18"/>
      <c r="K4299" s="18"/>
      <c r="L4299" s="18"/>
      <c r="M4299" s="18"/>
      <c r="N4299" s="18"/>
      <c r="O4299" s="18"/>
      <c r="P4299" s="18"/>
      <c r="Q4299" s="18"/>
    </row>
    <row r="4300" spans="1:17">
      <c r="A4300" s="18"/>
      <c r="B4300" s="18"/>
      <c r="C4300" s="18"/>
      <c r="D4300" s="18"/>
      <c r="E4300" s="18"/>
      <c r="F4300" s="18"/>
      <c r="G4300" s="18"/>
      <c r="H4300" s="18"/>
      <c r="I4300" s="18"/>
      <c r="J4300" s="18"/>
      <c r="K4300" s="18"/>
      <c r="L4300" s="18"/>
      <c r="M4300" s="18"/>
      <c r="N4300" s="18"/>
      <c r="O4300" s="18"/>
      <c r="P4300" s="18"/>
      <c r="Q4300" s="18"/>
    </row>
    <row r="4301" spans="1:17">
      <c r="A4301" s="18"/>
      <c r="B4301" s="18"/>
      <c r="C4301" s="18"/>
      <c r="D4301" s="18"/>
      <c r="E4301" s="18"/>
      <c r="F4301" s="18"/>
      <c r="G4301" s="18"/>
      <c r="H4301" s="18"/>
      <c r="I4301" s="18"/>
      <c r="J4301" s="18"/>
      <c r="K4301" s="18"/>
      <c r="L4301" s="18"/>
      <c r="M4301" s="18"/>
      <c r="N4301" s="18"/>
      <c r="O4301" s="18"/>
      <c r="P4301" s="18"/>
      <c r="Q4301" s="18"/>
    </row>
    <row r="4302" spans="1:17">
      <c r="A4302" s="18"/>
      <c r="B4302" s="18"/>
      <c r="C4302" s="18"/>
      <c r="D4302" s="18"/>
      <c r="E4302" s="18"/>
      <c r="F4302" s="18"/>
      <c r="G4302" s="18"/>
      <c r="H4302" s="18"/>
      <c r="I4302" s="18"/>
      <c r="J4302" s="18"/>
      <c r="K4302" s="18"/>
      <c r="L4302" s="18"/>
      <c r="M4302" s="18"/>
      <c r="N4302" s="18"/>
      <c r="O4302" s="18"/>
      <c r="P4302" s="18"/>
      <c r="Q4302" s="18"/>
    </row>
    <row r="4303" spans="1:17">
      <c r="A4303" s="18"/>
      <c r="B4303" s="18"/>
      <c r="C4303" s="18"/>
      <c r="D4303" s="18"/>
      <c r="E4303" s="18"/>
      <c r="F4303" s="18"/>
      <c r="G4303" s="18"/>
      <c r="H4303" s="18"/>
      <c r="I4303" s="18"/>
      <c r="J4303" s="18"/>
      <c r="K4303" s="18"/>
      <c r="L4303" s="18"/>
      <c r="M4303" s="18"/>
      <c r="N4303" s="18"/>
      <c r="O4303" s="18"/>
      <c r="P4303" s="18"/>
      <c r="Q4303" s="18"/>
    </row>
    <row r="4304" spans="1:17">
      <c r="A4304" s="18"/>
      <c r="B4304" s="18"/>
      <c r="C4304" s="18"/>
      <c r="D4304" s="18"/>
      <c r="E4304" s="18"/>
      <c r="F4304" s="18"/>
      <c r="G4304" s="18"/>
      <c r="H4304" s="18"/>
      <c r="I4304" s="18"/>
      <c r="J4304" s="18"/>
      <c r="K4304" s="18"/>
      <c r="L4304" s="18"/>
      <c r="M4304" s="18"/>
      <c r="N4304" s="18"/>
      <c r="O4304" s="18"/>
      <c r="P4304" s="18"/>
      <c r="Q4304" s="18"/>
    </row>
    <row r="4305" spans="1:17">
      <c r="A4305" s="18"/>
      <c r="B4305" s="18"/>
      <c r="C4305" s="18"/>
      <c r="D4305" s="18"/>
      <c r="E4305" s="18"/>
      <c r="F4305" s="18"/>
      <c r="G4305" s="18"/>
      <c r="H4305" s="18"/>
      <c r="I4305" s="18"/>
      <c r="J4305" s="18"/>
      <c r="K4305" s="18"/>
      <c r="L4305" s="18"/>
      <c r="M4305" s="18"/>
      <c r="N4305" s="18"/>
      <c r="O4305" s="18"/>
      <c r="P4305" s="18"/>
      <c r="Q4305" s="18"/>
    </row>
    <row r="4306" spans="1:17">
      <c r="A4306" s="18"/>
      <c r="B4306" s="18"/>
      <c r="C4306" s="18"/>
      <c r="D4306" s="18"/>
      <c r="E4306" s="18"/>
      <c r="F4306" s="18"/>
      <c r="G4306" s="18"/>
      <c r="H4306" s="18"/>
      <c r="I4306" s="18"/>
      <c r="J4306" s="18"/>
      <c r="K4306" s="18"/>
      <c r="L4306" s="18"/>
      <c r="M4306" s="18"/>
      <c r="N4306" s="18"/>
      <c r="O4306" s="18"/>
      <c r="P4306" s="18"/>
      <c r="Q4306" s="18"/>
    </row>
    <row r="4307" spans="1:17">
      <c r="A4307" s="18"/>
      <c r="B4307" s="18"/>
      <c r="C4307" s="18"/>
      <c r="D4307" s="18"/>
      <c r="E4307" s="18"/>
      <c r="F4307" s="18"/>
      <c r="G4307" s="18"/>
      <c r="H4307" s="18"/>
      <c r="I4307" s="18"/>
      <c r="J4307" s="18"/>
      <c r="K4307" s="18"/>
      <c r="L4307" s="18"/>
      <c r="M4307" s="18"/>
      <c r="N4307" s="18"/>
      <c r="O4307" s="18"/>
      <c r="P4307" s="18"/>
      <c r="Q4307" s="18"/>
    </row>
    <row r="4308" spans="1:17">
      <c r="A4308" s="18"/>
      <c r="B4308" s="18"/>
      <c r="C4308" s="18"/>
      <c r="D4308" s="18"/>
      <c r="E4308" s="18"/>
      <c r="F4308" s="18"/>
      <c r="G4308" s="18"/>
      <c r="H4308" s="18"/>
      <c r="I4308" s="18"/>
      <c r="J4308" s="18"/>
      <c r="K4308" s="18"/>
      <c r="L4308" s="18"/>
      <c r="M4308" s="18"/>
      <c r="N4308" s="18"/>
      <c r="O4308" s="18"/>
      <c r="P4308" s="18"/>
      <c r="Q4308" s="18"/>
    </row>
    <row r="4309" spans="1:17">
      <c r="A4309" s="18"/>
      <c r="B4309" s="18"/>
      <c r="C4309" s="18"/>
      <c r="D4309" s="18"/>
      <c r="E4309" s="18"/>
      <c r="F4309" s="18"/>
      <c r="G4309" s="18"/>
      <c r="H4309" s="18"/>
      <c r="I4309" s="18"/>
      <c r="J4309" s="18"/>
      <c r="K4309" s="18"/>
      <c r="L4309" s="18"/>
      <c r="M4309" s="18"/>
      <c r="N4309" s="18"/>
      <c r="O4309" s="18"/>
      <c r="P4309" s="18"/>
      <c r="Q4309" s="18"/>
    </row>
    <row r="4310" spans="1:17">
      <c r="A4310" s="18"/>
      <c r="B4310" s="18"/>
      <c r="C4310" s="18"/>
      <c r="D4310" s="18"/>
      <c r="E4310" s="18"/>
      <c r="F4310" s="18"/>
      <c r="G4310" s="18"/>
      <c r="H4310" s="18"/>
      <c r="I4310" s="18"/>
      <c r="J4310" s="18"/>
      <c r="K4310" s="18"/>
      <c r="L4310" s="18"/>
      <c r="M4310" s="18"/>
      <c r="N4310" s="18"/>
      <c r="O4310" s="18"/>
      <c r="P4310" s="18"/>
      <c r="Q4310" s="18"/>
    </row>
    <row r="4311" spans="1:17">
      <c r="A4311" s="18"/>
      <c r="B4311" s="18"/>
      <c r="C4311" s="18"/>
      <c r="D4311" s="18"/>
      <c r="E4311" s="18"/>
      <c r="F4311" s="18"/>
      <c r="G4311" s="18"/>
      <c r="H4311" s="18"/>
      <c r="I4311" s="18"/>
      <c r="J4311" s="18"/>
      <c r="K4311" s="18"/>
      <c r="L4311" s="18"/>
      <c r="M4311" s="18"/>
      <c r="N4311" s="18"/>
      <c r="O4311" s="18"/>
      <c r="P4311" s="18"/>
      <c r="Q4311" s="18"/>
    </row>
    <row r="4312" spans="1:17">
      <c r="A4312" s="18"/>
      <c r="B4312" s="18"/>
      <c r="C4312" s="18"/>
      <c r="D4312" s="18"/>
      <c r="E4312" s="18"/>
      <c r="F4312" s="18"/>
      <c r="G4312" s="18"/>
      <c r="H4312" s="18"/>
      <c r="I4312" s="18"/>
      <c r="J4312" s="18"/>
      <c r="K4312" s="18"/>
      <c r="L4312" s="18"/>
      <c r="M4312" s="18"/>
      <c r="N4312" s="18"/>
      <c r="O4312" s="18"/>
      <c r="P4312" s="18"/>
      <c r="Q4312" s="18"/>
    </row>
    <row r="4313" spans="1:17">
      <c r="A4313" s="18"/>
      <c r="B4313" s="18"/>
      <c r="C4313" s="18"/>
      <c r="D4313" s="18"/>
      <c r="E4313" s="18"/>
      <c r="F4313" s="18"/>
      <c r="G4313" s="18"/>
      <c r="H4313" s="18"/>
      <c r="I4313" s="18"/>
      <c r="J4313" s="18"/>
      <c r="K4313" s="18"/>
      <c r="L4313" s="18"/>
      <c r="M4313" s="18"/>
      <c r="N4313" s="18"/>
      <c r="O4313" s="18"/>
      <c r="P4313" s="18"/>
      <c r="Q4313" s="18"/>
    </row>
    <row r="4314" spans="1:17">
      <c r="A4314" s="18"/>
      <c r="B4314" s="18"/>
      <c r="C4314" s="18"/>
      <c r="D4314" s="18"/>
      <c r="E4314" s="18"/>
      <c r="F4314" s="18"/>
      <c r="G4314" s="18"/>
      <c r="H4314" s="18"/>
      <c r="I4314" s="18"/>
      <c r="J4314" s="18"/>
      <c r="K4314" s="18"/>
      <c r="L4314" s="18"/>
      <c r="M4314" s="18"/>
      <c r="N4314" s="18"/>
      <c r="O4314" s="18"/>
      <c r="P4314" s="18"/>
      <c r="Q4314" s="18"/>
    </row>
    <row r="4315" spans="1:17">
      <c r="A4315" s="18"/>
      <c r="B4315" s="18"/>
      <c r="C4315" s="18"/>
      <c r="D4315" s="18"/>
      <c r="E4315" s="18"/>
      <c r="F4315" s="18"/>
      <c r="G4315" s="18"/>
      <c r="H4315" s="18"/>
      <c r="I4315" s="18"/>
      <c r="J4315" s="18"/>
      <c r="K4315" s="18"/>
      <c r="L4315" s="18"/>
      <c r="M4315" s="18"/>
      <c r="N4315" s="18"/>
      <c r="O4315" s="18"/>
      <c r="P4315" s="18"/>
      <c r="Q4315" s="18"/>
    </row>
    <row r="4316" spans="1:17">
      <c r="A4316" s="18"/>
      <c r="B4316" s="18"/>
      <c r="C4316" s="18"/>
      <c r="D4316" s="18"/>
      <c r="E4316" s="18"/>
      <c r="F4316" s="18"/>
      <c r="G4316" s="18"/>
      <c r="H4316" s="18"/>
      <c r="I4316" s="18"/>
      <c r="J4316" s="18"/>
      <c r="K4316" s="18"/>
      <c r="L4316" s="18"/>
      <c r="M4316" s="18"/>
      <c r="N4316" s="18"/>
      <c r="O4316" s="18"/>
      <c r="P4316" s="18"/>
      <c r="Q4316" s="18"/>
    </row>
    <row r="4317" spans="1:17">
      <c r="A4317" s="18"/>
      <c r="B4317" s="18"/>
      <c r="C4317" s="18"/>
      <c r="D4317" s="18"/>
      <c r="E4317" s="18"/>
      <c r="F4317" s="18"/>
      <c r="G4317" s="18"/>
      <c r="H4317" s="18"/>
      <c r="I4317" s="18"/>
      <c r="J4317" s="18"/>
      <c r="K4317" s="18"/>
      <c r="L4317" s="18"/>
      <c r="M4317" s="18"/>
      <c r="N4317" s="18"/>
      <c r="O4317" s="18"/>
      <c r="P4317" s="18"/>
      <c r="Q4317" s="18"/>
    </row>
    <row r="4318" spans="1:17">
      <c r="A4318" s="18"/>
      <c r="B4318" s="18"/>
      <c r="C4318" s="18"/>
      <c r="D4318" s="18"/>
      <c r="E4318" s="18"/>
      <c r="F4318" s="18"/>
      <c r="G4318" s="18"/>
      <c r="H4318" s="18"/>
      <c r="I4318" s="18"/>
      <c r="J4318" s="18"/>
      <c r="K4318" s="18"/>
      <c r="L4318" s="18"/>
      <c r="M4318" s="18"/>
      <c r="N4318" s="18"/>
      <c r="O4318" s="18"/>
      <c r="P4318" s="18"/>
      <c r="Q4318" s="18"/>
    </row>
    <row r="4319" spans="1:17">
      <c r="A4319" s="18"/>
      <c r="B4319" s="18"/>
      <c r="C4319" s="18"/>
      <c r="D4319" s="18"/>
      <c r="E4319" s="18"/>
      <c r="F4319" s="18"/>
      <c r="G4319" s="18"/>
      <c r="H4319" s="18"/>
      <c r="I4319" s="18"/>
      <c r="J4319" s="18"/>
      <c r="K4319" s="18"/>
      <c r="L4319" s="18"/>
      <c r="M4319" s="18"/>
      <c r="N4319" s="18"/>
      <c r="O4319" s="18"/>
      <c r="P4319" s="18"/>
      <c r="Q4319" s="18"/>
    </row>
    <row r="4320" spans="1:17">
      <c r="A4320" s="18"/>
      <c r="B4320" s="18"/>
      <c r="C4320" s="18"/>
      <c r="D4320" s="18"/>
      <c r="E4320" s="18"/>
      <c r="F4320" s="18"/>
      <c r="G4320" s="18"/>
      <c r="H4320" s="18"/>
      <c r="I4320" s="18"/>
      <c r="J4320" s="18"/>
      <c r="K4320" s="18"/>
      <c r="L4320" s="18"/>
      <c r="M4320" s="18"/>
      <c r="N4320" s="18"/>
      <c r="O4320" s="18"/>
      <c r="P4320" s="18"/>
      <c r="Q4320" s="18"/>
    </row>
    <row r="4321" spans="1:17">
      <c r="A4321" s="18"/>
      <c r="B4321" s="18"/>
      <c r="C4321" s="18"/>
      <c r="D4321" s="18"/>
      <c r="E4321" s="18"/>
      <c r="F4321" s="18"/>
      <c r="G4321" s="18"/>
      <c r="H4321" s="18"/>
      <c r="I4321" s="18"/>
      <c r="J4321" s="18"/>
      <c r="K4321" s="18"/>
      <c r="L4321" s="18"/>
      <c r="M4321" s="18"/>
      <c r="N4321" s="18"/>
      <c r="O4321" s="18"/>
      <c r="P4321" s="18"/>
      <c r="Q4321" s="18"/>
    </row>
    <row r="4322" spans="1:17">
      <c r="A4322" s="18"/>
      <c r="B4322" s="18"/>
      <c r="C4322" s="18"/>
      <c r="D4322" s="18"/>
      <c r="E4322" s="18"/>
      <c r="F4322" s="18"/>
      <c r="G4322" s="18"/>
      <c r="H4322" s="18"/>
      <c r="I4322" s="18"/>
      <c r="J4322" s="18"/>
      <c r="K4322" s="18"/>
      <c r="L4322" s="18"/>
      <c r="M4322" s="18"/>
      <c r="N4322" s="18"/>
      <c r="O4322" s="18"/>
      <c r="P4322" s="18"/>
      <c r="Q4322" s="18"/>
    </row>
    <row r="4323" spans="1:17">
      <c r="A4323" s="18"/>
      <c r="B4323" s="18"/>
      <c r="C4323" s="18"/>
      <c r="D4323" s="18"/>
      <c r="E4323" s="18"/>
      <c r="F4323" s="18"/>
      <c r="G4323" s="18"/>
      <c r="H4323" s="18"/>
      <c r="I4323" s="18"/>
      <c r="J4323" s="18"/>
      <c r="K4323" s="18"/>
      <c r="L4323" s="18"/>
      <c r="M4323" s="18"/>
      <c r="N4323" s="18"/>
      <c r="O4323" s="18"/>
      <c r="P4323" s="18"/>
      <c r="Q4323" s="18"/>
    </row>
    <row r="4324" spans="1:17">
      <c r="A4324" s="18"/>
      <c r="B4324" s="18"/>
      <c r="C4324" s="18"/>
      <c r="D4324" s="18"/>
      <c r="E4324" s="18"/>
      <c r="F4324" s="18"/>
      <c r="G4324" s="18"/>
      <c r="H4324" s="18"/>
      <c r="I4324" s="18"/>
      <c r="J4324" s="18"/>
      <c r="K4324" s="18"/>
      <c r="L4324" s="18"/>
      <c r="M4324" s="18"/>
      <c r="N4324" s="18"/>
      <c r="O4324" s="18"/>
      <c r="P4324" s="18"/>
      <c r="Q4324" s="18"/>
    </row>
    <row r="4325" spans="1:17">
      <c r="A4325" s="18"/>
      <c r="B4325" s="18"/>
      <c r="C4325" s="18"/>
      <c r="D4325" s="18"/>
      <c r="E4325" s="18"/>
      <c r="F4325" s="18"/>
      <c r="G4325" s="18"/>
      <c r="H4325" s="18"/>
      <c r="I4325" s="18"/>
      <c r="J4325" s="18"/>
      <c r="K4325" s="18"/>
      <c r="L4325" s="18"/>
      <c r="M4325" s="18"/>
      <c r="N4325" s="18"/>
      <c r="O4325" s="18"/>
      <c r="P4325" s="18"/>
      <c r="Q4325" s="18"/>
    </row>
    <row r="4326" spans="1:17">
      <c r="A4326" s="18"/>
      <c r="B4326" s="18"/>
      <c r="C4326" s="18"/>
      <c r="D4326" s="18"/>
      <c r="E4326" s="18"/>
      <c r="F4326" s="18"/>
      <c r="G4326" s="18"/>
      <c r="H4326" s="18"/>
      <c r="I4326" s="18"/>
      <c r="J4326" s="18"/>
      <c r="K4326" s="18"/>
      <c r="L4326" s="18"/>
      <c r="M4326" s="18"/>
      <c r="N4326" s="18"/>
      <c r="O4326" s="18"/>
      <c r="P4326" s="18"/>
      <c r="Q4326" s="18"/>
    </row>
    <row r="4327" spans="1:17">
      <c r="A4327" s="18"/>
      <c r="B4327" s="18"/>
      <c r="C4327" s="18"/>
      <c r="D4327" s="18"/>
      <c r="E4327" s="18"/>
      <c r="F4327" s="18"/>
      <c r="G4327" s="18"/>
      <c r="H4327" s="18"/>
      <c r="I4327" s="18"/>
      <c r="J4327" s="18"/>
      <c r="K4327" s="18"/>
      <c r="L4327" s="18"/>
      <c r="M4327" s="18"/>
      <c r="N4327" s="18"/>
      <c r="O4327" s="18"/>
      <c r="P4327" s="18"/>
      <c r="Q4327" s="18"/>
    </row>
    <row r="4328" spans="1:17">
      <c r="A4328" s="18"/>
      <c r="B4328" s="18"/>
      <c r="C4328" s="18"/>
      <c r="D4328" s="18"/>
      <c r="E4328" s="18"/>
      <c r="F4328" s="18"/>
      <c r="G4328" s="18"/>
      <c r="H4328" s="18"/>
      <c r="I4328" s="18"/>
      <c r="J4328" s="18"/>
      <c r="K4328" s="18"/>
      <c r="L4328" s="18"/>
      <c r="M4328" s="18"/>
      <c r="N4328" s="18"/>
      <c r="O4328" s="18"/>
      <c r="P4328" s="18"/>
      <c r="Q4328" s="18"/>
    </row>
    <row r="4329" spans="1:17">
      <c r="A4329" s="18"/>
      <c r="B4329" s="18"/>
      <c r="C4329" s="18"/>
      <c r="D4329" s="18"/>
      <c r="E4329" s="18"/>
      <c r="F4329" s="18"/>
      <c r="G4329" s="18"/>
      <c r="H4329" s="18"/>
      <c r="I4329" s="18"/>
      <c r="J4329" s="18"/>
      <c r="K4329" s="18"/>
      <c r="L4329" s="18"/>
      <c r="M4329" s="18"/>
      <c r="N4329" s="18"/>
      <c r="O4329" s="18"/>
      <c r="P4329" s="18"/>
      <c r="Q4329" s="18"/>
    </row>
    <row r="4330" spans="1:17">
      <c r="A4330" s="18"/>
      <c r="B4330" s="18"/>
      <c r="C4330" s="18"/>
      <c r="D4330" s="18"/>
      <c r="E4330" s="18"/>
      <c r="F4330" s="18"/>
      <c r="G4330" s="18"/>
      <c r="H4330" s="18"/>
      <c r="I4330" s="18"/>
      <c r="J4330" s="18"/>
      <c r="K4330" s="18"/>
      <c r="L4330" s="18"/>
      <c r="M4330" s="18"/>
      <c r="N4330" s="18"/>
      <c r="O4330" s="18"/>
      <c r="P4330" s="18"/>
      <c r="Q4330" s="18"/>
    </row>
    <row r="4331" spans="1:17">
      <c r="A4331" s="18"/>
      <c r="B4331" s="18"/>
      <c r="C4331" s="18"/>
      <c r="D4331" s="18"/>
      <c r="E4331" s="18"/>
      <c r="F4331" s="18"/>
      <c r="G4331" s="18"/>
      <c r="H4331" s="18"/>
      <c r="I4331" s="18"/>
      <c r="J4331" s="18"/>
      <c r="K4331" s="18"/>
      <c r="L4331" s="18"/>
      <c r="M4331" s="18"/>
      <c r="N4331" s="18"/>
      <c r="O4331" s="18"/>
      <c r="P4331" s="18"/>
      <c r="Q4331" s="18"/>
    </row>
    <row r="4332" spans="1:17">
      <c r="A4332" s="18"/>
      <c r="B4332" s="18"/>
      <c r="C4332" s="18"/>
      <c r="D4332" s="18"/>
      <c r="E4332" s="18"/>
      <c r="F4332" s="18"/>
      <c r="G4332" s="18"/>
      <c r="H4332" s="18"/>
      <c r="I4332" s="18"/>
      <c r="J4332" s="18"/>
      <c r="K4332" s="18"/>
      <c r="L4332" s="18"/>
      <c r="M4332" s="18"/>
      <c r="N4332" s="18"/>
      <c r="O4332" s="18"/>
      <c r="P4332" s="18"/>
      <c r="Q4332" s="18"/>
    </row>
    <row r="4333" spans="1:17">
      <c r="A4333" s="18"/>
      <c r="B4333" s="18"/>
      <c r="C4333" s="18"/>
      <c r="D4333" s="18"/>
      <c r="E4333" s="18"/>
      <c r="F4333" s="18"/>
      <c r="G4333" s="18"/>
      <c r="H4333" s="18"/>
      <c r="I4333" s="18"/>
      <c r="J4333" s="18"/>
      <c r="K4333" s="18"/>
      <c r="L4333" s="18"/>
      <c r="M4333" s="18"/>
      <c r="N4333" s="18"/>
      <c r="O4333" s="18"/>
      <c r="P4333" s="18"/>
      <c r="Q4333" s="18"/>
    </row>
    <row r="4334" spans="1:17">
      <c r="A4334" s="18"/>
      <c r="B4334" s="18"/>
      <c r="C4334" s="18"/>
      <c r="D4334" s="18"/>
      <c r="E4334" s="18"/>
      <c r="F4334" s="18"/>
      <c r="G4334" s="18"/>
      <c r="H4334" s="18"/>
      <c r="I4334" s="18"/>
      <c r="J4334" s="18"/>
      <c r="K4334" s="18"/>
      <c r="L4334" s="18"/>
      <c r="M4334" s="18"/>
      <c r="N4334" s="18"/>
      <c r="O4334" s="18"/>
      <c r="P4334" s="18"/>
      <c r="Q4334" s="18"/>
    </row>
    <row r="4335" spans="1:17">
      <c r="A4335" s="18"/>
      <c r="B4335" s="18"/>
      <c r="C4335" s="18"/>
      <c r="D4335" s="18"/>
      <c r="E4335" s="18"/>
      <c r="F4335" s="18"/>
      <c r="G4335" s="18"/>
      <c r="H4335" s="18"/>
      <c r="I4335" s="18"/>
      <c r="J4335" s="18"/>
      <c r="K4335" s="18"/>
      <c r="L4335" s="18"/>
      <c r="M4335" s="18"/>
      <c r="N4335" s="18"/>
      <c r="O4335" s="18"/>
      <c r="P4335" s="18"/>
      <c r="Q4335" s="18"/>
    </row>
    <row r="4336" spans="1:17">
      <c r="A4336" s="18"/>
      <c r="B4336" s="18"/>
      <c r="C4336" s="18"/>
      <c r="D4336" s="18"/>
      <c r="E4336" s="18"/>
      <c r="F4336" s="18"/>
      <c r="G4336" s="18"/>
      <c r="H4336" s="18"/>
      <c r="I4336" s="18"/>
      <c r="J4336" s="18"/>
      <c r="K4336" s="18"/>
      <c r="L4336" s="18"/>
      <c r="M4336" s="18"/>
      <c r="N4336" s="18"/>
      <c r="O4336" s="18"/>
      <c r="P4336" s="18"/>
      <c r="Q4336" s="18"/>
    </row>
    <row r="4337" spans="1:17">
      <c r="A4337" s="18"/>
      <c r="B4337" s="18"/>
      <c r="C4337" s="18"/>
      <c r="D4337" s="18"/>
      <c r="E4337" s="18"/>
      <c r="F4337" s="18"/>
      <c r="G4337" s="18"/>
      <c r="H4337" s="18"/>
      <c r="I4337" s="18"/>
      <c r="J4337" s="18"/>
      <c r="K4337" s="18"/>
      <c r="L4337" s="18"/>
      <c r="M4337" s="18"/>
      <c r="N4337" s="18"/>
      <c r="O4337" s="18"/>
      <c r="P4337" s="18"/>
      <c r="Q4337" s="18"/>
    </row>
    <row r="4338" spans="1:17">
      <c r="A4338" s="18"/>
      <c r="B4338" s="18"/>
      <c r="C4338" s="18"/>
      <c r="D4338" s="18"/>
      <c r="E4338" s="18"/>
      <c r="F4338" s="18"/>
      <c r="G4338" s="18"/>
      <c r="H4338" s="18"/>
      <c r="I4338" s="18"/>
      <c r="J4338" s="18"/>
      <c r="K4338" s="18"/>
      <c r="L4338" s="18"/>
      <c r="M4338" s="18"/>
      <c r="N4338" s="18"/>
      <c r="O4338" s="18"/>
      <c r="P4338" s="18"/>
      <c r="Q4338" s="18"/>
    </row>
    <row r="4339" spans="1:17">
      <c r="A4339" s="18"/>
      <c r="B4339" s="18"/>
      <c r="C4339" s="18"/>
      <c r="D4339" s="18"/>
      <c r="E4339" s="18"/>
      <c r="F4339" s="18"/>
      <c r="G4339" s="18"/>
      <c r="H4339" s="18"/>
      <c r="I4339" s="18"/>
      <c r="J4339" s="18"/>
      <c r="K4339" s="18"/>
      <c r="L4339" s="18"/>
      <c r="M4339" s="18"/>
      <c r="N4339" s="18"/>
      <c r="O4339" s="18"/>
      <c r="P4339" s="18"/>
      <c r="Q4339" s="18"/>
    </row>
    <row r="4340" spans="1:17">
      <c r="A4340" s="18"/>
      <c r="B4340" s="18"/>
      <c r="C4340" s="18"/>
      <c r="D4340" s="18"/>
      <c r="E4340" s="18"/>
      <c r="F4340" s="18"/>
      <c r="G4340" s="18"/>
      <c r="H4340" s="18"/>
      <c r="I4340" s="18"/>
      <c r="J4340" s="18"/>
      <c r="K4340" s="18"/>
      <c r="L4340" s="18"/>
      <c r="M4340" s="18"/>
      <c r="N4340" s="18"/>
      <c r="O4340" s="18"/>
      <c r="P4340" s="18"/>
      <c r="Q4340" s="18"/>
    </row>
    <row r="4341" spans="1:17">
      <c r="A4341" s="18"/>
      <c r="B4341" s="18"/>
      <c r="C4341" s="18"/>
      <c r="D4341" s="18"/>
      <c r="E4341" s="18"/>
      <c r="F4341" s="18"/>
      <c r="G4341" s="18"/>
      <c r="H4341" s="18"/>
      <c r="I4341" s="18"/>
      <c r="J4341" s="18"/>
      <c r="K4341" s="18"/>
      <c r="L4341" s="18"/>
      <c r="M4341" s="18"/>
      <c r="N4341" s="18"/>
      <c r="O4341" s="18"/>
      <c r="P4341" s="18"/>
      <c r="Q4341" s="18"/>
    </row>
    <row r="4342" spans="1:17">
      <c r="A4342" s="18"/>
      <c r="B4342" s="18"/>
      <c r="C4342" s="18"/>
      <c r="D4342" s="18"/>
      <c r="E4342" s="18"/>
      <c r="F4342" s="18"/>
      <c r="G4342" s="18"/>
      <c r="H4342" s="18"/>
      <c r="I4342" s="18"/>
      <c r="J4342" s="18"/>
      <c r="K4342" s="18"/>
      <c r="L4342" s="18"/>
      <c r="M4342" s="18"/>
      <c r="N4342" s="18"/>
      <c r="O4342" s="18"/>
      <c r="P4342" s="18"/>
      <c r="Q4342" s="18"/>
    </row>
    <row r="4343" spans="1:17">
      <c r="A4343" s="18"/>
      <c r="B4343" s="18"/>
      <c r="C4343" s="18"/>
      <c r="D4343" s="18"/>
      <c r="E4343" s="18"/>
      <c r="F4343" s="18"/>
      <c r="G4343" s="18"/>
      <c r="H4343" s="18"/>
      <c r="I4343" s="18"/>
      <c r="J4343" s="18"/>
      <c r="K4343" s="18"/>
      <c r="L4343" s="18"/>
      <c r="M4343" s="18"/>
      <c r="N4343" s="18"/>
      <c r="O4343" s="18"/>
      <c r="P4343" s="18"/>
      <c r="Q4343" s="18"/>
    </row>
    <row r="4344" spans="1:17">
      <c r="A4344" s="18"/>
      <c r="B4344" s="18"/>
      <c r="C4344" s="18"/>
      <c r="D4344" s="18"/>
      <c r="E4344" s="18"/>
      <c r="F4344" s="18"/>
      <c r="G4344" s="18"/>
      <c r="H4344" s="18"/>
      <c r="I4344" s="18"/>
      <c r="J4344" s="18"/>
      <c r="K4344" s="18"/>
      <c r="L4344" s="18"/>
      <c r="M4344" s="18"/>
      <c r="N4344" s="18"/>
      <c r="O4344" s="18"/>
      <c r="P4344" s="18"/>
      <c r="Q4344" s="18"/>
    </row>
    <row r="4345" spans="1:17">
      <c r="A4345" s="18"/>
      <c r="B4345" s="18"/>
      <c r="C4345" s="18"/>
      <c r="D4345" s="18"/>
      <c r="E4345" s="18"/>
      <c r="F4345" s="18"/>
      <c r="G4345" s="18"/>
      <c r="H4345" s="18"/>
      <c r="I4345" s="18"/>
      <c r="J4345" s="18"/>
      <c r="K4345" s="18"/>
      <c r="L4345" s="18"/>
      <c r="M4345" s="18"/>
      <c r="N4345" s="18"/>
      <c r="O4345" s="18"/>
      <c r="P4345" s="18"/>
      <c r="Q4345" s="18"/>
    </row>
    <row r="4346" spans="1:17">
      <c r="A4346" s="18"/>
      <c r="B4346" s="18"/>
      <c r="C4346" s="18"/>
      <c r="D4346" s="18"/>
      <c r="E4346" s="18"/>
      <c r="F4346" s="18"/>
      <c r="G4346" s="18"/>
      <c r="H4346" s="18"/>
      <c r="I4346" s="18"/>
      <c r="J4346" s="18"/>
      <c r="K4346" s="18"/>
      <c r="L4346" s="18"/>
      <c r="M4346" s="18"/>
      <c r="N4346" s="18"/>
      <c r="O4346" s="18"/>
      <c r="P4346" s="18"/>
      <c r="Q4346" s="18"/>
    </row>
    <row r="4347" spans="1:17">
      <c r="A4347" s="18"/>
      <c r="B4347" s="18"/>
      <c r="C4347" s="18"/>
      <c r="D4347" s="18"/>
      <c r="E4347" s="18"/>
      <c r="F4347" s="18"/>
      <c r="G4347" s="18"/>
      <c r="H4347" s="18"/>
      <c r="I4347" s="18"/>
      <c r="J4347" s="18"/>
      <c r="K4347" s="18"/>
      <c r="L4347" s="18"/>
      <c r="M4347" s="18"/>
      <c r="N4347" s="18"/>
      <c r="O4347" s="18"/>
      <c r="P4347" s="18"/>
      <c r="Q4347" s="18"/>
    </row>
    <row r="4348" spans="1:17">
      <c r="A4348" s="18"/>
      <c r="B4348" s="18"/>
      <c r="C4348" s="18"/>
      <c r="D4348" s="18"/>
      <c r="E4348" s="18"/>
      <c r="F4348" s="18"/>
      <c r="G4348" s="18"/>
      <c r="H4348" s="18"/>
      <c r="I4348" s="18"/>
      <c r="J4348" s="18"/>
      <c r="K4348" s="18"/>
      <c r="L4348" s="18"/>
      <c r="M4348" s="18"/>
      <c r="N4348" s="18"/>
      <c r="O4348" s="18"/>
      <c r="P4348" s="18"/>
      <c r="Q4348" s="18"/>
    </row>
    <row r="4349" spans="1:17">
      <c r="A4349" s="18"/>
      <c r="B4349" s="18"/>
      <c r="C4349" s="18"/>
      <c r="D4349" s="18"/>
      <c r="E4349" s="18"/>
      <c r="F4349" s="18"/>
      <c r="G4349" s="18"/>
      <c r="H4349" s="18"/>
      <c r="I4349" s="18"/>
      <c r="J4349" s="18"/>
      <c r="K4349" s="18"/>
      <c r="L4349" s="18"/>
      <c r="M4349" s="18"/>
      <c r="N4349" s="18"/>
      <c r="O4349" s="18"/>
      <c r="P4349" s="18"/>
      <c r="Q4349" s="18"/>
    </row>
    <row r="4350" spans="1:17">
      <c r="A4350" s="18"/>
      <c r="B4350" s="18"/>
      <c r="C4350" s="18"/>
      <c r="D4350" s="18"/>
      <c r="E4350" s="18"/>
      <c r="F4350" s="18"/>
      <c r="G4350" s="18"/>
      <c r="H4350" s="18"/>
      <c r="I4350" s="18"/>
      <c r="J4350" s="18"/>
      <c r="K4350" s="18"/>
      <c r="L4350" s="18"/>
      <c r="M4350" s="18"/>
      <c r="N4350" s="18"/>
      <c r="O4350" s="18"/>
      <c r="P4350" s="18"/>
      <c r="Q4350" s="18"/>
    </row>
    <row r="4351" spans="1:17">
      <c r="A4351" s="18"/>
      <c r="B4351" s="18"/>
      <c r="C4351" s="18"/>
      <c r="D4351" s="18"/>
      <c r="E4351" s="18"/>
      <c r="F4351" s="18"/>
      <c r="G4351" s="18"/>
      <c r="H4351" s="18"/>
      <c r="I4351" s="18"/>
      <c r="J4351" s="18"/>
      <c r="K4351" s="18"/>
      <c r="L4351" s="18"/>
      <c r="M4351" s="18"/>
      <c r="N4351" s="18"/>
      <c r="O4351" s="18"/>
      <c r="P4351" s="18"/>
      <c r="Q4351" s="18"/>
    </row>
    <row r="4352" spans="1:17">
      <c r="A4352" s="18"/>
      <c r="B4352" s="18"/>
      <c r="C4352" s="18"/>
      <c r="D4352" s="18"/>
      <c r="E4352" s="18"/>
      <c r="F4352" s="18"/>
      <c r="G4352" s="18"/>
      <c r="H4352" s="18"/>
      <c r="I4352" s="18"/>
      <c r="J4352" s="18"/>
      <c r="K4352" s="18"/>
      <c r="L4352" s="18"/>
      <c r="M4352" s="18"/>
      <c r="N4352" s="18"/>
      <c r="O4352" s="18"/>
      <c r="P4352" s="18"/>
      <c r="Q4352" s="18"/>
    </row>
    <row r="4353" spans="1:17">
      <c r="A4353" s="18"/>
      <c r="B4353" s="18"/>
      <c r="C4353" s="18"/>
      <c r="D4353" s="18"/>
      <c r="E4353" s="18"/>
      <c r="F4353" s="18"/>
      <c r="G4353" s="18"/>
      <c r="H4353" s="18"/>
      <c r="I4353" s="18"/>
      <c r="J4353" s="18"/>
      <c r="K4353" s="18"/>
      <c r="L4353" s="18"/>
      <c r="M4353" s="18"/>
      <c r="N4353" s="18"/>
      <c r="O4353" s="18"/>
      <c r="P4353" s="18"/>
      <c r="Q4353" s="18"/>
    </row>
    <row r="4354" spans="1:17">
      <c r="A4354" s="18"/>
      <c r="B4354" s="18"/>
      <c r="C4354" s="18"/>
      <c r="D4354" s="18"/>
      <c r="E4354" s="18"/>
      <c r="F4354" s="18"/>
      <c r="G4354" s="18"/>
      <c r="H4354" s="18"/>
      <c r="I4354" s="18"/>
      <c r="J4354" s="18"/>
      <c r="K4354" s="18"/>
      <c r="L4354" s="18"/>
      <c r="M4354" s="18"/>
      <c r="N4354" s="18"/>
      <c r="O4354" s="18"/>
      <c r="P4354" s="18"/>
      <c r="Q4354" s="18"/>
    </row>
    <row r="4355" spans="1:17">
      <c r="A4355" s="18"/>
      <c r="B4355" s="18"/>
      <c r="C4355" s="18"/>
      <c r="D4355" s="18"/>
      <c r="E4355" s="18"/>
      <c r="F4355" s="18"/>
      <c r="G4355" s="18"/>
      <c r="H4355" s="18"/>
      <c r="I4355" s="18"/>
      <c r="J4355" s="18"/>
      <c r="K4355" s="18"/>
      <c r="L4355" s="18"/>
      <c r="M4355" s="18"/>
      <c r="N4355" s="18"/>
      <c r="O4355" s="18"/>
      <c r="P4355" s="18"/>
      <c r="Q4355" s="18"/>
    </row>
    <row r="4356" spans="1:17">
      <c r="A4356" s="18"/>
      <c r="B4356" s="18"/>
      <c r="C4356" s="18"/>
      <c r="D4356" s="18"/>
      <c r="E4356" s="18"/>
      <c r="F4356" s="18"/>
      <c r="G4356" s="18"/>
      <c r="H4356" s="18"/>
      <c r="I4356" s="18"/>
      <c r="J4356" s="18"/>
      <c r="K4356" s="18"/>
      <c r="L4356" s="18"/>
      <c r="M4356" s="18"/>
      <c r="N4356" s="18"/>
      <c r="O4356" s="18"/>
      <c r="P4356" s="18"/>
      <c r="Q4356" s="18"/>
    </row>
    <row r="4357" spans="1:17">
      <c r="A4357" s="18"/>
      <c r="B4357" s="18"/>
      <c r="C4357" s="18"/>
      <c r="D4357" s="18"/>
      <c r="E4357" s="18"/>
      <c r="F4357" s="18"/>
      <c r="G4357" s="18"/>
      <c r="H4357" s="18"/>
      <c r="I4357" s="18"/>
      <c r="J4357" s="18"/>
      <c r="K4357" s="18"/>
      <c r="L4357" s="18"/>
      <c r="M4357" s="18"/>
      <c r="N4357" s="18"/>
      <c r="O4357" s="18"/>
      <c r="P4357" s="18"/>
      <c r="Q4357" s="18"/>
    </row>
    <row r="4358" spans="1:17">
      <c r="A4358" s="18"/>
      <c r="B4358" s="18"/>
      <c r="C4358" s="18"/>
      <c r="D4358" s="18"/>
      <c r="E4358" s="18"/>
      <c r="F4358" s="18"/>
      <c r="G4358" s="18"/>
      <c r="H4358" s="18"/>
      <c r="I4358" s="18"/>
      <c r="J4358" s="18"/>
      <c r="K4358" s="18"/>
      <c r="L4358" s="18"/>
      <c r="M4358" s="18"/>
      <c r="N4358" s="18"/>
      <c r="O4358" s="18"/>
      <c r="P4358" s="18"/>
      <c r="Q4358" s="18"/>
    </row>
    <row r="4359" spans="1:17">
      <c r="A4359" s="18"/>
      <c r="B4359" s="18"/>
      <c r="C4359" s="18"/>
      <c r="D4359" s="18"/>
      <c r="E4359" s="18"/>
      <c r="F4359" s="18"/>
      <c r="G4359" s="18"/>
      <c r="H4359" s="18"/>
      <c r="I4359" s="18"/>
      <c r="J4359" s="18"/>
      <c r="K4359" s="18"/>
      <c r="L4359" s="18"/>
      <c r="M4359" s="18"/>
      <c r="N4359" s="18"/>
      <c r="O4359" s="18"/>
      <c r="P4359" s="18"/>
      <c r="Q4359" s="18"/>
    </row>
    <row r="4360" spans="1:17">
      <c r="A4360" s="18"/>
      <c r="B4360" s="18"/>
      <c r="C4360" s="18"/>
      <c r="D4360" s="18"/>
      <c r="E4360" s="18"/>
      <c r="F4360" s="18"/>
      <c r="G4360" s="18"/>
      <c r="H4360" s="18"/>
      <c r="I4360" s="18"/>
      <c r="J4360" s="18"/>
      <c r="K4360" s="18"/>
      <c r="L4360" s="18"/>
      <c r="M4360" s="18"/>
      <c r="N4360" s="18"/>
      <c r="O4360" s="18"/>
      <c r="P4360" s="18"/>
      <c r="Q4360" s="18"/>
    </row>
    <row r="4361" spans="1:17">
      <c r="A4361" s="18"/>
      <c r="B4361" s="18"/>
      <c r="C4361" s="18"/>
      <c r="D4361" s="18"/>
      <c r="E4361" s="18"/>
      <c r="F4361" s="18"/>
      <c r="G4361" s="18"/>
      <c r="H4361" s="18"/>
      <c r="I4361" s="18"/>
      <c r="J4361" s="18"/>
      <c r="K4361" s="18"/>
      <c r="L4361" s="18"/>
      <c r="M4361" s="18"/>
      <c r="N4361" s="18"/>
      <c r="O4361" s="18"/>
      <c r="P4361" s="18"/>
      <c r="Q4361" s="18"/>
    </row>
    <row r="4362" spans="1:17">
      <c r="A4362" s="18"/>
      <c r="B4362" s="18"/>
      <c r="C4362" s="18"/>
      <c r="D4362" s="18"/>
      <c r="E4362" s="18"/>
      <c r="F4362" s="18"/>
      <c r="G4362" s="18"/>
      <c r="H4362" s="18"/>
      <c r="I4362" s="18"/>
      <c r="J4362" s="18"/>
      <c r="K4362" s="18"/>
      <c r="L4362" s="18"/>
      <c r="M4362" s="18"/>
      <c r="N4362" s="18"/>
      <c r="O4362" s="18"/>
      <c r="P4362" s="18"/>
      <c r="Q4362" s="18"/>
    </row>
    <row r="4363" spans="1:17">
      <c r="A4363" s="18"/>
      <c r="B4363" s="18"/>
      <c r="C4363" s="18"/>
      <c r="D4363" s="18"/>
      <c r="E4363" s="18"/>
      <c r="F4363" s="18"/>
      <c r="G4363" s="18"/>
      <c r="H4363" s="18"/>
      <c r="I4363" s="18"/>
      <c r="J4363" s="18"/>
      <c r="K4363" s="18"/>
      <c r="L4363" s="18"/>
      <c r="M4363" s="18"/>
      <c r="N4363" s="18"/>
      <c r="O4363" s="18"/>
      <c r="P4363" s="18"/>
      <c r="Q4363" s="18"/>
    </row>
    <row r="4364" spans="1:17">
      <c r="A4364" s="18"/>
      <c r="B4364" s="18"/>
      <c r="C4364" s="18"/>
      <c r="D4364" s="18"/>
      <c r="E4364" s="18"/>
      <c r="F4364" s="18"/>
      <c r="G4364" s="18"/>
      <c r="H4364" s="18"/>
      <c r="I4364" s="18"/>
      <c r="J4364" s="18"/>
      <c r="K4364" s="18"/>
      <c r="L4364" s="18"/>
      <c r="M4364" s="18"/>
      <c r="N4364" s="18"/>
      <c r="O4364" s="18"/>
      <c r="P4364" s="18"/>
      <c r="Q4364" s="18"/>
    </row>
    <row r="4365" spans="1:17">
      <c r="A4365" s="18"/>
      <c r="B4365" s="18"/>
      <c r="C4365" s="18"/>
      <c r="D4365" s="18"/>
      <c r="E4365" s="18"/>
      <c r="F4365" s="18"/>
      <c r="G4365" s="18"/>
      <c r="H4365" s="18"/>
      <c r="I4365" s="18"/>
      <c r="J4365" s="18"/>
      <c r="K4365" s="18"/>
      <c r="L4365" s="18"/>
      <c r="M4365" s="18"/>
      <c r="N4365" s="18"/>
      <c r="O4365" s="18"/>
      <c r="P4365" s="18"/>
      <c r="Q4365" s="18"/>
    </row>
    <row r="4366" spans="1:17">
      <c r="A4366" s="18"/>
      <c r="B4366" s="18"/>
      <c r="C4366" s="18"/>
      <c r="D4366" s="18"/>
      <c r="E4366" s="18"/>
      <c r="F4366" s="18"/>
      <c r="G4366" s="18"/>
      <c r="H4366" s="18"/>
      <c r="I4366" s="18"/>
      <c r="J4366" s="18"/>
      <c r="K4366" s="18"/>
      <c r="L4366" s="18"/>
      <c r="M4366" s="18"/>
      <c r="N4366" s="18"/>
      <c r="O4366" s="18"/>
      <c r="P4366" s="18"/>
      <c r="Q4366" s="18"/>
    </row>
    <row r="4367" spans="1:17">
      <c r="A4367" s="18"/>
      <c r="B4367" s="18"/>
      <c r="C4367" s="18"/>
      <c r="D4367" s="18"/>
      <c r="E4367" s="18"/>
      <c r="F4367" s="18"/>
      <c r="G4367" s="18"/>
      <c r="H4367" s="18"/>
      <c r="I4367" s="18"/>
      <c r="J4367" s="18"/>
      <c r="K4367" s="18"/>
      <c r="L4367" s="18"/>
      <c r="M4367" s="18"/>
      <c r="N4367" s="18"/>
      <c r="O4367" s="18"/>
      <c r="P4367" s="18"/>
      <c r="Q4367" s="18"/>
    </row>
    <row r="4368" spans="1:17">
      <c r="A4368" s="18"/>
      <c r="B4368" s="18"/>
      <c r="C4368" s="18"/>
      <c r="D4368" s="18"/>
      <c r="E4368" s="18"/>
      <c r="F4368" s="18"/>
      <c r="G4368" s="18"/>
      <c r="H4368" s="18"/>
      <c r="I4368" s="18"/>
      <c r="J4368" s="18"/>
      <c r="K4368" s="18"/>
      <c r="L4368" s="18"/>
      <c r="M4368" s="18"/>
      <c r="N4368" s="18"/>
      <c r="O4368" s="18"/>
      <c r="P4368" s="18"/>
      <c r="Q4368" s="18"/>
    </row>
    <row r="4369" spans="1:17">
      <c r="A4369" s="18"/>
      <c r="B4369" s="18"/>
      <c r="C4369" s="18"/>
      <c r="D4369" s="18"/>
      <c r="E4369" s="18"/>
      <c r="F4369" s="18"/>
      <c r="G4369" s="18"/>
      <c r="H4369" s="18"/>
      <c r="I4369" s="18"/>
      <c r="J4369" s="18"/>
      <c r="K4369" s="18"/>
      <c r="L4369" s="18"/>
      <c r="M4369" s="18"/>
      <c r="N4369" s="18"/>
      <c r="O4369" s="18"/>
      <c r="P4369" s="18"/>
      <c r="Q4369" s="18"/>
    </row>
    <row r="4370" spans="1:17">
      <c r="A4370" s="18"/>
      <c r="B4370" s="18"/>
      <c r="C4370" s="18"/>
      <c r="D4370" s="18"/>
      <c r="E4370" s="18"/>
      <c r="F4370" s="18"/>
      <c r="G4370" s="18"/>
      <c r="H4370" s="18"/>
      <c r="I4370" s="18"/>
      <c r="J4370" s="18"/>
      <c r="K4370" s="18"/>
      <c r="L4370" s="18"/>
      <c r="M4370" s="18"/>
      <c r="N4370" s="18"/>
      <c r="O4370" s="18"/>
      <c r="P4370" s="18"/>
      <c r="Q4370" s="18"/>
    </row>
    <row r="4371" spans="1:17">
      <c r="A4371" s="18"/>
      <c r="B4371" s="18"/>
      <c r="C4371" s="18"/>
      <c r="D4371" s="18"/>
      <c r="E4371" s="18"/>
      <c r="F4371" s="18"/>
      <c r="G4371" s="18"/>
      <c r="H4371" s="18"/>
      <c r="I4371" s="18"/>
      <c r="J4371" s="18"/>
      <c r="K4371" s="18"/>
      <c r="L4371" s="18"/>
      <c r="M4371" s="18"/>
      <c r="N4371" s="18"/>
      <c r="O4371" s="18"/>
      <c r="P4371" s="18"/>
      <c r="Q4371" s="18"/>
    </row>
    <row r="4372" spans="1:17">
      <c r="A4372" s="18"/>
      <c r="B4372" s="18"/>
      <c r="C4372" s="18"/>
      <c r="D4372" s="18"/>
      <c r="E4372" s="18"/>
      <c r="F4372" s="18"/>
      <c r="G4372" s="18"/>
      <c r="H4372" s="18"/>
      <c r="I4372" s="18"/>
      <c r="J4372" s="18"/>
      <c r="K4372" s="18"/>
      <c r="L4372" s="18"/>
      <c r="M4372" s="18"/>
      <c r="N4372" s="18"/>
      <c r="O4372" s="18"/>
      <c r="P4372" s="18"/>
      <c r="Q4372" s="18"/>
    </row>
    <row r="4373" spans="1:17">
      <c r="A4373" s="18"/>
      <c r="B4373" s="18"/>
      <c r="C4373" s="18"/>
      <c r="D4373" s="18"/>
      <c r="E4373" s="18"/>
      <c r="F4373" s="18"/>
      <c r="G4373" s="18"/>
      <c r="H4373" s="18"/>
      <c r="I4373" s="18"/>
      <c r="J4373" s="18"/>
      <c r="K4373" s="18"/>
      <c r="L4373" s="18"/>
      <c r="M4373" s="18"/>
      <c r="N4373" s="18"/>
      <c r="O4373" s="18"/>
      <c r="P4373" s="18"/>
      <c r="Q4373" s="18"/>
    </row>
    <row r="4374" spans="1:17">
      <c r="A4374" s="18"/>
      <c r="B4374" s="18"/>
      <c r="C4374" s="18"/>
      <c r="D4374" s="18"/>
      <c r="E4374" s="18"/>
      <c r="F4374" s="18"/>
      <c r="G4374" s="18"/>
      <c r="H4374" s="18"/>
      <c r="I4374" s="18"/>
      <c r="J4374" s="18"/>
      <c r="K4374" s="18"/>
      <c r="L4374" s="18"/>
      <c r="M4374" s="18"/>
      <c r="N4374" s="18"/>
      <c r="O4374" s="18"/>
      <c r="P4374" s="18"/>
      <c r="Q4374" s="18"/>
    </row>
    <row r="4375" spans="1:17">
      <c r="A4375" s="18"/>
      <c r="B4375" s="18"/>
      <c r="C4375" s="18"/>
      <c r="D4375" s="18"/>
      <c r="E4375" s="18"/>
      <c r="F4375" s="18"/>
      <c r="G4375" s="18"/>
      <c r="H4375" s="18"/>
      <c r="I4375" s="18"/>
      <c r="J4375" s="18"/>
      <c r="K4375" s="18"/>
      <c r="L4375" s="18"/>
      <c r="M4375" s="18"/>
      <c r="N4375" s="18"/>
      <c r="O4375" s="18"/>
      <c r="P4375" s="18"/>
      <c r="Q4375" s="18"/>
    </row>
    <row r="4376" spans="1:17">
      <c r="A4376" s="18"/>
      <c r="B4376" s="18"/>
      <c r="C4376" s="18"/>
      <c r="D4376" s="18"/>
      <c r="E4376" s="18"/>
      <c r="F4376" s="18"/>
      <c r="G4376" s="18"/>
      <c r="H4376" s="18"/>
      <c r="I4376" s="18"/>
      <c r="J4376" s="18"/>
      <c r="K4376" s="18"/>
      <c r="L4376" s="18"/>
      <c r="M4376" s="18"/>
      <c r="N4376" s="18"/>
      <c r="O4376" s="18"/>
      <c r="P4376" s="18"/>
      <c r="Q4376" s="18"/>
    </row>
    <row r="4377" spans="1:17">
      <c r="A4377" s="18"/>
      <c r="B4377" s="18"/>
      <c r="C4377" s="18"/>
      <c r="D4377" s="18"/>
      <c r="E4377" s="18"/>
      <c r="F4377" s="18"/>
      <c r="G4377" s="18"/>
      <c r="H4377" s="18"/>
      <c r="I4377" s="18"/>
      <c r="J4377" s="18"/>
      <c r="K4377" s="18"/>
      <c r="L4377" s="18"/>
      <c r="M4377" s="18"/>
      <c r="N4377" s="18"/>
      <c r="O4377" s="18"/>
      <c r="P4377" s="18"/>
      <c r="Q4377" s="18"/>
    </row>
    <row r="4378" spans="1:17">
      <c r="A4378" s="18"/>
      <c r="B4378" s="18"/>
      <c r="C4378" s="18"/>
      <c r="D4378" s="18"/>
      <c r="E4378" s="18"/>
      <c r="F4378" s="18"/>
      <c r="G4378" s="18"/>
      <c r="H4378" s="18"/>
      <c r="I4378" s="18"/>
      <c r="J4378" s="18"/>
      <c r="K4378" s="18"/>
      <c r="L4378" s="18"/>
      <c r="M4378" s="18"/>
      <c r="N4378" s="18"/>
      <c r="O4378" s="18"/>
      <c r="P4378" s="18"/>
      <c r="Q4378" s="18"/>
    </row>
    <row r="4379" spans="1:17">
      <c r="A4379" s="18"/>
      <c r="B4379" s="18"/>
      <c r="C4379" s="18"/>
      <c r="D4379" s="18"/>
      <c r="E4379" s="18"/>
      <c r="F4379" s="18"/>
      <c r="G4379" s="18"/>
      <c r="H4379" s="18"/>
      <c r="I4379" s="18"/>
      <c r="J4379" s="18"/>
      <c r="K4379" s="18"/>
      <c r="L4379" s="18"/>
      <c r="M4379" s="18"/>
      <c r="N4379" s="18"/>
      <c r="O4379" s="18"/>
      <c r="P4379" s="18"/>
      <c r="Q4379" s="18"/>
    </row>
    <row r="4380" spans="1:17">
      <c r="A4380" s="18"/>
      <c r="B4380" s="18"/>
      <c r="C4380" s="18"/>
      <c r="D4380" s="18"/>
      <c r="E4380" s="18"/>
      <c r="F4380" s="18"/>
      <c r="G4380" s="18"/>
      <c r="H4380" s="18"/>
      <c r="I4380" s="18"/>
      <c r="J4380" s="18"/>
      <c r="K4380" s="18"/>
      <c r="L4380" s="18"/>
      <c r="M4380" s="18"/>
      <c r="N4380" s="18"/>
      <c r="O4380" s="18"/>
      <c r="P4380" s="18"/>
      <c r="Q4380" s="18"/>
    </row>
    <row r="4381" spans="1:17">
      <c r="A4381" s="18"/>
      <c r="B4381" s="18"/>
      <c r="C4381" s="18"/>
      <c r="D4381" s="18"/>
      <c r="E4381" s="18"/>
      <c r="F4381" s="18"/>
      <c r="G4381" s="18"/>
      <c r="H4381" s="18"/>
      <c r="I4381" s="18"/>
      <c r="J4381" s="18"/>
      <c r="K4381" s="18"/>
      <c r="L4381" s="18"/>
      <c r="M4381" s="18"/>
      <c r="N4381" s="18"/>
      <c r="O4381" s="18"/>
      <c r="P4381" s="18"/>
      <c r="Q4381" s="18"/>
    </row>
    <row r="4382" spans="1:17">
      <c r="A4382" s="18"/>
      <c r="B4382" s="18"/>
      <c r="C4382" s="18"/>
      <c r="D4382" s="18"/>
      <c r="E4382" s="18"/>
      <c r="F4382" s="18"/>
      <c r="G4382" s="18"/>
      <c r="H4382" s="18"/>
      <c r="I4382" s="18"/>
      <c r="J4382" s="18"/>
      <c r="K4382" s="18"/>
      <c r="L4382" s="18"/>
      <c r="M4382" s="18"/>
      <c r="N4382" s="18"/>
      <c r="O4382" s="18"/>
      <c r="P4382" s="18"/>
      <c r="Q4382" s="18"/>
    </row>
    <row r="4383" spans="1:17">
      <c r="A4383" s="18"/>
      <c r="B4383" s="18"/>
      <c r="C4383" s="18"/>
      <c r="D4383" s="18"/>
      <c r="E4383" s="18"/>
      <c r="F4383" s="18"/>
      <c r="G4383" s="18"/>
      <c r="H4383" s="18"/>
      <c r="I4383" s="18"/>
      <c r="J4383" s="18"/>
      <c r="K4383" s="18"/>
      <c r="L4383" s="18"/>
      <c r="M4383" s="18"/>
      <c r="N4383" s="18"/>
      <c r="O4383" s="18"/>
      <c r="P4383" s="18"/>
      <c r="Q4383" s="18"/>
    </row>
    <row r="4384" spans="1:17">
      <c r="A4384" s="18"/>
      <c r="B4384" s="18"/>
      <c r="C4384" s="18"/>
      <c r="D4384" s="18"/>
      <c r="E4384" s="18"/>
      <c r="F4384" s="18"/>
      <c r="G4384" s="18"/>
      <c r="H4384" s="18"/>
      <c r="I4384" s="18"/>
      <c r="J4384" s="18"/>
      <c r="K4384" s="18"/>
      <c r="L4384" s="18"/>
      <c r="M4384" s="18"/>
      <c r="N4384" s="18"/>
      <c r="O4384" s="18"/>
      <c r="P4384" s="18"/>
      <c r="Q4384" s="18"/>
    </row>
    <row r="4385" spans="1:17">
      <c r="A4385" s="18"/>
      <c r="B4385" s="18"/>
      <c r="C4385" s="18"/>
      <c r="D4385" s="18"/>
      <c r="E4385" s="18"/>
      <c r="F4385" s="18"/>
      <c r="G4385" s="18"/>
      <c r="H4385" s="18"/>
      <c r="I4385" s="18"/>
      <c r="J4385" s="18"/>
      <c r="K4385" s="18"/>
      <c r="L4385" s="18"/>
      <c r="M4385" s="18"/>
      <c r="N4385" s="18"/>
      <c r="O4385" s="18"/>
      <c r="P4385" s="18"/>
      <c r="Q4385" s="18"/>
    </row>
    <row r="4386" spans="1:17">
      <c r="A4386" s="18"/>
      <c r="B4386" s="18"/>
      <c r="C4386" s="18"/>
      <c r="D4386" s="18"/>
      <c r="E4386" s="18"/>
      <c r="F4386" s="18"/>
      <c r="G4386" s="18"/>
      <c r="H4386" s="18"/>
      <c r="I4386" s="18"/>
      <c r="J4386" s="18"/>
      <c r="K4386" s="18"/>
      <c r="L4386" s="18"/>
      <c r="M4386" s="18"/>
      <c r="N4386" s="18"/>
      <c r="O4386" s="18"/>
      <c r="P4386" s="18"/>
      <c r="Q4386" s="18"/>
    </row>
    <row r="4387" spans="1:17">
      <c r="A4387" s="18"/>
      <c r="B4387" s="18"/>
      <c r="C4387" s="18"/>
      <c r="D4387" s="18"/>
      <c r="E4387" s="18"/>
      <c r="F4387" s="18"/>
      <c r="G4387" s="18"/>
      <c r="H4387" s="18"/>
      <c r="I4387" s="18"/>
      <c r="J4387" s="18"/>
      <c r="K4387" s="18"/>
      <c r="L4387" s="18"/>
      <c r="M4387" s="18"/>
      <c r="N4387" s="18"/>
      <c r="O4387" s="18"/>
      <c r="P4387" s="18"/>
      <c r="Q4387" s="18"/>
    </row>
    <row r="4388" spans="1:17">
      <c r="A4388" s="18"/>
      <c r="B4388" s="18"/>
      <c r="C4388" s="18"/>
      <c r="D4388" s="18"/>
      <c r="E4388" s="18"/>
      <c r="F4388" s="18"/>
      <c r="G4388" s="18"/>
      <c r="H4388" s="18"/>
      <c r="I4388" s="18"/>
      <c r="J4388" s="18"/>
      <c r="K4388" s="18"/>
      <c r="L4388" s="18"/>
      <c r="M4388" s="18"/>
      <c r="N4388" s="18"/>
      <c r="O4388" s="18"/>
      <c r="P4388" s="18"/>
      <c r="Q4388" s="18"/>
    </row>
    <row r="4389" spans="1:17">
      <c r="A4389" s="18"/>
      <c r="B4389" s="18"/>
      <c r="C4389" s="18"/>
      <c r="D4389" s="18"/>
      <c r="E4389" s="18"/>
      <c r="F4389" s="18"/>
      <c r="G4389" s="18"/>
      <c r="H4389" s="18"/>
      <c r="I4389" s="18"/>
      <c r="J4389" s="18"/>
      <c r="K4389" s="18"/>
      <c r="L4389" s="18"/>
      <c r="M4389" s="18"/>
      <c r="N4389" s="18"/>
      <c r="O4389" s="18"/>
      <c r="P4389" s="18"/>
      <c r="Q4389" s="18"/>
    </row>
    <row r="4390" spans="1:17">
      <c r="A4390" s="18"/>
      <c r="B4390" s="18"/>
      <c r="C4390" s="18"/>
      <c r="D4390" s="18"/>
      <c r="E4390" s="18"/>
      <c r="F4390" s="18"/>
      <c r="G4390" s="18"/>
      <c r="H4390" s="18"/>
      <c r="I4390" s="18"/>
      <c r="J4390" s="18"/>
      <c r="K4390" s="18"/>
      <c r="L4390" s="18"/>
      <c r="M4390" s="18"/>
      <c r="N4390" s="18"/>
      <c r="O4390" s="18"/>
      <c r="P4390" s="18"/>
      <c r="Q4390" s="18"/>
    </row>
    <row r="4391" spans="1:17">
      <c r="A4391" s="18"/>
      <c r="B4391" s="18"/>
      <c r="C4391" s="18"/>
      <c r="D4391" s="18"/>
      <c r="E4391" s="18"/>
      <c r="F4391" s="18"/>
      <c r="G4391" s="18"/>
      <c r="H4391" s="18"/>
      <c r="I4391" s="18"/>
      <c r="J4391" s="18"/>
      <c r="K4391" s="18"/>
      <c r="L4391" s="18"/>
      <c r="M4391" s="18"/>
      <c r="N4391" s="18"/>
      <c r="O4391" s="18"/>
      <c r="P4391" s="18"/>
      <c r="Q4391" s="18"/>
    </row>
    <row r="4392" spans="1:17">
      <c r="A4392" s="18"/>
      <c r="B4392" s="18"/>
      <c r="C4392" s="18"/>
      <c r="D4392" s="18"/>
      <c r="E4392" s="18"/>
      <c r="F4392" s="18"/>
      <c r="G4392" s="18"/>
      <c r="H4392" s="18"/>
      <c r="I4392" s="18"/>
      <c r="J4392" s="18"/>
      <c r="K4392" s="18"/>
      <c r="L4392" s="18"/>
      <c r="M4392" s="18"/>
      <c r="N4392" s="18"/>
      <c r="O4392" s="18"/>
      <c r="P4392" s="18"/>
      <c r="Q4392" s="18"/>
    </row>
    <row r="4393" spans="1:17">
      <c r="A4393" s="18"/>
      <c r="B4393" s="18"/>
      <c r="C4393" s="18"/>
      <c r="D4393" s="18"/>
      <c r="E4393" s="18"/>
      <c r="F4393" s="18"/>
      <c r="G4393" s="18"/>
      <c r="H4393" s="18"/>
      <c r="I4393" s="18"/>
      <c r="J4393" s="18"/>
      <c r="K4393" s="18"/>
      <c r="L4393" s="18"/>
      <c r="M4393" s="18"/>
      <c r="N4393" s="18"/>
      <c r="O4393" s="18"/>
      <c r="P4393" s="18"/>
      <c r="Q4393" s="18"/>
    </row>
    <row r="4394" spans="1:17">
      <c r="A4394" s="18"/>
      <c r="B4394" s="18"/>
      <c r="C4394" s="18"/>
      <c r="D4394" s="18"/>
      <c r="E4394" s="18"/>
      <c r="F4394" s="18"/>
      <c r="G4394" s="18"/>
      <c r="H4394" s="18"/>
      <c r="I4394" s="18"/>
      <c r="J4394" s="18"/>
      <c r="K4394" s="18"/>
      <c r="L4394" s="18"/>
      <c r="M4394" s="18"/>
      <c r="N4394" s="18"/>
      <c r="O4394" s="18"/>
      <c r="P4394" s="18"/>
      <c r="Q4394" s="18"/>
    </row>
    <row r="4395" spans="1:17">
      <c r="A4395" s="18"/>
      <c r="B4395" s="18"/>
      <c r="C4395" s="18"/>
      <c r="D4395" s="18"/>
      <c r="E4395" s="18"/>
      <c r="F4395" s="18"/>
      <c r="G4395" s="18"/>
      <c r="H4395" s="18"/>
      <c r="I4395" s="18"/>
      <c r="J4395" s="18"/>
      <c r="K4395" s="18"/>
      <c r="L4395" s="18"/>
      <c r="M4395" s="18"/>
      <c r="N4395" s="18"/>
      <c r="O4395" s="18"/>
      <c r="P4395" s="18"/>
      <c r="Q4395" s="18"/>
    </row>
    <row r="4396" spans="1:17">
      <c r="A4396" s="18"/>
      <c r="B4396" s="18"/>
      <c r="C4396" s="18"/>
      <c r="D4396" s="18"/>
      <c r="E4396" s="18"/>
      <c r="F4396" s="18"/>
      <c r="G4396" s="18"/>
      <c r="H4396" s="18"/>
      <c r="I4396" s="18"/>
      <c r="J4396" s="18"/>
      <c r="K4396" s="18"/>
      <c r="L4396" s="18"/>
      <c r="M4396" s="18"/>
      <c r="N4396" s="18"/>
      <c r="O4396" s="18"/>
      <c r="P4396" s="18"/>
      <c r="Q4396" s="18"/>
    </row>
    <row r="4397" spans="1:17">
      <c r="A4397" s="18"/>
      <c r="B4397" s="18"/>
      <c r="C4397" s="18"/>
      <c r="D4397" s="18"/>
      <c r="E4397" s="18"/>
      <c r="F4397" s="18"/>
      <c r="G4397" s="18"/>
      <c r="H4397" s="18"/>
      <c r="I4397" s="18"/>
      <c r="J4397" s="18"/>
      <c r="K4397" s="18"/>
      <c r="L4397" s="18"/>
      <c r="M4397" s="18"/>
      <c r="N4397" s="18"/>
      <c r="O4397" s="18"/>
      <c r="P4397" s="18"/>
      <c r="Q4397" s="18"/>
    </row>
    <row r="4398" spans="1:17">
      <c r="A4398" s="18"/>
      <c r="B4398" s="18"/>
      <c r="C4398" s="18"/>
      <c r="D4398" s="18"/>
      <c r="E4398" s="18"/>
      <c r="F4398" s="18"/>
      <c r="G4398" s="18"/>
      <c r="H4398" s="18"/>
      <c r="I4398" s="18"/>
      <c r="J4398" s="18"/>
      <c r="K4398" s="18"/>
      <c r="L4398" s="18"/>
      <c r="M4398" s="18"/>
      <c r="N4398" s="18"/>
      <c r="O4398" s="18"/>
      <c r="P4398" s="18"/>
      <c r="Q4398" s="18"/>
    </row>
    <row r="4399" spans="1:17">
      <c r="A4399" s="18"/>
      <c r="B4399" s="18"/>
      <c r="C4399" s="18"/>
      <c r="D4399" s="18"/>
      <c r="E4399" s="18"/>
      <c r="F4399" s="18"/>
      <c r="G4399" s="18"/>
      <c r="H4399" s="18"/>
      <c r="I4399" s="18"/>
      <c r="J4399" s="18"/>
      <c r="K4399" s="18"/>
      <c r="L4399" s="18"/>
      <c r="M4399" s="18"/>
      <c r="N4399" s="18"/>
      <c r="O4399" s="18"/>
      <c r="P4399" s="18"/>
      <c r="Q4399" s="18"/>
    </row>
    <row r="4400" spans="1:17">
      <c r="A4400" s="18"/>
      <c r="B4400" s="18"/>
      <c r="C4400" s="18"/>
      <c r="D4400" s="18"/>
      <c r="E4400" s="18"/>
      <c r="F4400" s="18"/>
      <c r="G4400" s="18"/>
      <c r="H4400" s="18"/>
      <c r="I4400" s="18"/>
      <c r="J4400" s="18"/>
      <c r="K4400" s="18"/>
      <c r="L4400" s="18"/>
      <c r="M4400" s="18"/>
      <c r="N4400" s="18"/>
      <c r="O4400" s="18"/>
      <c r="P4400" s="18"/>
      <c r="Q4400" s="18"/>
    </row>
    <row r="4401" spans="1:17">
      <c r="A4401" s="18"/>
      <c r="B4401" s="18"/>
      <c r="C4401" s="18"/>
      <c r="D4401" s="18"/>
      <c r="E4401" s="18"/>
      <c r="F4401" s="18"/>
      <c r="G4401" s="18"/>
      <c r="H4401" s="18"/>
      <c r="I4401" s="18"/>
      <c r="J4401" s="18"/>
      <c r="K4401" s="18"/>
      <c r="L4401" s="18"/>
      <c r="M4401" s="18"/>
      <c r="N4401" s="18"/>
      <c r="O4401" s="18"/>
      <c r="P4401" s="18"/>
      <c r="Q4401" s="18"/>
    </row>
    <row r="4402" spans="1:17">
      <c r="A4402" s="18"/>
      <c r="B4402" s="18"/>
      <c r="C4402" s="18"/>
      <c r="D4402" s="18"/>
      <c r="E4402" s="18"/>
      <c r="F4402" s="18"/>
      <c r="G4402" s="18"/>
      <c r="H4402" s="18"/>
      <c r="I4402" s="18"/>
      <c r="J4402" s="18"/>
      <c r="K4402" s="18"/>
      <c r="L4402" s="18"/>
      <c r="M4402" s="18"/>
      <c r="N4402" s="18"/>
      <c r="O4402" s="18"/>
      <c r="P4402" s="18"/>
      <c r="Q4402" s="18"/>
    </row>
    <row r="4403" spans="1:17">
      <c r="A4403" s="18"/>
      <c r="B4403" s="18"/>
      <c r="C4403" s="18"/>
      <c r="D4403" s="18"/>
      <c r="E4403" s="18"/>
      <c r="F4403" s="18"/>
      <c r="G4403" s="18"/>
      <c r="H4403" s="18"/>
      <c r="I4403" s="18"/>
      <c r="J4403" s="18"/>
      <c r="K4403" s="18"/>
      <c r="L4403" s="18"/>
      <c r="M4403" s="18"/>
      <c r="N4403" s="18"/>
      <c r="O4403" s="18"/>
      <c r="P4403" s="18"/>
      <c r="Q4403" s="18"/>
    </row>
    <row r="4404" spans="1:17">
      <c r="A4404" s="18"/>
      <c r="B4404" s="18"/>
      <c r="C4404" s="18"/>
      <c r="D4404" s="18"/>
      <c r="E4404" s="18"/>
      <c r="F4404" s="18"/>
      <c r="G4404" s="18"/>
      <c r="H4404" s="18"/>
      <c r="I4404" s="18"/>
      <c r="J4404" s="18"/>
      <c r="K4404" s="18"/>
      <c r="L4404" s="18"/>
      <c r="M4404" s="18"/>
      <c r="N4404" s="18"/>
      <c r="O4404" s="18"/>
      <c r="P4404" s="18"/>
      <c r="Q4404" s="18"/>
    </row>
    <row r="4405" spans="1:17">
      <c r="A4405" s="18"/>
      <c r="B4405" s="18"/>
      <c r="C4405" s="18"/>
      <c r="D4405" s="18"/>
      <c r="E4405" s="18"/>
      <c r="F4405" s="18"/>
      <c r="G4405" s="18"/>
      <c r="H4405" s="18"/>
      <c r="I4405" s="18"/>
      <c r="J4405" s="18"/>
      <c r="K4405" s="18"/>
      <c r="L4405" s="18"/>
      <c r="M4405" s="18"/>
      <c r="N4405" s="18"/>
      <c r="O4405" s="18"/>
      <c r="P4405" s="18"/>
      <c r="Q4405" s="18"/>
    </row>
    <row r="4406" spans="1:17">
      <c r="A4406" s="18"/>
      <c r="B4406" s="18"/>
      <c r="C4406" s="18"/>
      <c r="D4406" s="18"/>
      <c r="E4406" s="18"/>
      <c r="F4406" s="18"/>
      <c r="G4406" s="18"/>
      <c r="H4406" s="18"/>
      <c r="I4406" s="18"/>
      <c r="J4406" s="18"/>
      <c r="K4406" s="18"/>
      <c r="L4406" s="18"/>
      <c r="M4406" s="18"/>
      <c r="N4406" s="18"/>
      <c r="O4406" s="18"/>
      <c r="P4406" s="18"/>
      <c r="Q4406" s="18"/>
    </row>
    <row r="4407" spans="1:17">
      <c r="A4407" s="18"/>
      <c r="B4407" s="18"/>
      <c r="C4407" s="18"/>
      <c r="D4407" s="18"/>
      <c r="E4407" s="18"/>
      <c r="F4407" s="18"/>
      <c r="G4407" s="18"/>
      <c r="H4407" s="18"/>
      <c r="I4407" s="18"/>
      <c r="J4407" s="18"/>
      <c r="K4407" s="18"/>
      <c r="L4407" s="18"/>
      <c r="M4407" s="18"/>
      <c r="N4407" s="18"/>
      <c r="O4407" s="18"/>
      <c r="P4407" s="18"/>
      <c r="Q4407" s="18"/>
    </row>
    <row r="4408" spans="1:17">
      <c r="A4408" s="18"/>
      <c r="B4408" s="18"/>
      <c r="C4408" s="18"/>
      <c r="D4408" s="18"/>
      <c r="E4408" s="18"/>
      <c r="F4408" s="18"/>
      <c r="G4408" s="18"/>
      <c r="H4408" s="18"/>
      <c r="I4408" s="18"/>
      <c r="J4408" s="18"/>
      <c r="K4408" s="18"/>
      <c r="L4408" s="18"/>
      <c r="M4408" s="18"/>
      <c r="N4408" s="18"/>
      <c r="O4408" s="18"/>
      <c r="P4408" s="18"/>
      <c r="Q4408" s="18"/>
    </row>
    <row r="4409" spans="1:17">
      <c r="A4409" s="18"/>
      <c r="B4409" s="18"/>
      <c r="C4409" s="18"/>
      <c r="D4409" s="18"/>
      <c r="E4409" s="18"/>
      <c r="F4409" s="18"/>
      <c r="G4409" s="18"/>
      <c r="H4409" s="18"/>
      <c r="I4409" s="18"/>
      <c r="J4409" s="18"/>
      <c r="K4409" s="18"/>
      <c r="L4409" s="18"/>
      <c r="M4409" s="18"/>
      <c r="N4409" s="18"/>
      <c r="O4409" s="18"/>
      <c r="P4409" s="18"/>
      <c r="Q4409" s="18"/>
    </row>
    <row r="4410" spans="1:17">
      <c r="A4410" s="18"/>
      <c r="B4410" s="18"/>
      <c r="C4410" s="18"/>
      <c r="D4410" s="18"/>
      <c r="E4410" s="18"/>
      <c r="F4410" s="18"/>
      <c r="G4410" s="18"/>
      <c r="H4410" s="18"/>
      <c r="I4410" s="18"/>
      <c r="J4410" s="18"/>
      <c r="K4410" s="18"/>
      <c r="L4410" s="18"/>
      <c r="M4410" s="18"/>
      <c r="N4410" s="18"/>
      <c r="O4410" s="18"/>
      <c r="P4410" s="18"/>
      <c r="Q4410" s="18"/>
    </row>
    <row r="4411" spans="1:17">
      <c r="A4411" s="18"/>
      <c r="B4411" s="18"/>
      <c r="C4411" s="18"/>
      <c r="D4411" s="18"/>
      <c r="E4411" s="18"/>
      <c r="F4411" s="18"/>
      <c r="G4411" s="18"/>
      <c r="H4411" s="18"/>
      <c r="I4411" s="18"/>
      <c r="J4411" s="18"/>
      <c r="K4411" s="18"/>
      <c r="L4411" s="18"/>
      <c r="M4411" s="18"/>
      <c r="N4411" s="18"/>
      <c r="O4411" s="18"/>
      <c r="P4411" s="18"/>
      <c r="Q4411" s="18"/>
    </row>
    <row r="4412" spans="1:17">
      <c r="A4412" s="18"/>
      <c r="B4412" s="18"/>
      <c r="C4412" s="18"/>
      <c r="D4412" s="18"/>
      <c r="E4412" s="18"/>
      <c r="F4412" s="18"/>
      <c r="G4412" s="18"/>
      <c r="H4412" s="18"/>
      <c r="I4412" s="18"/>
      <c r="J4412" s="18"/>
      <c r="K4412" s="18"/>
      <c r="L4412" s="18"/>
      <c r="M4412" s="18"/>
      <c r="N4412" s="18"/>
      <c r="O4412" s="18"/>
      <c r="P4412" s="18"/>
      <c r="Q4412" s="18"/>
    </row>
    <row r="4413" spans="1:17">
      <c r="A4413" s="18"/>
      <c r="B4413" s="18"/>
      <c r="C4413" s="18"/>
      <c r="D4413" s="18"/>
      <c r="E4413" s="18"/>
      <c r="F4413" s="18"/>
      <c r="G4413" s="18"/>
      <c r="H4413" s="18"/>
      <c r="I4413" s="18"/>
      <c r="J4413" s="18"/>
      <c r="K4413" s="18"/>
      <c r="L4413" s="18"/>
      <c r="M4413" s="18"/>
      <c r="N4413" s="18"/>
      <c r="O4413" s="18"/>
      <c r="P4413" s="18"/>
      <c r="Q4413" s="18"/>
    </row>
    <row r="4414" spans="1:17">
      <c r="A4414" s="18"/>
      <c r="B4414" s="18"/>
      <c r="C4414" s="18"/>
      <c r="D4414" s="18"/>
      <c r="E4414" s="18"/>
      <c r="F4414" s="18"/>
      <c r="G4414" s="18"/>
      <c r="H4414" s="18"/>
      <c r="I4414" s="18"/>
      <c r="J4414" s="18"/>
      <c r="K4414" s="18"/>
      <c r="L4414" s="18"/>
      <c r="M4414" s="18"/>
      <c r="N4414" s="18"/>
      <c r="O4414" s="18"/>
      <c r="P4414" s="18"/>
      <c r="Q4414" s="18"/>
    </row>
    <row r="4415" spans="1:17">
      <c r="A4415" s="18"/>
      <c r="B4415" s="18"/>
      <c r="C4415" s="18"/>
      <c r="D4415" s="18"/>
      <c r="E4415" s="18"/>
      <c r="F4415" s="18"/>
      <c r="G4415" s="18"/>
      <c r="H4415" s="18"/>
      <c r="I4415" s="18"/>
      <c r="J4415" s="18"/>
      <c r="K4415" s="18"/>
      <c r="L4415" s="18"/>
      <c r="M4415" s="18"/>
      <c r="N4415" s="18"/>
      <c r="O4415" s="18"/>
      <c r="P4415" s="18"/>
      <c r="Q4415" s="18"/>
    </row>
    <row r="4416" spans="1:17">
      <c r="A4416" s="18"/>
      <c r="B4416" s="18"/>
      <c r="C4416" s="18"/>
      <c r="D4416" s="18"/>
      <c r="E4416" s="18"/>
      <c r="F4416" s="18"/>
      <c r="G4416" s="18"/>
      <c r="H4416" s="18"/>
      <c r="I4416" s="18"/>
      <c r="J4416" s="18"/>
      <c r="K4416" s="18"/>
      <c r="L4416" s="18"/>
      <c r="M4416" s="18"/>
      <c r="N4416" s="18"/>
      <c r="O4416" s="18"/>
      <c r="P4416" s="18"/>
      <c r="Q4416" s="18"/>
    </row>
    <row r="4417" spans="1:17">
      <c r="A4417" s="18"/>
      <c r="B4417" s="18"/>
      <c r="C4417" s="18"/>
      <c r="D4417" s="18"/>
      <c r="E4417" s="18"/>
      <c r="F4417" s="18"/>
      <c r="G4417" s="18"/>
      <c r="H4417" s="18"/>
      <c r="I4417" s="18"/>
      <c r="J4417" s="18"/>
      <c r="K4417" s="18"/>
      <c r="L4417" s="18"/>
      <c r="M4417" s="18"/>
      <c r="N4417" s="18"/>
      <c r="O4417" s="18"/>
      <c r="P4417" s="18"/>
      <c r="Q4417" s="18"/>
    </row>
    <row r="4418" spans="1:17">
      <c r="A4418" s="18"/>
      <c r="B4418" s="18"/>
      <c r="C4418" s="18"/>
      <c r="D4418" s="18"/>
      <c r="E4418" s="18"/>
      <c r="F4418" s="18"/>
      <c r="G4418" s="18"/>
      <c r="H4418" s="18"/>
      <c r="I4418" s="18"/>
      <c r="J4418" s="18"/>
      <c r="K4418" s="18"/>
      <c r="L4418" s="18"/>
      <c r="M4418" s="18"/>
      <c r="N4418" s="18"/>
      <c r="O4418" s="18"/>
      <c r="P4418" s="18"/>
      <c r="Q4418" s="18"/>
    </row>
    <row r="4419" spans="1:17">
      <c r="A4419" s="18"/>
      <c r="B4419" s="18"/>
      <c r="C4419" s="18"/>
      <c r="D4419" s="18"/>
      <c r="E4419" s="18"/>
      <c r="F4419" s="18"/>
      <c r="G4419" s="18"/>
      <c r="H4419" s="18"/>
      <c r="I4419" s="18"/>
      <c r="J4419" s="18"/>
      <c r="K4419" s="18"/>
      <c r="L4419" s="18"/>
      <c r="M4419" s="18"/>
      <c r="N4419" s="18"/>
      <c r="O4419" s="18"/>
      <c r="P4419" s="18"/>
      <c r="Q4419" s="18"/>
    </row>
    <row r="4420" spans="1:17">
      <c r="A4420" s="18"/>
      <c r="B4420" s="18"/>
      <c r="C4420" s="18"/>
      <c r="D4420" s="18"/>
      <c r="E4420" s="18"/>
      <c r="F4420" s="18"/>
      <c r="G4420" s="18"/>
      <c r="H4420" s="18"/>
      <c r="I4420" s="18"/>
      <c r="J4420" s="18"/>
      <c r="K4420" s="18"/>
      <c r="L4420" s="18"/>
      <c r="M4420" s="18"/>
      <c r="N4420" s="18"/>
      <c r="O4420" s="18"/>
      <c r="P4420" s="18"/>
      <c r="Q4420" s="18"/>
    </row>
    <row r="4421" spans="1:17">
      <c r="A4421" s="18"/>
      <c r="B4421" s="18"/>
      <c r="C4421" s="18"/>
      <c r="D4421" s="18"/>
      <c r="E4421" s="18"/>
      <c r="F4421" s="18"/>
      <c r="G4421" s="18"/>
      <c r="H4421" s="18"/>
      <c r="I4421" s="18"/>
      <c r="J4421" s="18"/>
      <c r="K4421" s="18"/>
      <c r="L4421" s="18"/>
      <c r="M4421" s="18"/>
      <c r="N4421" s="18"/>
      <c r="O4421" s="18"/>
      <c r="P4421" s="18"/>
      <c r="Q4421" s="18"/>
    </row>
    <row r="4422" spans="1:17">
      <c r="A4422" s="18"/>
      <c r="B4422" s="18"/>
      <c r="C4422" s="18"/>
      <c r="D4422" s="18"/>
      <c r="E4422" s="18"/>
      <c r="F4422" s="18"/>
      <c r="G4422" s="18"/>
      <c r="H4422" s="18"/>
      <c r="I4422" s="18"/>
      <c r="J4422" s="18"/>
      <c r="K4422" s="18"/>
      <c r="L4422" s="18"/>
      <c r="M4422" s="18"/>
      <c r="N4422" s="18"/>
      <c r="O4422" s="18"/>
      <c r="P4422" s="18"/>
      <c r="Q4422" s="18"/>
    </row>
    <row r="4423" spans="1:17">
      <c r="A4423" s="18"/>
      <c r="B4423" s="18"/>
      <c r="C4423" s="18"/>
      <c r="D4423" s="18"/>
      <c r="E4423" s="18"/>
      <c r="F4423" s="18"/>
      <c r="G4423" s="18"/>
      <c r="H4423" s="18"/>
      <c r="I4423" s="18"/>
      <c r="J4423" s="18"/>
      <c r="K4423" s="18"/>
      <c r="L4423" s="18"/>
      <c r="M4423" s="18"/>
      <c r="N4423" s="18"/>
      <c r="O4423" s="18"/>
      <c r="P4423" s="18"/>
      <c r="Q4423" s="18"/>
    </row>
    <row r="4424" spans="1:17">
      <c r="A4424" s="18"/>
      <c r="B4424" s="18"/>
      <c r="C4424" s="18"/>
      <c r="D4424" s="18"/>
      <c r="E4424" s="18"/>
      <c r="F4424" s="18"/>
      <c r="G4424" s="18"/>
      <c r="H4424" s="18"/>
      <c r="I4424" s="18"/>
      <c r="J4424" s="18"/>
      <c r="K4424" s="18"/>
      <c r="L4424" s="18"/>
      <c r="M4424" s="18"/>
      <c r="N4424" s="18"/>
      <c r="O4424" s="18"/>
      <c r="P4424" s="18"/>
      <c r="Q4424" s="18"/>
    </row>
    <row r="4425" spans="1:17">
      <c r="A4425" s="18"/>
      <c r="B4425" s="18"/>
      <c r="C4425" s="18"/>
      <c r="D4425" s="18"/>
      <c r="E4425" s="18"/>
      <c r="F4425" s="18"/>
      <c r="G4425" s="18"/>
      <c r="H4425" s="18"/>
      <c r="I4425" s="18"/>
      <c r="J4425" s="18"/>
      <c r="K4425" s="18"/>
      <c r="L4425" s="18"/>
      <c r="M4425" s="18"/>
      <c r="N4425" s="18"/>
      <c r="O4425" s="18"/>
      <c r="P4425" s="18"/>
      <c r="Q4425" s="18"/>
    </row>
    <row r="4426" spans="1:17">
      <c r="A4426" s="18"/>
      <c r="B4426" s="18"/>
      <c r="C4426" s="18"/>
      <c r="D4426" s="18"/>
      <c r="E4426" s="18"/>
      <c r="F4426" s="18"/>
      <c r="G4426" s="18"/>
      <c r="H4426" s="18"/>
      <c r="I4426" s="18"/>
      <c r="J4426" s="18"/>
      <c r="K4426" s="18"/>
      <c r="L4426" s="18"/>
      <c r="M4426" s="18"/>
      <c r="N4426" s="18"/>
      <c r="O4426" s="18"/>
      <c r="P4426" s="18"/>
      <c r="Q4426" s="18"/>
    </row>
    <row r="4427" spans="1:17">
      <c r="A4427" s="18"/>
      <c r="B4427" s="18"/>
      <c r="C4427" s="18"/>
      <c r="D4427" s="18"/>
      <c r="E4427" s="18"/>
      <c r="F4427" s="18"/>
      <c r="G4427" s="18"/>
      <c r="H4427" s="18"/>
      <c r="I4427" s="18"/>
      <c r="J4427" s="18"/>
      <c r="K4427" s="18"/>
      <c r="L4427" s="18"/>
      <c r="M4427" s="18"/>
      <c r="N4427" s="18"/>
      <c r="O4427" s="18"/>
      <c r="P4427" s="18"/>
      <c r="Q4427" s="18"/>
    </row>
    <row r="4428" spans="1:17">
      <c r="A4428" s="18"/>
      <c r="B4428" s="18"/>
      <c r="C4428" s="18"/>
      <c r="D4428" s="18"/>
      <c r="E4428" s="18"/>
      <c r="F4428" s="18"/>
      <c r="G4428" s="18"/>
      <c r="H4428" s="18"/>
      <c r="I4428" s="18"/>
      <c r="J4428" s="18"/>
      <c r="K4428" s="18"/>
      <c r="L4428" s="18"/>
      <c r="M4428" s="18"/>
      <c r="N4428" s="18"/>
      <c r="O4428" s="18"/>
      <c r="P4428" s="18"/>
      <c r="Q4428" s="18"/>
    </row>
    <row r="4429" spans="1:17">
      <c r="A4429" s="18"/>
      <c r="B4429" s="18"/>
      <c r="C4429" s="18"/>
      <c r="D4429" s="18"/>
      <c r="E4429" s="18"/>
      <c r="F4429" s="18"/>
      <c r="G4429" s="18"/>
      <c r="H4429" s="18"/>
      <c r="I4429" s="18"/>
      <c r="J4429" s="18"/>
      <c r="K4429" s="18"/>
      <c r="L4429" s="18"/>
      <c r="M4429" s="18"/>
      <c r="N4429" s="18"/>
      <c r="O4429" s="18"/>
      <c r="P4429" s="18"/>
      <c r="Q4429" s="18"/>
    </row>
    <row r="4430" spans="1:17">
      <c r="A4430" s="18"/>
      <c r="B4430" s="18"/>
      <c r="C4430" s="18"/>
      <c r="D4430" s="18"/>
      <c r="E4430" s="18"/>
      <c r="F4430" s="18"/>
      <c r="G4430" s="18"/>
      <c r="H4430" s="18"/>
      <c r="I4430" s="18"/>
      <c r="J4430" s="18"/>
      <c r="K4430" s="18"/>
      <c r="L4430" s="18"/>
      <c r="M4430" s="18"/>
      <c r="N4430" s="18"/>
      <c r="O4430" s="18"/>
      <c r="P4430" s="18"/>
      <c r="Q4430" s="18"/>
    </row>
    <row r="4431" spans="1:17">
      <c r="A4431" s="18"/>
      <c r="B4431" s="18"/>
      <c r="C4431" s="18"/>
      <c r="D4431" s="18"/>
      <c r="E4431" s="18"/>
      <c r="F4431" s="18"/>
      <c r="G4431" s="18"/>
      <c r="H4431" s="18"/>
      <c r="I4431" s="18"/>
      <c r="J4431" s="18"/>
      <c r="K4431" s="18"/>
      <c r="L4431" s="18"/>
      <c r="M4431" s="18"/>
      <c r="N4431" s="18"/>
      <c r="O4431" s="18"/>
      <c r="P4431" s="18"/>
      <c r="Q4431" s="18"/>
    </row>
    <row r="4432" spans="1:17">
      <c r="A4432" s="18"/>
      <c r="B4432" s="18"/>
      <c r="C4432" s="18"/>
      <c r="D4432" s="18"/>
      <c r="E4432" s="18"/>
      <c r="F4432" s="18"/>
      <c r="G4432" s="18"/>
      <c r="H4432" s="18"/>
      <c r="I4432" s="18"/>
      <c r="J4432" s="18"/>
      <c r="K4432" s="18"/>
      <c r="L4432" s="18"/>
      <c r="M4432" s="18"/>
      <c r="N4432" s="18"/>
      <c r="O4432" s="18"/>
      <c r="P4432" s="18"/>
      <c r="Q4432" s="18"/>
    </row>
    <row r="4433" spans="1:17">
      <c r="A4433" s="18"/>
      <c r="B4433" s="18"/>
      <c r="C4433" s="18"/>
      <c r="D4433" s="18"/>
      <c r="E4433" s="18"/>
      <c r="F4433" s="18"/>
      <c r="G4433" s="18"/>
      <c r="H4433" s="18"/>
      <c r="I4433" s="18"/>
      <c r="J4433" s="18"/>
      <c r="K4433" s="18"/>
      <c r="L4433" s="18"/>
      <c r="M4433" s="18"/>
      <c r="N4433" s="18"/>
      <c r="O4433" s="18"/>
      <c r="P4433" s="18"/>
      <c r="Q4433" s="18"/>
    </row>
    <row r="4434" spans="1:17">
      <c r="A4434" s="18"/>
      <c r="B4434" s="18"/>
      <c r="C4434" s="18"/>
      <c r="D4434" s="18"/>
      <c r="E4434" s="18"/>
      <c r="F4434" s="18"/>
      <c r="G4434" s="18"/>
      <c r="H4434" s="18"/>
      <c r="I4434" s="18"/>
      <c r="J4434" s="18"/>
      <c r="K4434" s="18"/>
      <c r="L4434" s="18"/>
      <c r="M4434" s="18"/>
      <c r="N4434" s="18"/>
      <c r="O4434" s="18"/>
      <c r="P4434" s="18"/>
      <c r="Q4434" s="18"/>
    </row>
    <row r="4435" spans="1:17">
      <c r="A4435" s="18"/>
      <c r="B4435" s="18"/>
      <c r="C4435" s="18"/>
      <c r="D4435" s="18"/>
      <c r="E4435" s="18"/>
      <c r="F4435" s="18"/>
      <c r="G4435" s="18"/>
      <c r="H4435" s="18"/>
      <c r="I4435" s="18"/>
      <c r="J4435" s="18"/>
      <c r="K4435" s="18"/>
      <c r="L4435" s="18"/>
      <c r="M4435" s="18"/>
      <c r="N4435" s="18"/>
      <c r="O4435" s="18"/>
      <c r="P4435" s="18"/>
      <c r="Q4435" s="18"/>
    </row>
    <row r="4436" spans="1:17">
      <c r="A4436" s="18"/>
      <c r="B4436" s="18"/>
      <c r="C4436" s="18"/>
      <c r="D4436" s="18"/>
      <c r="E4436" s="18"/>
      <c r="F4436" s="18"/>
      <c r="G4436" s="18"/>
      <c r="H4436" s="18"/>
      <c r="I4436" s="18"/>
      <c r="J4436" s="18"/>
      <c r="K4436" s="18"/>
      <c r="L4436" s="18"/>
      <c r="M4436" s="18"/>
      <c r="N4436" s="18"/>
      <c r="O4436" s="18"/>
      <c r="P4436" s="18"/>
      <c r="Q4436" s="18"/>
    </row>
    <row r="4437" spans="1:17">
      <c r="A4437" s="18"/>
      <c r="B4437" s="18"/>
      <c r="C4437" s="18"/>
      <c r="D4437" s="18"/>
      <c r="E4437" s="18"/>
      <c r="F4437" s="18"/>
      <c r="G4437" s="18"/>
      <c r="H4437" s="18"/>
      <c r="I4437" s="18"/>
      <c r="J4437" s="18"/>
      <c r="K4437" s="18"/>
      <c r="L4437" s="18"/>
      <c r="M4437" s="18"/>
      <c r="N4437" s="18"/>
      <c r="O4437" s="18"/>
      <c r="P4437" s="18"/>
      <c r="Q4437" s="18"/>
    </row>
    <row r="4438" spans="1:17">
      <c r="A4438" s="18"/>
      <c r="B4438" s="18"/>
      <c r="C4438" s="18"/>
      <c r="D4438" s="18"/>
      <c r="E4438" s="18"/>
      <c r="F4438" s="18"/>
      <c r="G4438" s="18"/>
      <c r="H4438" s="18"/>
      <c r="I4438" s="18"/>
      <c r="J4438" s="18"/>
      <c r="K4438" s="18"/>
      <c r="L4438" s="18"/>
      <c r="M4438" s="18"/>
      <c r="N4438" s="18"/>
      <c r="O4438" s="18"/>
      <c r="P4438" s="18"/>
      <c r="Q4438" s="18"/>
    </row>
    <row r="4439" spans="1:17">
      <c r="A4439" s="18"/>
      <c r="B4439" s="18"/>
      <c r="C4439" s="18"/>
      <c r="D4439" s="18"/>
      <c r="E4439" s="18"/>
      <c r="F4439" s="18"/>
      <c r="G4439" s="18"/>
      <c r="H4439" s="18"/>
      <c r="I4439" s="18"/>
      <c r="J4439" s="18"/>
      <c r="K4439" s="18"/>
      <c r="L4439" s="18"/>
      <c r="M4439" s="18"/>
      <c r="N4439" s="18"/>
      <c r="O4439" s="18"/>
      <c r="P4439" s="18"/>
      <c r="Q4439" s="18"/>
    </row>
    <row r="4440" spans="1:17">
      <c r="A4440" s="18"/>
      <c r="B4440" s="18"/>
      <c r="C4440" s="18"/>
      <c r="D4440" s="18"/>
      <c r="E4440" s="18"/>
      <c r="F4440" s="18"/>
      <c r="G4440" s="18"/>
      <c r="H4440" s="18"/>
      <c r="I4440" s="18"/>
      <c r="J4440" s="18"/>
      <c r="K4440" s="18"/>
      <c r="L4440" s="18"/>
      <c r="M4440" s="18"/>
      <c r="N4440" s="18"/>
      <c r="O4440" s="18"/>
      <c r="P4440" s="18"/>
      <c r="Q4440" s="18"/>
    </row>
    <row r="4441" spans="1:17">
      <c r="A4441" s="18"/>
      <c r="B4441" s="18"/>
      <c r="C4441" s="18"/>
      <c r="D4441" s="18"/>
      <c r="E4441" s="18"/>
      <c r="F4441" s="18"/>
      <c r="G4441" s="18"/>
      <c r="H4441" s="18"/>
      <c r="I4441" s="18"/>
      <c r="J4441" s="18"/>
      <c r="K4441" s="18"/>
      <c r="L4441" s="18"/>
      <c r="M4441" s="18"/>
      <c r="N4441" s="18"/>
      <c r="O4441" s="18"/>
      <c r="P4441" s="18"/>
      <c r="Q4441" s="18"/>
    </row>
    <row r="4442" spans="1:17">
      <c r="A4442" s="18"/>
      <c r="B4442" s="18"/>
      <c r="C4442" s="18"/>
      <c r="D4442" s="18"/>
      <c r="E4442" s="18"/>
      <c r="F4442" s="18"/>
      <c r="G4442" s="18"/>
      <c r="H4442" s="18"/>
      <c r="I4442" s="18"/>
      <c r="J4442" s="18"/>
      <c r="K4442" s="18"/>
      <c r="L4442" s="18"/>
      <c r="M4442" s="18"/>
      <c r="N4442" s="18"/>
      <c r="O4442" s="18"/>
      <c r="P4442" s="18"/>
      <c r="Q4442" s="18"/>
    </row>
    <row r="4443" spans="1:17">
      <c r="A4443" s="18"/>
      <c r="B4443" s="18"/>
      <c r="C4443" s="18"/>
      <c r="D4443" s="18"/>
      <c r="E4443" s="18"/>
      <c r="F4443" s="18"/>
      <c r="G4443" s="18"/>
      <c r="H4443" s="18"/>
      <c r="I4443" s="18"/>
      <c r="J4443" s="18"/>
      <c r="K4443" s="18"/>
      <c r="L4443" s="18"/>
      <c r="M4443" s="18"/>
      <c r="N4443" s="18"/>
      <c r="O4443" s="18"/>
      <c r="P4443" s="18"/>
      <c r="Q4443" s="18"/>
    </row>
    <row r="4444" spans="1:17">
      <c r="A4444" s="18"/>
      <c r="B4444" s="18"/>
      <c r="C4444" s="18"/>
      <c r="D4444" s="18"/>
      <c r="E4444" s="18"/>
      <c r="F4444" s="18"/>
      <c r="G4444" s="18"/>
      <c r="H4444" s="18"/>
      <c r="I4444" s="18"/>
      <c r="J4444" s="18"/>
      <c r="K4444" s="18"/>
      <c r="L4444" s="18"/>
      <c r="M4444" s="18"/>
      <c r="N4444" s="18"/>
      <c r="O4444" s="18"/>
      <c r="P4444" s="18"/>
      <c r="Q4444" s="18"/>
    </row>
    <row r="4445" spans="1:17">
      <c r="A4445" s="18"/>
      <c r="B4445" s="18"/>
      <c r="C4445" s="18"/>
      <c r="D4445" s="18"/>
      <c r="E4445" s="18"/>
      <c r="F4445" s="18"/>
      <c r="G4445" s="18"/>
      <c r="H4445" s="18"/>
      <c r="I4445" s="18"/>
      <c r="J4445" s="18"/>
      <c r="K4445" s="18"/>
      <c r="L4445" s="18"/>
      <c r="M4445" s="18"/>
      <c r="N4445" s="18"/>
      <c r="O4445" s="18"/>
      <c r="P4445" s="18"/>
      <c r="Q4445" s="18"/>
    </row>
    <row r="4446" spans="1:17">
      <c r="A4446" s="18"/>
      <c r="B4446" s="18"/>
      <c r="C4446" s="18"/>
      <c r="D4446" s="18"/>
      <c r="E4446" s="18"/>
      <c r="F4446" s="18"/>
      <c r="G4446" s="18"/>
      <c r="H4446" s="18"/>
      <c r="I4446" s="18"/>
      <c r="J4446" s="18"/>
      <c r="K4446" s="18"/>
      <c r="L4446" s="18"/>
      <c r="M4446" s="18"/>
      <c r="N4446" s="18"/>
      <c r="O4446" s="18"/>
      <c r="P4446" s="18"/>
      <c r="Q4446" s="18"/>
    </row>
    <row r="4447" spans="1:17">
      <c r="A4447" s="18"/>
      <c r="B4447" s="18"/>
      <c r="C4447" s="18"/>
      <c r="D4447" s="18"/>
      <c r="E4447" s="18"/>
      <c r="F4447" s="18"/>
      <c r="G4447" s="18"/>
      <c r="H4447" s="18"/>
      <c r="I4447" s="18"/>
      <c r="J4447" s="18"/>
      <c r="K4447" s="18"/>
      <c r="L4447" s="18"/>
      <c r="M4447" s="18"/>
      <c r="N4447" s="18"/>
      <c r="O4447" s="18"/>
      <c r="P4447" s="18"/>
      <c r="Q4447" s="18"/>
    </row>
    <row r="4448" spans="1:17">
      <c r="A4448" s="18"/>
      <c r="B4448" s="18"/>
      <c r="C4448" s="18"/>
      <c r="D4448" s="18"/>
      <c r="E4448" s="18"/>
      <c r="F4448" s="18"/>
      <c r="G4448" s="18"/>
      <c r="H4448" s="18"/>
      <c r="I4448" s="18"/>
      <c r="J4448" s="18"/>
      <c r="K4448" s="18"/>
      <c r="L4448" s="18"/>
      <c r="M4448" s="18"/>
      <c r="N4448" s="18"/>
      <c r="O4448" s="18"/>
      <c r="P4448" s="18"/>
      <c r="Q4448" s="18"/>
    </row>
    <row r="4449" spans="1:17">
      <c r="A4449" s="18"/>
      <c r="B4449" s="18"/>
      <c r="C4449" s="18"/>
      <c r="D4449" s="18"/>
      <c r="E4449" s="18"/>
      <c r="F4449" s="18"/>
      <c r="G4449" s="18"/>
      <c r="H4449" s="18"/>
      <c r="I4449" s="18"/>
      <c r="J4449" s="18"/>
      <c r="K4449" s="18"/>
      <c r="L4449" s="18"/>
      <c r="M4449" s="18"/>
      <c r="N4449" s="18"/>
      <c r="O4449" s="18"/>
      <c r="P4449" s="18"/>
      <c r="Q4449" s="18"/>
    </row>
    <row r="4450" spans="1:17">
      <c r="A4450" s="18"/>
      <c r="B4450" s="18"/>
      <c r="C4450" s="18"/>
      <c r="D4450" s="18"/>
      <c r="E4450" s="18"/>
      <c r="F4450" s="18"/>
      <c r="G4450" s="18"/>
      <c r="H4450" s="18"/>
      <c r="I4450" s="18"/>
      <c r="J4450" s="18"/>
      <c r="K4450" s="18"/>
      <c r="L4450" s="18"/>
      <c r="M4450" s="18"/>
      <c r="N4450" s="18"/>
      <c r="O4450" s="18"/>
      <c r="P4450" s="18"/>
      <c r="Q4450" s="18"/>
    </row>
    <row r="4451" spans="1:17">
      <c r="A4451" s="18"/>
      <c r="B4451" s="18"/>
      <c r="C4451" s="18"/>
      <c r="D4451" s="18"/>
      <c r="E4451" s="18"/>
      <c r="F4451" s="18"/>
      <c r="G4451" s="18"/>
      <c r="H4451" s="18"/>
      <c r="I4451" s="18"/>
      <c r="J4451" s="18"/>
      <c r="K4451" s="18"/>
      <c r="L4451" s="18"/>
      <c r="M4451" s="18"/>
      <c r="N4451" s="18"/>
      <c r="O4451" s="18"/>
      <c r="P4451" s="18"/>
      <c r="Q4451" s="18"/>
    </row>
    <row r="4452" spans="1:17">
      <c r="A4452" s="18"/>
      <c r="B4452" s="18"/>
      <c r="C4452" s="18"/>
      <c r="D4452" s="18"/>
      <c r="E4452" s="18"/>
      <c r="F4452" s="18"/>
      <c r="G4452" s="18"/>
      <c r="H4452" s="18"/>
      <c r="I4452" s="18"/>
      <c r="J4452" s="18"/>
      <c r="K4452" s="18"/>
      <c r="L4452" s="18"/>
      <c r="M4452" s="18"/>
      <c r="N4452" s="18"/>
      <c r="O4452" s="18"/>
      <c r="P4452" s="18"/>
      <c r="Q4452" s="18"/>
    </row>
    <row r="4453" spans="1:17">
      <c r="A4453" s="18"/>
      <c r="B4453" s="18"/>
      <c r="C4453" s="18"/>
      <c r="D4453" s="18"/>
      <c r="E4453" s="18"/>
      <c r="F4453" s="18"/>
      <c r="G4453" s="18"/>
      <c r="H4453" s="18"/>
      <c r="I4453" s="18"/>
      <c r="J4453" s="18"/>
      <c r="K4453" s="18"/>
      <c r="L4453" s="18"/>
      <c r="M4453" s="18"/>
      <c r="N4453" s="18"/>
      <c r="O4453" s="18"/>
      <c r="P4453" s="18"/>
      <c r="Q4453" s="18"/>
    </row>
    <row r="4454" spans="1:17">
      <c r="A4454" s="18"/>
      <c r="B4454" s="18"/>
      <c r="C4454" s="18"/>
      <c r="D4454" s="18"/>
      <c r="E4454" s="18"/>
      <c r="F4454" s="18"/>
      <c r="G4454" s="18"/>
      <c r="H4454" s="18"/>
      <c r="I4454" s="18"/>
      <c r="J4454" s="18"/>
      <c r="K4454" s="18"/>
      <c r="L4454" s="18"/>
      <c r="M4454" s="18"/>
      <c r="N4454" s="18"/>
      <c r="O4454" s="18"/>
      <c r="P4454" s="18"/>
      <c r="Q4454" s="18"/>
    </row>
    <row r="4455" spans="1:17">
      <c r="A4455" s="18"/>
      <c r="B4455" s="18"/>
      <c r="C4455" s="18"/>
      <c r="D4455" s="18"/>
      <c r="E4455" s="18"/>
      <c r="F4455" s="18"/>
      <c r="G4455" s="18"/>
      <c r="H4455" s="18"/>
      <c r="I4455" s="18"/>
      <c r="J4455" s="18"/>
      <c r="K4455" s="18"/>
      <c r="L4455" s="18"/>
      <c r="M4455" s="18"/>
      <c r="N4455" s="18"/>
      <c r="O4455" s="18"/>
      <c r="P4455" s="18"/>
      <c r="Q4455" s="18"/>
    </row>
    <row r="4456" spans="1:17">
      <c r="A4456" s="18"/>
      <c r="B4456" s="18"/>
      <c r="C4456" s="18"/>
      <c r="D4456" s="18"/>
      <c r="E4456" s="18"/>
      <c r="F4456" s="18"/>
      <c r="G4456" s="18"/>
      <c r="H4456" s="18"/>
      <c r="I4456" s="18"/>
      <c r="J4456" s="18"/>
      <c r="K4456" s="18"/>
      <c r="L4456" s="18"/>
      <c r="M4456" s="18"/>
      <c r="N4456" s="18"/>
      <c r="O4456" s="18"/>
      <c r="P4456" s="18"/>
      <c r="Q4456" s="18"/>
    </row>
    <row r="4457" spans="1:17">
      <c r="A4457" s="18"/>
      <c r="B4457" s="18"/>
      <c r="C4457" s="18"/>
      <c r="D4457" s="18"/>
      <c r="E4457" s="18"/>
      <c r="F4457" s="18"/>
      <c r="G4457" s="18"/>
      <c r="H4457" s="18"/>
      <c r="I4457" s="18"/>
      <c r="J4457" s="18"/>
      <c r="K4457" s="18"/>
      <c r="L4457" s="18"/>
      <c r="M4457" s="18"/>
      <c r="N4457" s="18"/>
      <c r="O4457" s="18"/>
      <c r="P4457" s="18"/>
      <c r="Q4457" s="18"/>
    </row>
    <row r="4458" spans="1:17">
      <c r="A4458" s="18"/>
      <c r="B4458" s="18"/>
      <c r="C4458" s="18"/>
      <c r="D4458" s="18"/>
      <c r="E4458" s="18"/>
      <c r="F4458" s="18"/>
      <c r="G4458" s="18"/>
      <c r="H4458" s="18"/>
      <c r="I4458" s="18"/>
      <c r="J4458" s="18"/>
      <c r="K4458" s="18"/>
      <c r="L4458" s="18"/>
      <c r="M4458" s="18"/>
      <c r="N4458" s="18"/>
      <c r="O4458" s="18"/>
      <c r="P4458" s="18"/>
      <c r="Q4458" s="18"/>
    </row>
    <row r="4459" spans="1:17">
      <c r="A4459" s="18"/>
      <c r="B4459" s="18"/>
      <c r="C4459" s="18"/>
      <c r="D4459" s="18"/>
      <c r="E4459" s="18"/>
      <c r="F4459" s="18"/>
      <c r="G4459" s="18"/>
      <c r="H4459" s="18"/>
      <c r="I4459" s="18"/>
      <c r="J4459" s="18"/>
      <c r="K4459" s="18"/>
      <c r="L4459" s="18"/>
      <c r="M4459" s="18"/>
      <c r="N4459" s="18"/>
      <c r="O4459" s="18"/>
      <c r="P4459" s="18"/>
      <c r="Q4459" s="18"/>
    </row>
    <row r="4460" spans="1:17">
      <c r="A4460" s="18"/>
      <c r="B4460" s="18"/>
      <c r="C4460" s="18"/>
      <c r="D4460" s="18"/>
      <c r="E4460" s="18"/>
      <c r="F4460" s="18"/>
      <c r="G4460" s="18"/>
      <c r="H4460" s="18"/>
      <c r="I4460" s="18"/>
      <c r="J4460" s="18"/>
      <c r="K4460" s="18"/>
      <c r="L4460" s="18"/>
      <c r="M4460" s="18"/>
      <c r="N4460" s="18"/>
      <c r="O4460" s="18"/>
      <c r="P4460" s="18"/>
      <c r="Q4460" s="18"/>
    </row>
    <row r="4461" spans="1:17">
      <c r="A4461" s="18"/>
      <c r="B4461" s="18"/>
      <c r="C4461" s="18"/>
      <c r="D4461" s="18"/>
      <c r="E4461" s="18"/>
      <c r="F4461" s="18"/>
      <c r="G4461" s="18"/>
      <c r="H4461" s="18"/>
      <c r="I4461" s="18"/>
      <c r="J4461" s="18"/>
      <c r="K4461" s="18"/>
      <c r="L4461" s="18"/>
      <c r="M4461" s="18"/>
      <c r="N4461" s="18"/>
      <c r="O4461" s="18"/>
      <c r="P4461" s="18"/>
      <c r="Q4461" s="18"/>
    </row>
    <row r="4462" spans="1:17">
      <c r="A4462" s="18"/>
      <c r="B4462" s="18"/>
      <c r="C4462" s="18"/>
      <c r="D4462" s="18"/>
      <c r="E4462" s="18"/>
      <c r="F4462" s="18"/>
      <c r="G4462" s="18"/>
      <c r="H4462" s="18"/>
      <c r="I4462" s="18"/>
      <c r="J4462" s="18"/>
      <c r="K4462" s="18"/>
      <c r="L4462" s="18"/>
      <c r="M4462" s="18"/>
      <c r="N4462" s="18"/>
      <c r="O4462" s="18"/>
      <c r="P4462" s="18"/>
      <c r="Q4462" s="18"/>
    </row>
    <row r="4463" spans="1:17">
      <c r="A4463" s="18"/>
      <c r="B4463" s="18"/>
      <c r="C4463" s="18"/>
      <c r="D4463" s="18"/>
      <c r="E4463" s="18"/>
      <c r="F4463" s="18"/>
      <c r="G4463" s="18"/>
      <c r="H4463" s="18"/>
      <c r="I4463" s="18"/>
      <c r="J4463" s="18"/>
      <c r="K4463" s="18"/>
      <c r="L4463" s="18"/>
      <c r="M4463" s="18"/>
      <c r="N4463" s="18"/>
      <c r="O4463" s="18"/>
      <c r="P4463" s="18"/>
      <c r="Q4463" s="18"/>
    </row>
    <row r="4464" spans="1:17">
      <c r="A4464" s="18"/>
      <c r="B4464" s="18"/>
      <c r="C4464" s="18"/>
      <c r="D4464" s="18"/>
      <c r="E4464" s="18"/>
      <c r="F4464" s="18"/>
      <c r="G4464" s="18"/>
      <c r="H4464" s="18"/>
      <c r="I4464" s="18"/>
      <c r="J4464" s="18"/>
      <c r="K4464" s="18"/>
      <c r="L4464" s="18"/>
      <c r="M4464" s="18"/>
      <c r="N4464" s="18"/>
      <c r="O4464" s="18"/>
      <c r="P4464" s="18"/>
      <c r="Q4464" s="18"/>
    </row>
    <row r="4465" spans="1:17">
      <c r="A4465" s="18"/>
      <c r="B4465" s="18"/>
      <c r="C4465" s="18"/>
      <c r="D4465" s="18"/>
      <c r="E4465" s="18"/>
      <c r="F4465" s="18"/>
      <c r="G4465" s="18"/>
      <c r="H4465" s="18"/>
      <c r="I4465" s="18"/>
      <c r="J4465" s="18"/>
      <c r="K4465" s="18"/>
      <c r="L4465" s="18"/>
      <c r="M4465" s="18"/>
      <c r="N4465" s="18"/>
      <c r="O4465" s="18"/>
      <c r="P4465" s="18"/>
      <c r="Q4465" s="18"/>
    </row>
    <row r="4466" spans="1:17">
      <c r="A4466" s="18"/>
      <c r="B4466" s="18"/>
      <c r="C4466" s="18"/>
      <c r="D4466" s="18"/>
      <c r="E4466" s="18"/>
      <c r="F4466" s="18"/>
      <c r="G4466" s="18"/>
      <c r="H4466" s="18"/>
      <c r="I4466" s="18"/>
      <c r="J4466" s="18"/>
      <c r="K4466" s="18"/>
      <c r="L4466" s="18"/>
      <c r="M4466" s="18"/>
      <c r="N4466" s="18"/>
      <c r="O4466" s="18"/>
      <c r="P4466" s="18"/>
      <c r="Q4466" s="18"/>
    </row>
    <row r="4467" spans="1:17">
      <c r="A4467" s="18"/>
      <c r="B4467" s="18"/>
      <c r="C4467" s="18"/>
      <c r="D4467" s="18"/>
      <c r="E4467" s="18"/>
      <c r="F4467" s="18"/>
      <c r="G4467" s="18"/>
      <c r="H4467" s="18"/>
      <c r="I4467" s="18"/>
      <c r="J4467" s="18"/>
      <c r="K4467" s="18"/>
      <c r="L4467" s="18"/>
      <c r="M4467" s="18"/>
      <c r="N4467" s="18"/>
      <c r="O4467" s="18"/>
      <c r="P4467" s="18"/>
      <c r="Q4467" s="18"/>
    </row>
    <row r="4468" spans="1:17">
      <c r="A4468" s="18"/>
      <c r="B4468" s="18"/>
      <c r="C4468" s="18"/>
      <c r="D4468" s="18"/>
      <c r="E4468" s="18"/>
      <c r="F4468" s="18"/>
      <c r="G4468" s="18"/>
      <c r="H4468" s="18"/>
      <c r="I4468" s="18"/>
      <c r="J4468" s="18"/>
      <c r="K4468" s="18"/>
      <c r="L4468" s="18"/>
      <c r="M4468" s="18"/>
      <c r="N4468" s="18"/>
      <c r="O4468" s="18"/>
      <c r="P4468" s="18"/>
      <c r="Q4468" s="18"/>
    </row>
    <row r="4469" spans="1:17">
      <c r="A4469" s="18"/>
      <c r="B4469" s="18"/>
      <c r="C4469" s="18"/>
      <c r="D4469" s="18"/>
      <c r="E4469" s="18"/>
      <c r="F4469" s="18"/>
      <c r="G4469" s="18"/>
      <c r="H4469" s="18"/>
      <c r="I4469" s="18"/>
      <c r="J4469" s="18"/>
      <c r="K4469" s="18"/>
      <c r="L4469" s="18"/>
      <c r="M4469" s="18"/>
      <c r="N4469" s="18"/>
      <c r="O4469" s="18"/>
      <c r="P4469" s="18"/>
      <c r="Q4469" s="18"/>
    </row>
    <row r="4470" spans="1:17">
      <c r="A4470" s="18"/>
      <c r="B4470" s="18"/>
      <c r="C4470" s="18"/>
      <c r="D4470" s="18"/>
      <c r="E4470" s="18"/>
      <c r="F4470" s="18"/>
      <c r="G4470" s="18"/>
      <c r="H4470" s="18"/>
      <c r="I4470" s="18"/>
      <c r="J4470" s="18"/>
      <c r="K4470" s="18"/>
      <c r="L4470" s="18"/>
      <c r="M4470" s="18"/>
      <c r="N4470" s="18"/>
      <c r="O4470" s="18"/>
      <c r="P4470" s="18"/>
      <c r="Q4470" s="18"/>
    </row>
    <row r="4471" spans="1:17">
      <c r="A4471" s="18"/>
      <c r="B4471" s="18"/>
      <c r="C4471" s="18"/>
      <c r="D4471" s="18"/>
      <c r="E4471" s="18"/>
      <c r="F4471" s="18"/>
      <c r="G4471" s="18"/>
      <c r="H4471" s="18"/>
      <c r="I4471" s="18"/>
      <c r="J4471" s="18"/>
      <c r="K4471" s="18"/>
      <c r="L4471" s="18"/>
      <c r="M4471" s="18"/>
      <c r="N4471" s="18"/>
      <c r="O4471" s="18"/>
      <c r="P4471" s="18"/>
      <c r="Q4471" s="18"/>
    </row>
    <row r="4472" spans="1:17">
      <c r="A4472" s="18"/>
      <c r="B4472" s="18"/>
      <c r="C4472" s="18"/>
      <c r="D4472" s="18"/>
      <c r="E4472" s="18"/>
      <c r="F4472" s="18"/>
      <c r="G4472" s="18"/>
      <c r="H4472" s="18"/>
      <c r="I4472" s="18"/>
      <c r="J4472" s="18"/>
      <c r="K4472" s="18"/>
      <c r="L4472" s="18"/>
      <c r="M4472" s="18"/>
      <c r="N4472" s="18"/>
      <c r="O4472" s="18"/>
      <c r="P4472" s="18"/>
      <c r="Q4472" s="18"/>
    </row>
    <row r="4473" spans="1:17">
      <c r="A4473" s="18"/>
      <c r="B4473" s="18"/>
      <c r="C4473" s="18"/>
      <c r="D4473" s="18"/>
      <c r="E4473" s="18"/>
      <c r="F4473" s="18"/>
      <c r="G4473" s="18"/>
      <c r="H4473" s="18"/>
      <c r="I4473" s="18"/>
      <c r="J4473" s="18"/>
      <c r="K4473" s="18"/>
      <c r="L4473" s="18"/>
      <c r="M4473" s="18"/>
      <c r="N4473" s="18"/>
      <c r="O4473" s="18"/>
      <c r="P4473" s="18"/>
      <c r="Q4473" s="18"/>
    </row>
    <row r="4474" spans="1:17">
      <c r="A4474" s="18"/>
      <c r="B4474" s="18"/>
      <c r="C4474" s="18"/>
      <c r="D4474" s="18"/>
      <c r="E4474" s="18"/>
      <c r="F4474" s="18"/>
      <c r="G4474" s="18"/>
      <c r="H4474" s="18"/>
      <c r="I4474" s="18"/>
      <c r="J4474" s="18"/>
      <c r="K4474" s="18"/>
      <c r="L4474" s="18"/>
      <c r="M4474" s="18"/>
      <c r="N4474" s="18"/>
      <c r="O4474" s="18"/>
      <c r="P4474" s="18"/>
      <c r="Q4474" s="18"/>
    </row>
    <row r="4475" spans="1:17">
      <c r="A4475" s="18"/>
      <c r="B4475" s="18"/>
      <c r="C4475" s="18"/>
      <c r="D4475" s="18"/>
      <c r="E4475" s="18"/>
      <c r="F4475" s="18"/>
      <c r="G4475" s="18"/>
      <c r="H4475" s="18"/>
      <c r="I4475" s="18"/>
      <c r="J4475" s="18"/>
      <c r="K4475" s="18"/>
      <c r="L4475" s="18"/>
      <c r="M4475" s="18"/>
      <c r="N4475" s="18"/>
      <c r="O4475" s="18"/>
      <c r="P4475" s="18"/>
      <c r="Q4475" s="18"/>
    </row>
    <row r="4476" spans="1:17">
      <c r="A4476" s="18"/>
      <c r="B4476" s="18"/>
      <c r="C4476" s="18"/>
      <c r="D4476" s="18"/>
      <c r="E4476" s="18"/>
      <c r="F4476" s="18"/>
      <c r="G4476" s="18"/>
      <c r="H4476" s="18"/>
      <c r="I4476" s="18"/>
      <c r="J4476" s="18"/>
      <c r="K4476" s="18"/>
      <c r="L4476" s="18"/>
      <c r="M4476" s="18"/>
      <c r="N4476" s="18"/>
      <c r="O4476" s="18"/>
      <c r="P4476" s="18"/>
      <c r="Q4476" s="18"/>
    </row>
    <row r="4477" spans="1:17">
      <c r="A4477" s="18"/>
      <c r="B4477" s="18"/>
      <c r="C4477" s="18"/>
      <c r="D4477" s="18"/>
      <c r="E4477" s="18"/>
      <c r="F4477" s="18"/>
      <c r="G4477" s="18"/>
      <c r="H4477" s="18"/>
      <c r="I4477" s="18"/>
      <c r="J4477" s="18"/>
      <c r="K4477" s="18"/>
      <c r="L4477" s="18"/>
      <c r="M4477" s="18"/>
      <c r="N4477" s="18"/>
      <c r="O4477" s="18"/>
      <c r="P4477" s="18"/>
      <c r="Q4477" s="18"/>
    </row>
    <row r="4478" spans="1:17">
      <c r="A4478" s="18"/>
      <c r="B4478" s="18"/>
      <c r="C4478" s="18"/>
      <c r="D4478" s="18"/>
      <c r="E4478" s="18"/>
      <c r="F4478" s="18"/>
      <c r="G4478" s="18"/>
      <c r="H4478" s="18"/>
      <c r="I4478" s="18"/>
      <c r="J4478" s="18"/>
      <c r="K4478" s="18"/>
      <c r="L4478" s="18"/>
      <c r="M4478" s="18"/>
      <c r="N4478" s="18"/>
      <c r="O4478" s="18"/>
      <c r="P4478" s="18"/>
      <c r="Q4478" s="18"/>
    </row>
    <row r="4479" spans="1:17">
      <c r="A4479" s="18"/>
      <c r="B4479" s="18"/>
      <c r="C4479" s="18"/>
      <c r="D4479" s="18"/>
      <c r="E4479" s="18"/>
      <c r="F4479" s="18"/>
      <c r="G4479" s="18"/>
      <c r="H4479" s="18"/>
      <c r="I4479" s="18"/>
      <c r="J4479" s="18"/>
      <c r="K4479" s="18"/>
      <c r="L4479" s="18"/>
      <c r="M4479" s="18"/>
      <c r="N4479" s="18"/>
      <c r="O4479" s="18"/>
      <c r="P4479" s="18"/>
      <c r="Q4479" s="18"/>
    </row>
    <row r="4480" spans="1:17">
      <c r="A4480" s="18"/>
      <c r="B4480" s="18"/>
      <c r="C4480" s="18"/>
      <c r="D4480" s="18"/>
      <c r="E4480" s="18"/>
      <c r="F4480" s="18"/>
      <c r="G4480" s="18"/>
      <c r="H4480" s="18"/>
      <c r="I4480" s="18"/>
      <c r="J4480" s="18"/>
      <c r="K4480" s="18"/>
      <c r="L4480" s="18"/>
      <c r="M4480" s="18"/>
      <c r="N4480" s="18"/>
      <c r="O4480" s="18"/>
      <c r="P4480" s="18"/>
      <c r="Q4480" s="18"/>
    </row>
    <row r="4481" spans="1:17">
      <c r="A4481" s="18"/>
      <c r="B4481" s="18"/>
      <c r="C4481" s="18"/>
      <c r="D4481" s="18"/>
      <c r="E4481" s="18"/>
      <c r="F4481" s="18"/>
      <c r="G4481" s="18"/>
      <c r="H4481" s="18"/>
      <c r="I4481" s="18"/>
      <c r="J4481" s="18"/>
      <c r="K4481" s="18"/>
      <c r="L4481" s="18"/>
      <c r="M4481" s="18"/>
      <c r="N4481" s="18"/>
      <c r="O4481" s="18"/>
      <c r="P4481" s="18"/>
      <c r="Q4481" s="18"/>
    </row>
    <row r="4482" spans="1:17">
      <c r="A4482" s="18"/>
      <c r="B4482" s="18"/>
      <c r="C4482" s="18"/>
      <c r="D4482" s="18"/>
      <c r="E4482" s="18"/>
      <c r="F4482" s="18"/>
      <c r="G4482" s="18"/>
      <c r="H4482" s="18"/>
      <c r="I4482" s="18"/>
      <c r="J4482" s="18"/>
      <c r="K4482" s="18"/>
      <c r="L4482" s="18"/>
      <c r="M4482" s="18"/>
      <c r="N4482" s="18"/>
      <c r="O4482" s="18"/>
      <c r="P4482" s="18"/>
      <c r="Q4482" s="18"/>
    </row>
    <row r="4483" spans="1:17">
      <c r="A4483" s="18"/>
      <c r="B4483" s="18"/>
      <c r="C4483" s="18"/>
      <c r="D4483" s="18"/>
      <c r="E4483" s="18"/>
      <c r="F4483" s="18"/>
      <c r="G4483" s="18"/>
      <c r="H4483" s="18"/>
      <c r="I4483" s="18"/>
      <c r="J4483" s="18"/>
      <c r="K4483" s="18"/>
      <c r="L4483" s="18"/>
      <c r="M4483" s="18"/>
      <c r="N4483" s="18"/>
      <c r="O4483" s="18"/>
      <c r="P4483" s="18"/>
      <c r="Q4483" s="18"/>
    </row>
    <row r="4484" spans="1:17">
      <c r="A4484" s="18"/>
      <c r="B4484" s="18"/>
      <c r="C4484" s="18"/>
      <c r="D4484" s="18"/>
      <c r="E4484" s="18"/>
      <c r="F4484" s="18"/>
      <c r="G4484" s="18"/>
      <c r="H4484" s="18"/>
      <c r="I4484" s="18"/>
      <c r="J4484" s="18"/>
      <c r="K4484" s="18"/>
      <c r="L4484" s="18"/>
      <c r="M4484" s="18"/>
      <c r="N4484" s="18"/>
      <c r="O4484" s="18"/>
      <c r="P4484" s="18"/>
      <c r="Q4484" s="18"/>
    </row>
    <row r="4485" spans="1:17">
      <c r="A4485" s="18"/>
      <c r="B4485" s="18"/>
      <c r="C4485" s="18"/>
      <c r="D4485" s="18"/>
      <c r="E4485" s="18"/>
      <c r="F4485" s="18"/>
      <c r="G4485" s="18"/>
      <c r="H4485" s="18"/>
      <c r="I4485" s="18"/>
      <c r="J4485" s="18"/>
      <c r="K4485" s="18"/>
      <c r="L4485" s="18"/>
      <c r="M4485" s="18"/>
      <c r="N4485" s="18"/>
      <c r="O4485" s="18"/>
      <c r="P4485" s="18"/>
      <c r="Q4485" s="18"/>
    </row>
    <row r="4486" spans="1:17">
      <c r="A4486" s="18"/>
      <c r="B4486" s="18"/>
      <c r="C4486" s="18"/>
      <c r="D4486" s="18"/>
      <c r="E4486" s="18"/>
      <c r="F4486" s="18"/>
      <c r="G4486" s="18"/>
      <c r="H4486" s="18"/>
      <c r="I4486" s="18"/>
      <c r="J4486" s="18"/>
      <c r="K4486" s="18"/>
      <c r="L4486" s="18"/>
      <c r="M4486" s="18"/>
      <c r="N4486" s="18"/>
      <c r="O4486" s="18"/>
      <c r="P4486" s="18"/>
      <c r="Q4486" s="18"/>
    </row>
    <row r="4487" spans="1:17">
      <c r="A4487" s="18"/>
      <c r="B4487" s="18"/>
      <c r="C4487" s="18"/>
      <c r="D4487" s="18"/>
      <c r="E4487" s="18"/>
      <c r="F4487" s="18"/>
      <c r="G4487" s="18"/>
      <c r="H4487" s="18"/>
      <c r="I4487" s="18"/>
      <c r="J4487" s="18"/>
      <c r="K4487" s="18"/>
      <c r="L4487" s="18"/>
      <c r="M4487" s="18"/>
      <c r="N4487" s="18"/>
      <c r="O4487" s="18"/>
      <c r="P4487" s="18"/>
      <c r="Q4487" s="18"/>
    </row>
    <row r="4488" spans="1:17">
      <c r="A4488" s="18"/>
      <c r="B4488" s="18"/>
      <c r="C4488" s="18"/>
      <c r="D4488" s="18"/>
      <c r="E4488" s="18"/>
      <c r="F4488" s="18"/>
      <c r="G4488" s="18"/>
      <c r="H4488" s="18"/>
      <c r="I4488" s="18"/>
      <c r="J4488" s="18"/>
      <c r="K4488" s="18"/>
      <c r="L4488" s="18"/>
      <c r="M4488" s="18"/>
      <c r="N4488" s="18"/>
      <c r="O4488" s="18"/>
      <c r="P4488" s="18"/>
      <c r="Q4488" s="18"/>
    </row>
    <row r="4489" spans="1:17">
      <c r="A4489" s="18"/>
      <c r="B4489" s="18"/>
      <c r="C4489" s="18"/>
      <c r="D4489" s="18"/>
      <c r="E4489" s="18"/>
      <c r="F4489" s="18"/>
      <c r="G4489" s="18"/>
      <c r="H4489" s="18"/>
      <c r="I4489" s="18"/>
      <c r="J4489" s="18"/>
      <c r="K4489" s="18"/>
      <c r="L4489" s="18"/>
      <c r="M4489" s="18"/>
      <c r="N4489" s="18"/>
      <c r="O4489" s="18"/>
      <c r="P4489" s="18"/>
      <c r="Q4489" s="18"/>
    </row>
    <row r="4490" spans="1:17">
      <c r="A4490" s="18"/>
      <c r="B4490" s="18"/>
      <c r="C4490" s="18"/>
      <c r="D4490" s="18"/>
      <c r="E4490" s="18"/>
      <c r="F4490" s="18"/>
      <c r="G4490" s="18"/>
      <c r="H4490" s="18"/>
      <c r="I4490" s="18"/>
      <c r="J4490" s="18"/>
      <c r="K4490" s="18"/>
      <c r="L4490" s="18"/>
      <c r="M4490" s="18"/>
      <c r="N4490" s="18"/>
      <c r="O4490" s="18"/>
      <c r="P4490" s="18"/>
      <c r="Q4490" s="18"/>
    </row>
    <row r="4491" spans="1:17">
      <c r="A4491" s="18"/>
      <c r="B4491" s="18"/>
      <c r="C4491" s="18"/>
      <c r="D4491" s="18"/>
      <c r="E4491" s="18"/>
      <c r="F4491" s="18"/>
      <c r="G4491" s="18"/>
      <c r="H4491" s="18"/>
      <c r="I4491" s="18"/>
      <c r="J4491" s="18"/>
      <c r="K4491" s="18"/>
      <c r="L4491" s="18"/>
      <c r="M4491" s="18"/>
      <c r="N4491" s="18"/>
      <c r="O4491" s="18"/>
      <c r="P4491" s="18"/>
      <c r="Q4491" s="18"/>
    </row>
    <row r="4492" spans="1:17">
      <c r="A4492" s="18"/>
      <c r="B4492" s="18"/>
      <c r="C4492" s="18"/>
      <c r="D4492" s="18"/>
      <c r="E4492" s="18"/>
      <c r="F4492" s="18"/>
      <c r="G4492" s="18"/>
      <c r="H4492" s="18"/>
      <c r="I4492" s="18"/>
      <c r="J4492" s="18"/>
      <c r="K4492" s="18"/>
      <c r="L4492" s="18"/>
      <c r="M4492" s="18"/>
      <c r="N4492" s="18"/>
      <c r="O4492" s="18"/>
      <c r="P4492" s="18"/>
      <c r="Q4492" s="18"/>
    </row>
    <row r="4493" spans="1:17">
      <c r="A4493" s="18"/>
      <c r="B4493" s="18"/>
      <c r="C4493" s="18"/>
      <c r="D4493" s="18"/>
      <c r="E4493" s="18"/>
      <c r="F4493" s="18"/>
      <c r="G4493" s="18"/>
      <c r="H4493" s="18"/>
      <c r="I4493" s="18"/>
      <c r="J4493" s="18"/>
      <c r="K4493" s="18"/>
      <c r="L4493" s="18"/>
      <c r="M4493" s="18"/>
      <c r="N4493" s="18"/>
      <c r="O4493" s="18"/>
      <c r="P4493" s="18"/>
      <c r="Q4493" s="18"/>
    </row>
    <row r="4494" spans="1:17">
      <c r="A4494" s="18"/>
      <c r="B4494" s="18"/>
      <c r="C4494" s="18"/>
      <c r="D4494" s="18"/>
      <c r="E4494" s="18"/>
      <c r="F4494" s="18"/>
      <c r="G4494" s="18"/>
      <c r="H4494" s="18"/>
      <c r="I4494" s="18"/>
      <c r="J4494" s="18"/>
      <c r="K4494" s="18"/>
      <c r="L4494" s="18"/>
      <c r="M4494" s="18"/>
      <c r="N4494" s="18"/>
      <c r="O4494" s="18"/>
      <c r="P4494" s="18"/>
      <c r="Q4494" s="18"/>
    </row>
    <row r="4495" spans="1:17">
      <c r="A4495" s="18"/>
      <c r="B4495" s="18"/>
      <c r="C4495" s="18"/>
      <c r="D4495" s="18"/>
      <c r="E4495" s="18"/>
      <c r="F4495" s="18"/>
      <c r="G4495" s="18"/>
      <c r="H4495" s="18"/>
      <c r="I4495" s="18"/>
      <c r="J4495" s="18"/>
      <c r="K4495" s="18"/>
      <c r="L4495" s="18"/>
      <c r="M4495" s="18"/>
      <c r="N4495" s="18"/>
      <c r="O4495" s="18"/>
      <c r="P4495" s="18"/>
      <c r="Q4495" s="18"/>
    </row>
    <row r="4496" spans="1:17">
      <c r="A4496" s="18"/>
      <c r="B4496" s="18"/>
      <c r="C4496" s="18"/>
      <c r="D4496" s="18"/>
      <c r="E4496" s="18"/>
      <c r="F4496" s="18"/>
      <c r="G4496" s="18"/>
      <c r="H4496" s="18"/>
      <c r="I4496" s="18"/>
      <c r="J4496" s="18"/>
      <c r="K4496" s="18"/>
      <c r="L4496" s="18"/>
      <c r="M4496" s="18"/>
      <c r="N4496" s="18"/>
      <c r="O4496" s="18"/>
      <c r="P4496" s="18"/>
      <c r="Q4496" s="18"/>
    </row>
    <row r="4497" spans="1:17">
      <c r="A4497" s="18"/>
      <c r="B4497" s="18"/>
      <c r="C4497" s="18"/>
      <c r="D4497" s="18"/>
      <c r="E4497" s="18"/>
      <c r="F4497" s="18"/>
      <c r="G4497" s="18"/>
      <c r="H4497" s="18"/>
      <c r="I4497" s="18"/>
      <c r="J4497" s="18"/>
      <c r="K4497" s="18"/>
      <c r="L4497" s="18"/>
      <c r="M4497" s="18"/>
      <c r="N4497" s="18"/>
      <c r="O4497" s="18"/>
      <c r="P4497" s="18"/>
      <c r="Q4497" s="18"/>
    </row>
    <row r="4498" spans="1:17">
      <c r="A4498" s="18"/>
      <c r="B4498" s="18"/>
      <c r="C4498" s="18"/>
      <c r="D4498" s="18"/>
      <c r="E4498" s="18"/>
      <c r="F4498" s="18"/>
      <c r="G4498" s="18"/>
      <c r="H4498" s="18"/>
      <c r="I4498" s="18"/>
      <c r="J4498" s="18"/>
      <c r="K4498" s="18"/>
      <c r="L4498" s="18"/>
      <c r="M4498" s="18"/>
      <c r="N4498" s="18"/>
      <c r="O4498" s="18"/>
      <c r="P4498" s="18"/>
      <c r="Q4498" s="18"/>
    </row>
    <row r="4499" spans="1:17">
      <c r="A4499" s="18"/>
      <c r="B4499" s="18"/>
      <c r="C4499" s="18"/>
      <c r="D4499" s="18"/>
      <c r="E4499" s="18"/>
      <c r="F4499" s="18"/>
      <c r="G4499" s="18"/>
      <c r="H4499" s="18"/>
      <c r="I4499" s="18"/>
      <c r="J4499" s="18"/>
      <c r="K4499" s="18"/>
      <c r="L4499" s="18"/>
      <c r="M4499" s="18"/>
      <c r="N4499" s="18"/>
      <c r="O4499" s="18"/>
      <c r="P4499" s="18"/>
      <c r="Q4499" s="18"/>
    </row>
    <row r="4500" spans="1:17">
      <c r="A4500" s="18"/>
      <c r="B4500" s="18"/>
      <c r="C4500" s="18"/>
      <c r="D4500" s="18"/>
      <c r="E4500" s="18"/>
      <c r="F4500" s="18"/>
      <c r="G4500" s="18"/>
      <c r="H4500" s="18"/>
      <c r="I4500" s="18"/>
      <c r="J4500" s="18"/>
      <c r="K4500" s="18"/>
      <c r="L4500" s="18"/>
      <c r="M4500" s="18"/>
      <c r="N4500" s="18"/>
      <c r="O4500" s="18"/>
      <c r="P4500" s="18"/>
      <c r="Q4500" s="18"/>
    </row>
    <row r="4501" spans="1:17">
      <c r="A4501" s="18"/>
      <c r="B4501" s="18"/>
      <c r="C4501" s="18"/>
      <c r="D4501" s="18"/>
      <c r="E4501" s="18"/>
      <c r="F4501" s="18"/>
      <c r="G4501" s="18"/>
      <c r="H4501" s="18"/>
      <c r="I4501" s="18"/>
      <c r="J4501" s="18"/>
      <c r="K4501" s="18"/>
      <c r="L4501" s="18"/>
      <c r="M4501" s="18"/>
      <c r="N4501" s="18"/>
      <c r="O4501" s="18"/>
      <c r="P4501" s="18"/>
      <c r="Q4501" s="18"/>
    </row>
    <row r="4502" spans="1:17">
      <c r="A4502" s="18"/>
      <c r="B4502" s="18"/>
      <c r="C4502" s="18"/>
      <c r="D4502" s="18"/>
      <c r="E4502" s="18"/>
      <c r="F4502" s="18"/>
      <c r="G4502" s="18"/>
      <c r="H4502" s="18"/>
      <c r="I4502" s="18"/>
      <c r="J4502" s="18"/>
      <c r="K4502" s="18"/>
      <c r="L4502" s="18"/>
      <c r="M4502" s="18"/>
      <c r="N4502" s="18"/>
      <c r="O4502" s="18"/>
      <c r="P4502" s="18"/>
      <c r="Q4502" s="18"/>
    </row>
    <row r="4503" spans="1:17">
      <c r="A4503" s="18"/>
      <c r="B4503" s="18"/>
      <c r="C4503" s="18"/>
      <c r="D4503" s="18"/>
      <c r="E4503" s="18"/>
      <c r="F4503" s="18"/>
      <c r="G4503" s="18"/>
      <c r="H4503" s="18"/>
      <c r="I4503" s="18"/>
      <c r="J4503" s="18"/>
      <c r="K4503" s="18"/>
      <c r="L4503" s="18"/>
      <c r="M4503" s="18"/>
      <c r="N4503" s="18"/>
      <c r="O4503" s="18"/>
      <c r="P4503" s="18"/>
      <c r="Q4503" s="18"/>
    </row>
    <row r="4504" spans="1:17">
      <c r="A4504" s="18"/>
      <c r="B4504" s="18"/>
      <c r="C4504" s="18"/>
      <c r="D4504" s="18"/>
      <c r="E4504" s="18"/>
      <c r="F4504" s="18"/>
      <c r="G4504" s="18"/>
      <c r="H4504" s="18"/>
      <c r="I4504" s="18"/>
      <c r="J4504" s="18"/>
      <c r="K4504" s="18"/>
      <c r="L4504" s="18"/>
      <c r="M4504" s="18"/>
      <c r="N4504" s="18"/>
      <c r="O4504" s="18"/>
      <c r="P4504" s="18"/>
      <c r="Q4504" s="18"/>
    </row>
    <row r="4505" spans="1:17">
      <c r="A4505" s="18"/>
      <c r="B4505" s="18"/>
      <c r="C4505" s="18"/>
      <c r="D4505" s="18"/>
      <c r="E4505" s="18"/>
      <c r="F4505" s="18"/>
      <c r="G4505" s="18"/>
      <c r="H4505" s="18"/>
      <c r="I4505" s="18"/>
      <c r="J4505" s="18"/>
      <c r="K4505" s="18"/>
      <c r="L4505" s="18"/>
      <c r="M4505" s="18"/>
      <c r="N4505" s="18"/>
      <c r="O4505" s="18"/>
      <c r="P4505" s="18"/>
      <c r="Q4505" s="18"/>
    </row>
    <row r="4506" spans="1:17">
      <c r="A4506" s="18"/>
      <c r="B4506" s="18"/>
      <c r="C4506" s="18"/>
      <c r="D4506" s="18"/>
      <c r="E4506" s="18"/>
      <c r="F4506" s="18"/>
      <c r="G4506" s="18"/>
      <c r="H4506" s="18"/>
      <c r="I4506" s="18"/>
      <c r="J4506" s="18"/>
      <c r="K4506" s="18"/>
      <c r="L4506" s="18"/>
      <c r="M4506" s="18"/>
      <c r="N4506" s="18"/>
      <c r="O4506" s="18"/>
      <c r="P4506" s="18"/>
      <c r="Q4506" s="18"/>
    </row>
    <row r="4507" spans="1:17">
      <c r="A4507" s="18"/>
      <c r="B4507" s="18"/>
      <c r="C4507" s="18"/>
      <c r="D4507" s="18"/>
      <c r="E4507" s="18"/>
      <c r="F4507" s="18"/>
      <c r="G4507" s="18"/>
      <c r="H4507" s="18"/>
      <c r="I4507" s="18"/>
      <c r="J4507" s="18"/>
      <c r="K4507" s="18"/>
      <c r="L4507" s="18"/>
      <c r="M4507" s="18"/>
      <c r="N4507" s="18"/>
      <c r="O4507" s="18"/>
      <c r="P4507" s="18"/>
      <c r="Q4507" s="18"/>
    </row>
    <row r="4508" spans="1:17">
      <c r="A4508" s="18"/>
      <c r="B4508" s="18"/>
      <c r="C4508" s="18"/>
      <c r="D4508" s="18"/>
      <c r="E4508" s="18"/>
      <c r="F4508" s="18"/>
      <c r="G4508" s="18"/>
      <c r="H4508" s="18"/>
      <c r="I4508" s="18"/>
      <c r="J4508" s="18"/>
      <c r="K4508" s="18"/>
      <c r="L4508" s="18"/>
      <c r="M4508" s="18"/>
      <c r="N4508" s="18"/>
      <c r="O4508" s="18"/>
      <c r="P4508" s="18"/>
      <c r="Q4508" s="18"/>
    </row>
    <row r="4509" spans="1:17">
      <c r="A4509" s="18"/>
      <c r="B4509" s="18"/>
      <c r="C4509" s="18"/>
      <c r="D4509" s="18"/>
      <c r="E4509" s="18"/>
      <c r="F4509" s="18"/>
      <c r="G4509" s="18"/>
      <c r="H4509" s="18"/>
      <c r="I4509" s="18"/>
      <c r="J4509" s="18"/>
      <c r="K4509" s="18"/>
      <c r="L4509" s="18"/>
      <c r="M4509" s="18"/>
      <c r="N4509" s="18"/>
      <c r="O4509" s="18"/>
      <c r="P4509" s="18"/>
      <c r="Q4509" s="18"/>
    </row>
    <row r="4510" spans="1:17">
      <c r="A4510" s="18"/>
      <c r="B4510" s="18"/>
      <c r="C4510" s="18"/>
      <c r="D4510" s="18"/>
      <c r="E4510" s="18"/>
      <c r="F4510" s="18"/>
      <c r="G4510" s="18"/>
      <c r="H4510" s="18"/>
      <c r="I4510" s="18"/>
      <c r="J4510" s="18"/>
      <c r="K4510" s="18"/>
      <c r="L4510" s="18"/>
      <c r="M4510" s="18"/>
      <c r="N4510" s="18"/>
      <c r="O4510" s="18"/>
      <c r="P4510" s="18"/>
      <c r="Q4510" s="18"/>
    </row>
    <row r="4511" spans="1:17">
      <c r="A4511" s="18"/>
      <c r="B4511" s="18"/>
      <c r="C4511" s="18"/>
      <c r="D4511" s="18"/>
      <c r="E4511" s="18"/>
      <c r="F4511" s="18"/>
      <c r="G4511" s="18"/>
      <c r="H4511" s="18"/>
      <c r="I4511" s="18"/>
      <c r="J4511" s="18"/>
      <c r="K4511" s="18"/>
      <c r="L4511" s="18"/>
      <c r="M4511" s="18"/>
      <c r="N4511" s="18"/>
      <c r="O4511" s="18"/>
      <c r="P4511" s="18"/>
      <c r="Q4511" s="18"/>
    </row>
    <row r="4512" spans="1:17">
      <c r="A4512" s="18"/>
      <c r="B4512" s="18"/>
      <c r="C4512" s="18"/>
      <c r="D4512" s="18"/>
      <c r="E4512" s="18"/>
      <c r="F4512" s="18"/>
      <c r="G4512" s="18"/>
      <c r="H4512" s="18"/>
      <c r="I4512" s="18"/>
      <c r="J4512" s="18"/>
      <c r="K4512" s="18"/>
      <c r="L4512" s="18"/>
      <c r="M4512" s="18"/>
      <c r="N4512" s="18"/>
      <c r="O4512" s="18"/>
      <c r="P4512" s="18"/>
      <c r="Q4512" s="18"/>
    </row>
    <row r="4513" spans="1:17">
      <c r="A4513" s="18"/>
      <c r="B4513" s="18"/>
      <c r="C4513" s="18"/>
      <c r="D4513" s="18"/>
      <c r="E4513" s="18"/>
      <c r="F4513" s="18"/>
      <c r="G4513" s="18"/>
      <c r="H4513" s="18"/>
      <c r="I4513" s="18"/>
      <c r="J4513" s="18"/>
      <c r="K4513" s="18"/>
      <c r="L4513" s="18"/>
      <c r="M4513" s="18"/>
      <c r="N4513" s="18"/>
      <c r="O4513" s="18"/>
      <c r="P4513" s="18"/>
      <c r="Q4513" s="18"/>
    </row>
    <row r="4514" spans="1:17">
      <c r="A4514" s="18"/>
      <c r="B4514" s="18"/>
      <c r="C4514" s="18"/>
      <c r="D4514" s="18"/>
      <c r="E4514" s="18"/>
      <c r="F4514" s="18"/>
      <c r="G4514" s="18"/>
      <c r="H4514" s="18"/>
      <c r="I4514" s="18"/>
      <c r="J4514" s="18"/>
      <c r="K4514" s="18"/>
      <c r="L4514" s="18"/>
      <c r="M4514" s="18"/>
      <c r="N4514" s="18"/>
      <c r="O4514" s="18"/>
      <c r="P4514" s="18"/>
      <c r="Q4514" s="18"/>
    </row>
    <row r="4515" spans="1:17">
      <c r="A4515" s="18"/>
      <c r="B4515" s="18"/>
      <c r="C4515" s="18"/>
      <c r="D4515" s="18"/>
      <c r="E4515" s="18"/>
      <c r="F4515" s="18"/>
      <c r="G4515" s="18"/>
      <c r="H4515" s="18"/>
      <c r="I4515" s="18"/>
      <c r="J4515" s="18"/>
      <c r="K4515" s="18"/>
      <c r="L4515" s="18"/>
      <c r="M4515" s="18"/>
      <c r="N4515" s="18"/>
      <c r="O4515" s="18"/>
      <c r="P4515" s="18"/>
      <c r="Q4515" s="18"/>
    </row>
    <row r="4516" spans="1:17">
      <c r="A4516" s="18"/>
      <c r="B4516" s="18"/>
      <c r="C4516" s="18"/>
      <c r="D4516" s="18"/>
      <c r="E4516" s="18"/>
      <c r="F4516" s="18"/>
      <c r="G4516" s="18"/>
      <c r="H4516" s="18"/>
      <c r="I4516" s="18"/>
      <c r="J4516" s="18"/>
      <c r="K4516" s="18"/>
      <c r="L4516" s="18"/>
      <c r="M4516" s="18"/>
      <c r="N4516" s="18"/>
      <c r="O4516" s="18"/>
      <c r="P4516" s="18"/>
      <c r="Q4516" s="18"/>
    </row>
    <row r="4517" spans="1:17">
      <c r="A4517" s="18"/>
      <c r="B4517" s="18"/>
      <c r="C4517" s="18"/>
      <c r="D4517" s="18"/>
      <c r="E4517" s="18"/>
      <c r="F4517" s="18"/>
      <c r="G4517" s="18"/>
      <c r="H4517" s="18"/>
      <c r="I4517" s="18"/>
      <c r="J4517" s="18"/>
      <c r="K4517" s="18"/>
      <c r="L4517" s="18"/>
      <c r="M4517" s="18"/>
      <c r="N4517" s="18"/>
      <c r="O4517" s="18"/>
      <c r="P4517" s="18"/>
      <c r="Q4517" s="18"/>
    </row>
    <row r="4518" spans="1:17">
      <c r="A4518" s="18"/>
      <c r="B4518" s="18"/>
      <c r="C4518" s="18"/>
      <c r="D4518" s="18"/>
      <c r="E4518" s="18"/>
      <c r="F4518" s="18"/>
      <c r="G4518" s="18"/>
      <c r="H4518" s="18"/>
      <c r="I4518" s="18"/>
      <c r="J4518" s="18"/>
      <c r="K4518" s="18"/>
      <c r="L4518" s="18"/>
      <c r="M4518" s="18"/>
      <c r="N4518" s="18"/>
      <c r="O4518" s="18"/>
      <c r="P4518" s="18"/>
      <c r="Q4518" s="18"/>
    </row>
    <row r="4519" spans="1:17">
      <c r="A4519" s="18"/>
      <c r="B4519" s="18"/>
      <c r="C4519" s="18"/>
      <c r="D4519" s="18"/>
      <c r="E4519" s="18"/>
      <c r="F4519" s="18"/>
      <c r="G4519" s="18"/>
      <c r="H4519" s="18"/>
      <c r="I4519" s="18"/>
      <c r="J4519" s="18"/>
      <c r="K4519" s="18"/>
      <c r="L4519" s="18"/>
      <c r="M4519" s="18"/>
      <c r="N4519" s="18"/>
      <c r="O4519" s="18"/>
      <c r="P4519" s="18"/>
      <c r="Q4519" s="18"/>
    </row>
    <row r="4520" spans="1:17">
      <c r="A4520" s="18"/>
      <c r="B4520" s="18"/>
      <c r="C4520" s="18"/>
      <c r="D4520" s="18"/>
      <c r="E4520" s="18"/>
      <c r="F4520" s="18"/>
      <c r="G4520" s="18"/>
      <c r="H4520" s="18"/>
      <c r="I4520" s="18"/>
      <c r="J4520" s="18"/>
      <c r="K4520" s="18"/>
      <c r="L4520" s="18"/>
      <c r="M4520" s="18"/>
      <c r="N4520" s="18"/>
      <c r="O4520" s="18"/>
      <c r="P4520" s="18"/>
      <c r="Q4520" s="18"/>
    </row>
    <row r="4521" spans="1:17">
      <c r="A4521" s="18"/>
      <c r="B4521" s="18"/>
      <c r="C4521" s="18"/>
      <c r="D4521" s="18"/>
      <c r="E4521" s="18"/>
      <c r="F4521" s="18"/>
      <c r="G4521" s="18"/>
      <c r="H4521" s="18"/>
      <c r="I4521" s="18"/>
      <c r="J4521" s="18"/>
      <c r="K4521" s="18"/>
      <c r="L4521" s="18"/>
      <c r="M4521" s="18"/>
      <c r="N4521" s="18"/>
      <c r="O4521" s="18"/>
      <c r="P4521" s="18"/>
      <c r="Q4521" s="18"/>
    </row>
    <row r="4522" spans="1:17">
      <c r="A4522" s="18"/>
      <c r="B4522" s="18"/>
      <c r="C4522" s="18"/>
      <c r="D4522" s="18"/>
      <c r="E4522" s="18"/>
      <c r="F4522" s="18"/>
      <c r="G4522" s="18"/>
      <c r="H4522" s="18"/>
      <c r="I4522" s="18"/>
      <c r="J4522" s="18"/>
      <c r="K4522" s="18"/>
      <c r="L4522" s="18"/>
      <c r="M4522" s="18"/>
      <c r="N4522" s="18"/>
      <c r="O4522" s="18"/>
      <c r="P4522" s="18"/>
      <c r="Q4522" s="18"/>
    </row>
    <row r="4523" spans="1:17">
      <c r="A4523" s="18"/>
      <c r="B4523" s="18"/>
      <c r="C4523" s="18"/>
      <c r="D4523" s="18"/>
      <c r="E4523" s="18"/>
      <c r="F4523" s="18"/>
      <c r="G4523" s="18"/>
      <c r="H4523" s="18"/>
      <c r="I4523" s="18"/>
      <c r="J4523" s="18"/>
      <c r="K4523" s="18"/>
      <c r="L4523" s="18"/>
      <c r="M4523" s="18"/>
      <c r="N4523" s="18"/>
      <c r="O4523" s="18"/>
      <c r="P4523" s="18"/>
      <c r="Q4523" s="18"/>
    </row>
    <row r="4524" spans="1:17">
      <c r="A4524" s="18"/>
      <c r="B4524" s="18"/>
      <c r="C4524" s="18"/>
      <c r="D4524" s="18"/>
      <c r="E4524" s="18"/>
      <c r="F4524" s="18"/>
      <c r="G4524" s="18"/>
      <c r="H4524" s="18"/>
      <c r="I4524" s="18"/>
      <c r="J4524" s="18"/>
      <c r="K4524" s="18"/>
      <c r="L4524" s="18"/>
      <c r="M4524" s="18"/>
      <c r="N4524" s="18"/>
      <c r="O4524" s="18"/>
      <c r="P4524" s="18"/>
      <c r="Q4524" s="18"/>
    </row>
    <row r="4525" spans="1:17">
      <c r="A4525" s="18"/>
      <c r="B4525" s="18"/>
      <c r="C4525" s="18"/>
      <c r="D4525" s="18"/>
      <c r="E4525" s="18"/>
      <c r="F4525" s="18"/>
      <c r="G4525" s="18"/>
      <c r="H4525" s="18"/>
      <c r="I4525" s="18"/>
      <c r="J4525" s="18"/>
      <c r="K4525" s="18"/>
      <c r="L4525" s="18"/>
      <c r="M4525" s="18"/>
      <c r="N4525" s="18"/>
      <c r="O4525" s="18"/>
      <c r="P4525" s="18"/>
      <c r="Q4525" s="18"/>
    </row>
    <row r="4526" spans="1:17">
      <c r="A4526" s="18"/>
      <c r="B4526" s="18"/>
      <c r="C4526" s="18"/>
      <c r="D4526" s="18"/>
      <c r="E4526" s="18"/>
      <c r="F4526" s="18"/>
      <c r="G4526" s="18"/>
      <c r="H4526" s="18"/>
      <c r="I4526" s="18"/>
      <c r="J4526" s="18"/>
      <c r="K4526" s="18"/>
      <c r="L4526" s="18"/>
      <c r="M4526" s="18"/>
      <c r="N4526" s="18"/>
      <c r="O4526" s="18"/>
      <c r="P4526" s="18"/>
      <c r="Q4526" s="18"/>
    </row>
    <row r="4527" spans="1:17">
      <c r="A4527" s="18"/>
      <c r="B4527" s="18"/>
      <c r="C4527" s="18"/>
      <c r="D4527" s="18"/>
      <c r="E4527" s="18"/>
      <c r="F4527" s="18"/>
      <c r="G4527" s="18"/>
      <c r="H4527" s="18"/>
      <c r="I4527" s="18"/>
      <c r="J4527" s="18"/>
      <c r="K4527" s="18"/>
      <c r="L4527" s="18"/>
      <c r="M4527" s="18"/>
      <c r="N4527" s="18"/>
      <c r="O4527" s="18"/>
      <c r="P4527" s="18"/>
      <c r="Q4527" s="18"/>
    </row>
    <row r="4528" spans="1:17">
      <c r="A4528" s="18"/>
      <c r="B4528" s="18"/>
      <c r="C4528" s="18"/>
      <c r="D4528" s="18"/>
      <c r="E4528" s="18"/>
      <c r="F4528" s="18"/>
      <c r="G4528" s="18"/>
      <c r="H4528" s="18"/>
      <c r="I4528" s="18"/>
      <c r="J4528" s="18"/>
      <c r="K4528" s="18"/>
      <c r="L4528" s="18"/>
      <c r="M4528" s="18"/>
      <c r="N4528" s="18"/>
      <c r="O4528" s="18"/>
      <c r="P4528" s="18"/>
      <c r="Q4528" s="18"/>
    </row>
    <row r="4529" spans="1:17">
      <c r="A4529" s="18"/>
      <c r="B4529" s="18"/>
      <c r="C4529" s="18"/>
      <c r="D4529" s="18"/>
      <c r="E4529" s="18"/>
      <c r="F4529" s="18"/>
      <c r="G4529" s="18"/>
      <c r="H4529" s="18"/>
      <c r="I4529" s="18"/>
      <c r="J4529" s="18"/>
      <c r="K4529" s="18"/>
      <c r="L4529" s="18"/>
      <c r="M4529" s="18"/>
      <c r="N4529" s="18"/>
      <c r="O4529" s="18"/>
      <c r="P4529" s="18"/>
      <c r="Q4529" s="18"/>
    </row>
    <row r="4530" spans="1:17">
      <c r="A4530" s="18"/>
      <c r="B4530" s="18"/>
      <c r="C4530" s="18"/>
      <c r="D4530" s="18"/>
      <c r="E4530" s="18"/>
      <c r="F4530" s="18"/>
      <c r="G4530" s="18"/>
      <c r="H4530" s="18"/>
      <c r="I4530" s="18"/>
      <c r="J4530" s="18"/>
      <c r="K4530" s="18"/>
      <c r="L4530" s="18"/>
      <c r="M4530" s="18"/>
      <c r="N4530" s="18"/>
      <c r="O4530" s="18"/>
      <c r="P4530" s="18"/>
      <c r="Q4530" s="18"/>
    </row>
    <row r="4531" spans="1:17">
      <c r="A4531" s="18"/>
      <c r="B4531" s="18"/>
      <c r="C4531" s="18"/>
      <c r="D4531" s="18"/>
      <c r="E4531" s="18"/>
      <c r="F4531" s="18"/>
      <c r="G4531" s="18"/>
      <c r="H4531" s="18"/>
      <c r="I4531" s="18"/>
      <c r="J4531" s="18"/>
      <c r="K4531" s="18"/>
      <c r="L4531" s="18"/>
      <c r="M4531" s="18"/>
      <c r="N4531" s="18"/>
      <c r="O4531" s="18"/>
      <c r="P4531" s="18"/>
      <c r="Q4531" s="18"/>
    </row>
    <row r="4532" spans="1:17">
      <c r="A4532" s="18"/>
      <c r="B4532" s="18"/>
      <c r="C4532" s="18"/>
      <c r="D4532" s="18"/>
      <c r="E4532" s="18"/>
      <c r="F4532" s="18"/>
      <c r="G4532" s="18"/>
      <c r="H4532" s="18"/>
      <c r="I4532" s="18"/>
      <c r="J4532" s="18"/>
      <c r="K4532" s="18"/>
      <c r="L4532" s="18"/>
      <c r="M4532" s="18"/>
      <c r="N4532" s="18"/>
      <c r="O4532" s="18"/>
      <c r="P4532" s="18"/>
      <c r="Q4532" s="18"/>
    </row>
    <row r="4533" spans="1:17">
      <c r="A4533" s="18"/>
      <c r="B4533" s="18"/>
      <c r="C4533" s="18"/>
      <c r="D4533" s="18"/>
      <c r="E4533" s="18"/>
      <c r="F4533" s="18"/>
      <c r="G4533" s="18"/>
      <c r="H4533" s="18"/>
      <c r="I4533" s="18"/>
      <c r="J4533" s="18"/>
      <c r="K4533" s="18"/>
      <c r="L4533" s="18"/>
      <c r="M4533" s="18"/>
      <c r="N4533" s="18"/>
      <c r="O4533" s="18"/>
      <c r="P4533" s="18"/>
      <c r="Q4533" s="18"/>
    </row>
    <row r="4534" spans="1:17">
      <c r="A4534" s="18"/>
      <c r="B4534" s="18"/>
      <c r="C4534" s="18"/>
      <c r="D4534" s="18"/>
      <c r="E4534" s="18"/>
      <c r="F4534" s="18"/>
      <c r="G4534" s="18"/>
      <c r="H4534" s="18"/>
      <c r="I4534" s="18"/>
      <c r="J4534" s="18"/>
      <c r="K4534" s="18"/>
      <c r="L4534" s="18"/>
      <c r="M4534" s="18"/>
      <c r="N4534" s="18"/>
      <c r="O4534" s="18"/>
      <c r="P4534" s="18"/>
      <c r="Q4534" s="18"/>
    </row>
    <row r="4535" spans="1:17">
      <c r="A4535" s="18"/>
      <c r="B4535" s="18"/>
      <c r="C4535" s="18"/>
      <c r="D4535" s="18"/>
      <c r="E4535" s="18"/>
      <c r="F4535" s="18"/>
      <c r="G4535" s="18"/>
      <c r="H4535" s="18"/>
      <c r="I4535" s="18"/>
      <c r="J4535" s="18"/>
      <c r="K4535" s="18"/>
      <c r="L4535" s="18"/>
      <c r="M4535" s="18"/>
      <c r="N4535" s="18"/>
      <c r="O4535" s="18"/>
      <c r="P4535" s="18"/>
      <c r="Q4535" s="18"/>
    </row>
    <row r="4536" spans="1:17">
      <c r="A4536" s="18"/>
      <c r="B4536" s="18"/>
      <c r="C4536" s="18"/>
      <c r="D4536" s="18"/>
      <c r="E4536" s="18"/>
      <c r="F4536" s="18"/>
      <c r="G4536" s="18"/>
      <c r="H4536" s="18"/>
      <c r="I4536" s="18"/>
      <c r="J4536" s="18"/>
      <c r="K4536" s="18"/>
      <c r="L4536" s="18"/>
      <c r="M4536" s="18"/>
      <c r="N4536" s="18"/>
      <c r="O4536" s="18"/>
      <c r="P4536" s="18"/>
      <c r="Q4536" s="18"/>
    </row>
    <row r="4537" spans="1:17">
      <c r="A4537" s="18"/>
      <c r="B4537" s="18"/>
      <c r="C4537" s="18"/>
      <c r="D4537" s="18"/>
      <c r="E4537" s="18"/>
      <c r="F4537" s="18"/>
      <c r="G4537" s="18"/>
      <c r="H4537" s="18"/>
      <c r="I4537" s="18"/>
      <c r="J4537" s="18"/>
      <c r="K4537" s="18"/>
      <c r="L4537" s="18"/>
      <c r="M4537" s="18"/>
      <c r="N4537" s="18"/>
      <c r="O4537" s="18"/>
      <c r="P4537" s="18"/>
      <c r="Q4537" s="18"/>
    </row>
    <row r="4538" spans="1:17">
      <c r="A4538" s="18"/>
      <c r="B4538" s="18"/>
      <c r="C4538" s="18"/>
      <c r="D4538" s="18"/>
      <c r="E4538" s="18"/>
      <c r="F4538" s="18"/>
      <c r="G4538" s="18"/>
      <c r="H4538" s="18"/>
      <c r="I4538" s="18"/>
      <c r="J4538" s="18"/>
      <c r="K4538" s="18"/>
      <c r="L4538" s="18"/>
      <c r="M4538" s="18"/>
      <c r="N4538" s="18"/>
      <c r="O4538" s="18"/>
      <c r="P4538" s="18"/>
      <c r="Q4538" s="18"/>
    </row>
    <row r="4539" spans="1:17">
      <c r="A4539" s="18"/>
      <c r="B4539" s="18"/>
      <c r="C4539" s="18"/>
      <c r="D4539" s="18"/>
      <c r="E4539" s="18"/>
      <c r="F4539" s="18"/>
      <c r="G4539" s="18"/>
      <c r="H4539" s="18"/>
      <c r="I4539" s="18"/>
      <c r="J4539" s="18"/>
      <c r="K4539" s="18"/>
      <c r="L4539" s="18"/>
      <c r="M4539" s="18"/>
      <c r="N4539" s="18"/>
      <c r="O4539" s="18"/>
      <c r="P4539" s="18"/>
      <c r="Q4539" s="18"/>
    </row>
    <row r="4540" spans="1:17">
      <c r="A4540" s="18"/>
      <c r="B4540" s="18"/>
      <c r="C4540" s="18"/>
      <c r="D4540" s="18"/>
      <c r="E4540" s="18"/>
      <c r="F4540" s="18"/>
      <c r="G4540" s="18"/>
      <c r="H4540" s="18"/>
      <c r="I4540" s="18"/>
      <c r="J4540" s="18"/>
      <c r="K4540" s="18"/>
      <c r="L4540" s="18"/>
      <c r="M4540" s="18"/>
      <c r="N4540" s="18"/>
      <c r="O4540" s="18"/>
      <c r="P4540" s="18"/>
      <c r="Q4540" s="18"/>
    </row>
    <row r="4541" spans="1:17">
      <c r="A4541" s="18"/>
      <c r="B4541" s="18"/>
      <c r="C4541" s="18"/>
      <c r="D4541" s="18"/>
      <c r="E4541" s="18"/>
      <c r="F4541" s="18"/>
      <c r="G4541" s="18"/>
      <c r="H4541" s="18"/>
      <c r="I4541" s="18"/>
      <c r="J4541" s="18"/>
      <c r="K4541" s="18"/>
      <c r="L4541" s="18"/>
      <c r="M4541" s="18"/>
      <c r="N4541" s="18"/>
      <c r="O4541" s="18"/>
      <c r="P4541" s="18"/>
      <c r="Q4541" s="18"/>
    </row>
    <row r="4542" spans="1:17">
      <c r="A4542" s="18"/>
      <c r="B4542" s="18"/>
      <c r="C4542" s="18"/>
      <c r="D4542" s="18"/>
      <c r="E4542" s="18"/>
      <c r="F4542" s="18"/>
      <c r="G4542" s="18"/>
      <c r="H4542" s="18"/>
      <c r="I4542" s="18"/>
      <c r="J4542" s="18"/>
      <c r="K4542" s="18"/>
      <c r="L4542" s="18"/>
      <c r="M4542" s="18"/>
      <c r="N4542" s="18"/>
      <c r="O4542" s="18"/>
      <c r="P4542" s="18"/>
      <c r="Q4542" s="18"/>
    </row>
    <row r="4543" spans="1:17">
      <c r="A4543" s="18"/>
      <c r="B4543" s="18"/>
      <c r="C4543" s="18"/>
      <c r="D4543" s="18"/>
      <c r="E4543" s="18"/>
      <c r="F4543" s="18"/>
      <c r="G4543" s="18"/>
      <c r="H4543" s="18"/>
      <c r="I4543" s="18"/>
      <c r="J4543" s="18"/>
      <c r="K4543" s="18"/>
      <c r="L4543" s="18"/>
      <c r="M4543" s="18"/>
      <c r="N4543" s="18"/>
      <c r="O4543" s="18"/>
      <c r="P4543" s="18"/>
      <c r="Q4543" s="18"/>
    </row>
    <row r="4544" spans="1:17">
      <c r="A4544" s="18"/>
      <c r="B4544" s="18"/>
      <c r="C4544" s="18"/>
      <c r="D4544" s="18"/>
      <c r="E4544" s="18"/>
      <c r="F4544" s="18"/>
      <c r="G4544" s="18"/>
      <c r="H4544" s="18"/>
      <c r="I4544" s="18"/>
      <c r="J4544" s="18"/>
      <c r="K4544" s="18"/>
      <c r="L4544" s="18"/>
      <c r="M4544" s="18"/>
      <c r="N4544" s="18"/>
      <c r="O4544" s="18"/>
      <c r="P4544" s="18"/>
      <c r="Q4544" s="18"/>
    </row>
    <row r="4545" spans="1:17">
      <c r="A4545" s="18"/>
      <c r="B4545" s="18"/>
      <c r="C4545" s="18"/>
      <c r="D4545" s="18"/>
      <c r="E4545" s="18"/>
      <c r="F4545" s="18"/>
      <c r="G4545" s="18"/>
      <c r="H4545" s="18"/>
      <c r="I4545" s="18"/>
      <c r="J4545" s="18"/>
      <c r="K4545" s="18"/>
      <c r="L4545" s="18"/>
      <c r="M4545" s="18"/>
      <c r="N4545" s="18"/>
      <c r="O4545" s="18"/>
      <c r="P4545" s="18"/>
      <c r="Q4545" s="18"/>
    </row>
    <row r="4546" spans="1:17">
      <c r="A4546" s="18"/>
      <c r="B4546" s="18"/>
      <c r="C4546" s="18"/>
      <c r="D4546" s="18"/>
      <c r="E4546" s="18"/>
      <c r="F4546" s="18"/>
      <c r="G4546" s="18"/>
      <c r="H4546" s="18"/>
      <c r="I4546" s="18"/>
      <c r="J4546" s="18"/>
      <c r="K4546" s="18"/>
      <c r="L4546" s="18"/>
      <c r="M4546" s="18"/>
      <c r="N4546" s="18"/>
      <c r="O4546" s="18"/>
      <c r="P4546" s="18"/>
      <c r="Q4546" s="18"/>
    </row>
    <row r="4547" spans="1:17">
      <c r="A4547" s="18"/>
      <c r="B4547" s="18"/>
      <c r="C4547" s="18"/>
      <c r="D4547" s="18"/>
      <c r="E4547" s="18"/>
      <c r="F4547" s="18"/>
      <c r="G4547" s="18"/>
      <c r="H4547" s="18"/>
      <c r="I4547" s="18"/>
      <c r="J4547" s="18"/>
      <c r="K4547" s="18"/>
      <c r="L4547" s="18"/>
      <c r="M4547" s="18"/>
      <c r="N4547" s="18"/>
      <c r="O4547" s="18"/>
      <c r="P4547" s="18"/>
      <c r="Q4547" s="18"/>
    </row>
    <row r="4548" spans="1:17">
      <c r="A4548" s="18"/>
      <c r="B4548" s="18"/>
      <c r="C4548" s="18"/>
      <c r="D4548" s="18"/>
      <c r="E4548" s="18"/>
      <c r="F4548" s="18"/>
      <c r="G4548" s="18"/>
      <c r="H4548" s="18"/>
      <c r="I4548" s="18"/>
      <c r="J4548" s="18"/>
      <c r="K4548" s="18"/>
      <c r="L4548" s="18"/>
      <c r="M4548" s="18"/>
      <c r="N4548" s="18"/>
      <c r="O4548" s="18"/>
      <c r="P4548" s="18"/>
      <c r="Q4548" s="18"/>
    </row>
    <row r="4549" spans="1:17">
      <c r="A4549" s="18"/>
      <c r="B4549" s="18"/>
      <c r="C4549" s="18"/>
      <c r="D4549" s="18"/>
      <c r="E4549" s="18"/>
      <c r="F4549" s="18"/>
      <c r="G4549" s="18"/>
      <c r="H4549" s="18"/>
      <c r="I4549" s="18"/>
      <c r="J4549" s="18"/>
      <c r="K4549" s="18"/>
      <c r="L4549" s="18"/>
      <c r="M4549" s="18"/>
      <c r="N4549" s="18"/>
      <c r="O4549" s="18"/>
      <c r="P4549" s="18"/>
      <c r="Q4549" s="18"/>
    </row>
    <row r="4550" spans="1:17">
      <c r="A4550" s="18"/>
      <c r="B4550" s="18"/>
      <c r="C4550" s="18"/>
      <c r="D4550" s="18"/>
      <c r="E4550" s="18"/>
      <c r="F4550" s="18"/>
      <c r="G4550" s="18"/>
      <c r="H4550" s="18"/>
      <c r="I4550" s="18"/>
      <c r="J4550" s="18"/>
      <c r="K4550" s="18"/>
      <c r="L4550" s="18"/>
      <c r="M4550" s="18"/>
      <c r="N4550" s="18"/>
      <c r="O4550" s="18"/>
      <c r="P4550" s="18"/>
      <c r="Q4550" s="18"/>
    </row>
    <row r="4551" spans="1:17">
      <c r="A4551" s="18"/>
      <c r="B4551" s="18"/>
      <c r="C4551" s="18"/>
      <c r="D4551" s="18"/>
      <c r="E4551" s="18"/>
      <c r="F4551" s="18"/>
      <c r="G4551" s="18"/>
      <c r="H4551" s="18"/>
      <c r="I4551" s="18"/>
      <c r="J4551" s="18"/>
      <c r="K4551" s="18"/>
      <c r="L4551" s="18"/>
      <c r="M4551" s="18"/>
      <c r="N4551" s="18"/>
      <c r="O4551" s="18"/>
      <c r="P4551" s="18"/>
      <c r="Q4551" s="18"/>
    </row>
    <row r="4552" spans="1:17">
      <c r="A4552" s="18"/>
      <c r="B4552" s="18"/>
      <c r="C4552" s="18"/>
      <c r="D4552" s="18"/>
      <c r="E4552" s="18"/>
      <c r="F4552" s="18"/>
      <c r="G4552" s="18"/>
      <c r="H4552" s="18"/>
      <c r="I4552" s="18"/>
      <c r="J4552" s="18"/>
      <c r="K4552" s="18"/>
      <c r="L4552" s="18"/>
      <c r="M4552" s="18"/>
      <c r="N4552" s="18"/>
      <c r="O4552" s="18"/>
      <c r="P4552" s="18"/>
      <c r="Q4552" s="18"/>
    </row>
    <row r="4553" spans="1:17">
      <c r="A4553" s="18"/>
      <c r="B4553" s="18"/>
      <c r="C4553" s="18"/>
      <c r="D4553" s="18"/>
      <c r="E4553" s="18"/>
      <c r="F4553" s="18"/>
      <c r="G4553" s="18"/>
      <c r="H4553" s="18"/>
      <c r="I4553" s="18"/>
      <c r="J4553" s="18"/>
      <c r="K4553" s="18"/>
      <c r="L4553" s="18"/>
      <c r="M4553" s="18"/>
      <c r="N4553" s="18"/>
      <c r="O4553" s="18"/>
      <c r="P4553" s="18"/>
      <c r="Q4553" s="18"/>
    </row>
    <row r="4554" spans="1:17">
      <c r="A4554" s="18"/>
      <c r="B4554" s="18"/>
      <c r="C4554" s="18"/>
      <c r="D4554" s="18"/>
      <c r="E4554" s="18"/>
      <c r="F4554" s="18"/>
      <c r="G4554" s="18"/>
      <c r="H4554" s="18"/>
      <c r="I4554" s="18"/>
      <c r="J4554" s="18"/>
      <c r="K4554" s="18"/>
      <c r="L4554" s="18"/>
      <c r="M4554" s="18"/>
      <c r="N4554" s="18"/>
      <c r="O4554" s="18"/>
      <c r="P4554" s="18"/>
      <c r="Q4554" s="18"/>
    </row>
    <row r="4555" spans="1:17">
      <c r="A4555" s="18"/>
      <c r="B4555" s="18"/>
      <c r="C4555" s="18"/>
      <c r="D4555" s="18"/>
      <c r="E4555" s="18"/>
      <c r="F4555" s="18"/>
      <c r="G4555" s="18"/>
      <c r="H4555" s="18"/>
      <c r="I4555" s="18"/>
      <c r="J4555" s="18"/>
      <c r="K4555" s="18"/>
      <c r="L4555" s="18"/>
      <c r="M4555" s="18"/>
      <c r="N4555" s="18"/>
      <c r="O4555" s="18"/>
      <c r="P4555" s="18"/>
      <c r="Q4555" s="18"/>
    </row>
    <row r="4556" spans="1:17">
      <c r="A4556" s="18"/>
      <c r="B4556" s="18"/>
      <c r="C4556" s="18"/>
      <c r="D4556" s="18"/>
      <c r="E4556" s="18"/>
      <c r="F4556" s="18"/>
      <c r="G4556" s="18"/>
      <c r="H4556" s="18"/>
      <c r="I4556" s="18"/>
      <c r="J4556" s="18"/>
      <c r="K4556" s="18"/>
      <c r="L4556" s="18"/>
      <c r="M4556" s="18"/>
      <c r="N4556" s="18"/>
      <c r="O4556" s="18"/>
      <c r="P4556" s="18"/>
      <c r="Q4556" s="18"/>
    </row>
    <row r="4557" spans="1:17">
      <c r="A4557" s="18"/>
      <c r="B4557" s="18"/>
      <c r="C4557" s="18"/>
      <c r="D4557" s="18"/>
      <c r="E4557" s="18"/>
      <c r="F4557" s="18"/>
      <c r="G4557" s="18"/>
      <c r="H4557" s="18"/>
      <c r="I4557" s="18"/>
      <c r="J4557" s="18"/>
      <c r="K4557" s="18"/>
      <c r="L4557" s="18"/>
      <c r="M4557" s="18"/>
      <c r="N4557" s="18"/>
      <c r="O4557" s="18"/>
      <c r="P4557" s="18"/>
      <c r="Q4557" s="18"/>
    </row>
    <row r="4558" spans="1:17">
      <c r="A4558" s="18"/>
      <c r="B4558" s="18"/>
      <c r="C4558" s="18"/>
      <c r="D4558" s="18"/>
      <c r="E4558" s="18"/>
      <c r="F4558" s="18"/>
      <c r="G4558" s="18"/>
      <c r="H4558" s="18"/>
      <c r="I4558" s="18"/>
      <c r="J4558" s="18"/>
      <c r="K4558" s="18"/>
      <c r="L4558" s="18"/>
      <c r="M4558" s="18"/>
      <c r="N4558" s="18"/>
      <c r="O4558" s="18"/>
      <c r="P4558" s="18"/>
      <c r="Q4558" s="18"/>
    </row>
    <row r="4559" spans="1:17">
      <c r="A4559" s="18"/>
      <c r="B4559" s="18"/>
      <c r="C4559" s="18"/>
      <c r="D4559" s="18"/>
      <c r="E4559" s="18"/>
      <c r="F4559" s="18"/>
      <c r="G4559" s="18"/>
      <c r="H4559" s="18"/>
      <c r="I4559" s="18"/>
      <c r="J4559" s="18"/>
      <c r="K4559" s="18"/>
      <c r="L4559" s="18"/>
      <c r="M4559" s="18"/>
      <c r="N4559" s="18"/>
      <c r="O4559" s="18"/>
      <c r="P4559" s="18"/>
      <c r="Q4559" s="18"/>
    </row>
    <row r="4560" spans="1:17">
      <c r="A4560" s="18"/>
      <c r="B4560" s="18"/>
      <c r="C4560" s="18"/>
      <c r="D4560" s="18"/>
      <c r="E4560" s="18"/>
      <c r="F4560" s="18"/>
      <c r="G4560" s="18"/>
      <c r="H4560" s="18"/>
      <c r="I4560" s="18"/>
      <c r="J4560" s="18"/>
      <c r="K4560" s="18"/>
      <c r="L4560" s="18"/>
      <c r="M4560" s="18"/>
      <c r="N4560" s="18"/>
      <c r="O4560" s="18"/>
      <c r="P4560" s="18"/>
      <c r="Q4560" s="18"/>
    </row>
    <row r="4561" spans="1:17">
      <c r="A4561" s="18"/>
      <c r="B4561" s="18"/>
      <c r="C4561" s="18"/>
      <c r="D4561" s="18"/>
      <c r="E4561" s="18"/>
      <c r="F4561" s="18"/>
      <c r="G4561" s="18"/>
      <c r="H4561" s="18"/>
      <c r="I4561" s="18"/>
      <c r="J4561" s="18"/>
      <c r="K4561" s="18"/>
      <c r="L4561" s="18"/>
      <c r="M4561" s="18"/>
      <c r="N4561" s="18"/>
      <c r="O4561" s="18"/>
      <c r="P4561" s="18"/>
      <c r="Q4561" s="18"/>
    </row>
    <row r="4562" spans="1:17">
      <c r="A4562" s="18"/>
      <c r="B4562" s="18"/>
      <c r="C4562" s="18"/>
      <c r="D4562" s="18"/>
      <c r="E4562" s="18"/>
      <c r="F4562" s="18"/>
      <c r="G4562" s="18"/>
      <c r="H4562" s="18"/>
      <c r="I4562" s="18"/>
      <c r="J4562" s="18"/>
      <c r="K4562" s="18"/>
      <c r="L4562" s="18"/>
      <c r="M4562" s="18"/>
      <c r="N4562" s="18"/>
      <c r="O4562" s="18"/>
      <c r="P4562" s="18"/>
      <c r="Q4562" s="18"/>
    </row>
    <row r="4563" spans="1:17">
      <c r="A4563" s="18"/>
      <c r="B4563" s="18"/>
      <c r="C4563" s="18"/>
      <c r="D4563" s="18"/>
      <c r="E4563" s="18"/>
      <c r="F4563" s="18"/>
      <c r="G4563" s="18"/>
      <c r="H4563" s="18"/>
      <c r="I4563" s="18"/>
      <c r="J4563" s="18"/>
      <c r="K4563" s="18"/>
      <c r="L4563" s="18"/>
      <c r="M4563" s="18"/>
      <c r="N4563" s="18"/>
      <c r="O4563" s="18"/>
      <c r="P4563" s="18"/>
      <c r="Q4563" s="18"/>
    </row>
    <row r="4564" spans="1:17">
      <c r="A4564" s="18"/>
      <c r="B4564" s="18"/>
      <c r="C4564" s="18"/>
      <c r="D4564" s="18"/>
      <c r="E4564" s="18"/>
      <c r="F4564" s="18"/>
      <c r="G4564" s="18"/>
      <c r="H4564" s="18"/>
      <c r="I4564" s="18"/>
      <c r="J4564" s="18"/>
      <c r="K4564" s="18"/>
      <c r="L4564" s="18"/>
      <c r="M4564" s="18"/>
      <c r="N4564" s="18"/>
      <c r="O4564" s="18"/>
      <c r="P4564" s="18"/>
      <c r="Q4564" s="18"/>
    </row>
    <row r="4565" spans="1:17">
      <c r="A4565" s="18"/>
      <c r="B4565" s="18"/>
      <c r="C4565" s="18"/>
      <c r="D4565" s="18"/>
      <c r="E4565" s="18"/>
      <c r="F4565" s="18"/>
      <c r="G4565" s="18"/>
      <c r="H4565" s="18"/>
      <c r="I4565" s="18"/>
      <c r="J4565" s="18"/>
      <c r="K4565" s="18"/>
      <c r="L4565" s="18"/>
      <c r="M4565" s="18"/>
      <c r="N4565" s="18"/>
      <c r="O4565" s="18"/>
      <c r="P4565" s="18"/>
      <c r="Q4565" s="18"/>
    </row>
    <row r="4566" spans="1:17">
      <c r="A4566" s="18"/>
      <c r="B4566" s="18"/>
      <c r="C4566" s="18"/>
      <c r="D4566" s="18"/>
      <c r="E4566" s="18"/>
      <c r="F4566" s="18"/>
      <c r="G4566" s="18"/>
      <c r="H4566" s="18"/>
      <c r="I4566" s="18"/>
      <c r="J4566" s="18"/>
      <c r="K4566" s="18"/>
      <c r="L4566" s="18"/>
      <c r="M4566" s="18"/>
      <c r="N4566" s="18"/>
      <c r="O4566" s="18"/>
      <c r="P4566" s="18"/>
      <c r="Q4566" s="18"/>
    </row>
    <row r="4567" spans="1:17">
      <c r="A4567" s="18"/>
      <c r="B4567" s="18"/>
      <c r="C4567" s="18"/>
      <c r="D4567" s="18"/>
      <c r="E4567" s="18"/>
      <c r="F4567" s="18"/>
      <c r="G4567" s="18"/>
      <c r="H4567" s="18"/>
      <c r="I4567" s="18"/>
      <c r="J4567" s="18"/>
      <c r="K4567" s="18"/>
      <c r="L4567" s="18"/>
      <c r="M4567" s="18"/>
      <c r="N4567" s="18"/>
      <c r="O4567" s="18"/>
      <c r="P4567" s="18"/>
      <c r="Q4567" s="18"/>
    </row>
    <row r="4568" spans="1:17">
      <c r="A4568" s="18"/>
      <c r="B4568" s="18"/>
      <c r="C4568" s="18"/>
      <c r="D4568" s="18"/>
      <c r="E4568" s="18"/>
      <c r="F4568" s="18"/>
      <c r="G4568" s="18"/>
      <c r="H4568" s="18"/>
      <c r="I4568" s="18"/>
      <c r="J4568" s="18"/>
      <c r="K4568" s="18"/>
      <c r="L4568" s="18"/>
      <c r="M4568" s="18"/>
      <c r="N4568" s="18"/>
      <c r="O4568" s="18"/>
      <c r="P4568" s="18"/>
      <c r="Q4568" s="18"/>
    </row>
    <row r="4569" spans="1:17">
      <c r="A4569" s="18"/>
      <c r="B4569" s="18"/>
      <c r="C4569" s="18"/>
      <c r="D4569" s="18"/>
      <c r="E4569" s="18"/>
      <c r="F4569" s="18"/>
      <c r="G4569" s="18"/>
      <c r="H4569" s="18"/>
      <c r="I4569" s="18"/>
      <c r="J4569" s="18"/>
      <c r="K4569" s="18"/>
      <c r="L4569" s="18"/>
      <c r="M4569" s="18"/>
      <c r="N4569" s="18"/>
      <c r="O4569" s="18"/>
      <c r="P4569" s="18"/>
      <c r="Q4569" s="18"/>
    </row>
    <row r="4570" spans="1:17">
      <c r="A4570" s="18"/>
      <c r="B4570" s="18"/>
      <c r="C4570" s="18"/>
      <c r="D4570" s="18"/>
      <c r="E4570" s="18"/>
      <c r="F4570" s="18"/>
      <c r="G4570" s="18"/>
      <c r="H4570" s="18"/>
      <c r="I4570" s="18"/>
      <c r="J4570" s="18"/>
      <c r="K4570" s="18"/>
      <c r="L4570" s="18"/>
      <c r="M4570" s="18"/>
      <c r="N4570" s="18"/>
      <c r="O4570" s="18"/>
      <c r="P4570" s="18"/>
      <c r="Q4570" s="18"/>
    </row>
    <row r="4571" spans="1:17">
      <c r="A4571" s="18"/>
      <c r="B4571" s="18"/>
      <c r="C4571" s="18"/>
      <c r="D4571" s="18"/>
      <c r="E4571" s="18"/>
      <c r="F4571" s="18"/>
      <c r="G4571" s="18"/>
      <c r="H4571" s="18"/>
      <c r="I4571" s="18"/>
      <c r="J4571" s="18"/>
      <c r="K4571" s="18"/>
      <c r="L4571" s="18"/>
      <c r="M4571" s="18"/>
      <c r="N4571" s="18"/>
      <c r="O4571" s="18"/>
      <c r="P4571" s="18"/>
      <c r="Q4571" s="18"/>
    </row>
    <row r="4572" spans="1:17">
      <c r="A4572" s="18"/>
      <c r="B4572" s="18"/>
      <c r="C4572" s="18"/>
      <c r="D4572" s="18"/>
      <c r="E4572" s="18"/>
      <c r="F4572" s="18"/>
      <c r="G4572" s="18"/>
      <c r="H4572" s="18"/>
      <c r="I4572" s="18"/>
      <c r="J4572" s="18"/>
      <c r="K4572" s="18"/>
      <c r="L4572" s="18"/>
      <c r="M4572" s="18"/>
      <c r="N4572" s="18"/>
      <c r="O4572" s="18"/>
      <c r="P4572" s="18"/>
      <c r="Q4572" s="18"/>
    </row>
    <row r="4573" spans="1:17">
      <c r="A4573" s="18"/>
      <c r="B4573" s="18"/>
      <c r="C4573" s="18"/>
      <c r="D4573" s="18"/>
      <c r="E4573" s="18"/>
      <c r="F4573" s="18"/>
      <c r="G4573" s="18"/>
      <c r="H4573" s="18"/>
      <c r="I4573" s="18"/>
      <c r="J4573" s="18"/>
      <c r="K4573" s="18"/>
      <c r="L4573" s="18"/>
      <c r="M4573" s="18"/>
      <c r="N4573" s="18"/>
      <c r="O4573" s="18"/>
      <c r="P4573" s="18"/>
      <c r="Q4573" s="18"/>
    </row>
    <row r="4574" spans="1:17">
      <c r="A4574" s="18"/>
      <c r="B4574" s="18"/>
      <c r="C4574" s="18"/>
      <c r="D4574" s="18"/>
      <c r="E4574" s="18"/>
      <c r="F4574" s="18"/>
      <c r="G4574" s="18"/>
      <c r="H4574" s="18"/>
      <c r="I4574" s="18"/>
      <c r="J4574" s="18"/>
      <c r="K4574" s="18"/>
      <c r="L4574" s="18"/>
      <c r="M4574" s="18"/>
      <c r="N4574" s="18"/>
      <c r="O4574" s="18"/>
      <c r="P4574" s="18"/>
      <c r="Q4574" s="18"/>
    </row>
    <row r="4575" spans="1:17">
      <c r="A4575" s="18"/>
      <c r="B4575" s="18"/>
      <c r="C4575" s="18"/>
      <c r="D4575" s="18"/>
      <c r="E4575" s="18"/>
      <c r="F4575" s="18"/>
      <c r="G4575" s="18"/>
      <c r="H4575" s="18"/>
      <c r="I4575" s="18"/>
      <c r="J4575" s="18"/>
      <c r="K4575" s="18"/>
      <c r="L4575" s="18"/>
      <c r="M4575" s="18"/>
      <c r="N4575" s="18"/>
      <c r="O4575" s="18"/>
      <c r="P4575" s="18"/>
      <c r="Q4575" s="18"/>
    </row>
    <row r="4576" spans="1:17">
      <c r="A4576" s="18"/>
      <c r="B4576" s="18"/>
      <c r="C4576" s="18"/>
      <c r="D4576" s="18"/>
      <c r="E4576" s="18"/>
      <c r="F4576" s="18"/>
      <c r="G4576" s="18"/>
      <c r="H4576" s="18"/>
      <c r="I4576" s="18"/>
      <c r="J4576" s="18"/>
      <c r="K4576" s="18"/>
      <c r="L4576" s="18"/>
      <c r="M4576" s="18"/>
      <c r="N4576" s="18"/>
      <c r="O4576" s="18"/>
      <c r="P4576" s="18"/>
      <c r="Q4576" s="18"/>
    </row>
    <row r="4577" spans="1:17">
      <c r="A4577" s="18"/>
      <c r="B4577" s="18"/>
      <c r="C4577" s="18"/>
      <c r="D4577" s="18"/>
      <c r="E4577" s="18"/>
      <c r="F4577" s="18"/>
      <c r="G4577" s="18"/>
      <c r="H4577" s="18"/>
      <c r="I4577" s="18"/>
      <c r="J4577" s="18"/>
      <c r="K4577" s="18"/>
      <c r="L4577" s="18"/>
      <c r="M4577" s="18"/>
      <c r="N4577" s="18"/>
      <c r="O4577" s="18"/>
      <c r="P4577" s="18"/>
      <c r="Q4577" s="18"/>
    </row>
    <row r="4578" spans="1:17">
      <c r="A4578" s="18"/>
      <c r="B4578" s="18"/>
      <c r="C4578" s="18"/>
      <c r="D4578" s="18"/>
      <c r="E4578" s="18"/>
      <c r="F4578" s="18"/>
      <c r="G4578" s="18"/>
      <c r="H4578" s="18"/>
      <c r="I4578" s="18"/>
      <c r="J4578" s="18"/>
      <c r="K4578" s="18"/>
      <c r="L4578" s="18"/>
      <c r="M4578" s="18"/>
      <c r="N4578" s="18"/>
      <c r="O4578" s="18"/>
      <c r="P4578" s="18"/>
      <c r="Q4578" s="18"/>
    </row>
    <row r="4579" spans="1:17">
      <c r="A4579" s="18"/>
      <c r="B4579" s="18"/>
      <c r="C4579" s="18"/>
      <c r="D4579" s="18"/>
      <c r="E4579" s="18"/>
      <c r="F4579" s="18"/>
      <c r="G4579" s="18"/>
      <c r="H4579" s="18"/>
      <c r="I4579" s="18"/>
      <c r="J4579" s="18"/>
      <c r="K4579" s="18"/>
      <c r="L4579" s="18"/>
      <c r="M4579" s="18"/>
      <c r="N4579" s="18"/>
      <c r="O4579" s="18"/>
      <c r="P4579" s="18"/>
      <c r="Q4579" s="18"/>
    </row>
    <row r="4580" spans="1:17">
      <c r="A4580" s="18"/>
      <c r="B4580" s="18"/>
      <c r="C4580" s="18"/>
      <c r="D4580" s="18"/>
      <c r="E4580" s="18"/>
      <c r="F4580" s="18"/>
      <c r="G4580" s="18"/>
      <c r="H4580" s="18"/>
      <c r="I4580" s="18"/>
      <c r="J4580" s="18"/>
      <c r="K4580" s="18"/>
      <c r="L4580" s="18"/>
      <c r="M4580" s="18"/>
      <c r="N4580" s="18"/>
      <c r="O4580" s="18"/>
      <c r="P4580" s="18"/>
      <c r="Q4580" s="18"/>
    </row>
    <row r="4581" spans="1:17">
      <c r="A4581" s="18"/>
      <c r="B4581" s="18"/>
      <c r="C4581" s="18"/>
      <c r="D4581" s="18"/>
      <c r="E4581" s="18"/>
      <c r="F4581" s="18"/>
      <c r="G4581" s="18"/>
      <c r="H4581" s="18"/>
      <c r="I4581" s="18"/>
      <c r="J4581" s="18"/>
      <c r="K4581" s="18"/>
      <c r="L4581" s="18"/>
      <c r="M4581" s="18"/>
      <c r="N4581" s="18"/>
      <c r="O4581" s="18"/>
      <c r="P4581" s="18"/>
      <c r="Q4581" s="18"/>
    </row>
    <row r="4582" spans="1:17">
      <c r="A4582" s="18"/>
      <c r="B4582" s="18"/>
      <c r="C4582" s="18"/>
      <c r="D4582" s="18"/>
      <c r="E4582" s="18"/>
      <c r="F4582" s="18"/>
      <c r="G4582" s="18"/>
      <c r="H4582" s="18"/>
      <c r="I4582" s="18"/>
      <c r="J4582" s="18"/>
      <c r="K4582" s="18"/>
      <c r="L4582" s="18"/>
      <c r="M4582" s="18"/>
      <c r="N4582" s="18"/>
      <c r="O4582" s="18"/>
      <c r="P4582" s="18"/>
      <c r="Q4582" s="18"/>
    </row>
    <row r="4583" spans="1:17">
      <c r="A4583" s="18"/>
      <c r="B4583" s="18"/>
      <c r="C4583" s="18"/>
      <c r="D4583" s="18"/>
      <c r="E4583" s="18"/>
      <c r="F4583" s="18"/>
      <c r="G4583" s="18"/>
      <c r="H4583" s="18"/>
      <c r="I4583" s="18"/>
      <c r="J4583" s="18"/>
      <c r="K4583" s="18"/>
      <c r="L4583" s="18"/>
      <c r="M4583" s="18"/>
      <c r="N4583" s="18"/>
      <c r="O4583" s="18"/>
      <c r="P4583" s="18"/>
      <c r="Q4583" s="18"/>
    </row>
    <row r="4584" spans="1:17">
      <c r="A4584" s="18"/>
      <c r="B4584" s="18"/>
      <c r="C4584" s="18"/>
      <c r="D4584" s="18"/>
      <c r="E4584" s="18"/>
      <c r="F4584" s="18"/>
      <c r="G4584" s="18"/>
      <c r="H4584" s="18"/>
      <c r="I4584" s="18"/>
      <c r="J4584" s="18"/>
      <c r="K4584" s="18"/>
      <c r="L4584" s="18"/>
      <c r="M4584" s="18"/>
      <c r="N4584" s="18"/>
      <c r="O4584" s="18"/>
      <c r="P4584" s="18"/>
      <c r="Q4584" s="18"/>
    </row>
    <row r="4585" spans="1:17">
      <c r="A4585" s="18"/>
      <c r="B4585" s="18"/>
      <c r="C4585" s="18"/>
      <c r="D4585" s="18"/>
      <c r="E4585" s="18"/>
      <c r="F4585" s="18"/>
      <c r="G4585" s="18"/>
      <c r="H4585" s="18"/>
      <c r="I4585" s="18"/>
      <c r="J4585" s="18"/>
      <c r="K4585" s="18"/>
      <c r="L4585" s="18"/>
      <c r="M4585" s="18"/>
      <c r="N4585" s="18"/>
      <c r="O4585" s="18"/>
      <c r="P4585" s="18"/>
      <c r="Q4585" s="18"/>
    </row>
    <row r="4586" spans="1:17">
      <c r="A4586" s="18"/>
      <c r="B4586" s="18"/>
      <c r="C4586" s="18"/>
      <c r="D4586" s="18"/>
      <c r="E4586" s="18"/>
      <c r="F4586" s="18"/>
      <c r="G4586" s="18"/>
      <c r="H4586" s="18"/>
      <c r="I4586" s="18"/>
      <c r="J4586" s="18"/>
      <c r="K4586" s="18"/>
      <c r="L4586" s="18"/>
      <c r="M4586" s="18"/>
      <c r="N4586" s="18"/>
      <c r="O4586" s="18"/>
      <c r="P4586" s="18"/>
      <c r="Q4586" s="18"/>
    </row>
    <row r="4587" spans="1:17">
      <c r="A4587" s="18"/>
      <c r="B4587" s="18"/>
      <c r="C4587" s="18"/>
      <c r="D4587" s="18"/>
      <c r="E4587" s="18"/>
      <c r="F4587" s="18"/>
      <c r="G4587" s="18"/>
      <c r="H4587" s="18"/>
      <c r="I4587" s="18"/>
      <c r="J4587" s="18"/>
      <c r="K4587" s="18"/>
      <c r="L4587" s="18"/>
      <c r="M4587" s="18"/>
      <c r="N4587" s="18"/>
      <c r="O4587" s="18"/>
      <c r="P4587" s="18"/>
      <c r="Q4587" s="18"/>
    </row>
    <row r="4588" spans="1:17">
      <c r="A4588" s="18"/>
      <c r="B4588" s="18"/>
      <c r="C4588" s="18"/>
      <c r="D4588" s="18"/>
      <c r="E4588" s="18"/>
      <c r="F4588" s="18"/>
      <c r="G4588" s="18"/>
      <c r="H4588" s="18"/>
      <c r="I4588" s="18"/>
      <c r="J4588" s="18"/>
      <c r="K4588" s="18"/>
      <c r="L4588" s="18"/>
      <c r="M4588" s="18"/>
      <c r="N4588" s="18"/>
      <c r="O4588" s="18"/>
      <c r="P4588" s="18"/>
      <c r="Q4588" s="18"/>
    </row>
    <row r="4589" spans="1:17">
      <c r="A4589" s="18"/>
      <c r="B4589" s="18"/>
      <c r="C4589" s="18"/>
      <c r="D4589" s="18"/>
      <c r="E4589" s="18"/>
      <c r="F4589" s="18"/>
      <c r="G4589" s="18"/>
      <c r="H4589" s="18"/>
      <c r="I4589" s="18"/>
      <c r="J4589" s="18"/>
      <c r="K4589" s="18"/>
      <c r="L4589" s="18"/>
      <c r="M4589" s="18"/>
      <c r="N4589" s="18"/>
      <c r="O4589" s="18"/>
      <c r="P4589" s="18"/>
      <c r="Q4589" s="18"/>
    </row>
    <row r="4590" spans="1:17">
      <c r="A4590" s="18"/>
      <c r="B4590" s="18"/>
      <c r="C4590" s="18"/>
      <c r="D4590" s="18"/>
      <c r="E4590" s="18"/>
      <c r="F4590" s="18"/>
      <c r="G4590" s="18"/>
      <c r="H4590" s="18"/>
      <c r="I4590" s="18"/>
      <c r="J4590" s="18"/>
      <c r="K4590" s="18"/>
      <c r="L4590" s="18"/>
      <c r="M4590" s="18"/>
      <c r="N4590" s="18"/>
      <c r="O4590" s="18"/>
      <c r="P4590" s="18"/>
      <c r="Q4590" s="18"/>
    </row>
    <row r="4591" spans="1:17">
      <c r="A4591" s="18"/>
      <c r="B4591" s="18"/>
      <c r="C4591" s="18"/>
      <c r="D4591" s="18"/>
      <c r="E4591" s="18"/>
      <c r="F4591" s="18"/>
      <c r="G4591" s="18"/>
      <c r="H4591" s="18"/>
      <c r="I4591" s="18"/>
      <c r="J4591" s="18"/>
      <c r="K4591" s="18"/>
      <c r="L4591" s="18"/>
      <c r="M4591" s="18"/>
      <c r="N4591" s="18"/>
      <c r="O4591" s="18"/>
      <c r="P4591" s="18"/>
      <c r="Q4591" s="18"/>
    </row>
    <row r="4592" spans="1:17">
      <c r="A4592" s="18"/>
      <c r="B4592" s="18"/>
      <c r="C4592" s="18"/>
      <c r="D4592" s="18"/>
      <c r="E4592" s="18"/>
      <c r="F4592" s="18"/>
      <c r="G4592" s="18"/>
      <c r="H4592" s="18"/>
      <c r="I4592" s="18"/>
      <c r="J4592" s="18"/>
      <c r="K4592" s="18"/>
      <c r="L4592" s="18"/>
      <c r="M4592" s="18"/>
      <c r="N4592" s="18"/>
      <c r="O4592" s="18"/>
      <c r="P4592" s="18"/>
      <c r="Q4592" s="18"/>
    </row>
    <row r="4593" spans="1:17">
      <c r="A4593" s="18"/>
      <c r="B4593" s="18"/>
      <c r="C4593" s="18"/>
      <c r="D4593" s="18"/>
      <c r="E4593" s="18"/>
      <c r="F4593" s="18"/>
      <c r="G4593" s="18"/>
      <c r="H4593" s="18"/>
      <c r="I4593" s="18"/>
      <c r="J4593" s="18"/>
      <c r="K4593" s="18"/>
      <c r="L4593" s="18"/>
      <c r="M4593" s="18"/>
      <c r="N4593" s="18"/>
      <c r="O4593" s="18"/>
      <c r="P4593" s="18"/>
      <c r="Q4593" s="18"/>
    </row>
    <row r="4594" spans="1:17">
      <c r="A4594" s="18"/>
      <c r="B4594" s="18"/>
      <c r="C4594" s="18"/>
      <c r="D4594" s="18"/>
      <c r="E4594" s="18"/>
      <c r="F4594" s="18"/>
      <c r="G4594" s="18"/>
      <c r="H4594" s="18"/>
      <c r="I4594" s="18"/>
      <c r="J4594" s="18"/>
      <c r="K4594" s="18"/>
      <c r="L4594" s="18"/>
      <c r="M4594" s="18"/>
      <c r="N4594" s="18"/>
      <c r="O4594" s="18"/>
      <c r="P4594" s="18"/>
      <c r="Q4594" s="18"/>
    </row>
    <row r="4595" spans="1:17">
      <c r="A4595" s="18"/>
      <c r="B4595" s="18"/>
      <c r="C4595" s="18"/>
      <c r="D4595" s="18"/>
      <c r="E4595" s="18"/>
      <c r="F4595" s="18"/>
      <c r="G4595" s="18"/>
      <c r="H4595" s="18"/>
      <c r="I4595" s="18"/>
      <c r="J4595" s="18"/>
      <c r="K4595" s="18"/>
      <c r="L4595" s="18"/>
      <c r="M4595" s="18"/>
      <c r="N4595" s="18"/>
      <c r="O4595" s="18"/>
      <c r="P4595" s="18"/>
      <c r="Q4595" s="18"/>
    </row>
    <row r="4596" spans="1:17">
      <c r="A4596" s="18"/>
      <c r="B4596" s="18"/>
      <c r="C4596" s="18"/>
      <c r="D4596" s="18"/>
      <c r="E4596" s="18"/>
      <c r="F4596" s="18"/>
      <c r="G4596" s="18"/>
      <c r="H4596" s="18"/>
      <c r="I4596" s="18"/>
      <c r="J4596" s="18"/>
      <c r="K4596" s="18"/>
      <c r="L4596" s="18"/>
      <c r="M4596" s="18"/>
      <c r="N4596" s="18"/>
      <c r="O4596" s="18"/>
      <c r="P4596" s="18"/>
      <c r="Q4596" s="18"/>
    </row>
    <row r="4597" spans="1:17">
      <c r="A4597" s="18"/>
      <c r="B4597" s="18"/>
      <c r="C4597" s="18"/>
      <c r="D4597" s="18"/>
      <c r="E4597" s="18"/>
      <c r="F4597" s="18"/>
      <c r="G4597" s="18"/>
      <c r="H4597" s="18"/>
      <c r="I4597" s="18"/>
      <c r="J4597" s="18"/>
      <c r="K4597" s="18"/>
      <c r="L4597" s="18"/>
      <c r="M4597" s="18"/>
      <c r="N4597" s="18"/>
      <c r="O4597" s="18"/>
      <c r="P4597" s="18"/>
      <c r="Q4597" s="18"/>
    </row>
    <row r="4598" spans="1:17">
      <c r="A4598" s="18"/>
      <c r="B4598" s="18"/>
      <c r="C4598" s="18"/>
      <c r="D4598" s="18"/>
      <c r="E4598" s="18"/>
      <c r="F4598" s="18"/>
      <c r="G4598" s="18"/>
      <c r="H4598" s="18"/>
      <c r="I4598" s="18"/>
      <c r="J4598" s="18"/>
      <c r="K4598" s="18"/>
      <c r="L4598" s="18"/>
      <c r="M4598" s="18"/>
      <c r="N4598" s="18"/>
      <c r="O4598" s="18"/>
      <c r="P4598" s="18"/>
      <c r="Q4598" s="18"/>
    </row>
    <row r="4599" spans="1:17">
      <c r="A4599" s="18"/>
      <c r="B4599" s="18"/>
      <c r="C4599" s="18"/>
      <c r="D4599" s="18"/>
      <c r="E4599" s="18"/>
      <c r="F4599" s="18"/>
      <c r="G4599" s="18"/>
      <c r="H4599" s="18"/>
      <c r="I4599" s="18"/>
      <c r="J4599" s="18"/>
      <c r="K4599" s="18"/>
      <c r="L4599" s="18"/>
      <c r="M4599" s="18"/>
      <c r="N4599" s="18"/>
      <c r="O4599" s="18"/>
      <c r="P4599" s="18"/>
      <c r="Q4599" s="18"/>
    </row>
    <row r="4600" spans="1:17">
      <c r="A4600" s="18"/>
      <c r="B4600" s="18"/>
      <c r="C4600" s="18"/>
      <c r="D4600" s="18"/>
      <c r="E4600" s="18"/>
      <c r="F4600" s="18"/>
      <c r="G4600" s="18"/>
      <c r="H4600" s="18"/>
      <c r="I4600" s="18"/>
      <c r="J4600" s="18"/>
      <c r="K4600" s="18"/>
      <c r="L4600" s="18"/>
      <c r="M4600" s="18"/>
      <c r="N4600" s="18"/>
      <c r="O4600" s="18"/>
      <c r="P4600" s="18"/>
      <c r="Q4600" s="18"/>
    </row>
    <row r="4601" spans="1:17">
      <c r="A4601" s="18"/>
      <c r="B4601" s="18"/>
      <c r="C4601" s="18"/>
      <c r="D4601" s="18"/>
      <c r="E4601" s="18"/>
      <c r="F4601" s="18"/>
      <c r="G4601" s="18"/>
      <c r="H4601" s="18"/>
      <c r="I4601" s="18"/>
      <c r="J4601" s="18"/>
      <c r="K4601" s="18"/>
      <c r="L4601" s="18"/>
      <c r="M4601" s="18"/>
      <c r="N4601" s="18"/>
      <c r="O4601" s="18"/>
      <c r="P4601" s="18"/>
      <c r="Q4601" s="18"/>
    </row>
    <row r="4602" spans="1:17">
      <c r="A4602" s="18"/>
      <c r="B4602" s="18"/>
      <c r="C4602" s="18"/>
      <c r="D4602" s="18"/>
      <c r="E4602" s="18"/>
      <c r="F4602" s="18"/>
      <c r="G4602" s="18"/>
      <c r="H4602" s="18"/>
      <c r="I4602" s="18"/>
      <c r="J4602" s="18"/>
      <c r="K4602" s="18"/>
      <c r="L4602" s="18"/>
      <c r="M4602" s="18"/>
      <c r="N4602" s="18"/>
      <c r="O4602" s="18"/>
      <c r="P4602" s="18"/>
      <c r="Q4602" s="18"/>
    </row>
    <row r="4603" spans="1:17">
      <c r="A4603" s="18"/>
      <c r="B4603" s="18"/>
      <c r="C4603" s="18"/>
      <c r="D4603" s="18"/>
      <c r="E4603" s="18"/>
      <c r="F4603" s="18"/>
      <c r="G4603" s="18"/>
      <c r="H4603" s="18"/>
      <c r="I4603" s="18"/>
      <c r="J4603" s="18"/>
      <c r="K4603" s="18"/>
      <c r="L4603" s="18"/>
      <c r="M4603" s="18"/>
      <c r="N4603" s="18"/>
      <c r="O4603" s="18"/>
      <c r="P4603" s="18"/>
      <c r="Q4603" s="18"/>
    </row>
    <row r="4604" spans="1:17">
      <c r="A4604" s="18"/>
      <c r="B4604" s="18"/>
      <c r="C4604" s="18"/>
      <c r="D4604" s="18"/>
      <c r="E4604" s="18"/>
      <c r="F4604" s="18"/>
      <c r="G4604" s="18"/>
      <c r="H4604" s="18"/>
      <c r="I4604" s="18"/>
      <c r="J4604" s="18"/>
      <c r="K4604" s="18"/>
      <c r="L4604" s="18"/>
      <c r="M4604" s="18"/>
      <c r="N4604" s="18"/>
      <c r="O4604" s="18"/>
      <c r="P4604" s="18"/>
      <c r="Q4604" s="18"/>
    </row>
    <row r="4605" spans="1:17">
      <c r="A4605" s="18"/>
      <c r="B4605" s="18"/>
      <c r="C4605" s="18"/>
      <c r="D4605" s="18"/>
      <c r="E4605" s="18"/>
      <c r="F4605" s="18"/>
      <c r="G4605" s="18"/>
      <c r="H4605" s="18"/>
      <c r="I4605" s="18"/>
      <c r="J4605" s="18"/>
      <c r="K4605" s="18"/>
      <c r="L4605" s="18"/>
      <c r="M4605" s="18"/>
      <c r="N4605" s="18"/>
      <c r="O4605" s="18"/>
      <c r="P4605" s="18"/>
      <c r="Q4605" s="18"/>
    </row>
    <row r="4606" spans="1:17">
      <c r="A4606" s="18"/>
      <c r="B4606" s="18"/>
      <c r="C4606" s="18"/>
      <c r="D4606" s="18"/>
      <c r="E4606" s="18"/>
      <c r="F4606" s="18"/>
      <c r="G4606" s="18"/>
      <c r="H4606" s="18"/>
      <c r="I4606" s="18"/>
      <c r="J4606" s="18"/>
      <c r="K4606" s="18"/>
      <c r="L4606" s="18"/>
      <c r="M4606" s="18"/>
      <c r="N4606" s="18"/>
      <c r="O4606" s="18"/>
      <c r="P4606" s="18"/>
      <c r="Q4606" s="18"/>
    </row>
    <row r="4607" spans="1:17">
      <c r="A4607" s="18"/>
      <c r="B4607" s="18"/>
      <c r="C4607" s="18"/>
      <c r="D4607" s="18"/>
      <c r="E4607" s="18"/>
      <c r="F4607" s="18"/>
      <c r="G4607" s="18"/>
      <c r="H4607" s="18"/>
      <c r="I4607" s="18"/>
      <c r="J4607" s="18"/>
      <c r="K4607" s="18"/>
      <c r="L4607" s="18"/>
      <c r="M4607" s="18"/>
      <c r="N4607" s="18"/>
      <c r="O4607" s="18"/>
      <c r="P4607" s="18"/>
      <c r="Q4607" s="18"/>
    </row>
    <row r="4608" spans="1:17">
      <c r="A4608" s="18"/>
      <c r="B4608" s="18"/>
      <c r="C4608" s="18"/>
      <c r="D4608" s="18"/>
      <c r="E4608" s="18"/>
      <c r="F4608" s="18"/>
      <c r="G4608" s="18"/>
      <c r="H4608" s="18"/>
      <c r="I4608" s="18"/>
      <c r="J4608" s="18"/>
      <c r="K4608" s="18"/>
      <c r="L4608" s="18"/>
      <c r="M4608" s="18"/>
      <c r="N4608" s="18"/>
      <c r="O4608" s="18"/>
      <c r="P4608" s="18"/>
      <c r="Q4608" s="18"/>
    </row>
    <row r="4609" spans="1:17">
      <c r="A4609" s="18"/>
      <c r="B4609" s="18"/>
      <c r="C4609" s="18"/>
      <c r="D4609" s="18"/>
      <c r="E4609" s="18"/>
      <c r="F4609" s="18"/>
      <c r="G4609" s="18"/>
      <c r="H4609" s="18"/>
      <c r="I4609" s="18"/>
      <c r="J4609" s="18"/>
      <c r="K4609" s="18"/>
      <c r="L4609" s="18"/>
      <c r="M4609" s="18"/>
      <c r="N4609" s="18"/>
      <c r="O4609" s="18"/>
      <c r="P4609" s="18"/>
      <c r="Q4609" s="18"/>
    </row>
    <row r="4610" spans="1:17">
      <c r="A4610" s="18"/>
      <c r="B4610" s="18"/>
      <c r="C4610" s="18"/>
      <c r="D4610" s="18"/>
      <c r="E4610" s="18"/>
      <c r="F4610" s="18"/>
      <c r="G4610" s="18"/>
      <c r="H4610" s="18"/>
      <c r="I4610" s="18"/>
      <c r="J4610" s="18"/>
      <c r="K4610" s="18"/>
      <c r="L4610" s="18"/>
      <c r="M4610" s="18"/>
      <c r="N4610" s="18"/>
      <c r="O4610" s="18"/>
      <c r="P4610" s="18"/>
      <c r="Q4610" s="18"/>
    </row>
    <row r="4611" spans="1:17">
      <c r="A4611" s="18"/>
      <c r="B4611" s="18"/>
      <c r="C4611" s="18"/>
      <c r="D4611" s="18"/>
      <c r="E4611" s="18"/>
      <c r="F4611" s="18"/>
      <c r="G4611" s="18"/>
      <c r="H4611" s="18"/>
      <c r="I4611" s="18"/>
      <c r="J4611" s="18"/>
      <c r="K4611" s="18"/>
      <c r="L4611" s="18"/>
      <c r="M4611" s="18"/>
      <c r="N4611" s="18"/>
      <c r="O4611" s="18"/>
      <c r="P4611" s="18"/>
      <c r="Q4611" s="18"/>
    </row>
    <row r="4612" spans="1:17">
      <c r="A4612" s="18"/>
      <c r="B4612" s="18"/>
      <c r="C4612" s="18"/>
      <c r="D4612" s="18"/>
      <c r="E4612" s="18"/>
      <c r="F4612" s="18"/>
      <c r="G4612" s="18"/>
      <c r="H4612" s="18"/>
      <c r="I4612" s="18"/>
      <c r="J4612" s="18"/>
      <c r="K4612" s="18"/>
      <c r="L4612" s="18"/>
      <c r="M4612" s="18"/>
      <c r="N4612" s="18"/>
      <c r="O4612" s="18"/>
      <c r="P4612" s="18"/>
      <c r="Q4612" s="18"/>
    </row>
    <row r="4613" spans="1:17">
      <c r="A4613" s="18"/>
      <c r="B4613" s="18"/>
      <c r="C4613" s="18"/>
      <c r="D4613" s="18"/>
      <c r="E4613" s="18"/>
      <c r="F4613" s="18"/>
      <c r="G4613" s="18"/>
      <c r="H4613" s="18"/>
      <c r="I4613" s="18"/>
      <c r="J4613" s="18"/>
      <c r="K4613" s="18"/>
      <c r="L4613" s="18"/>
      <c r="M4613" s="18"/>
      <c r="N4613" s="18"/>
      <c r="O4613" s="18"/>
      <c r="P4613" s="18"/>
      <c r="Q4613" s="18"/>
    </row>
    <row r="4614" spans="1:17">
      <c r="A4614" s="18"/>
      <c r="B4614" s="18"/>
      <c r="C4614" s="18"/>
      <c r="D4614" s="18"/>
      <c r="E4614" s="18"/>
      <c r="F4614" s="18"/>
      <c r="G4614" s="18"/>
      <c r="H4614" s="18"/>
      <c r="I4614" s="18"/>
      <c r="J4614" s="18"/>
      <c r="K4614" s="18"/>
      <c r="L4614" s="18"/>
      <c r="M4614" s="18"/>
      <c r="N4614" s="18"/>
      <c r="O4614" s="18"/>
      <c r="P4614" s="18"/>
      <c r="Q4614" s="18"/>
    </row>
    <row r="4615" spans="1:17">
      <c r="A4615" s="18"/>
      <c r="B4615" s="18"/>
      <c r="C4615" s="18"/>
      <c r="D4615" s="18"/>
      <c r="E4615" s="18"/>
      <c r="F4615" s="18"/>
      <c r="G4615" s="18"/>
      <c r="H4615" s="18"/>
      <c r="I4615" s="18"/>
      <c r="J4615" s="18"/>
      <c r="K4615" s="18"/>
      <c r="L4615" s="18"/>
      <c r="M4615" s="18"/>
      <c r="N4615" s="18"/>
      <c r="O4615" s="18"/>
      <c r="P4615" s="18"/>
      <c r="Q4615" s="18"/>
    </row>
    <row r="4616" spans="1:17">
      <c r="A4616" s="18"/>
      <c r="B4616" s="18"/>
      <c r="C4616" s="18"/>
      <c r="D4616" s="18"/>
      <c r="E4616" s="18"/>
      <c r="F4616" s="18"/>
      <c r="G4616" s="18"/>
      <c r="H4616" s="18"/>
      <c r="I4616" s="18"/>
      <c r="J4616" s="18"/>
      <c r="K4616" s="18"/>
      <c r="L4616" s="18"/>
      <c r="M4616" s="18"/>
      <c r="N4616" s="18"/>
      <c r="O4616" s="18"/>
      <c r="P4616" s="18"/>
      <c r="Q4616" s="18"/>
    </row>
    <row r="4617" spans="1:17">
      <c r="A4617" s="18"/>
      <c r="B4617" s="18"/>
      <c r="C4617" s="18"/>
      <c r="D4617" s="18"/>
      <c r="E4617" s="18"/>
      <c r="F4617" s="18"/>
      <c r="G4617" s="18"/>
      <c r="H4617" s="18"/>
      <c r="I4617" s="18"/>
      <c r="J4617" s="18"/>
      <c r="K4617" s="18"/>
      <c r="L4617" s="18"/>
      <c r="M4617" s="18"/>
      <c r="N4617" s="18"/>
      <c r="O4617" s="18"/>
      <c r="P4617" s="18"/>
      <c r="Q4617" s="18"/>
    </row>
    <row r="4618" spans="1:17">
      <c r="A4618" s="18"/>
      <c r="B4618" s="18"/>
      <c r="C4618" s="18"/>
      <c r="D4618" s="18"/>
      <c r="E4618" s="18"/>
      <c r="F4618" s="18"/>
      <c r="G4618" s="18"/>
      <c r="H4618" s="18"/>
      <c r="I4618" s="18"/>
      <c r="J4618" s="18"/>
      <c r="K4618" s="18"/>
      <c r="L4618" s="18"/>
      <c r="M4618" s="18"/>
      <c r="N4618" s="18"/>
      <c r="O4618" s="18"/>
      <c r="P4618" s="18"/>
      <c r="Q4618" s="18"/>
    </row>
    <row r="4619" spans="1:17">
      <c r="A4619" s="18"/>
      <c r="B4619" s="18"/>
      <c r="C4619" s="18"/>
      <c r="D4619" s="18"/>
      <c r="E4619" s="18"/>
      <c r="F4619" s="18"/>
      <c r="G4619" s="18"/>
      <c r="H4619" s="18"/>
      <c r="I4619" s="18"/>
      <c r="J4619" s="18"/>
      <c r="K4619" s="18"/>
      <c r="L4619" s="18"/>
      <c r="M4619" s="18"/>
      <c r="N4619" s="18"/>
      <c r="O4619" s="18"/>
      <c r="P4619" s="18"/>
      <c r="Q4619" s="18"/>
    </row>
    <row r="4620" spans="1:17">
      <c r="A4620" s="18"/>
      <c r="B4620" s="18"/>
      <c r="C4620" s="18"/>
      <c r="D4620" s="18"/>
      <c r="E4620" s="18"/>
      <c r="F4620" s="18"/>
      <c r="G4620" s="18"/>
      <c r="H4620" s="18"/>
      <c r="I4620" s="18"/>
      <c r="J4620" s="18"/>
      <c r="K4620" s="18"/>
      <c r="L4620" s="18"/>
      <c r="M4620" s="18"/>
      <c r="N4620" s="18"/>
      <c r="O4620" s="18"/>
      <c r="P4620" s="18"/>
      <c r="Q4620" s="18"/>
    </row>
    <row r="4621" spans="1:17">
      <c r="A4621" s="18"/>
      <c r="B4621" s="18"/>
      <c r="C4621" s="18"/>
      <c r="D4621" s="18"/>
      <c r="E4621" s="18"/>
      <c r="F4621" s="18"/>
      <c r="G4621" s="18"/>
      <c r="H4621" s="18"/>
      <c r="I4621" s="18"/>
      <c r="J4621" s="18"/>
      <c r="K4621" s="18"/>
      <c r="L4621" s="18"/>
      <c r="M4621" s="18"/>
      <c r="N4621" s="18"/>
      <c r="O4621" s="18"/>
      <c r="P4621" s="18"/>
      <c r="Q4621" s="18"/>
    </row>
    <row r="4622" spans="1:17">
      <c r="A4622" s="18"/>
      <c r="B4622" s="18"/>
      <c r="C4622" s="18"/>
      <c r="D4622" s="18"/>
      <c r="E4622" s="18"/>
      <c r="F4622" s="18"/>
      <c r="G4622" s="18"/>
      <c r="H4622" s="18"/>
      <c r="I4622" s="18"/>
      <c r="J4622" s="18"/>
      <c r="K4622" s="18"/>
      <c r="L4622" s="18"/>
      <c r="M4622" s="18"/>
      <c r="N4622" s="18"/>
      <c r="O4622" s="18"/>
      <c r="P4622" s="18"/>
      <c r="Q4622" s="18"/>
    </row>
    <row r="4623" spans="1:17">
      <c r="A4623" s="18"/>
      <c r="B4623" s="18"/>
      <c r="C4623" s="18"/>
      <c r="D4623" s="18"/>
      <c r="E4623" s="18"/>
      <c r="F4623" s="18"/>
      <c r="G4623" s="18"/>
      <c r="H4623" s="18"/>
      <c r="I4623" s="18"/>
      <c r="J4623" s="18"/>
      <c r="K4623" s="18"/>
      <c r="L4623" s="18"/>
      <c r="M4623" s="18"/>
      <c r="N4623" s="18"/>
      <c r="O4623" s="18"/>
      <c r="P4623" s="18"/>
      <c r="Q4623" s="18"/>
    </row>
    <row r="4624" spans="1:17">
      <c r="A4624" s="18"/>
      <c r="B4624" s="18"/>
      <c r="C4624" s="18"/>
      <c r="D4624" s="18"/>
      <c r="E4624" s="18"/>
      <c r="F4624" s="18"/>
      <c r="G4624" s="18"/>
      <c r="H4624" s="18"/>
      <c r="I4624" s="18"/>
      <c r="J4624" s="18"/>
      <c r="K4624" s="18"/>
      <c r="L4624" s="18"/>
      <c r="M4624" s="18"/>
      <c r="N4624" s="18"/>
      <c r="O4624" s="18"/>
      <c r="P4624" s="18"/>
      <c r="Q4624" s="18"/>
    </row>
    <row r="4625" spans="1:17">
      <c r="A4625" s="18"/>
      <c r="B4625" s="18"/>
      <c r="C4625" s="18"/>
      <c r="D4625" s="18"/>
      <c r="E4625" s="18"/>
      <c r="F4625" s="18"/>
      <c r="G4625" s="18"/>
      <c r="H4625" s="18"/>
      <c r="I4625" s="18"/>
      <c r="J4625" s="18"/>
      <c r="K4625" s="18"/>
      <c r="L4625" s="18"/>
      <c r="M4625" s="18"/>
      <c r="N4625" s="18"/>
      <c r="O4625" s="18"/>
      <c r="P4625" s="18"/>
      <c r="Q4625" s="18"/>
    </row>
    <row r="4626" spans="1:17">
      <c r="A4626" s="18"/>
      <c r="B4626" s="18"/>
      <c r="C4626" s="18"/>
      <c r="D4626" s="18"/>
      <c r="E4626" s="18"/>
      <c r="F4626" s="18"/>
      <c r="G4626" s="18"/>
      <c r="H4626" s="18"/>
      <c r="I4626" s="18"/>
      <c r="J4626" s="18"/>
      <c r="K4626" s="18"/>
      <c r="L4626" s="18"/>
      <c r="M4626" s="18"/>
      <c r="N4626" s="18"/>
      <c r="O4626" s="18"/>
      <c r="P4626" s="18"/>
      <c r="Q4626" s="18"/>
    </row>
    <row r="4627" spans="1:17">
      <c r="A4627" s="18"/>
      <c r="B4627" s="18"/>
      <c r="C4627" s="18"/>
      <c r="D4627" s="18"/>
      <c r="E4627" s="18"/>
      <c r="F4627" s="18"/>
      <c r="G4627" s="18"/>
      <c r="H4627" s="18"/>
      <c r="I4627" s="18"/>
      <c r="J4627" s="18"/>
      <c r="K4627" s="18"/>
      <c r="L4627" s="18"/>
      <c r="M4627" s="18"/>
      <c r="N4627" s="18"/>
      <c r="O4627" s="18"/>
      <c r="P4627" s="18"/>
      <c r="Q4627" s="18"/>
    </row>
    <row r="4628" spans="1:17">
      <c r="A4628" s="18"/>
      <c r="B4628" s="18"/>
      <c r="C4628" s="18"/>
      <c r="D4628" s="18"/>
      <c r="E4628" s="18"/>
      <c r="F4628" s="18"/>
      <c r="G4628" s="18"/>
      <c r="H4628" s="18"/>
      <c r="I4628" s="18"/>
      <c r="J4628" s="18"/>
      <c r="K4628" s="18"/>
      <c r="L4628" s="18"/>
      <c r="M4628" s="18"/>
      <c r="N4628" s="18"/>
      <c r="O4628" s="18"/>
      <c r="P4628" s="18"/>
      <c r="Q4628" s="18"/>
    </row>
    <row r="4629" spans="1:17">
      <c r="A4629" s="18"/>
      <c r="B4629" s="18"/>
      <c r="C4629" s="18"/>
      <c r="D4629" s="18"/>
      <c r="E4629" s="18"/>
      <c r="F4629" s="18"/>
      <c r="G4629" s="18"/>
      <c r="H4629" s="18"/>
      <c r="I4629" s="18"/>
      <c r="J4629" s="18"/>
      <c r="K4629" s="18"/>
      <c r="L4629" s="18"/>
      <c r="M4629" s="18"/>
      <c r="N4629" s="18"/>
      <c r="O4629" s="18"/>
      <c r="P4629" s="18"/>
      <c r="Q4629" s="18"/>
    </row>
    <row r="4630" spans="1:17">
      <c r="A4630" s="18"/>
      <c r="B4630" s="18"/>
      <c r="C4630" s="18"/>
      <c r="D4630" s="18"/>
      <c r="E4630" s="18"/>
      <c r="F4630" s="18"/>
      <c r="G4630" s="18"/>
      <c r="H4630" s="18"/>
      <c r="I4630" s="18"/>
      <c r="J4630" s="18"/>
      <c r="K4630" s="18"/>
      <c r="L4630" s="18"/>
      <c r="M4630" s="18"/>
      <c r="N4630" s="18"/>
      <c r="O4630" s="18"/>
      <c r="P4630" s="18"/>
      <c r="Q4630" s="18"/>
    </row>
    <row r="4631" spans="1:17">
      <c r="A4631" s="18"/>
      <c r="B4631" s="18"/>
      <c r="C4631" s="18"/>
      <c r="D4631" s="18"/>
      <c r="E4631" s="18"/>
      <c r="F4631" s="18"/>
      <c r="G4631" s="18"/>
      <c r="H4631" s="18"/>
      <c r="I4631" s="18"/>
      <c r="J4631" s="18"/>
      <c r="K4631" s="18"/>
      <c r="L4631" s="18"/>
      <c r="M4631" s="18"/>
      <c r="N4631" s="18"/>
      <c r="O4631" s="18"/>
      <c r="P4631" s="18"/>
      <c r="Q4631" s="18"/>
    </row>
    <row r="4632" spans="1:17">
      <c r="A4632" s="18"/>
      <c r="B4632" s="18"/>
      <c r="C4632" s="18"/>
      <c r="D4632" s="18"/>
      <c r="E4632" s="18"/>
      <c r="F4632" s="18"/>
      <c r="G4632" s="18"/>
      <c r="H4632" s="18"/>
      <c r="I4632" s="18"/>
      <c r="J4632" s="18"/>
      <c r="K4632" s="18"/>
      <c r="L4632" s="18"/>
      <c r="M4632" s="18"/>
      <c r="N4632" s="18"/>
      <c r="O4632" s="18"/>
      <c r="P4632" s="18"/>
      <c r="Q4632" s="18"/>
    </row>
    <row r="4633" spans="1:17">
      <c r="A4633" s="18"/>
      <c r="B4633" s="18"/>
      <c r="C4633" s="18"/>
      <c r="D4633" s="18"/>
      <c r="E4633" s="18"/>
      <c r="F4633" s="18"/>
      <c r="G4633" s="18"/>
      <c r="H4633" s="18"/>
      <c r="I4633" s="18"/>
      <c r="J4633" s="18"/>
      <c r="K4633" s="18"/>
      <c r="L4633" s="18"/>
      <c r="M4633" s="18"/>
      <c r="N4633" s="18"/>
      <c r="O4633" s="18"/>
      <c r="P4633" s="18"/>
      <c r="Q4633" s="18"/>
    </row>
    <row r="4634" spans="1:17">
      <c r="A4634" s="18"/>
      <c r="B4634" s="18"/>
      <c r="C4634" s="18"/>
      <c r="D4634" s="18"/>
      <c r="E4634" s="18"/>
      <c r="F4634" s="18"/>
      <c r="G4634" s="18"/>
      <c r="H4634" s="18"/>
      <c r="I4634" s="18"/>
      <c r="J4634" s="18"/>
      <c r="K4634" s="18"/>
      <c r="L4634" s="18"/>
      <c r="M4634" s="18"/>
      <c r="N4634" s="18"/>
      <c r="O4634" s="18"/>
      <c r="P4634" s="18"/>
      <c r="Q4634" s="18"/>
    </row>
    <row r="4635" spans="1:17">
      <c r="A4635" s="18"/>
      <c r="B4635" s="18"/>
      <c r="C4635" s="18"/>
      <c r="D4635" s="18"/>
      <c r="E4635" s="18"/>
      <c r="F4635" s="18"/>
      <c r="G4635" s="18"/>
      <c r="H4635" s="18"/>
      <c r="I4635" s="18"/>
      <c r="J4635" s="18"/>
      <c r="K4635" s="18"/>
      <c r="L4635" s="18"/>
      <c r="M4635" s="18"/>
      <c r="N4635" s="18"/>
      <c r="O4635" s="18"/>
      <c r="P4635" s="18"/>
      <c r="Q4635" s="18"/>
    </row>
    <row r="4636" spans="1:17">
      <c r="A4636" s="18"/>
      <c r="B4636" s="18"/>
      <c r="C4636" s="18"/>
      <c r="D4636" s="18"/>
      <c r="E4636" s="18"/>
      <c r="F4636" s="18"/>
      <c r="G4636" s="18"/>
      <c r="H4636" s="18"/>
      <c r="I4636" s="18"/>
      <c r="J4636" s="18"/>
      <c r="K4636" s="18"/>
      <c r="L4636" s="18"/>
      <c r="M4636" s="18"/>
      <c r="N4636" s="18"/>
      <c r="O4636" s="18"/>
      <c r="P4636" s="18"/>
      <c r="Q4636" s="18"/>
    </row>
    <row r="4637" spans="1:17">
      <c r="A4637" s="18"/>
      <c r="B4637" s="18"/>
      <c r="C4637" s="18"/>
      <c r="D4637" s="18"/>
      <c r="E4637" s="18"/>
      <c r="F4637" s="18"/>
      <c r="G4637" s="18"/>
      <c r="H4637" s="18"/>
      <c r="I4637" s="18"/>
      <c r="J4637" s="18"/>
      <c r="K4637" s="18"/>
      <c r="L4637" s="18"/>
      <c r="M4637" s="18"/>
      <c r="N4637" s="18"/>
      <c r="O4637" s="18"/>
      <c r="P4637" s="18"/>
      <c r="Q4637" s="18"/>
    </row>
    <row r="4638" spans="1:17">
      <c r="A4638" s="18"/>
      <c r="B4638" s="18"/>
      <c r="C4638" s="18"/>
      <c r="D4638" s="18"/>
      <c r="E4638" s="18"/>
      <c r="F4638" s="18"/>
      <c r="G4638" s="18"/>
      <c r="H4638" s="18"/>
      <c r="I4638" s="18"/>
      <c r="J4638" s="18"/>
      <c r="K4638" s="18"/>
      <c r="L4638" s="18"/>
      <c r="M4638" s="18"/>
      <c r="N4638" s="18"/>
      <c r="O4638" s="18"/>
      <c r="P4638" s="18"/>
      <c r="Q4638" s="18"/>
    </row>
    <row r="4639" spans="1:17">
      <c r="A4639" s="18"/>
      <c r="B4639" s="18"/>
      <c r="C4639" s="18"/>
      <c r="D4639" s="18"/>
      <c r="E4639" s="18"/>
      <c r="F4639" s="18"/>
      <c r="G4639" s="18"/>
      <c r="H4639" s="18"/>
      <c r="I4639" s="18"/>
      <c r="J4639" s="18"/>
      <c r="K4639" s="18"/>
      <c r="L4639" s="18"/>
      <c r="M4639" s="18"/>
      <c r="N4639" s="18"/>
      <c r="O4639" s="18"/>
      <c r="P4639" s="18"/>
      <c r="Q4639" s="18"/>
    </row>
    <row r="4640" spans="1:17">
      <c r="A4640" s="18"/>
      <c r="B4640" s="18"/>
      <c r="C4640" s="18"/>
      <c r="D4640" s="18"/>
      <c r="E4640" s="18"/>
      <c r="F4640" s="18"/>
      <c r="G4640" s="18"/>
      <c r="H4640" s="18"/>
      <c r="I4640" s="18"/>
      <c r="J4640" s="18"/>
      <c r="K4640" s="18"/>
      <c r="L4640" s="18"/>
      <c r="M4640" s="18"/>
      <c r="N4640" s="18"/>
      <c r="O4640" s="18"/>
      <c r="P4640" s="18"/>
      <c r="Q4640" s="18"/>
    </row>
    <row r="4641" spans="1:17">
      <c r="A4641" s="18"/>
      <c r="B4641" s="18"/>
      <c r="C4641" s="18"/>
      <c r="D4641" s="18"/>
      <c r="E4641" s="18"/>
      <c r="F4641" s="18"/>
      <c r="G4641" s="18"/>
      <c r="H4641" s="18"/>
      <c r="I4641" s="18"/>
      <c r="J4641" s="18"/>
      <c r="K4641" s="18"/>
      <c r="L4641" s="18"/>
      <c r="M4641" s="18"/>
      <c r="N4641" s="18"/>
      <c r="O4641" s="18"/>
      <c r="P4641" s="18"/>
      <c r="Q4641" s="18"/>
    </row>
    <row r="4642" spans="1:17">
      <c r="A4642" s="18"/>
      <c r="B4642" s="18"/>
      <c r="C4642" s="18"/>
      <c r="D4642" s="18"/>
      <c r="E4642" s="18"/>
      <c r="F4642" s="18"/>
      <c r="G4642" s="18"/>
      <c r="H4642" s="18"/>
      <c r="I4642" s="18"/>
      <c r="J4642" s="18"/>
      <c r="K4642" s="18"/>
      <c r="L4642" s="18"/>
      <c r="M4642" s="18"/>
      <c r="N4642" s="18"/>
      <c r="O4642" s="18"/>
      <c r="P4642" s="18"/>
      <c r="Q4642" s="18"/>
    </row>
    <row r="4643" spans="1:17">
      <c r="A4643" s="18"/>
      <c r="B4643" s="18"/>
      <c r="C4643" s="18"/>
      <c r="D4643" s="18"/>
      <c r="E4643" s="18"/>
      <c r="F4643" s="18"/>
      <c r="G4643" s="18"/>
      <c r="H4643" s="18"/>
      <c r="I4643" s="18"/>
      <c r="J4643" s="18"/>
      <c r="K4643" s="18"/>
      <c r="L4643" s="18"/>
      <c r="M4643" s="18"/>
      <c r="N4643" s="18"/>
      <c r="O4643" s="18"/>
      <c r="P4643" s="18"/>
      <c r="Q4643" s="18"/>
    </row>
    <row r="4644" spans="1:17">
      <c r="A4644" s="18"/>
      <c r="B4644" s="18"/>
      <c r="C4644" s="18"/>
      <c r="D4644" s="18"/>
      <c r="E4644" s="18"/>
      <c r="F4644" s="18"/>
      <c r="G4644" s="18"/>
      <c r="H4644" s="18"/>
      <c r="I4644" s="18"/>
      <c r="J4644" s="18"/>
      <c r="K4644" s="18"/>
      <c r="L4644" s="18"/>
      <c r="M4644" s="18"/>
      <c r="N4644" s="18"/>
      <c r="O4644" s="18"/>
      <c r="P4644" s="18"/>
      <c r="Q4644" s="18"/>
    </row>
    <row r="4645" spans="1:17">
      <c r="A4645" s="18"/>
      <c r="B4645" s="18"/>
      <c r="C4645" s="18"/>
      <c r="D4645" s="18"/>
      <c r="E4645" s="18"/>
      <c r="F4645" s="18"/>
      <c r="G4645" s="18"/>
      <c r="H4645" s="18"/>
      <c r="I4645" s="18"/>
      <c r="J4645" s="18"/>
      <c r="K4645" s="18"/>
      <c r="L4645" s="18"/>
      <c r="M4645" s="18"/>
      <c r="N4645" s="18"/>
      <c r="O4645" s="18"/>
      <c r="P4645" s="18"/>
      <c r="Q4645" s="18"/>
    </row>
    <row r="4646" spans="1:17">
      <c r="A4646" s="18"/>
      <c r="B4646" s="18"/>
      <c r="C4646" s="18"/>
      <c r="D4646" s="18"/>
      <c r="E4646" s="18"/>
      <c r="F4646" s="18"/>
      <c r="G4646" s="18"/>
      <c r="H4646" s="18"/>
      <c r="I4646" s="18"/>
      <c r="J4646" s="18"/>
      <c r="K4646" s="18"/>
      <c r="L4646" s="18"/>
      <c r="M4646" s="18"/>
      <c r="N4646" s="18"/>
      <c r="O4646" s="18"/>
      <c r="P4646" s="18"/>
      <c r="Q4646" s="18"/>
    </row>
    <row r="4647" spans="1:17">
      <c r="A4647" s="18"/>
      <c r="B4647" s="18"/>
      <c r="C4647" s="18"/>
      <c r="D4647" s="18"/>
      <c r="E4647" s="18"/>
      <c r="F4647" s="18"/>
      <c r="G4647" s="18"/>
      <c r="H4647" s="18"/>
      <c r="I4647" s="18"/>
      <c r="J4647" s="18"/>
      <c r="K4647" s="18"/>
      <c r="L4647" s="18"/>
      <c r="M4647" s="18"/>
      <c r="N4647" s="18"/>
      <c r="O4647" s="18"/>
      <c r="P4647" s="18"/>
      <c r="Q4647" s="18"/>
    </row>
    <row r="4648" spans="1:17">
      <c r="A4648" s="18"/>
      <c r="B4648" s="18"/>
      <c r="C4648" s="18"/>
      <c r="D4648" s="18"/>
      <c r="E4648" s="18"/>
      <c r="F4648" s="18"/>
      <c r="G4648" s="18"/>
      <c r="H4648" s="18"/>
      <c r="I4648" s="18"/>
      <c r="J4648" s="18"/>
      <c r="K4648" s="18"/>
      <c r="L4648" s="18"/>
      <c r="M4648" s="18"/>
      <c r="N4648" s="18"/>
      <c r="O4648" s="18"/>
      <c r="P4648" s="18"/>
      <c r="Q4648" s="18"/>
    </row>
    <row r="4649" spans="1:17">
      <c r="A4649" s="18"/>
      <c r="B4649" s="18"/>
      <c r="C4649" s="18"/>
      <c r="D4649" s="18"/>
      <c r="E4649" s="18"/>
      <c r="F4649" s="18"/>
      <c r="G4649" s="18"/>
      <c r="H4649" s="18"/>
      <c r="I4649" s="18"/>
      <c r="J4649" s="18"/>
      <c r="K4649" s="18"/>
      <c r="L4649" s="18"/>
      <c r="M4649" s="18"/>
      <c r="N4649" s="18"/>
      <c r="O4649" s="18"/>
      <c r="P4649" s="18"/>
      <c r="Q4649" s="18"/>
    </row>
    <row r="4650" spans="1:17">
      <c r="A4650" s="18"/>
      <c r="B4650" s="18"/>
      <c r="C4650" s="18"/>
      <c r="D4650" s="18"/>
      <c r="E4650" s="18"/>
      <c r="F4650" s="18"/>
      <c r="G4650" s="18"/>
      <c r="H4650" s="18"/>
      <c r="I4650" s="18"/>
      <c r="J4650" s="18"/>
      <c r="K4650" s="18"/>
      <c r="L4650" s="18"/>
      <c r="M4650" s="18"/>
      <c r="N4650" s="18"/>
      <c r="O4650" s="18"/>
      <c r="P4650" s="18"/>
      <c r="Q4650" s="18"/>
    </row>
    <row r="4651" spans="1:17">
      <c r="A4651" s="18"/>
      <c r="B4651" s="18"/>
      <c r="C4651" s="18"/>
      <c r="D4651" s="18"/>
      <c r="E4651" s="18"/>
      <c r="F4651" s="18"/>
      <c r="G4651" s="18"/>
      <c r="H4651" s="18"/>
      <c r="I4651" s="18"/>
      <c r="J4651" s="18"/>
      <c r="K4651" s="18"/>
      <c r="L4651" s="18"/>
      <c r="M4651" s="18"/>
      <c r="N4651" s="18"/>
      <c r="O4651" s="18"/>
      <c r="P4651" s="18"/>
      <c r="Q4651" s="18"/>
    </row>
    <row r="4652" spans="1:17">
      <c r="A4652" s="18"/>
      <c r="B4652" s="18"/>
      <c r="C4652" s="18"/>
      <c r="D4652" s="18"/>
      <c r="E4652" s="18"/>
      <c r="F4652" s="18"/>
      <c r="G4652" s="18"/>
      <c r="H4652" s="18"/>
      <c r="I4652" s="18"/>
      <c r="J4652" s="18"/>
      <c r="K4652" s="18"/>
      <c r="L4652" s="18"/>
      <c r="M4652" s="18"/>
      <c r="N4652" s="18"/>
      <c r="O4652" s="18"/>
      <c r="P4652" s="18"/>
      <c r="Q4652" s="18"/>
    </row>
    <row r="4653" spans="1:17">
      <c r="A4653" s="18"/>
      <c r="B4653" s="18"/>
      <c r="C4653" s="18"/>
      <c r="D4653" s="18"/>
      <c r="E4653" s="18"/>
      <c r="F4653" s="18"/>
      <c r="G4653" s="18"/>
      <c r="H4653" s="18"/>
      <c r="I4653" s="18"/>
      <c r="J4653" s="18"/>
      <c r="K4653" s="18"/>
      <c r="L4653" s="18"/>
      <c r="M4653" s="18"/>
      <c r="N4653" s="18"/>
      <c r="O4653" s="18"/>
      <c r="P4653" s="18"/>
      <c r="Q4653" s="18"/>
    </row>
    <row r="4654" spans="1:17">
      <c r="A4654" s="18"/>
      <c r="B4654" s="18"/>
      <c r="C4654" s="18"/>
      <c r="D4654" s="18"/>
      <c r="E4654" s="18"/>
      <c r="F4654" s="18"/>
      <c r="G4654" s="18"/>
      <c r="H4654" s="18"/>
      <c r="I4654" s="18"/>
      <c r="J4654" s="18"/>
      <c r="K4654" s="18"/>
      <c r="L4654" s="18"/>
      <c r="M4654" s="18"/>
      <c r="N4654" s="18"/>
      <c r="O4654" s="18"/>
      <c r="P4654" s="18"/>
      <c r="Q4654" s="18"/>
    </row>
    <row r="4655" spans="1:17">
      <c r="A4655" s="18"/>
      <c r="B4655" s="18"/>
      <c r="C4655" s="18"/>
      <c r="D4655" s="18"/>
      <c r="E4655" s="18"/>
      <c r="F4655" s="18"/>
      <c r="G4655" s="18"/>
      <c r="H4655" s="18"/>
      <c r="I4655" s="18"/>
      <c r="J4655" s="18"/>
      <c r="K4655" s="18"/>
      <c r="L4655" s="18"/>
      <c r="M4655" s="18"/>
      <c r="N4655" s="18"/>
      <c r="O4655" s="18"/>
      <c r="P4655" s="18"/>
      <c r="Q4655" s="18"/>
    </row>
    <row r="4656" spans="1:17">
      <c r="A4656" s="18"/>
      <c r="B4656" s="18"/>
      <c r="C4656" s="18"/>
      <c r="D4656" s="18"/>
      <c r="E4656" s="18"/>
      <c r="F4656" s="18"/>
      <c r="G4656" s="18"/>
      <c r="H4656" s="18"/>
      <c r="I4656" s="18"/>
      <c r="J4656" s="18"/>
      <c r="K4656" s="18"/>
      <c r="L4656" s="18"/>
      <c r="M4656" s="18"/>
      <c r="N4656" s="18"/>
      <c r="O4656" s="18"/>
      <c r="P4656" s="18"/>
      <c r="Q4656" s="18"/>
    </row>
    <row r="4657" spans="1:17">
      <c r="A4657" s="18"/>
      <c r="B4657" s="18"/>
      <c r="C4657" s="18"/>
      <c r="D4657" s="18"/>
      <c r="E4657" s="18"/>
      <c r="F4657" s="18"/>
      <c r="G4657" s="18"/>
      <c r="H4657" s="18"/>
      <c r="I4657" s="18"/>
      <c r="J4657" s="18"/>
      <c r="K4657" s="18"/>
      <c r="L4657" s="18"/>
      <c r="M4657" s="18"/>
      <c r="N4657" s="18"/>
      <c r="O4657" s="18"/>
      <c r="P4657" s="18"/>
      <c r="Q4657" s="18"/>
    </row>
    <row r="4658" spans="1:17">
      <c r="A4658" s="18"/>
      <c r="B4658" s="18"/>
      <c r="C4658" s="18"/>
      <c r="D4658" s="18"/>
      <c r="E4658" s="18"/>
      <c r="F4658" s="18"/>
      <c r="G4658" s="18"/>
      <c r="H4658" s="18"/>
      <c r="I4658" s="18"/>
      <c r="J4658" s="18"/>
      <c r="K4658" s="18"/>
      <c r="L4658" s="18"/>
      <c r="M4658" s="18"/>
      <c r="N4658" s="18"/>
      <c r="O4658" s="18"/>
      <c r="P4658" s="18"/>
      <c r="Q4658" s="18"/>
    </row>
    <row r="4659" spans="1:17">
      <c r="A4659" s="18"/>
      <c r="B4659" s="18"/>
      <c r="C4659" s="18"/>
      <c r="D4659" s="18"/>
      <c r="E4659" s="18"/>
      <c r="F4659" s="18"/>
      <c r="G4659" s="18"/>
      <c r="H4659" s="18"/>
      <c r="I4659" s="18"/>
      <c r="J4659" s="18"/>
      <c r="K4659" s="18"/>
      <c r="L4659" s="18"/>
      <c r="M4659" s="18"/>
      <c r="N4659" s="18"/>
      <c r="O4659" s="18"/>
      <c r="P4659" s="18"/>
      <c r="Q4659" s="18"/>
    </row>
    <row r="4660" spans="1:17">
      <c r="A4660" s="18"/>
      <c r="B4660" s="18"/>
      <c r="C4660" s="18"/>
      <c r="D4660" s="18"/>
      <c r="E4660" s="18"/>
      <c r="F4660" s="18"/>
      <c r="G4660" s="18"/>
      <c r="H4660" s="18"/>
      <c r="I4660" s="18"/>
      <c r="J4660" s="18"/>
      <c r="K4660" s="18"/>
      <c r="L4660" s="18"/>
      <c r="M4660" s="18"/>
      <c r="N4660" s="18"/>
      <c r="O4660" s="18"/>
      <c r="P4660" s="18"/>
      <c r="Q4660" s="18"/>
    </row>
    <row r="4661" spans="1:17">
      <c r="A4661" s="18"/>
      <c r="B4661" s="18"/>
      <c r="C4661" s="18"/>
      <c r="D4661" s="18"/>
      <c r="E4661" s="18"/>
      <c r="F4661" s="18"/>
      <c r="G4661" s="18"/>
      <c r="H4661" s="18"/>
      <c r="I4661" s="18"/>
      <c r="J4661" s="18"/>
      <c r="K4661" s="18"/>
      <c r="L4661" s="18"/>
      <c r="M4661" s="18"/>
      <c r="N4661" s="18"/>
      <c r="O4661" s="18"/>
      <c r="P4661" s="18"/>
      <c r="Q4661" s="18"/>
    </row>
    <row r="4662" spans="1:17">
      <c r="A4662" s="18"/>
      <c r="B4662" s="18"/>
      <c r="C4662" s="18"/>
      <c r="D4662" s="18"/>
      <c r="E4662" s="18"/>
      <c r="F4662" s="18"/>
      <c r="G4662" s="18"/>
      <c r="H4662" s="18"/>
      <c r="I4662" s="18"/>
      <c r="J4662" s="18"/>
      <c r="K4662" s="18"/>
      <c r="L4662" s="18"/>
      <c r="M4662" s="18"/>
      <c r="N4662" s="18"/>
      <c r="O4662" s="18"/>
      <c r="P4662" s="18"/>
      <c r="Q4662" s="18"/>
    </row>
    <row r="4663" spans="1:17">
      <c r="A4663" s="18"/>
      <c r="B4663" s="18"/>
      <c r="C4663" s="18"/>
      <c r="D4663" s="18"/>
      <c r="E4663" s="18"/>
      <c r="F4663" s="18"/>
      <c r="G4663" s="18"/>
      <c r="H4663" s="18"/>
      <c r="I4663" s="18"/>
      <c r="J4663" s="18"/>
      <c r="K4663" s="18"/>
      <c r="L4663" s="18"/>
      <c r="M4663" s="18"/>
      <c r="N4663" s="18"/>
      <c r="O4663" s="18"/>
      <c r="P4663" s="18"/>
      <c r="Q4663" s="18"/>
    </row>
    <row r="4664" spans="1:17">
      <c r="A4664" s="18"/>
      <c r="B4664" s="18"/>
      <c r="C4664" s="18"/>
      <c r="D4664" s="18"/>
      <c r="E4664" s="18"/>
      <c r="F4664" s="18"/>
      <c r="G4664" s="18"/>
      <c r="H4664" s="18"/>
      <c r="I4664" s="18"/>
      <c r="J4664" s="18"/>
      <c r="K4664" s="18"/>
      <c r="L4664" s="18"/>
      <c r="M4664" s="18"/>
      <c r="N4664" s="18"/>
      <c r="O4664" s="18"/>
      <c r="P4664" s="18"/>
      <c r="Q4664" s="18"/>
    </row>
    <row r="4665" spans="1:17">
      <c r="A4665" s="18"/>
      <c r="B4665" s="18"/>
      <c r="C4665" s="18"/>
      <c r="D4665" s="18"/>
      <c r="E4665" s="18"/>
      <c r="F4665" s="18"/>
      <c r="G4665" s="18"/>
      <c r="H4665" s="18"/>
      <c r="I4665" s="18"/>
      <c r="J4665" s="18"/>
      <c r="K4665" s="18"/>
      <c r="L4665" s="18"/>
      <c r="M4665" s="18"/>
      <c r="N4665" s="18"/>
      <c r="O4665" s="18"/>
      <c r="P4665" s="18"/>
      <c r="Q4665" s="18"/>
    </row>
    <row r="4666" spans="1:17">
      <c r="A4666" s="18"/>
      <c r="B4666" s="18"/>
      <c r="C4666" s="18"/>
      <c r="D4666" s="18"/>
      <c r="E4666" s="18"/>
      <c r="F4666" s="18"/>
      <c r="G4666" s="18"/>
      <c r="H4666" s="18"/>
      <c r="I4666" s="18"/>
      <c r="J4666" s="18"/>
      <c r="K4666" s="18"/>
      <c r="L4666" s="18"/>
      <c r="M4666" s="18"/>
      <c r="N4666" s="18"/>
      <c r="O4666" s="18"/>
      <c r="P4666" s="18"/>
      <c r="Q4666" s="18"/>
    </row>
    <row r="4667" spans="1:17">
      <c r="A4667" s="18"/>
      <c r="B4667" s="18"/>
      <c r="C4667" s="18"/>
      <c r="D4667" s="18"/>
      <c r="E4667" s="18"/>
      <c r="F4667" s="18"/>
      <c r="G4667" s="18"/>
      <c r="H4667" s="18"/>
      <c r="I4667" s="18"/>
      <c r="J4667" s="18"/>
      <c r="K4667" s="18"/>
      <c r="L4667" s="18"/>
      <c r="M4667" s="18"/>
      <c r="N4667" s="18"/>
      <c r="O4667" s="18"/>
      <c r="P4667" s="18"/>
      <c r="Q4667" s="18"/>
    </row>
    <row r="4668" spans="1:17">
      <c r="A4668" s="18"/>
      <c r="B4668" s="18"/>
      <c r="C4668" s="18"/>
      <c r="D4668" s="18"/>
      <c r="E4668" s="18"/>
      <c r="F4668" s="18"/>
      <c r="G4668" s="18"/>
      <c r="H4668" s="18"/>
      <c r="I4668" s="18"/>
      <c r="J4668" s="18"/>
      <c r="K4668" s="18"/>
      <c r="L4668" s="18"/>
      <c r="M4668" s="18"/>
      <c r="N4668" s="18"/>
      <c r="O4668" s="18"/>
      <c r="P4668" s="18"/>
      <c r="Q4668" s="18"/>
    </row>
    <row r="4669" spans="1:17">
      <c r="A4669" s="18"/>
      <c r="B4669" s="18"/>
      <c r="C4669" s="18"/>
      <c r="D4669" s="18"/>
      <c r="E4669" s="18"/>
      <c r="F4669" s="18"/>
      <c r="G4669" s="18"/>
      <c r="H4669" s="18"/>
      <c r="I4669" s="18"/>
      <c r="J4669" s="18"/>
      <c r="K4669" s="18"/>
      <c r="L4669" s="18"/>
      <c r="M4669" s="18"/>
      <c r="N4669" s="18"/>
      <c r="O4669" s="18"/>
      <c r="P4669" s="18"/>
      <c r="Q4669" s="18"/>
    </row>
    <row r="4670" spans="1:17">
      <c r="A4670" s="18"/>
      <c r="B4670" s="18"/>
      <c r="C4670" s="18"/>
      <c r="D4670" s="18"/>
      <c r="E4670" s="18"/>
      <c r="F4670" s="18"/>
      <c r="G4670" s="18"/>
      <c r="H4670" s="18"/>
      <c r="I4670" s="18"/>
      <c r="J4670" s="18"/>
      <c r="K4670" s="18"/>
      <c r="L4670" s="18"/>
      <c r="M4670" s="18"/>
      <c r="N4670" s="18"/>
      <c r="O4670" s="18"/>
      <c r="P4670" s="18"/>
      <c r="Q4670" s="18"/>
    </row>
    <row r="4671" spans="1:17">
      <c r="A4671" s="18"/>
      <c r="B4671" s="18"/>
      <c r="C4671" s="18"/>
      <c r="D4671" s="18"/>
      <c r="E4671" s="18"/>
      <c r="F4671" s="18"/>
      <c r="G4671" s="18"/>
      <c r="H4671" s="18"/>
      <c r="I4671" s="18"/>
      <c r="J4671" s="18"/>
      <c r="K4671" s="18"/>
      <c r="L4671" s="18"/>
      <c r="M4671" s="18"/>
      <c r="N4671" s="18"/>
      <c r="O4671" s="18"/>
      <c r="P4671" s="18"/>
      <c r="Q4671" s="18"/>
    </row>
    <row r="4672" spans="1:17">
      <c r="A4672" s="18"/>
      <c r="B4672" s="18"/>
      <c r="C4672" s="18"/>
      <c r="D4672" s="18"/>
      <c r="E4672" s="18"/>
      <c r="F4672" s="18"/>
      <c r="G4672" s="18"/>
      <c r="H4672" s="18"/>
      <c r="I4672" s="18"/>
      <c r="J4672" s="18"/>
      <c r="K4672" s="18"/>
      <c r="L4672" s="18"/>
      <c r="M4672" s="18"/>
      <c r="N4672" s="18"/>
      <c r="O4672" s="18"/>
      <c r="P4672" s="18"/>
      <c r="Q4672" s="18"/>
    </row>
    <row r="4673" spans="1:17">
      <c r="A4673" s="18"/>
      <c r="B4673" s="18"/>
      <c r="C4673" s="18"/>
      <c r="D4673" s="18"/>
      <c r="E4673" s="18"/>
      <c r="F4673" s="18"/>
      <c r="G4673" s="18"/>
      <c r="H4673" s="18"/>
      <c r="I4673" s="18"/>
      <c r="J4673" s="18"/>
      <c r="K4673" s="18"/>
      <c r="L4673" s="18"/>
      <c r="M4673" s="18"/>
      <c r="N4673" s="18"/>
      <c r="O4673" s="18"/>
      <c r="P4673" s="18"/>
      <c r="Q4673" s="18"/>
    </row>
    <row r="4674" spans="1:17">
      <c r="A4674" s="18"/>
      <c r="B4674" s="18"/>
      <c r="C4674" s="18"/>
      <c r="D4674" s="18"/>
      <c r="E4674" s="18"/>
      <c r="F4674" s="18"/>
      <c r="G4674" s="18"/>
      <c r="H4674" s="18"/>
      <c r="I4674" s="18"/>
      <c r="J4674" s="18"/>
      <c r="K4674" s="18"/>
      <c r="L4674" s="18"/>
      <c r="M4674" s="18"/>
      <c r="N4674" s="18"/>
      <c r="O4674" s="18"/>
      <c r="P4674" s="18"/>
      <c r="Q4674" s="18"/>
    </row>
    <row r="4675" spans="1:17">
      <c r="A4675" s="18"/>
      <c r="B4675" s="18"/>
      <c r="C4675" s="18"/>
      <c r="D4675" s="18"/>
      <c r="E4675" s="18"/>
      <c r="F4675" s="18"/>
      <c r="G4675" s="18"/>
      <c r="H4675" s="18"/>
      <c r="I4675" s="18"/>
      <c r="J4675" s="18"/>
      <c r="K4675" s="18"/>
      <c r="L4675" s="18"/>
      <c r="M4675" s="18"/>
      <c r="N4675" s="18"/>
      <c r="O4675" s="18"/>
      <c r="P4675" s="18"/>
      <c r="Q4675" s="18"/>
    </row>
    <row r="4676" spans="1:17">
      <c r="A4676" s="18"/>
      <c r="B4676" s="18"/>
      <c r="C4676" s="18"/>
      <c r="D4676" s="18"/>
      <c r="E4676" s="18"/>
      <c r="F4676" s="18"/>
      <c r="G4676" s="18"/>
      <c r="H4676" s="18"/>
      <c r="I4676" s="18"/>
      <c r="J4676" s="18"/>
      <c r="K4676" s="18"/>
      <c r="L4676" s="18"/>
      <c r="M4676" s="18"/>
      <c r="N4676" s="18"/>
      <c r="O4676" s="18"/>
      <c r="P4676" s="18"/>
      <c r="Q4676" s="18"/>
    </row>
    <row r="4677" spans="1:17">
      <c r="A4677" s="18"/>
      <c r="B4677" s="18"/>
      <c r="C4677" s="18"/>
      <c r="D4677" s="18"/>
      <c r="E4677" s="18"/>
      <c r="F4677" s="18"/>
      <c r="G4677" s="18"/>
      <c r="H4677" s="18"/>
      <c r="I4677" s="18"/>
      <c r="J4677" s="18"/>
      <c r="K4677" s="18"/>
      <c r="L4677" s="18"/>
      <c r="M4677" s="18"/>
      <c r="N4677" s="18"/>
      <c r="O4677" s="18"/>
      <c r="P4677" s="18"/>
      <c r="Q4677" s="18"/>
    </row>
    <row r="4678" spans="1:17">
      <c r="A4678" s="18"/>
      <c r="B4678" s="18"/>
      <c r="C4678" s="18"/>
      <c r="D4678" s="18"/>
      <c r="E4678" s="18"/>
      <c r="F4678" s="18"/>
      <c r="G4678" s="18"/>
      <c r="H4678" s="18"/>
      <c r="I4678" s="18"/>
      <c r="J4678" s="18"/>
      <c r="K4678" s="18"/>
      <c r="L4678" s="18"/>
      <c r="M4678" s="18"/>
      <c r="N4678" s="18"/>
      <c r="O4678" s="18"/>
      <c r="P4678" s="18"/>
      <c r="Q4678" s="18"/>
    </row>
    <row r="4679" spans="1:17">
      <c r="A4679" s="18"/>
      <c r="B4679" s="18"/>
      <c r="C4679" s="18"/>
      <c r="D4679" s="18"/>
      <c r="E4679" s="18"/>
      <c r="F4679" s="18"/>
      <c r="G4679" s="18"/>
      <c r="H4679" s="18"/>
      <c r="I4679" s="18"/>
      <c r="J4679" s="18"/>
      <c r="K4679" s="18"/>
      <c r="L4679" s="18"/>
      <c r="M4679" s="18"/>
      <c r="N4679" s="18"/>
      <c r="O4679" s="18"/>
      <c r="P4679" s="18"/>
      <c r="Q4679" s="18"/>
    </row>
    <row r="4680" spans="1:17">
      <c r="A4680" s="18"/>
      <c r="B4680" s="18"/>
      <c r="C4680" s="18"/>
      <c r="D4680" s="18"/>
      <c r="E4680" s="18"/>
      <c r="F4680" s="18"/>
      <c r="G4680" s="18"/>
      <c r="H4680" s="18"/>
      <c r="I4680" s="18"/>
      <c r="J4680" s="18"/>
      <c r="K4680" s="18"/>
      <c r="L4680" s="18"/>
      <c r="M4680" s="18"/>
      <c r="N4680" s="18"/>
      <c r="O4680" s="18"/>
      <c r="P4680" s="18"/>
      <c r="Q4680" s="18"/>
    </row>
    <row r="4681" spans="1:17">
      <c r="A4681" s="18"/>
      <c r="B4681" s="18"/>
      <c r="C4681" s="18"/>
      <c r="D4681" s="18"/>
      <c r="E4681" s="18"/>
      <c r="F4681" s="18"/>
      <c r="G4681" s="18"/>
      <c r="H4681" s="18"/>
      <c r="I4681" s="18"/>
      <c r="J4681" s="18"/>
      <c r="K4681" s="18"/>
      <c r="L4681" s="18"/>
      <c r="M4681" s="18"/>
      <c r="N4681" s="18"/>
      <c r="O4681" s="18"/>
      <c r="P4681" s="18"/>
      <c r="Q4681" s="18"/>
    </row>
    <row r="4682" spans="1:17">
      <c r="A4682" s="18"/>
      <c r="B4682" s="18"/>
      <c r="C4682" s="18"/>
      <c r="D4682" s="18"/>
      <c r="E4682" s="18"/>
      <c r="F4682" s="18"/>
      <c r="G4682" s="18"/>
      <c r="H4682" s="18"/>
      <c r="I4682" s="18"/>
      <c r="J4682" s="18"/>
      <c r="K4682" s="18"/>
      <c r="L4682" s="18"/>
      <c r="M4682" s="18"/>
      <c r="N4682" s="18"/>
      <c r="O4682" s="18"/>
      <c r="P4682" s="18"/>
      <c r="Q4682" s="18"/>
    </row>
    <row r="4683" spans="1:17">
      <c r="A4683" s="18"/>
      <c r="B4683" s="18"/>
      <c r="C4683" s="18"/>
      <c r="D4683" s="18"/>
      <c r="E4683" s="18"/>
      <c r="F4683" s="18"/>
      <c r="G4683" s="18"/>
      <c r="H4683" s="18"/>
      <c r="I4683" s="18"/>
      <c r="J4683" s="18"/>
      <c r="K4683" s="18"/>
      <c r="L4683" s="18"/>
      <c r="M4683" s="18"/>
      <c r="N4683" s="18"/>
      <c r="O4683" s="18"/>
      <c r="P4683" s="18"/>
      <c r="Q4683" s="18"/>
    </row>
    <row r="4684" spans="1:17">
      <c r="A4684" s="18"/>
      <c r="B4684" s="18"/>
      <c r="C4684" s="18"/>
      <c r="D4684" s="18"/>
      <c r="E4684" s="18"/>
      <c r="F4684" s="18"/>
      <c r="G4684" s="18"/>
      <c r="H4684" s="18"/>
      <c r="I4684" s="18"/>
      <c r="J4684" s="18"/>
      <c r="K4684" s="18"/>
      <c r="L4684" s="18"/>
      <c r="M4684" s="18"/>
      <c r="N4684" s="18"/>
      <c r="O4684" s="18"/>
      <c r="P4684" s="18"/>
      <c r="Q4684" s="18"/>
    </row>
    <row r="4685" spans="1:17">
      <c r="A4685" s="18"/>
      <c r="B4685" s="18"/>
      <c r="C4685" s="18"/>
      <c r="D4685" s="18"/>
      <c r="E4685" s="18"/>
      <c r="F4685" s="18"/>
      <c r="G4685" s="18"/>
      <c r="H4685" s="18"/>
      <c r="I4685" s="18"/>
      <c r="J4685" s="18"/>
      <c r="K4685" s="18"/>
      <c r="L4685" s="18"/>
      <c r="M4685" s="18"/>
      <c r="N4685" s="18"/>
      <c r="O4685" s="18"/>
      <c r="P4685" s="18"/>
      <c r="Q4685" s="18"/>
    </row>
    <row r="4686" spans="1:17">
      <c r="A4686" s="18"/>
      <c r="B4686" s="18"/>
      <c r="C4686" s="18"/>
      <c r="D4686" s="18"/>
      <c r="E4686" s="18"/>
      <c r="F4686" s="18"/>
      <c r="G4686" s="18"/>
      <c r="H4686" s="18"/>
      <c r="I4686" s="18"/>
      <c r="J4686" s="18"/>
      <c r="K4686" s="18"/>
      <c r="L4686" s="18"/>
      <c r="M4686" s="18"/>
      <c r="N4686" s="18"/>
      <c r="O4686" s="18"/>
      <c r="P4686" s="18"/>
      <c r="Q4686" s="18"/>
    </row>
    <row r="4687" spans="1:17">
      <c r="A4687" s="18"/>
      <c r="B4687" s="18"/>
      <c r="C4687" s="18"/>
      <c r="D4687" s="18"/>
      <c r="E4687" s="18"/>
      <c r="F4687" s="18"/>
      <c r="G4687" s="18"/>
      <c r="H4687" s="18"/>
      <c r="I4687" s="18"/>
      <c r="J4687" s="18"/>
      <c r="K4687" s="18"/>
      <c r="L4687" s="18"/>
      <c r="M4687" s="18"/>
      <c r="N4687" s="18"/>
      <c r="O4687" s="18"/>
      <c r="P4687" s="18"/>
      <c r="Q4687" s="18"/>
    </row>
    <row r="4688" spans="1:17">
      <c r="A4688" s="18"/>
      <c r="B4688" s="18"/>
      <c r="C4688" s="18"/>
      <c r="D4688" s="18"/>
      <c r="E4688" s="18"/>
      <c r="F4688" s="18"/>
      <c r="G4688" s="18"/>
      <c r="H4688" s="18"/>
      <c r="I4688" s="18"/>
      <c r="J4688" s="18"/>
      <c r="K4688" s="18"/>
      <c r="L4688" s="18"/>
      <c r="M4688" s="18"/>
      <c r="N4688" s="18"/>
      <c r="O4688" s="18"/>
      <c r="P4688" s="18"/>
      <c r="Q4688" s="18"/>
    </row>
    <row r="4689" spans="1:17">
      <c r="A4689" s="18"/>
      <c r="B4689" s="18"/>
      <c r="C4689" s="18"/>
      <c r="D4689" s="18"/>
      <c r="E4689" s="18"/>
      <c r="F4689" s="18"/>
      <c r="G4689" s="18"/>
      <c r="H4689" s="18"/>
      <c r="I4689" s="18"/>
      <c r="J4689" s="18"/>
      <c r="K4689" s="18"/>
      <c r="L4689" s="18"/>
      <c r="M4689" s="18"/>
      <c r="N4689" s="18"/>
      <c r="O4689" s="18"/>
      <c r="P4689" s="18"/>
      <c r="Q4689" s="18"/>
    </row>
    <row r="4690" spans="1:17">
      <c r="A4690" s="18"/>
      <c r="B4690" s="18"/>
      <c r="C4690" s="18"/>
      <c r="D4690" s="18"/>
      <c r="E4690" s="18"/>
      <c r="F4690" s="18"/>
      <c r="G4690" s="18"/>
      <c r="H4690" s="18"/>
      <c r="I4690" s="18"/>
      <c r="J4690" s="18"/>
      <c r="K4690" s="18"/>
      <c r="L4690" s="18"/>
      <c r="M4690" s="18"/>
      <c r="N4690" s="18"/>
      <c r="O4690" s="18"/>
      <c r="P4690" s="18"/>
      <c r="Q4690" s="18"/>
    </row>
    <row r="4691" spans="1:17">
      <c r="A4691" s="18"/>
      <c r="B4691" s="18"/>
      <c r="C4691" s="18"/>
      <c r="D4691" s="18"/>
      <c r="E4691" s="18"/>
      <c r="F4691" s="18"/>
      <c r="G4691" s="18"/>
      <c r="H4691" s="18"/>
      <c r="I4691" s="18"/>
      <c r="J4691" s="18"/>
      <c r="K4691" s="18"/>
      <c r="L4691" s="18"/>
      <c r="M4691" s="18"/>
      <c r="N4691" s="18"/>
      <c r="O4691" s="18"/>
      <c r="P4691" s="18"/>
      <c r="Q4691" s="18"/>
    </row>
    <row r="4692" spans="1:17">
      <c r="A4692" s="18"/>
      <c r="B4692" s="18"/>
      <c r="C4692" s="18"/>
      <c r="D4692" s="18"/>
      <c r="E4692" s="18"/>
      <c r="F4692" s="18"/>
      <c r="G4692" s="18"/>
      <c r="H4692" s="18"/>
      <c r="I4692" s="18"/>
      <c r="J4692" s="18"/>
      <c r="K4692" s="18"/>
      <c r="L4692" s="18"/>
      <c r="M4692" s="18"/>
      <c r="N4692" s="18"/>
      <c r="O4692" s="18"/>
      <c r="P4692" s="18"/>
      <c r="Q4692" s="18"/>
    </row>
    <row r="4693" spans="1:17">
      <c r="A4693" s="18"/>
      <c r="B4693" s="18"/>
      <c r="C4693" s="18"/>
      <c r="D4693" s="18"/>
      <c r="E4693" s="18"/>
      <c r="F4693" s="18"/>
      <c r="G4693" s="18"/>
      <c r="H4693" s="18"/>
      <c r="I4693" s="18"/>
      <c r="J4693" s="18"/>
      <c r="K4693" s="18"/>
      <c r="L4693" s="18"/>
      <c r="M4693" s="18"/>
      <c r="N4693" s="18"/>
      <c r="O4693" s="18"/>
      <c r="P4693" s="18"/>
      <c r="Q4693" s="18"/>
    </row>
    <row r="4694" spans="1:17">
      <c r="A4694" s="18"/>
      <c r="B4694" s="18"/>
      <c r="C4694" s="18"/>
      <c r="D4694" s="18"/>
      <c r="E4694" s="18"/>
      <c r="F4694" s="18"/>
      <c r="G4694" s="18"/>
      <c r="H4694" s="18"/>
      <c r="I4694" s="18"/>
      <c r="J4694" s="18"/>
      <c r="K4694" s="18"/>
      <c r="L4694" s="18"/>
      <c r="M4694" s="18"/>
      <c r="N4694" s="18"/>
      <c r="O4694" s="18"/>
      <c r="P4694" s="18"/>
      <c r="Q4694" s="18"/>
    </row>
    <row r="4695" spans="1:17">
      <c r="A4695" s="18"/>
      <c r="B4695" s="18"/>
      <c r="C4695" s="18"/>
      <c r="D4695" s="18"/>
      <c r="E4695" s="18"/>
      <c r="F4695" s="18"/>
      <c r="G4695" s="18"/>
      <c r="H4695" s="18"/>
      <c r="I4695" s="18"/>
      <c r="J4695" s="18"/>
      <c r="K4695" s="18"/>
      <c r="L4695" s="18"/>
      <c r="M4695" s="18"/>
      <c r="N4695" s="18"/>
      <c r="O4695" s="18"/>
      <c r="P4695" s="18"/>
      <c r="Q4695" s="18"/>
    </row>
    <row r="4696" spans="1:17">
      <c r="A4696" s="18"/>
      <c r="B4696" s="18"/>
      <c r="C4696" s="18"/>
      <c r="D4696" s="18"/>
      <c r="E4696" s="18"/>
      <c r="F4696" s="18"/>
      <c r="G4696" s="18"/>
      <c r="H4696" s="18"/>
      <c r="I4696" s="18"/>
      <c r="J4696" s="18"/>
      <c r="K4696" s="18"/>
      <c r="L4696" s="18"/>
      <c r="M4696" s="18"/>
      <c r="N4696" s="18"/>
      <c r="O4696" s="18"/>
      <c r="P4696" s="18"/>
      <c r="Q4696" s="18"/>
    </row>
    <row r="4697" spans="1:17">
      <c r="A4697" s="18"/>
      <c r="B4697" s="18"/>
      <c r="C4697" s="18"/>
      <c r="D4697" s="18"/>
      <c r="E4697" s="18"/>
      <c r="F4697" s="18"/>
      <c r="G4697" s="18"/>
      <c r="H4697" s="18"/>
      <c r="I4697" s="18"/>
      <c r="J4697" s="18"/>
      <c r="K4697" s="18"/>
      <c r="L4697" s="18"/>
      <c r="M4697" s="18"/>
      <c r="N4697" s="18"/>
      <c r="O4697" s="18"/>
      <c r="P4697" s="18"/>
      <c r="Q4697" s="18"/>
    </row>
    <row r="4698" spans="1:17">
      <c r="A4698" s="18"/>
      <c r="B4698" s="18"/>
      <c r="C4698" s="18"/>
      <c r="D4698" s="18"/>
      <c r="E4698" s="18"/>
      <c r="F4698" s="18"/>
      <c r="G4698" s="18"/>
      <c r="H4698" s="18"/>
      <c r="I4698" s="18"/>
      <c r="J4698" s="18"/>
      <c r="K4698" s="18"/>
      <c r="L4698" s="18"/>
      <c r="M4698" s="18"/>
      <c r="N4698" s="18"/>
      <c r="O4698" s="18"/>
      <c r="P4698" s="18"/>
      <c r="Q4698" s="18"/>
    </row>
    <row r="4699" spans="1:17">
      <c r="A4699" s="18"/>
      <c r="B4699" s="18"/>
      <c r="C4699" s="18"/>
      <c r="D4699" s="18"/>
      <c r="E4699" s="18"/>
      <c r="F4699" s="18"/>
      <c r="G4699" s="18"/>
      <c r="H4699" s="18"/>
      <c r="I4699" s="18"/>
      <c r="J4699" s="18"/>
      <c r="K4699" s="18"/>
      <c r="L4699" s="18"/>
      <c r="M4699" s="18"/>
      <c r="N4699" s="18"/>
      <c r="O4699" s="18"/>
      <c r="P4699" s="18"/>
      <c r="Q4699" s="18"/>
    </row>
    <row r="4700" spans="1:17">
      <c r="A4700" s="18"/>
      <c r="B4700" s="18"/>
      <c r="C4700" s="18"/>
      <c r="D4700" s="18"/>
      <c r="E4700" s="18"/>
      <c r="F4700" s="18"/>
      <c r="G4700" s="18"/>
      <c r="H4700" s="18"/>
      <c r="I4700" s="18"/>
      <c r="J4700" s="18"/>
      <c r="K4700" s="18"/>
      <c r="L4700" s="18"/>
      <c r="M4700" s="18"/>
      <c r="N4700" s="18"/>
      <c r="O4700" s="18"/>
      <c r="P4700" s="18"/>
      <c r="Q4700" s="18"/>
    </row>
    <row r="4701" spans="1:17">
      <c r="A4701" s="18"/>
      <c r="B4701" s="18"/>
      <c r="C4701" s="18"/>
      <c r="D4701" s="18"/>
      <c r="E4701" s="18"/>
      <c r="F4701" s="18"/>
      <c r="G4701" s="18"/>
      <c r="H4701" s="18"/>
      <c r="I4701" s="18"/>
      <c r="J4701" s="18"/>
      <c r="K4701" s="18"/>
      <c r="L4701" s="18"/>
      <c r="M4701" s="18"/>
      <c r="N4701" s="18"/>
      <c r="O4701" s="18"/>
      <c r="P4701" s="18"/>
      <c r="Q4701" s="18"/>
    </row>
    <row r="4702" spans="1:17">
      <c r="A4702" s="18"/>
      <c r="B4702" s="18"/>
      <c r="C4702" s="18"/>
      <c r="D4702" s="18"/>
      <c r="E4702" s="18"/>
      <c r="F4702" s="18"/>
      <c r="G4702" s="18"/>
      <c r="H4702" s="18"/>
      <c r="I4702" s="18"/>
      <c r="J4702" s="18"/>
      <c r="K4702" s="18"/>
      <c r="L4702" s="18"/>
      <c r="M4702" s="18"/>
      <c r="N4702" s="18"/>
      <c r="O4702" s="18"/>
      <c r="P4702" s="18"/>
      <c r="Q4702" s="18"/>
    </row>
    <row r="4703" spans="1:17">
      <c r="A4703" s="18"/>
      <c r="B4703" s="18"/>
      <c r="C4703" s="18"/>
      <c r="D4703" s="18"/>
      <c r="E4703" s="18"/>
      <c r="F4703" s="18"/>
      <c r="G4703" s="18"/>
      <c r="H4703" s="18"/>
      <c r="I4703" s="18"/>
      <c r="J4703" s="18"/>
      <c r="K4703" s="18"/>
      <c r="L4703" s="18"/>
      <c r="M4703" s="18"/>
      <c r="N4703" s="18"/>
      <c r="O4703" s="18"/>
      <c r="P4703" s="18"/>
      <c r="Q4703" s="18"/>
    </row>
    <row r="4704" spans="1:17">
      <c r="A4704" s="18"/>
      <c r="B4704" s="18"/>
      <c r="C4704" s="18"/>
      <c r="D4704" s="18"/>
      <c r="E4704" s="18"/>
      <c r="F4704" s="18"/>
      <c r="G4704" s="18"/>
      <c r="H4704" s="18"/>
      <c r="I4704" s="18"/>
      <c r="J4704" s="18"/>
      <c r="K4704" s="18"/>
      <c r="L4704" s="18"/>
      <c r="M4704" s="18"/>
      <c r="N4704" s="18"/>
      <c r="O4704" s="18"/>
      <c r="P4704" s="18"/>
      <c r="Q4704" s="18"/>
    </row>
    <row r="4705" spans="1:17">
      <c r="A4705" s="18"/>
      <c r="B4705" s="18"/>
      <c r="C4705" s="18"/>
      <c r="D4705" s="18"/>
      <c r="E4705" s="18"/>
      <c r="F4705" s="18"/>
      <c r="G4705" s="18"/>
      <c r="H4705" s="18"/>
      <c r="I4705" s="18"/>
      <c r="J4705" s="18"/>
      <c r="K4705" s="18"/>
      <c r="L4705" s="18"/>
      <c r="M4705" s="18"/>
      <c r="N4705" s="18"/>
      <c r="O4705" s="18"/>
      <c r="P4705" s="18"/>
      <c r="Q4705" s="18"/>
    </row>
    <row r="4706" spans="1:17">
      <c r="A4706" s="18"/>
      <c r="B4706" s="18"/>
      <c r="C4706" s="18"/>
      <c r="D4706" s="18"/>
      <c r="E4706" s="18"/>
      <c r="F4706" s="18"/>
      <c r="G4706" s="18"/>
      <c r="H4706" s="18"/>
      <c r="I4706" s="18"/>
      <c r="J4706" s="18"/>
      <c r="K4706" s="18"/>
      <c r="L4706" s="18"/>
      <c r="M4706" s="18"/>
      <c r="N4706" s="18"/>
      <c r="O4706" s="18"/>
      <c r="P4706" s="18"/>
      <c r="Q4706" s="18"/>
    </row>
    <row r="4707" spans="1:17">
      <c r="A4707" s="18"/>
      <c r="B4707" s="18"/>
      <c r="C4707" s="18"/>
      <c r="D4707" s="18"/>
      <c r="E4707" s="18"/>
      <c r="F4707" s="18"/>
      <c r="G4707" s="18"/>
      <c r="H4707" s="18"/>
      <c r="I4707" s="18"/>
      <c r="J4707" s="18"/>
      <c r="K4707" s="18"/>
      <c r="L4707" s="18"/>
      <c r="M4707" s="18"/>
      <c r="N4707" s="18"/>
      <c r="O4707" s="18"/>
      <c r="P4707" s="18"/>
      <c r="Q4707" s="18"/>
    </row>
    <row r="4708" spans="1:17">
      <c r="A4708" s="18"/>
      <c r="B4708" s="18"/>
      <c r="C4708" s="18"/>
      <c r="D4708" s="18"/>
      <c r="E4708" s="18"/>
      <c r="F4708" s="18"/>
      <c r="G4708" s="18"/>
      <c r="H4708" s="18"/>
      <c r="I4708" s="18"/>
      <c r="J4708" s="18"/>
      <c r="K4708" s="18"/>
      <c r="L4708" s="18"/>
      <c r="M4708" s="18"/>
      <c r="N4708" s="18"/>
      <c r="O4708" s="18"/>
      <c r="P4708" s="18"/>
      <c r="Q4708" s="18"/>
    </row>
    <row r="4709" spans="1:17">
      <c r="A4709" s="18"/>
      <c r="B4709" s="18"/>
      <c r="C4709" s="18"/>
      <c r="D4709" s="18"/>
      <c r="E4709" s="18"/>
      <c r="F4709" s="18"/>
      <c r="G4709" s="18"/>
      <c r="H4709" s="18"/>
      <c r="I4709" s="18"/>
      <c r="J4709" s="18"/>
      <c r="K4709" s="18"/>
      <c r="L4709" s="18"/>
      <c r="M4709" s="18"/>
      <c r="N4709" s="18"/>
      <c r="O4709" s="18"/>
      <c r="P4709" s="18"/>
      <c r="Q4709" s="18"/>
    </row>
    <row r="4710" spans="1:17">
      <c r="A4710" s="18"/>
      <c r="B4710" s="18"/>
      <c r="C4710" s="18"/>
      <c r="D4710" s="18"/>
      <c r="E4710" s="18"/>
      <c r="F4710" s="18"/>
      <c r="G4710" s="18"/>
      <c r="H4710" s="18"/>
      <c r="I4710" s="18"/>
      <c r="J4710" s="18"/>
      <c r="K4710" s="18"/>
      <c r="L4710" s="18"/>
      <c r="M4710" s="18"/>
      <c r="N4710" s="18"/>
      <c r="O4710" s="18"/>
      <c r="P4710" s="18"/>
      <c r="Q4710" s="18"/>
    </row>
    <row r="4711" spans="1:17">
      <c r="A4711" s="18"/>
      <c r="B4711" s="18"/>
      <c r="C4711" s="18"/>
      <c r="D4711" s="18"/>
      <c r="E4711" s="18"/>
      <c r="F4711" s="18"/>
      <c r="G4711" s="18"/>
      <c r="H4711" s="18"/>
      <c r="I4711" s="18"/>
      <c r="J4711" s="18"/>
      <c r="K4711" s="18"/>
      <c r="L4711" s="18"/>
      <c r="M4711" s="18"/>
      <c r="N4711" s="18"/>
      <c r="O4711" s="18"/>
      <c r="P4711" s="18"/>
      <c r="Q4711" s="18"/>
    </row>
    <row r="4712" spans="1:17">
      <c r="A4712" s="18"/>
      <c r="B4712" s="18"/>
      <c r="C4712" s="18"/>
      <c r="D4712" s="18"/>
      <c r="E4712" s="18"/>
      <c r="F4712" s="18"/>
      <c r="G4712" s="18"/>
      <c r="H4712" s="18"/>
      <c r="I4712" s="18"/>
      <c r="J4712" s="18"/>
      <c r="K4712" s="18"/>
      <c r="L4712" s="18"/>
      <c r="M4712" s="18"/>
      <c r="N4712" s="18"/>
      <c r="O4712" s="18"/>
      <c r="P4712" s="18"/>
      <c r="Q4712" s="18"/>
    </row>
    <row r="4713" spans="1:17">
      <c r="A4713" s="18"/>
      <c r="B4713" s="18"/>
      <c r="C4713" s="18"/>
      <c r="D4713" s="18"/>
      <c r="E4713" s="18"/>
      <c r="F4713" s="18"/>
      <c r="G4713" s="18"/>
      <c r="H4713" s="18"/>
      <c r="I4713" s="18"/>
      <c r="J4713" s="18"/>
      <c r="K4713" s="18"/>
      <c r="L4713" s="18"/>
      <c r="M4713" s="18"/>
      <c r="N4713" s="18"/>
      <c r="O4713" s="18"/>
      <c r="P4713" s="18"/>
      <c r="Q4713" s="18"/>
    </row>
    <row r="4714" spans="1:17">
      <c r="A4714" s="18"/>
      <c r="B4714" s="18"/>
      <c r="C4714" s="18"/>
      <c r="D4714" s="18"/>
      <c r="E4714" s="18"/>
      <c r="F4714" s="18"/>
      <c r="G4714" s="18"/>
      <c r="H4714" s="18"/>
      <c r="I4714" s="18"/>
      <c r="J4714" s="18"/>
      <c r="K4714" s="18"/>
      <c r="L4714" s="18"/>
      <c r="M4714" s="18"/>
      <c r="N4714" s="18"/>
      <c r="O4714" s="18"/>
      <c r="P4714" s="18"/>
      <c r="Q4714" s="18"/>
    </row>
    <row r="4715" spans="1:17">
      <c r="A4715" s="18"/>
      <c r="B4715" s="18"/>
      <c r="C4715" s="18"/>
      <c r="D4715" s="18"/>
      <c r="E4715" s="18"/>
      <c r="F4715" s="18"/>
      <c r="G4715" s="18"/>
      <c r="H4715" s="18"/>
      <c r="I4715" s="18"/>
      <c r="J4715" s="18"/>
      <c r="K4715" s="18"/>
      <c r="L4715" s="18"/>
      <c r="M4715" s="18"/>
      <c r="N4715" s="18"/>
      <c r="O4715" s="18"/>
      <c r="P4715" s="18"/>
      <c r="Q4715" s="18"/>
    </row>
    <row r="4716" spans="1:17">
      <c r="A4716" s="18"/>
      <c r="B4716" s="18"/>
      <c r="C4716" s="18"/>
      <c r="D4716" s="18"/>
      <c r="E4716" s="18"/>
      <c r="F4716" s="18"/>
      <c r="G4716" s="18"/>
      <c r="H4716" s="18"/>
      <c r="I4716" s="18"/>
      <c r="J4716" s="18"/>
      <c r="K4716" s="18"/>
      <c r="L4716" s="18"/>
      <c r="M4716" s="18"/>
      <c r="N4716" s="18"/>
      <c r="O4716" s="18"/>
      <c r="P4716" s="18"/>
      <c r="Q4716" s="18"/>
    </row>
    <row r="4717" spans="1:17">
      <c r="A4717" s="18"/>
      <c r="B4717" s="18"/>
      <c r="C4717" s="18"/>
      <c r="D4717" s="18"/>
      <c r="E4717" s="18"/>
      <c r="F4717" s="18"/>
      <c r="G4717" s="18"/>
      <c r="H4717" s="18"/>
      <c r="I4717" s="18"/>
      <c r="J4717" s="18"/>
      <c r="K4717" s="18"/>
      <c r="L4717" s="18"/>
      <c r="M4717" s="18"/>
      <c r="N4717" s="18"/>
      <c r="O4717" s="18"/>
      <c r="P4717" s="18"/>
      <c r="Q4717" s="18"/>
    </row>
    <row r="4718" spans="1:17">
      <c r="A4718" s="18"/>
      <c r="B4718" s="18"/>
      <c r="C4718" s="18"/>
      <c r="D4718" s="18"/>
      <c r="E4718" s="18"/>
      <c r="F4718" s="18"/>
      <c r="G4718" s="18"/>
      <c r="H4718" s="18"/>
      <c r="I4718" s="18"/>
      <c r="J4718" s="18"/>
      <c r="K4718" s="18"/>
      <c r="L4718" s="18"/>
      <c r="M4718" s="18"/>
      <c r="N4718" s="18"/>
      <c r="O4718" s="18"/>
      <c r="P4718" s="18"/>
      <c r="Q4718" s="18"/>
    </row>
    <row r="4719" spans="1:17">
      <c r="A4719" s="18"/>
      <c r="B4719" s="18"/>
      <c r="C4719" s="18"/>
      <c r="D4719" s="18"/>
      <c r="E4719" s="18"/>
      <c r="F4719" s="18"/>
      <c r="G4719" s="18"/>
      <c r="H4719" s="18"/>
      <c r="I4719" s="18"/>
      <c r="J4719" s="18"/>
      <c r="K4719" s="18"/>
      <c r="L4719" s="18"/>
      <c r="M4719" s="18"/>
      <c r="N4719" s="18"/>
      <c r="O4719" s="18"/>
      <c r="P4719" s="18"/>
      <c r="Q4719" s="18"/>
    </row>
    <row r="4720" spans="1:17">
      <c r="A4720" s="18"/>
      <c r="B4720" s="18"/>
      <c r="C4720" s="18"/>
      <c r="D4720" s="18"/>
      <c r="E4720" s="18"/>
      <c r="F4720" s="18"/>
      <c r="G4720" s="18"/>
      <c r="H4720" s="18"/>
      <c r="I4720" s="18"/>
      <c r="J4720" s="18"/>
      <c r="K4720" s="18"/>
      <c r="L4720" s="18"/>
      <c r="M4720" s="18"/>
      <c r="N4720" s="18"/>
      <c r="O4720" s="18"/>
      <c r="P4720" s="18"/>
      <c r="Q4720" s="18"/>
    </row>
    <row r="4721" spans="1:17">
      <c r="A4721" s="18"/>
      <c r="B4721" s="18"/>
      <c r="C4721" s="18"/>
      <c r="D4721" s="18"/>
      <c r="E4721" s="18"/>
      <c r="F4721" s="18"/>
      <c r="G4721" s="18"/>
      <c r="H4721" s="18"/>
      <c r="I4721" s="18"/>
      <c r="J4721" s="18"/>
      <c r="K4721" s="18"/>
      <c r="L4721" s="18"/>
      <c r="M4721" s="18"/>
      <c r="N4721" s="18"/>
      <c r="O4721" s="18"/>
      <c r="P4721" s="18"/>
      <c r="Q4721" s="18"/>
    </row>
    <row r="4722" spans="1:17">
      <c r="A4722" s="18"/>
      <c r="B4722" s="18"/>
      <c r="C4722" s="18"/>
      <c r="D4722" s="18"/>
      <c r="E4722" s="18"/>
      <c r="F4722" s="18"/>
      <c r="G4722" s="18"/>
      <c r="H4722" s="18"/>
      <c r="I4722" s="18"/>
      <c r="J4722" s="18"/>
      <c r="K4722" s="18"/>
      <c r="L4722" s="18"/>
      <c r="M4722" s="18"/>
      <c r="N4722" s="18"/>
      <c r="O4722" s="18"/>
      <c r="P4722" s="18"/>
      <c r="Q4722" s="18"/>
    </row>
    <row r="4723" spans="1:17">
      <c r="A4723" s="18"/>
      <c r="B4723" s="18"/>
      <c r="C4723" s="18"/>
      <c r="D4723" s="18"/>
      <c r="E4723" s="18"/>
      <c r="F4723" s="18"/>
      <c r="G4723" s="18"/>
      <c r="H4723" s="18"/>
      <c r="I4723" s="18"/>
      <c r="J4723" s="18"/>
      <c r="K4723" s="18"/>
      <c r="L4723" s="18"/>
      <c r="M4723" s="18"/>
      <c r="N4723" s="18"/>
      <c r="O4723" s="18"/>
      <c r="P4723" s="18"/>
      <c r="Q4723" s="18"/>
    </row>
    <row r="4724" spans="1:17">
      <c r="A4724" s="18"/>
      <c r="B4724" s="18"/>
      <c r="C4724" s="18"/>
      <c r="D4724" s="18"/>
      <c r="E4724" s="18"/>
      <c r="F4724" s="18"/>
      <c r="G4724" s="18"/>
      <c r="H4724" s="18"/>
      <c r="I4724" s="18"/>
      <c r="J4724" s="18"/>
      <c r="K4724" s="18"/>
      <c r="L4724" s="18"/>
      <c r="M4724" s="18"/>
      <c r="N4724" s="18"/>
      <c r="O4724" s="18"/>
      <c r="P4724" s="18"/>
      <c r="Q4724" s="18"/>
    </row>
    <row r="4725" spans="1:17">
      <c r="A4725" s="18"/>
      <c r="B4725" s="18"/>
      <c r="C4725" s="18"/>
      <c r="D4725" s="18"/>
      <c r="E4725" s="18"/>
      <c r="F4725" s="18"/>
      <c r="G4725" s="18"/>
      <c r="H4725" s="18"/>
      <c r="I4725" s="18"/>
      <c r="J4725" s="18"/>
      <c r="K4725" s="18"/>
      <c r="L4725" s="18"/>
      <c r="M4725" s="18"/>
      <c r="N4725" s="18"/>
      <c r="O4725" s="18"/>
      <c r="P4725" s="18"/>
      <c r="Q4725" s="18"/>
    </row>
    <row r="4726" spans="1:17">
      <c r="A4726" s="18"/>
      <c r="B4726" s="18"/>
      <c r="C4726" s="18"/>
      <c r="D4726" s="18"/>
      <c r="E4726" s="18"/>
      <c r="F4726" s="18"/>
      <c r="G4726" s="18"/>
      <c r="H4726" s="18"/>
      <c r="I4726" s="18"/>
      <c r="J4726" s="18"/>
      <c r="K4726" s="18"/>
      <c r="L4726" s="18"/>
      <c r="M4726" s="18"/>
      <c r="N4726" s="18"/>
      <c r="O4726" s="18"/>
      <c r="P4726" s="18"/>
      <c r="Q4726" s="18"/>
    </row>
    <row r="4727" spans="1:17">
      <c r="A4727" s="18"/>
      <c r="B4727" s="18"/>
      <c r="C4727" s="18"/>
      <c r="D4727" s="18"/>
      <c r="E4727" s="18"/>
      <c r="F4727" s="18"/>
      <c r="G4727" s="18"/>
      <c r="H4727" s="18"/>
      <c r="I4727" s="18"/>
      <c r="J4727" s="18"/>
      <c r="K4727" s="18"/>
      <c r="L4727" s="18"/>
      <c r="M4727" s="18"/>
      <c r="N4727" s="18"/>
      <c r="O4727" s="18"/>
      <c r="P4727" s="18"/>
      <c r="Q4727" s="18"/>
    </row>
    <row r="4728" spans="1:17">
      <c r="A4728" s="18"/>
      <c r="B4728" s="18"/>
      <c r="C4728" s="18"/>
      <c r="D4728" s="18"/>
      <c r="E4728" s="18"/>
      <c r="F4728" s="18"/>
      <c r="G4728" s="18"/>
      <c r="H4728" s="18"/>
      <c r="I4728" s="18"/>
      <c r="J4728" s="18"/>
      <c r="K4728" s="18"/>
      <c r="L4728" s="18"/>
      <c r="M4728" s="18"/>
      <c r="N4728" s="18"/>
      <c r="O4728" s="18"/>
      <c r="P4728" s="18"/>
      <c r="Q4728" s="18"/>
    </row>
    <row r="4729" spans="1:17">
      <c r="A4729" s="18"/>
      <c r="B4729" s="18"/>
      <c r="C4729" s="18"/>
      <c r="D4729" s="18"/>
      <c r="E4729" s="18"/>
      <c r="F4729" s="18"/>
      <c r="G4729" s="18"/>
      <c r="H4729" s="18"/>
      <c r="I4729" s="18"/>
      <c r="J4729" s="18"/>
      <c r="K4729" s="18"/>
      <c r="L4729" s="18"/>
      <c r="M4729" s="18"/>
      <c r="N4729" s="18"/>
      <c r="O4729" s="18"/>
      <c r="P4729" s="18"/>
      <c r="Q4729" s="18"/>
    </row>
    <row r="4730" spans="1:17">
      <c r="A4730" s="18"/>
      <c r="B4730" s="18"/>
      <c r="C4730" s="18"/>
      <c r="D4730" s="18"/>
      <c r="E4730" s="18"/>
      <c r="F4730" s="18"/>
      <c r="G4730" s="18"/>
      <c r="H4730" s="18"/>
      <c r="I4730" s="18"/>
      <c r="J4730" s="18"/>
      <c r="K4730" s="18"/>
      <c r="L4730" s="18"/>
      <c r="M4730" s="18"/>
      <c r="N4730" s="18"/>
      <c r="O4730" s="18"/>
      <c r="P4730" s="18"/>
      <c r="Q4730" s="18"/>
    </row>
    <row r="4731" spans="1:17">
      <c r="A4731" s="18"/>
      <c r="B4731" s="18"/>
      <c r="C4731" s="18"/>
      <c r="D4731" s="18"/>
      <c r="E4731" s="18"/>
      <c r="F4731" s="18"/>
      <c r="G4731" s="18"/>
      <c r="H4731" s="18"/>
      <c r="I4731" s="18"/>
      <c r="J4731" s="18"/>
      <c r="K4731" s="18"/>
      <c r="L4731" s="18"/>
      <c r="M4731" s="18"/>
      <c r="N4731" s="18"/>
      <c r="O4731" s="18"/>
      <c r="P4731" s="18"/>
      <c r="Q4731" s="18"/>
    </row>
    <row r="4732" spans="1:17">
      <c r="A4732" s="18"/>
      <c r="B4732" s="18"/>
      <c r="C4732" s="18"/>
      <c r="D4732" s="18"/>
      <c r="E4732" s="18"/>
      <c r="F4732" s="18"/>
      <c r="G4732" s="18"/>
      <c r="H4732" s="18"/>
      <c r="I4732" s="18"/>
      <c r="J4732" s="18"/>
      <c r="K4732" s="18"/>
      <c r="L4732" s="18"/>
      <c r="M4732" s="18"/>
      <c r="N4732" s="18"/>
      <c r="O4732" s="18"/>
      <c r="P4732" s="18"/>
      <c r="Q4732" s="18"/>
    </row>
    <row r="4733" spans="1:17">
      <c r="A4733" s="18"/>
      <c r="B4733" s="18"/>
      <c r="C4733" s="18"/>
      <c r="D4733" s="18"/>
      <c r="E4733" s="18"/>
      <c r="F4733" s="18"/>
      <c r="G4733" s="18"/>
      <c r="H4733" s="18"/>
      <c r="I4733" s="18"/>
      <c r="J4733" s="18"/>
      <c r="K4733" s="18"/>
      <c r="L4733" s="18"/>
      <c r="M4733" s="18"/>
      <c r="N4733" s="18"/>
      <c r="O4733" s="18"/>
      <c r="P4733" s="18"/>
      <c r="Q4733" s="18"/>
    </row>
    <row r="4734" spans="1:17">
      <c r="A4734" s="18"/>
      <c r="B4734" s="18"/>
      <c r="C4734" s="18"/>
      <c r="D4734" s="18"/>
      <c r="E4734" s="18"/>
      <c r="F4734" s="18"/>
      <c r="G4734" s="18"/>
      <c r="H4734" s="18"/>
      <c r="I4734" s="18"/>
      <c r="J4734" s="18"/>
      <c r="K4734" s="18"/>
      <c r="L4734" s="18"/>
      <c r="M4734" s="18"/>
      <c r="N4734" s="18"/>
      <c r="O4734" s="18"/>
      <c r="P4734" s="18"/>
      <c r="Q4734" s="18"/>
    </row>
    <row r="4735" spans="1:17">
      <c r="A4735" s="18"/>
      <c r="B4735" s="18"/>
      <c r="C4735" s="18"/>
      <c r="D4735" s="18"/>
      <c r="E4735" s="18"/>
      <c r="F4735" s="18"/>
      <c r="G4735" s="18"/>
      <c r="H4735" s="18"/>
      <c r="I4735" s="18"/>
      <c r="J4735" s="18"/>
      <c r="K4735" s="18"/>
      <c r="L4735" s="18"/>
      <c r="M4735" s="18"/>
      <c r="N4735" s="18"/>
      <c r="O4735" s="18"/>
      <c r="P4735" s="18"/>
      <c r="Q4735" s="18"/>
    </row>
    <row r="4736" spans="1:17">
      <c r="A4736" s="18"/>
      <c r="B4736" s="18"/>
      <c r="C4736" s="18"/>
      <c r="D4736" s="18"/>
      <c r="E4736" s="18"/>
      <c r="F4736" s="18"/>
      <c r="G4736" s="18"/>
      <c r="H4736" s="18"/>
      <c r="I4736" s="18"/>
      <c r="J4736" s="18"/>
      <c r="K4736" s="18"/>
      <c r="L4736" s="18"/>
      <c r="M4736" s="18"/>
      <c r="N4736" s="18"/>
      <c r="O4736" s="18"/>
      <c r="P4736" s="18"/>
      <c r="Q4736" s="18"/>
    </row>
    <row r="4737" spans="1:17">
      <c r="A4737" s="18"/>
      <c r="B4737" s="18"/>
      <c r="C4737" s="18"/>
      <c r="D4737" s="18"/>
      <c r="E4737" s="18"/>
      <c r="F4737" s="18"/>
      <c r="G4737" s="18"/>
      <c r="H4737" s="18"/>
      <c r="I4737" s="18"/>
      <c r="J4737" s="18"/>
      <c r="K4737" s="18"/>
      <c r="L4737" s="18"/>
      <c r="M4737" s="18"/>
      <c r="N4737" s="18"/>
      <c r="O4737" s="18"/>
      <c r="P4737" s="18"/>
      <c r="Q4737" s="18"/>
    </row>
    <row r="4738" spans="1:17">
      <c r="A4738" s="18"/>
      <c r="B4738" s="18"/>
      <c r="C4738" s="18"/>
      <c r="D4738" s="18"/>
      <c r="E4738" s="18"/>
      <c r="F4738" s="18"/>
      <c r="G4738" s="18"/>
      <c r="H4738" s="18"/>
      <c r="I4738" s="18"/>
      <c r="J4738" s="18"/>
      <c r="K4738" s="18"/>
      <c r="L4738" s="18"/>
      <c r="M4738" s="18"/>
      <c r="N4738" s="18"/>
      <c r="O4738" s="18"/>
      <c r="P4738" s="18"/>
      <c r="Q4738" s="18"/>
    </row>
    <row r="4739" spans="1:17">
      <c r="A4739" s="18"/>
      <c r="B4739" s="18"/>
      <c r="C4739" s="18"/>
      <c r="D4739" s="18"/>
      <c r="E4739" s="18"/>
      <c r="F4739" s="18"/>
      <c r="G4739" s="18"/>
      <c r="H4739" s="18"/>
      <c r="I4739" s="18"/>
      <c r="J4739" s="18"/>
      <c r="K4739" s="18"/>
      <c r="L4739" s="18"/>
      <c r="M4739" s="18"/>
      <c r="N4739" s="18"/>
      <c r="O4739" s="18"/>
      <c r="P4739" s="18"/>
      <c r="Q4739" s="18"/>
    </row>
    <row r="4740" spans="1:17">
      <c r="A4740" s="18"/>
      <c r="B4740" s="18"/>
      <c r="C4740" s="18"/>
      <c r="D4740" s="18"/>
      <c r="E4740" s="18"/>
      <c r="F4740" s="18"/>
      <c r="G4740" s="18"/>
      <c r="H4740" s="18"/>
      <c r="I4740" s="18"/>
      <c r="J4740" s="18"/>
      <c r="K4740" s="18"/>
      <c r="L4740" s="18"/>
      <c r="M4740" s="18"/>
      <c r="N4740" s="18"/>
      <c r="O4740" s="18"/>
      <c r="P4740" s="18"/>
      <c r="Q4740" s="18"/>
    </row>
    <row r="4741" spans="1:17">
      <c r="A4741" s="18"/>
      <c r="B4741" s="18"/>
      <c r="C4741" s="18"/>
      <c r="D4741" s="18"/>
      <c r="E4741" s="18"/>
      <c r="F4741" s="18"/>
      <c r="G4741" s="18"/>
      <c r="H4741" s="18"/>
      <c r="I4741" s="18"/>
      <c r="J4741" s="18"/>
      <c r="K4741" s="18"/>
      <c r="L4741" s="18"/>
      <c r="M4741" s="18"/>
      <c r="N4741" s="18"/>
      <c r="O4741" s="18"/>
      <c r="P4741" s="18"/>
      <c r="Q4741" s="18"/>
    </row>
    <row r="4742" spans="1:17">
      <c r="A4742" s="18"/>
      <c r="B4742" s="18"/>
      <c r="C4742" s="18"/>
      <c r="D4742" s="18"/>
      <c r="E4742" s="18"/>
      <c r="F4742" s="18"/>
      <c r="G4742" s="18"/>
      <c r="H4742" s="18"/>
      <c r="I4742" s="18"/>
      <c r="J4742" s="18"/>
      <c r="K4742" s="18"/>
      <c r="L4742" s="18"/>
      <c r="M4742" s="18"/>
      <c r="N4742" s="18"/>
      <c r="O4742" s="18"/>
      <c r="P4742" s="18"/>
      <c r="Q4742" s="18"/>
    </row>
    <row r="4743" spans="1:17">
      <c r="A4743" s="18"/>
      <c r="B4743" s="18"/>
      <c r="C4743" s="18"/>
      <c r="D4743" s="18"/>
      <c r="E4743" s="18"/>
      <c r="F4743" s="18"/>
      <c r="G4743" s="18"/>
      <c r="H4743" s="18"/>
      <c r="I4743" s="18"/>
      <c r="J4743" s="18"/>
      <c r="K4743" s="18"/>
      <c r="L4743" s="18"/>
      <c r="M4743" s="18"/>
      <c r="N4743" s="18"/>
      <c r="O4743" s="18"/>
      <c r="P4743" s="18"/>
      <c r="Q4743" s="18"/>
    </row>
    <row r="4744" spans="1:17">
      <c r="A4744" s="18"/>
      <c r="B4744" s="18"/>
      <c r="C4744" s="18"/>
      <c r="D4744" s="18"/>
      <c r="E4744" s="18"/>
      <c r="F4744" s="18"/>
      <c r="G4744" s="18"/>
      <c r="H4744" s="18"/>
      <c r="I4744" s="18"/>
      <c r="J4744" s="18"/>
      <c r="K4744" s="18"/>
      <c r="L4744" s="18"/>
      <c r="M4744" s="18"/>
      <c r="N4744" s="18"/>
      <c r="O4744" s="18"/>
      <c r="P4744" s="18"/>
      <c r="Q4744" s="18"/>
    </row>
    <row r="4745" spans="1:17">
      <c r="A4745" s="18"/>
      <c r="B4745" s="18"/>
      <c r="C4745" s="18"/>
      <c r="D4745" s="18"/>
      <c r="E4745" s="18"/>
      <c r="F4745" s="18"/>
      <c r="G4745" s="18"/>
      <c r="H4745" s="18"/>
      <c r="I4745" s="18"/>
      <c r="J4745" s="18"/>
      <c r="K4745" s="18"/>
      <c r="L4745" s="18"/>
      <c r="M4745" s="18"/>
      <c r="N4745" s="18"/>
      <c r="O4745" s="18"/>
      <c r="P4745" s="18"/>
      <c r="Q4745" s="18"/>
    </row>
    <row r="4746" spans="1:17">
      <c r="A4746" s="18"/>
      <c r="B4746" s="18"/>
      <c r="C4746" s="18"/>
      <c r="D4746" s="18"/>
      <c r="E4746" s="18"/>
      <c r="F4746" s="18"/>
      <c r="G4746" s="18"/>
      <c r="H4746" s="18"/>
      <c r="I4746" s="18"/>
      <c r="J4746" s="18"/>
      <c r="K4746" s="18"/>
      <c r="L4746" s="18"/>
      <c r="M4746" s="18"/>
      <c r="N4746" s="18"/>
      <c r="O4746" s="18"/>
      <c r="P4746" s="18"/>
      <c r="Q4746" s="18"/>
    </row>
    <row r="4747" spans="1:17">
      <c r="A4747" s="18"/>
      <c r="B4747" s="18"/>
      <c r="C4747" s="18"/>
      <c r="D4747" s="18"/>
      <c r="E4747" s="18"/>
      <c r="F4747" s="18"/>
      <c r="G4747" s="18"/>
      <c r="H4747" s="18"/>
      <c r="I4747" s="18"/>
      <c r="J4747" s="18"/>
      <c r="K4747" s="18"/>
      <c r="L4747" s="18"/>
      <c r="M4747" s="18"/>
      <c r="N4747" s="18"/>
      <c r="O4747" s="18"/>
      <c r="P4747" s="18"/>
      <c r="Q4747" s="18"/>
    </row>
    <row r="4748" spans="1:17">
      <c r="A4748" s="18"/>
      <c r="B4748" s="18"/>
      <c r="C4748" s="18"/>
      <c r="D4748" s="18"/>
      <c r="E4748" s="18"/>
      <c r="F4748" s="18"/>
      <c r="G4748" s="18"/>
      <c r="H4748" s="18"/>
      <c r="I4748" s="18"/>
      <c r="J4748" s="18"/>
      <c r="K4748" s="18"/>
      <c r="L4748" s="18"/>
      <c r="M4748" s="18"/>
      <c r="N4748" s="18"/>
      <c r="O4748" s="18"/>
      <c r="P4748" s="18"/>
      <c r="Q4748" s="18"/>
    </row>
    <row r="4749" spans="1:17">
      <c r="A4749" s="18"/>
      <c r="B4749" s="18"/>
      <c r="C4749" s="18"/>
      <c r="D4749" s="18"/>
      <c r="E4749" s="18"/>
      <c r="F4749" s="18"/>
      <c r="G4749" s="18"/>
      <c r="H4749" s="18"/>
      <c r="I4749" s="18"/>
      <c r="J4749" s="18"/>
      <c r="K4749" s="18"/>
      <c r="L4749" s="18"/>
      <c r="M4749" s="18"/>
      <c r="N4749" s="18"/>
      <c r="O4749" s="18"/>
      <c r="P4749" s="18"/>
      <c r="Q4749" s="18"/>
    </row>
    <row r="4750" spans="1:17">
      <c r="A4750" s="18"/>
      <c r="B4750" s="18"/>
      <c r="C4750" s="18"/>
      <c r="D4750" s="18"/>
      <c r="E4750" s="18"/>
      <c r="F4750" s="18"/>
      <c r="G4750" s="18"/>
      <c r="H4750" s="18"/>
      <c r="I4750" s="18"/>
      <c r="J4750" s="18"/>
      <c r="K4750" s="18"/>
      <c r="L4750" s="18"/>
      <c r="M4750" s="18"/>
      <c r="N4750" s="18"/>
      <c r="O4750" s="18"/>
      <c r="P4750" s="18"/>
      <c r="Q4750" s="18"/>
    </row>
    <row r="4751" spans="1:17">
      <c r="A4751" s="18"/>
      <c r="B4751" s="18"/>
      <c r="C4751" s="18"/>
      <c r="D4751" s="18"/>
      <c r="E4751" s="18"/>
      <c r="F4751" s="18"/>
      <c r="G4751" s="18"/>
      <c r="H4751" s="18"/>
      <c r="I4751" s="18"/>
      <c r="J4751" s="18"/>
      <c r="K4751" s="18"/>
      <c r="L4751" s="18"/>
      <c r="M4751" s="18"/>
      <c r="N4751" s="18"/>
      <c r="O4751" s="18"/>
      <c r="P4751" s="18"/>
      <c r="Q4751" s="18"/>
    </row>
    <row r="4752" spans="1:17">
      <c r="A4752" s="18"/>
      <c r="B4752" s="18"/>
      <c r="C4752" s="18"/>
      <c r="D4752" s="18"/>
      <c r="E4752" s="18"/>
      <c r="F4752" s="18"/>
      <c r="G4752" s="18"/>
      <c r="H4752" s="18"/>
      <c r="I4752" s="18"/>
      <c r="J4752" s="18"/>
      <c r="K4752" s="18"/>
      <c r="L4752" s="18"/>
      <c r="M4752" s="18"/>
      <c r="N4752" s="18"/>
      <c r="O4752" s="18"/>
      <c r="P4752" s="18"/>
      <c r="Q4752" s="18"/>
    </row>
    <row r="4753" spans="1:17">
      <c r="A4753" s="18"/>
      <c r="B4753" s="18"/>
      <c r="C4753" s="18"/>
      <c r="D4753" s="18"/>
      <c r="E4753" s="18"/>
      <c r="F4753" s="18"/>
      <c r="G4753" s="18"/>
      <c r="H4753" s="18"/>
      <c r="I4753" s="18"/>
      <c r="J4753" s="18"/>
      <c r="K4753" s="18"/>
      <c r="L4753" s="18"/>
      <c r="M4753" s="18"/>
      <c r="N4753" s="18"/>
      <c r="O4753" s="18"/>
      <c r="P4753" s="18"/>
      <c r="Q4753" s="18"/>
    </row>
    <row r="4754" spans="1:17">
      <c r="A4754" s="18"/>
      <c r="B4754" s="18"/>
      <c r="C4754" s="18"/>
      <c r="D4754" s="18"/>
      <c r="E4754" s="18"/>
      <c r="F4754" s="18"/>
      <c r="G4754" s="18"/>
      <c r="H4754" s="18"/>
      <c r="I4754" s="18"/>
      <c r="J4754" s="18"/>
      <c r="K4754" s="18"/>
      <c r="L4754" s="18"/>
      <c r="M4754" s="18"/>
      <c r="N4754" s="18"/>
      <c r="O4754" s="18"/>
      <c r="P4754" s="18"/>
      <c r="Q4754" s="18"/>
    </row>
    <row r="4755" spans="1:17">
      <c r="A4755" s="18"/>
      <c r="B4755" s="18"/>
      <c r="C4755" s="18"/>
      <c r="D4755" s="18"/>
      <c r="E4755" s="18"/>
      <c r="F4755" s="18"/>
      <c r="G4755" s="18"/>
      <c r="H4755" s="18"/>
      <c r="I4755" s="18"/>
      <c r="J4755" s="18"/>
      <c r="K4755" s="18"/>
      <c r="L4755" s="18"/>
      <c r="M4755" s="18"/>
      <c r="N4755" s="18"/>
      <c r="O4755" s="18"/>
      <c r="P4755" s="18"/>
      <c r="Q4755" s="18"/>
    </row>
    <row r="4756" spans="1:17">
      <c r="A4756" s="18"/>
      <c r="B4756" s="18"/>
      <c r="C4756" s="18"/>
      <c r="D4756" s="18"/>
      <c r="E4756" s="18"/>
      <c r="F4756" s="18"/>
      <c r="G4756" s="18"/>
      <c r="H4756" s="18"/>
      <c r="I4756" s="18"/>
      <c r="J4756" s="18"/>
      <c r="K4756" s="18"/>
      <c r="L4756" s="18"/>
      <c r="M4756" s="18"/>
      <c r="N4756" s="18"/>
      <c r="O4756" s="18"/>
      <c r="P4756" s="18"/>
      <c r="Q4756" s="18"/>
    </row>
    <row r="4757" spans="1:17">
      <c r="A4757" s="18"/>
      <c r="B4757" s="18"/>
      <c r="C4757" s="18"/>
      <c r="D4757" s="18"/>
      <c r="E4757" s="18"/>
      <c r="F4757" s="18"/>
      <c r="G4757" s="18"/>
      <c r="H4757" s="18"/>
      <c r="I4757" s="18"/>
      <c r="J4757" s="18"/>
      <c r="K4757" s="18"/>
      <c r="L4757" s="18"/>
      <c r="M4757" s="18"/>
      <c r="N4757" s="18"/>
      <c r="O4757" s="18"/>
      <c r="P4757" s="18"/>
      <c r="Q4757" s="18"/>
    </row>
    <row r="4758" spans="1:17">
      <c r="A4758" s="18"/>
      <c r="B4758" s="18"/>
      <c r="C4758" s="18"/>
      <c r="D4758" s="18"/>
      <c r="E4758" s="18"/>
      <c r="F4758" s="18"/>
      <c r="G4758" s="18"/>
      <c r="H4758" s="18"/>
      <c r="I4758" s="18"/>
      <c r="J4758" s="18"/>
      <c r="K4758" s="18"/>
      <c r="L4758" s="18"/>
      <c r="M4758" s="18"/>
      <c r="N4758" s="18"/>
      <c r="O4758" s="18"/>
      <c r="P4758" s="18"/>
      <c r="Q4758" s="18"/>
    </row>
    <row r="4759" spans="1:17">
      <c r="A4759" s="18"/>
      <c r="B4759" s="18"/>
      <c r="C4759" s="18"/>
      <c r="D4759" s="18"/>
      <c r="E4759" s="18"/>
      <c r="F4759" s="18"/>
      <c r="G4759" s="18"/>
      <c r="H4759" s="18"/>
      <c r="I4759" s="18"/>
      <c r="J4759" s="18"/>
      <c r="K4759" s="18"/>
      <c r="L4759" s="18"/>
      <c r="M4759" s="18"/>
      <c r="N4759" s="18"/>
      <c r="O4759" s="18"/>
      <c r="P4759" s="18"/>
      <c r="Q4759" s="18"/>
    </row>
    <row r="4760" spans="1:17">
      <c r="A4760" s="18"/>
      <c r="B4760" s="18"/>
      <c r="C4760" s="18"/>
      <c r="D4760" s="18"/>
      <c r="E4760" s="18"/>
      <c r="F4760" s="18"/>
      <c r="G4760" s="18"/>
      <c r="H4760" s="18"/>
      <c r="I4760" s="18"/>
      <c r="J4760" s="18"/>
      <c r="K4760" s="18"/>
      <c r="L4760" s="18"/>
      <c r="M4760" s="18"/>
      <c r="N4760" s="18"/>
      <c r="O4760" s="18"/>
      <c r="P4760" s="18"/>
      <c r="Q4760" s="18"/>
    </row>
    <row r="4761" spans="1:17">
      <c r="A4761" s="18"/>
      <c r="B4761" s="18"/>
      <c r="C4761" s="18"/>
      <c r="D4761" s="18"/>
      <c r="E4761" s="18"/>
      <c r="F4761" s="18"/>
      <c r="G4761" s="18"/>
      <c r="H4761" s="18"/>
      <c r="I4761" s="18"/>
      <c r="J4761" s="18"/>
      <c r="K4761" s="18"/>
      <c r="L4761" s="18"/>
      <c r="M4761" s="18"/>
      <c r="N4761" s="18"/>
      <c r="O4761" s="18"/>
      <c r="P4761" s="18"/>
      <c r="Q4761" s="18"/>
    </row>
    <row r="4762" spans="1:17">
      <c r="A4762" s="18"/>
      <c r="B4762" s="18"/>
      <c r="C4762" s="18"/>
      <c r="D4762" s="18"/>
      <c r="E4762" s="18"/>
      <c r="F4762" s="18"/>
      <c r="G4762" s="18"/>
      <c r="H4762" s="18"/>
      <c r="I4762" s="18"/>
      <c r="J4762" s="18"/>
      <c r="K4762" s="18"/>
      <c r="L4762" s="18"/>
      <c r="M4762" s="18"/>
      <c r="N4762" s="18"/>
      <c r="O4762" s="18"/>
      <c r="P4762" s="18"/>
      <c r="Q4762" s="18"/>
    </row>
    <row r="4763" spans="1:17">
      <c r="A4763" s="18"/>
      <c r="B4763" s="18"/>
      <c r="C4763" s="18"/>
      <c r="D4763" s="18"/>
      <c r="E4763" s="18"/>
      <c r="F4763" s="18"/>
      <c r="G4763" s="18"/>
      <c r="H4763" s="18"/>
      <c r="I4763" s="18"/>
      <c r="J4763" s="18"/>
      <c r="K4763" s="18"/>
      <c r="L4763" s="18"/>
      <c r="M4763" s="18"/>
      <c r="N4763" s="18"/>
      <c r="O4763" s="18"/>
      <c r="P4763" s="18"/>
      <c r="Q4763" s="18"/>
    </row>
    <row r="4764" spans="1:17">
      <c r="A4764" s="18"/>
      <c r="B4764" s="18"/>
      <c r="C4764" s="18"/>
      <c r="D4764" s="18"/>
      <c r="E4764" s="18"/>
      <c r="F4764" s="18"/>
      <c r="G4764" s="18"/>
      <c r="H4764" s="18"/>
      <c r="I4764" s="18"/>
      <c r="J4764" s="18"/>
      <c r="K4764" s="18"/>
      <c r="L4764" s="18"/>
      <c r="M4764" s="18"/>
      <c r="N4764" s="18"/>
      <c r="O4764" s="18"/>
      <c r="P4764" s="18"/>
      <c r="Q4764" s="18"/>
    </row>
    <row r="4765" spans="1:17">
      <c r="A4765" s="18"/>
      <c r="B4765" s="18"/>
      <c r="C4765" s="18"/>
      <c r="D4765" s="18"/>
      <c r="E4765" s="18"/>
      <c r="F4765" s="18"/>
      <c r="G4765" s="18"/>
      <c r="H4765" s="18"/>
      <c r="I4765" s="18"/>
      <c r="J4765" s="18"/>
      <c r="K4765" s="18"/>
      <c r="L4765" s="18"/>
      <c r="M4765" s="18"/>
      <c r="N4765" s="18"/>
      <c r="O4765" s="18"/>
      <c r="P4765" s="18"/>
      <c r="Q4765" s="18"/>
    </row>
    <row r="4766" spans="1:17">
      <c r="A4766" s="18"/>
      <c r="B4766" s="18"/>
      <c r="C4766" s="18"/>
      <c r="D4766" s="18"/>
      <c r="E4766" s="18"/>
      <c r="F4766" s="18"/>
      <c r="G4766" s="18"/>
      <c r="H4766" s="18"/>
      <c r="I4766" s="18"/>
      <c r="J4766" s="18"/>
      <c r="K4766" s="18"/>
      <c r="L4766" s="18"/>
      <c r="M4766" s="18"/>
      <c r="N4766" s="18"/>
      <c r="O4766" s="18"/>
      <c r="P4766" s="18"/>
      <c r="Q4766" s="18"/>
    </row>
    <row r="4767" spans="1:17">
      <c r="A4767" s="18"/>
      <c r="B4767" s="18"/>
      <c r="C4767" s="18"/>
      <c r="D4767" s="18"/>
      <c r="E4767" s="18"/>
      <c r="F4767" s="18"/>
      <c r="G4767" s="18"/>
      <c r="H4767" s="18"/>
      <c r="I4767" s="18"/>
      <c r="J4767" s="18"/>
      <c r="K4767" s="18"/>
      <c r="L4767" s="18"/>
      <c r="M4767" s="18"/>
      <c r="N4767" s="18"/>
      <c r="O4767" s="18"/>
      <c r="P4767" s="18"/>
      <c r="Q4767" s="18"/>
    </row>
    <row r="4768" spans="1:17">
      <c r="A4768" s="18"/>
      <c r="B4768" s="18"/>
      <c r="C4768" s="18"/>
      <c r="D4768" s="18"/>
      <c r="E4768" s="18"/>
      <c r="F4768" s="18"/>
      <c r="G4768" s="18"/>
      <c r="H4768" s="18"/>
      <c r="I4768" s="18"/>
      <c r="J4768" s="18"/>
      <c r="K4768" s="18"/>
      <c r="L4768" s="18"/>
      <c r="M4768" s="18"/>
      <c r="N4768" s="18"/>
      <c r="O4768" s="18"/>
      <c r="P4768" s="18"/>
      <c r="Q4768" s="18"/>
    </row>
    <row r="4769" spans="1:17">
      <c r="A4769" s="18"/>
      <c r="B4769" s="18"/>
      <c r="C4769" s="18"/>
      <c r="D4769" s="18"/>
      <c r="E4769" s="18"/>
      <c r="F4769" s="18"/>
      <c r="G4769" s="18"/>
      <c r="H4769" s="18"/>
      <c r="I4769" s="18"/>
      <c r="J4769" s="18"/>
      <c r="K4769" s="18"/>
      <c r="L4769" s="18"/>
      <c r="M4769" s="18"/>
      <c r="N4769" s="18"/>
      <c r="O4769" s="18"/>
      <c r="P4769" s="18"/>
      <c r="Q4769" s="18"/>
    </row>
    <row r="4770" spans="1:17">
      <c r="A4770" s="18"/>
      <c r="B4770" s="18"/>
      <c r="C4770" s="18"/>
      <c r="D4770" s="18"/>
      <c r="E4770" s="18"/>
      <c r="F4770" s="18"/>
      <c r="G4770" s="18"/>
      <c r="H4770" s="18"/>
      <c r="I4770" s="18"/>
      <c r="J4770" s="18"/>
      <c r="K4770" s="18"/>
      <c r="L4770" s="18"/>
      <c r="M4770" s="18"/>
      <c r="N4770" s="18"/>
      <c r="O4770" s="18"/>
      <c r="P4770" s="18"/>
      <c r="Q4770" s="18"/>
    </row>
    <row r="4771" spans="1:17">
      <c r="A4771" s="18"/>
      <c r="B4771" s="18"/>
      <c r="C4771" s="18"/>
      <c r="D4771" s="18"/>
      <c r="E4771" s="18"/>
      <c r="F4771" s="18"/>
      <c r="G4771" s="18"/>
      <c r="H4771" s="18"/>
      <c r="I4771" s="18"/>
      <c r="J4771" s="18"/>
      <c r="K4771" s="18"/>
      <c r="L4771" s="18"/>
      <c r="M4771" s="18"/>
      <c r="N4771" s="18"/>
      <c r="O4771" s="18"/>
      <c r="P4771" s="18"/>
      <c r="Q4771" s="18"/>
    </row>
    <row r="4772" spans="1:17">
      <c r="A4772" s="18"/>
      <c r="B4772" s="18"/>
      <c r="C4772" s="18"/>
      <c r="D4772" s="18"/>
      <c r="E4772" s="18"/>
      <c r="F4772" s="18"/>
      <c r="G4772" s="18"/>
      <c r="H4772" s="18"/>
      <c r="I4772" s="18"/>
      <c r="J4772" s="18"/>
      <c r="K4772" s="18"/>
      <c r="L4772" s="18"/>
      <c r="M4772" s="18"/>
      <c r="N4772" s="18"/>
      <c r="O4772" s="18"/>
      <c r="P4772" s="18"/>
      <c r="Q4772" s="18"/>
    </row>
    <row r="4773" spans="1:17">
      <c r="A4773" s="18"/>
      <c r="B4773" s="18"/>
      <c r="C4773" s="18"/>
      <c r="D4773" s="18"/>
      <c r="E4773" s="18"/>
      <c r="F4773" s="18"/>
      <c r="G4773" s="18"/>
      <c r="H4773" s="18"/>
      <c r="I4773" s="18"/>
      <c r="J4773" s="18"/>
      <c r="K4773" s="18"/>
      <c r="L4773" s="18"/>
      <c r="M4773" s="18"/>
      <c r="N4773" s="18"/>
      <c r="O4773" s="18"/>
      <c r="P4773" s="18"/>
      <c r="Q4773" s="18"/>
    </row>
    <row r="4774" spans="1:17">
      <c r="A4774" s="18"/>
      <c r="B4774" s="18"/>
      <c r="C4774" s="18"/>
      <c r="D4774" s="18"/>
      <c r="E4774" s="18"/>
      <c r="F4774" s="18"/>
      <c r="G4774" s="18"/>
      <c r="H4774" s="18"/>
      <c r="I4774" s="18"/>
      <c r="J4774" s="18"/>
      <c r="K4774" s="18"/>
      <c r="L4774" s="18"/>
      <c r="M4774" s="18"/>
      <c r="N4774" s="18"/>
      <c r="O4774" s="18"/>
      <c r="P4774" s="18"/>
      <c r="Q4774" s="18"/>
    </row>
    <row r="4775" spans="1:17">
      <c r="A4775" s="18"/>
      <c r="B4775" s="18"/>
      <c r="C4775" s="18"/>
      <c r="D4775" s="18"/>
      <c r="E4775" s="18"/>
      <c r="F4775" s="18"/>
      <c r="G4775" s="18"/>
      <c r="H4775" s="18"/>
      <c r="I4775" s="18"/>
      <c r="J4775" s="18"/>
      <c r="K4775" s="18"/>
      <c r="L4775" s="18"/>
      <c r="M4775" s="18"/>
      <c r="N4775" s="18"/>
      <c r="O4775" s="18"/>
      <c r="P4775" s="18"/>
      <c r="Q4775" s="18"/>
    </row>
    <row r="4776" spans="1:17">
      <c r="A4776" s="18"/>
      <c r="B4776" s="18"/>
      <c r="C4776" s="18"/>
      <c r="D4776" s="18"/>
      <c r="E4776" s="18"/>
      <c r="F4776" s="18"/>
      <c r="G4776" s="18"/>
      <c r="H4776" s="18"/>
      <c r="I4776" s="18"/>
      <c r="J4776" s="18"/>
      <c r="K4776" s="18"/>
      <c r="L4776" s="18"/>
      <c r="M4776" s="18"/>
      <c r="N4776" s="18"/>
      <c r="O4776" s="18"/>
      <c r="P4776" s="18"/>
      <c r="Q4776" s="18"/>
    </row>
    <row r="4777" spans="1:17">
      <c r="A4777" s="18"/>
      <c r="B4777" s="18"/>
      <c r="C4777" s="18"/>
      <c r="D4777" s="18"/>
      <c r="E4777" s="18"/>
      <c r="F4777" s="18"/>
      <c r="G4777" s="18"/>
      <c r="H4777" s="18"/>
      <c r="I4777" s="18"/>
      <c r="J4777" s="18"/>
      <c r="K4777" s="18"/>
      <c r="L4777" s="18"/>
      <c r="M4777" s="18"/>
      <c r="N4777" s="18"/>
      <c r="O4777" s="18"/>
      <c r="P4777" s="18"/>
      <c r="Q4777" s="18"/>
    </row>
    <row r="4778" spans="1:17">
      <c r="A4778" s="18"/>
      <c r="B4778" s="18"/>
      <c r="C4778" s="18"/>
      <c r="D4778" s="18"/>
      <c r="E4778" s="18"/>
      <c r="F4778" s="18"/>
      <c r="G4778" s="18"/>
      <c r="H4778" s="18"/>
      <c r="I4778" s="18"/>
      <c r="J4778" s="18"/>
      <c r="K4778" s="18"/>
      <c r="L4778" s="18"/>
      <c r="M4778" s="18"/>
      <c r="N4778" s="18"/>
      <c r="O4778" s="18"/>
      <c r="P4778" s="18"/>
      <c r="Q4778" s="18"/>
    </row>
    <row r="4779" spans="1:17">
      <c r="A4779" s="18"/>
      <c r="B4779" s="18"/>
      <c r="C4779" s="18"/>
      <c r="D4779" s="18"/>
      <c r="E4779" s="18"/>
      <c r="F4779" s="18"/>
      <c r="G4779" s="18"/>
      <c r="H4779" s="18"/>
      <c r="I4779" s="18"/>
      <c r="J4779" s="18"/>
      <c r="K4779" s="18"/>
      <c r="L4779" s="18"/>
      <c r="M4779" s="18"/>
      <c r="N4779" s="18"/>
      <c r="O4779" s="18"/>
      <c r="P4779" s="18"/>
      <c r="Q4779" s="18"/>
    </row>
    <row r="4780" spans="1:17">
      <c r="A4780" s="18"/>
      <c r="B4780" s="18"/>
      <c r="C4780" s="18"/>
      <c r="D4780" s="18"/>
      <c r="E4780" s="18"/>
      <c r="F4780" s="18"/>
      <c r="G4780" s="18"/>
      <c r="H4780" s="18"/>
      <c r="I4780" s="18"/>
      <c r="J4780" s="18"/>
      <c r="K4780" s="18"/>
      <c r="L4780" s="18"/>
      <c r="M4780" s="18"/>
      <c r="N4780" s="18"/>
      <c r="O4780" s="18"/>
      <c r="P4780" s="18"/>
      <c r="Q4780" s="18"/>
    </row>
    <row r="4781" spans="1:17">
      <c r="A4781" s="18"/>
      <c r="B4781" s="18"/>
      <c r="C4781" s="18"/>
      <c r="D4781" s="18"/>
      <c r="E4781" s="18"/>
      <c r="F4781" s="18"/>
      <c r="G4781" s="18"/>
      <c r="H4781" s="18"/>
      <c r="I4781" s="18"/>
      <c r="J4781" s="18"/>
      <c r="K4781" s="18"/>
      <c r="L4781" s="18"/>
      <c r="M4781" s="18"/>
      <c r="N4781" s="18"/>
      <c r="O4781" s="18"/>
      <c r="P4781" s="18"/>
      <c r="Q4781" s="18"/>
    </row>
    <row r="4782" spans="1:17">
      <c r="A4782" s="18"/>
      <c r="B4782" s="18"/>
      <c r="C4782" s="18"/>
      <c r="D4782" s="18"/>
      <c r="E4782" s="18"/>
      <c r="F4782" s="18"/>
      <c r="G4782" s="18"/>
      <c r="H4782" s="18"/>
      <c r="I4782" s="18"/>
      <c r="J4782" s="18"/>
      <c r="K4782" s="18"/>
      <c r="L4782" s="18"/>
      <c r="M4782" s="18"/>
      <c r="N4782" s="18"/>
      <c r="O4782" s="18"/>
      <c r="P4782" s="18"/>
      <c r="Q4782" s="18"/>
    </row>
    <row r="4783" spans="1:17">
      <c r="A4783" s="18"/>
      <c r="B4783" s="18"/>
      <c r="C4783" s="18"/>
      <c r="D4783" s="18"/>
      <c r="E4783" s="18"/>
      <c r="F4783" s="18"/>
      <c r="G4783" s="18"/>
      <c r="H4783" s="18"/>
      <c r="I4783" s="18"/>
      <c r="J4783" s="18"/>
      <c r="K4783" s="18"/>
      <c r="L4783" s="18"/>
      <c r="M4783" s="18"/>
      <c r="N4783" s="18"/>
      <c r="O4783" s="18"/>
      <c r="P4783" s="18"/>
      <c r="Q4783" s="18"/>
    </row>
    <row r="4784" spans="1:17">
      <c r="A4784" s="18"/>
      <c r="B4784" s="18"/>
      <c r="C4784" s="18"/>
      <c r="D4784" s="18"/>
      <c r="E4784" s="18"/>
      <c r="F4784" s="18"/>
      <c r="G4784" s="18"/>
      <c r="H4784" s="18"/>
      <c r="I4784" s="18"/>
      <c r="J4784" s="18"/>
      <c r="K4784" s="18"/>
      <c r="L4784" s="18"/>
      <c r="M4784" s="18"/>
      <c r="N4784" s="18"/>
      <c r="O4784" s="18"/>
      <c r="P4784" s="18"/>
      <c r="Q4784" s="18"/>
    </row>
    <row r="4785" spans="1:17">
      <c r="A4785" s="18"/>
      <c r="B4785" s="18"/>
      <c r="C4785" s="18"/>
      <c r="D4785" s="18"/>
      <c r="E4785" s="18"/>
      <c r="F4785" s="18"/>
      <c r="G4785" s="18"/>
      <c r="H4785" s="18"/>
      <c r="I4785" s="18"/>
      <c r="J4785" s="18"/>
      <c r="K4785" s="18"/>
      <c r="L4785" s="18"/>
      <c r="M4785" s="18"/>
      <c r="N4785" s="18"/>
      <c r="O4785" s="18"/>
      <c r="P4785" s="18"/>
      <c r="Q4785" s="18"/>
    </row>
    <row r="4786" spans="1:17">
      <c r="A4786" s="18"/>
      <c r="B4786" s="18"/>
      <c r="C4786" s="18"/>
      <c r="D4786" s="18"/>
      <c r="E4786" s="18"/>
      <c r="F4786" s="18"/>
      <c r="G4786" s="18"/>
      <c r="H4786" s="18"/>
      <c r="I4786" s="18"/>
      <c r="J4786" s="18"/>
      <c r="K4786" s="18"/>
      <c r="L4786" s="18"/>
      <c r="M4786" s="18"/>
      <c r="N4786" s="18"/>
      <c r="O4786" s="18"/>
      <c r="P4786" s="18"/>
      <c r="Q4786" s="18"/>
    </row>
    <row r="4787" spans="1:17">
      <c r="A4787" s="18"/>
      <c r="B4787" s="18"/>
      <c r="C4787" s="18"/>
      <c r="D4787" s="18"/>
      <c r="E4787" s="18"/>
      <c r="F4787" s="18"/>
      <c r="G4787" s="18"/>
      <c r="H4787" s="18"/>
      <c r="I4787" s="18"/>
      <c r="J4787" s="18"/>
      <c r="K4787" s="18"/>
      <c r="L4787" s="18"/>
      <c r="M4787" s="18"/>
      <c r="N4787" s="18"/>
      <c r="O4787" s="18"/>
      <c r="P4787" s="18"/>
      <c r="Q4787" s="18"/>
    </row>
    <row r="4788" spans="1:17">
      <c r="A4788" s="18"/>
      <c r="B4788" s="18"/>
      <c r="C4788" s="18"/>
      <c r="D4788" s="18"/>
      <c r="E4788" s="18"/>
      <c r="F4788" s="18"/>
      <c r="G4788" s="18"/>
      <c r="H4788" s="18"/>
      <c r="I4788" s="18"/>
      <c r="J4788" s="18"/>
      <c r="K4788" s="18"/>
      <c r="L4788" s="18"/>
      <c r="M4788" s="18"/>
      <c r="N4788" s="18"/>
      <c r="O4788" s="18"/>
      <c r="P4788" s="18"/>
      <c r="Q4788" s="18"/>
    </row>
    <row r="4789" spans="1:17">
      <c r="A4789" s="18"/>
      <c r="B4789" s="18"/>
      <c r="C4789" s="18"/>
      <c r="D4789" s="18"/>
      <c r="E4789" s="18"/>
      <c r="F4789" s="18"/>
      <c r="G4789" s="18"/>
      <c r="H4789" s="18"/>
      <c r="I4789" s="18"/>
      <c r="J4789" s="18"/>
      <c r="K4789" s="18"/>
      <c r="L4789" s="18"/>
      <c r="M4789" s="18"/>
      <c r="N4789" s="18"/>
      <c r="O4789" s="18"/>
      <c r="P4789" s="18"/>
      <c r="Q4789" s="18"/>
    </row>
    <row r="4790" spans="1:17">
      <c r="A4790" s="18"/>
      <c r="B4790" s="18"/>
      <c r="C4790" s="18"/>
      <c r="D4790" s="18"/>
      <c r="E4790" s="18"/>
      <c r="F4790" s="18"/>
      <c r="G4790" s="18"/>
      <c r="H4790" s="18"/>
      <c r="I4790" s="18"/>
      <c r="J4790" s="18"/>
      <c r="K4790" s="18"/>
      <c r="L4790" s="18"/>
      <c r="M4790" s="18"/>
      <c r="N4790" s="18"/>
      <c r="O4790" s="18"/>
      <c r="P4790" s="18"/>
      <c r="Q4790" s="18"/>
    </row>
    <row r="4791" spans="1:17">
      <c r="A4791" s="18"/>
      <c r="B4791" s="18"/>
      <c r="C4791" s="18"/>
      <c r="D4791" s="18"/>
      <c r="E4791" s="18"/>
      <c r="F4791" s="18"/>
      <c r="G4791" s="18"/>
      <c r="H4791" s="18"/>
      <c r="I4791" s="18"/>
      <c r="J4791" s="18"/>
      <c r="K4791" s="18"/>
      <c r="L4791" s="18"/>
      <c r="M4791" s="18"/>
      <c r="N4791" s="18"/>
      <c r="O4791" s="18"/>
      <c r="P4791" s="18"/>
      <c r="Q4791" s="18"/>
    </row>
    <row r="4792" spans="1:17">
      <c r="A4792" s="18"/>
      <c r="B4792" s="18"/>
      <c r="C4792" s="18"/>
      <c r="D4792" s="18"/>
      <c r="E4792" s="18"/>
      <c r="F4792" s="18"/>
      <c r="G4792" s="18"/>
      <c r="H4792" s="18"/>
      <c r="I4792" s="18"/>
      <c r="J4792" s="18"/>
      <c r="K4792" s="18"/>
      <c r="L4792" s="18"/>
      <c r="M4792" s="18"/>
      <c r="N4792" s="18"/>
      <c r="O4792" s="18"/>
      <c r="P4792" s="18"/>
      <c r="Q4792" s="18"/>
    </row>
    <row r="4793" spans="1:17">
      <c r="A4793" s="18"/>
      <c r="B4793" s="18"/>
      <c r="C4793" s="18"/>
      <c r="D4793" s="18"/>
      <c r="E4793" s="18"/>
      <c r="F4793" s="18"/>
      <c r="G4793" s="18"/>
      <c r="H4793" s="18"/>
      <c r="I4793" s="18"/>
      <c r="J4793" s="18"/>
      <c r="K4793" s="18"/>
      <c r="L4793" s="18"/>
      <c r="M4793" s="18"/>
      <c r="N4793" s="18"/>
      <c r="O4793" s="18"/>
      <c r="P4793" s="18"/>
      <c r="Q4793" s="18"/>
    </row>
    <row r="4794" spans="1:17">
      <c r="A4794" s="18"/>
      <c r="B4794" s="18"/>
      <c r="C4794" s="18"/>
      <c r="D4794" s="18"/>
      <c r="E4794" s="18"/>
      <c r="F4794" s="18"/>
      <c r="G4794" s="18"/>
      <c r="H4794" s="18"/>
      <c r="I4794" s="18"/>
      <c r="J4794" s="18"/>
      <c r="K4794" s="18"/>
      <c r="L4794" s="18"/>
      <c r="M4794" s="18"/>
      <c r="N4794" s="18"/>
      <c r="O4794" s="18"/>
      <c r="P4794" s="18"/>
      <c r="Q4794" s="18"/>
    </row>
    <row r="4795" spans="1:17">
      <c r="A4795" s="18"/>
      <c r="B4795" s="18"/>
      <c r="C4795" s="18"/>
      <c r="D4795" s="18"/>
      <c r="E4795" s="18"/>
      <c r="F4795" s="18"/>
      <c r="G4795" s="18"/>
      <c r="H4795" s="18"/>
      <c r="I4795" s="18"/>
      <c r="J4795" s="18"/>
      <c r="K4795" s="18"/>
      <c r="L4795" s="18"/>
      <c r="M4795" s="18"/>
      <c r="N4795" s="18"/>
      <c r="O4795" s="18"/>
      <c r="P4795" s="18"/>
      <c r="Q4795" s="18"/>
    </row>
    <row r="4796" spans="1:17">
      <c r="A4796" s="18"/>
      <c r="B4796" s="18"/>
      <c r="C4796" s="18"/>
      <c r="D4796" s="18"/>
      <c r="E4796" s="18"/>
      <c r="F4796" s="18"/>
      <c r="G4796" s="18"/>
      <c r="H4796" s="18"/>
      <c r="I4796" s="18"/>
      <c r="J4796" s="18"/>
      <c r="K4796" s="18"/>
      <c r="L4796" s="18"/>
      <c r="M4796" s="18"/>
      <c r="N4796" s="18"/>
      <c r="O4796" s="18"/>
      <c r="P4796" s="18"/>
      <c r="Q4796" s="18"/>
    </row>
    <row r="4797" spans="1:17">
      <c r="A4797" s="18"/>
      <c r="B4797" s="18"/>
      <c r="C4797" s="18"/>
      <c r="D4797" s="18"/>
      <c r="E4797" s="18"/>
      <c r="F4797" s="18"/>
      <c r="G4797" s="18"/>
      <c r="H4797" s="18"/>
      <c r="I4797" s="18"/>
      <c r="J4797" s="18"/>
      <c r="K4797" s="18"/>
      <c r="L4797" s="18"/>
      <c r="M4797" s="18"/>
      <c r="N4797" s="18"/>
      <c r="O4797" s="18"/>
      <c r="P4797" s="18"/>
      <c r="Q4797" s="18"/>
    </row>
    <row r="4798" spans="1:17">
      <c r="A4798" s="18"/>
      <c r="B4798" s="18"/>
      <c r="C4798" s="18"/>
      <c r="D4798" s="18"/>
      <c r="E4798" s="18"/>
      <c r="F4798" s="18"/>
      <c r="G4798" s="18"/>
      <c r="H4798" s="18"/>
      <c r="I4798" s="18"/>
      <c r="J4798" s="18"/>
      <c r="K4798" s="18"/>
      <c r="L4798" s="18"/>
      <c r="M4798" s="18"/>
      <c r="N4798" s="18"/>
      <c r="O4798" s="18"/>
      <c r="P4798" s="18"/>
      <c r="Q4798" s="18"/>
    </row>
    <row r="4799" spans="1:17">
      <c r="A4799" s="18"/>
      <c r="B4799" s="18"/>
      <c r="C4799" s="18"/>
      <c r="D4799" s="18"/>
      <c r="E4799" s="18"/>
      <c r="F4799" s="18"/>
      <c r="G4799" s="18"/>
      <c r="H4799" s="18"/>
      <c r="I4799" s="18"/>
      <c r="J4799" s="18"/>
      <c r="K4799" s="18"/>
      <c r="L4799" s="18"/>
      <c r="M4799" s="18"/>
      <c r="N4799" s="18"/>
      <c r="O4799" s="18"/>
      <c r="P4799" s="18"/>
      <c r="Q4799" s="18"/>
    </row>
    <row r="4800" spans="1:17">
      <c r="A4800" s="18"/>
      <c r="B4800" s="18"/>
      <c r="C4800" s="18"/>
      <c r="D4800" s="18"/>
      <c r="E4800" s="18"/>
      <c r="F4800" s="18"/>
      <c r="G4800" s="18"/>
      <c r="H4800" s="18"/>
      <c r="I4800" s="18"/>
      <c r="J4800" s="18"/>
      <c r="K4800" s="18"/>
      <c r="L4800" s="18"/>
      <c r="M4800" s="18"/>
      <c r="N4800" s="18"/>
      <c r="O4800" s="18"/>
      <c r="P4800" s="18"/>
      <c r="Q4800" s="18"/>
    </row>
    <row r="4801" spans="1:17">
      <c r="A4801" s="18"/>
      <c r="B4801" s="18"/>
      <c r="C4801" s="18"/>
      <c r="D4801" s="18"/>
      <c r="E4801" s="18"/>
      <c r="F4801" s="18"/>
      <c r="G4801" s="18"/>
      <c r="H4801" s="18"/>
      <c r="I4801" s="18"/>
      <c r="J4801" s="18"/>
      <c r="K4801" s="18"/>
      <c r="L4801" s="18"/>
      <c r="M4801" s="18"/>
      <c r="N4801" s="18"/>
      <c r="O4801" s="18"/>
      <c r="P4801" s="18"/>
      <c r="Q4801" s="18"/>
    </row>
    <row r="4802" spans="1:17">
      <c r="A4802" s="18"/>
      <c r="B4802" s="18"/>
      <c r="C4802" s="18"/>
      <c r="D4802" s="18"/>
      <c r="E4802" s="18"/>
      <c r="F4802" s="18"/>
      <c r="G4802" s="18"/>
      <c r="H4802" s="18"/>
      <c r="I4802" s="18"/>
      <c r="J4802" s="18"/>
      <c r="K4802" s="18"/>
      <c r="L4802" s="18"/>
      <c r="M4802" s="18"/>
      <c r="N4802" s="18"/>
      <c r="O4802" s="18"/>
      <c r="P4802" s="18"/>
      <c r="Q4802" s="18"/>
    </row>
    <row r="4803" spans="1:17">
      <c r="A4803" s="18"/>
      <c r="B4803" s="18"/>
      <c r="C4803" s="18"/>
      <c r="D4803" s="18"/>
      <c r="E4803" s="18"/>
      <c r="F4803" s="18"/>
      <c r="G4803" s="18"/>
      <c r="H4803" s="18"/>
      <c r="I4803" s="18"/>
      <c r="J4803" s="18"/>
      <c r="K4803" s="18"/>
      <c r="L4803" s="18"/>
      <c r="M4803" s="18"/>
      <c r="N4803" s="18"/>
      <c r="O4803" s="18"/>
      <c r="P4803" s="18"/>
      <c r="Q4803" s="18"/>
    </row>
    <row r="4804" spans="1:17">
      <c r="A4804" s="18"/>
      <c r="B4804" s="18"/>
      <c r="C4804" s="18"/>
      <c r="D4804" s="18"/>
      <c r="E4804" s="18"/>
      <c r="F4804" s="18"/>
      <c r="G4804" s="18"/>
      <c r="H4804" s="18"/>
      <c r="I4804" s="18"/>
      <c r="J4804" s="18"/>
      <c r="K4804" s="18"/>
      <c r="L4804" s="18"/>
      <c r="M4804" s="18"/>
      <c r="N4804" s="18"/>
      <c r="O4804" s="18"/>
      <c r="P4804" s="18"/>
      <c r="Q4804" s="18"/>
    </row>
    <row r="4805" spans="1:17">
      <c r="A4805" s="18"/>
      <c r="B4805" s="18"/>
      <c r="C4805" s="18"/>
      <c r="D4805" s="18"/>
      <c r="E4805" s="18"/>
      <c r="F4805" s="18"/>
      <c r="G4805" s="18"/>
      <c r="H4805" s="18"/>
      <c r="I4805" s="18"/>
      <c r="J4805" s="18"/>
      <c r="K4805" s="18"/>
      <c r="L4805" s="18"/>
      <c r="M4805" s="18"/>
      <c r="N4805" s="18"/>
      <c r="O4805" s="18"/>
      <c r="P4805" s="18"/>
      <c r="Q4805" s="18"/>
    </row>
    <row r="4806" spans="1:17">
      <c r="A4806" s="18"/>
      <c r="B4806" s="18"/>
      <c r="C4806" s="18"/>
      <c r="D4806" s="18"/>
      <c r="E4806" s="18"/>
      <c r="F4806" s="18"/>
      <c r="G4806" s="18"/>
      <c r="H4806" s="18"/>
      <c r="I4806" s="18"/>
      <c r="J4806" s="18"/>
      <c r="K4806" s="18"/>
      <c r="L4806" s="18"/>
      <c r="M4806" s="18"/>
      <c r="N4806" s="18"/>
      <c r="O4806" s="18"/>
      <c r="P4806" s="18"/>
      <c r="Q4806" s="18"/>
    </row>
    <row r="4807" spans="1:17">
      <c r="A4807" s="18"/>
      <c r="B4807" s="18"/>
      <c r="C4807" s="18"/>
      <c r="D4807" s="18"/>
      <c r="E4807" s="18"/>
      <c r="F4807" s="18"/>
      <c r="G4807" s="18"/>
      <c r="H4807" s="18"/>
      <c r="I4807" s="18"/>
      <c r="J4807" s="18"/>
      <c r="K4807" s="18"/>
      <c r="L4807" s="18"/>
      <c r="M4807" s="18"/>
      <c r="N4807" s="18"/>
      <c r="O4807" s="18"/>
      <c r="P4807" s="18"/>
      <c r="Q4807" s="18"/>
    </row>
    <row r="4808" spans="1:17">
      <c r="A4808" s="18"/>
      <c r="B4808" s="18"/>
      <c r="C4808" s="18"/>
      <c r="D4808" s="18"/>
      <c r="E4808" s="18"/>
      <c r="F4808" s="18"/>
      <c r="G4808" s="18"/>
      <c r="H4808" s="18"/>
      <c r="I4808" s="18"/>
      <c r="J4808" s="18"/>
      <c r="K4808" s="18"/>
      <c r="L4808" s="18"/>
      <c r="M4808" s="18"/>
      <c r="N4808" s="18"/>
      <c r="O4808" s="18"/>
      <c r="P4808" s="18"/>
      <c r="Q4808" s="18"/>
    </row>
    <row r="4809" spans="1:17">
      <c r="A4809" s="18"/>
      <c r="B4809" s="18"/>
      <c r="C4809" s="18"/>
      <c r="D4809" s="18"/>
      <c r="E4809" s="18"/>
      <c r="F4809" s="18"/>
      <c r="G4809" s="18"/>
      <c r="H4809" s="18"/>
      <c r="I4809" s="18"/>
      <c r="J4809" s="18"/>
      <c r="K4809" s="18"/>
      <c r="L4809" s="18"/>
      <c r="M4809" s="18"/>
      <c r="N4809" s="18"/>
      <c r="O4809" s="18"/>
      <c r="P4809" s="18"/>
      <c r="Q4809" s="18"/>
    </row>
    <row r="4810" spans="1:17">
      <c r="A4810" s="18"/>
      <c r="B4810" s="18"/>
      <c r="C4810" s="18"/>
      <c r="D4810" s="18"/>
      <c r="E4810" s="18"/>
      <c r="F4810" s="18"/>
      <c r="G4810" s="18"/>
      <c r="H4810" s="18"/>
      <c r="I4810" s="18"/>
      <c r="J4810" s="18"/>
      <c r="K4810" s="18"/>
      <c r="L4810" s="18"/>
      <c r="M4810" s="18"/>
      <c r="N4810" s="18"/>
      <c r="O4810" s="18"/>
      <c r="P4810" s="18"/>
      <c r="Q4810" s="18"/>
    </row>
    <row r="4811" spans="1:17">
      <c r="A4811" s="18"/>
      <c r="B4811" s="18"/>
      <c r="C4811" s="18"/>
      <c r="D4811" s="18"/>
      <c r="E4811" s="18"/>
      <c r="F4811" s="18"/>
      <c r="G4811" s="18"/>
      <c r="H4811" s="18"/>
      <c r="I4811" s="18"/>
      <c r="J4811" s="18"/>
      <c r="K4811" s="18"/>
      <c r="L4811" s="18"/>
      <c r="M4811" s="18"/>
      <c r="N4811" s="18"/>
      <c r="O4811" s="18"/>
      <c r="P4811" s="18"/>
      <c r="Q4811" s="18"/>
    </row>
    <row r="4812" spans="1:17">
      <c r="A4812" s="18"/>
      <c r="B4812" s="18"/>
      <c r="C4812" s="18"/>
      <c r="D4812" s="18"/>
      <c r="E4812" s="18"/>
      <c r="F4812" s="18"/>
      <c r="G4812" s="18"/>
      <c r="H4812" s="18"/>
      <c r="I4812" s="18"/>
      <c r="J4812" s="18"/>
      <c r="K4812" s="18"/>
      <c r="L4812" s="18"/>
      <c r="M4812" s="18"/>
      <c r="N4812" s="18"/>
      <c r="O4812" s="18"/>
      <c r="P4812" s="18"/>
      <c r="Q4812" s="18"/>
    </row>
    <row r="4813" spans="1:17">
      <c r="A4813" s="18"/>
      <c r="B4813" s="18"/>
      <c r="C4813" s="18"/>
      <c r="D4813" s="18"/>
      <c r="E4813" s="18"/>
      <c r="F4813" s="18"/>
      <c r="G4813" s="18"/>
      <c r="H4813" s="18"/>
      <c r="I4813" s="18"/>
      <c r="J4813" s="18"/>
      <c r="K4813" s="18"/>
      <c r="L4813" s="18"/>
      <c r="M4813" s="18"/>
      <c r="N4813" s="18"/>
      <c r="O4813" s="18"/>
      <c r="P4813" s="18"/>
      <c r="Q4813" s="18"/>
    </row>
    <row r="4814" spans="1:17">
      <c r="A4814" s="18"/>
      <c r="B4814" s="18"/>
      <c r="C4814" s="18"/>
      <c r="D4814" s="18"/>
      <c r="E4814" s="18"/>
      <c r="F4814" s="18"/>
      <c r="G4814" s="18"/>
      <c r="H4814" s="18"/>
      <c r="I4814" s="18"/>
      <c r="J4814" s="18"/>
      <c r="K4814" s="18"/>
      <c r="L4814" s="18"/>
      <c r="M4814" s="18"/>
      <c r="N4814" s="18"/>
      <c r="O4814" s="18"/>
      <c r="P4814" s="18"/>
      <c r="Q4814" s="18"/>
    </row>
    <row r="4815" spans="1:17">
      <c r="A4815" s="18"/>
      <c r="B4815" s="18"/>
      <c r="C4815" s="18"/>
      <c r="D4815" s="18"/>
      <c r="E4815" s="18"/>
      <c r="F4815" s="18"/>
      <c r="G4815" s="18"/>
      <c r="H4815" s="18"/>
      <c r="I4815" s="18"/>
      <c r="J4815" s="18"/>
      <c r="K4815" s="18"/>
      <c r="L4815" s="18"/>
      <c r="M4815" s="18"/>
      <c r="N4815" s="18"/>
      <c r="O4815" s="18"/>
      <c r="P4815" s="18"/>
      <c r="Q4815" s="18"/>
    </row>
    <row r="4816" spans="1:17">
      <c r="A4816" s="18"/>
      <c r="B4816" s="18"/>
      <c r="C4816" s="18"/>
      <c r="D4816" s="18"/>
      <c r="E4816" s="18"/>
      <c r="F4816" s="18"/>
      <c r="G4816" s="18"/>
      <c r="H4816" s="18"/>
      <c r="I4816" s="18"/>
      <c r="J4816" s="18"/>
      <c r="K4816" s="18"/>
      <c r="L4816" s="18"/>
      <c r="M4816" s="18"/>
      <c r="N4816" s="18"/>
      <c r="O4816" s="18"/>
      <c r="P4816" s="18"/>
      <c r="Q4816" s="18"/>
    </row>
    <row r="4817" spans="1:17">
      <c r="A4817" s="18"/>
      <c r="B4817" s="18"/>
      <c r="C4817" s="18"/>
      <c r="D4817" s="18"/>
      <c r="E4817" s="18"/>
      <c r="F4817" s="18"/>
      <c r="G4817" s="18"/>
      <c r="H4817" s="18"/>
      <c r="I4817" s="18"/>
      <c r="J4817" s="18"/>
      <c r="K4817" s="18"/>
      <c r="L4817" s="18"/>
      <c r="M4817" s="18"/>
      <c r="N4817" s="18"/>
      <c r="O4817" s="18"/>
      <c r="P4817" s="18"/>
      <c r="Q4817" s="18"/>
    </row>
    <row r="4818" spans="1:17">
      <c r="A4818" s="18"/>
      <c r="B4818" s="18"/>
      <c r="C4818" s="18"/>
      <c r="D4818" s="18"/>
      <c r="E4818" s="18"/>
      <c r="F4818" s="18"/>
      <c r="G4818" s="18"/>
      <c r="H4818" s="18"/>
      <c r="I4818" s="18"/>
      <c r="J4818" s="18"/>
      <c r="K4818" s="18"/>
      <c r="L4818" s="18"/>
      <c r="M4818" s="18"/>
      <c r="N4818" s="18"/>
      <c r="O4818" s="18"/>
      <c r="P4818" s="18"/>
      <c r="Q4818" s="18"/>
    </row>
    <row r="4819" spans="1:17">
      <c r="A4819" s="18"/>
      <c r="B4819" s="18"/>
      <c r="C4819" s="18"/>
      <c r="D4819" s="18"/>
      <c r="E4819" s="18"/>
      <c r="F4819" s="18"/>
      <c r="G4819" s="18"/>
      <c r="H4819" s="18"/>
      <c r="I4819" s="18"/>
      <c r="J4819" s="18"/>
      <c r="K4819" s="18"/>
      <c r="L4819" s="18"/>
      <c r="M4819" s="18"/>
      <c r="N4819" s="18"/>
      <c r="O4819" s="18"/>
      <c r="P4819" s="18"/>
      <c r="Q4819" s="18"/>
    </row>
    <row r="4820" spans="1:17">
      <c r="A4820" s="18"/>
      <c r="B4820" s="18"/>
      <c r="C4820" s="18"/>
      <c r="D4820" s="18"/>
      <c r="E4820" s="18"/>
      <c r="F4820" s="18"/>
      <c r="G4820" s="18"/>
      <c r="H4820" s="18"/>
      <c r="I4820" s="18"/>
      <c r="J4820" s="18"/>
      <c r="K4820" s="18"/>
      <c r="L4820" s="18"/>
      <c r="M4820" s="18"/>
      <c r="N4820" s="18"/>
      <c r="O4820" s="18"/>
      <c r="P4820" s="18"/>
      <c r="Q4820" s="18"/>
    </row>
    <row r="4821" spans="1:17">
      <c r="A4821" s="18"/>
      <c r="B4821" s="18"/>
      <c r="C4821" s="18"/>
      <c r="D4821" s="18"/>
      <c r="E4821" s="18"/>
      <c r="F4821" s="18"/>
      <c r="G4821" s="18"/>
      <c r="H4821" s="18"/>
      <c r="I4821" s="18"/>
      <c r="J4821" s="18"/>
      <c r="K4821" s="18"/>
      <c r="L4821" s="18"/>
      <c r="M4821" s="18"/>
      <c r="N4821" s="18"/>
      <c r="O4821" s="18"/>
      <c r="P4821" s="18"/>
      <c r="Q4821" s="18"/>
    </row>
    <row r="4822" spans="1:17">
      <c r="A4822" s="18"/>
      <c r="B4822" s="18"/>
      <c r="C4822" s="18"/>
      <c r="D4822" s="18"/>
      <c r="E4822" s="18"/>
      <c r="F4822" s="18"/>
      <c r="G4822" s="18"/>
      <c r="H4822" s="18"/>
      <c r="I4822" s="18"/>
      <c r="J4822" s="18"/>
      <c r="K4822" s="18"/>
      <c r="L4822" s="18"/>
      <c r="M4822" s="18"/>
      <c r="N4822" s="18"/>
      <c r="O4822" s="18"/>
      <c r="P4822" s="18"/>
      <c r="Q4822" s="18"/>
    </row>
    <row r="4823" spans="1:17">
      <c r="A4823" s="18"/>
      <c r="B4823" s="18"/>
      <c r="C4823" s="18"/>
      <c r="D4823" s="18"/>
      <c r="E4823" s="18"/>
      <c r="F4823" s="18"/>
      <c r="G4823" s="18"/>
      <c r="H4823" s="18"/>
      <c r="I4823" s="18"/>
      <c r="J4823" s="18"/>
      <c r="K4823" s="18"/>
      <c r="L4823" s="18"/>
      <c r="M4823" s="18"/>
      <c r="N4823" s="18"/>
      <c r="O4823" s="18"/>
      <c r="P4823" s="18"/>
      <c r="Q4823" s="18"/>
    </row>
    <row r="4824" spans="1:17">
      <c r="A4824" s="18"/>
      <c r="B4824" s="18"/>
      <c r="C4824" s="18"/>
      <c r="D4824" s="18"/>
      <c r="E4824" s="18"/>
      <c r="F4824" s="18"/>
      <c r="G4824" s="18"/>
      <c r="H4824" s="18"/>
      <c r="I4824" s="18"/>
      <c r="J4824" s="18"/>
      <c r="K4824" s="18"/>
      <c r="L4824" s="18"/>
      <c r="M4824" s="18"/>
      <c r="N4824" s="18"/>
      <c r="O4824" s="18"/>
      <c r="P4824" s="18"/>
      <c r="Q4824" s="18"/>
    </row>
    <row r="4825" spans="1:17">
      <c r="A4825" s="18"/>
      <c r="B4825" s="18"/>
      <c r="C4825" s="18"/>
      <c r="D4825" s="18"/>
      <c r="E4825" s="18"/>
      <c r="F4825" s="18"/>
      <c r="G4825" s="18"/>
      <c r="H4825" s="18"/>
      <c r="I4825" s="18"/>
      <c r="J4825" s="18"/>
      <c r="K4825" s="18"/>
      <c r="L4825" s="18"/>
      <c r="M4825" s="18"/>
      <c r="N4825" s="18"/>
      <c r="O4825" s="18"/>
      <c r="P4825" s="18"/>
      <c r="Q4825" s="18"/>
    </row>
    <row r="4826" spans="1:17">
      <c r="A4826" s="18"/>
      <c r="B4826" s="18"/>
      <c r="C4826" s="18"/>
      <c r="D4826" s="18"/>
      <c r="E4826" s="18"/>
      <c r="F4826" s="18"/>
      <c r="G4826" s="18"/>
      <c r="H4826" s="18"/>
      <c r="I4826" s="18"/>
      <c r="J4826" s="18"/>
      <c r="K4826" s="18"/>
      <c r="L4826" s="18"/>
      <c r="M4826" s="18"/>
      <c r="N4826" s="18"/>
      <c r="O4826" s="18"/>
      <c r="P4826" s="18"/>
      <c r="Q4826" s="18"/>
    </row>
    <row r="4827" spans="1:17">
      <c r="A4827" s="18"/>
      <c r="B4827" s="18"/>
      <c r="C4827" s="18"/>
      <c r="D4827" s="18"/>
      <c r="E4827" s="18"/>
      <c r="F4827" s="18"/>
      <c r="G4827" s="18"/>
      <c r="H4827" s="18"/>
      <c r="I4827" s="18"/>
      <c r="J4827" s="18"/>
      <c r="K4827" s="18"/>
      <c r="L4827" s="18"/>
      <c r="M4827" s="18"/>
      <c r="N4827" s="18"/>
      <c r="O4827" s="18"/>
      <c r="P4827" s="18"/>
      <c r="Q4827" s="18"/>
    </row>
    <row r="4828" spans="1:17">
      <c r="A4828" s="18"/>
      <c r="B4828" s="18"/>
      <c r="C4828" s="18"/>
      <c r="D4828" s="18"/>
      <c r="E4828" s="18"/>
      <c r="F4828" s="18"/>
      <c r="G4828" s="18"/>
      <c r="H4828" s="18"/>
      <c r="I4828" s="18"/>
      <c r="J4828" s="18"/>
      <c r="K4828" s="18"/>
      <c r="L4828" s="18"/>
      <c r="M4828" s="18"/>
      <c r="N4828" s="18"/>
      <c r="O4828" s="18"/>
      <c r="P4828" s="18"/>
      <c r="Q4828" s="18"/>
    </row>
    <row r="4829" spans="1:17">
      <c r="A4829" s="18"/>
      <c r="B4829" s="18"/>
      <c r="C4829" s="18"/>
      <c r="D4829" s="18"/>
      <c r="E4829" s="18"/>
      <c r="F4829" s="18"/>
      <c r="G4829" s="18"/>
      <c r="H4829" s="18"/>
      <c r="I4829" s="18"/>
      <c r="J4829" s="18"/>
      <c r="K4829" s="18"/>
      <c r="L4829" s="18"/>
      <c r="M4829" s="18"/>
      <c r="N4829" s="18"/>
      <c r="O4829" s="18"/>
      <c r="P4829" s="18"/>
      <c r="Q4829" s="18"/>
    </row>
    <row r="4830" spans="1:17">
      <c r="A4830" s="18"/>
      <c r="B4830" s="18"/>
      <c r="C4830" s="18"/>
      <c r="D4830" s="18"/>
      <c r="E4830" s="18"/>
      <c r="F4830" s="18"/>
      <c r="G4830" s="18"/>
      <c r="H4830" s="18"/>
      <c r="I4830" s="18"/>
      <c r="J4830" s="18"/>
      <c r="K4830" s="18"/>
      <c r="L4830" s="18"/>
      <c r="M4830" s="18"/>
      <c r="N4830" s="18"/>
      <c r="O4830" s="18"/>
      <c r="P4830" s="18"/>
      <c r="Q4830" s="18"/>
    </row>
    <row r="4831" spans="1:17">
      <c r="A4831" s="18"/>
      <c r="B4831" s="18"/>
      <c r="C4831" s="18"/>
      <c r="D4831" s="18"/>
      <c r="E4831" s="18"/>
      <c r="F4831" s="18"/>
      <c r="G4831" s="18"/>
      <c r="H4831" s="18"/>
      <c r="I4831" s="18"/>
      <c r="J4831" s="18"/>
      <c r="K4831" s="18"/>
      <c r="L4831" s="18"/>
      <c r="M4831" s="18"/>
      <c r="N4831" s="18"/>
      <c r="O4831" s="18"/>
      <c r="P4831" s="18"/>
      <c r="Q4831" s="18"/>
    </row>
    <row r="4832" spans="1:17">
      <c r="A4832" s="18"/>
      <c r="B4832" s="18"/>
      <c r="C4832" s="18"/>
      <c r="D4832" s="18"/>
      <c r="E4832" s="18"/>
      <c r="F4832" s="18"/>
      <c r="G4832" s="18"/>
      <c r="H4832" s="18"/>
      <c r="I4832" s="18"/>
      <c r="J4832" s="18"/>
      <c r="K4832" s="18"/>
      <c r="L4832" s="18"/>
      <c r="M4832" s="18"/>
      <c r="N4832" s="18"/>
      <c r="O4832" s="18"/>
      <c r="P4832" s="18"/>
      <c r="Q4832" s="18"/>
    </row>
    <row r="4833" spans="1:17">
      <c r="A4833" s="18"/>
      <c r="B4833" s="18"/>
      <c r="C4833" s="18"/>
      <c r="D4833" s="18"/>
      <c r="E4833" s="18"/>
      <c r="F4833" s="18"/>
      <c r="G4833" s="18"/>
      <c r="H4833" s="18"/>
      <c r="I4833" s="18"/>
      <c r="J4833" s="18"/>
      <c r="K4833" s="18"/>
      <c r="L4833" s="18"/>
      <c r="M4833" s="18"/>
      <c r="N4833" s="18"/>
      <c r="O4833" s="18"/>
      <c r="P4833" s="18"/>
      <c r="Q4833" s="18"/>
    </row>
    <row r="4834" spans="1:17">
      <c r="A4834" s="18"/>
      <c r="B4834" s="18"/>
      <c r="C4834" s="18"/>
      <c r="D4834" s="18"/>
      <c r="E4834" s="18"/>
      <c r="F4834" s="18"/>
      <c r="G4834" s="18"/>
      <c r="H4834" s="18"/>
      <c r="I4834" s="18"/>
      <c r="J4834" s="18"/>
      <c r="K4834" s="18"/>
      <c r="L4834" s="18"/>
      <c r="M4834" s="18"/>
      <c r="N4834" s="18"/>
      <c r="O4834" s="18"/>
      <c r="P4834" s="18"/>
      <c r="Q4834" s="18"/>
    </row>
    <row r="4835" spans="1:17">
      <c r="A4835" s="18"/>
      <c r="B4835" s="18"/>
      <c r="C4835" s="18"/>
      <c r="D4835" s="18"/>
      <c r="E4835" s="18"/>
      <c r="F4835" s="18"/>
      <c r="G4835" s="18"/>
      <c r="H4835" s="18"/>
      <c r="I4835" s="18"/>
      <c r="J4835" s="18"/>
      <c r="K4835" s="18"/>
      <c r="L4835" s="18"/>
      <c r="M4835" s="18"/>
      <c r="N4835" s="18"/>
      <c r="O4835" s="18"/>
      <c r="P4835" s="18"/>
      <c r="Q4835" s="18"/>
    </row>
    <row r="4836" spans="1:17">
      <c r="A4836" s="18"/>
      <c r="B4836" s="18"/>
      <c r="C4836" s="18"/>
      <c r="D4836" s="18"/>
      <c r="E4836" s="18"/>
      <c r="F4836" s="18"/>
      <c r="G4836" s="18"/>
      <c r="H4836" s="18"/>
      <c r="I4836" s="18"/>
      <c r="J4836" s="18"/>
      <c r="K4836" s="18"/>
      <c r="L4836" s="18"/>
      <c r="M4836" s="18"/>
      <c r="N4836" s="18"/>
      <c r="O4836" s="18"/>
      <c r="P4836" s="18"/>
      <c r="Q4836" s="18"/>
    </row>
    <row r="4837" spans="1:17">
      <c r="A4837" s="18"/>
      <c r="B4837" s="18"/>
      <c r="C4837" s="18"/>
      <c r="D4837" s="18"/>
      <c r="E4837" s="18"/>
      <c r="F4837" s="18"/>
      <c r="G4837" s="18"/>
      <c r="H4837" s="18"/>
      <c r="I4837" s="18"/>
      <c r="J4837" s="18"/>
      <c r="K4837" s="18"/>
      <c r="L4837" s="18"/>
      <c r="M4837" s="18"/>
      <c r="N4837" s="18"/>
      <c r="O4837" s="18"/>
      <c r="P4837" s="18"/>
      <c r="Q4837" s="18"/>
    </row>
    <row r="4838" spans="1:17">
      <c r="A4838" s="18"/>
      <c r="B4838" s="18"/>
      <c r="C4838" s="18"/>
      <c r="D4838" s="18"/>
      <c r="E4838" s="18"/>
      <c r="F4838" s="18"/>
      <c r="G4838" s="18"/>
      <c r="H4838" s="18"/>
      <c r="I4838" s="18"/>
      <c r="J4838" s="18"/>
      <c r="K4838" s="18"/>
      <c r="L4838" s="18"/>
      <c r="M4838" s="18"/>
      <c r="N4838" s="18"/>
      <c r="O4838" s="18"/>
      <c r="P4838" s="18"/>
      <c r="Q4838" s="18"/>
    </row>
    <row r="4839" spans="1:17">
      <c r="A4839" s="18"/>
      <c r="B4839" s="18"/>
      <c r="C4839" s="18"/>
      <c r="D4839" s="18"/>
      <c r="E4839" s="18"/>
      <c r="F4839" s="18"/>
      <c r="G4839" s="18"/>
      <c r="H4839" s="18"/>
      <c r="I4839" s="18"/>
      <c r="J4839" s="18"/>
      <c r="K4839" s="18"/>
      <c r="L4839" s="18"/>
      <c r="M4839" s="18"/>
      <c r="N4839" s="18"/>
      <c r="O4839" s="18"/>
      <c r="P4839" s="18"/>
      <c r="Q4839" s="18"/>
    </row>
    <row r="4840" spans="1:17">
      <c r="A4840" s="18"/>
      <c r="B4840" s="18"/>
      <c r="C4840" s="18"/>
      <c r="D4840" s="18"/>
      <c r="E4840" s="18"/>
      <c r="F4840" s="18"/>
      <c r="G4840" s="18"/>
      <c r="H4840" s="18"/>
      <c r="I4840" s="18"/>
      <c r="J4840" s="18"/>
      <c r="K4840" s="18"/>
      <c r="L4840" s="18"/>
      <c r="M4840" s="18"/>
      <c r="N4840" s="18"/>
      <c r="O4840" s="18"/>
      <c r="P4840" s="18"/>
      <c r="Q4840" s="18"/>
    </row>
    <row r="4841" spans="1:17">
      <c r="A4841" s="18"/>
      <c r="B4841" s="18"/>
      <c r="C4841" s="18"/>
      <c r="D4841" s="18"/>
      <c r="E4841" s="18"/>
      <c r="F4841" s="18"/>
      <c r="G4841" s="18"/>
      <c r="H4841" s="18"/>
      <c r="I4841" s="18"/>
      <c r="J4841" s="18"/>
      <c r="K4841" s="18"/>
      <c r="L4841" s="18"/>
      <c r="M4841" s="18"/>
      <c r="N4841" s="18"/>
      <c r="O4841" s="18"/>
      <c r="P4841" s="18"/>
      <c r="Q4841" s="18"/>
    </row>
    <row r="4842" spans="1:17">
      <c r="A4842" s="18"/>
      <c r="B4842" s="18"/>
      <c r="C4842" s="18"/>
      <c r="D4842" s="18"/>
      <c r="E4842" s="18"/>
      <c r="F4842" s="18"/>
      <c r="G4842" s="18"/>
      <c r="H4842" s="18"/>
      <c r="I4842" s="18"/>
      <c r="J4842" s="18"/>
      <c r="K4842" s="18"/>
      <c r="L4842" s="18"/>
      <c r="M4842" s="18"/>
      <c r="N4842" s="18"/>
      <c r="O4842" s="18"/>
      <c r="P4842" s="18"/>
      <c r="Q4842" s="18"/>
    </row>
    <row r="4843" spans="1:17">
      <c r="A4843" s="18"/>
      <c r="B4843" s="18"/>
      <c r="C4843" s="18"/>
      <c r="D4843" s="18"/>
      <c r="E4843" s="18"/>
      <c r="F4843" s="18"/>
      <c r="G4843" s="18"/>
      <c r="H4843" s="18"/>
      <c r="I4843" s="18"/>
      <c r="J4843" s="18"/>
      <c r="K4843" s="18"/>
      <c r="L4843" s="18"/>
      <c r="M4843" s="18"/>
      <c r="N4843" s="18"/>
      <c r="O4843" s="18"/>
      <c r="P4843" s="18"/>
      <c r="Q4843" s="18"/>
    </row>
    <row r="4844" spans="1:17">
      <c r="A4844" s="18"/>
      <c r="B4844" s="18"/>
      <c r="C4844" s="18"/>
      <c r="D4844" s="18"/>
      <c r="E4844" s="18"/>
      <c r="F4844" s="18"/>
      <c r="G4844" s="18"/>
      <c r="H4844" s="18"/>
      <c r="I4844" s="18"/>
      <c r="J4844" s="18"/>
      <c r="K4844" s="18"/>
      <c r="L4844" s="18"/>
      <c r="M4844" s="18"/>
      <c r="N4844" s="18"/>
      <c r="O4844" s="18"/>
      <c r="P4844" s="18"/>
      <c r="Q4844" s="18"/>
    </row>
    <row r="4845" spans="1:17">
      <c r="A4845" s="18"/>
      <c r="B4845" s="18"/>
      <c r="C4845" s="18"/>
      <c r="D4845" s="18"/>
      <c r="E4845" s="18"/>
      <c r="F4845" s="18"/>
      <c r="G4845" s="18"/>
      <c r="H4845" s="18"/>
      <c r="I4845" s="18"/>
      <c r="J4845" s="18"/>
      <c r="K4845" s="18"/>
      <c r="L4845" s="18"/>
      <c r="M4845" s="18"/>
      <c r="N4845" s="18"/>
      <c r="O4845" s="18"/>
      <c r="P4845" s="18"/>
      <c r="Q4845" s="18"/>
    </row>
    <row r="4846" spans="1:17">
      <c r="A4846" s="18"/>
      <c r="B4846" s="18"/>
      <c r="C4846" s="18"/>
      <c r="D4846" s="18"/>
      <c r="E4846" s="18"/>
      <c r="F4846" s="18"/>
      <c r="G4846" s="18"/>
      <c r="H4846" s="18"/>
      <c r="I4846" s="18"/>
      <c r="J4846" s="18"/>
      <c r="K4846" s="18"/>
      <c r="L4846" s="18"/>
      <c r="M4846" s="18"/>
      <c r="N4846" s="18"/>
      <c r="O4846" s="18"/>
      <c r="P4846" s="18"/>
      <c r="Q4846" s="18"/>
    </row>
    <row r="4847" spans="1:17">
      <c r="A4847" s="18"/>
      <c r="B4847" s="18"/>
      <c r="C4847" s="18"/>
      <c r="D4847" s="18"/>
      <c r="E4847" s="18"/>
      <c r="F4847" s="18"/>
      <c r="G4847" s="18"/>
      <c r="H4847" s="18"/>
      <c r="I4847" s="18"/>
      <c r="J4847" s="18"/>
      <c r="K4847" s="18"/>
      <c r="L4847" s="18"/>
      <c r="M4847" s="18"/>
      <c r="N4847" s="18"/>
      <c r="O4847" s="18"/>
      <c r="P4847" s="18"/>
      <c r="Q4847" s="18"/>
    </row>
    <row r="4848" spans="1:17">
      <c r="A4848" s="18"/>
      <c r="B4848" s="18"/>
      <c r="C4848" s="18"/>
      <c r="D4848" s="18"/>
      <c r="E4848" s="18"/>
      <c r="F4848" s="18"/>
      <c r="G4848" s="18"/>
      <c r="H4848" s="18"/>
      <c r="I4848" s="18"/>
      <c r="J4848" s="18"/>
      <c r="K4848" s="18"/>
      <c r="L4848" s="18"/>
      <c r="M4848" s="18"/>
      <c r="N4848" s="18"/>
      <c r="O4848" s="18"/>
      <c r="P4848" s="18"/>
      <c r="Q4848" s="18"/>
    </row>
    <row r="4849" spans="1:17">
      <c r="A4849" s="18"/>
      <c r="B4849" s="18"/>
      <c r="C4849" s="18"/>
      <c r="D4849" s="18"/>
      <c r="E4849" s="18"/>
      <c r="F4849" s="18"/>
      <c r="G4849" s="18"/>
      <c r="H4849" s="18"/>
      <c r="I4849" s="18"/>
      <c r="J4849" s="18"/>
      <c r="K4849" s="18"/>
      <c r="L4849" s="18"/>
      <c r="M4849" s="18"/>
      <c r="N4849" s="18"/>
      <c r="O4849" s="18"/>
      <c r="P4849" s="18"/>
      <c r="Q4849" s="18"/>
    </row>
    <row r="4850" spans="1:17">
      <c r="A4850" s="18"/>
      <c r="B4850" s="18"/>
      <c r="C4850" s="18"/>
      <c r="D4850" s="18"/>
      <c r="E4850" s="18"/>
      <c r="F4850" s="18"/>
      <c r="G4850" s="18"/>
      <c r="H4850" s="18"/>
      <c r="I4850" s="18"/>
      <c r="J4850" s="18"/>
      <c r="K4850" s="18"/>
      <c r="L4850" s="18"/>
      <c r="M4850" s="18"/>
      <c r="N4850" s="18"/>
      <c r="O4850" s="18"/>
      <c r="P4850" s="18"/>
      <c r="Q4850" s="18"/>
    </row>
    <row r="4851" spans="1:17">
      <c r="A4851" s="18"/>
      <c r="B4851" s="18"/>
      <c r="C4851" s="18"/>
      <c r="D4851" s="18"/>
      <c r="E4851" s="18"/>
      <c r="F4851" s="18"/>
      <c r="G4851" s="18"/>
      <c r="H4851" s="18"/>
      <c r="I4851" s="18"/>
      <c r="J4851" s="18"/>
      <c r="K4851" s="18"/>
      <c r="L4851" s="18"/>
      <c r="M4851" s="18"/>
      <c r="N4851" s="18"/>
      <c r="O4851" s="18"/>
      <c r="P4851" s="18"/>
      <c r="Q4851" s="18"/>
    </row>
    <row r="4852" spans="1:17">
      <c r="A4852" s="18"/>
      <c r="B4852" s="18"/>
      <c r="C4852" s="18"/>
      <c r="D4852" s="18"/>
      <c r="E4852" s="18"/>
      <c r="F4852" s="18"/>
      <c r="G4852" s="18"/>
      <c r="H4852" s="18"/>
      <c r="I4852" s="18"/>
      <c r="J4852" s="18"/>
      <c r="K4852" s="18"/>
      <c r="L4852" s="18"/>
      <c r="M4852" s="18"/>
      <c r="N4852" s="18"/>
      <c r="O4852" s="18"/>
      <c r="P4852" s="18"/>
      <c r="Q4852" s="18"/>
    </row>
    <row r="4853" spans="1:17">
      <c r="A4853" s="18"/>
      <c r="B4853" s="18"/>
      <c r="C4853" s="18"/>
      <c r="D4853" s="18"/>
      <c r="E4853" s="18"/>
      <c r="F4853" s="18"/>
      <c r="G4853" s="18"/>
      <c r="H4853" s="18"/>
      <c r="I4853" s="18"/>
      <c r="J4853" s="18"/>
      <c r="K4853" s="18"/>
      <c r="L4853" s="18"/>
      <c r="M4853" s="18"/>
      <c r="N4853" s="18"/>
      <c r="O4853" s="18"/>
      <c r="P4853" s="18"/>
      <c r="Q4853" s="18"/>
    </row>
    <row r="4854" spans="1:17">
      <c r="A4854" s="18"/>
      <c r="B4854" s="18"/>
      <c r="C4854" s="18"/>
      <c r="D4854" s="18"/>
      <c r="E4854" s="18"/>
      <c r="F4854" s="18"/>
      <c r="G4854" s="18"/>
      <c r="H4854" s="18"/>
      <c r="I4854" s="18"/>
      <c r="J4854" s="18"/>
      <c r="K4854" s="18"/>
      <c r="L4854" s="18"/>
      <c r="M4854" s="18"/>
      <c r="N4854" s="18"/>
      <c r="O4854" s="18"/>
      <c r="P4854" s="18"/>
      <c r="Q4854" s="18"/>
    </row>
    <row r="4855" spans="1:17">
      <c r="A4855" s="18"/>
      <c r="B4855" s="18"/>
      <c r="C4855" s="18"/>
      <c r="D4855" s="18"/>
      <c r="E4855" s="18"/>
      <c r="F4855" s="18"/>
      <c r="G4855" s="18"/>
      <c r="H4855" s="18"/>
      <c r="I4855" s="18"/>
      <c r="J4855" s="18"/>
      <c r="K4855" s="18"/>
      <c r="L4855" s="18"/>
      <c r="M4855" s="18"/>
      <c r="N4855" s="18"/>
      <c r="O4855" s="18"/>
      <c r="P4855" s="18"/>
      <c r="Q4855" s="18"/>
    </row>
    <row r="4856" spans="1:17">
      <c r="A4856" s="18"/>
      <c r="B4856" s="18"/>
      <c r="C4856" s="18"/>
      <c r="D4856" s="18"/>
      <c r="E4856" s="18"/>
      <c r="F4856" s="18"/>
      <c r="G4856" s="18"/>
      <c r="H4856" s="18"/>
      <c r="I4856" s="18"/>
      <c r="J4856" s="18"/>
      <c r="K4856" s="18"/>
      <c r="L4856" s="18"/>
      <c r="M4856" s="18"/>
      <c r="N4856" s="18"/>
      <c r="O4856" s="18"/>
      <c r="P4856" s="18"/>
      <c r="Q4856" s="18"/>
    </row>
    <row r="4857" spans="1:17">
      <c r="A4857" s="18"/>
      <c r="B4857" s="18"/>
      <c r="C4857" s="18"/>
      <c r="D4857" s="18"/>
      <c r="E4857" s="18"/>
      <c r="F4857" s="18"/>
      <c r="G4857" s="18"/>
      <c r="H4857" s="18"/>
      <c r="I4857" s="18"/>
      <c r="J4857" s="18"/>
      <c r="K4857" s="18"/>
      <c r="L4857" s="18"/>
      <c r="M4857" s="18"/>
      <c r="N4857" s="18"/>
      <c r="O4857" s="18"/>
      <c r="P4857" s="18"/>
      <c r="Q4857" s="18"/>
    </row>
    <row r="4858" spans="1:17">
      <c r="A4858" s="18"/>
      <c r="B4858" s="18"/>
      <c r="C4858" s="18"/>
      <c r="D4858" s="18"/>
      <c r="E4858" s="18"/>
      <c r="F4858" s="18"/>
      <c r="G4858" s="18"/>
      <c r="H4858" s="18"/>
      <c r="I4858" s="18"/>
      <c r="J4858" s="18"/>
      <c r="K4858" s="18"/>
      <c r="L4858" s="18"/>
      <c r="M4858" s="18"/>
      <c r="N4858" s="18"/>
      <c r="O4858" s="18"/>
      <c r="P4858" s="18"/>
      <c r="Q4858" s="18"/>
    </row>
    <row r="4859" spans="1:17">
      <c r="A4859" s="18"/>
      <c r="B4859" s="18"/>
      <c r="C4859" s="18"/>
      <c r="D4859" s="18"/>
      <c r="E4859" s="18"/>
      <c r="F4859" s="18"/>
      <c r="G4859" s="18"/>
      <c r="H4859" s="18"/>
      <c r="I4859" s="18"/>
      <c r="J4859" s="18"/>
      <c r="K4859" s="18"/>
      <c r="L4859" s="18"/>
      <c r="M4859" s="18"/>
      <c r="N4859" s="18"/>
      <c r="O4859" s="18"/>
      <c r="P4859" s="18"/>
      <c r="Q4859" s="18"/>
    </row>
    <row r="4860" spans="1:17">
      <c r="A4860" s="18"/>
      <c r="B4860" s="18"/>
      <c r="C4860" s="18"/>
      <c r="D4860" s="18"/>
      <c r="E4860" s="18"/>
      <c r="F4860" s="18"/>
      <c r="G4860" s="18"/>
      <c r="H4860" s="18"/>
      <c r="I4860" s="18"/>
      <c r="J4860" s="18"/>
      <c r="K4860" s="18"/>
      <c r="L4860" s="18"/>
      <c r="M4860" s="18"/>
      <c r="N4860" s="18"/>
      <c r="O4860" s="18"/>
      <c r="P4860" s="18"/>
      <c r="Q4860" s="18"/>
    </row>
    <row r="4861" spans="1:17">
      <c r="A4861" s="18"/>
      <c r="B4861" s="18"/>
      <c r="C4861" s="18"/>
      <c r="D4861" s="18"/>
      <c r="E4861" s="18"/>
      <c r="F4861" s="18"/>
      <c r="G4861" s="18"/>
      <c r="H4861" s="18"/>
      <c r="I4861" s="18"/>
      <c r="J4861" s="18"/>
      <c r="K4861" s="18"/>
      <c r="L4861" s="18"/>
      <c r="M4861" s="18"/>
      <c r="N4861" s="18"/>
      <c r="O4861" s="18"/>
      <c r="P4861" s="18"/>
      <c r="Q4861" s="18"/>
    </row>
    <row r="4862" spans="1:17">
      <c r="A4862" s="18"/>
      <c r="B4862" s="18"/>
      <c r="C4862" s="18"/>
      <c r="D4862" s="18"/>
      <c r="E4862" s="18"/>
      <c r="F4862" s="18"/>
      <c r="G4862" s="18"/>
      <c r="H4862" s="18"/>
      <c r="I4862" s="18"/>
      <c r="J4862" s="18"/>
      <c r="K4862" s="18"/>
      <c r="L4862" s="18"/>
      <c r="M4862" s="18"/>
      <c r="N4862" s="18"/>
      <c r="O4862" s="18"/>
      <c r="P4862" s="18"/>
      <c r="Q4862" s="18"/>
    </row>
    <row r="4863" spans="1:17">
      <c r="A4863" s="18"/>
      <c r="B4863" s="18"/>
      <c r="C4863" s="18"/>
      <c r="D4863" s="18"/>
      <c r="E4863" s="18"/>
      <c r="F4863" s="18"/>
      <c r="G4863" s="18"/>
      <c r="H4863" s="18"/>
      <c r="I4863" s="18"/>
      <c r="J4863" s="18"/>
      <c r="K4863" s="18"/>
      <c r="L4863" s="18"/>
      <c r="M4863" s="18"/>
      <c r="N4863" s="18"/>
      <c r="O4863" s="18"/>
      <c r="P4863" s="18"/>
      <c r="Q4863" s="18"/>
    </row>
    <row r="4864" spans="1:17">
      <c r="A4864" s="18"/>
      <c r="B4864" s="18"/>
      <c r="C4864" s="18"/>
      <c r="D4864" s="18"/>
      <c r="E4864" s="18"/>
      <c r="F4864" s="18"/>
      <c r="G4864" s="18"/>
      <c r="H4864" s="18"/>
      <c r="I4864" s="18"/>
      <c r="J4864" s="18"/>
      <c r="K4864" s="18"/>
      <c r="L4864" s="18"/>
      <c r="M4864" s="18"/>
      <c r="N4864" s="18"/>
      <c r="O4864" s="18"/>
      <c r="P4864" s="18"/>
      <c r="Q4864" s="18"/>
    </row>
    <row r="4865" spans="1:17">
      <c r="A4865" s="18"/>
      <c r="B4865" s="18"/>
      <c r="C4865" s="18"/>
      <c r="D4865" s="18"/>
      <c r="E4865" s="18"/>
      <c r="F4865" s="18"/>
      <c r="G4865" s="18"/>
      <c r="H4865" s="18"/>
      <c r="I4865" s="18"/>
      <c r="J4865" s="18"/>
      <c r="K4865" s="18"/>
      <c r="L4865" s="18"/>
      <c r="M4865" s="18"/>
      <c r="N4865" s="18"/>
      <c r="O4865" s="18"/>
      <c r="P4865" s="18"/>
      <c r="Q4865" s="18"/>
    </row>
    <row r="4866" spans="1:17">
      <c r="A4866" s="18"/>
      <c r="B4866" s="18"/>
      <c r="C4866" s="18"/>
      <c r="D4866" s="18"/>
      <c r="E4866" s="18"/>
      <c r="F4866" s="18"/>
      <c r="G4866" s="18"/>
      <c r="H4866" s="18"/>
      <c r="I4866" s="18"/>
      <c r="J4866" s="18"/>
      <c r="K4866" s="18"/>
      <c r="L4866" s="18"/>
      <c r="M4866" s="18"/>
      <c r="N4866" s="18"/>
      <c r="O4866" s="18"/>
      <c r="P4866" s="18"/>
      <c r="Q4866" s="18"/>
    </row>
    <row r="4867" spans="1:17">
      <c r="A4867" s="18"/>
      <c r="B4867" s="18"/>
      <c r="C4867" s="18"/>
      <c r="D4867" s="18"/>
      <c r="E4867" s="18"/>
      <c r="F4867" s="18"/>
      <c r="G4867" s="18"/>
      <c r="H4867" s="18"/>
      <c r="I4867" s="18"/>
      <c r="J4867" s="18"/>
      <c r="K4867" s="18"/>
      <c r="L4867" s="18"/>
      <c r="M4867" s="18"/>
      <c r="N4867" s="18"/>
      <c r="O4867" s="18"/>
      <c r="P4867" s="18"/>
      <c r="Q4867" s="18"/>
    </row>
    <row r="4868" spans="1:17">
      <c r="A4868" s="18"/>
      <c r="B4868" s="18"/>
      <c r="C4868" s="18"/>
      <c r="D4868" s="18"/>
      <c r="E4868" s="18"/>
      <c r="F4868" s="18"/>
      <c r="G4868" s="18"/>
      <c r="H4868" s="18"/>
      <c r="I4868" s="18"/>
      <c r="J4868" s="18"/>
      <c r="K4868" s="18"/>
      <c r="L4868" s="18"/>
      <c r="M4868" s="18"/>
      <c r="N4868" s="18"/>
      <c r="O4868" s="18"/>
      <c r="P4868" s="18"/>
      <c r="Q4868" s="18"/>
    </row>
    <row r="4869" spans="1:17">
      <c r="A4869" s="18"/>
      <c r="B4869" s="18"/>
      <c r="C4869" s="18"/>
      <c r="D4869" s="18"/>
      <c r="E4869" s="18"/>
      <c r="F4869" s="18"/>
      <c r="G4869" s="18"/>
      <c r="H4869" s="18"/>
      <c r="I4869" s="18"/>
      <c r="J4869" s="18"/>
      <c r="K4869" s="18"/>
      <c r="L4869" s="18"/>
      <c r="M4869" s="18"/>
      <c r="N4869" s="18"/>
      <c r="O4869" s="18"/>
      <c r="P4869" s="18"/>
      <c r="Q4869" s="18"/>
    </row>
    <row r="4870" spans="1:17">
      <c r="A4870" s="18"/>
      <c r="B4870" s="18"/>
      <c r="C4870" s="18"/>
      <c r="D4870" s="18"/>
      <c r="E4870" s="18"/>
      <c r="F4870" s="18"/>
      <c r="G4870" s="18"/>
      <c r="H4870" s="18"/>
      <c r="I4870" s="18"/>
      <c r="J4870" s="18"/>
      <c r="K4870" s="18"/>
      <c r="L4870" s="18"/>
      <c r="M4870" s="18"/>
      <c r="N4870" s="18"/>
      <c r="O4870" s="18"/>
      <c r="P4870" s="18"/>
      <c r="Q4870" s="18"/>
    </row>
    <row r="4871" spans="1:17">
      <c r="A4871" s="18"/>
      <c r="B4871" s="18"/>
      <c r="C4871" s="18"/>
      <c r="D4871" s="18"/>
      <c r="E4871" s="18"/>
      <c r="F4871" s="18"/>
      <c r="G4871" s="18"/>
      <c r="H4871" s="18"/>
      <c r="I4871" s="18"/>
      <c r="J4871" s="18"/>
      <c r="K4871" s="18"/>
      <c r="L4871" s="18"/>
      <c r="M4871" s="18"/>
      <c r="N4871" s="18"/>
      <c r="O4871" s="18"/>
      <c r="P4871" s="18"/>
      <c r="Q4871" s="18"/>
    </row>
    <row r="4872" spans="1:17">
      <c r="A4872" s="18"/>
      <c r="B4872" s="18"/>
      <c r="C4872" s="18"/>
      <c r="D4872" s="18"/>
      <c r="E4872" s="18"/>
      <c r="F4872" s="18"/>
      <c r="G4872" s="18"/>
      <c r="H4872" s="18"/>
      <c r="I4872" s="18"/>
      <c r="J4872" s="18"/>
      <c r="K4872" s="18"/>
      <c r="L4872" s="18"/>
      <c r="M4872" s="18"/>
      <c r="N4872" s="18"/>
      <c r="O4872" s="18"/>
      <c r="P4872" s="18"/>
      <c r="Q4872" s="18"/>
    </row>
    <row r="4873" spans="1:17">
      <c r="A4873" s="18"/>
      <c r="B4873" s="18"/>
      <c r="C4873" s="18"/>
      <c r="D4873" s="18"/>
      <c r="E4873" s="18"/>
      <c r="F4873" s="18"/>
      <c r="G4873" s="18"/>
      <c r="H4873" s="18"/>
      <c r="I4873" s="18"/>
      <c r="J4873" s="18"/>
      <c r="K4873" s="18"/>
      <c r="L4873" s="18"/>
      <c r="M4873" s="18"/>
      <c r="N4873" s="18"/>
      <c r="O4873" s="18"/>
      <c r="P4873" s="18"/>
      <c r="Q4873" s="18"/>
    </row>
    <row r="4874" spans="1:17">
      <c r="A4874" s="18"/>
      <c r="B4874" s="18"/>
      <c r="C4874" s="18"/>
      <c r="D4874" s="18"/>
      <c r="E4874" s="18"/>
      <c r="F4874" s="18"/>
      <c r="G4874" s="18"/>
      <c r="H4874" s="18"/>
      <c r="I4874" s="18"/>
      <c r="J4874" s="18"/>
      <c r="K4874" s="18"/>
      <c r="L4874" s="18"/>
      <c r="M4874" s="18"/>
      <c r="N4874" s="18"/>
      <c r="O4874" s="18"/>
      <c r="P4874" s="18"/>
      <c r="Q4874" s="18"/>
    </row>
    <row r="4875" spans="1:17">
      <c r="A4875" s="18"/>
      <c r="B4875" s="18"/>
      <c r="C4875" s="18"/>
      <c r="D4875" s="18"/>
      <c r="E4875" s="18"/>
      <c r="F4875" s="18"/>
      <c r="G4875" s="18"/>
      <c r="H4875" s="18"/>
      <c r="I4875" s="18"/>
      <c r="J4875" s="18"/>
      <c r="K4875" s="18"/>
      <c r="L4875" s="18"/>
      <c r="M4875" s="18"/>
      <c r="N4875" s="18"/>
      <c r="O4875" s="18"/>
      <c r="P4875" s="18"/>
      <c r="Q4875" s="18"/>
    </row>
    <row r="4876" spans="1:17">
      <c r="A4876" s="18"/>
      <c r="B4876" s="18"/>
      <c r="C4876" s="18"/>
      <c r="D4876" s="18"/>
      <c r="E4876" s="18"/>
      <c r="F4876" s="18"/>
      <c r="G4876" s="18"/>
      <c r="H4876" s="18"/>
      <c r="I4876" s="18"/>
      <c r="J4876" s="18"/>
      <c r="K4876" s="18"/>
      <c r="L4876" s="18"/>
      <c r="M4876" s="18"/>
      <c r="N4876" s="18"/>
      <c r="O4876" s="18"/>
      <c r="P4876" s="18"/>
      <c r="Q4876" s="18"/>
    </row>
    <row r="4877" spans="1:17">
      <c r="A4877" s="18"/>
      <c r="B4877" s="18"/>
      <c r="C4877" s="18"/>
      <c r="D4877" s="18"/>
      <c r="E4877" s="18"/>
      <c r="F4877" s="18"/>
      <c r="G4877" s="18"/>
      <c r="H4877" s="18"/>
      <c r="I4877" s="18"/>
      <c r="J4877" s="18"/>
      <c r="K4877" s="18"/>
      <c r="L4877" s="18"/>
      <c r="M4877" s="18"/>
      <c r="N4877" s="18"/>
      <c r="O4877" s="18"/>
      <c r="P4877" s="18"/>
      <c r="Q4877" s="18"/>
    </row>
    <row r="4878" spans="1:17">
      <c r="A4878" s="18"/>
      <c r="B4878" s="18"/>
      <c r="C4878" s="18"/>
      <c r="D4878" s="18"/>
      <c r="E4878" s="18"/>
      <c r="F4878" s="18"/>
      <c r="G4878" s="18"/>
      <c r="H4878" s="18"/>
      <c r="I4878" s="18"/>
      <c r="J4878" s="18"/>
      <c r="K4878" s="18"/>
      <c r="L4878" s="18"/>
      <c r="M4878" s="18"/>
      <c r="N4878" s="18"/>
      <c r="O4878" s="18"/>
      <c r="P4878" s="18"/>
      <c r="Q4878" s="18"/>
    </row>
    <row r="4879" spans="1:17">
      <c r="A4879" s="18"/>
      <c r="B4879" s="18"/>
      <c r="C4879" s="18"/>
      <c r="D4879" s="18"/>
      <c r="E4879" s="18"/>
      <c r="F4879" s="18"/>
      <c r="G4879" s="18"/>
      <c r="H4879" s="18"/>
      <c r="I4879" s="18"/>
      <c r="J4879" s="18"/>
      <c r="K4879" s="18"/>
      <c r="L4879" s="18"/>
      <c r="M4879" s="18"/>
      <c r="N4879" s="18"/>
      <c r="O4879" s="18"/>
      <c r="P4879" s="18"/>
      <c r="Q4879" s="18"/>
    </row>
    <row r="4880" spans="1:17">
      <c r="A4880" s="18"/>
      <c r="B4880" s="18"/>
      <c r="C4880" s="18"/>
      <c r="D4880" s="18"/>
      <c r="E4880" s="18"/>
      <c r="F4880" s="18"/>
      <c r="G4880" s="18"/>
      <c r="H4880" s="18"/>
      <c r="I4880" s="18"/>
      <c r="J4880" s="18"/>
      <c r="K4880" s="18"/>
      <c r="L4880" s="18"/>
      <c r="M4880" s="18"/>
      <c r="N4880" s="18"/>
      <c r="O4880" s="18"/>
      <c r="P4880" s="18"/>
      <c r="Q4880" s="18"/>
    </row>
    <row r="4881" spans="1:17">
      <c r="A4881" s="18"/>
      <c r="B4881" s="18"/>
      <c r="C4881" s="18"/>
      <c r="D4881" s="18"/>
      <c r="E4881" s="18"/>
      <c r="F4881" s="18"/>
      <c r="G4881" s="18"/>
      <c r="H4881" s="18"/>
      <c r="I4881" s="18"/>
      <c r="J4881" s="18"/>
      <c r="K4881" s="18"/>
      <c r="L4881" s="18"/>
      <c r="M4881" s="18"/>
      <c r="N4881" s="18"/>
      <c r="O4881" s="18"/>
      <c r="P4881" s="18"/>
      <c r="Q4881" s="18"/>
    </row>
    <row r="4882" spans="1:17">
      <c r="A4882" s="18"/>
      <c r="B4882" s="18"/>
      <c r="C4882" s="18"/>
      <c r="D4882" s="18"/>
      <c r="E4882" s="18"/>
      <c r="F4882" s="18"/>
      <c r="G4882" s="18"/>
      <c r="H4882" s="18"/>
      <c r="I4882" s="18"/>
      <c r="J4882" s="18"/>
      <c r="K4882" s="18"/>
      <c r="L4882" s="18"/>
      <c r="M4882" s="18"/>
      <c r="N4882" s="18"/>
      <c r="O4882" s="18"/>
      <c r="P4882" s="18"/>
      <c r="Q4882" s="18"/>
    </row>
    <row r="4883" spans="1:17">
      <c r="A4883" s="18"/>
      <c r="B4883" s="18"/>
      <c r="C4883" s="18"/>
      <c r="D4883" s="18"/>
      <c r="E4883" s="18"/>
      <c r="F4883" s="18"/>
      <c r="G4883" s="18"/>
      <c r="H4883" s="18"/>
      <c r="I4883" s="18"/>
      <c r="J4883" s="18"/>
      <c r="K4883" s="18"/>
      <c r="L4883" s="18"/>
      <c r="M4883" s="18"/>
      <c r="N4883" s="18"/>
      <c r="O4883" s="18"/>
      <c r="P4883" s="18"/>
      <c r="Q4883" s="18"/>
    </row>
    <row r="4884" spans="1:17">
      <c r="A4884" s="18"/>
      <c r="B4884" s="18"/>
      <c r="C4884" s="18"/>
      <c r="D4884" s="18"/>
      <c r="E4884" s="18"/>
      <c r="F4884" s="18"/>
      <c r="G4884" s="18"/>
      <c r="H4884" s="18"/>
      <c r="I4884" s="18"/>
      <c r="J4884" s="18"/>
      <c r="K4884" s="18"/>
      <c r="L4884" s="18"/>
      <c r="M4884" s="18"/>
      <c r="N4884" s="18"/>
      <c r="O4884" s="18"/>
      <c r="P4884" s="18"/>
      <c r="Q4884" s="18"/>
    </row>
    <row r="4885" spans="1:17">
      <c r="A4885" s="18"/>
      <c r="B4885" s="18"/>
      <c r="C4885" s="18"/>
      <c r="D4885" s="18"/>
      <c r="E4885" s="18"/>
      <c r="F4885" s="18"/>
      <c r="G4885" s="18"/>
      <c r="H4885" s="18"/>
      <c r="I4885" s="18"/>
      <c r="J4885" s="18"/>
      <c r="K4885" s="18"/>
      <c r="L4885" s="18"/>
      <c r="M4885" s="18"/>
      <c r="N4885" s="18"/>
      <c r="O4885" s="18"/>
      <c r="P4885" s="18"/>
      <c r="Q4885" s="18"/>
    </row>
    <row r="4886" spans="1:17">
      <c r="A4886" s="18"/>
      <c r="B4886" s="18"/>
      <c r="C4886" s="18"/>
      <c r="D4886" s="18"/>
      <c r="E4886" s="18"/>
      <c r="F4886" s="18"/>
      <c r="G4886" s="18"/>
      <c r="H4886" s="18"/>
      <c r="I4886" s="18"/>
      <c r="J4886" s="18"/>
      <c r="K4886" s="18"/>
      <c r="L4886" s="18"/>
      <c r="M4886" s="18"/>
      <c r="N4886" s="18"/>
      <c r="O4886" s="18"/>
      <c r="P4886" s="18"/>
      <c r="Q4886" s="18"/>
    </row>
    <row r="4887" spans="1:17">
      <c r="A4887" s="18"/>
      <c r="B4887" s="18"/>
      <c r="C4887" s="18"/>
      <c r="D4887" s="18"/>
      <c r="E4887" s="18"/>
      <c r="F4887" s="18"/>
      <c r="G4887" s="18"/>
      <c r="H4887" s="18"/>
      <c r="I4887" s="18"/>
      <c r="J4887" s="18"/>
      <c r="K4887" s="18"/>
      <c r="L4887" s="18"/>
      <c r="M4887" s="18"/>
      <c r="N4887" s="18"/>
      <c r="O4887" s="18"/>
      <c r="P4887" s="18"/>
      <c r="Q4887" s="18"/>
    </row>
    <row r="4888" spans="1:17">
      <c r="A4888" s="18"/>
      <c r="B4888" s="18"/>
      <c r="C4888" s="18"/>
      <c r="D4888" s="18"/>
      <c r="E4888" s="18"/>
      <c r="F4888" s="18"/>
      <c r="G4888" s="18"/>
      <c r="H4888" s="18"/>
      <c r="I4888" s="18"/>
      <c r="J4888" s="18"/>
      <c r="K4888" s="18"/>
      <c r="L4888" s="18"/>
      <c r="M4888" s="18"/>
      <c r="N4888" s="18"/>
      <c r="O4888" s="18"/>
      <c r="P4888" s="18"/>
      <c r="Q4888" s="18"/>
    </row>
    <row r="4889" spans="1:17">
      <c r="A4889" s="18"/>
      <c r="B4889" s="18"/>
      <c r="C4889" s="18"/>
      <c r="D4889" s="18"/>
      <c r="E4889" s="18"/>
      <c r="F4889" s="18"/>
      <c r="G4889" s="18"/>
      <c r="H4889" s="18"/>
      <c r="I4889" s="18"/>
      <c r="J4889" s="18"/>
      <c r="K4889" s="18"/>
      <c r="L4889" s="18"/>
      <c r="M4889" s="18"/>
      <c r="N4889" s="18"/>
      <c r="O4889" s="18"/>
      <c r="P4889" s="18"/>
      <c r="Q4889" s="18"/>
    </row>
    <row r="4890" spans="1:17">
      <c r="A4890" s="18"/>
      <c r="B4890" s="18"/>
      <c r="C4890" s="18"/>
      <c r="D4890" s="18"/>
      <c r="E4890" s="18"/>
      <c r="F4890" s="18"/>
      <c r="G4890" s="18"/>
      <c r="H4890" s="18"/>
      <c r="I4890" s="18"/>
      <c r="J4890" s="18"/>
      <c r="K4890" s="18"/>
      <c r="L4890" s="18"/>
      <c r="M4890" s="18"/>
      <c r="N4890" s="18"/>
      <c r="O4890" s="18"/>
      <c r="P4890" s="18"/>
      <c r="Q4890" s="18"/>
    </row>
    <row r="4891" spans="1:17">
      <c r="A4891" s="18"/>
      <c r="B4891" s="18"/>
      <c r="C4891" s="18"/>
      <c r="D4891" s="18"/>
      <c r="E4891" s="18"/>
      <c r="F4891" s="18"/>
      <c r="G4891" s="18"/>
      <c r="H4891" s="18"/>
      <c r="I4891" s="18"/>
      <c r="J4891" s="18"/>
      <c r="K4891" s="18"/>
      <c r="L4891" s="18"/>
      <c r="M4891" s="18"/>
      <c r="N4891" s="18"/>
      <c r="O4891" s="18"/>
      <c r="P4891" s="18"/>
      <c r="Q4891" s="18"/>
    </row>
    <row r="4892" spans="1:17">
      <c r="A4892" s="18"/>
      <c r="B4892" s="18"/>
      <c r="C4892" s="18"/>
      <c r="D4892" s="18"/>
      <c r="E4892" s="18"/>
      <c r="F4892" s="18"/>
      <c r="G4892" s="18"/>
      <c r="H4892" s="18"/>
      <c r="I4892" s="18"/>
      <c r="J4892" s="18"/>
      <c r="K4892" s="18"/>
      <c r="L4892" s="18"/>
      <c r="M4892" s="18"/>
      <c r="N4892" s="18"/>
      <c r="O4892" s="18"/>
      <c r="P4892" s="18"/>
      <c r="Q4892" s="18"/>
    </row>
    <row r="4893" spans="1:17">
      <c r="A4893" s="18"/>
      <c r="B4893" s="18"/>
      <c r="C4893" s="18"/>
      <c r="D4893" s="18"/>
      <c r="E4893" s="18"/>
      <c r="F4893" s="18"/>
      <c r="G4893" s="18"/>
      <c r="H4893" s="18"/>
      <c r="I4893" s="18"/>
      <c r="J4893" s="18"/>
      <c r="K4893" s="18"/>
      <c r="L4893" s="18"/>
      <c r="M4893" s="18"/>
      <c r="N4893" s="18"/>
      <c r="O4893" s="18"/>
      <c r="P4893" s="18"/>
      <c r="Q4893" s="18"/>
    </row>
    <row r="4894" spans="1:17">
      <c r="A4894" s="18"/>
      <c r="B4894" s="18"/>
      <c r="C4894" s="18"/>
      <c r="D4894" s="18"/>
      <c r="E4894" s="18"/>
      <c r="F4894" s="18"/>
      <c r="G4894" s="18"/>
      <c r="H4894" s="18"/>
      <c r="I4894" s="18"/>
      <c r="J4894" s="18"/>
      <c r="K4894" s="18"/>
      <c r="L4894" s="18"/>
      <c r="M4894" s="18"/>
      <c r="N4894" s="18"/>
      <c r="O4894" s="18"/>
      <c r="P4894" s="18"/>
      <c r="Q4894" s="18"/>
    </row>
    <row r="4895" spans="1:17">
      <c r="A4895" s="18"/>
      <c r="B4895" s="18"/>
      <c r="C4895" s="18"/>
      <c r="D4895" s="18"/>
      <c r="E4895" s="18"/>
      <c r="F4895" s="18"/>
      <c r="G4895" s="18"/>
      <c r="H4895" s="18"/>
      <c r="I4895" s="18"/>
      <c r="J4895" s="18"/>
      <c r="K4895" s="18"/>
      <c r="L4895" s="18"/>
      <c r="M4895" s="18"/>
      <c r="N4895" s="18"/>
      <c r="O4895" s="18"/>
      <c r="P4895" s="18"/>
      <c r="Q4895" s="18"/>
    </row>
    <row r="4896" spans="1:17">
      <c r="A4896" s="18"/>
      <c r="B4896" s="18"/>
      <c r="C4896" s="18"/>
      <c r="D4896" s="18"/>
      <c r="E4896" s="18"/>
      <c r="F4896" s="18"/>
      <c r="G4896" s="18"/>
      <c r="H4896" s="18"/>
      <c r="I4896" s="18"/>
      <c r="J4896" s="18"/>
      <c r="K4896" s="18"/>
      <c r="L4896" s="18"/>
      <c r="M4896" s="18"/>
      <c r="N4896" s="18"/>
      <c r="O4896" s="18"/>
      <c r="P4896" s="18"/>
      <c r="Q4896" s="18"/>
    </row>
    <row r="4897" spans="1:17">
      <c r="A4897" s="18"/>
      <c r="B4897" s="18"/>
      <c r="C4897" s="18"/>
      <c r="D4897" s="18"/>
      <c r="E4897" s="18"/>
      <c r="F4897" s="18"/>
      <c r="G4897" s="18"/>
      <c r="H4897" s="18"/>
      <c r="I4897" s="18"/>
      <c r="J4897" s="18"/>
      <c r="K4897" s="18"/>
      <c r="L4897" s="18"/>
      <c r="M4897" s="18"/>
      <c r="N4897" s="18"/>
      <c r="O4897" s="18"/>
      <c r="P4897" s="18"/>
      <c r="Q4897" s="18"/>
    </row>
    <row r="4898" spans="1:17">
      <c r="A4898" s="18"/>
      <c r="B4898" s="18"/>
      <c r="C4898" s="18"/>
      <c r="D4898" s="18"/>
      <c r="E4898" s="18"/>
      <c r="F4898" s="18"/>
      <c r="G4898" s="18"/>
      <c r="H4898" s="18"/>
      <c r="I4898" s="18"/>
      <c r="J4898" s="18"/>
      <c r="K4898" s="18"/>
      <c r="L4898" s="18"/>
      <c r="M4898" s="18"/>
      <c r="N4898" s="18"/>
      <c r="O4898" s="18"/>
      <c r="P4898" s="18"/>
      <c r="Q4898" s="18"/>
    </row>
    <row r="4899" spans="1:17">
      <c r="A4899" s="18"/>
      <c r="B4899" s="18"/>
      <c r="C4899" s="18"/>
      <c r="D4899" s="18"/>
      <c r="E4899" s="18"/>
      <c r="F4899" s="18"/>
      <c r="G4899" s="18"/>
      <c r="H4899" s="18"/>
      <c r="I4899" s="18"/>
      <c r="J4899" s="18"/>
      <c r="K4899" s="18"/>
      <c r="L4899" s="18"/>
      <c r="M4899" s="18"/>
      <c r="N4899" s="18"/>
      <c r="O4899" s="18"/>
      <c r="P4899" s="18"/>
      <c r="Q4899" s="18"/>
    </row>
    <row r="4900" spans="1:17">
      <c r="A4900" s="18"/>
      <c r="B4900" s="18"/>
      <c r="C4900" s="18"/>
      <c r="D4900" s="18"/>
      <c r="E4900" s="18"/>
      <c r="F4900" s="18"/>
      <c r="G4900" s="18"/>
      <c r="H4900" s="18"/>
      <c r="I4900" s="18"/>
      <c r="J4900" s="18"/>
      <c r="K4900" s="18"/>
      <c r="L4900" s="18"/>
      <c r="M4900" s="18"/>
      <c r="N4900" s="18"/>
      <c r="O4900" s="18"/>
      <c r="P4900" s="18"/>
      <c r="Q4900" s="18"/>
    </row>
    <row r="4901" spans="1:17">
      <c r="A4901" s="18"/>
      <c r="B4901" s="18"/>
      <c r="C4901" s="18"/>
      <c r="D4901" s="18"/>
      <c r="E4901" s="18"/>
      <c r="F4901" s="18"/>
      <c r="G4901" s="18"/>
      <c r="H4901" s="18"/>
      <c r="I4901" s="18"/>
      <c r="J4901" s="18"/>
      <c r="K4901" s="18"/>
      <c r="L4901" s="18"/>
      <c r="M4901" s="18"/>
      <c r="N4901" s="18"/>
      <c r="O4901" s="18"/>
      <c r="P4901" s="18"/>
      <c r="Q4901" s="18"/>
    </row>
    <row r="4902" spans="1:17">
      <c r="A4902" s="18"/>
      <c r="B4902" s="18"/>
      <c r="C4902" s="18"/>
      <c r="D4902" s="18"/>
      <c r="E4902" s="18"/>
      <c r="F4902" s="18"/>
      <c r="G4902" s="18"/>
      <c r="H4902" s="18"/>
      <c r="I4902" s="18"/>
      <c r="J4902" s="18"/>
      <c r="K4902" s="18"/>
      <c r="L4902" s="18"/>
      <c r="M4902" s="18"/>
      <c r="N4902" s="18"/>
      <c r="O4902" s="18"/>
      <c r="P4902" s="18"/>
      <c r="Q4902" s="18"/>
    </row>
    <row r="4903" spans="1:17">
      <c r="A4903" s="18"/>
      <c r="B4903" s="18"/>
      <c r="C4903" s="18"/>
      <c r="D4903" s="18"/>
      <c r="E4903" s="18"/>
      <c r="F4903" s="18"/>
      <c r="G4903" s="18"/>
      <c r="H4903" s="18"/>
      <c r="I4903" s="18"/>
      <c r="J4903" s="18"/>
      <c r="K4903" s="18"/>
      <c r="L4903" s="18"/>
      <c r="M4903" s="18"/>
      <c r="N4903" s="18"/>
      <c r="O4903" s="18"/>
      <c r="P4903" s="18"/>
      <c r="Q4903" s="18"/>
    </row>
    <row r="4904" spans="1:17">
      <c r="A4904" s="18"/>
      <c r="B4904" s="18"/>
      <c r="C4904" s="18"/>
      <c r="D4904" s="18"/>
      <c r="E4904" s="18"/>
      <c r="F4904" s="18"/>
      <c r="G4904" s="18"/>
      <c r="H4904" s="18"/>
      <c r="I4904" s="18"/>
      <c r="J4904" s="18"/>
      <c r="K4904" s="18"/>
      <c r="L4904" s="18"/>
      <c r="M4904" s="18"/>
      <c r="N4904" s="18"/>
      <c r="O4904" s="18"/>
      <c r="P4904" s="18"/>
      <c r="Q4904" s="18"/>
    </row>
    <row r="4905" spans="1:17">
      <c r="A4905" s="18"/>
      <c r="B4905" s="18"/>
      <c r="C4905" s="18"/>
      <c r="D4905" s="18"/>
      <c r="E4905" s="18"/>
      <c r="F4905" s="18"/>
      <c r="G4905" s="18"/>
      <c r="H4905" s="18"/>
      <c r="I4905" s="18"/>
      <c r="J4905" s="18"/>
      <c r="K4905" s="18"/>
      <c r="L4905" s="18"/>
      <c r="M4905" s="18"/>
      <c r="N4905" s="18"/>
      <c r="O4905" s="18"/>
      <c r="P4905" s="18"/>
      <c r="Q4905" s="18"/>
    </row>
    <row r="4906" spans="1:17">
      <c r="A4906" s="18"/>
      <c r="B4906" s="18"/>
      <c r="C4906" s="18"/>
      <c r="D4906" s="18"/>
      <c r="E4906" s="18"/>
      <c r="F4906" s="18"/>
      <c r="G4906" s="18"/>
      <c r="H4906" s="18"/>
      <c r="I4906" s="18"/>
      <c r="J4906" s="18"/>
      <c r="K4906" s="18"/>
      <c r="L4906" s="18"/>
      <c r="M4906" s="18"/>
      <c r="N4906" s="18"/>
      <c r="O4906" s="18"/>
      <c r="P4906" s="18"/>
      <c r="Q4906" s="18"/>
    </row>
    <row r="4907" spans="1:17">
      <c r="A4907" s="18"/>
      <c r="B4907" s="18"/>
      <c r="C4907" s="18"/>
      <c r="D4907" s="18"/>
      <c r="E4907" s="18"/>
      <c r="F4907" s="18"/>
      <c r="G4907" s="18"/>
      <c r="H4907" s="18"/>
      <c r="I4907" s="18"/>
      <c r="J4907" s="18"/>
      <c r="K4907" s="18"/>
      <c r="L4907" s="18"/>
      <c r="M4907" s="18"/>
      <c r="N4907" s="18"/>
      <c r="O4907" s="18"/>
      <c r="P4907" s="18"/>
      <c r="Q4907" s="18"/>
    </row>
    <row r="4908" spans="1:17">
      <c r="A4908" s="18"/>
      <c r="B4908" s="18"/>
      <c r="C4908" s="18"/>
      <c r="D4908" s="18"/>
      <c r="E4908" s="18"/>
      <c r="F4908" s="18"/>
      <c r="G4908" s="18"/>
      <c r="H4908" s="18"/>
      <c r="I4908" s="18"/>
      <c r="J4908" s="18"/>
      <c r="K4908" s="18"/>
      <c r="L4908" s="18"/>
      <c r="M4908" s="18"/>
      <c r="N4908" s="18"/>
      <c r="O4908" s="18"/>
      <c r="P4908" s="18"/>
      <c r="Q4908" s="18"/>
    </row>
    <row r="4909" spans="1:17">
      <c r="A4909" s="18"/>
      <c r="B4909" s="18"/>
      <c r="C4909" s="18"/>
      <c r="D4909" s="18"/>
      <c r="E4909" s="18"/>
      <c r="F4909" s="18"/>
      <c r="G4909" s="18"/>
      <c r="H4909" s="18"/>
      <c r="I4909" s="18"/>
      <c r="J4909" s="18"/>
      <c r="K4909" s="18"/>
      <c r="L4909" s="18"/>
      <c r="M4909" s="18"/>
      <c r="N4909" s="18"/>
      <c r="O4909" s="18"/>
      <c r="P4909" s="18"/>
      <c r="Q4909" s="18"/>
    </row>
    <row r="4910" spans="1:17">
      <c r="A4910" s="18"/>
      <c r="B4910" s="18"/>
      <c r="C4910" s="18"/>
      <c r="D4910" s="18"/>
      <c r="E4910" s="18"/>
      <c r="F4910" s="18"/>
      <c r="G4910" s="18"/>
      <c r="H4910" s="18"/>
      <c r="I4910" s="18"/>
      <c r="J4910" s="18"/>
      <c r="K4910" s="18"/>
      <c r="L4910" s="18"/>
      <c r="M4910" s="18"/>
      <c r="N4910" s="18"/>
      <c r="O4910" s="18"/>
      <c r="P4910" s="18"/>
      <c r="Q4910" s="18"/>
    </row>
    <row r="4911" spans="1:17">
      <c r="A4911" s="18"/>
      <c r="B4911" s="18"/>
      <c r="C4911" s="18"/>
      <c r="D4911" s="18"/>
      <c r="E4911" s="18"/>
      <c r="F4911" s="18"/>
      <c r="G4911" s="18"/>
      <c r="H4911" s="18"/>
      <c r="I4911" s="18"/>
      <c r="J4911" s="18"/>
      <c r="K4911" s="18"/>
      <c r="L4911" s="18"/>
      <c r="M4911" s="18"/>
      <c r="N4911" s="18"/>
      <c r="O4911" s="18"/>
      <c r="P4911" s="18"/>
      <c r="Q4911" s="18"/>
    </row>
    <row r="4912" spans="1:17">
      <c r="A4912" s="18"/>
      <c r="B4912" s="18"/>
      <c r="C4912" s="18"/>
      <c r="D4912" s="18"/>
      <c r="E4912" s="18"/>
      <c r="F4912" s="18"/>
      <c r="G4912" s="18"/>
      <c r="H4912" s="18"/>
      <c r="I4912" s="18"/>
      <c r="J4912" s="18"/>
      <c r="K4912" s="18"/>
      <c r="L4912" s="18"/>
      <c r="M4912" s="18"/>
      <c r="N4912" s="18"/>
      <c r="O4912" s="18"/>
      <c r="P4912" s="18"/>
      <c r="Q4912" s="18"/>
    </row>
    <row r="4913" spans="1:17">
      <c r="A4913" s="18"/>
      <c r="B4913" s="18"/>
      <c r="C4913" s="18"/>
      <c r="D4913" s="18"/>
      <c r="E4913" s="18"/>
      <c r="F4913" s="18"/>
      <c r="G4913" s="18"/>
      <c r="H4913" s="18"/>
      <c r="I4913" s="18"/>
      <c r="J4913" s="18"/>
      <c r="K4913" s="18"/>
      <c r="L4913" s="18"/>
      <c r="M4913" s="18"/>
      <c r="N4913" s="18"/>
      <c r="O4913" s="18"/>
      <c r="P4913" s="18"/>
      <c r="Q4913" s="18"/>
    </row>
    <row r="4914" spans="1:17">
      <c r="A4914" s="18"/>
      <c r="B4914" s="18"/>
      <c r="C4914" s="18"/>
      <c r="D4914" s="18"/>
      <c r="E4914" s="18"/>
      <c r="F4914" s="18"/>
      <c r="G4914" s="18"/>
      <c r="H4914" s="18"/>
      <c r="I4914" s="18"/>
      <c r="J4914" s="18"/>
      <c r="K4914" s="18"/>
      <c r="L4914" s="18"/>
      <c r="M4914" s="18"/>
      <c r="N4914" s="18"/>
      <c r="O4914" s="18"/>
      <c r="P4914" s="18"/>
      <c r="Q4914" s="18"/>
    </row>
    <row r="4915" spans="1:17">
      <c r="A4915" s="18"/>
      <c r="B4915" s="18"/>
      <c r="C4915" s="18"/>
      <c r="D4915" s="18"/>
      <c r="E4915" s="18"/>
      <c r="F4915" s="18"/>
      <c r="G4915" s="18"/>
      <c r="H4915" s="18"/>
      <c r="I4915" s="18"/>
      <c r="J4915" s="18"/>
      <c r="K4915" s="18"/>
      <c r="L4915" s="18"/>
      <c r="M4915" s="18"/>
      <c r="N4915" s="18"/>
      <c r="O4915" s="18"/>
      <c r="P4915" s="18"/>
      <c r="Q4915" s="18"/>
    </row>
    <row r="4916" spans="1:17">
      <c r="A4916" s="18"/>
      <c r="B4916" s="18"/>
      <c r="C4916" s="18"/>
      <c r="D4916" s="18"/>
      <c r="E4916" s="18"/>
      <c r="F4916" s="18"/>
      <c r="G4916" s="18"/>
      <c r="H4916" s="18"/>
      <c r="I4916" s="18"/>
      <c r="J4916" s="18"/>
      <c r="K4916" s="18"/>
      <c r="L4916" s="18"/>
      <c r="M4916" s="18"/>
      <c r="N4916" s="18"/>
      <c r="O4916" s="18"/>
      <c r="P4916" s="18"/>
      <c r="Q4916" s="18"/>
    </row>
    <row r="4917" spans="1:17">
      <c r="A4917" s="18"/>
      <c r="B4917" s="18"/>
      <c r="C4917" s="18"/>
      <c r="D4917" s="18"/>
      <c r="E4917" s="18"/>
      <c r="F4917" s="18"/>
      <c r="G4917" s="18"/>
      <c r="H4917" s="18"/>
      <c r="I4917" s="18"/>
      <c r="J4917" s="18"/>
      <c r="K4917" s="18"/>
      <c r="L4917" s="18"/>
      <c r="M4917" s="18"/>
      <c r="N4917" s="18"/>
      <c r="O4917" s="18"/>
      <c r="P4917" s="18"/>
      <c r="Q4917" s="18"/>
    </row>
    <row r="4918" spans="1:17">
      <c r="A4918" s="18"/>
      <c r="B4918" s="18"/>
      <c r="C4918" s="18"/>
      <c r="D4918" s="18"/>
      <c r="E4918" s="18"/>
      <c r="F4918" s="18"/>
      <c r="G4918" s="18"/>
      <c r="H4918" s="18"/>
      <c r="I4918" s="18"/>
      <c r="J4918" s="18"/>
      <c r="K4918" s="18"/>
      <c r="L4918" s="18"/>
      <c r="M4918" s="18"/>
      <c r="N4918" s="18"/>
      <c r="O4918" s="18"/>
      <c r="P4918" s="18"/>
      <c r="Q4918" s="18"/>
    </row>
    <row r="4919" spans="1:17">
      <c r="A4919" s="18"/>
      <c r="B4919" s="18"/>
      <c r="C4919" s="18"/>
      <c r="D4919" s="18"/>
      <c r="E4919" s="18"/>
      <c r="F4919" s="18"/>
      <c r="G4919" s="18"/>
      <c r="H4919" s="18"/>
      <c r="I4919" s="18"/>
      <c r="J4919" s="18"/>
      <c r="K4919" s="18"/>
      <c r="L4919" s="18"/>
      <c r="M4919" s="18"/>
      <c r="N4919" s="18"/>
      <c r="O4919" s="18"/>
      <c r="P4919" s="18"/>
      <c r="Q4919" s="18"/>
    </row>
    <row r="4920" spans="1:17">
      <c r="A4920" s="18"/>
      <c r="B4920" s="18"/>
      <c r="C4920" s="18"/>
      <c r="D4920" s="18"/>
      <c r="E4920" s="18"/>
      <c r="F4920" s="18"/>
      <c r="G4920" s="18"/>
      <c r="H4920" s="18"/>
      <c r="I4920" s="18"/>
      <c r="J4920" s="18"/>
      <c r="K4920" s="18"/>
      <c r="L4920" s="18"/>
      <c r="M4920" s="18"/>
      <c r="N4920" s="18"/>
      <c r="O4920" s="18"/>
      <c r="P4920" s="18"/>
      <c r="Q4920" s="18"/>
    </row>
    <row r="4921" spans="1:17">
      <c r="A4921" s="18"/>
      <c r="B4921" s="18"/>
      <c r="C4921" s="18"/>
      <c r="D4921" s="18"/>
      <c r="E4921" s="18"/>
      <c r="F4921" s="18"/>
      <c r="G4921" s="18"/>
      <c r="H4921" s="18"/>
      <c r="I4921" s="18"/>
      <c r="J4921" s="18"/>
      <c r="K4921" s="18"/>
      <c r="L4921" s="18"/>
      <c r="M4921" s="18"/>
      <c r="N4921" s="18"/>
      <c r="O4921" s="18"/>
      <c r="P4921" s="18"/>
      <c r="Q4921" s="18"/>
    </row>
    <row r="4922" spans="1:17">
      <c r="A4922" s="18"/>
      <c r="B4922" s="18"/>
      <c r="C4922" s="18"/>
      <c r="D4922" s="18"/>
      <c r="E4922" s="18"/>
      <c r="F4922" s="18"/>
      <c r="G4922" s="18"/>
      <c r="H4922" s="18"/>
      <c r="I4922" s="18"/>
      <c r="J4922" s="18"/>
      <c r="K4922" s="18"/>
      <c r="L4922" s="18"/>
      <c r="M4922" s="18"/>
      <c r="N4922" s="18"/>
      <c r="O4922" s="18"/>
      <c r="P4922" s="18"/>
      <c r="Q4922" s="18"/>
    </row>
    <row r="4923" spans="1:17">
      <c r="A4923" s="18"/>
      <c r="B4923" s="18"/>
      <c r="C4923" s="18"/>
      <c r="D4923" s="18"/>
      <c r="E4923" s="18"/>
      <c r="F4923" s="18"/>
      <c r="G4923" s="18"/>
      <c r="H4923" s="18"/>
      <c r="I4923" s="18"/>
      <c r="J4923" s="18"/>
      <c r="K4923" s="18"/>
      <c r="L4923" s="18"/>
      <c r="M4923" s="18"/>
      <c r="N4923" s="18"/>
      <c r="O4923" s="18"/>
      <c r="P4923" s="18"/>
      <c r="Q4923" s="18"/>
    </row>
    <row r="4924" spans="1:17">
      <c r="A4924" s="18"/>
      <c r="B4924" s="18"/>
      <c r="C4924" s="18"/>
      <c r="D4924" s="18"/>
      <c r="E4924" s="18"/>
      <c r="F4924" s="18"/>
      <c r="G4924" s="18"/>
      <c r="H4924" s="18"/>
      <c r="I4924" s="18"/>
      <c r="J4924" s="18"/>
      <c r="K4924" s="18"/>
      <c r="L4924" s="18"/>
      <c r="M4924" s="18"/>
      <c r="N4924" s="18"/>
      <c r="O4924" s="18"/>
      <c r="P4924" s="18"/>
      <c r="Q4924" s="18"/>
    </row>
    <row r="4925" spans="1:17">
      <c r="A4925" s="18"/>
      <c r="B4925" s="18"/>
      <c r="C4925" s="18"/>
      <c r="D4925" s="18"/>
      <c r="E4925" s="18"/>
      <c r="F4925" s="18"/>
      <c r="G4925" s="18"/>
      <c r="H4925" s="18"/>
      <c r="I4925" s="18"/>
      <c r="J4925" s="18"/>
      <c r="K4925" s="18"/>
      <c r="L4925" s="18"/>
      <c r="M4925" s="18"/>
      <c r="N4925" s="18"/>
      <c r="O4925" s="18"/>
      <c r="P4925" s="18"/>
      <c r="Q4925" s="18"/>
    </row>
    <row r="4926" spans="1:17">
      <c r="A4926" s="18"/>
      <c r="B4926" s="18"/>
      <c r="C4926" s="18"/>
      <c r="D4926" s="18"/>
      <c r="E4926" s="18"/>
      <c r="F4926" s="18"/>
      <c r="G4926" s="18"/>
      <c r="H4926" s="18"/>
      <c r="I4926" s="18"/>
      <c r="J4926" s="18"/>
      <c r="K4926" s="18"/>
      <c r="L4926" s="18"/>
      <c r="M4926" s="18"/>
      <c r="N4926" s="18"/>
      <c r="O4926" s="18"/>
      <c r="P4926" s="18"/>
      <c r="Q4926" s="18"/>
    </row>
    <row r="4927" spans="1:17">
      <c r="A4927" s="18"/>
      <c r="B4927" s="18"/>
      <c r="C4927" s="18"/>
      <c r="D4927" s="18"/>
      <c r="E4927" s="18"/>
      <c r="F4927" s="18"/>
      <c r="G4927" s="18"/>
      <c r="H4927" s="18"/>
      <c r="I4927" s="18"/>
      <c r="J4927" s="18"/>
      <c r="K4927" s="18"/>
      <c r="L4927" s="18"/>
      <c r="M4927" s="18"/>
      <c r="N4927" s="18"/>
      <c r="O4927" s="18"/>
      <c r="P4927" s="18"/>
      <c r="Q4927" s="18"/>
    </row>
    <row r="4928" spans="1:17">
      <c r="A4928" s="18"/>
      <c r="B4928" s="18"/>
      <c r="C4928" s="18"/>
      <c r="D4928" s="18"/>
      <c r="E4928" s="18"/>
      <c r="F4928" s="18"/>
      <c r="G4928" s="18"/>
      <c r="H4928" s="18"/>
      <c r="I4928" s="18"/>
      <c r="J4928" s="18"/>
      <c r="K4928" s="18"/>
      <c r="L4928" s="18"/>
      <c r="M4928" s="18"/>
      <c r="N4928" s="18"/>
      <c r="O4928" s="18"/>
      <c r="P4928" s="18"/>
      <c r="Q4928" s="18"/>
    </row>
    <row r="4929" spans="1:17">
      <c r="A4929" s="18"/>
      <c r="B4929" s="18"/>
      <c r="C4929" s="18"/>
      <c r="D4929" s="18"/>
      <c r="E4929" s="18"/>
      <c r="F4929" s="18"/>
      <c r="G4929" s="18"/>
      <c r="H4929" s="18"/>
      <c r="I4929" s="18"/>
      <c r="J4929" s="18"/>
      <c r="K4929" s="18"/>
      <c r="L4929" s="18"/>
      <c r="M4929" s="18"/>
      <c r="N4929" s="18"/>
      <c r="O4929" s="18"/>
      <c r="P4929" s="18"/>
      <c r="Q4929" s="18"/>
    </row>
    <row r="4930" spans="1:17">
      <c r="A4930" s="18"/>
      <c r="B4930" s="18"/>
      <c r="C4930" s="18"/>
      <c r="D4930" s="18"/>
      <c r="E4930" s="18"/>
      <c r="F4930" s="18"/>
      <c r="G4930" s="18"/>
      <c r="H4930" s="18"/>
      <c r="I4930" s="18"/>
      <c r="J4930" s="18"/>
      <c r="K4930" s="18"/>
      <c r="L4930" s="18"/>
      <c r="M4930" s="18"/>
      <c r="N4930" s="18"/>
      <c r="O4930" s="18"/>
      <c r="P4930" s="18"/>
      <c r="Q4930" s="18"/>
    </row>
    <row r="4931" spans="1:17">
      <c r="A4931" s="18"/>
      <c r="B4931" s="18"/>
      <c r="C4931" s="18"/>
      <c r="D4931" s="18"/>
      <c r="E4931" s="18"/>
      <c r="F4931" s="18"/>
      <c r="G4931" s="18"/>
      <c r="H4931" s="18"/>
      <c r="I4931" s="18"/>
      <c r="J4931" s="18"/>
      <c r="K4931" s="18"/>
      <c r="L4931" s="18"/>
      <c r="M4931" s="18"/>
      <c r="N4931" s="18"/>
      <c r="O4931" s="18"/>
      <c r="P4931" s="18"/>
      <c r="Q4931" s="18"/>
    </row>
    <row r="4932" spans="1:17">
      <c r="A4932" s="18"/>
      <c r="B4932" s="18"/>
      <c r="C4932" s="18"/>
      <c r="D4932" s="18"/>
      <c r="E4932" s="18"/>
      <c r="F4932" s="18"/>
      <c r="G4932" s="18"/>
      <c r="H4932" s="18"/>
      <c r="I4932" s="18"/>
      <c r="J4932" s="18"/>
      <c r="K4932" s="18"/>
      <c r="L4932" s="18"/>
      <c r="M4932" s="18"/>
      <c r="N4932" s="18"/>
      <c r="O4932" s="18"/>
      <c r="P4932" s="18"/>
      <c r="Q4932" s="18"/>
    </row>
    <row r="4933" spans="1:17">
      <c r="A4933" s="18"/>
      <c r="B4933" s="18"/>
      <c r="C4933" s="18"/>
      <c r="D4933" s="18"/>
      <c r="E4933" s="18"/>
      <c r="F4933" s="18"/>
      <c r="G4933" s="18"/>
      <c r="H4933" s="18"/>
      <c r="I4933" s="18"/>
      <c r="J4933" s="18"/>
      <c r="K4933" s="18"/>
      <c r="L4933" s="18"/>
      <c r="M4933" s="18"/>
      <c r="N4933" s="18"/>
      <c r="O4933" s="18"/>
      <c r="P4933" s="18"/>
      <c r="Q4933" s="18"/>
    </row>
    <row r="4934" spans="1:17">
      <c r="A4934" s="18"/>
      <c r="B4934" s="18"/>
      <c r="C4934" s="18"/>
      <c r="D4934" s="18"/>
      <c r="E4934" s="18"/>
      <c r="F4934" s="18"/>
      <c r="G4934" s="18"/>
      <c r="H4934" s="18"/>
      <c r="I4934" s="18"/>
      <c r="J4934" s="18"/>
      <c r="K4934" s="18"/>
      <c r="L4934" s="18"/>
      <c r="M4934" s="18"/>
      <c r="N4934" s="18"/>
      <c r="O4934" s="18"/>
      <c r="P4934" s="18"/>
      <c r="Q4934" s="18"/>
    </row>
    <row r="4935" spans="1:17">
      <c r="A4935" s="18"/>
      <c r="B4935" s="18"/>
      <c r="C4935" s="18"/>
      <c r="D4935" s="18"/>
      <c r="E4935" s="18"/>
      <c r="F4935" s="18"/>
      <c r="G4935" s="18"/>
      <c r="H4935" s="18"/>
      <c r="I4935" s="18"/>
      <c r="J4935" s="18"/>
      <c r="K4935" s="18"/>
      <c r="L4935" s="18"/>
      <c r="M4935" s="18"/>
      <c r="N4935" s="18"/>
      <c r="O4935" s="18"/>
      <c r="P4935" s="18"/>
      <c r="Q4935" s="18"/>
    </row>
    <row r="4936" spans="1:17">
      <c r="A4936" s="18"/>
      <c r="B4936" s="18"/>
      <c r="C4936" s="18"/>
      <c r="D4936" s="18"/>
      <c r="E4936" s="18"/>
      <c r="F4936" s="18"/>
      <c r="G4936" s="18"/>
      <c r="H4936" s="18"/>
      <c r="I4936" s="18"/>
      <c r="J4936" s="18"/>
      <c r="K4936" s="18"/>
      <c r="L4936" s="18"/>
      <c r="M4936" s="18"/>
      <c r="N4936" s="18"/>
      <c r="O4936" s="18"/>
      <c r="P4936" s="18"/>
      <c r="Q4936" s="18"/>
    </row>
    <row r="4937" spans="1:17">
      <c r="A4937" s="18"/>
      <c r="B4937" s="18"/>
      <c r="C4937" s="18"/>
      <c r="D4937" s="18"/>
      <c r="E4937" s="18"/>
      <c r="F4937" s="18"/>
      <c r="G4937" s="18"/>
      <c r="H4937" s="18"/>
      <c r="I4937" s="18"/>
      <c r="J4937" s="18"/>
      <c r="K4937" s="18"/>
      <c r="L4937" s="18"/>
      <c r="M4937" s="18"/>
      <c r="N4937" s="18"/>
      <c r="O4937" s="18"/>
      <c r="P4937" s="18"/>
      <c r="Q4937" s="18"/>
    </row>
    <row r="4938" spans="1:17">
      <c r="A4938" s="18"/>
      <c r="B4938" s="18"/>
      <c r="C4938" s="18"/>
      <c r="D4938" s="18"/>
      <c r="E4938" s="18"/>
      <c r="F4938" s="18"/>
      <c r="G4938" s="18"/>
      <c r="H4938" s="18"/>
      <c r="I4938" s="18"/>
      <c r="J4938" s="18"/>
      <c r="K4938" s="18"/>
      <c r="L4938" s="18"/>
      <c r="M4938" s="18"/>
      <c r="N4938" s="18"/>
      <c r="O4938" s="18"/>
      <c r="P4938" s="18"/>
      <c r="Q4938" s="18"/>
    </row>
    <row r="4939" spans="1:17">
      <c r="A4939" s="18"/>
      <c r="B4939" s="18"/>
      <c r="C4939" s="18"/>
      <c r="D4939" s="18"/>
      <c r="E4939" s="18"/>
      <c r="F4939" s="18"/>
      <c r="G4939" s="18"/>
      <c r="H4939" s="18"/>
      <c r="I4939" s="18"/>
      <c r="J4939" s="18"/>
      <c r="K4939" s="18"/>
      <c r="L4939" s="18"/>
      <c r="M4939" s="18"/>
      <c r="N4939" s="18"/>
      <c r="O4939" s="18"/>
      <c r="P4939" s="18"/>
      <c r="Q4939" s="18"/>
    </row>
    <row r="4940" spans="1:17">
      <c r="A4940" s="18"/>
      <c r="B4940" s="18"/>
      <c r="C4940" s="18"/>
      <c r="D4940" s="18"/>
      <c r="E4940" s="18"/>
      <c r="F4940" s="18"/>
      <c r="G4940" s="18"/>
      <c r="H4940" s="18"/>
      <c r="I4940" s="18"/>
      <c r="J4940" s="18"/>
      <c r="K4940" s="18"/>
      <c r="L4940" s="18"/>
      <c r="M4940" s="18"/>
      <c r="N4940" s="18"/>
      <c r="O4940" s="18"/>
      <c r="P4940" s="18"/>
      <c r="Q4940" s="18"/>
    </row>
    <row r="4941" spans="1:17">
      <c r="A4941" s="18"/>
      <c r="B4941" s="18"/>
      <c r="C4941" s="18"/>
      <c r="D4941" s="18"/>
      <c r="E4941" s="18"/>
      <c r="F4941" s="18"/>
      <c r="G4941" s="18"/>
      <c r="H4941" s="18"/>
      <c r="I4941" s="18"/>
      <c r="J4941" s="18"/>
      <c r="K4941" s="18"/>
      <c r="L4941" s="18"/>
      <c r="M4941" s="18"/>
      <c r="N4941" s="18"/>
      <c r="O4941" s="18"/>
      <c r="P4941" s="18"/>
      <c r="Q4941" s="18"/>
    </row>
    <row r="4942" spans="1:17">
      <c r="A4942" s="18"/>
      <c r="B4942" s="18"/>
      <c r="C4942" s="18"/>
      <c r="D4942" s="18"/>
      <c r="E4942" s="18"/>
      <c r="F4942" s="18"/>
      <c r="G4942" s="18"/>
      <c r="H4942" s="18"/>
      <c r="I4942" s="18"/>
      <c r="J4942" s="18"/>
      <c r="K4942" s="18"/>
      <c r="L4942" s="18"/>
      <c r="M4942" s="18"/>
      <c r="N4942" s="18"/>
      <c r="O4942" s="18"/>
      <c r="P4942" s="18"/>
      <c r="Q4942" s="18"/>
    </row>
    <row r="4943" spans="1:17">
      <c r="A4943" s="18"/>
      <c r="B4943" s="18"/>
      <c r="C4943" s="18"/>
      <c r="D4943" s="18"/>
      <c r="E4943" s="18"/>
      <c r="F4943" s="18"/>
      <c r="G4943" s="18"/>
      <c r="H4943" s="18"/>
      <c r="I4943" s="18"/>
      <c r="J4943" s="18"/>
      <c r="K4943" s="18"/>
      <c r="L4943" s="18"/>
      <c r="M4943" s="18"/>
      <c r="N4943" s="18"/>
      <c r="O4943" s="18"/>
      <c r="P4943" s="18"/>
      <c r="Q4943" s="18"/>
    </row>
    <row r="4944" spans="1:17">
      <c r="A4944" s="18"/>
      <c r="B4944" s="18"/>
      <c r="C4944" s="18"/>
      <c r="D4944" s="18"/>
      <c r="E4944" s="18"/>
      <c r="F4944" s="18"/>
      <c r="G4944" s="18"/>
      <c r="H4944" s="18"/>
      <c r="I4944" s="18"/>
      <c r="J4944" s="18"/>
      <c r="K4944" s="18"/>
      <c r="L4944" s="18"/>
      <c r="M4944" s="18"/>
      <c r="N4944" s="18"/>
      <c r="O4944" s="18"/>
      <c r="P4944" s="18"/>
      <c r="Q4944" s="18"/>
    </row>
    <row r="4945" spans="1:17">
      <c r="A4945" s="18"/>
      <c r="B4945" s="18"/>
      <c r="C4945" s="18"/>
      <c r="D4945" s="18"/>
      <c r="E4945" s="18"/>
      <c r="F4945" s="18"/>
      <c r="G4945" s="18"/>
      <c r="H4945" s="18"/>
      <c r="I4945" s="18"/>
      <c r="J4945" s="18"/>
      <c r="K4945" s="18"/>
      <c r="L4945" s="18"/>
      <c r="M4945" s="18"/>
      <c r="N4945" s="18"/>
      <c r="O4945" s="18"/>
      <c r="P4945" s="18"/>
      <c r="Q4945" s="18"/>
    </row>
    <row r="4946" spans="1:17">
      <c r="A4946" s="18"/>
      <c r="B4946" s="18"/>
      <c r="C4946" s="18"/>
      <c r="D4946" s="18"/>
      <c r="E4946" s="18"/>
      <c r="F4946" s="18"/>
      <c r="G4946" s="18"/>
      <c r="H4946" s="18"/>
      <c r="I4946" s="18"/>
      <c r="J4946" s="18"/>
      <c r="K4946" s="18"/>
      <c r="L4946" s="18"/>
      <c r="M4946" s="18"/>
      <c r="N4946" s="18"/>
      <c r="O4946" s="18"/>
      <c r="P4946" s="18"/>
      <c r="Q4946" s="18"/>
    </row>
    <row r="4947" spans="1:17">
      <c r="A4947" s="18"/>
      <c r="B4947" s="18"/>
      <c r="C4947" s="18"/>
      <c r="D4947" s="18"/>
      <c r="E4947" s="18"/>
      <c r="F4947" s="18"/>
      <c r="G4947" s="18"/>
      <c r="H4947" s="18"/>
      <c r="I4947" s="18"/>
      <c r="J4947" s="18"/>
      <c r="K4947" s="18"/>
      <c r="L4947" s="18"/>
      <c r="M4947" s="18"/>
      <c r="N4947" s="18"/>
      <c r="O4947" s="18"/>
      <c r="P4947" s="18"/>
      <c r="Q4947" s="18"/>
    </row>
    <row r="4948" spans="1:17">
      <c r="A4948" s="18"/>
      <c r="B4948" s="18"/>
      <c r="C4948" s="18"/>
      <c r="D4948" s="18"/>
      <c r="E4948" s="18"/>
      <c r="F4948" s="18"/>
      <c r="G4948" s="18"/>
      <c r="H4948" s="18"/>
      <c r="I4948" s="18"/>
      <c r="J4948" s="18"/>
      <c r="K4948" s="18"/>
      <c r="L4948" s="18"/>
      <c r="M4948" s="18"/>
      <c r="N4948" s="18"/>
      <c r="O4948" s="18"/>
      <c r="P4948" s="18"/>
      <c r="Q4948" s="18"/>
    </row>
    <row r="4949" spans="1:17">
      <c r="A4949" s="18"/>
      <c r="B4949" s="18"/>
      <c r="C4949" s="18"/>
      <c r="D4949" s="18"/>
      <c r="E4949" s="18"/>
      <c r="F4949" s="18"/>
      <c r="G4949" s="18"/>
      <c r="H4949" s="18"/>
      <c r="I4949" s="18"/>
      <c r="J4949" s="18"/>
      <c r="K4949" s="18"/>
      <c r="L4949" s="18"/>
      <c r="M4949" s="18"/>
      <c r="N4949" s="18"/>
      <c r="O4949" s="18"/>
      <c r="P4949" s="18"/>
      <c r="Q4949" s="18"/>
    </row>
    <row r="4950" spans="1:17">
      <c r="A4950" s="18"/>
      <c r="B4950" s="18"/>
      <c r="C4950" s="18"/>
      <c r="D4950" s="18"/>
      <c r="E4950" s="18"/>
      <c r="F4950" s="18"/>
      <c r="G4950" s="18"/>
      <c r="H4950" s="18"/>
      <c r="I4950" s="18"/>
      <c r="J4950" s="18"/>
      <c r="K4950" s="18"/>
      <c r="L4950" s="18"/>
      <c r="M4950" s="18"/>
      <c r="N4950" s="18"/>
      <c r="O4950" s="18"/>
      <c r="P4950" s="18"/>
      <c r="Q4950" s="18"/>
    </row>
    <row r="4951" spans="1:17">
      <c r="A4951" s="18"/>
      <c r="B4951" s="18"/>
      <c r="C4951" s="18"/>
      <c r="D4951" s="18"/>
      <c r="E4951" s="18"/>
      <c r="F4951" s="18"/>
      <c r="G4951" s="18"/>
      <c r="H4951" s="18"/>
      <c r="I4951" s="18"/>
      <c r="J4951" s="18"/>
      <c r="K4951" s="18"/>
      <c r="L4951" s="18"/>
      <c r="M4951" s="18"/>
      <c r="N4951" s="18"/>
      <c r="O4951" s="18"/>
      <c r="P4951" s="18"/>
      <c r="Q4951" s="18"/>
    </row>
    <row r="4952" spans="1:17">
      <c r="A4952" s="18"/>
      <c r="B4952" s="18"/>
      <c r="C4952" s="18"/>
      <c r="D4952" s="18"/>
      <c r="E4952" s="18"/>
      <c r="F4952" s="18"/>
      <c r="G4952" s="18"/>
      <c r="H4952" s="18"/>
      <c r="I4952" s="18"/>
      <c r="J4952" s="18"/>
      <c r="K4952" s="18"/>
      <c r="L4952" s="18"/>
      <c r="M4952" s="18"/>
      <c r="N4952" s="18"/>
      <c r="O4952" s="18"/>
      <c r="P4952" s="18"/>
      <c r="Q4952" s="18"/>
    </row>
    <row r="4953" spans="1:17">
      <c r="A4953" s="18"/>
      <c r="B4953" s="18"/>
      <c r="C4953" s="18"/>
      <c r="D4953" s="18"/>
      <c r="E4953" s="18"/>
      <c r="F4953" s="18"/>
      <c r="G4953" s="18"/>
      <c r="H4953" s="18"/>
      <c r="I4953" s="18"/>
      <c r="J4953" s="18"/>
      <c r="K4953" s="18"/>
      <c r="L4953" s="18"/>
      <c r="M4953" s="18"/>
      <c r="N4953" s="18"/>
      <c r="O4953" s="18"/>
      <c r="P4953" s="18"/>
      <c r="Q4953" s="18"/>
    </row>
    <row r="4954" spans="1:17">
      <c r="A4954" s="18"/>
      <c r="B4954" s="18"/>
      <c r="C4954" s="18"/>
      <c r="D4954" s="18"/>
      <c r="E4954" s="18"/>
      <c r="F4954" s="18"/>
      <c r="G4954" s="18"/>
      <c r="H4954" s="18"/>
      <c r="I4954" s="18"/>
      <c r="J4954" s="18"/>
      <c r="K4954" s="18"/>
      <c r="L4954" s="18"/>
      <c r="M4954" s="18"/>
      <c r="N4954" s="18"/>
      <c r="O4954" s="18"/>
      <c r="P4954" s="18"/>
      <c r="Q4954" s="18"/>
    </row>
    <row r="4955" spans="1:17">
      <c r="A4955" s="18"/>
      <c r="B4955" s="18"/>
      <c r="C4955" s="18"/>
      <c r="D4955" s="18"/>
      <c r="E4955" s="18"/>
      <c r="F4955" s="18"/>
      <c r="G4955" s="18"/>
      <c r="H4955" s="18"/>
      <c r="I4955" s="18"/>
      <c r="J4955" s="18"/>
      <c r="K4955" s="18"/>
      <c r="L4955" s="18"/>
      <c r="M4955" s="18"/>
      <c r="N4955" s="18"/>
      <c r="O4955" s="18"/>
      <c r="P4955" s="18"/>
      <c r="Q4955" s="18"/>
    </row>
    <row r="4956" spans="1:17">
      <c r="A4956" s="18"/>
      <c r="B4956" s="18"/>
      <c r="C4956" s="18"/>
      <c r="D4956" s="18"/>
      <c r="E4956" s="18"/>
      <c r="F4956" s="18"/>
      <c r="G4956" s="18"/>
      <c r="H4956" s="18"/>
      <c r="I4956" s="18"/>
      <c r="J4956" s="18"/>
      <c r="K4956" s="18"/>
      <c r="L4956" s="18"/>
      <c r="M4956" s="18"/>
      <c r="N4956" s="18"/>
      <c r="O4956" s="18"/>
      <c r="P4956" s="18"/>
      <c r="Q4956" s="18"/>
    </row>
    <row r="4957" spans="1:17">
      <c r="A4957" s="18"/>
      <c r="B4957" s="18"/>
      <c r="C4957" s="18"/>
      <c r="D4957" s="18"/>
      <c r="E4957" s="18"/>
      <c r="F4957" s="18"/>
      <c r="G4957" s="18"/>
      <c r="H4957" s="18"/>
      <c r="I4957" s="18"/>
      <c r="J4957" s="18"/>
      <c r="K4957" s="18"/>
      <c r="L4957" s="18"/>
      <c r="M4957" s="18"/>
      <c r="N4957" s="18"/>
      <c r="O4957" s="18"/>
      <c r="P4957" s="18"/>
      <c r="Q4957" s="18"/>
    </row>
    <row r="4958" spans="1:17">
      <c r="A4958" s="18"/>
      <c r="B4958" s="18"/>
      <c r="C4958" s="18"/>
      <c r="D4958" s="18"/>
      <c r="E4958" s="18"/>
      <c r="F4958" s="18"/>
      <c r="G4958" s="18"/>
      <c r="H4958" s="18"/>
      <c r="I4958" s="18"/>
      <c r="J4958" s="18"/>
      <c r="K4958" s="18"/>
      <c r="L4958" s="18"/>
      <c r="M4958" s="18"/>
      <c r="N4958" s="18"/>
      <c r="O4958" s="18"/>
      <c r="P4958" s="18"/>
      <c r="Q4958" s="18"/>
    </row>
    <row r="4959" spans="1:17">
      <c r="A4959" s="18"/>
      <c r="B4959" s="18"/>
      <c r="C4959" s="18"/>
      <c r="D4959" s="18"/>
      <c r="E4959" s="18"/>
      <c r="F4959" s="18"/>
      <c r="G4959" s="18"/>
      <c r="H4959" s="18"/>
      <c r="I4959" s="18"/>
      <c r="J4959" s="18"/>
      <c r="K4959" s="18"/>
      <c r="L4959" s="18"/>
      <c r="M4959" s="18"/>
      <c r="N4959" s="18"/>
      <c r="O4959" s="18"/>
      <c r="P4959" s="18"/>
      <c r="Q4959" s="18"/>
    </row>
    <row r="4960" spans="1:17">
      <c r="A4960" s="18"/>
      <c r="B4960" s="18"/>
      <c r="C4960" s="18"/>
      <c r="D4960" s="18"/>
      <c r="E4960" s="18"/>
      <c r="F4960" s="18"/>
      <c r="G4960" s="18"/>
      <c r="H4960" s="18"/>
      <c r="I4960" s="18"/>
      <c r="J4960" s="18"/>
      <c r="K4960" s="18"/>
      <c r="L4960" s="18"/>
      <c r="M4960" s="18"/>
      <c r="N4960" s="18"/>
      <c r="O4960" s="18"/>
      <c r="P4960" s="18"/>
      <c r="Q4960" s="18"/>
    </row>
    <row r="4961" spans="1:17">
      <c r="A4961" s="18"/>
      <c r="B4961" s="18"/>
      <c r="C4961" s="18"/>
      <c r="D4961" s="18"/>
      <c r="E4961" s="18"/>
      <c r="F4961" s="18"/>
      <c r="G4961" s="18"/>
      <c r="H4961" s="18"/>
      <c r="I4961" s="18"/>
      <c r="J4961" s="18"/>
      <c r="K4961" s="18"/>
      <c r="L4961" s="18"/>
      <c r="M4961" s="18"/>
      <c r="N4961" s="18"/>
      <c r="O4961" s="18"/>
      <c r="P4961" s="18"/>
      <c r="Q4961" s="18"/>
    </row>
    <row r="4962" spans="1:17">
      <c r="A4962" s="18"/>
      <c r="B4962" s="18"/>
      <c r="C4962" s="18"/>
      <c r="D4962" s="18"/>
      <c r="E4962" s="18"/>
      <c r="F4962" s="18"/>
      <c r="G4962" s="18"/>
      <c r="H4962" s="18"/>
      <c r="I4962" s="18"/>
      <c r="J4962" s="18"/>
      <c r="K4962" s="18"/>
      <c r="L4962" s="18"/>
      <c r="M4962" s="18"/>
      <c r="N4962" s="18"/>
      <c r="O4962" s="18"/>
      <c r="P4962" s="18"/>
      <c r="Q4962" s="18"/>
    </row>
    <row r="4963" spans="1:17">
      <c r="A4963" s="18"/>
      <c r="B4963" s="18"/>
      <c r="C4963" s="18"/>
      <c r="D4963" s="18"/>
      <c r="E4963" s="18"/>
      <c r="F4963" s="18"/>
      <c r="G4963" s="18"/>
      <c r="H4963" s="18"/>
      <c r="I4963" s="18"/>
      <c r="J4963" s="18"/>
      <c r="K4963" s="18"/>
      <c r="L4963" s="18"/>
      <c r="M4963" s="18"/>
      <c r="N4963" s="18"/>
      <c r="O4963" s="18"/>
      <c r="P4963" s="18"/>
      <c r="Q4963" s="18"/>
    </row>
    <row r="4964" spans="1:17">
      <c r="A4964" s="18"/>
      <c r="B4964" s="18"/>
      <c r="C4964" s="18"/>
      <c r="D4964" s="18"/>
      <c r="E4964" s="18"/>
      <c r="F4964" s="18"/>
      <c r="G4964" s="18"/>
      <c r="H4964" s="18"/>
      <c r="I4964" s="18"/>
      <c r="J4964" s="18"/>
      <c r="K4964" s="18"/>
      <c r="L4964" s="18"/>
      <c r="M4964" s="18"/>
      <c r="N4964" s="18"/>
      <c r="O4964" s="18"/>
      <c r="P4964" s="18"/>
      <c r="Q4964" s="18"/>
    </row>
    <row r="4965" spans="1:17">
      <c r="A4965" s="18"/>
      <c r="B4965" s="18"/>
      <c r="C4965" s="18"/>
      <c r="D4965" s="18"/>
      <c r="E4965" s="18"/>
      <c r="F4965" s="18"/>
      <c r="G4965" s="18"/>
      <c r="H4965" s="18"/>
      <c r="I4965" s="18"/>
      <c r="J4965" s="18"/>
      <c r="K4965" s="18"/>
      <c r="L4965" s="18"/>
      <c r="M4965" s="18"/>
      <c r="N4965" s="18"/>
      <c r="O4965" s="18"/>
      <c r="P4965" s="18"/>
      <c r="Q4965" s="18"/>
    </row>
    <row r="4966" spans="1:17">
      <c r="A4966" s="18"/>
      <c r="B4966" s="18"/>
      <c r="C4966" s="18"/>
      <c r="D4966" s="18"/>
      <c r="E4966" s="18"/>
      <c r="F4966" s="18"/>
      <c r="G4966" s="18"/>
      <c r="H4966" s="18"/>
      <c r="I4966" s="18"/>
      <c r="J4966" s="18"/>
      <c r="K4966" s="18"/>
      <c r="L4966" s="18"/>
      <c r="M4966" s="18"/>
      <c r="N4966" s="18"/>
      <c r="O4966" s="18"/>
      <c r="P4966" s="18"/>
      <c r="Q4966" s="18"/>
    </row>
    <row r="4967" spans="1:17">
      <c r="A4967" s="18"/>
      <c r="B4967" s="18"/>
      <c r="C4967" s="18"/>
      <c r="D4967" s="18"/>
      <c r="E4967" s="18"/>
      <c r="F4967" s="18"/>
      <c r="G4967" s="18"/>
      <c r="H4967" s="18"/>
      <c r="I4967" s="18"/>
      <c r="J4967" s="18"/>
      <c r="K4967" s="18"/>
      <c r="L4967" s="18"/>
      <c r="M4967" s="18"/>
      <c r="N4967" s="18"/>
      <c r="O4967" s="18"/>
      <c r="P4967" s="18"/>
      <c r="Q4967" s="18"/>
    </row>
    <row r="4968" spans="1:17">
      <c r="A4968" s="18"/>
      <c r="B4968" s="18"/>
      <c r="C4968" s="18"/>
      <c r="D4968" s="18"/>
      <c r="E4968" s="18"/>
      <c r="F4968" s="18"/>
      <c r="G4968" s="18"/>
      <c r="H4968" s="18"/>
      <c r="I4968" s="18"/>
      <c r="J4968" s="18"/>
      <c r="K4968" s="18"/>
      <c r="L4968" s="18"/>
      <c r="M4968" s="18"/>
      <c r="N4968" s="18"/>
      <c r="O4968" s="18"/>
      <c r="P4968" s="18"/>
      <c r="Q4968" s="18"/>
    </row>
    <row r="4969" spans="1:17">
      <c r="A4969" s="18"/>
      <c r="B4969" s="18"/>
      <c r="C4969" s="18"/>
      <c r="D4969" s="18"/>
      <c r="E4969" s="18"/>
      <c r="F4969" s="18"/>
      <c r="G4969" s="18"/>
      <c r="H4969" s="18"/>
      <c r="I4969" s="18"/>
      <c r="J4969" s="18"/>
      <c r="K4969" s="18"/>
      <c r="L4969" s="18"/>
      <c r="M4969" s="18"/>
      <c r="N4969" s="18"/>
      <c r="O4969" s="18"/>
      <c r="P4969" s="18"/>
      <c r="Q4969" s="18"/>
    </row>
    <row r="4970" spans="1:17">
      <c r="A4970" s="18"/>
      <c r="B4970" s="18"/>
      <c r="C4970" s="18"/>
      <c r="D4970" s="18"/>
      <c r="E4970" s="18"/>
      <c r="F4970" s="18"/>
      <c r="G4970" s="18"/>
      <c r="H4970" s="18"/>
      <c r="I4970" s="18"/>
      <c r="J4970" s="18"/>
      <c r="K4970" s="18"/>
      <c r="L4970" s="18"/>
      <c r="M4970" s="18"/>
      <c r="N4970" s="18"/>
      <c r="O4970" s="18"/>
      <c r="P4970" s="18"/>
      <c r="Q4970" s="18"/>
    </row>
    <row r="4971" spans="1:17">
      <c r="A4971" s="18"/>
      <c r="B4971" s="18"/>
      <c r="C4971" s="18"/>
      <c r="D4971" s="18"/>
      <c r="E4971" s="18"/>
      <c r="F4971" s="18"/>
      <c r="G4971" s="18"/>
      <c r="H4971" s="18"/>
      <c r="I4971" s="18"/>
      <c r="J4971" s="18"/>
      <c r="K4971" s="18"/>
      <c r="L4971" s="18"/>
      <c r="M4971" s="18"/>
      <c r="N4971" s="18"/>
      <c r="O4971" s="18"/>
      <c r="P4971" s="18"/>
      <c r="Q4971" s="18"/>
    </row>
    <row r="4972" spans="1:17">
      <c r="A4972" s="18"/>
      <c r="B4972" s="18"/>
      <c r="C4972" s="18"/>
      <c r="D4972" s="18"/>
      <c r="E4972" s="18"/>
      <c r="F4972" s="18"/>
      <c r="G4972" s="18"/>
      <c r="H4972" s="18"/>
      <c r="I4972" s="18"/>
      <c r="J4972" s="18"/>
      <c r="K4972" s="18"/>
      <c r="L4972" s="18"/>
      <c r="M4972" s="18"/>
      <c r="N4972" s="18"/>
      <c r="O4972" s="18"/>
      <c r="P4972" s="18"/>
      <c r="Q4972" s="18"/>
    </row>
    <row r="4973" spans="1:17">
      <c r="A4973" s="18"/>
      <c r="B4973" s="18"/>
      <c r="C4973" s="18"/>
      <c r="D4973" s="18"/>
      <c r="E4973" s="18"/>
      <c r="F4973" s="18"/>
      <c r="G4973" s="18"/>
      <c r="H4973" s="18"/>
      <c r="I4973" s="18"/>
      <c r="J4973" s="18"/>
      <c r="K4973" s="18"/>
      <c r="L4973" s="18"/>
      <c r="M4973" s="18"/>
      <c r="N4973" s="18"/>
      <c r="O4973" s="18"/>
      <c r="P4973" s="18"/>
      <c r="Q4973" s="18"/>
    </row>
    <row r="4974" spans="1:17">
      <c r="A4974" s="18"/>
      <c r="B4974" s="18"/>
      <c r="C4974" s="18"/>
      <c r="D4974" s="18"/>
      <c r="E4974" s="18"/>
      <c r="F4974" s="18"/>
      <c r="G4974" s="18"/>
      <c r="H4974" s="18"/>
      <c r="I4974" s="18"/>
      <c r="J4974" s="18"/>
      <c r="K4974" s="18"/>
      <c r="L4974" s="18"/>
      <c r="M4974" s="18"/>
      <c r="N4974" s="18"/>
      <c r="O4974" s="18"/>
      <c r="P4974" s="18"/>
      <c r="Q4974" s="18"/>
    </row>
    <row r="4975" spans="1:17">
      <c r="A4975" s="18"/>
      <c r="B4975" s="18"/>
      <c r="C4975" s="18"/>
      <c r="D4975" s="18"/>
      <c r="E4975" s="18"/>
      <c r="F4975" s="18"/>
      <c r="G4975" s="18"/>
      <c r="H4975" s="18"/>
      <c r="I4975" s="18"/>
      <c r="J4975" s="18"/>
      <c r="K4975" s="18"/>
      <c r="L4975" s="18"/>
      <c r="M4975" s="18"/>
      <c r="N4975" s="18"/>
      <c r="O4975" s="18"/>
      <c r="P4975" s="18"/>
      <c r="Q4975" s="18"/>
    </row>
    <row r="4976" spans="1:17">
      <c r="A4976" s="18"/>
      <c r="B4976" s="18"/>
      <c r="C4976" s="18"/>
      <c r="D4976" s="18"/>
      <c r="E4976" s="18"/>
      <c r="F4976" s="18"/>
      <c r="G4976" s="18"/>
      <c r="H4976" s="18"/>
      <c r="I4976" s="18"/>
      <c r="J4976" s="18"/>
      <c r="K4976" s="18"/>
      <c r="L4976" s="18"/>
      <c r="M4976" s="18"/>
      <c r="N4976" s="18"/>
      <c r="O4976" s="18"/>
      <c r="P4976" s="18"/>
      <c r="Q4976" s="18"/>
    </row>
    <row r="4977" spans="1:17">
      <c r="A4977" s="18"/>
      <c r="B4977" s="18"/>
      <c r="C4977" s="18"/>
      <c r="D4977" s="18"/>
      <c r="E4977" s="18"/>
      <c r="F4977" s="18"/>
      <c r="G4977" s="18"/>
      <c r="H4977" s="18"/>
      <c r="I4977" s="18"/>
      <c r="J4977" s="18"/>
      <c r="K4977" s="18"/>
      <c r="L4977" s="18"/>
      <c r="M4977" s="18"/>
      <c r="N4977" s="18"/>
      <c r="O4977" s="18"/>
      <c r="P4977" s="18"/>
      <c r="Q4977" s="18"/>
    </row>
    <row r="4978" spans="1:17">
      <c r="A4978" s="18"/>
      <c r="B4978" s="18"/>
      <c r="C4978" s="18"/>
      <c r="D4978" s="18"/>
      <c r="E4978" s="18"/>
      <c r="F4978" s="18"/>
      <c r="G4978" s="18"/>
      <c r="H4978" s="18"/>
      <c r="I4978" s="18"/>
      <c r="J4978" s="18"/>
      <c r="K4978" s="18"/>
      <c r="L4978" s="18"/>
      <c r="M4978" s="18"/>
      <c r="N4978" s="18"/>
      <c r="O4978" s="18"/>
      <c r="P4978" s="18"/>
      <c r="Q4978" s="18"/>
    </row>
    <row r="4979" spans="1:17">
      <c r="A4979" s="18"/>
      <c r="B4979" s="18"/>
      <c r="C4979" s="18"/>
      <c r="D4979" s="18"/>
      <c r="E4979" s="18"/>
      <c r="F4979" s="18"/>
      <c r="G4979" s="18"/>
      <c r="H4979" s="18"/>
      <c r="I4979" s="18"/>
      <c r="J4979" s="18"/>
      <c r="K4979" s="18"/>
      <c r="L4979" s="18"/>
      <c r="M4979" s="18"/>
      <c r="N4979" s="18"/>
      <c r="O4979" s="18"/>
      <c r="P4979" s="18"/>
      <c r="Q4979" s="18"/>
    </row>
    <row r="4980" spans="1:17">
      <c r="A4980" s="18"/>
      <c r="B4980" s="18"/>
      <c r="C4980" s="18"/>
      <c r="D4980" s="18"/>
      <c r="E4980" s="18"/>
      <c r="F4980" s="18"/>
      <c r="G4980" s="18"/>
      <c r="H4980" s="18"/>
      <c r="I4980" s="18"/>
      <c r="J4980" s="18"/>
      <c r="K4980" s="18"/>
      <c r="L4980" s="18"/>
      <c r="M4980" s="18"/>
      <c r="N4980" s="18"/>
      <c r="O4980" s="18"/>
      <c r="P4980" s="18"/>
      <c r="Q4980" s="18"/>
    </row>
    <row r="4981" spans="1:17">
      <c r="A4981" s="18"/>
      <c r="B4981" s="18"/>
      <c r="C4981" s="18"/>
      <c r="D4981" s="18"/>
      <c r="E4981" s="18"/>
      <c r="F4981" s="18"/>
      <c r="G4981" s="18"/>
      <c r="H4981" s="18"/>
      <c r="I4981" s="18"/>
      <c r="J4981" s="18"/>
      <c r="K4981" s="18"/>
      <c r="L4981" s="18"/>
      <c r="M4981" s="18"/>
      <c r="N4981" s="18"/>
      <c r="O4981" s="18"/>
      <c r="P4981" s="18"/>
      <c r="Q4981" s="18"/>
    </row>
    <row r="4982" spans="1:17">
      <c r="A4982" s="18"/>
      <c r="B4982" s="18"/>
      <c r="C4982" s="18"/>
      <c r="D4982" s="18"/>
      <c r="E4982" s="18"/>
      <c r="F4982" s="18"/>
      <c r="G4982" s="18"/>
      <c r="H4982" s="18"/>
      <c r="I4982" s="18"/>
      <c r="J4982" s="18"/>
      <c r="K4982" s="18"/>
      <c r="L4982" s="18"/>
      <c r="M4982" s="18"/>
      <c r="N4982" s="18"/>
      <c r="O4982" s="18"/>
      <c r="P4982" s="18"/>
      <c r="Q4982" s="18"/>
    </row>
    <row r="4983" spans="1:17">
      <c r="A4983" s="18"/>
      <c r="B4983" s="18"/>
      <c r="C4983" s="18"/>
      <c r="D4983" s="18"/>
      <c r="E4983" s="18"/>
      <c r="F4983" s="18"/>
      <c r="G4983" s="18"/>
      <c r="H4983" s="18"/>
      <c r="I4983" s="18"/>
      <c r="J4983" s="18"/>
      <c r="K4983" s="18"/>
      <c r="L4983" s="18"/>
      <c r="M4983" s="18"/>
      <c r="N4983" s="18"/>
      <c r="O4983" s="18"/>
      <c r="P4983" s="18"/>
      <c r="Q4983" s="18"/>
    </row>
    <row r="4984" spans="1:17">
      <c r="A4984" s="18"/>
      <c r="B4984" s="18"/>
      <c r="C4984" s="18"/>
      <c r="D4984" s="18"/>
      <c r="E4984" s="18"/>
      <c r="F4984" s="18"/>
      <c r="G4984" s="18"/>
      <c r="H4984" s="18"/>
      <c r="I4984" s="18"/>
      <c r="J4984" s="18"/>
      <c r="K4984" s="18"/>
      <c r="L4984" s="18"/>
      <c r="M4984" s="18"/>
      <c r="N4984" s="18"/>
      <c r="O4984" s="18"/>
      <c r="P4984" s="18"/>
      <c r="Q4984" s="18"/>
    </row>
    <row r="4985" spans="1:17">
      <c r="A4985" s="18"/>
      <c r="B4985" s="18"/>
      <c r="C4985" s="18"/>
      <c r="D4985" s="18"/>
      <c r="E4985" s="18"/>
      <c r="F4985" s="18"/>
      <c r="G4985" s="18"/>
      <c r="H4985" s="18"/>
      <c r="I4985" s="18"/>
      <c r="J4985" s="18"/>
      <c r="K4985" s="18"/>
      <c r="L4985" s="18"/>
      <c r="M4985" s="18"/>
      <c r="N4985" s="18"/>
      <c r="O4985" s="18"/>
      <c r="P4985" s="18"/>
      <c r="Q4985" s="18"/>
    </row>
    <row r="4986" spans="1:17">
      <c r="A4986" s="18"/>
      <c r="B4986" s="18"/>
      <c r="C4986" s="18"/>
      <c r="D4986" s="18"/>
      <c r="E4986" s="18"/>
      <c r="F4986" s="18"/>
      <c r="G4986" s="18"/>
      <c r="H4986" s="18"/>
      <c r="I4986" s="18"/>
      <c r="J4986" s="18"/>
      <c r="K4986" s="18"/>
      <c r="L4986" s="18"/>
      <c r="M4986" s="18"/>
      <c r="N4986" s="18"/>
      <c r="O4986" s="18"/>
      <c r="P4986" s="18"/>
      <c r="Q4986" s="18"/>
    </row>
    <row r="4987" spans="1:17">
      <c r="A4987" s="18"/>
      <c r="B4987" s="18"/>
      <c r="C4987" s="18"/>
      <c r="D4987" s="18"/>
      <c r="E4987" s="18"/>
      <c r="F4987" s="18"/>
      <c r="G4987" s="18"/>
      <c r="H4987" s="18"/>
      <c r="I4987" s="18"/>
      <c r="J4987" s="18"/>
      <c r="K4987" s="18"/>
      <c r="L4987" s="18"/>
      <c r="M4987" s="18"/>
      <c r="N4987" s="18"/>
      <c r="O4987" s="18"/>
      <c r="P4987" s="18"/>
      <c r="Q4987" s="18"/>
    </row>
    <row r="4988" spans="1:17">
      <c r="A4988" s="18"/>
      <c r="B4988" s="18"/>
      <c r="C4988" s="18"/>
      <c r="D4988" s="18"/>
      <c r="E4988" s="18"/>
      <c r="F4988" s="18"/>
      <c r="G4988" s="18"/>
      <c r="H4988" s="18"/>
      <c r="I4988" s="18"/>
      <c r="J4988" s="18"/>
      <c r="K4988" s="18"/>
      <c r="L4988" s="18"/>
      <c r="M4988" s="18"/>
      <c r="N4988" s="18"/>
      <c r="O4988" s="18"/>
      <c r="P4988" s="18"/>
      <c r="Q4988" s="18"/>
    </row>
    <row r="4989" spans="1:17">
      <c r="A4989" s="18"/>
      <c r="B4989" s="18"/>
      <c r="C4989" s="18"/>
      <c r="D4989" s="18"/>
      <c r="E4989" s="18"/>
      <c r="F4989" s="18"/>
      <c r="G4989" s="18"/>
      <c r="H4989" s="18"/>
      <c r="I4989" s="18"/>
      <c r="J4989" s="18"/>
      <c r="K4989" s="18"/>
      <c r="L4989" s="18"/>
      <c r="M4989" s="18"/>
      <c r="N4989" s="18"/>
      <c r="O4989" s="18"/>
      <c r="P4989" s="18"/>
      <c r="Q4989" s="18"/>
    </row>
    <row r="4990" spans="1:17">
      <c r="A4990" s="18"/>
      <c r="B4990" s="18"/>
      <c r="C4990" s="18"/>
      <c r="D4990" s="18"/>
      <c r="E4990" s="18"/>
      <c r="F4990" s="18"/>
      <c r="G4990" s="18"/>
      <c r="H4990" s="18"/>
      <c r="I4990" s="18"/>
      <c r="J4990" s="18"/>
      <c r="K4990" s="18"/>
      <c r="L4990" s="18"/>
      <c r="M4990" s="18"/>
      <c r="N4990" s="18"/>
      <c r="O4990" s="18"/>
      <c r="P4990" s="18"/>
      <c r="Q4990" s="18"/>
    </row>
    <row r="4991" spans="1:17">
      <c r="A4991" s="18"/>
      <c r="B4991" s="18"/>
      <c r="C4991" s="18"/>
      <c r="D4991" s="18"/>
      <c r="E4991" s="18"/>
      <c r="F4991" s="18"/>
      <c r="G4991" s="18"/>
      <c r="H4991" s="18"/>
      <c r="I4991" s="18"/>
      <c r="J4991" s="18"/>
      <c r="K4991" s="18"/>
      <c r="L4991" s="18"/>
      <c r="M4991" s="18"/>
      <c r="N4991" s="18"/>
      <c r="O4991" s="18"/>
      <c r="P4991" s="18"/>
      <c r="Q4991" s="18"/>
    </row>
    <row r="4992" spans="1:17">
      <c r="A4992" s="18"/>
      <c r="B4992" s="18"/>
      <c r="C4992" s="18"/>
      <c r="D4992" s="18"/>
      <c r="E4992" s="18"/>
      <c r="F4992" s="18"/>
      <c r="G4992" s="18"/>
      <c r="H4992" s="18"/>
      <c r="I4992" s="18"/>
      <c r="J4992" s="18"/>
      <c r="K4992" s="18"/>
      <c r="L4992" s="18"/>
      <c r="M4992" s="18"/>
      <c r="N4992" s="18"/>
      <c r="O4992" s="18"/>
      <c r="P4992" s="18"/>
      <c r="Q4992" s="18"/>
    </row>
    <row r="4993" spans="1:17">
      <c r="A4993" s="18"/>
      <c r="B4993" s="18"/>
      <c r="C4993" s="18"/>
      <c r="D4993" s="18"/>
      <c r="E4993" s="18"/>
      <c r="F4993" s="18"/>
      <c r="G4993" s="18"/>
      <c r="H4993" s="18"/>
      <c r="I4993" s="18"/>
      <c r="J4993" s="18"/>
      <c r="K4993" s="18"/>
      <c r="L4993" s="18"/>
      <c r="M4993" s="18"/>
      <c r="N4993" s="18"/>
      <c r="O4993" s="18"/>
      <c r="P4993" s="18"/>
      <c r="Q4993" s="18"/>
    </row>
    <row r="4994" spans="1:17">
      <c r="A4994" s="18"/>
      <c r="B4994" s="18"/>
      <c r="C4994" s="18"/>
      <c r="D4994" s="18"/>
      <c r="E4994" s="18"/>
      <c r="F4994" s="18"/>
      <c r="G4994" s="18"/>
      <c r="H4994" s="18"/>
      <c r="I4994" s="18"/>
      <c r="J4994" s="18"/>
      <c r="K4994" s="18"/>
      <c r="L4994" s="18"/>
      <c r="M4994" s="18"/>
      <c r="N4994" s="18"/>
      <c r="O4994" s="18"/>
      <c r="P4994" s="18"/>
      <c r="Q4994" s="18"/>
    </row>
    <row r="4995" spans="1:17">
      <c r="A4995" s="18"/>
      <c r="B4995" s="18"/>
      <c r="C4995" s="18"/>
      <c r="D4995" s="18"/>
      <c r="E4995" s="18"/>
      <c r="F4995" s="18"/>
      <c r="G4995" s="18"/>
      <c r="H4995" s="18"/>
      <c r="I4995" s="18"/>
      <c r="J4995" s="18"/>
      <c r="K4995" s="18"/>
      <c r="L4995" s="18"/>
      <c r="M4995" s="18"/>
      <c r="N4995" s="18"/>
      <c r="O4995" s="18"/>
      <c r="P4995" s="18"/>
      <c r="Q4995" s="18"/>
    </row>
    <row r="4996" spans="1:17">
      <c r="A4996" s="18"/>
      <c r="B4996" s="18"/>
      <c r="C4996" s="18"/>
      <c r="D4996" s="18"/>
      <c r="E4996" s="18"/>
      <c r="F4996" s="18"/>
      <c r="G4996" s="18"/>
      <c r="H4996" s="18"/>
      <c r="I4996" s="18"/>
      <c r="J4996" s="18"/>
      <c r="K4996" s="18"/>
      <c r="L4996" s="18"/>
      <c r="M4996" s="18"/>
      <c r="N4996" s="18"/>
      <c r="O4996" s="18"/>
      <c r="P4996" s="18"/>
      <c r="Q4996" s="18"/>
    </row>
    <row r="4997" spans="1:17">
      <c r="A4997" s="18"/>
      <c r="B4997" s="18"/>
      <c r="C4997" s="18"/>
      <c r="D4997" s="18"/>
      <c r="E4997" s="18"/>
      <c r="F4997" s="18"/>
      <c r="G4997" s="18"/>
      <c r="H4997" s="18"/>
      <c r="I4997" s="18"/>
      <c r="J4997" s="18"/>
      <c r="K4997" s="18"/>
      <c r="L4997" s="18"/>
      <c r="M4997" s="18"/>
      <c r="N4997" s="18"/>
      <c r="O4997" s="18"/>
      <c r="P4997" s="18"/>
      <c r="Q4997" s="18"/>
    </row>
    <row r="4998" spans="1:17">
      <c r="A4998" s="18"/>
      <c r="B4998" s="18"/>
      <c r="C4998" s="18"/>
      <c r="D4998" s="18"/>
      <c r="E4998" s="18"/>
      <c r="F4998" s="18"/>
      <c r="G4998" s="18"/>
      <c r="H4998" s="18"/>
      <c r="I4998" s="18"/>
      <c r="J4998" s="18"/>
      <c r="K4998" s="18"/>
      <c r="L4998" s="18"/>
      <c r="M4998" s="18"/>
      <c r="N4998" s="18"/>
      <c r="O4998" s="18"/>
      <c r="P4998" s="18"/>
      <c r="Q4998" s="18"/>
    </row>
    <row r="4999" spans="1:17">
      <c r="A4999" s="18"/>
      <c r="B4999" s="18"/>
      <c r="C4999" s="18"/>
      <c r="D4999" s="18"/>
      <c r="E4999" s="18"/>
      <c r="F4999" s="18"/>
      <c r="G4999" s="18"/>
      <c r="H4999" s="18"/>
      <c r="I4999" s="18"/>
      <c r="J4999" s="18"/>
      <c r="K4999" s="18"/>
      <c r="L4999" s="18"/>
      <c r="M4999" s="18"/>
      <c r="N4999" s="18"/>
      <c r="O4999" s="18"/>
      <c r="P4999" s="18"/>
      <c r="Q4999" s="18"/>
    </row>
    <row r="5000" spans="1:17">
      <c r="A5000" s="18"/>
      <c r="B5000" s="18"/>
      <c r="C5000" s="18"/>
      <c r="D5000" s="18"/>
      <c r="E5000" s="18"/>
      <c r="F5000" s="18"/>
      <c r="G5000" s="18"/>
      <c r="H5000" s="18"/>
      <c r="I5000" s="18"/>
      <c r="J5000" s="18"/>
      <c r="K5000" s="18"/>
      <c r="L5000" s="18"/>
      <c r="M5000" s="18"/>
      <c r="N5000" s="18"/>
      <c r="O5000" s="18"/>
      <c r="P5000" s="18"/>
      <c r="Q5000" s="18"/>
    </row>
    <row r="5001" spans="1:17">
      <c r="A5001" s="18"/>
      <c r="B5001" s="18"/>
      <c r="C5001" s="18"/>
      <c r="D5001" s="18"/>
      <c r="E5001" s="18"/>
      <c r="F5001" s="18"/>
      <c r="G5001" s="18"/>
      <c r="H5001" s="18"/>
      <c r="I5001" s="18"/>
      <c r="J5001" s="18"/>
      <c r="K5001" s="18"/>
      <c r="L5001" s="18"/>
      <c r="M5001" s="18"/>
      <c r="N5001" s="18"/>
      <c r="O5001" s="18"/>
      <c r="P5001" s="18"/>
      <c r="Q5001" s="18"/>
    </row>
    <row r="5002" spans="1:17">
      <c r="A5002" s="18"/>
      <c r="B5002" s="18"/>
      <c r="C5002" s="18"/>
      <c r="D5002" s="18"/>
      <c r="E5002" s="18"/>
      <c r="F5002" s="18"/>
      <c r="G5002" s="18"/>
      <c r="H5002" s="18"/>
      <c r="I5002" s="18"/>
      <c r="J5002" s="18"/>
      <c r="K5002" s="18"/>
      <c r="L5002" s="18"/>
      <c r="M5002" s="18"/>
      <c r="N5002" s="18"/>
      <c r="O5002" s="18"/>
      <c r="P5002" s="18"/>
      <c r="Q5002" s="18"/>
    </row>
    <row r="5003" spans="1:17">
      <c r="A5003" s="18"/>
      <c r="B5003" s="18"/>
      <c r="C5003" s="18"/>
      <c r="D5003" s="18"/>
      <c r="E5003" s="18"/>
      <c r="F5003" s="18"/>
      <c r="G5003" s="18"/>
      <c r="H5003" s="18"/>
      <c r="I5003" s="18"/>
      <c r="J5003" s="18"/>
      <c r="K5003" s="18"/>
      <c r="L5003" s="18"/>
      <c r="M5003" s="18"/>
      <c r="N5003" s="18"/>
      <c r="O5003" s="18"/>
      <c r="P5003" s="18"/>
      <c r="Q5003" s="18"/>
    </row>
    <row r="5004" spans="1:17">
      <c r="A5004" s="18"/>
      <c r="B5004" s="18"/>
      <c r="C5004" s="18"/>
      <c r="D5004" s="18"/>
      <c r="E5004" s="18"/>
      <c r="F5004" s="18"/>
      <c r="G5004" s="18"/>
      <c r="H5004" s="18"/>
      <c r="I5004" s="18"/>
      <c r="J5004" s="18"/>
      <c r="K5004" s="18"/>
      <c r="L5004" s="18"/>
      <c r="M5004" s="18"/>
      <c r="N5004" s="18"/>
      <c r="O5004" s="18"/>
      <c r="P5004" s="18"/>
      <c r="Q5004" s="18"/>
    </row>
    <row r="5005" spans="1:17">
      <c r="A5005" s="18"/>
      <c r="B5005" s="18"/>
      <c r="C5005" s="18"/>
      <c r="D5005" s="18"/>
      <c r="E5005" s="18"/>
      <c r="F5005" s="18"/>
      <c r="G5005" s="18"/>
      <c r="H5005" s="18"/>
      <c r="I5005" s="18"/>
      <c r="J5005" s="18"/>
      <c r="K5005" s="18"/>
      <c r="L5005" s="18"/>
      <c r="M5005" s="18"/>
      <c r="N5005" s="18"/>
      <c r="O5005" s="18"/>
      <c r="P5005" s="18"/>
      <c r="Q5005" s="18"/>
    </row>
    <row r="5006" spans="1:17">
      <c r="A5006" s="18"/>
      <c r="B5006" s="18"/>
      <c r="C5006" s="18"/>
      <c r="D5006" s="18"/>
      <c r="E5006" s="18"/>
      <c r="F5006" s="18"/>
      <c r="G5006" s="18"/>
      <c r="H5006" s="18"/>
      <c r="I5006" s="18"/>
      <c r="J5006" s="18"/>
      <c r="K5006" s="18"/>
      <c r="L5006" s="18"/>
      <c r="M5006" s="18"/>
      <c r="N5006" s="18"/>
      <c r="O5006" s="18"/>
      <c r="P5006" s="18"/>
      <c r="Q5006" s="18"/>
    </row>
    <row r="5007" spans="1:17">
      <c r="A5007" s="18"/>
      <c r="B5007" s="18"/>
      <c r="C5007" s="18"/>
      <c r="D5007" s="18"/>
      <c r="E5007" s="18"/>
      <c r="F5007" s="18"/>
      <c r="G5007" s="18"/>
      <c r="H5007" s="18"/>
      <c r="I5007" s="18"/>
      <c r="J5007" s="18"/>
      <c r="K5007" s="18"/>
      <c r="L5007" s="18"/>
      <c r="M5007" s="18"/>
      <c r="N5007" s="18"/>
      <c r="O5007" s="18"/>
      <c r="P5007" s="18"/>
      <c r="Q5007" s="18"/>
    </row>
    <row r="5008" spans="1:17">
      <c r="A5008" s="18"/>
      <c r="B5008" s="18"/>
      <c r="C5008" s="18"/>
      <c r="D5008" s="18"/>
      <c r="E5008" s="18"/>
      <c r="F5008" s="18"/>
      <c r="G5008" s="18"/>
      <c r="H5008" s="18"/>
      <c r="I5008" s="18"/>
      <c r="J5008" s="18"/>
      <c r="K5008" s="18"/>
      <c r="L5008" s="18"/>
      <c r="M5008" s="18"/>
      <c r="N5008" s="18"/>
      <c r="O5008" s="18"/>
      <c r="P5008" s="18"/>
      <c r="Q5008" s="18"/>
    </row>
    <row r="5009" spans="1:17">
      <c r="A5009" s="18"/>
      <c r="B5009" s="18"/>
      <c r="C5009" s="18"/>
      <c r="D5009" s="18"/>
      <c r="E5009" s="18"/>
      <c r="F5009" s="18"/>
      <c r="G5009" s="18"/>
      <c r="H5009" s="18"/>
      <c r="I5009" s="18"/>
      <c r="J5009" s="18"/>
      <c r="K5009" s="18"/>
      <c r="L5009" s="18"/>
      <c r="M5009" s="18"/>
      <c r="N5009" s="18"/>
      <c r="O5009" s="18"/>
      <c r="P5009" s="18"/>
      <c r="Q5009" s="18"/>
    </row>
    <row r="5010" spans="1:17">
      <c r="A5010" s="18"/>
      <c r="B5010" s="18"/>
      <c r="C5010" s="18"/>
      <c r="D5010" s="18"/>
      <c r="E5010" s="18"/>
      <c r="F5010" s="18"/>
      <c r="G5010" s="18"/>
      <c r="H5010" s="18"/>
      <c r="I5010" s="18"/>
      <c r="J5010" s="18"/>
      <c r="K5010" s="18"/>
      <c r="L5010" s="18"/>
      <c r="M5010" s="18"/>
      <c r="N5010" s="18"/>
      <c r="O5010" s="18"/>
      <c r="P5010" s="18"/>
      <c r="Q5010" s="18"/>
    </row>
    <row r="5011" spans="1:17">
      <c r="A5011" s="18"/>
      <c r="B5011" s="18"/>
      <c r="C5011" s="18"/>
      <c r="D5011" s="18"/>
      <c r="E5011" s="18"/>
      <c r="F5011" s="18"/>
      <c r="G5011" s="18"/>
      <c r="H5011" s="18"/>
      <c r="I5011" s="18"/>
      <c r="J5011" s="18"/>
      <c r="K5011" s="18"/>
      <c r="L5011" s="18"/>
      <c r="M5011" s="18"/>
      <c r="N5011" s="18"/>
      <c r="O5011" s="18"/>
      <c r="P5011" s="18"/>
      <c r="Q5011" s="18"/>
    </row>
    <row r="5012" spans="1:17">
      <c r="A5012" s="18"/>
      <c r="B5012" s="18"/>
      <c r="C5012" s="18"/>
      <c r="D5012" s="18"/>
      <c r="E5012" s="18"/>
      <c r="F5012" s="18"/>
      <c r="G5012" s="18"/>
      <c r="H5012" s="18"/>
      <c r="I5012" s="18"/>
      <c r="J5012" s="18"/>
      <c r="K5012" s="18"/>
      <c r="L5012" s="18"/>
      <c r="M5012" s="18"/>
      <c r="N5012" s="18"/>
      <c r="O5012" s="18"/>
      <c r="P5012" s="18"/>
      <c r="Q5012" s="18"/>
    </row>
    <row r="5013" spans="1:17">
      <c r="A5013" s="18"/>
      <c r="B5013" s="18"/>
      <c r="C5013" s="18"/>
      <c r="D5013" s="18"/>
      <c r="E5013" s="18"/>
      <c r="F5013" s="18"/>
      <c r="G5013" s="18"/>
      <c r="H5013" s="18"/>
      <c r="I5013" s="18"/>
      <c r="J5013" s="18"/>
      <c r="K5013" s="18"/>
      <c r="L5013" s="18"/>
      <c r="M5013" s="18"/>
      <c r="N5013" s="18"/>
      <c r="O5013" s="18"/>
      <c r="P5013" s="18"/>
      <c r="Q5013" s="18"/>
    </row>
    <row r="5014" spans="1:17">
      <c r="A5014" s="18"/>
      <c r="B5014" s="18"/>
      <c r="C5014" s="18"/>
      <c r="D5014" s="18"/>
      <c r="E5014" s="18"/>
      <c r="F5014" s="18"/>
      <c r="G5014" s="18"/>
      <c r="H5014" s="18"/>
      <c r="I5014" s="18"/>
      <c r="J5014" s="18"/>
      <c r="K5014" s="18"/>
      <c r="L5014" s="18"/>
      <c r="M5014" s="18"/>
      <c r="N5014" s="18"/>
      <c r="O5014" s="18"/>
      <c r="P5014" s="18"/>
      <c r="Q5014" s="18"/>
    </row>
    <row r="5015" spans="1:17">
      <c r="A5015" s="18"/>
      <c r="B5015" s="18"/>
      <c r="C5015" s="18"/>
      <c r="D5015" s="18"/>
      <c r="E5015" s="18"/>
      <c r="F5015" s="18"/>
      <c r="G5015" s="18"/>
      <c r="H5015" s="18"/>
      <c r="I5015" s="18"/>
      <c r="J5015" s="18"/>
      <c r="K5015" s="18"/>
      <c r="L5015" s="18"/>
      <c r="M5015" s="18"/>
      <c r="N5015" s="18"/>
      <c r="O5015" s="18"/>
      <c r="P5015" s="18"/>
      <c r="Q5015" s="18"/>
    </row>
    <row r="5016" spans="1:17">
      <c r="A5016" s="18"/>
      <c r="B5016" s="18"/>
      <c r="C5016" s="18"/>
      <c r="D5016" s="18"/>
      <c r="E5016" s="18"/>
      <c r="F5016" s="18"/>
      <c r="G5016" s="18"/>
      <c r="H5016" s="18"/>
      <c r="I5016" s="18"/>
      <c r="J5016" s="18"/>
      <c r="K5016" s="18"/>
      <c r="L5016" s="18"/>
      <c r="M5016" s="18"/>
      <c r="N5016" s="18"/>
      <c r="O5016" s="18"/>
      <c r="P5016" s="18"/>
      <c r="Q5016" s="18"/>
    </row>
    <row r="5017" spans="1:17">
      <c r="A5017" s="18"/>
      <c r="B5017" s="18"/>
      <c r="C5017" s="18"/>
      <c r="D5017" s="18"/>
      <c r="E5017" s="18"/>
      <c r="F5017" s="18"/>
      <c r="G5017" s="18"/>
      <c r="H5017" s="18"/>
      <c r="I5017" s="18"/>
      <c r="J5017" s="18"/>
      <c r="K5017" s="18"/>
      <c r="L5017" s="18"/>
      <c r="M5017" s="18"/>
      <c r="N5017" s="18"/>
      <c r="O5017" s="18"/>
      <c r="P5017" s="18"/>
      <c r="Q5017" s="18"/>
    </row>
    <row r="5018" spans="1:17">
      <c r="A5018" s="18"/>
      <c r="B5018" s="18"/>
      <c r="C5018" s="18"/>
      <c r="D5018" s="18"/>
      <c r="E5018" s="18"/>
      <c r="F5018" s="18"/>
      <c r="G5018" s="18"/>
      <c r="H5018" s="18"/>
      <c r="I5018" s="18"/>
      <c r="J5018" s="18"/>
      <c r="K5018" s="18"/>
      <c r="L5018" s="18"/>
      <c r="M5018" s="18"/>
      <c r="N5018" s="18"/>
      <c r="O5018" s="18"/>
      <c r="P5018" s="18"/>
      <c r="Q5018" s="18"/>
    </row>
    <row r="5019" spans="1:17">
      <c r="A5019" s="18"/>
      <c r="B5019" s="18"/>
      <c r="C5019" s="18"/>
      <c r="D5019" s="18"/>
      <c r="E5019" s="18"/>
      <c r="F5019" s="18"/>
      <c r="G5019" s="18"/>
      <c r="H5019" s="18"/>
      <c r="I5019" s="18"/>
      <c r="J5019" s="18"/>
      <c r="K5019" s="18"/>
      <c r="L5019" s="18"/>
      <c r="M5019" s="18"/>
      <c r="N5019" s="18"/>
      <c r="O5019" s="18"/>
      <c r="P5019" s="18"/>
      <c r="Q5019" s="18"/>
    </row>
    <row r="5020" spans="1:17">
      <c r="A5020" s="18"/>
      <c r="B5020" s="18"/>
      <c r="C5020" s="18"/>
      <c r="D5020" s="18"/>
      <c r="E5020" s="18"/>
      <c r="F5020" s="18"/>
      <c r="G5020" s="18"/>
      <c r="H5020" s="18"/>
      <c r="I5020" s="18"/>
      <c r="J5020" s="18"/>
      <c r="K5020" s="18"/>
      <c r="L5020" s="18"/>
      <c r="M5020" s="18"/>
      <c r="N5020" s="18"/>
      <c r="O5020" s="18"/>
      <c r="P5020" s="18"/>
      <c r="Q5020" s="18"/>
    </row>
    <row r="5021" spans="1:17">
      <c r="A5021" s="18"/>
      <c r="B5021" s="18"/>
      <c r="C5021" s="18"/>
      <c r="D5021" s="18"/>
      <c r="E5021" s="18"/>
      <c r="F5021" s="18"/>
      <c r="G5021" s="18"/>
      <c r="H5021" s="18"/>
      <c r="I5021" s="18"/>
      <c r="J5021" s="18"/>
      <c r="K5021" s="18"/>
      <c r="L5021" s="18"/>
      <c r="M5021" s="18"/>
      <c r="N5021" s="18"/>
      <c r="O5021" s="18"/>
      <c r="P5021" s="18"/>
      <c r="Q5021" s="18"/>
    </row>
    <row r="5022" spans="1:17">
      <c r="A5022" s="18"/>
      <c r="B5022" s="18"/>
      <c r="C5022" s="18"/>
      <c r="D5022" s="18"/>
      <c r="E5022" s="18"/>
      <c r="F5022" s="18"/>
      <c r="G5022" s="18"/>
      <c r="H5022" s="18"/>
      <c r="I5022" s="18"/>
      <c r="J5022" s="18"/>
      <c r="K5022" s="18"/>
      <c r="L5022" s="18"/>
      <c r="M5022" s="18"/>
      <c r="N5022" s="18"/>
      <c r="O5022" s="18"/>
      <c r="P5022" s="18"/>
      <c r="Q5022" s="18"/>
    </row>
    <row r="5023" spans="1:17">
      <c r="A5023" s="18"/>
      <c r="B5023" s="18"/>
      <c r="C5023" s="18"/>
      <c r="D5023" s="18"/>
      <c r="E5023" s="18"/>
      <c r="F5023" s="18"/>
      <c r="G5023" s="18"/>
      <c r="H5023" s="18"/>
      <c r="I5023" s="18"/>
      <c r="J5023" s="18"/>
      <c r="K5023" s="18"/>
      <c r="L5023" s="18"/>
      <c r="M5023" s="18"/>
      <c r="N5023" s="18"/>
      <c r="O5023" s="18"/>
      <c r="P5023" s="18"/>
      <c r="Q5023" s="18"/>
    </row>
    <row r="5024" spans="1:17">
      <c r="A5024" s="18"/>
      <c r="B5024" s="18"/>
      <c r="C5024" s="18"/>
      <c r="D5024" s="18"/>
      <c r="E5024" s="18"/>
      <c r="F5024" s="18"/>
      <c r="G5024" s="18"/>
      <c r="H5024" s="18"/>
      <c r="I5024" s="18"/>
      <c r="J5024" s="18"/>
      <c r="K5024" s="18"/>
      <c r="L5024" s="18"/>
      <c r="M5024" s="18"/>
      <c r="N5024" s="18"/>
      <c r="O5024" s="18"/>
      <c r="P5024" s="18"/>
      <c r="Q5024" s="18"/>
    </row>
    <row r="5025" spans="1:17">
      <c r="A5025" s="18"/>
      <c r="B5025" s="18"/>
      <c r="C5025" s="18"/>
      <c r="D5025" s="18"/>
      <c r="E5025" s="18"/>
      <c r="F5025" s="18"/>
      <c r="G5025" s="18"/>
      <c r="H5025" s="18"/>
      <c r="I5025" s="18"/>
      <c r="J5025" s="18"/>
      <c r="K5025" s="18"/>
      <c r="L5025" s="18"/>
      <c r="M5025" s="18"/>
      <c r="N5025" s="18"/>
      <c r="O5025" s="18"/>
      <c r="P5025" s="18"/>
      <c r="Q5025" s="18"/>
    </row>
    <row r="5026" spans="1:17">
      <c r="A5026" s="18"/>
      <c r="B5026" s="18"/>
      <c r="C5026" s="18"/>
      <c r="D5026" s="18"/>
      <c r="E5026" s="18"/>
      <c r="F5026" s="18"/>
      <c r="G5026" s="18"/>
      <c r="H5026" s="18"/>
      <c r="I5026" s="18"/>
      <c r="J5026" s="18"/>
      <c r="K5026" s="18"/>
      <c r="L5026" s="18"/>
      <c r="M5026" s="18"/>
      <c r="N5026" s="18"/>
      <c r="O5026" s="18"/>
      <c r="P5026" s="18"/>
      <c r="Q5026" s="18"/>
    </row>
    <row r="5027" spans="1:17">
      <c r="A5027" s="18"/>
      <c r="B5027" s="18"/>
      <c r="C5027" s="18"/>
      <c r="D5027" s="18"/>
      <c r="E5027" s="18"/>
      <c r="F5027" s="18"/>
      <c r="G5027" s="18"/>
      <c r="H5027" s="18"/>
      <c r="I5027" s="18"/>
      <c r="J5027" s="18"/>
      <c r="K5027" s="18"/>
      <c r="L5027" s="18"/>
      <c r="M5027" s="18"/>
      <c r="N5027" s="18"/>
      <c r="O5027" s="18"/>
      <c r="P5027" s="18"/>
      <c r="Q5027" s="18"/>
    </row>
    <row r="5028" spans="1:17">
      <c r="A5028" s="18"/>
      <c r="B5028" s="18"/>
      <c r="C5028" s="18"/>
      <c r="D5028" s="18"/>
      <c r="E5028" s="18"/>
      <c r="F5028" s="18"/>
      <c r="G5028" s="18"/>
      <c r="H5028" s="18"/>
      <c r="I5028" s="18"/>
      <c r="J5028" s="18"/>
      <c r="K5028" s="18"/>
      <c r="L5028" s="18"/>
      <c r="M5028" s="18"/>
      <c r="N5028" s="18"/>
      <c r="O5028" s="18"/>
      <c r="P5028" s="18"/>
      <c r="Q5028" s="18"/>
    </row>
    <row r="5029" spans="1:17">
      <c r="A5029" s="18"/>
      <c r="B5029" s="18"/>
      <c r="C5029" s="18"/>
      <c r="D5029" s="18"/>
      <c r="E5029" s="18"/>
      <c r="F5029" s="18"/>
      <c r="G5029" s="18"/>
      <c r="H5029" s="18"/>
      <c r="I5029" s="18"/>
      <c r="J5029" s="18"/>
      <c r="K5029" s="18"/>
      <c r="L5029" s="18"/>
      <c r="M5029" s="18"/>
      <c r="N5029" s="18"/>
      <c r="O5029" s="18"/>
      <c r="P5029" s="18"/>
      <c r="Q5029" s="18"/>
    </row>
    <row r="5030" spans="1:17">
      <c r="A5030" s="18"/>
      <c r="B5030" s="18"/>
      <c r="C5030" s="18"/>
      <c r="D5030" s="18"/>
      <c r="E5030" s="18"/>
      <c r="F5030" s="18"/>
      <c r="G5030" s="18"/>
      <c r="H5030" s="18"/>
      <c r="I5030" s="18"/>
      <c r="J5030" s="18"/>
      <c r="K5030" s="18"/>
      <c r="L5030" s="18"/>
      <c r="M5030" s="18"/>
      <c r="N5030" s="18"/>
      <c r="O5030" s="18"/>
      <c r="P5030" s="18"/>
      <c r="Q5030" s="18"/>
    </row>
    <row r="5031" spans="1:17">
      <c r="A5031" s="18"/>
      <c r="B5031" s="18"/>
      <c r="C5031" s="18"/>
      <c r="D5031" s="18"/>
      <c r="E5031" s="18"/>
      <c r="F5031" s="18"/>
      <c r="G5031" s="18"/>
      <c r="H5031" s="18"/>
      <c r="I5031" s="18"/>
      <c r="J5031" s="18"/>
      <c r="K5031" s="18"/>
      <c r="L5031" s="18"/>
      <c r="M5031" s="18"/>
      <c r="N5031" s="18"/>
      <c r="O5031" s="18"/>
      <c r="P5031" s="18"/>
      <c r="Q5031" s="18"/>
    </row>
    <row r="5032" spans="1:17">
      <c r="A5032" s="18"/>
      <c r="B5032" s="18"/>
      <c r="C5032" s="18"/>
      <c r="D5032" s="18"/>
      <c r="E5032" s="18"/>
      <c r="F5032" s="18"/>
      <c r="G5032" s="18"/>
      <c r="H5032" s="18"/>
      <c r="I5032" s="18"/>
      <c r="J5032" s="18"/>
      <c r="K5032" s="18"/>
      <c r="L5032" s="18"/>
      <c r="M5032" s="18"/>
      <c r="N5032" s="18"/>
      <c r="O5032" s="18"/>
      <c r="P5032" s="18"/>
      <c r="Q5032" s="18"/>
    </row>
    <row r="5033" spans="1:17">
      <c r="A5033" s="18"/>
      <c r="B5033" s="18"/>
      <c r="C5033" s="18"/>
      <c r="D5033" s="18"/>
      <c r="E5033" s="18"/>
      <c r="F5033" s="18"/>
      <c r="G5033" s="18"/>
      <c r="H5033" s="18"/>
      <c r="I5033" s="18"/>
      <c r="J5033" s="18"/>
      <c r="K5033" s="18"/>
      <c r="L5033" s="18"/>
      <c r="M5033" s="18"/>
      <c r="N5033" s="18"/>
      <c r="O5033" s="18"/>
      <c r="P5033" s="18"/>
      <c r="Q5033" s="18"/>
    </row>
    <row r="5034" spans="1:17">
      <c r="A5034" s="18"/>
      <c r="B5034" s="18"/>
      <c r="C5034" s="18"/>
      <c r="D5034" s="18"/>
      <c r="E5034" s="18"/>
      <c r="F5034" s="18"/>
      <c r="G5034" s="18"/>
      <c r="H5034" s="18"/>
      <c r="I5034" s="18"/>
      <c r="J5034" s="18"/>
      <c r="K5034" s="18"/>
      <c r="L5034" s="18"/>
      <c r="M5034" s="18"/>
      <c r="N5034" s="18"/>
      <c r="O5034" s="18"/>
      <c r="P5034" s="18"/>
      <c r="Q5034" s="18"/>
    </row>
    <row r="5035" spans="1:17">
      <c r="A5035" s="18"/>
      <c r="B5035" s="18"/>
      <c r="C5035" s="18"/>
      <c r="D5035" s="18"/>
      <c r="E5035" s="18"/>
      <c r="F5035" s="18"/>
      <c r="G5035" s="18"/>
      <c r="H5035" s="18"/>
      <c r="I5035" s="18"/>
      <c r="J5035" s="18"/>
      <c r="K5035" s="18"/>
      <c r="L5035" s="18"/>
      <c r="M5035" s="18"/>
      <c r="N5035" s="18"/>
      <c r="O5035" s="18"/>
      <c r="P5035" s="18"/>
      <c r="Q5035" s="18"/>
    </row>
    <row r="5036" spans="1:17">
      <c r="A5036" s="18"/>
      <c r="B5036" s="18"/>
      <c r="C5036" s="18"/>
      <c r="D5036" s="18"/>
      <c r="E5036" s="18"/>
      <c r="F5036" s="18"/>
      <c r="G5036" s="18"/>
      <c r="H5036" s="18"/>
      <c r="I5036" s="18"/>
      <c r="J5036" s="18"/>
      <c r="K5036" s="18"/>
      <c r="L5036" s="18"/>
      <c r="M5036" s="18"/>
      <c r="N5036" s="18"/>
      <c r="O5036" s="18"/>
      <c r="P5036" s="18"/>
      <c r="Q5036" s="18"/>
    </row>
    <row r="5037" spans="1:17">
      <c r="A5037" s="18"/>
      <c r="B5037" s="18"/>
      <c r="C5037" s="18"/>
      <c r="D5037" s="18"/>
      <c r="E5037" s="18"/>
      <c r="F5037" s="18"/>
      <c r="G5037" s="18"/>
      <c r="H5037" s="18"/>
      <c r="I5037" s="18"/>
      <c r="J5037" s="18"/>
      <c r="K5037" s="18"/>
      <c r="L5037" s="18"/>
      <c r="M5037" s="18"/>
      <c r="N5037" s="18"/>
      <c r="O5037" s="18"/>
      <c r="P5037" s="18"/>
      <c r="Q5037" s="18"/>
    </row>
    <row r="5038" spans="1:17">
      <c r="A5038" s="18"/>
      <c r="B5038" s="18"/>
      <c r="C5038" s="18"/>
      <c r="D5038" s="18"/>
      <c r="E5038" s="18"/>
      <c r="F5038" s="18"/>
      <c r="G5038" s="18"/>
      <c r="H5038" s="18"/>
      <c r="I5038" s="18"/>
      <c r="J5038" s="18"/>
      <c r="K5038" s="18"/>
      <c r="L5038" s="18"/>
      <c r="M5038" s="18"/>
      <c r="N5038" s="18"/>
      <c r="O5038" s="18"/>
      <c r="P5038" s="18"/>
      <c r="Q5038" s="18"/>
    </row>
    <row r="5039" spans="1:17">
      <c r="A5039" s="18"/>
      <c r="B5039" s="18"/>
      <c r="C5039" s="18"/>
      <c r="D5039" s="18"/>
      <c r="E5039" s="18"/>
      <c r="F5039" s="18"/>
      <c r="G5039" s="18"/>
      <c r="H5039" s="18"/>
      <c r="I5039" s="18"/>
      <c r="J5039" s="18"/>
      <c r="K5039" s="18"/>
      <c r="L5039" s="18"/>
      <c r="M5039" s="18"/>
      <c r="N5039" s="18"/>
      <c r="O5039" s="18"/>
      <c r="P5039" s="18"/>
      <c r="Q5039" s="18"/>
    </row>
    <row r="5040" spans="1:17">
      <c r="A5040" s="18"/>
      <c r="B5040" s="18"/>
      <c r="C5040" s="18"/>
      <c r="D5040" s="18"/>
      <c r="E5040" s="18"/>
      <c r="F5040" s="18"/>
      <c r="G5040" s="18"/>
      <c r="H5040" s="18"/>
      <c r="I5040" s="18"/>
      <c r="J5040" s="18"/>
      <c r="K5040" s="18"/>
      <c r="L5040" s="18"/>
      <c r="M5040" s="18"/>
      <c r="N5040" s="18"/>
      <c r="O5040" s="18"/>
      <c r="P5040" s="18"/>
      <c r="Q5040" s="18"/>
    </row>
    <row r="5041" spans="1:17">
      <c r="A5041" s="18"/>
      <c r="B5041" s="18"/>
      <c r="C5041" s="18"/>
      <c r="D5041" s="18"/>
      <c r="E5041" s="18"/>
      <c r="F5041" s="18"/>
      <c r="G5041" s="18"/>
      <c r="H5041" s="18"/>
      <c r="I5041" s="18"/>
      <c r="J5041" s="18"/>
      <c r="K5041" s="18"/>
      <c r="L5041" s="18"/>
      <c r="M5041" s="18"/>
      <c r="N5041" s="18"/>
      <c r="O5041" s="18"/>
      <c r="P5041" s="18"/>
      <c r="Q5041" s="18"/>
    </row>
    <row r="5042" spans="1:17">
      <c r="A5042" s="18"/>
      <c r="B5042" s="18"/>
      <c r="C5042" s="18"/>
      <c r="D5042" s="18"/>
      <c r="E5042" s="18"/>
      <c r="F5042" s="18"/>
      <c r="G5042" s="18"/>
      <c r="H5042" s="18"/>
      <c r="I5042" s="18"/>
      <c r="J5042" s="18"/>
      <c r="K5042" s="18"/>
      <c r="L5042" s="18"/>
      <c r="M5042" s="18"/>
      <c r="N5042" s="18"/>
      <c r="O5042" s="18"/>
      <c r="P5042" s="18"/>
      <c r="Q5042" s="18"/>
    </row>
    <row r="5043" spans="1:17">
      <c r="A5043" s="18"/>
      <c r="B5043" s="18"/>
      <c r="C5043" s="273"/>
      <c r="D5043" s="273"/>
      <c r="E5043" s="273"/>
      <c r="F5043" s="273"/>
      <c r="G5043" s="273"/>
      <c r="H5043" s="273"/>
      <c r="I5043" s="18"/>
      <c r="J5043" s="18"/>
      <c r="K5043" s="18"/>
      <c r="L5043" s="18"/>
      <c r="M5043" s="18"/>
      <c r="N5043" s="18"/>
      <c r="O5043" s="18"/>
      <c r="P5043" s="18"/>
      <c r="Q5043" s="18"/>
    </row>
    <row r="5044" spans="1:17">
      <c r="A5044" s="18"/>
      <c r="B5044" s="18"/>
      <c r="C5044" s="273"/>
      <c r="D5044" s="273"/>
      <c r="E5044" s="273"/>
      <c r="F5044" s="273"/>
      <c r="G5044" s="273"/>
      <c r="H5044" s="273"/>
      <c r="I5044" s="18"/>
      <c r="J5044" s="18"/>
      <c r="K5044" s="18"/>
      <c r="L5044" s="18"/>
      <c r="M5044" s="18"/>
      <c r="N5044" s="18"/>
      <c r="O5044" s="18"/>
      <c r="P5044" s="18"/>
      <c r="Q5044" s="18"/>
    </row>
    <row r="5045" spans="1:17">
      <c r="A5045" s="18"/>
      <c r="B5045" s="18"/>
      <c r="C5045" s="273"/>
      <c r="D5045" s="273"/>
      <c r="E5045" s="273"/>
      <c r="F5045" s="273"/>
      <c r="G5045" s="273"/>
      <c r="H5045" s="273"/>
      <c r="I5045" s="18"/>
      <c r="J5045" s="18"/>
      <c r="K5045" s="18"/>
      <c r="L5045" s="18"/>
      <c r="M5045" s="18"/>
      <c r="N5045" s="18"/>
      <c r="O5045" s="18"/>
      <c r="P5045" s="18"/>
      <c r="Q5045" s="18"/>
    </row>
    <row r="5046" spans="1:17">
      <c r="A5046" s="18"/>
      <c r="B5046" s="18"/>
      <c r="C5046" s="273"/>
      <c r="D5046" s="273"/>
      <c r="E5046" s="273"/>
      <c r="F5046" s="273"/>
      <c r="G5046" s="273"/>
      <c r="H5046" s="273"/>
      <c r="I5046" s="18"/>
      <c r="J5046" s="18"/>
      <c r="K5046" s="18"/>
      <c r="L5046" s="18"/>
      <c r="M5046" s="18"/>
      <c r="N5046" s="18"/>
      <c r="O5046" s="18"/>
      <c r="P5046" s="18"/>
      <c r="Q5046" s="18"/>
    </row>
    <row r="5047" spans="1:17">
      <c r="A5047" s="18"/>
      <c r="B5047" s="18"/>
      <c r="C5047" s="273"/>
      <c r="D5047" s="273"/>
      <c r="E5047" s="273"/>
      <c r="F5047" s="273"/>
      <c r="G5047" s="273"/>
      <c r="H5047" s="273"/>
      <c r="I5047" s="18"/>
      <c r="J5047" s="18"/>
      <c r="K5047" s="18"/>
      <c r="L5047" s="18"/>
      <c r="M5047" s="18"/>
      <c r="N5047" s="18"/>
      <c r="O5047" s="18"/>
      <c r="P5047" s="18"/>
      <c r="Q5047" s="18"/>
    </row>
    <row r="5048" spans="1:17">
      <c r="A5048" s="18"/>
      <c r="B5048" s="18"/>
      <c r="C5048" s="273"/>
      <c r="D5048" s="273"/>
      <c r="E5048" s="273"/>
      <c r="F5048" s="273"/>
      <c r="G5048" s="273"/>
      <c r="H5048" s="273"/>
      <c r="I5048" s="18"/>
      <c r="J5048" s="18"/>
      <c r="K5048" s="18"/>
      <c r="L5048" s="18"/>
      <c r="M5048" s="18"/>
      <c r="N5048" s="18"/>
      <c r="O5048" s="18"/>
      <c r="P5048" s="18"/>
      <c r="Q5048" s="18"/>
    </row>
    <row r="5049" spans="1:17">
      <c r="A5049" s="18"/>
      <c r="B5049" s="18"/>
      <c r="C5049" s="273"/>
      <c r="D5049" s="273"/>
      <c r="E5049" s="273"/>
      <c r="F5049" s="273"/>
      <c r="G5049" s="273"/>
      <c r="H5049" s="273"/>
      <c r="I5049" s="18"/>
      <c r="J5049" s="18"/>
      <c r="K5049" s="18"/>
      <c r="L5049" s="18"/>
      <c r="M5049" s="18"/>
      <c r="N5049" s="18"/>
      <c r="O5049" s="18"/>
      <c r="P5049" s="18"/>
      <c r="Q5049" s="18"/>
    </row>
    <row r="5050" spans="1:17">
      <c r="A5050" s="18"/>
      <c r="B5050" s="18"/>
      <c r="C5050" s="273"/>
      <c r="D5050" s="273"/>
      <c r="E5050" s="273"/>
      <c r="F5050" s="273"/>
      <c r="G5050" s="273"/>
      <c r="H5050" s="273"/>
      <c r="I5050" s="18"/>
      <c r="J5050" s="18"/>
      <c r="K5050" s="18"/>
      <c r="L5050" s="18"/>
      <c r="M5050" s="18"/>
      <c r="N5050" s="18"/>
      <c r="O5050" s="18"/>
      <c r="P5050" s="18"/>
      <c r="Q5050" s="18"/>
    </row>
    <row r="5051" spans="1:17">
      <c r="A5051" s="18"/>
      <c r="B5051" s="18"/>
      <c r="C5051" s="18"/>
      <c r="D5051" s="18"/>
      <c r="E5051" s="18"/>
      <c r="F5051" s="18"/>
      <c r="G5051" s="18"/>
      <c r="H5051" s="18"/>
      <c r="I5051" s="18"/>
      <c r="J5051" s="18"/>
      <c r="K5051" s="18"/>
      <c r="L5051" s="18"/>
      <c r="M5051" s="18"/>
      <c r="N5051" s="18"/>
      <c r="O5051" s="18"/>
      <c r="P5051" s="18"/>
      <c r="Q5051" s="18"/>
    </row>
    <row r="5052" spans="1:17">
      <c r="A5052" s="18"/>
      <c r="B5052" s="18"/>
      <c r="C5052" s="18"/>
      <c r="D5052" s="18"/>
      <c r="E5052" s="18"/>
      <c r="F5052" s="18"/>
      <c r="G5052" s="18"/>
      <c r="H5052" s="18"/>
      <c r="I5052" s="18"/>
      <c r="J5052" s="18"/>
      <c r="K5052" s="18"/>
      <c r="L5052" s="18"/>
      <c r="M5052" s="18"/>
      <c r="N5052" s="18"/>
      <c r="O5052" s="18"/>
      <c r="P5052" s="18"/>
      <c r="Q5052" s="18"/>
    </row>
    <row r="5053" spans="1:17">
      <c r="A5053" s="18"/>
      <c r="B5053" s="18"/>
      <c r="C5053" s="18"/>
      <c r="D5053" s="18"/>
      <c r="E5053" s="18"/>
      <c r="F5053" s="18"/>
      <c r="G5053" s="18"/>
      <c r="H5053" s="18"/>
      <c r="I5053" s="18"/>
      <c r="J5053" s="18"/>
      <c r="K5053" s="18"/>
      <c r="L5053" s="18"/>
      <c r="M5053" s="18"/>
      <c r="N5053" s="18"/>
      <c r="O5053" s="18"/>
      <c r="P5053" s="18"/>
      <c r="Q5053" s="18"/>
    </row>
    <row r="5054" spans="1:17">
      <c r="A5054" s="18"/>
      <c r="B5054" s="18"/>
      <c r="C5054" s="18"/>
      <c r="D5054" s="18"/>
      <c r="E5054" s="18"/>
      <c r="F5054" s="18"/>
      <c r="G5054" s="18"/>
      <c r="H5054" s="18"/>
      <c r="I5054" s="18"/>
      <c r="J5054" s="18"/>
      <c r="K5054" s="18"/>
      <c r="L5054" s="18"/>
      <c r="M5054" s="18"/>
      <c r="N5054" s="18"/>
      <c r="O5054" s="18"/>
      <c r="P5054" s="18"/>
      <c r="Q5054" s="18"/>
    </row>
    <row r="5055" spans="1:17">
      <c r="A5055" s="18"/>
      <c r="B5055" s="18"/>
      <c r="C5055" s="18"/>
      <c r="D5055" s="18"/>
      <c r="E5055" s="18"/>
      <c r="F5055" s="18"/>
      <c r="G5055" s="18"/>
      <c r="H5055" s="18"/>
      <c r="I5055" s="18"/>
      <c r="J5055" s="18"/>
      <c r="K5055" s="18"/>
      <c r="L5055" s="18"/>
      <c r="M5055" s="18"/>
      <c r="N5055" s="18"/>
      <c r="O5055" s="18"/>
      <c r="P5055" s="18"/>
      <c r="Q5055" s="18"/>
    </row>
    <row r="5056" spans="1:17">
      <c r="A5056" s="18"/>
      <c r="B5056" s="18"/>
      <c r="C5056" s="18"/>
      <c r="D5056" s="18"/>
      <c r="E5056" s="18"/>
      <c r="F5056" s="18"/>
      <c r="G5056" s="18"/>
      <c r="H5056" s="18"/>
      <c r="I5056" s="18"/>
      <c r="J5056" s="18"/>
      <c r="K5056" s="18"/>
      <c r="L5056" s="18"/>
      <c r="M5056" s="18"/>
      <c r="N5056" s="18"/>
      <c r="O5056" s="18"/>
      <c r="P5056" s="18"/>
      <c r="Q5056" s="18"/>
    </row>
    <row r="5057" spans="1:17">
      <c r="A5057" s="18"/>
      <c r="B5057" s="18"/>
      <c r="C5057" s="18"/>
      <c r="D5057" s="18"/>
      <c r="E5057" s="18"/>
      <c r="F5057" s="18"/>
      <c r="G5057" s="18"/>
      <c r="H5057" s="18"/>
      <c r="I5057" s="18"/>
      <c r="J5057" s="18"/>
      <c r="K5057" s="18"/>
      <c r="L5057" s="18"/>
      <c r="M5057" s="18"/>
      <c r="N5057" s="18"/>
      <c r="O5057" s="18"/>
      <c r="P5057" s="18"/>
      <c r="Q5057" s="18"/>
    </row>
    <row r="5058" spans="1:17">
      <c r="A5058" s="18"/>
      <c r="B5058" s="18"/>
      <c r="C5058" s="18"/>
      <c r="D5058" s="18"/>
      <c r="E5058" s="18"/>
      <c r="F5058" s="18"/>
      <c r="G5058" s="18"/>
      <c r="H5058" s="18"/>
      <c r="I5058" s="18"/>
      <c r="J5058" s="18"/>
      <c r="K5058" s="18"/>
      <c r="L5058" s="18"/>
      <c r="M5058" s="18"/>
      <c r="N5058" s="18"/>
      <c r="O5058" s="18"/>
      <c r="P5058" s="18"/>
      <c r="Q5058" s="18"/>
    </row>
    <row r="5059" spans="1:17">
      <c r="A5059" s="18"/>
      <c r="B5059" s="18"/>
      <c r="C5059" s="18"/>
      <c r="D5059" s="18"/>
      <c r="E5059" s="18"/>
      <c r="F5059" s="18"/>
      <c r="G5059" s="18"/>
      <c r="H5059" s="18"/>
      <c r="I5059" s="18"/>
      <c r="J5059" s="18"/>
      <c r="K5059" s="18"/>
      <c r="L5059" s="18"/>
      <c r="M5059" s="18"/>
      <c r="N5059" s="18"/>
      <c r="O5059" s="18"/>
      <c r="P5059" s="18"/>
      <c r="Q5059" s="18"/>
    </row>
    <row r="5060" spans="1:17">
      <c r="A5060" s="18"/>
      <c r="B5060" s="18"/>
      <c r="C5060" s="18"/>
      <c r="D5060" s="18"/>
      <c r="E5060" s="18"/>
      <c r="F5060" s="18"/>
      <c r="G5060" s="18"/>
      <c r="H5060" s="18"/>
      <c r="I5060" s="18"/>
      <c r="J5060" s="18"/>
      <c r="K5060" s="18"/>
      <c r="L5060" s="18"/>
      <c r="M5060" s="18"/>
      <c r="N5060" s="18"/>
      <c r="O5060" s="18"/>
      <c r="P5060" s="18"/>
      <c r="Q5060" s="18"/>
    </row>
    <row r="5061" spans="1:17">
      <c r="A5061" s="18"/>
      <c r="B5061" s="18"/>
      <c r="C5061" s="18"/>
      <c r="D5061" s="18"/>
      <c r="E5061" s="18"/>
      <c r="F5061" s="18"/>
      <c r="G5061" s="18"/>
      <c r="H5061" s="18"/>
      <c r="I5061" s="18"/>
      <c r="J5061" s="18"/>
      <c r="K5061" s="18"/>
      <c r="L5061" s="18"/>
      <c r="M5061" s="18"/>
      <c r="N5061" s="18"/>
      <c r="O5061" s="18"/>
      <c r="P5061" s="18"/>
      <c r="Q5061" s="18"/>
    </row>
    <row r="5062" spans="1:17">
      <c r="A5062" s="18"/>
      <c r="B5062" s="18"/>
      <c r="C5062" s="18"/>
      <c r="D5062" s="18"/>
      <c r="E5062" s="18"/>
      <c r="F5062" s="18"/>
      <c r="G5062" s="18"/>
      <c r="H5062" s="18"/>
      <c r="I5062" s="18"/>
      <c r="J5062" s="18"/>
      <c r="K5062" s="18"/>
      <c r="L5062" s="18"/>
      <c r="M5062" s="18"/>
      <c r="N5062" s="18"/>
      <c r="O5062" s="18"/>
      <c r="P5062" s="18"/>
      <c r="Q5062" s="18"/>
    </row>
    <row r="5063" spans="1:17">
      <c r="A5063" s="18"/>
      <c r="B5063" s="18"/>
      <c r="C5063" s="18"/>
      <c r="D5063" s="18"/>
      <c r="E5063" s="18"/>
      <c r="F5063" s="18"/>
      <c r="G5063" s="18"/>
      <c r="H5063" s="18"/>
      <c r="I5063" s="18"/>
      <c r="J5063" s="18"/>
      <c r="K5063" s="18"/>
      <c r="L5063" s="18"/>
      <c r="M5063" s="18"/>
      <c r="N5063" s="18"/>
      <c r="O5063" s="18"/>
      <c r="P5063" s="18"/>
      <c r="Q5063" s="18"/>
    </row>
    <row r="5064" spans="1:17">
      <c r="A5064" s="18"/>
      <c r="B5064" s="18"/>
      <c r="C5064" s="18"/>
      <c r="D5064" s="18"/>
      <c r="E5064" s="18"/>
      <c r="F5064" s="18"/>
      <c r="G5064" s="18"/>
      <c r="H5064" s="18"/>
      <c r="I5064" s="18"/>
      <c r="J5064" s="18"/>
      <c r="K5064" s="18"/>
      <c r="L5064" s="18"/>
      <c r="M5064" s="18"/>
      <c r="N5064" s="18"/>
      <c r="O5064" s="18"/>
      <c r="P5064" s="18"/>
      <c r="Q5064" s="18"/>
    </row>
  </sheetData>
  <mergeCells count="3">
    <mergeCell ref="B610:C610"/>
    <mergeCell ref="D610:E610"/>
    <mergeCell ref="F610:G610"/>
  </mergeCells>
  <phoneticPr fontId="104" type="noConversion"/>
  <pageMargins left="0.75" right="0.75" top="1" bottom="1" header="0.5" footer="0.5"/>
  <pageSetup paperSize="9" scale="8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55"/>
  </sheetPr>
  <dimension ref="A1:DK1188"/>
  <sheetViews>
    <sheetView zoomScale="90" zoomScaleNormal="90" workbookViewId="0">
      <pane xSplit="4" ySplit="2" topLeftCell="BK761" activePane="bottomRight" state="frozen"/>
      <selection activeCell="V42" sqref="V42"/>
      <selection pane="topRight" activeCell="V42" sqref="V42"/>
      <selection pane="bottomLeft" activeCell="V42" sqref="V42"/>
      <selection pane="bottomRight" activeCell="BP764" sqref="BP764"/>
    </sheetView>
  </sheetViews>
  <sheetFormatPr defaultRowHeight="15.75"/>
  <cols>
    <col min="1" max="1" width="20.5703125" style="1" hidden="1" customWidth="1"/>
    <col min="2" max="2" width="27.85546875" style="25" customWidth="1"/>
    <col min="3" max="3" width="8.28515625" style="1" customWidth="1"/>
    <col min="4" max="4" width="5.42578125" style="1" customWidth="1"/>
    <col min="5" max="38" width="0.42578125" style="1" customWidth="1"/>
    <col min="39" max="51" width="10.42578125" style="1" customWidth="1"/>
    <col min="52" max="53" width="12.140625" style="1" customWidth="1"/>
    <col min="54" max="54" width="11.85546875" style="1" customWidth="1"/>
    <col min="55" max="56" width="13.7109375" style="1" customWidth="1"/>
    <col min="57" max="57" width="14.7109375" style="1" customWidth="1"/>
    <col min="58" max="58" width="14.5703125" style="285" customWidth="1"/>
    <col min="59" max="59" width="15.7109375" style="285" customWidth="1"/>
    <col min="60" max="64" width="15.7109375" style="1" customWidth="1"/>
    <col min="65" max="65" width="15.140625" style="1" customWidth="1"/>
    <col min="66" max="69" width="15.28515625" style="1" customWidth="1"/>
    <col min="70" max="70" width="14" style="1" customWidth="1"/>
    <col min="71" max="82" width="13.5703125" style="1" customWidth="1"/>
    <col min="83" max="83" width="6.85546875" style="1" customWidth="1"/>
    <col min="84" max="85" width="20.140625" style="1" customWidth="1"/>
    <col min="86" max="90" width="9.140625" style="1"/>
    <col min="91" max="91" width="17.140625" style="1" customWidth="1"/>
    <col min="92" max="16384" width="9.140625" style="1"/>
  </cols>
  <sheetData>
    <row r="1" spans="2:115" s="511" customFormat="1">
      <c r="B1" s="511" t="s">
        <v>2044</v>
      </c>
      <c r="AW1" s="511" t="s">
        <v>232</v>
      </c>
      <c r="AY1" s="511" t="s">
        <v>155</v>
      </c>
      <c r="BB1" s="511" t="s">
        <v>3167</v>
      </c>
      <c r="BC1" s="511" t="s">
        <v>1805</v>
      </c>
      <c r="BE1" s="511" t="s">
        <v>4087</v>
      </c>
      <c r="BF1" s="512" t="s">
        <v>3035</v>
      </c>
      <c r="BG1" s="512"/>
      <c r="BM1" s="883" t="s">
        <v>4242</v>
      </c>
      <c r="CH1" s="511" t="s">
        <v>3480</v>
      </c>
      <c r="CM1" s="513"/>
      <c r="CP1" s="511" t="s">
        <v>1298</v>
      </c>
      <c r="CX1" s="511" t="s">
        <v>1297</v>
      </c>
      <c r="DF1" s="511" t="s">
        <v>3481</v>
      </c>
    </row>
    <row r="2" spans="2:115" s="16" customFormat="1">
      <c r="B2" s="148" t="s">
        <v>1441</v>
      </c>
      <c r="C2" s="9" t="s">
        <v>4002</v>
      </c>
      <c r="D2" s="9" t="s">
        <v>48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>
        <v>1990</v>
      </c>
      <c r="AQ2" s="9">
        <f>AP2+1</f>
        <v>1991</v>
      </c>
      <c r="AR2" s="9">
        <f>AQ2+1</f>
        <v>1992</v>
      </c>
      <c r="AS2" s="9">
        <f>AR2+1</f>
        <v>1993</v>
      </c>
      <c r="AT2" s="9">
        <f>AS2+1</f>
        <v>1994</v>
      </c>
      <c r="AU2" s="9">
        <f>AT2+1</f>
        <v>1995</v>
      </c>
      <c r="AV2" s="9">
        <v>1996</v>
      </c>
      <c r="AW2" s="9">
        <v>1997</v>
      </c>
      <c r="AX2" s="9">
        <v>1998</v>
      </c>
      <c r="AY2" s="9">
        <v>1999</v>
      </c>
      <c r="AZ2" s="9">
        <v>2000</v>
      </c>
      <c r="BA2" s="9">
        <f t="shared" ref="BA2:BS2" si="0">AZ2+1</f>
        <v>2001</v>
      </c>
      <c r="BB2" s="9">
        <f t="shared" si="0"/>
        <v>2002</v>
      </c>
      <c r="BC2" s="9">
        <f>BB2+1</f>
        <v>2003</v>
      </c>
      <c r="BD2" s="9">
        <f t="shared" si="0"/>
        <v>2004</v>
      </c>
      <c r="BE2" s="9">
        <f t="shared" si="0"/>
        <v>2005</v>
      </c>
      <c r="BF2" s="279">
        <f t="shared" si="0"/>
        <v>2006</v>
      </c>
      <c r="BG2" s="279">
        <f t="shared" si="0"/>
        <v>2007</v>
      </c>
      <c r="BH2" s="9">
        <f>BG2+1</f>
        <v>2008</v>
      </c>
      <c r="BI2" s="9">
        <f t="shared" si="0"/>
        <v>2009</v>
      </c>
      <c r="BJ2" s="9">
        <f t="shared" si="0"/>
        <v>2010</v>
      </c>
      <c r="BK2" s="9">
        <f t="shared" si="0"/>
        <v>2011</v>
      </c>
      <c r="BL2" s="9">
        <f t="shared" si="0"/>
        <v>2012</v>
      </c>
      <c r="BM2" s="9">
        <f t="shared" si="0"/>
        <v>2013</v>
      </c>
      <c r="BN2" s="9">
        <f t="shared" si="0"/>
        <v>2014</v>
      </c>
      <c r="BO2" s="9">
        <f t="shared" si="0"/>
        <v>2015</v>
      </c>
      <c r="BP2" s="9">
        <f t="shared" si="0"/>
        <v>2016</v>
      </c>
      <c r="BQ2" s="9">
        <f t="shared" si="0"/>
        <v>2017</v>
      </c>
      <c r="BR2" s="9">
        <f t="shared" si="0"/>
        <v>2018</v>
      </c>
      <c r="BS2" s="9">
        <f t="shared" si="0"/>
        <v>2019</v>
      </c>
      <c r="BT2" s="9">
        <f t="shared" ref="BT2:CD2" si="1">BS2+1</f>
        <v>2020</v>
      </c>
      <c r="BU2" s="9">
        <f t="shared" si="1"/>
        <v>2021</v>
      </c>
      <c r="BV2" s="9">
        <f t="shared" si="1"/>
        <v>2022</v>
      </c>
      <c r="BW2" s="9">
        <f t="shared" si="1"/>
        <v>2023</v>
      </c>
      <c r="BX2" s="9">
        <f t="shared" si="1"/>
        <v>2024</v>
      </c>
      <c r="BY2" s="9">
        <f t="shared" si="1"/>
        <v>2025</v>
      </c>
      <c r="BZ2" s="9">
        <f t="shared" si="1"/>
        <v>2026</v>
      </c>
      <c r="CA2" s="9">
        <f t="shared" si="1"/>
        <v>2027</v>
      </c>
      <c r="CB2" s="9">
        <f t="shared" si="1"/>
        <v>2028</v>
      </c>
      <c r="CC2" s="9">
        <f t="shared" si="1"/>
        <v>2029</v>
      </c>
      <c r="CD2" s="9">
        <f t="shared" si="1"/>
        <v>2030</v>
      </c>
      <c r="CE2" s="388"/>
      <c r="CF2" s="388"/>
      <c r="CG2" s="388"/>
      <c r="CH2" s="16">
        <v>2010</v>
      </c>
      <c r="CI2" s="16">
        <v>2011</v>
      </c>
      <c r="CJ2" s="16">
        <v>2012</v>
      </c>
      <c r="CK2" s="16">
        <v>2013</v>
      </c>
      <c r="CL2" s="16">
        <v>2014</v>
      </c>
      <c r="CM2" s="476">
        <f>CL2+1</f>
        <v>2015</v>
      </c>
      <c r="CO2" s="16">
        <v>2009</v>
      </c>
      <c r="CP2" s="16">
        <v>2010</v>
      </c>
      <c r="CQ2" s="16">
        <v>2011</v>
      </c>
      <c r="CR2" s="16">
        <v>2012</v>
      </c>
      <c r="CS2" s="16">
        <v>2013</v>
      </c>
      <c r="CT2" s="16">
        <v>2014</v>
      </c>
      <c r="CU2" s="16">
        <v>2015</v>
      </c>
      <c r="CW2" s="16">
        <v>2009</v>
      </c>
      <c r="CX2" s="16">
        <v>2010</v>
      </c>
      <c r="CY2" s="16">
        <v>2011</v>
      </c>
      <c r="CZ2" s="16">
        <v>2012</v>
      </c>
      <c r="DA2" s="16">
        <v>2013</v>
      </c>
      <c r="DB2" s="16">
        <v>2014</v>
      </c>
      <c r="DC2" s="16">
        <v>2015</v>
      </c>
      <c r="DE2" s="16">
        <v>2009</v>
      </c>
      <c r="DF2" s="16">
        <v>2010</v>
      </c>
      <c r="DG2" s="16">
        <v>2011</v>
      </c>
      <c r="DH2" s="16">
        <v>2012</v>
      </c>
      <c r="DI2" s="16">
        <v>2013</v>
      </c>
      <c r="DJ2" s="16">
        <v>2014</v>
      </c>
      <c r="DK2" s="16">
        <v>2015</v>
      </c>
    </row>
    <row r="3" spans="2:115" s="410" customFormat="1" ht="14.25" customHeight="1">
      <c r="B3" s="516" t="s">
        <v>4402</v>
      </c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6"/>
      <c r="AA3" s="516"/>
      <c r="AB3" s="516"/>
      <c r="AC3" s="516"/>
      <c r="AD3" s="516"/>
      <c r="AE3" s="516"/>
      <c r="AF3" s="516"/>
      <c r="AG3" s="516"/>
      <c r="AH3" s="516"/>
      <c r="AI3" s="516"/>
      <c r="AJ3" s="516"/>
      <c r="AK3" s="516"/>
      <c r="AL3" s="516"/>
      <c r="AM3" s="516"/>
      <c r="AN3" s="516"/>
      <c r="AO3" s="516"/>
      <c r="AP3" s="516"/>
      <c r="AQ3" s="516"/>
      <c r="AR3" s="516"/>
      <c r="AS3" s="516"/>
      <c r="AT3" s="516"/>
      <c r="AU3" s="516"/>
      <c r="BB3" s="410" t="s">
        <v>818</v>
      </c>
      <c r="BF3" s="465"/>
      <c r="BG3" s="465"/>
    </row>
    <row r="4" spans="2:115" ht="14.25" customHeight="1">
      <c r="B4" s="118" t="s">
        <v>504</v>
      </c>
      <c r="C4" s="1" t="s">
        <v>4465</v>
      </c>
      <c r="AV4" s="2">
        <v>86750</v>
      </c>
      <c r="AW4" s="2">
        <v>86200</v>
      </c>
      <c r="AX4" s="2">
        <v>87115</v>
      </c>
      <c r="AY4" s="2">
        <v>85090</v>
      </c>
      <c r="AZ4" s="266">
        <v>86450</v>
      </c>
      <c r="BA4" s="266">
        <v>85895</v>
      </c>
      <c r="BB4" s="266">
        <v>85.875</v>
      </c>
      <c r="BC4" s="266">
        <v>88.64</v>
      </c>
      <c r="BD4" s="266">
        <v>91.424999999999997</v>
      </c>
      <c r="BF4" s="307"/>
      <c r="BG4" s="307"/>
      <c r="BH4" s="25"/>
      <c r="BU4" s="40">
        <f t="shared" ref="BU4:BU40" si="2">BT4</f>
        <v>0</v>
      </c>
      <c r="BV4" s="40">
        <f t="shared" ref="BV4:CD4" si="3">BU4</f>
        <v>0</v>
      </c>
      <c r="BW4" s="40">
        <f t="shared" si="3"/>
        <v>0</v>
      </c>
      <c r="BX4" s="40">
        <f t="shared" si="3"/>
        <v>0</v>
      </c>
      <c r="BY4" s="40">
        <f t="shared" si="3"/>
        <v>0</v>
      </c>
      <c r="BZ4" s="40">
        <f t="shared" si="3"/>
        <v>0</v>
      </c>
      <c r="CA4" s="40">
        <f t="shared" si="3"/>
        <v>0</v>
      </c>
      <c r="CB4" s="40">
        <f t="shared" si="3"/>
        <v>0</v>
      </c>
      <c r="CC4" s="40">
        <f t="shared" si="3"/>
        <v>0</v>
      </c>
      <c r="CD4" s="40">
        <f t="shared" si="3"/>
        <v>0</v>
      </c>
    </row>
    <row r="5" spans="2:115" s="25" customFormat="1" ht="14.25" customHeight="1">
      <c r="B5" s="118" t="s">
        <v>1804</v>
      </c>
      <c r="AV5" s="2">
        <v>32700</v>
      </c>
      <c r="AW5" s="2">
        <v>32725</v>
      </c>
      <c r="AX5" s="2">
        <v>33649</v>
      </c>
      <c r="AY5" s="2">
        <v>33533</v>
      </c>
      <c r="AZ5" s="2">
        <v>34206</v>
      </c>
      <c r="BA5" s="2">
        <v>34928</v>
      </c>
      <c r="BF5" s="307"/>
      <c r="BG5" s="307"/>
      <c r="BU5" s="40">
        <f t="shared" si="2"/>
        <v>0</v>
      </c>
      <c r="BV5" s="40">
        <f t="shared" ref="BV5:CD5" si="4">BU5</f>
        <v>0</v>
      </c>
      <c r="BW5" s="40">
        <f t="shared" si="4"/>
        <v>0</v>
      </c>
      <c r="BX5" s="40">
        <f t="shared" si="4"/>
        <v>0</v>
      </c>
      <c r="BY5" s="40">
        <f t="shared" si="4"/>
        <v>0</v>
      </c>
      <c r="BZ5" s="40">
        <f t="shared" si="4"/>
        <v>0</v>
      </c>
      <c r="CA5" s="40">
        <f t="shared" si="4"/>
        <v>0</v>
      </c>
      <c r="CB5" s="40">
        <f t="shared" si="4"/>
        <v>0</v>
      </c>
      <c r="CC5" s="40">
        <f t="shared" si="4"/>
        <v>0</v>
      </c>
      <c r="CD5" s="40">
        <f t="shared" si="4"/>
        <v>0</v>
      </c>
    </row>
    <row r="6" spans="2:115" ht="14.25" customHeight="1">
      <c r="B6" s="118" t="s">
        <v>4401</v>
      </c>
      <c r="C6" s="1" t="s">
        <v>4465</v>
      </c>
      <c r="D6" s="1" t="s">
        <v>1771</v>
      </c>
      <c r="AV6" s="266">
        <f>+AV5*AW6/AW5</f>
        <v>34072.486257443874</v>
      </c>
      <c r="AW6" s="266">
        <f>+AW5*AX6/AX5</f>
        <v>34098.535558863943</v>
      </c>
      <c r="AX6" s="266">
        <f>+AX5*AY6/AY5</f>
        <v>35061.317739349513</v>
      </c>
      <c r="AY6" s="266">
        <f>+AY5*AZ6/AZ5</f>
        <v>34940.448980760419</v>
      </c>
      <c r="AZ6" s="266">
        <f>+AZ5*BA6/BA5</f>
        <v>35641.696174988545</v>
      </c>
      <c r="BA6" s="266">
        <v>36394</v>
      </c>
      <c r="BB6" s="2">
        <v>36.761000000000003</v>
      </c>
      <c r="BC6" s="2">
        <v>36.808</v>
      </c>
      <c r="BD6" s="2">
        <v>37.073999999999998</v>
      </c>
      <c r="BE6" s="2">
        <v>37.726999999999997</v>
      </c>
      <c r="BF6" s="517">
        <v>38.726999999999997</v>
      </c>
      <c r="BG6" s="517">
        <v>38.854999999999997</v>
      </c>
      <c r="BH6" s="2">
        <v>38.131999999999998</v>
      </c>
      <c r="BI6" s="467">
        <v>38.875</v>
      </c>
      <c r="BJ6" s="1">
        <v>40.085999999999999</v>
      </c>
      <c r="BK6" s="1">
        <v>40.424999999999997</v>
      </c>
      <c r="BL6" s="1">
        <v>40.89</v>
      </c>
      <c r="BM6" s="1">
        <v>40.89</v>
      </c>
      <c r="BN6" s="1">
        <v>43</v>
      </c>
      <c r="BO6" s="1">
        <v>48</v>
      </c>
      <c r="BP6" s="1111">
        <f>BO6</f>
        <v>48</v>
      </c>
      <c r="BQ6" s="1111">
        <f>BP6</f>
        <v>48</v>
      </c>
      <c r="BR6" s="1111">
        <f>BQ6</f>
        <v>48</v>
      </c>
      <c r="BS6" s="1111">
        <f>BR6</f>
        <v>48</v>
      </c>
      <c r="BU6" s="40">
        <f t="shared" si="2"/>
        <v>0</v>
      </c>
      <c r="BV6" s="40">
        <f t="shared" ref="BV6:CD6" si="5">BU6</f>
        <v>0</v>
      </c>
      <c r="BW6" s="40">
        <f t="shared" si="5"/>
        <v>0</v>
      </c>
      <c r="BX6" s="40">
        <f t="shared" si="5"/>
        <v>0</v>
      </c>
      <c r="BY6" s="40">
        <f t="shared" si="5"/>
        <v>0</v>
      </c>
      <c r="BZ6" s="40">
        <f t="shared" si="5"/>
        <v>0</v>
      </c>
      <c r="CA6" s="40">
        <f t="shared" si="5"/>
        <v>0</v>
      </c>
      <c r="CB6" s="40">
        <f t="shared" si="5"/>
        <v>0</v>
      </c>
      <c r="CC6" s="40">
        <f t="shared" si="5"/>
        <v>0</v>
      </c>
      <c r="CD6" s="40">
        <f t="shared" si="5"/>
        <v>0</v>
      </c>
    </row>
    <row r="7" spans="2:115" ht="14.25" customHeight="1">
      <c r="B7" s="118" t="s">
        <v>976</v>
      </c>
      <c r="C7" s="1" t="s">
        <v>4465</v>
      </c>
      <c r="D7" s="1" t="s">
        <v>1770</v>
      </c>
      <c r="AV7" s="1">
        <f t="shared" ref="AV7:BB7" si="6">AV4-AV6</f>
        <v>52677.513742556126</v>
      </c>
      <c r="AW7" s="1">
        <f t="shared" si="6"/>
        <v>52101.464441136057</v>
      </c>
      <c r="AX7" s="1">
        <f t="shared" si="6"/>
        <v>52053.682260650487</v>
      </c>
      <c r="AY7" s="1">
        <f t="shared" si="6"/>
        <v>50149.551019239581</v>
      </c>
      <c r="AZ7" s="1">
        <f t="shared" si="6"/>
        <v>50808.303825011455</v>
      </c>
      <c r="BA7" s="1">
        <f t="shared" si="6"/>
        <v>49501</v>
      </c>
      <c r="BB7" s="1">
        <f t="shared" si="6"/>
        <v>49.113999999999997</v>
      </c>
      <c r="BC7" s="1">
        <f>BC4-BC6</f>
        <v>51.832000000000001</v>
      </c>
      <c r="BD7" s="2">
        <v>55.411000000000001</v>
      </c>
      <c r="BE7" s="2">
        <v>79.652000000000015</v>
      </c>
      <c r="BF7" s="2">
        <v>80.521999999999991</v>
      </c>
      <c r="BG7" s="2">
        <v>84.941000000000003</v>
      </c>
      <c r="BH7" s="2">
        <v>88.542000000000002</v>
      </c>
      <c r="BI7" s="2">
        <v>88.412999999999997</v>
      </c>
      <c r="BJ7" s="1">
        <v>91.263999999999996</v>
      </c>
      <c r="BK7" s="1">
        <v>94.003684033334153</v>
      </c>
      <c r="BL7" s="1">
        <v>96.762506714418421</v>
      </c>
      <c r="BM7" s="1">
        <v>98.422891778866088</v>
      </c>
      <c r="BN7" s="1">
        <v>99.617462666365299</v>
      </c>
      <c r="BO7" s="1">
        <v>100.65804183007168</v>
      </c>
      <c r="BP7" s="1">
        <v>101.72660306131706</v>
      </c>
      <c r="BQ7" s="1">
        <v>69.98</v>
      </c>
      <c r="BR7" s="1">
        <v>70.64</v>
      </c>
      <c r="BS7" s="1">
        <v>71.8</v>
      </c>
      <c r="BT7" s="1">
        <v>73.239999999999995</v>
      </c>
      <c r="BU7" s="40">
        <f t="shared" si="2"/>
        <v>73.239999999999995</v>
      </c>
      <c r="BV7" s="40">
        <f t="shared" ref="BV7:CD7" si="7">BU7</f>
        <v>73.239999999999995</v>
      </c>
      <c r="BW7" s="40">
        <f t="shared" si="7"/>
        <v>73.239999999999995</v>
      </c>
      <c r="BX7" s="40">
        <f t="shared" si="7"/>
        <v>73.239999999999995</v>
      </c>
      <c r="BY7" s="40">
        <f t="shared" si="7"/>
        <v>73.239999999999995</v>
      </c>
      <c r="BZ7" s="40">
        <f t="shared" si="7"/>
        <v>73.239999999999995</v>
      </c>
      <c r="CA7" s="40">
        <f t="shared" si="7"/>
        <v>73.239999999999995</v>
      </c>
      <c r="CB7" s="40">
        <f t="shared" si="7"/>
        <v>73.239999999999995</v>
      </c>
      <c r="CC7" s="40">
        <f t="shared" si="7"/>
        <v>73.239999999999995</v>
      </c>
      <c r="CD7" s="40">
        <f t="shared" si="7"/>
        <v>73.239999999999995</v>
      </c>
    </row>
    <row r="8" spans="2:115" ht="14.25" customHeight="1">
      <c r="B8" s="118" t="s">
        <v>1963</v>
      </c>
      <c r="C8" s="1" t="s">
        <v>2219</v>
      </c>
      <c r="D8" s="1" t="s">
        <v>2767</v>
      </c>
      <c r="AW8" s="2">
        <v>2610</v>
      </c>
      <c r="AX8" s="2">
        <v>2343</v>
      </c>
      <c r="AY8" s="2">
        <v>1843</v>
      </c>
      <c r="AZ8" s="2">
        <v>1785</v>
      </c>
      <c r="BA8" s="2">
        <v>1501</v>
      </c>
      <c r="BB8" s="2">
        <v>1461</v>
      </c>
      <c r="BC8" s="2">
        <v>1424</v>
      </c>
      <c r="BD8" s="2">
        <v>1410</v>
      </c>
      <c r="BF8" s="285">
        <v>1336</v>
      </c>
      <c r="BG8" s="285">
        <v>1164</v>
      </c>
      <c r="BH8" s="1">
        <v>1174</v>
      </c>
      <c r="BI8" s="1">
        <v>925</v>
      </c>
      <c r="BJ8" s="1">
        <v>922</v>
      </c>
      <c r="BK8" s="1">
        <v>952</v>
      </c>
      <c r="BL8" s="1">
        <f>896+1280-1280</f>
        <v>896</v>
      </c>
      <c r="BM8" s="1">
        <f>729+786-786</f>
        <v>729</v>
      </c>
      <c r="BN8" s="1">
        <f>938+1853-1853</f>
        <v>938</v>
      </c>
      <c r="BO8" s="1">
        <v>2752</v>
      </c>
      <c r="BP8" s="1">
        <v>2752</v>
      </c>
      <c r="BU8" s="40">
        <f t="shared" si="2"/>
        <v>0</v>
      </c>
      <c r="BV8" s="40">
        <f t="shared" ref="BV8:CD8" si="8">BU8</f>
        <v>0</v>
      </c>
      <c r="BW8" s="40">
        <f t="shared" si="8"/>
        <v>0</v>
      </c>
      <c r="BX8" s="40">
        <f t="shared" si="8"/>
        <v>0</v>
      </c>
      <c r="BY8" s="40">
        <f t="shared" si="8"/>
        <v>0</v>
      </c>
      <c r="BZ8" s="40">
        <f t="shared" si="8"/>
        <v>0</v>
      </c>
      <c r="CA8" s="40">
        <f t="shared" si="8"/>
        <v>0</v>
      </c>
      <c r="CB8" s="40">
        <f t="shared" si="8"/>
        <v>0</v>
      </c>
      <c r="CC8" s="40">
        <f t="shared" si="8"/>
        <v>0</v>
      </c>
      <c r="CD8" s="40">
        <f t="shared" si="8"/>
        <v>0</v>
      </c>
      <c r="CM8" s="1">
        <f>938+1853-1853</f>
        <v>938</v>
      </c>
    </row>
    <row r="9" spans="2:115" ht="14.25" customHeight="1">
      <c r="B9" s="118" t="s">
        <v>3620</v>
      </c>
      <c r="C9" s="1" t="s">
        <v>3621</v>
      </c>
      <c r="D9" s="1" t="s">
        <v>3622</v>
      </c>
      <c r="AW9" s="2"/>
      <c r="AX9" s="2"/>
      <c r="AY9" s="2"/>
      <c r="AZ9" s="2"/>
      <c r="BA9" s="2"/>
      <c r="BB9" s="2"/>
      <c r="BC9" s="2"/>
      <c r="BD9" s="2"/>
      <c r="BL9" s="1">
        <v>541.63799999999992</v>
      </c>
      <c r="BM9" s="1">
        <v>549.47965433167292</v>
      </c>
      <c r="BN9" s="1">
        <v>557.57754328219391</v>
      </c>
      <c r="BO9" s="1">
        <v>565.9429013353282</v>
      </c>
      <c r="BP9" s="1">
        <v>574.58756342722461</v>
      </c>
      <c r="BQ9" s="1">
        <v>583.524</v>
      </c>
      <c r="BR9" s="1">
        <v>591.61559984969927</v>
      </c>
      <c r="BS9" s="1">
        <v>599.88779395284018</v>
      </c>
      <c r="BT9" s="1">
        <v>608.34565460973442</v>
      </c>
      <c r="BU9" s="40">
        <v>616.99441997491442</v>
      </c>
      <c r="BV9" s="40">
        <v>625.83950000000004</v>
      </c>
      <c r="BW9" s="40">
        <v>633.40616847257672</v>
      </c>
      <c r="BX9" s="40">
        <v>641.13524371775554</v>
      </c>
      <c r="BY9" s="40">
        <v>649.03106502287972</v>
      </c>
      <c r="BZ9" s="40">
        <v>657.09811010547378</v>
      </c>
      <c r="CA9" s="40">
        <v>665.34100000000001</v>
      </c>
      <c r="CB9" s="40">
        <v>672.41381013928253</v>
      </c>
      <c r="CC9" s="40">
        <v>679.63212332710998</v>
      </c>
      <c r="CD9" s="40">
        <v>686.99957430269126</v>
      </c>
    </row>
    <row r="10" spans="2:115" ht="14.25" customHeight="1">
      <c r="B10" s="118" t="s">
        <v>3623</v>
      </c>
      <c r="C10" s="1" t="s">
        <v>3624</v>
      </c>
      <c r="D10" s="1" t="s">
        <v>3625</v>
      </c>
      <c r="AW10" s="2"/>
      <c r="AX10" s="2"/>
      <c r="AY10" s="2"/>
      <c r="AZ10" s="2"/>
      <c r="BA10" s="2"/>
      <c r="BB10" s="2"/>
      <c r="BC10" s="2"/>
      <c r="BD10" s="2"/>
      <c r="BL10" s="1">
        <v>353.6617604130476</v>
      </c>
      <c r="BM10" s="1">
        <v>359.48504532119949</v>
      </c>
      <c r="BN10" s="1">
        <v>365.49202636061705</v>
      </c>
      <c r="BO10" s="1">
        <v>371.69100666671352</v>
      </c>
      <c r="BP10" s="1">
        <v>378.09074827681087</v>
      </c>
      <c r="BQ10" s="1">
        <v>384.70049999999998</v>
      </c>
      <c r="BR10" s="1">
        <v>389.84382409505656</v>
      </c>
      <c r="BS10" s="1">
        <v>395.08433270532231</v>
      </c>
      <c r="BT10" s="1">
        <v>400.42434723437577</v>
      </c>
      <c r="BU10" s="40">
        <v>405.86625277390846</v>
      </c>
      <c r="BV10" s="40">
        <v>411.41250000000002</v>
      </c>
      <c r="BW10" s="40">
        <v>415.7657796162552</v>
      </c>
      <c r="BX10" s="40">
        <v>420.18751886019936</v>
      </c>
      <c r="BY10" s="40">
        <v>424.67910184102004</v>
      </c>
      <c r="BZ10" s="40">
        <v>429.24194540696533</v>
      </c>
      <c r="CA10" s="40">
        <v>433.8775</v>
      </c>
      <c r="CB10" s="40">
        <v>438.22247806508369</v>
      </c>
      <c r="CC10" s="40">
        <v>442.62783336620646</v>
      </c>
      <c r="CD10" s="40">
        <v>447.09458974302981</v>
      </c>
    </row>
    <row r="11" spans="2:115" ht="14.25" customHeight="1">
      <c r="B11" s="118" t="s">
        <v>207</v>
      </c>
      <c r="C11" s="1" t="s">
        <v>818</v>
      </c>
      <c r="D11" s="118" t="s">
        <v>4539</v>
      </c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2">
        <v>439.74299999999999</v>
      </c>
      <c r="AW11" s="2">
        <v>445.64699999999999</v>
      </c>
      <c r="AX11" s="2">
        <v>451.62900000000002</v>
      </c>
      <c r="AY11" s="2">
        <v>457.69200000000001</v>
      </c>
      <c r="AZ11" s="2">
        <v>463.83699999999999</v>
      </c>
      <c r="BA11" s="31">
        <v>470.06400000000002</v>
      </c>
      <c r="BB11" s="31">
        <v>476.37400000000002</v>
      </c>
      <c r="BC11" s="31">
        <v>482.76900000000001</v>
      </c>
      <c r="BD11" s="31">
        <v>492.82900000000001</v>
      </c>
      <c r="BE11" s="2">
        <v>498.54300000000001</v>
      </c>
      <c r="BF11" s="517">
        <v>504.25700000000001</v>
      </c>
      <c r="BG11" s="517">
        <v>509.97</v>
      </c>
      <c r="BH11" s="2">
        <v>517.05200000000002</v>
      </c>
      <c r="BI11" s="1">
        <v>524.14300000000003</v>
      </c>
      <c r="BJ11" s="1">
        <v>531.16999999999996</v>
      </c>
      <c r="BK11" s="1">
        <v>539.91</v>
      </c>
      <c r="BL11" s="467">
        <v>550.36500000000001</v>
      </c>
      <c r="BM11" s="1">
        <v>560.66999999999996</v>
      </c>
      <c r="BN11" s="289">
        <v>571.1679501785178</v>
      </c>
      <c r="BO11" s="289">
        <v>581.86246332268502</v>
      </c>
      <c r="BP11" s="289">
        <v>592.75721986523445</v>
      </c>
      <c r="BQ11" s="285"/>
      <c r="BR11" s="285"/>
      <c r="BS11" s="285"/>
      <c r="BT11" s="285"/>
      <c r="BU11" s="40">
        <f t="shared" si="2"/>
        <v>0</v>
      </c>
      <c r="BV11" s="40">
        <f t="shared" ref="BV11:CD11" si="9">BU11</f>
        <v>0</v>
      </c>
      <c r="BW11" s="40">
        <f t="shared" si="9"/>
        <v>0</v>
      </c>
      <c r="BX11" s="40">
        <f t="shared" si="9"/>
        <v>0</v>
      </c>
      <c r="BY11" s="40">
        <f t="shared" si="9"/>
        <v>0</v>
      </c>
      <c r="BZ11" s="40">
        <f t="shared" si="9"/>
        <v>0</v>
      </c>
      <c r="CA11" s="40">
        <f t="shared" si="9"/>
        <v>0</v>
      </c>
      <c r="CB11" s="40">
        <f t="shared" si="9"/>
        <v>0</v>
      </c>
      <c r="CC11" s="40">
        <f t="shared" si="9"/>
        <v>0</v>
      </c>
      <c r="CD11" s="40">
        <f t="shared" si="9"/>
        <v>0</v>
      </c>
      <c r="CM11" s="1">
        <v>553.41999999999996</v>
      </c>
    </row>
    <row r="12" spans="2:115" ht="14.25" customHeight="1">
      <c r="B12" s="25" t="s">
        <v>4403</v>
      </c>
      <c r="C12" s="1" t="s">
        <v>2462</v>
      </c>
      <c r="D12" s="118" t="s">
        <v>4573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>
        <v>8</v>
      </c>
      <c r="AV12" s="2">
        <v>11</v>
      </c>
      <c r="AW12" s="2">
        <v>10</v>
      </c>
      <c r="AX12" s="2">
        <v>11</v>
      </c>
      <c r="AY12" s="2">
        <v>12</v>
      </c>
      <c r="AZ12" s="2">
        <v>14</v>
      </c>
      <c r="BA12" s="2">
        <v>14</v>
      </c>
      <c r="BB12" s="2">
        <v>10</v>
      </c>
      <c r="BC12" s="2">
        <v>7</v>
      </c>
      <c r="BD12" s="2">
        <v>8</v>
      </c>
      <c r="BE12" s="2">
        <v>11.358556109349029</v>
      </c>
      <c r="BF12" s="517">
        <v>12.280792090860938</v>
      </c>
      <c r="BG12" s="517">
        <v>10.681096681096673</v>
      </c>
      <c r="BH12" s="2">
        <v>9.3605999026875377</v>
      </c>
      <c r="BI12" s="2">
        <v>9.0176120768526999</v>
      </c>
      <c r="BJ12" s="1">
        <v>7.5644445069986395</v>
      </c>
      <c r="BK12" s="1">
        <v>6.9292759258812353</v>
      </c>
      <c r="BL12" s="1">
        <v>6.5077021844590774</v>
      </c>
      <c r="BM12" s="1">
        <v>7.119080696705689</v>
      </c>
      <c r="BN12" s="1">
        <v>7.7768161347772313</v>
      </c>
      <c r="BO12" s="1">
        <v>8.5380514302054333</v>
      </c>
      <c r="BP12" s="1">
        <v>9.2822082303160283</v>
      </c>
      <c r="BU12" s="40">
        <f t="shared" si="2"/>
        <v>0</v>
      </c>
      <c r="BV12" s="40">
        <f t="shared" ref="BV12:CD12" si="10">BU12</f>
        <v>0</v>
      </c>
      <c r="BW12" s="40">
        <f t="shared" si="10"/>
        <v>0</v>
      </c>
      <c r="BX12" s="40">
        <f t="shared" si="10"/>
        <v>0</v>
      </c>
      <c r="BY12" s="40">
        <f t="shared" si="10"/>
        <v>0</v>
      </c>
      <c r="BZ12" s="40">
        <f t="shared" si="10"/>
        <v>0</v>
      </c>
      <c r="CA12" s="40">
        <f t="shared" si="10"/>
        <v>0</v>
      </c>
      <c r="CB12" s="40">
        <f t="shared" si="10"/>
        <v>0</v>
      </c>
      <c r="CC12" s="40">
        <f t="shared" si="10"/>
        <v>0</v>
      </c>
      <c r="CD12" s="40">
        <f t="shared" si="10"/>
        <v>0</v>
      </c>
    </row>
    <row r="13" spans="2:115" ht="14.25" customHeight="1">
      <c r="B13" s="99" t="s">
        <v>3583</v>
      </c>
      <c r="C13" s="1" t="s">
        <v>818</v>
      </c>
      <c r="D13" s="118" t="s">
        <v>2629</v>
      </c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25"/>
      <c r="AW13" s="25"/>
      <c r="AX13" s="25"/>
      <c r="AY13" s="25"/>
      <c r="AZ13" s="2">
        <v>307</v>
      </c>
      <c r="BA13" s="31">
        <v>306.63900000000001</v>
      </c>
      <c r="BB13" s="2">
        <v>281</v>
      </c>
      <c r="BC13" s="2">
        <v>296</v>
      </c>
      <c r="BD13" s="31">
        <v>313.43900000000002</v>
      </c>
      <c r="BE13" s="2">
        <v>318.01499999999999</v>
      </c>
      <c r="BF13" s="517">
        <v>322.65800000000002</v>
      </c>
      <c r="BG13" s="517">
        <v>327.36900000000003</v>
      </c>
      <c r="BH13" s="1">
        <v>332.149</v>
      </c>
      <c r="BI13" s="1">
        <v>342.3</v>
      </c>
      <c r="BJ13" s="1">
        <v>348.12</v>
      </c>
      <c r="BK13" s="1">
        <v>355.76100000000002</v>
      </c>
      <c r="BL13" s="1">
        <v>353.45800000000003</v>
      </c>
      <c r="BM13" s="1">
        <v>357.11399999999998</v>
      </c>
      <c r="BN13" s="1">
        <v>362.32799999999997</v>
      </c>
      <c r="BO13" s="1">
        <v>367.61799999999999</v>
      </c>
      <c r="BP13" s="285">
        <f>BO13*1.015</f>
        <v>373.13226999999995</v>
      </c>
      <c r="BQ13" s="285"/>
      <c r="BR13" s="285"/>
      <c r="BS13" s="285"/>
      <c r="BT13" s="285"/>
      <c r="BU13" s="40">
        <f t="shared" si="2"/>
        <v>0</v>
      </c>
      <c r="BV13" s="40">
        <f t="shared" ref="BV13:CD13" si="11">BU13</f>
        <v>0</v>
      </c>
      <c r="BW13" s="40">
        <f t="shared" si="11"/>
        <v>0</v>
      </c>
      <c r="BX13" s="40">
        <f t="shared" si="11"/>
        <v>0</v>
      </c>
      <c r="BY13" s="40">
        <f t="shared" si="11"/>
        <v>0</v>
      </c>
      <c r="BZ13" s="40">
        <f t="shared" si="11"/>
        <v>0</v>
      </c>
      <c r="CA13" s="40">
        <f t="shared" si="11"/>
        <v>0</v>
      </c>
      <c r="CB13" s="40">
        <f t="shared" si="11"/>
        <v>0</v>
      </c>
      <c r="CC13" s="40">
        <f t="shared" si="11"/>
        <v>0</v>
      </c>
      <c r="CD13" s="40">
        <f t="shared" si="11"/>
        <v>0</v>
      </c>
      <c r="CM13" s="1">
        <v>351.97500000000002</v>
      </c>
    </row>
    <row r="14" spans="2:115" ht="14.25" customHeight="1">
      <c r="B14" s="99" t="s">
        <v>1362</v>
      </c>
      <c r="C14" s="1" t="s">
        <v>818</v>
      </c>
      <c r="D14" s="118" t="s">
        <v>2629</v>
      </c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2">
        <v>2.0219999999999998</v>
      </c>
      <c r="AW14" s="2">
        <v>1.407</v>
      </c>
      <c r="AX14" s="2">
        <v>2.577</v>
      </c>
      <c r="AY14" s="2">
        <v>0.64</v>
      </c>
      <c r="AZ14" s="2">
        <v>2.1549999999999998</v>
      </c>
      <c r="BA14" s="31">
        <v>2.5329999999999999</v>
      </c>
      <c r="BB14" s="2">
        <v>2.1139999999999999</v>
      </c>
      <c r="BC14" s="2">
        <v>1.859</v>
      </c>
      <c r="BD14" s="31">
        <v>1.488</v>
      </c>
      <c r="BE14" s="2">
        <v>3.4</v>
      </c>
      <c r="BF14" s="517">
        <v>4.2</v>
      </c>
      <c r="BG14" s="517">
        <v>2.09</v>
      </c>
      <c r="BH14" s="2">
        <v>3.7669999999999999</v>
      </c>
      <c r="BI14" s="2">
        <v>3.51</v>
      </c>
      <c r="BJ14" s="2">
        <v>6.8310000000000004</v>
      </c>
      <c r="BK14" s="1">
        <v>4.476</v>
      </c>
      <c r="BU14" s="40">
        <f t="shared" si="2"/>
        <v>0</v>
      </c>
      <c r="BV14" s="40">
        <f t="shared" ref="BV14:CD14" si="12">BU14</f>
        <v>0</v>
      </c>
      <c r="BW14" s="40">
        <f t="shared" si="12"/>
        <v>0</v>
      </c>
      <c r="BX14" s="40">
        <f t="shared" si="12"/>
        <v>0</v>
      </c>
      <c r="BY14" s="40">
        <f t="shared" si="12"/>
        <v>0</v>
      </c>
      <c r="BZ14" s="40">
        <f t="shared" si="12"/>
        <v>0</v>
      </c>
      <c r="CA14" s="40">
        <f t="shared" si="12"/>
        <v>0</v>
      </c>
      <c r="CB14" s="40">
        <f t="shared" si="12"/>
        <v>0</v>
      </c>
      <c r="CC14" s="40">
        <f t="shared" si="12"/>
        <v>0</v>
      </c>
      <c r="CD14" s="40">
        <f t="shared" si="12"/>
        <v>0</v>
      </c>
    </row>
    <row r="15" spans="2:115" ht="14.25" customHeight="1">
      <c r="B15" s="99" t="s">
        <v>128</v>
      </c>
      <c r="C15" s="1" t="s">
        <v>818</v>
      </c>
      <c r="D15" s="118" t="s">
        <v>2629</v>
      </c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2">
        <v>172</v>
      </c>
      <c r="AW15" s="25"/>
      <c r="AX15" s="25"/>
      <c r="AY15" s="25"/>
      <c r="AZ15" s="25"/>
      <c r="BA15" s="99"/>
      <c r="BB15" s="25"/>
      <c r="BC15" s="25"/>
      <c r="BD15" s="99"/>
      <c r="BG15" s="285">
        <v>3.8</v>
      </c>
      <c r="BH15" s="1">
        <v>4.2</v>
      </c>
      <c r="BI15" s="1">
        <v>4</v>
      </c>
      <c r="BJ15" s="1">
        <v>4.0999999999999996</v>
      </c>
      <c r="BK15" s="1">
        <v>3.9</v>
      </c>
      <c r="BL15" s="1">
        <v>0.7</v>
      </c>
      <c r="BM15" s="1">
        <v>0.5</v>
      </c>
      <c r="BU15" s="40">
        <f t="shared" si="2"/>
        <v>0</v>
      </c>
      <c r="BV15" s="40">
        <f t="shared" ref="BV15:CD15" si="13">BU15</f>
        <v>0</v>
      </c>
      <c r="BW15" s="40">
        <f t="shared" si="13"/>
        <v>0</v>
      </c>
      <c r="BX15" s="40">
        <f t="shared" si="13"/>
        <v>0</v>
      </c>
      <c r="BY15" s="40">
        <f t="shared" si="13"/>
        <v>0</v>
      </c>
      <c r="BZ15" s="40">
        <f t="shared" si="13"/>
        <v>0</v>
      </c>
      <c r="CA15" s="40">
        <f t="shared" si="13"/>
        <v>0</v>
      </c>
      <c r="CB15" s="40">
        <f t="shared" si="13"/>
        <v>0</v>
      </c>
      <c r="CC15" s="40">
        <f t="shared" si="13"/>
        <v>0</v>
      </c>
      <c r="CD15" s="40">
        <f t="shared" si="13"/>
        <v>0</v>
      </c>
    </row>
    <row r="16" spans="2:115" ht="14.25" customHeight="1">
      <c r="B16" s="99" t="s">
        <v>4576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2"/>
      <c r="AW16" s="25"/>
      <c r="AX16" s="25"/>
      <c r="AY16" s="25"/>
      <c r="AZ16" s="25"/>
      <c r="BA16" s="99"/>
      <c r="BB16" s="25"/>
      <c r="BC16" s="25"/>
      <c r="BD16" s="99"/>
      <c r="BG16" s="285">
        <v>4.9000000000000004</v>
      </c>
      <c r="BH16" s="1">
        <v>8.1</v>
      </c>
      <c r="BI16" s="1">
        <v>7.5</v>
      </c>
      <c r="BJ16" s="1">
        <v>7.4</v>
      </c>
      <c r="BK16" s="1">
        <v>9.1</v>
      </c>
      <c r="BL16" s="1">
        <v>7.8</v>
      </c>
      <c r="BM16" s="1">
        <v>7.4</v>
      </c>
      <c r="BU16" s="40"/>
      <c r="BV16" s="40"/>
      <c r="BW16" s="40"/>
      <c r="BX16" s="40"/>
      <c r="BY16" s="40"/>
      <c r="BZ16" s="40"/>
      <c r="CA16" s="40"/>
      <c r="CB16" s="40"/>
      <c r="CC16" s="40"/>
      <c r="CD16" s="40"/>
    </row>
    <row r="17" spans="2:82" ht="14.25" customHeight="1">
      <c r="B17" s="99" t="s">
        <v>847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2"/>
      <c r="AW17" s="25"/>
      <c r="AX17" s="25"/>
      <c r="AY17" s="25"/>
      <c r="AZ17" s="25"/>
      <c r="BA17" s="99"/>
      <c r="BB17" s="25"/>
      <c r="BC17" s="25"/>
      <c r="BD17" s="99"/>
      <c r="BE17" s="1">
        <v>132.41999999999999</v>
      </c>
      <c r="BF17" s="285">
        <v>135.94399999999999</v>
      </c>
      <c r="BG17" s="285">
        <v>138.6</v>
      </c>
      <c r="BH17" s="1">
        <v>139.756</v>
      </c>
      <c r="BI17" s="2">
        <v>139.904</v>
      </c>
      <c r="BJ17" s="1">
        <v>142.09899999999999</v>
      </c>
      <c r="BK17" s="1">
        <v>144.43713140802379</v>
      </c>
      <c r="BL17" s="1">
        <v>147.23406091270215</v>
      </c>
      <c r="BM17" s="1">
        <v>149.99086230397046</v>
      </c>
      <c r="BN17" s="1">
        <v>152.79928187287911</v>
      </c>
      <c r="BO17" s="1">
        <v>155.66028611497302</v>
      </c>
      <c r="BP17" s="1">
        <v>158.57485962239952</v>
      </c>
      <c r="BU17" s="40">
        <f t="shared" si="2"/>
        <v>0</v>
      </c>
      <c r="BV17" s="40">
        <f t="shared" ref="BV17:CD17" si="14">BU17</f>
        <v>0</v>
      </c>
      <c r="BW17" s="40">
        <f t="shared" si="14"/>
        <v>0</v>
      </c>
      <c r="BX17" s="40">
        <f t="shared" si="14"/>
        <v>0</v>
      </c>
      <c r="BY17" s="40">
        <f t="shared" si="14"/>
        <v>0</v>
      </c>
      <c r="BZ17" s="40">
        <f t="shared" si="14"/>
        <v>0</v>
      </c>
      <c r="CA17" s="40">
        <f t="shared" si="14"/>
        <v>0</v>
      </c>
      <c r="CB17" s="40">
        <f t="shared" si="14"/>
        <v>0</v>
      </c>
      <c r="CC17" s="40">
        <f t="shared" si="14"/>
        <v>0</v>
      </c>
      <c r="CD17" s="40">
        <f t="shared" si="14"/>
        <v>0</v>
      </c>
    </row>
    <row r="18" spans="2:82" s="25" customFormat="1" ht="14.25" customHeight="1">
      <c r="B18" s="99" t="s">
        <v>846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BA18" s="99"/>
      <c r="BD18" s="99"/>
      <c r="BF18" s="307"/>
      <c r="BG18" s="307"/>
      <c r="BI18" s="421">
        <v>208.10223375956124</v>
      </c>
    </row>
    <row r="19" spans="2:82" s="25" customFormat="1" ht="14.25" customHeight="1">
      <c r="B19" s="99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BA19" s="99"/>
      <c r="BD19" s="99"/>
      <c r="BF19" s="307"/>
      <c r="BG19" s="307"/>
    </row>
    <row r="20" spans="2:82" s="410" customFormat="1" ht="14.25" customHeight="1">
      <c r="B20" s="518" t="s">
        <v>2041</v>
      </c>
      <c r="BF20" s="465"/>
      <c r="BG20" s="465"/>
      <c r="BU20" s="40">
        <f t="shared" si="2"/>
        <v>0</v>
      </c>
      <c r="BV20" s="40">
        <f t="shared" ref="BV20:CD20" si="15">BU20</f>
        <v>0</v>
      </c>
      <c r="BW20" s="40">
        <f t="shared" si="15"/>
        <v>0</v>
      </c>
      <c r="BX20" s="40">
        <f t="shared" si="15"/>
        <v>0</v>
      </c>
      <c r="BY20" s="40">
        <f t="shared" si="15"/>
        <v>0</v>
      </c>
      <c r="BZ20" s="40">
        <f t="shared" si="15"/>
        <v>0</v>
      </c>
      <c r="CA20" s="40">
        <f t="shared" si="15"/>
        <v>0</v>
      </c>
      <c r="CB20" s="40">
        <f t="shared" si="15"/>
        <v>0</v>
      </c>
      <c r="CC20" s="40">
        <f t="shared" si="15"/>
        <v>0</v>
      </c>
      <c r="CD20" s="40">
        <f t="shared" si="15"/>
        <v>0</v>
      </c>
    </row>
    <row r="21" spans="2:82" s="521" customFormat="1">
      <c r="B21" s="519" t="s">
        <v>4561</v>
      </c>
      <c r="C21" s="519" t="s">
        <v>2229</v>
      </c>
      <c r="D21" s="519"/>
      <c r="E21" s="519"/>
      <c r="F21" s="519"/>
      <c r="G21" s="519"/>
      <c r="H21" s="519"/>
      <c r="I21" s="519"/>
      <c r="J21" s="519"/>
      <c r="K21" s="519"/>
      <c r="L21" s="519"/>
      <c r="M21" s="519"/>
      <c r="N21" s="519"/>
      <c r="O21" s="519"/>
      <c r="P21" s="519"/>
      <c r="Q21" s="519"/>
      <c r="R21" s="519"/>
      <c r="S21" s="519"/>
      <c r="T21" s="519"/>
      <c r="U21" s="519"/>
      <c r="V21" s="519"/>
      <c r="W21" s="519"/>
      <c r="X21" s="519"/>
      <c r="Y21" s="519"/>
      <c r="Z21" s="519"/>
      <c r="AA21" s="519"/>
      <c r="AB21" s="519"/>
      <c r="AC21" s="519"/>
      <c r="AD21" s="519"/>
      <c r="AE21" s="519"/>
      <c r="AF21" s="519"/>
      <c r="AG21" s="519"/>
      <c r="AH21" s="519"/>
      <c r="AI21" s="519"/>
      <c r="AJ21" s="519"/>
      <c r="AK21" s="519"/>
      <c r="AL21" s="519"/>
      <c r="AM21" s="519"/>
      <c r="AN21" s="519"/>
      <c r="AO21" s="519"/>
      <c r="AP21" s="519"/>
      <c r="AQ21" s="519"/>
      <c r="AR21" s="519"/>
      <c r="AS21" s="519"/>
      <c r="AT21" s="519"/>
      <c r="AU21" s="519"/>
      <c r="AV21" s="300"/>
      <c r="AW21" s="300"/>
      <c r="AX21" s="300"/>
      <c r="AY21" s="300"/>
      <c r="AZ21" s="300"/>
      <c r="BA21" s="300"/>
      <c r="BB21" s="300"/>
      <c r="BC21" s="300"/>
      <c r="BD21" s="300"/>
      <c r="BE21" s="300"/>
      <c r="BF21" s="520"/>
      <c r="BG21" s="520"/>
      <c r="BH21" s="300"/>
      <c r="BI21" s="300"/>
      <c r="BJ21" s="300"/>
      <c r="BU21" s="40">
        <f t="shared" si="2"/>
        <v>0</v>
      </c>
      <c r="BV21" s="40">
        <f t="shared" ref="BV21:CD21" si="16">BU21</f>
        <v>0</v>
      </c>
      <c r="BW21" s="40">
        <f t="shared" si="16"/>
        <v>0</v>
      </c>
      <c r="BX21" s="40">
        <f t="shared" si="16"/>
        <v>0</v>
      </c>
      <c r="BY21" s="40">
        <f t="shared" si="16"/>
        <v>0</v>
      </c>
      <c r="BZ21" s="40">
        <f t="shared" si="16"/>
        <v>0</v>
      </c>
      <c r="CA21" s="40">
        <f t="shared" si="16"/>
        <v>0</v>
      </c>
      <c r="CB21" s="40">
        <f t="shared" si="16"/>
        <v>0</v>
      </c>
      <c r="CC21" s="40">
        <f t="shared" si="16"/>
        <v>0</v>
      </c>
      <c r="CD21" s="40">
        <f t="shared" si="16"/>
        <v>0</v>
      </c>
    </row>
    <row r="22" spans="2:82" s="300" customFormat="1">
      <c r="B22" s="300" t="s">
        <v>2230</v>
      </c>
      <c r="C22" s="519" t="s">
        <v>478</v>
      </c>
      <c r="D22" s="300" t="s">
        <v>2154</v>
      </c>
      <c r="AZ22" s="315">
        <v>6734164</v>
      </c>
      <c r="BA22" s="315">
        <v>4961687</v>
      </c>
      <c r="BB22" s="315">
        <v>6151327</v>
      </c>
      <c r="BC22" s="315">
        <v>8135456.9999999972</v>
      </c>
      <c r="BD22" s="315">
        <v>9028098.0000000019</v>
      </c>
      <c r="BE22" s="315">
        <v>10233158</v>
      </c>
      <c r="BF22" s="315">
        <v>12190004</v>
      </c>
      <c r="BG22" s="522">
        <v>17251290</v>
      </c>
      <c r="BH22" s="315">
        <v>20801492</v>
      </c>
      <c r="BI22" s="928">
        <v>189639937</v>
      </c>
      <c r="BJ22" s="929">
        <v>191103213</v>
      </c>
      <c r="BK22" s="929">
        <v>198489716</v>
      </c>
      <c r="BL22" s="929">
        <v>117563692</v>
      </c>
      <c r="BM22" s="929">
        <v>43308777</v>
      </c>
      <c r="BN22" s="929">
        <v>41784580</v>
      </c>
      <c r="BU22" s="40">
        <f t="shared" si="2"/>
        <v>0</v>
      </c>
      <c r="BV22" s="40">
        <f t="shared" ref="BV22:CD22" si="17">BU22</f>
        <v>0</v>
      </c>
      <c r="BW22" s="40">
        <f t="shared" si="17"/>
        <v>0</v>
      </c>
      <c r="BX22" s="40">
        <f t="shared" si="17"/>
        <v>0</v>
      </c>
      <c r="BY22" s="40">
        <f t="shared" si="17"/>
        <v>0</v>
      </c>
      <c r="BZ22" s="40">
        <f t="shared" si="17"/>
        <v>0</v>
      </c>
      <c r="CA22" s="40">
        <f t="shared" si="17"/>
        <v>0</v>
      </c>
      <c r="CB22" s="40">
        <f t="shared" si="17"/>
        <v>0</v>
      </c>
      <c r="CC22" s="40">
        <f t="shared" si="17"/>
        <v>0</v>
      </c>
      <c r="CD22" s="40">
        <f t="shared" si="17"/>
        <v>0</v>
      </c>
    </row>
    <row r="23" spans="2:82" s="300" customFormat="1">
      <c r="B23" s="300" t="s">
        <v>2231</v>
      </c>
      <c r="D23" s="300" t="s">
        <v>2154</v>
      </c>
      <c r="AZ23" s="315">
        <v>106872231</v>
      </c>
      <c r="BA23" s="315">
        <v>90482120</v>
      </c>
      <c r="BB23" s="315">
        <v>96686434</v>
      </c>
      <c r="BC23" s="315">
        <v>161683293</v>
      </c>
      <c r="BD23" s="315">
        <v>149349042.00000009</v>
      </c>
      <c r="BE23" s="315">
        <v>216786559</v>
      </c>
      <c r="BF23" s="315">
        <v>245271878</v>
      </c>
      <c r="BG23" s="522">
        <v>232677829</v>
      </c>
      <c r="BH23" s="315">
        <v>296987118.72000003</v>
      </c>
      <c r="BI23" s="928">
        <v>295298344</v>
      </c>
      <c r="BJ23" s="929">
        <v>356153768</v>
      </c>
      <c r="BK23" s="929">
        <v>466657338</v>
      </c>
      <c r="BL23" s="929">
        <v>373327645</v>
      </c>
      <c r="BM23" s="929">
        <v>574144995</v>
      </c>
      <c r="BN23" s="929">
        <v>375629337</v>
      </c>
      <c r="BU23" s="40">
        <f t="shared" si="2"/>
        <v>0</v>
      </c>
      <c r="BV23" s="40">
        <f t="shared" ref="BV23:CD23" si="18">BU23</f>
        <v>0</v>
      </c>
      <c r="BW23" s="40">
        <f t="shared" si="18"/>
        <v>0</v>
      </c>
      <c r="BX23" s="40">
        <f t="shared" si="18"/>
        <v>0</v>
      </c>
      <c r="BY23" s="40">
        <f t="shared" si="18"/>
        <v>0</v>
      </c>
      <c r="BZ23" s="40">
        <f t="shared" si="18"/>
        <v>0</v>
      </c>
      <c r="CA23" s="40">
        <f t="shared" si="18"/>
        <v>0</v>
      </c>
      <c r="CB23" s="40">
        <f t="shared" si="18"/>
        <v>0</v>
      </c>
      <c r="CC23" s="40">
        <f t="shared" si="18"/>
        <v>0</v>
      </c>
      <c r="CD23" s="40">
        <f t="shared" si="18"/>
        <v>0</v>
      </c>
    </row>
    <row r="24" spans="2:82" s="300" customFormat="1">
      <c r="B24" s="300" t="s">
        <v>2308</v>
      </c>
      <c r="D24" s="300" t="s">
        <v>2154</v>
      </c>
      <c r="AZ24" s="315">
        <v>152268310</v>
      </c>
      <c r="BA24" s="315">
        <v>120114005</v>
      </c>
      <c r="BB24" s="315">
        <v>151984791</v>
      </c>
      <c r="BC24" s="315">
        <v>185673667</v>
      </c>
      <c r="BD24" s="315">
        <v>175975858</v>
      </c>
      <c r="BE24" s="315">
        <v>228158029</v>
      </c>
      <c r="BF24" s="315">
        <v>235010301</v>
      </c>
      <c r="BG24" s="522">
        <v>282771552</v>
      </c>
      <c r="BH24" s="315">
        <v>298638301.09999996</v>
      </c>
      <c r="BI24" s="928">
        <v>310137874</v>
      </c>
      <c r="BJ24" s="929">
        <v>303368672</v>
      </c>
      <c r="BK24" s="929">
        <v>317858781</v>
      </c>
      <c r="BL24" s="929">
        <v>382014760</v>
      </c>
      <c r="BM24" s="929">
        <v>623192891</v>
      </c>
      <c r="BN24" s="929">
        <v>354552751</v>
      </c>
      <c r="BU24" s="40">
        <f t="shared" si="2"/>
        <v>0</v>
      </c>
      <c r="BV24" s="40">
        <f t="shared" ref="BV24:CD24" si="19">BU24</f>
        <v>0</v>
      </c>
      <c r="BW24" s="40">
        <f t="shared" si="19"/>
        <v>0</v>
      </c>
      <c r="BX24" s="40">
        <f t="shared" si="19"/>
        <v>0</v>
      </c>
      <c r="BY24" s="40">
        <f t="shared" si="19"/>
        <v>0</v>
      </c>
      <c r="BZ24" s="40">
        <f t="shared" si="19"/>
        <v>0</v>
      </c>
      <c r="CA24" s="40">
        <f t="shared" si="19"/>
        <v>0</v>
      </c>
      <c r="CB24" s="40">
        <f t="shared" si="19"/>
        <v>0</v>
      </c>
      <c r="CC24" s="40">
        <f t="shared" si="19"/>
        <v>0</v>
      </c>
      <c r="CD24" s="40">
        <f t="shared" si="19"/>
        <v>0</v>
      </c>
    </row>
    <row r="25" spans="2:82" s="300" customFormat="1">
      <c r="B25" s="300" t="s">
        <v>2232</v>
      </c>
      <c r="D25" s="300" t="s">
        <v>2154</v>
      </c>
      <c r="AZ25" s="315">
        <v>9601899</v>
      </c>
      <c r="BA25" s="315">
        <v>7840498</v>
      </c>
      <c r="BB25" s="315">
        <v>13206526</v>
      </c>
      <c r="BC25" s="315">
        <v>21644239.000000011</v>
      </c>
      <c r="BD25" s="315">
        <v>28271764</v>
      </c>
      <c r="BE25" s="315">
        <v>50477963</v>
      </c>
      <c r="BF25" s="315">
        <v>32342917</v>
      </c>
      <c r="BG25" s="522">
        <v>39871268</v>
      </c>
      <c r="BH25" s="315">
        <v>49644396</v>
      </c>
      <c r="BI25" s="928">
        <v>40634795</v>
      </c>
      <c r="BJ25" s="929">
        <v>62678485</v>
      </c>
      <c r="BK25" s="929">
        <v>60618393</v>
      </c>
      <c r="BL25" s="929">
        <v>76006819</v>
      </c>
      <c r="BM25" s="929">
        <v>56784249</v>
      </c>
      <c r="BN25" s="929">
        <v>47401558</v>
      </c>
      <c r="BU25" s="40">
        <f t="shared" si="2"/>
        <v>0</v>
      </c>
      <c r="BV25" s="40">
        <f t="shared" ref="BV25:CD25" si="20">BU25</f>
        <v>0</v>
      </c>
      <c r="BW25" s="40">
        <f t="shared" si="20"/>
        <v>0</v>
      </c>
      <c r="BX25" s="40">
        <f t="shared" si="20"/>
        <v>0</v>
      </c>
      <c r="BY25" s="40">
        <f t="shared" si="20"/>
        <v>0</v>
      </c>
      <c r="BZ25" s="40">
        <f t="shared" si="20"/>
        <v>0</v>
      </c>
      <c r="CA25" s="40">
        <f t="shared" si="20"/>
        <v>0</v>
      </c>
      <c r="CB25" s="40">
        <f t="shared" si="20"/>
        <v>0</v>
      </c>
      <c r="CC25" s="40">
        <f t="shared" si="20"/>
        <v>0</v>
      </c>
      <c r="CD25" s="40">
        <f t="shared" si="20"/>
        <v>0</v>
      </c>
    </row>
    <row r="26" spans="2:82" s="300" customFormat="1">
      <c r="B26" s="300" t="s">
        <v>2233</v>
      </c>
      <c r="D26" s="300" t="s">
        <v>2154</v>
      </c>
      <c r="AZ26" s="315">
        <v>149336732</v>
      </c>
      <c r="BA26" s="315">
        <v>123447741</v>
      </c>
      <c r="BB26" s="315">
        <v>120964663</v>
      </c>
      <c r="BC26" s="315">
        <v>190056751</v>
      </c>
      <c r="BD26" s="315">
        <v>180649297</v>
      </c>
      <c r="BE26" s="315">
        <v>208229813</v>
      </c>
      <c r="BF26" s="315">
        <v>210741123</v>
      </c>
      <c r="BG26" s="522">
        <v>254405747</v>
      </c>
      <c r="BH26" s="315">
        <v>436750758.72999996</v>
      </c>
      <c r="BI26" s="928">
        <v>446924735</v>
      </c>
      <c r="BJ26" s="929">
        <v>366155127</v>
      </c>
      <c r="BK26" s="929">
        <v>456216500</v>
      </c>
      <c r="BL26" s="929">
        <v>493132402</v>
      </c>
      <c r="BM26" s="929">
        <v>491247276</v>
      </c>
      <c r="BN26" s="929">
        <v>523587119</v>
      </c>
      <c r="BU26" s="40">
        <f t="shared" si="2"/>
        <v>0</v>
      </c>
      <c r="BV26" s="40">
        <f t="shared" ref="BV26:CD26" si="21">BU26</f>
        <v>0</v>
      </c>
      <c r="BW26" s="40">
        <f t="shared" si="21"/>
        <v>0</v>
      </c>
      <c r="BX26" s="40">
        <f t="shared" si="21"/>
        <v>0</v>
      </c>
      <c r="BY26" s="40">
        <f t="shared" si="21"/>
        <v>0</v>
      </c>
      <c r="BZ26" s="40">
        <f t="shared" si="21"/>
        <v>0</v>
      </c>
      <c r="CA26" s="40">
        <f t="shared" si="21"/>
        <v>0</v>
      </c>
      <c r="CB26" s="40">
        <f t="shared" si="21"/>
        <v>0</v>
      </c>
      <c r="CC26" s="40">
        <f t="shared" si="21"/>
        <v>0</v>
      </c>
      <c r="CD26" s="40">
        <f t="shared" si="21"/>
        <v>0</v>
      </c>
    </row>
    <row r="27" spans="2:82" s="300" customFormat="1">
      <c r="B27" s="300" t="s">
        <v>3778</v>
      </c>
      <c r="D27" s="300" t="s">
        <v>2154</v>
      </c>
      <c r="AZ27" s="315">
        <v>102103878</v>
      </c>
      <c r="BA27" s="315">
        <v>109642148</v>
      </c>
      <c r="BB27" s="315">
        <v>112875191</v>
      </c>
      <c r="BC27" s="315">
        <v>136669086</v>
      </c>
      <c r="BD27" s="315">
        <v>196783416</v>
      </c>
      <c r="BE27" s="315">
        <v>214034890</v>
      </c>
      <c r="BF27" s="315">
        <v>167046091</v>
      </c>
      <c r="BG27" s="522">
        <v>217904500</v>
      </c>
      <c r="BH27" s="315">
        <v>303875421.31</v>
      </c>
      <c r="BI27" s="928">
        <v>109430014</v>
      </c>
      <c r="BJ27" s="929">
        <v>118479838</v>
      </c>
      <c r="BK27" s="929">
        <v>138828276</v>
      </c>
      <c r="BL27" s="929">
        <v>291266116</v>
      </c>
      <c r="BM27" s="929">
        <v>520980797.00000006</v>
      </c>
      <c r="BN27" s="929">
        <v>483772598</v>
      </c>
      <c r="BU27" s="40">
        <f t="shared" si="2"/>
        <v>0</v>
      </c>
      <c r="BV27" s="40">
        <f t="shared" ref="BV27:CD27" si="22">BU27</f>
        <v>0</v>
      </c>
      <c r="BW27" s="40">
        <f t="shared" si="22"/>
        <v>0</v>
      </c>
      <c r="BX27" s="40">
        <f t="shared" si="22"/>
        <v>0</v>
      </c>
      <c r="BY27" s="40">
        <f t="shared" si="22"/>
        <v>0</v>
      </c>
      <c r="BZ27" s="40">
        <f t="shared" si="22"/>
        <v>0</v>
      </c>
      <c r="CA27" s="40">
        <f t="shared" si="22"/>
        <v>0</v>
      </c>
      <c r="CB27" s="40">
        <f t="shared" si="22"/>
        <v>0</v>
      </c>
      <c r="CC27" s="40">
        <f t="shared" si="22"/>
        <v>0</v>
      </c>
      <c r="CD27" s="40">
        <f t="shared" si="22"/>
        <v>0</v>
      </c>
    </row>
    <row r="28" spans="2:82" s="300" customFormat="1">
      <c r="B28" s="300" t="s">
        <v>3779</v>
      </c>
      <c r="D28" s="300" t="s">
        <v>2154</v>
      </c>
      <c r="AZ28" s="300">
        <f t="shared" ref="AZ28:BN28" si="23">SUM(AZ22:AZ27)</f>
        <v>526917214</v>
      </c>
      <c r="BA28" s="300">
        <f t="shared" si="23"/>
        <v>456488199</v>
      </c>
      <c r="BB28" s="300">
        <f t="shared" si="23"/>
        <v>501868932</v>
      </c>
      <c r="BC28" s="300">
        <f t="shared" si="23"/>
        <v>703862493</v>
      </c>
      <c r="BD28" s="300">
        <f t="shared" si="23"/>
        <v>740057475.00000012</v>
      </c>
      <c r="BE28" s="300">
        <f t="shared" si="23"/>
        <v>927920412</v>
      </c>
      <c r="BF28" s="300">
        <f t="shared" si="23"/>
        <v>902602314</v>
      </c>
      <c r="BG28" s="300">
        <f t="shared" si="23"/>
        <v>1044882186</v>
      </c>
      <c r="BH28" s="300">
        <f t="shared" si="23"/>
        <v>1406697487.8599999</v>
      </c>
      <c r="BI28" s="929">
        <f t="shared" si="23"/>
        <v>1392065699</v>
      </c>
      <c r="BJ28" s="929">
        <f t="shared" si="23"/>
        <v>1397939103</v>
      </c>
      <c r="BK28" s="929">
        <f t="shared" si="23"/>
        <v>1638669004</v>
      </c>
      <c r="BL28" s="929">
        <f t="shared" si="23"/>
        <v>1733311434</v>
      </c>
      <c r="BM28" s="929">
        <f t="shared" si="23"/>
        <v>2309658985</v>
      </c>
      <c r="BN28" s="929">
        <f t="shared" si="23"/>
        <v>1826727943</v>
      </c>
      <c r="BU28" s="40">
        <f t="shared" si="2"/>
        <v>0</v>
      </c>
      <c r="BV28" s="40">
        <f t="shared" ref="BV28:CD28" si="24">BU28</f>
        <v>0</v>
      </c>
      <c r="BW28" s="40">
        <f t="shared" si="24"/>
        <v>0</v>
      </c>
      <c r="BX28" s="40">
        <f t="shared" si="24"/>
        <v>0</v>
      </c>
      <c r="BY28" s="40">
        <f t="shared" si="24"/>
        <v>0</v>
      </c>
      <c r="BZ28" s="40">
        <f t="shared" si="24"/>
        <v>0</v>
      </c>
      <c r="CA28" s="40">
        <f t="shared" si="24"/>
        <v>0</v>
      </c>
      <c r="CB28" s="40">
        <f t="shared" si="24"/>
        <v>0</v>
      </c>
      <c r="CC28" s="40">
        <f t="shared" si="24"/>
        <v>0</v>
      </c>
      <c r="CD28" s="40">
        <f t="shared" si="24"/>
        <v>0</v>
      </c>
    </row>
    <row r="29" spans="2:82" s="300" customFormat="1">
      <c r="BG29" s="520"/>
      <c r="BU29" s="40">
        <f t="shared" si="2"/>
        <v>0</v>
      </c>
      <c r="BV29" s="40">
        <f t="shared" ref="BV29:CD29" si="25">BU29</f>
        <v>0</v>
      </c>
      <c r="BW29" s="40">
        <f t="shared" si="25"/>
        <v>0</v>
      </c>
      <c r="BX29" s="40">
        <f t="shared" si="25"/>
        <v>0</v>
      </c>
      <c r="BY29" s="40">
        <f t="shared" si="25"/>
        <v>0</v>
      </c>
      <c r="BZ29" s="40">
        <f t="shared" si="25"/>
        <v>0</v>
      </c>
      <c r="CA29" s="40">
        <f t="shared" si="25"/>
        <v>0</v>
      </c>
      <c r="CB29" s="40">
        <f t="shared" si="25"/>
        <v>0</v>
      </c>
      <c r="CC29" s="40">
        <f t="shared" si="25"/>
        <v>0</v>
      </c>
      <c r="CD29" s="40">
        <f t="shared" si="25"/>
        <v>0</v>
      </c>
    </row>
    <row r="30" spans="2:82" s="300" customFormat="1">
      <c r="B30" s="519" t="s">
        <v>3780</v>
      </c>
      <c r="D30" s="300" t="s">
        <v>2217</v>
      </c>
      <c r="BG30" s="520"/>
      <c r="BU30" s="40">
        <f t="shared" si="2"/>
        <v>0</v>
      </c>
      <c r="BV30" s="40">
        <f t="shared" ref="BV30:CD30" si="26">BU30</f>
        <v>0</v>
      </c>
      <c r="BW30" s="40">
        <f t="shared" si="26"/>
        <v>0</v>
      </c>
      <c r="BX30" s="40">
        <f t="shared" si="26"/>
        <v>0</v>
      </c>
      <c r="BY30" s="40">
        <f t="shared" si="26"/>
        <v>0</v>
      </c>
      <c r="BZ30" s="40">
        <f t="shared" si="26"/>
        <v>0</v>
      </c>
      <c r="CA30" s="40">
        <f t="shared" si="26"/>
        <v>0</v>
      </c>
      <c r="CB30" s="40">
        <f t="shared" si="26"/>
        <v>0</v>
      </c>
      <c r="CC30" s="40">
        <f t="shared" si="26"/>
        <v>0</v>
      </c>
      <c r="CD30" s="40">
        <f t="shared" si="26"/>
        <v>0</v>
      </c>
    </row>
    <row r="31" spans="2:82" s="300" customFormat="1">
      <c r="B31" s="300" t="s">
        <v>2396</v>
      </c>
      <c r="C31" s="300" t="s">
        <v>1722</v>
      </c>
      <c r="D31" s="300" t="s">
        <v>2154</v>
      </c>
      <c r="AZ31" s="315">
        <v>47728118</v>
      </c>
      <c r="BA31" s="315">
        <v>89079076</v>
      </c>
      <c r="BB31" s="315">
        <v>84037455</v>
      </c>
      <c r="BC31" s="315">
        <v>118229534</v>
      </c>
      <c r="BD31" s="315">
        <v>117506497</v>
      </c>
      <c r="BE31" s="522">
        <v>199022748</v>
      </c>
      <c r="BF31" s="522">
        <v>183676838</v>
      </c>
      <c r="BG31" s="522">
        <v>156418544</v>
      </c>
      <c r="BH31" s="522">
        <v>190494905</v>
      </c>
      <c r="BI31" s="929">
        <v>216735022</v>
      </c>
      <c r="BJ31" s="929">
        <v>264114761.10000002</v>
      </c>
      <c r="BK31" s="929">
        <v>382927527</v>
      </c>
      <c r="BL31" s="929">
        <v>268806037</v>
      </c>
      <c r="BM31" s="930">
        <v>501359158</v>
      </c>
      <c r="BN31" s="300">
        <v>383669540</v>
      </c>
      <c r="BU31" s="40">
        <f t="shared" si="2"/>
        <v>0</v>
      </c>
      <c r="BV31" s="40">
        <f>BU31</f>
        <v>0</v>
      </c>
      <c r="BW31" s="40">
        <f>BV31</f>
        <v>0</v>
      </c>
      <c r="BX31" s="40">
        <f t="shared" ref="BV31:CD46" si="27">BW31</f>
        <v>0</v>
      </c>
      <c r="BY31" s="40">
        <f t="shared" si="27"/>
        <v>0</v>
      </c>
      <c r="BZ31" s="40">
        <f t="shared" si="27"/>
        <v>0</v>
      </c>
      <c r="CA31" s="40">
        <f t="shared" si="27"/>
        <v>0</v>
      </c>
      <c r="CB31" s="40">
        <f t="shared" si="27"/>
        <v>0</v>
      </c>
      <c r="CC31" s="40">
        <f t="shared" si="27"/>
        <v>0</v>
      </c>
      <c r="CD31" s="40">
        <f t="shared" si="27"/>
        <v>0</v>
      </c>
    </row>
    <row r="32" spans="2:82" s="300" customFormat="1">
      <c r="B32" s="300" t="s">
        <v>2318</v>
      </c>
      <c r="C32" s="300" t="s">
        <v>1722</v>
      </c>
      <c r="D32" s="300" t="s">
        <v>2154</v>
      </c>
      <c r="AZ32" s="522">
        <f t="shared" ref="AZ32:BN32" si="28">AZ28</f>
        <v>526917214</v>
      </c>
      <c r="BA32" s="522">
        <f t="shared" si="28"/>
        <v>456488199</v>
      </c>
      <c r="BB32" s="522">
        <f t="shared" si="28"/>
        <v>501868932</v>
      </c>
      <c r="BC32" s="522">
        <f t="shared" si="28"/>
        <v>703862493</v>
      </c>
      <c r="BD32" s="522">
        <f t="shared" si="28"/>
        <v>740057475.00000012</v>
      </c>
      <c r="BE32" s="522">
        <f t="shared" si="28"/>
        <v>927920412</v>
      </c>
      <c r="BF32" s="522">
        <f t="shared" si="28"/>
        <v>902602314</v>
      </c>
      <c r="BG32" s="522">
        <f t="shared" si="28"/>
        <v>1044882186</v>
      </c>
      <c r="BH32" s="522">
        <f t="shared" si="28"/>
        <v>1406697487.8599999</v>
      </c>
      <c r="BI32" s="928">
        <f t="shared" si="28"/>
        <v>1392065699</v>
      </c>
      <c r="BJ32" s="928">
        <f t="shared" si="28"/>
        <v>1397939103</v>
      </c>
      <c r="BK32" s="928">
        <f t="shared" si="28"/>
        <v>1638669004</v>
      </c>
      <c r="BL32" s="928">
        <f t="shared" si="28"/>
        <v>1733311434</v>
      </c>
      <c r="BM32" s="928">
        <f t="shared" si="28"/>
        <v>2309658985</v>
      </c>
      <c r="BN32" s="928">
        <f t="shared" si="28"/>
        <v>1826727943</v>
      </c>
      <c r="BU32" s="40">
        <f t="shared" si="2"/>
        <v>0</v>
      </c>
      <c r="BV32" s="40">
        <f t="shared" si="27"/>
        <v>0</v>
      </c>
      <c r="BW32" s="40">
        <f t="shared" si="27"/>
        <v>0</v>
      </c>
      <c r="BX32" s="40">
        <f t="shared" si="27"/>
        <v>0</v>
      </c>
      <c r="BY32" s="40">
        <f t="shared" si="27"/>
        <v>0</v>
      </c>
      <c r="BZ32" s="40">
        <f t="shared" si="27"/>
        <v>0</v>
      </c>
      <c r="CA32" s="40">
        <f t="shared" si="27"/>
        <v>0</v>
      </c>
      <c r="CB32" s="40">
        <f t="shared" si="27"/>
        <v>0</v>
      </c>
      <c r="CC32" s="40">
        <f t="shared" si="27"/>
        <v>0</v>
      </c>
      <c r="CD32" s="40">
        <f t="shared" si="27"/>
        <v>0</v>
      </c>
    </row>
    <row r="33" spans="2:91" s="300" customFormat="1">
      <c r="BF33" s="520"/>
      <c r="BG33" s="520"/>
      <c r="BU33" s="40">
        <f t="shared" si="2"/>
        <v>0</v>
      </c>
      <c r="BV33" s="40">
        <f t="shared" si="27"/>
        <v>0</v>
      </c>
      <c r="BW33" s="40">
        <f t="shared" si="27"/>
        <v>0</v>
      </c>
      <c r="BX33" s="40">
        <f t="shared" si="27"/>
        <v>0</v>
      </c>
      <c r="BY33" s="40">
        <f t="shared" si="27"/>
        <v>0</v>
      </c>
      <c r="BZ33" s="40">
        <f t="shared" si="27"/>
        <v>0</v>
      </c>
      <c r="CA33" s="40">
        <f t="shared" si="27"/>
        <v>0</v>
      </c>
      <c r="CB33" s="40">
        <f t="shared" si="27"/>
        <v>0</v>
      </c>
      <c r="CC33" s="40">
        <f t="shared" si="27"/>
        <v>0</v>
      </c>
      <c r="CD33" s="40">
        <f t="shared" si="27"/>
        <v>0</v>
      </c>
    </row>
    <row r="34" spans="2:91" s="300" customFormat="1">
      <c r="B34" s="519" t="s">
        <v>2307</v>
      </c>
      <c r="BF34" s="520"/>
      <c r="BG34" s="520"/>
      <c r="BU34" s="40">
        <f t="shared" si="2"/>
        <v>0</v>
      </c>
      <c r="BV34" s="40">
        <f t="shared" si="27"/>
        <v>0</v>
      </c>
      <c r="BW34" s="40">
        <f t="shared" si="27"/>
        <v>0</v>
      </c>
      <c r="BX34" s="40">
        <f t="shared" si="27"/>
        <v>0</v>
      </c>
      <c r="BY34" s="40">
        <f t="shared" si="27"/>
        <v>0</v>
      </c>
      <c r="BZ34" s="40">
        <f t="shared" si="27"/>
        <v>0</v>
      </c>
      <c r="CA34" s="40">
        <f t="shared" si="27"/>
        <v>0</v>
      </c>
      <c r="CB34" s="40">
        <f t="shared" si="27"/>
        <v>0</v>
      </c>
      <c r="CC34" s="40">
        <f t="shared" si="27"/>
        <v>0</v>
      </c>
      <c r="CD34" s="40">
        <f t="shared" si="27"/>
        <v>0</v>
      </c>
    </row>
    <row r="35" spans="2:91" s="300" customFormat="1">
      <c r="B35" s="300" t="s">
        <v>2308</v>
      </c>
      <c r="C35" s="300" t="s">
        <v>1798</v>
      </c>
      <c r="AV35" s="301">
        <f>DC22</f>
        <v>0</v>
      </c>
      <c r="AW35" s="301">
        <f>DD22</f>
        <v>0</v>
      </c>
      <c r="AX35" s="301">
        <f>DE22</f>
        <v>0</v>
      </c>
      <c r="AY35" s="301">
        <f>DF22</f>
        <v>0</v>
      </c>
      <c r="AZ35" s="523">
        <f>DataInput!AZ24/DataInput!AZ28</f>
        <v>0.28897957013793824</v>
      </c>
      <c r="BA35" s="523">
        <f>DataInput!BA24/DataInput!BA28</f>
        <v>0.26312619967641265</v>
      </c>
      <c r="BB35" s="523">
        <f>DataInput!BB24/DataInput!BB28</f>
        <v>0.30283761617664751</v>
      </c>
      <c r="BC35" s="523">
        <f>DataInput!BC24/DataInput!BC28</f>
        <v>0.26379252886259419</v>
      </c>
      <c r="BD35" s="523">
        <f>DataInput!BD24/DataInput!BD28</f>
        <v>0.23778674487410587</v>
      </c>
      <c r="BE35" s="523">
        <f>DataInput!BE24/DataInput!BE28</f>
        <v>0.24588103252113824</v>
      </c>
      <c r="BF35" s="523">
        <f>DataInput!BF24/DataInput!BF28</f>
        <v>0.26036970807056892</v>
      </c>
      <c r="BG35" s="523">
        <f>DataInput!BG24/DataInput!BG28</f>
        <v>0.27062529708014371</v>
      </c>
      <c r="BH35" s="523">
        <f>DataInput!BH24/DataInput!BH28</f>
        <v>0.21229745817938195</v>
      </c>
      <c r="BI35" s="523">
        <f>DataInput!BI24/DataInput!BI28</f>
        <v>0.22278968171027394</v>
      </c>
      <c r="BJ35" s="523">
        <f>DataInput!BJ24/DataInput!BJ28</f>
        <v>0.21701136433551785</v>
      </c>
      <c r="BK35" s="523">
        <f>DataInput!BK24/DataInput!BK28</f>
        <v>0.19397375566640057</v>
      </c>
      <c r="BL35" s="523">
        <f>DataInput!BL24/DataInput!BL28</f>
        <v>0.2203959153020853</v>
      </c>
      <c r="BM35" s="523">
        <f>DataInput!BM24/DataInput!BM28</f>
        <v>0.26982030466285478</v>
      </c>
      <c r="BN35" s="523">
        <f>DataInput!BN24/DataInput!BN28</f>
        <v>0.19409171045893395</v>
      </c>
      <c r="BO35" s="301">
        <f t="shared" ref="BO35:BT35" si="29">BN35*(1-BO$38)/(1-BN$38)</f>
        <v>0.2172155062044176</v>
      </c>
      <c r="BP35" s="301">
        <f t="shared" si="29"/>
        <v>0.21640232451135377</v>
      </c>
      <c r="BQ35" s="301">
        <f t="shared" si="29"/>
        <v>0.21538849870802937</v>
      </c>
      <c r="BR35" s="301">
        <f t="shared" si="29"/>
        <v>0.21478773083496722</v>
      </c>
      <c r="BS35" s="301">
        <f t="shared" si="29"/>
        <v>0.21489579710095938</v>
      </c>
      <c r="BT35" s="301">
        <f t="shared" si="29"/>
        <v>0.21078072031873352</v>
      </c>
      <c r="BU35" s="40">
        <f t="shared" si="2"/>
        <v>0.21078072031873352</v>
      </c>
      <c r="BV35" s="40">
        <f t="shared" si="27"/>
        <v>0.21078072031873352</v>
      </c>
      <c r="BW35" s="40">
        <f t="shared" si="27"/>
        <v>0.21078072031873352</v>
      </c>
      <c r="BX35" s="40">
        <f t="shared" si="27"/>
        <v>0.21078072031873352</v>
      </c>
      <c r="BY35" s="40">
        <f t="shared" si="27"/>
        <v>0.21078072031873352</v>
      </c>
      <c r="BZ35" s="40">
        <f t="shared" si="27"/>
        <v>0.21078072031873352</v>
      </c>
      <c r="CA35" s="40">
        <f t="shared" si="27"/>
        <v>0.21078072031873352</v>
      </c>
      <c r="CB35" s="40">
        <f t="shared" si="27"/>
        <v>0.21078072031873352</v>
      </c>
      <c r="CC35" s="40">
        <f t="shared" si="27"/>
        <v>0.21078072031873352</v>
      </c>
      <c r="CD35" s="40">
        <f t="shared" si="27"/>
        <v>0.21078072031873352</v>
      </c>
      <c r="CM35" s="301" t="e">
        <f>CL35*(1-CM$38)/(1-CL$38)</f>
        <v>#DIV/0!</v>
      </c>
    </row>
    <row r="36" spans="2:91" s="300" customFormat="1">
      <c r="B36" s="300" t="s">
        <v>3501</v>
      </c>
      <c r="C36" s="300" t="s">
        <v>1798</v>
      </c>
      <c r="AV36" s="301">
        <f t="shared" ref="AV36:AW39" si="30">DC23</f>
        <v>0</v>
      </c>
      <c r="AW36" s="301">
        <f t="shared" si="30"/>
        <v>0</v>
      </c>
      <c r="AX36" s="301">
        <f t="shared" ref="AX36:AY39" si="31">AY36</f>
        <v>0</v>
      </c>
      <c r="AY36" s="301">
        <f t="shared" si="31"/>
        <v>0</v>
      </c>
      <c r="AZ36" s="523">
        <v>0</v>
      </c>
      <c r="BA36" s="523">
        <v>0</v>
      </c>
      <c r="BB36" s="523">
        <v>0</v>
      </c>
      <c r="BC36" s="523">
        <v>0</v>
      </c>
      <c r="BD36" s="523">
        <v>0</v>
      </c>
      <c r="BE36" s="523">
        <v>0</v>
      </c>
      <c r="BF36" s="523">
        <v>0</v>
      </c>
      <c r="BG36" s="523">
        <v>0</v>
      </c>
      <c r="BH36" s="523">
        <v>0</v>
      </c>
      <c r="BI36" s="523">
        <v>0</v>
      </c>
      <c r="BJ36" s="523">
        <v>0</v>
      </c>
      <c r="BK36" s="523">
        <v>0</v>
      </c>
      <c r="BL36" s="523">
        <v>0</v>
      </c>
      <c r="BM36" s="523">
        <v>0</v>
      </c>
      <c r="BN36" s="523">
        <v>0</v>
      </c>
      <c r="BO36" s="301">
        <f t="shared" ref="BO36:BT36" si="32">BN36</f>
        <v>0</v>
      </c>
      <c r="BP36" s="301">
        <f t="shared" si="32"/>
        <v>0</v>
      </c>
      <c r="BQ36" s="301">
        <f t="shared" si="32"/>
        <v>0</v>
      </c>
      <c r="BR36" s="301">
        <f t="shared" si="32"/>
        <v>0</v>
      </c>
      <c r="BS36" s="301">
        <f t="shared" si="32"/>
        <v>0</v>
      </c>
      <c r="BT36" s="301">
        <f t="shared" si="32"/>
        <v>0</v>
      </c>
      <c r="BU36" s="40">
        <f t="shared" si="2"/>
        <v>0</v>
      </c>
      <c r="BV36" s="40">
        <f t="shared" si="27"/>
        <v>0</v>
      </c>
      <c r="BW36" s="40">
        <f t="shared" si="27"/>
        <v>0</v>
      </c>
      <c r="BX36" s="40">
        <f t="shared" si="27"/>
        <v>0</v>
      </c>
      <c r="BY36" s="40">
        <f t="shared" si="27"/>
        <v>0</v>
      </c>
      <c r="BZ36" s="40">
        <f t="shared" si="27"/>
        <v>0</v>
      </c>
      <c r="CA36" s="40">
        <f t="shared" si="27"/>
        <v>0</v>
      </c>
      <c r="CB36" s="40">
        <f t="shared" si="27"/>
        <v>0</v>
      </c>
      <c r="CC36" s="40">
        <f t="shared" si="27"/>
        <v>0</v>
      </c>
      <c r="CD36" s="40">
        <f t="shared" si="27"/>
        <v>0</v>
      </c>
      <c r="CM36" s="301">
        <f>CL36</f>
        <v>0</v>
      </c>
    </row>
    <row r="37" spans="2:91" s="300" customFormat="1">
      <c r="B37" s="300" t="s">
        <v>493</v>
      </c>
      <c r="C37" s="300" t="s">
        <v>1798</v>
      </c>
      <c r="AV37" s="301">
        <f t="shared" si="30"/>
        <v>0</v>
      </c>
      <c r="AW37" s="301">
        <f t="shared" si="30"/>
        <v>0</v>
      </c>
      <c r="AX37" s="301">
        <f t="shared" si="31"/>
        <v>0.6204405119321077</v>
      </c>
      <c r="AY37" s="301">
        <f t="shared" si="31"/>
        <v>0.6204405119321077</v>
      </c>
      <c r="AZ37" s="299">
        <f t="shared" ref="AZ37:BO37" si="33">AZ39-AZ35-AZ36-AZ38</f>
        <v>0.6204405119321077</v>
      </c>
      <c r="BA37" s="299">
        <f t="shared" si="33"/>
        <v>0.54173386856819927</v>
      </c>
      <c r="BB37" s="299">
        <f t="shared" si="33"/>
        <v>0.52971337544361086</v>
      </c>
      <c r="BC37" s="299">
        <f t="shared" si="33"/>
        <v>0.5682349833634337</v>
      </c>
      <c r="BD37" s="299">
        <f t="shared" si="33"/>
        <v>0.6034330239012855</v>
      </c>
      <c r="BE37" s="299">
        <f t="shared" si="33"/>
        <v>0.53963640472217567</v>
      </c>
      <c r="BF37" s="299">
        <f t="shared" si="33"/>
        <v>0.53613331972911382</v>
      </c>
      <c r="BG37" s="525">
        <f t="shared" si="33"/>
        <v>0.57967500845114417</v>
      </c>
      <c r="BH37" s="525">
        <f t="shared" si="33"/>
        <v>0.65228259073376516</v>
      </c>
      <c r="BI37" s="525">
        <f t="shared" si="33"/>
        <v>0.62151721978461016</v>
      </c>
      <c r="BJ37" s="299">
        <f t="shared" si="33"/>
        <v>0.59405711458949007</v>
      </c>
      <c r="BK37" s="299">
        <f t="shared" si="33"/>
        <v>0.57234419746185672</v>
      </c>
      <c r="BL37" s="299">
        <f t="shared" si="33"/>
        <v>0.62452171938998469</v>
      </c>
      <c r="BM37" s="299">
        <f>BM39-BM35-BM36-BM38</f>
        <v>0.51310905362940407</v>
      </c>
      <c r="BN37" s="299">
        <f>BN39-BN35-BN36-BN38</f>
        <v>0.59587726578067679</v>
      </c>
      <c r="BO37" s="299">
        <f t="shared" si="33"/>
        <v>0.66686919094177211</v>
      </c>
      <c r="BP37" s="299">
        <f>BP39-BP35-BP36-BP38</f>
        <v>0.664372657304658</v>
      </c>
      <c r="BQ37" s="299">
        <f>BQ39-BQ35-BQ36-BQ38</f>
        <v>0.66126013000385564</v>
      </c>
      <c r="BR37" s="299">
        <f>BR39-BR35-BR36-BR38</f>
        <v>0.65941572399227122</v>
      </c>
      <c r="BS37" s="299">
        <f>BS39-BS35-BS36-BS38</f>
        <v>0.65974749617847261</v>
      </c>
      <c r="BT37" s="299">
        <f>BT39-BT35-BT36-BT38</f>
        <v>0.64711387727907566</v>
      </c>
      <c r="BU37" s="40">
        <f t="shared" si="2"/>
        <v>0.64711387727907566</v>
      </c>
      <c r="BV37" s="40">
        <f t="shared" si="27"/>
        <v>0.64711387727907566</v>
      </c>
      <c r="BW37" s="40">
        <f t="shared" si="27"/>
        <v>0.64711387727907566</v>
      </c>
      <c r="BX37" s="40">
        <f t="shared" si="27"/>
        <v>0.64711387727907566</v>
      </c>
      <c r="BY37" s="40">
        <f t="shared" si="27"/>
        <v>0.64711387727907566</v>
      </c>
      <c r="BZ37" s="40">
        <f t="shared" si="27"/>
        <v>0.64711387727907566</v>
      </c>
      <c r="CA37" s="40">
        <f t="shared" si="27"/>
        <v>0.64711387727907566</v>
      </c>
      <c r="CB37" s="40">
        <f t="shared" si="27"/>
        <v>0.64711387727907566</v>
      </c>
      <c r="CC37" s="40">
        <f t="shared" si="27"/>
        <v>0.64711387727907566</v>
      </c>
      <c r="CD37" s="40">
        <f t="shared" si="27"/>
        <v>0.64711387727907566</v>
      </c>
      <c r="CM37" s="299" t="e">
        <f>CM39-CM35-CM36-CM38</f>
        <v>#DIV/0!</v>
      </c>
    </row>
    <row r="38" spans="2:91" s="300" customFormat="1">
      <c r="B38" s="300" t="s">
        <v>1826</v>
      </c>
      <c r="C38" s="300" t="s">
        <v>1798</v>
      </c>
      <c r="AV38" s="301">
        <f t="shared" si="30"/>
        <v>0</v>
      </c>
      <c r="AW38" s="301">
        <f t="shared" si="30"/>
        <v>0</v>
      </c>
      <c r="AX38" s="301">
        <f t="shared" si="31"/>
        <v>9.0579917929953985E-2</v>
      </c>
      <c r="AY38" s="301">
        <f t="shared" si="31"/>
        <v>9.0579917929953985E-2</v>
      </c>
      <c r="AZ38" s="523">
        <f>DataInput!AZ31/DataInput!AZ28</f>
        <v>9.0579917929953985E-2</v>
      </c>
      <c r="BA38" s="523">
        <f>DataInput!BA31/DataInput!BA28</f>
        <v>0.19513993175538805</v>
      </c>
      <c r="BB38" s="523">
        <f>DataInput!BB31/DataInput!BB28</f>
        <v>0.16744900837974167</v>
      </c>
      <c r="BC38" s="523">
        <f>DataInput!BC31/DataInput!BC28</f>
        <v>0.16797248777397206</v>
      </c>
      <c r="BD38" s="523">
        <f>DataInput!BD31/DataInput!BD28</f>
        <v>0.15878023122460858</v>
      </c>
      <c r="BE38" s="523">
        <f>DataInput!BE31/DataInput!BE28</f>
        <v>0.21448256275668609</v>
      </c>
      <c r="BF38" s="523">
        <f>DataInput!BF31/DataInput!BF28</f>
        <v>0.20349697220031723</v>
      </c>
      <c r="BG38" s="523">
        <f>DataInput!BG31/DataInput!BG28</f>
        <v>0.14969969446871209</v>
      </c>
      <c r="BH38" s="523">
        <f>DataInput!BH31/DataInput!BH28</f>
        <v>0.13541995108685287</v>
      </c>
      <c r="BI38" s="523">
        <f>DataInput!BI31/DataInput!BI28</f>
        <v>0.1556930985051159</v>
      </c>
      <c r="BJ38" s="523">
        <f>DataInput!BJ31/DataInput!BJ28</f>
        <v>0.18893152107499209</v>
      </c>
      <c r="BK38" s="523">
        <f>DataInput!BK31/DataInput!BK28</f>
        <v>0.23368204687174274</v>
      </c>
      <c r="BL38" s="523">
        <f>DataInput!BL31/DataInput!BL28</f>
        <v>0.15508236530792999</v>
      </c>
      <c r="BM38" s="523">
        <f>DataInput!BM31/DataInput!BM28</f>
        <v>0.21707064170774112</v>
      </c>
      <c r="BN38" s="523">
        <f>DataInput!BN31/DataInput!BN28</f>
        <v>0.21003102376038926</v>
      </c>
      <c r="BO38" s="526">
        <f t="shared" ref="BO38:BT38" si="34">BN38*(1+BO45/100)/(1+BO44/100)</f>
        <v>0.11591530285381019</v>
      </c>
      <c r="BP38" s="526">
        <f t="shared" si="34"/>
        <v>0.11922501818398826</v>
      </c>
      <c r="BQ38" s="526">
        <f t="shared" si="34"/>
        <v>0.12335137128811502</v>
      </c>
      <c r="BR38" s="526">
        <f t="shared" si="34"/>
        <v>0.12579654517276151</v>
      </c>
      <c r="BS38" s="526">
        <f t="shared" si="34"/>
        <v>0.12535670672056792</v>
      </c>
      <c r="BT38" s="526">
        <f t="shared" si="34"/>
        <v>0.14210540240219083</v>
      </c>
      <c r="BU38" s="40">
        <f t="shared" si="2"/>
        <v>0.14210540240219083</v>
      </c>
      <c r="BV38" s="40">
        <f t="shared" si="27"/>
        <v>0.14210540240219083</v>
      </c>
      <c r="BW38" s="40">
        <f t="shared" si="27"/>
        <v>0.14210540240219083</v>
      </c>
      <c r="BX38" s="40">
        <f t="shared" si="27"/>
        <v>0.14210540240219083</v>
      </c>
      <c r="BY38" s="40">
        <f t="shared" si="27"/>
        <v>0.14210540240219083</v>
      </c>
      <c r="BZ38" s="40">
        <f t="shared" si="27"/>
        <v>0.14210540240219083</v>
      </c>
      <c r="CA38" s="40">
        <f t="shared" si="27"/>
        <v>0.14210540240219083</v>
      </c>
      <c r="CB38" s="40">
        <f t="shared" si="27"/>
        <v>0.14210540240219083</v>
      </c>
      <c r="CC38" s="40">
        <f t="shared" si="27"/>
        <v>0.14210540240219083</v>
      </c>
      <c r="CD38" s="40">
        <f t="shared" si="27"/>
        <v>0.14210540240219083</v>
      </c>
      <c r="CM38" s="526" t="e">
        <f>CL38*(1+CM45/100)/(1+CM44/100)</f>
        <v>#DIV/0!</v>
      </c>
    </row>
    <row r="39" spans="2:91" s="300" customFormat="1">
      <c r="B39" s="300" t="s">
        <v>494</v>
      </c>
      <c r="C39" s="300" t="s">
        <v>1798</v>
      </c>
      <c r="AV39" s="301">
        <f t="shared" si="30"/>
        <v>0</v>
      </c>
      <c r="AW39" s="301">
        <f t="shared" si="30"/>
        <v>0</v>
      </c>
      <c r="AX39" s="301">
        <f t="shared" si="31"/>
        <v>1</v>
      </c>
      <c r="AY39" s="301">
        <f t="shared" si="31"/>
        <v>1</v>
      </c>
      <c r="AZ39" s="315">
        <v>1</v>
      </c>
      <c r="BA39" s="315">
        <v>1</v>
      </c>
      <c r="BB39" s="315">
        <v>1</v>
      </c>
      <c r="BC39" s="315">
        <v>1</v>
      </c>
      <c r="BD39" s="315">
        <v>1</v>
      </c>
      <c r="BE39" s="315">
        <v>1</v>
      </c>
      <c r="BF39" s="315">
        <v>1</v>
      </c>
      <c r="BG39" s="315">
        <v>1</v>
      </c>
      <c r="BH39" s="315">
        <v>1</v>
      </c>
      <c r="BI39" s="315">
        <v>1</v>
      </c>
      <c r="BJ39" s="315">
        <v>1</v>
      </c>
      <c r="BK39" s="315">
        <v>1</v>
      </c>
      <c r="BL39" s="315">
        <v>1</v>
      </c>
      <c r="BM39" s="315">
        <v>1</v>
      </c>
      <c r="BN39" s="315">
        <v>1</v>
      </c>
      <c r="BO39" s="301">
        <f t="shared" ref="BO39:BT39" si="35">BN39</f>
        <v>1</v>
      </c>
      <c r="BP39" s="301">
        <f t="shared" si="35"/>
        <v>1</v>
      </c>
      <c r="BQ39" s="301">
        <f t="shared" si="35"/>
        <v>1</v>
      </c>
      <c r="BR39" s="301">
        <f t="shared" si="35"/>
        <v>1</v>
      </c>
      <c r="BS39" s="301">
        <f t="shared" si="35"/>
        <v>1</v>
      </c>
      <c r="BT39" s="301">
        <f t="shared" si="35"/>
        <v>1</v>
      </c>
      <c r="BU39" s="40">
        <f t="shared" si="2"/>
        <v>1</v>
      </c>
      <c r="BV39" s="40">
        <f t="shared" si="27"/>
        <v>1</v>
      </c>
      <c r="BW39" s="40">
        <f t="shared" si="27"/>
        <v>1</v>
      </c>
      <c r="BX39" s="40">
        <f t="shared" si="27"/>
        <v>1</v>
      </c>
      <c r="BY39" s="40">
        <f t="shared" si="27"/>
        <v>1</v>
      </c>
      <c r="BZ39" s="40">
        <f t="shared" si="27"/>
        <v>1</v>
      </c>
      <c r="CA39" s="40">
        <f t="shared" si="27"/>
        <v>1</v>
      </c>
      <c r="CB39" s="40">
        <f t="shared" si="27"/>
        <v>1</v>
      </c>
      <c r="CC39" s="40">
        <f t="shared" si="27"/>
        <v>1</v>
      </c>
      <c r="CD39" s="40">
        <f t="shared" si="27"/>
        <v>1</v>
      </c>
      <c r="CM39" s="301">
        <f>CL39</f>
        <v>0</v>
      </c>
    </row>
    <row r="40" spans="2:91" s="300" customFormat="1">
      <c r="BF40" s="520"/>
      <c r="BG40" s="520"/>
      <c r="BU40" s="40">
        <f t="shared" si="2"/>
        <v>0</v>
      </c>
      <c r="BV40" s="40">
        <f t="shared" si="27"/>
        <v>0</v>
      </c>
      <c r="BW40" s="40">
        <f t="shared" si="27"/>
        <v>0</v>
      </c>
      <c r="BX40" s="40">
        <f t="shared" si="27"/>
        <v>0</v>
      </c>
      <c r="BY40" s="40">
        <f t="shared" si="27"/>
        <v>0</v>
      </c>
      <c r="BZ40" s="40">
        <f t="shared" si="27"/>
        <v>0</v>
      </c>
      <c r="CA40" s="40">
        <f t="shared" si="27"/>
        <v>0</v>
      </c>
      <c r="CB40" s="40">
        <f t="shared" si="27"/>
        <v>0</v>
      </c>
      <c r="CC40" s="40">
        <f t="shared" si="27"/>
        <v>0</v>
      </c>
      <c r="CD40" s="40">
        <f t="shared" si="27"/>
        <v>0</v>
      </c>
    </row>
    <row r="41" spans="2:91" s="300" customFormat="1">
      <c r="B41" s="519" t="s">
        <v>495</v>
      </c>
      <c r="BF41" s="520"/>
      <c r="BG41" s="520"/>
      <c r="BU41" s="40">
        <f t="shared" ref="BU41:BU72" si="36">BT41</f>
        <v>0</v>
      </c>
      <c r="BV41" s="40">
        <f t="shared" si="27"/>
        <v>0</v>
      </c>
      <c r="BW41" s="40">
        <f t="shared" si="27"/>
        <v>0</v>
      </c>
      <c r="BX41" s="40">
        <f t="shared" si="27"/>
        <v>0</v>
      </c>
      <c r="BY41" s="40">
        <f t="shared" si="27"/>
        <v>0</v>
      </c>
      <c r="BZ41" s="40">
        <f t="shared" si="27"/>
        <v>0</v>
      </c>
      <c r="CA41" s="40">
        <f t="shared" si="27"/>
        <v>0</v>
      </c>
      <c r="CB41" s="40">
        <f t="shared" si="27"/>
        <v>0</v>
      </c>
      <c r="CC41" s="40">
        <f t="shared" si="27"/>
        <v>0</v>
      </c>
      <c r="CD41" s="40">
        <f t="shared" si="27"/>
        <v>0</v>
      </c>
    </row>
    <row r="42" spans="2:91" s="299" customFormat="1">
      <c r="B42" s="299" t="s">
        <v>2308</v>
      </c>
      <c r="C42" s="299" t="s">
        <v>2462</v>
      </c>
      <c r="AW42" s="299">
        <f>((1+DataInput!AW47/100)*DataInput!AW48/DataInput!AV48-1)*100</f>
        <v>-12.162516299118387</v>
      </c>
      <c r="AX42" s="299">
        <f>((1+DataInput!AX47/100)*DataInput!AX48/DataInput!AW48-1)*100</f>
        <v>-0.55881819212881823</v>
      </c>
      <c r="AY42" s="299">
        <f>((1+DataInput!AY47/100)*DataInput!AY48/DataInput!AX48-1)*100</f>
        <v>-2.9042901181133507</v>
      </c>
      <c r="AZ42" s="299">
        <f>((1+DataInput!AZ47/100)*DataInput!AZ48/DataInput!AY48-1)*100</f>
        <v>-11.526135797291992</v>
      </c>
      <c r="BA42" s="299">
        <f>((1+DataInput!BA47/100)*DataInput!BA48/DataInput!AZ48-1)*100</f>
        <v>-0.8423271166264068</v>
      </c>
      <c r="BB42" s="299">
        <f>((1+DataInput!BB47/100)*DataInput!BB48/DataInput!BA48-1)*100</f>
        <v>7.8207242412400735</v>
      </c>
      <c r="BC42" s="299">
        <f>((1+DataInput!BC47/100)*DataInput!BC48/DataInput!BB48-1)*100</f>
        <v>22.182178064013613</v>
      </c>
      <c r="BD42" s="299">
        <f>((1+DataInput!BD47/100)*DataInput!BD48/DataInput!BC48-1)*100</f>
        <v>12.304035135284398</v>
      </c>
      <c r="BE42" s="299">
        <f>((1+DataInput!BE47/100)*DataInput!BE48/DataInput!BD48-1)*100</f>
        <v>2.3035424929345849</v>
      </c>
      <c r="BF42" s="299">
        <f>((1+DataInput!BF47/100)*DataInput!BF48/DataInput!BE48-1)*100</f>
        <v>3.078425250882022</v>
      </c>
      <c r="BG42" s="299">
        <f>((1+DataInput!BG47/100)*DataInput!BG48/DataInput!BF48-1)*100</f>
        <v>11.397341368073842</v>
      </c>
      <c r="BH42" s="299">
        <f>((1+DataInput!BH47/100)*DataInput!BH48/DataInput!BG48-1)*100</f>
        <v>10.88449978531556</v>
      </c>
      <c r="BI42" s="299">
        <f>((1+DataInput!BI47/100)*DataInput!BI48/DataInput!BH48-1)*100</f>
        <v>-5.2722222222222337</v>
      </c>
      <c r="BJ42" s="299">
        <f>((1+DataInput!BJ47/100)*DataInput!BJ48/DataInput!BI48-1)*100</f>
        <v>-2.7078399999999947</v>
      </c>
      <c r="BK42" s="299">
        <f>((1+DataInput!BK47/100)*DataInput!BK48/DataInput!BJ48-1)*100</f>
        <v>7.1959899749373113</v>
      </c>
      <c r="BL42" s="299">
        <f>((1+DataInput!BL47/100)*DataInput!BL48/DataInput!BK48-1)*100</f>
        <v>-5.8653661809815798</v>
      </c>
      <c r="BM42" s="299">
        <f>((1+DataInput!BM47/100)*DataInput!BM48/DataInput!BL48-1)*100</f>
        <v>4.6472868217054319</v>
      </c>
      <c r="BN42" s="299">
        <f>((1+DataInput!BN47/100)*DataInput!BN48/DataInput!BM48-1)*100</f>
        <v>1.4999999999999902</v>
      </c>
      <c r="BO42" s="299">
        <f>((1+DataInput!BO47/100)*DataInput!BO48/DataInput!BN48-1)*100</f>
        <v>-15.289473684210542</v>
      </c>
      <c r="BP42" s="299">
        <f>((1+DataInput!BP47/100)*DataInput!BP48/DataInput!BO48-1)*100</f>
        <v>-3.9864864864864957</v>
      </c>
      <c r="BQ42" s="299">
        <f>((1+DataInput!BQ47/100)*DataInput!BQ48/DataInput!BP48-1)*100</f>
        <v>8.2666666666666657</v>
      </c>
      <c r="BR42" s="299">
        <f>((1+DataInput!BR47/100)*DataInput!BR48/DataInput!BQ48-1)*100</f>
        <v>5.5781249999999893</v>
      </c>
      <c r="BS42" s="299">
        <f>((1+DataInput!BS47/100)*DataInput!BS48/DataInput!BR48-1)*100</f>
        <v>4.5493562231759377</v>
      </c>
      <c r="BT42" s="299">
        <f>((1+DataInput!BT47/100)*DataInput!BT48/DataInput!BS48-1)*100</f>
        <v>3.1916666666666593</v>
      </c>
      <c r="BU42" s="40">
        <f t="shared" si="36"/>
        <v>3.1916666666666593</v>
      </c>
      <c r="BV42" s="40">
        <f t="shared" si="27"/>
        <v>3.1916666666666593</v>
      </c>
      <c r="BW42" s="40">
        <f t="shared" si="27"/>
        <v>3.1916666666666593</v>
      </c>
      <c r="BX42" s="40">
        <f t="shared" si="27"/>
        <v>3.1916666666666593</v>
      </c>
      <c r="BY42" s="40">
        <f t="shared" si="27"/>
        <v>3.1916666666666593</v>
      </c>
      <c r="BZ42" s="40">
        <f t="shared" si="27"/>
        <v>3.1916666666666593</v>
      </c>
      <c r="CA42" s="40">
        <f t="shared" si="27"/>
        <v>3.1916666666666593</v>
      </c>
      <c r="CB42" s="40">
        <f t="shared" si="27"/>
        <v>3.1916666666666593</v>
      </c>
      <c r="CC42" s="40">
        <f t="shared" si="27"/>
        <v>3.1916666666666593</v>
      </c>
      <c r="CD42" s="40">
        <f t="shared" si="27"/>
        <v>3.1916666666666593</v>
      </c>
      <c r="CM42" s="299" t="e">
        <f>((1+DataInput!CM47/100)*DataInput!CM48/DataInput!CL48-1)*100</f>
        <v>#DIV/0!</v>
      </c>
    </row>
    <row r="43" spans="2:91" s="300" customFormat="1">
      <c r="B43" s="300" t="s">
        <v>568</v>
      </c>
      <c r="C43" s="300" t="s">
        <v>2462</v>
      </c>
      <c r="AV43" s="298">
        <v>2.936672864486467</v>
      </c>
      <c r="AW43" s="298">
        <v>2.3375657440365627</v>
      </c>
      <c r="AX43" s="298">
        <v>1.5470072159061488</v>
      </c>
      <c r="AY43" s="298">
        <v>2.193139410050593</v>
      </c>
      <c r="AZ43" s="298">
        <v>3.366683341670873</v>
      </c>
      <c r="BA43" s="298">
        <v>2.8166287567148895</v>
      </c>
      <c r="BB43" s="298">
        <v>1.5956695693104317</v>
      </c>
      <c r="BC43" s="298">
        <v>2.2794662713121028</v>
      </c>
      <c r="BD43" s="298">
        <v>2.6816452255843393</v>
      </c>
      <c r="BE43" s="315">
        <v>3.4</v>
      </c>
      <c r="BF43" s="315">
        <v>3.2</v>
      </c>
      <c r="BG43" s="315">
        <v>2.9</v>
      </c>
      <c r="BH43" s="315">
        <v>3.8</v>
      </c>
      <c r="BI43" s="301">
        <v>-0.3</v>
      </c>
      <c r="BJ43" s="301">
        <v>1.6</v>
      </c>
      <c r="BK43" s="301">
        <v>2.75</v>
      </c>
      <c r="BL43" s="301">
        <v>1.25</v>
      </c>
      <c r="BM43" s="301">
        <f t="shared" ref="BJ43:BO44" si="37">BL43</f>
        <v>1.25</v>
      </c>
      <c r="BN43" s="301">
        <f t="shared" si="37"/>
        <v>1.25</v>
      </c>
      <c r="BO43" s="301">
        <f t="shared" si="37"/>
        <v>1.25</v>
      </c>
      <c r="BP43" s="301">
        <f t="shared" ref="BP43:BT44" si="38">BO43</f>
        <v>1.25</v>
      </c>
      <c r="BQ43" s="301">
        <f t="shared" si="38"/>
        <v>1.25</v>
      </c>
      <c r="BR43" s="301">
        <f t="shared" si="38"/>
        <v>1.25</v>
      </c>
      <c r="BS43" s="301">
        <f t="shared" si="38"/>
        <v>1.25</v>
      </c>
      <c r="BT43" s="301">
        <f t="shared" si="38"/>
        <v>1.25</v>
      </c>
      <c r="BU43" s="40">
        <f t="shared" si="36"/>
        <v>1.25</v>
      </c>
      <c r="BV43" s="40">
        <f t="shared" si="27"/>
        <v>1.25</v>
      </c>
      <c r="BW43" s="40">
        <f t="shared" si="27"/>
        <v>1.25</v>
      </c>
      <c r="BX43" s="40">
        <f t="shared" si="27"/>
        <v>1.25</v>
      </c>
      <c r="BY43" s="40">
        <f t="shared" si="27"/>
        <v>1.25</v>
      </c>
      <c r="BZ43" s="40">
        <f t="shared" si="27"/>
        <v>1.25</v>
      </c>
      <c r="CA43" s="40">
        <f t="shared" si="27"/>
        <v>1.25</v>
      </c>
      <c r="CB43" s="40">
        <f t="shared" si="27"/>
        <v>1.25</v>
      </c>
      <c r="CC43" s="40">
        <f t="shared" si="27"/>
        <v>1.25</v>
      </c>
      <c r="CD43" s="40">
        <f t="shared" si="27"/>
        <v>1.25</v>
      </c>
      <c r="CM43" s="301">
        <f>CL43</f>
        <v>0</v>
      </c>
    </row>
    <row r="44" spans="2:91" s="300" customFormat="1">
      <c r="B44" s="300" t="s">
        <v>508</v>
      </c>
      <c r="C44" s="300" t="s">
        <v>2462</v>
      </c>
      <c r="AV44" s="298">
        <v>-1.9769800901412964</v>
      </c>
      <c r="AW44" s="298">
        <v>-6.0273170471191406</v>
      </c>
      <c r="AX44" s="298">
        <v>-5.7561550140380859</v>
      </c>
      <c r="AY44" s="298">
        <v>-2.6152389049530029</v>
      </c>
      <c r="AZ44" s="298">
        <v>-0.33373469114303589</v>
      </c>
      <c r="BA44" s="298">
        <v>-3.9644391536712646</v>
      </c>
      <c r="BB44" s="298">
        <v>0.27740254998207092</v>
      </c>
      <c r="BC44" s="298">
        <v>9.4496803283691406</v>
      </c>
      <c r="BD44" s="298">
        <v>9.3973455429077148</v>
      </c>
      <c r="BE44" s="328">
        <f>+(BE48/BD48-1)*100+5.7</f>
        <v>5.8159517426273517</v>
      </c>
      <c r="BF44" s="328">
        <f>+(BF48/BE48-1)*100+4.3</f>
        <v>5.174321329825367</v>
      </c>
      <c r="BG44" s="328">
        <f>+(BG48/BF48-1)*100-1.7</f>
        <v>7.406112995175163</v>
      </c>
      <c r="BH44" s="328">
        <f>+(BH48/BG48-1)*100+2.7</f>
        <v>10.042206955774988</v>
      </c>
      <c r="BI44" s="315">
        <v>3</v>
      </c>
      <c r="BJ44" s="301">
        <f t="shared" si="37"/>
        <v>3</v>
      </c>
      <c r="BK44" s="301">
        <f t="shared" si="37"/>
        <v>3</v>
      </c>
      <c r="BL44" s="301">
        <f t="shared" si="37"/>
        <v>3</v>
      </c>
      <c r="BM44" s="301">
        <f t="shared" si="37"/>
        <v>3</v>
      </c>
      <c r="BN44" s="301">
        <f t="shared" si="37"/>
        <v>3</v>
      </c>
      <c r="BO44" s="301">
        <f t="shared" si="37"/>
        <v>3</v>
      </c>
      <c r="BP44" s="301">
        <f t="shared" si="38"/>
        <v>3</v>
      </c>
      <c r="BQ44" s="301">
        <f t="shared" si="38"/>
        <v>3</v>
      </c>
      <c r="BR44" s="301">
        <f t="shared" si="38"/>
        <v>3</v>
      </c>
      <c r="BS44" s="301">
        <f t="shared" si="38"/>
        <v>3</v>
      </c>
      <c r="BT44" s="301">
        <f t="shared" si="38"/>
        <v>3</v>
      </c>
      <c r="BU44" s="40">
        <f t="shared" si="36"/>
        <v>3</v>
      </c>
      <c r="BV44" s="40">
        <f t="shared" si="27"/>
        <v>3</v>
      </c>
      <c r="BW44" s="40">
        <f t="shared" si="27"/>
        <v>3</v>
      </c>
      <c r="BX44" s="40">
        <f t="shared" si="27"/>
        <v>3</v>
      </c>
      <c r="BY44" s="40">
        <f t="shared" si="27"/>
        <v>3</v>
      </c>
      <c r="BZ44" s="40">
        <f t="shared" si="27"/>
        <v>3</v>
      </c>
      <c r="CA44" s="40">
        <f t="shared" si="27"/>
        <v>3</v>
      </c>
      <c r="CB44" s="40">
        <f t="shared" si="27"/>
        <v>3</v>
      </c>
      <c r="CC44" s="40">
        <f t="shared" si="27"/>
        <v>3</v>
      </c>
      <c r="CD44" s="40">
        <f t="shared" si="27"/>
        <v>3</v>
      </c>
      <c r="CM44" s="301">
        <f>CL44</f>
        <v>0</v>
      </c>
    </row>
    <row r="45" spans="2:91" s="299" customFormat="1">
      <c r="B45" s="299" t="s">
        <v>2319</v>
      </c>
      <c r="C45" s="299" t="s">
        <v>2462</v>
      </c>
      <c r="AW45" s="299">
        <f>(DataInput!AW89/DataInput!AV89-1)*100</f>
        <v>-7.446121559447894</v>
      </c>
      <c r="AX45" s="299">
        <f>(DataInput!AX89/DataInput!AW89-1)*100</f>
        <v>-33.153098155496444</v>
      </c>
      <c r="AY45" s="299">
        <f>(DataInput!AY89/DataInput!AX89-1)*100</f>
        <v>40.117416829745586</v>
      </c>
      <c r="AZ45" s="299">
        <f>(DataInput!AZ89/DataInput!AY89-1)*100</f>
        <v>58.659217877094981</v>
      </c>
      <c r="BA45" s="299">
        <f>(DataInput!BA89/DataInput!AZ89-1)*100</f>
        <v>-14.084507042253524</v>
      </c>
      <c r="BB45" s="299">
        <f>(DataInput!BB89/DataInput!BA89-1)*100</f>
        <v>2.4590163934426368</v>
      </c>
      <c r="BC45" s="299">
        <f>(DataInput!BC89/DataInput!BB89-1)*100</f>
        <v>15.200000000000014</v>
      </c>
      <c r="BD45" s="299">
        <f>(DataInput!BD89/DataInput!BC89-1)*100</f>
        <v>32.638888888888907</v>
      </c>
      <c r="BE45" s="299">
        <f>(DataInput!BE89/DataInput!BD89-1)*100</f>
        <v>42.408376963350783</v>
      </c>
      <c r="BF45" s="299">
        <f>(DataInput!BF89/DataInput!BE89-1)*100</f>
        <v>19.852941176470608</v>
      </c>
      <c r="BG45" s="299">
        <f>(DataInput!BG89/DataInput!BF89-1)*100</f>
        <v>8.8957055214723866</v>
      </c>
      <c r="BH45" s="299">
        <f>(DataInput!BH89/DataInput!BG89-1)*100</f>
        <v>37.605633802816897</v>
      </c>
      <c r="BI45" s="299">
        <f>(DataInput!BI89/DataInput!BH89-1)*100</f>
        <v>-36.642784032753326</v>
      </c>
      <c r="BJ45" s="299">
        <f>(DataInput!BJ89/DataInput!BI89-1)*100</f>
        <v>28.594507269789982</v>
      </c>
      <c r="BK45" s="299">
        <f>(DataInput!BK89/DataInput!BJ89-1)*100</f>
        <v>39.447236180904532</v>
      </c>
      <c r="BL45" s="299">
        <f>(DataInput!BL89/DataInput!BK89-1)*100</f>
        <v>0.9009009009008917</v>
      </c>
      <c r="BM45" s="299">
        <f>(DataInput!BM89/DataInput!BL89-1)*100</f>
        <v>-2.767857142857133</v>
      </c>
      <c r="BN45" s="299">
        <f>(DataInput!BN89/DataInput!BM89-1)*100</f>
        <v>-9.1827364554637256</v>
      </c>
      <c r="BO45" s="299">
        <f>(DataInput!BO89/DataInput!BN89-1)*100</f>
        <v>-43.154701718907994</v>
      </c>
      <c r="BP45" s="299">
        <f>(DataInput!BP89/DataInput!BO89-1)*100</f>
        <v>5.9409462824617565</v>
      </c>
      <c r="BQ45" s="299">
        <f>(DataInput!BQ89/DataInput!BP89-1)*100</f>
        <v>6.564808596373406</v>
      </c>
      <c r="BR45" s="299">
        <f>(DataInput!BR89/DataInput!BQ89-1)*100</f>
        <v>5.0417520088230638</v>
      </c>
      <c r="BS45" s="299">
        <f>(DataInput!BS89/DataInput!BR89-1)*100</f>
        <v>2.6398680065996771</v>
      </c>
      <c r="BT45" s="299">
        <f>(DataInput!BT89/DataInput!BS89-1)*100</f>
        <v>16.761654245214075</v>
      </c>
      <c r="BU45" s="40">
        <f t="shared" si="36"/>
        <v>16.761654245214075</v>
      </c>
      <c r="BV45" s="40">
        <f t="shared" si="27"/>
        <v>16.761654245214075</v>
      </c>
      <c r="BW45" s="40">
        <f t="shared" si="27"/>
        <v>16.761654245214075</v>
      </c>
      <c r="BX45" s="40">
        <f t="shared" si="27"/>
        <v>16.761654245214075</v>
      </c>
      <c r="BY45" s="40">
        <f t="shared" si="27"/>
        <v>16.761654245214075</v>
      </c>
      <c r="BZ45" s="40">
        <f t="shared" si="27"/>
        <v>16.761654245214075</v>
      </c>
      <c r="CA45" s="40">
        <f t="shared" si="27"/>
        <v>16.761654245214075</v>
      </c>
      <c r="CB45" s="40">
        <f t="shared" si="27"/>
        <v>16.761654245214075</v>
      </c>
      <c r="CC45" s="40">
        <f t="shared" si="27"/>
        <v>16.761654245214075</v>
      </c>
      <c r="CD45" s="40">
        <f t="shared" si="27"/>
        <v>16.761654245214075</v>
      </c>
      <c r="CM45" s="299" t="e">
        <f>(DataInput!CM89/DataInput!CL89-1)*100</f>
        <v>#DIV/0!</v>
      </c>
    </row>
    <row r="46" spans="2:91" s="299" customFormat="1">
      <c r="D46" s="299" t="s">
        <v>1498</v>
      </c>
      <c r="BF46" s="525"/>
      <c r="BG46" s="525"/>
      <c r="BU46" s="40">
        <f t="shared" si="36"/>
        <v>0</v>
      </c>
      <c r="BV46" s="40">
        <f t="shared" si="27"/>
        <v>0</v>
      </c>
      <c r="BW46" s="40">
        <f t="shared" si="27"/>
        <v>0</v>
      </c>
      <c r="BX46" s="40">
        <f t="shared" si="27"/>
        <v>0</v>
      </c>
      <c r="BY46" s="40">
        <f t="shared" si="27"/>
        <v>0</v>
      </c>
      <c r="BZ46" s="40">
        <f t="shared" si="27"/>
        <v>0</v>
      </c>
      <c r="CA46" s="40">
        <f t="shared" si="27"/>
        <v>0</v>
      </c>
      <c r="CB46" s="40">
        <f t="shared" si="27"/>
        <v>0</v>
      </c>
      <c r="CC46" s="40">
        <f t="shared" si="27"/>
        <v>0</v>
      </c>
      <c r="CD46" s="40">
        <f t="shared" si="27"/>
        <v>0</v>
      </c>
    </row>
    <row r="47" spans="2:91" s="300" customFormat="1">
      <c r="B47" s="300" t="s">
        <v>2343</v>
      </c>
      <c r="C47" s="300" t="s">
        <v>2462</v>
      </c>
      <c r="D47" s="300" t="s">
        <v>2344</v>
      </c>
      <c r="AV47" s="315">
        <v>2.1786526167746567</v>
      </c>
      <c r="AW47" s="315">
        <v>1.6638507672090741</v>
      </c>
      <c r="AX47" s="315">
        <v>1.1000000000000001</v>
      </c>
      <c r="AY47" s="315">
        <v>1.1000000000000001</v>
      </c>
      <c r="AZ47" s="315">
        <v>2.1474024123848467</v>
      </c>
      <c r="BA47" s="315">
        <v>2.2999999999999998</v>
      </c>
      <c r="BB47" s="315">
        <v>2.2000000000000002</v>
      </c>
      <c r="BC47" s="315">
        <v>2.0876808183779794</v>
      </c>
      <c r="BD47" s="315">
        <v>2.1484986604502376</v>
      </c>
      <c r="BE47" s="315">
        <v>2.1850571384777639</v>
      </c>
      <c r="BF47" s="315">
        <v>2.1849999999999925</v>
      </c>
      <c r="BG47" s="522">
        <v>2.1</v>
      </c>
      <c r="BH47" s="522">
        <v>3.3</v>
      </c>
      <c r="BI47" s="524">
        <v>0.3</v>
      </c>
      <c r="BJ47" s="301">
        <v>1.6</v>
      </c>
      <c r="BK47" s="301">
        <v>2.5</v>
      </c>
      <c r="BL47" s="301">
        <v>1.5</v>
      </c>
      <c r="BM47" s="301">
        <f t="shared" ref="BM47:BT47" si="39">BL47</f>
        <v>1.5</v>
      </c>
      <c r="BN47" s="301">
        <f t="shared" si="39"/>
        <v>1.5</v>
      </c>
      <c r="BO47" s="301">
        <f t="shared" si="39"/>
        <v>1.5</v>
      </c>
      <c r="BP47" s="301">
        <f t="shared" si="39"/>
        <v>1.5</v>
      </c>
      <c r="BQ47" s="301">
        <f t="shared" si="39"/>
        <v>1.5</v>
      </c>
      <c r="BR47" s="301">
        <f t="shared" si="39"/>
        <v>1.5</v>
      </c>
      <c r="BS47" s="301">
        <f t="shared" si="39"/>
        <v>1.5</v>
      </c>
      <c r="BT47" s="301">
        <f t="shared" si="39"/>
        <v>1.5</v>
      </c>
      <c r="BU47" s="40">
        <f t="shared" si="36"/>
        <v>1.5</v>
      </c>
      <c r="BV47" s="40">
        <f t="shared" ref="BV47:CD62" si="40">BU47</f>
        <v>1.5</v>
      </c>
      <c r="BW47" s="40">
        <f t="shared" si="40"/>
        <v>1.5</v>
      </c>
      <c r="BX47" s="40">
        <f t="shared" si="40"/>
        <v>1.5</v>
      </c>
      <c r="BY47" s="40">
        <f t="shared" si="40"/>
        <v>1.5</v>
      </c>
      <c r="BZ47" s="40">
        <f t="shared" si="40"/>
        <v>1.5</v>
      </c>
      <c r="CA47" s="40">
        <f t="shared" si="40"/>
        <v>1.5</v>
      </c>
      <c r="CB47" s="40">
        <f t="shared" si="40"/>
        <v>1.5</v>
      </c>
      <c r="CC47" s="40">
        <f t="shared" si="40"/>
        <v>1.5</v>
      </c>
      <c r="CD47" s="40">
        <f t="shared" si="40"/>
        <v>1.5</v>
      </c>
      <c r="CM47" s="301">
        <f>CL47</f>
        <v>0</v>
      </c>
    </row>
    <row r="48" spans="2:91" s="300" customFormat="1">
      <c r="B48" s="300" t="s">
        <v>1601</v>
      </c>
      <c r="C48" s="300" t="s">
        <v>2462</v>
      </c>
      <c r="D48" s="300" t="s">
        <v>2345</v>
      </c>
      <c r="AV48" s="315">
        <v>1.307141586096447</v>
      </c>
      <c r="AW48" s="315">
        <v>1.1293692585617097</v>
      </c>
      <c r="AX48" s="315">
        <v>1.1108389096820539</v>
      </c>
      <c r="AY48" s="315">
        <v>1.0668416666666667</v>
      </c>
      <c r="AZ48" s="315">
        <v>0.92403333333333337</v>
      </c>
      <c r="BA48" s="315">
        <v>0.89564999999999995</v>
      </c>
      <c r="BB48" s="315">
        <v>0.94490833333333335</v>
      </c>
      <c r="BC48" s="315">
        <v>1.1309</v>
      </c>
      <c r="BD48" s="315">
        <v>1.2433333333333332</v>
      </c>
      <c r="BE48" s="315">
        <v>1.244775</v>
      </c>
      <c r="BF48" s="522">
        <v>1.2556583333333335</v>
      </c>
      <c r="BG48" s="522">
        <v>1.37</v>
      </c>
      <c r="BH48" s="517">
        <f>1/0.68</f>
        <v>1.4705882352941175</v>
      </c>
      <c r="BI48" s="922">
        <f>1/0.72</f>
        <v>1.3888888888888888</v>
      </c>
      <c r="BJ48" s="923">
        <v>1.33</v>
      </c>
      <c r="BK48" s="924">
        <v>1.3909333333333331</v>
      </c>
      <c r="BL48" s="924">
        <v>1.29</v>
      </c>
      <c r="BM48" s="924">
        <v>1.33</v>
      </c>
      <c r="BN48" s="924">
        <v>1.33</v>
      </c>
      <c r="BO48" s="924">
        <v>1.1100000000000001</v>
      </c>
      <c r="BP48" s="924">
        <v>1.05</v>
      </c>
      <c r="BQ48" s="924">
        <v>1.1200000000000001</v>
      </c>
      <c r="BR48" s="924">
        <v>1.165</v>
      </c>
      <c r="BS48" s="924">
        <v>1.2</v>
      </c>
      <c r="BT48" s="1001">
        <v>1.22</v>
      </c>
      <c r="BU48" s="40">
        <f t="shared" si="36"/>
        <v>1.22</v>
      </c>
      <c r="BV48" s="40">
        <f t="shared" si="40"/>
        <v>1.22</v>
      </c>
      <c r="BW48" s="40">
        <f t="shared" si="40"/>
        <v>1.22</v>
      </c>
      <c r="BX48" s="40">
        <f t="shared" si="40"/>
        <v>1.22</v>
      </c>
      <c r="BY48" s="40">
        <f t="shared" si="40"/>
        <v>1.22</v>
      </c>
      <c r="BZ48" s="40">
        <f t="shared" si="40"/>
        <v>1.22</v>
      </c>
      <c r="CA48" s="40">
        <f t="shared" si="40"/>
        <v>1.22</v>
      </c>
      <c r="CB48" s="40">
        <f t="shared" si="40"/>
        <v>1.22</v>
      </c>
      <c r="CC48" s="40">
        <f t="shared" si="40"/>
        <v>1.22</v>
      </c>
      <c r="CD48" s="40">
        <f t="shared" si="40"/>
        <v>1.22</v>
      </c>
      <c r="CM48" s="301">
        <f>1.29+SIM!BE59</f>
        <v>1.29</v>
      </c>
    </row>
    <row r="49" spans="2:91" s="300" customFormat="1">
      <c r="AV49" s="299"/>
      <c r="AW49" s="299"/>
      <c r="AX49" s="299"/>
      <c r="AY49" s="299"/>
      <c r="AZ49" s="299"/>
      <c r="BA49" s="299"/>
      <c r="BB49" s="299"/>
      <c r="BC49" s="299"/>
      <c r="BD49" s="299"/>
      <c r="BE49" s="299"/>
      <c r="BF49" s="525"/>
      <c r="BG49" s="525"/>
      <c r="BH49" s="299"/>
      <c r="BI49" s="925"/>
      <c r="BJ49" s="925"/>
      <c r="BK49" s="925"/>
      <c r="BL49" s="925"/>
      <c r="BM49" s="925"/>
      <c r="BN49" s="925"/>
      <c r="BO49" s="925"/>
      <c r="BP49" s="925"/>
      <c r="BQ49" s="925"/>
      <c r="BR49" s="925"/>
      <c r="BS49" s="925"/>
      <c r="BT49" s="925"/>
      <c r="BU49" s="40">
        <f t="shared" si="36"/>
        <v>0</v>
      </c>
      <c r="BV49" s="40">
        <f t="shared" si="40"/>
        <v>0</v>
      </c>
      <c r="BW49" s="40">
        <f t="shared" si="40"/>
        <v>0</v>
      </c>
      <c r="BX49" s="40">
        <f t="shared" si="40"/>
        <v>0</v>
      </c>
      <c r="BY49" s="40">
        <f t="shared" si="40"/>
        <v>0</v>
      </c>
      <c r="BZ49" s="40">
        <f t="shared" si="40"/>
        <v>0</v>
      </c>
      <c r="CA49" s="40">
        <f t="shared" si="40"/>
        <v>0</v>
      </c>
      <c r="CB49" s="40">
        <f t="shared" si="40"/>
        <v>0</v>
      </c>
      <c r="CC49" s="40">
        <f t="shared" si="40"/>
        <v>0</v>
      </c>
      <c r="CD49" s="40">
        <f t="shared" si="40"/>
        <v>0</v>
      </c>
      <c r="CM49" s="299"/>
    </row>
    <row r="50" spans="2:91" s="300" customFormat="1">
      <c r="B50" s="300" t="s">
        <v>4138</v>
      </c>
      <c r="C50" s="300" t="s">
        <v>2462</v>
      </c>
      <c r="AW50" s="300">
        <f t="shared" ref="AW50:BO50" si="41">AV35*AW42+AV36*AW43+AV37*AW44+AV38*AW45</f>
        <v>0</v>
      </c>
      <c r="AX50" s="300">
        <f t="shared" si="41"/>
        <v>0</v>
      </c>
      <c r="AY50" s="300">
        <f t="shared" si="41"/>
        <v>2.0112321589863038</v>
      </c>
      <c r="AZ50" s="300">
        <f t="shared" si="41"/>
        <v>5.1062846185202639</v>
      </c>
      <c r="BA50" s="300">
        <f t="shared" si="41"/>
        <v>-3.9788874780769019</v>
      </c>
      <c r="BB50" s="300">
        <f t="shared" si="41"/>
        <v>2.6879680960689436</v>
      </c>
      <c r="BC50" s="300">
        <f>BB35*BC42+BB36*BC43+BB37*BC44+BB38*BC45</f>
        <v>14.268444917487386</v>
      </c>
      <c r="BD50" s="300">
        <f t="shared" si="41"/>
        <v>14.06804839663041</v>
      </c>
      <c r="BE50" s="300">
        <f t="shared" si="41"/>
        <v>10.790901118092872</v>
      </c>
      <c r="BF50" s="520">
        <f t="shared" si="41"/>
        <v>7.8072882403173978</v>
      </c>
      <c r="BG50" s="520">
        <f t="shared" si="41"/>
        <v>8.7484355303834711</v>
      </c>
      <c r="BH50" s="300">
        <f t="shared" si="41"/>
        <v>14.39638928051075</v>
      </c>
      <c r="BI50" s="300">
        <f t="shared" si="41"/>
        <v>-4.1245956259349059</v>
      </c>
      <c r="BJ50" s="300">
        <f t="shared" si="41"/>
        <v>5.713240284692148</v>
      </c>
      <c r="BK50" s="300">
        <f t="shared" si="41"/>
        <v>10.79660927983708</v>
      </c>
      <c r="BL50" s="300">
        <f t="shared" si="41"/>
        <v>0.78982985245299742</v>
      </c>
      <c r="BM50" s="300">
        <f t="shared" si="41"/>
        <v>2.4685623583623086</v>
      </c>
      <c r="BN50" s="300">
        <f t="shared" si="41"/>
        <v>-4.924487713808734E-2</v>
      </c>
      <c r="BO50" s="300">
        <f t="shared" si="41"/>
        <v>-10.243754484139728</v>
      </c>
      <c r="BP50" s="300">
        <f>BO35*BP42+BO36*BP43+BO37*BP44+BO38*BP45</f>
        <v>1.8233274802558546</v>
      </c>
      <c r="BQ50" s="300">
        <f>BP35*BQ42+BP36*BQ43+BP37*BQ44+BP38*BQ45</f>
        <v>4.5647332788181867</v>
      </c>
      <c r="BR50" s="300">
        <f>BQ35*BR42+BQ36*BR43+BQ37*BR44+BQ38*BR45</f>
        <v>3.8071513833502246</v>
      </c>
      <c r="BS50" s="300">
        <f>BR35*BS42+BR36*BS43+BR37*BS44+BR38*BS45</f>
        <v>3.2874793468550547</v>
      </c>
      <c r="BT50" s="300">
        <f>BS35*BT42+BS36*BT43+BS37*BT44+BS38*BT45</f>
        <v>4.7663040163181751</v>
      </c>
      <c r="BU50" s="40">
        <f t="shared" si="36"/>
        <v>4.7663040163181751</v>
      </c>
      <c r="BV50" s="40">
        <f t="shared" si="40"/>
        <v>4.7663040163181751</v>
      </c>
      <c r="BW50" s="40">
        <f t="shared" si="40"/>
        <v>4.7663040163181751</v>
      </c>
      <c r="BX50" s="40">
        <f t="shared" si="40"/>
        <v>4.7663040163181751</v>
      </c>
      <c r="BY50" s="40">
        <f t="shared" si="40"/>
        <v>4.7663040163181751</v>
      </c>
      <c r="BZ50" s="40">
        <f t="shared" si="40"/>
        <v>4.7663040163181751</v>
      </c>
      <c r="CA50" s="40">
        <f t="shared" si="40"/>
        <v>4.7663040163181751</v>
      </c>
      <c r="CB50" s="40">
        <f t="shared" si="40"/>
        <v>4.7663040163181751</v>
      </c>
      <c r="CC50" s="40">
        <f t="shared" si="40"/>
        <v>4.7663040163181751</v>
      </c>
      <c r="CD50" s="40">
        <f t="shared" si="40"/>
        <v>4.7663040163181751</v>
      </c>
      <c r="CM50" s="300" t="e">
        <f>CL35*CM42+CL36*CM43+CL37*CM44+CL38*CM45</f>
        <v>#DIV/0!</v>
      </c>
    </row>
    <row r="51" spans="2:91" ht="14.25" customHeight="1">
      <c r="B51" s="300" t="s">
        <v>3612</v>
      </c>
      <c r="C51" s="300" t="s">
        <v>2462</v>
      </c>
      <c r="AV51" s="285"/>
      <c r="AW51" s="285">
        <f t="shared" ref="AW51:BO51" si="42">((1+AW50/100)*AW764/AV764-1)*100</f>
        <v>1.870674066222211E-2</v>
      </c>
      <c r="AX51" s="285">
        <f t="shared" si="42"/>
        <v>0</v>
      </c>
      <c r="AY51" s="285">
        <f t="shared" si="42"/>
        <v>118.75431083749102</v>
      </c>
      <c r="AZ51" s="285">
        <f t="shared" si="42"/>
        <v>62.114077464373743</v>
      </c>
      <c r="BA51" s="285">
        <f t="shared" si="42"/>
        <v>57.717270946467657</v>
      </c>
      <c r="BB51" s="285">
        <f t="shared" si="42"/>
        <v>9.6852209875176278</v>
      </c>
      <c r="BC51" s="285">
        <f t="shared" si="42"/>
        <v>27.840782960939059</v>
      </c>
      <c r="BD51" s="285">
        <f t="shared" si="42"/>
        <v>19.793512277117209</v>
      </c>
      <c r="BE51" s="285">
        <f t="shared" si="42"/>
        <v>10.628807627064196</v>
      </c>
      <c r="BF51" s="285">
        <f t="shared" si="42"/>
        <v>8.3009113549708644</v>
      </c>
      <c r="BG51" s="285">
        <f t="shared" si="42"/>
        <v>8.8475681060720568</v>
      </c>
      <c r="BH51" s="285">
        <f t="shared" si="42"/>
        <v>14.396389280510746</v>
      </c>
      <c r="BI51" s="285">
        <f t="shared" si="42"/>
        <v>-0.45723043129852758</v>
      </c>
      <c r="BJ51" s="285">
        <f t="shared" si="42"/>
        <v>13.131713287126679</v>
      </c>
      <c r="BK51" s="285">
        <f t="shared" si="42"/>
        <v>18.061960708023108</v>
      </c>
      <c r="BL51" s="285">
        <f t="shared" si="42"/>
        <v>3.89105538637462</v>
      </c>
      <c r="BM51" s="285">
        <f t="shared" si="42"/>
        <v>2.4685623583623029</v>
      </c>
      <c r="BN51" s="285">
        <f t="shared" si="42"/>
        <v>-4.9244877138088228E-2</v>
      </c>
      <c r="BO51" s="285">
        <f t="shared" si="42"/>
        <v>-10.243754484139721</v>
      </c>
      <c r="BP51" s="285">
        <f>((1+BP50/100)*BP764/BO764-1)*100</f>
        <v>27.659097139425249</v>
      </c>
      <c r="BQ51" s="285">
        <f>((1+BQ50/100)*BQ764/BP764-1)*100</f>
        <v>4.5647332788181894</v>
      </c>
      <c r="BR51" s="285">
        <f>((1+BR50/100)*BR764/BQ764-1)*100</f>
        <v>3.8071513833502157</v>
      </c>
      <c r="BS51" s="285">
        <f>((1+BS50/100)*BS764/BR764-1)*100</f>
        <v>3.2874793468550489</v>
      </c>
      <c r="BT51" s="285">
        <f>((1+BT50/100)*BT764/BS764-1)*100</f>
        <v>4.766304016318168</v>
      </c>
      <c r="BU51" s="40">
        <f t="shared" si="36"/>
        <v>4.766304016318168</v>
      </c>
      <c r="BV51" s="40">
        <f t="shared" si="40"/>
        <v>4.766304016318168</v>
      </c>
      <c r="BW51" s="40">
        <f t="shared" si="40"/>
        <v>4.766304016318168</v>
      </c>
      <c r="BX51" s="40">
        <f t="shared" si="40"/>
        <v>4.766304016318168</v>
      </c>
      <c r="BY51" s="40">
        <f t="shared" si="40"/>
        <v>4.766304016318168</v>
      </c>
      <c r="BZ51" s="40">
        <f t="shared" si="40"/>
        <v>4.766304016318168</v>
      </c>
      <c r="CA51" s="40">
        <f t="shared" si="40"/>
        <v>4.766304016318168</v>
      </c>
      <c r="CB51" s="40">
        <f t="shared" si="40"/>
        <v>4.766304016318168</v>
      </c>
      <c r="CC51" s="40">
        <f t="shared" si="40"/>
        <v>4.766304016318168</v>
      </c>
      <c r="CD51" s="40">
        <f t="shared" si="40"/>
        <v>4.766304016318168</v>
      </c>
    </row>
    <row r="52" spans="2:91" ht="14.25" customHeight="1">
      <c r="B52" s="527" t="s">
        <v>758</v>
      </c>
      <c r="BU52" s="40">
        <f t="shared" si="36"/>
        <v>0</v>
      </c>
      <c r="BV52" s="40">
        <f t="shared" si="40"/>
        <v>0</v>
      </c>
      <c r="BW52" s="40">
        <f t="shared" si="40"/>
        <v>0</v>
      </c>
      <c r="BX52" s="40">
        <f t="shared" si="40"/>
        <v>0</v>
      </c>
      <c r="BY52" s="40">
        <f t="shared" si="40"/>
        <v>0</v>
      </c>
      <c r="BZ52" s="40">
        <f t="shared" si="40"/>
        <v>0</v>
      </c>
      <c r="CA52" s="40">
        <f t="shared" si="40"/>
        <v>0</v>
      </c>
      <c r="CB52" s="40">
        <f t="shared" si="40"/>
        <v>0</v>
      </c>
      <c r="CC52" s="40">
        <f t="shared" si="40"/>
        <v>0</v>
      </c>
      <c r="CD52" s="40">
        <f t="shared" si="40"/>
        <v>0</v>
      </c>
    </row>
    <row r="53" spans="2:91">
      <c r="B53" s="25" t="s">
        <v>1928</v>
      </c>
      <c r="C53" s="1" t="s">
        <v>2462</v>
      </c>
      <c r="D53" s="1" t="s">
        <v>2108</v>
      </c>
      <c r="AV53" s="2">
        <v>-0.7</v>
      </c>
      <c r="AW53" s="2">
        <v>7.1</v>
      </c>
      <c r="AX53" s="2">
        <v>19</v>
      </c>
      <c r="AY53" s="2">
        <v>97.9</v>
      </c>
      <c r="AZ53" s="2">
        <v>59.3</v>
      </c>
      <c r="BA53" s="2">
        <v>38.6</v>
      </c>
      <c r="BB53" s="2">
        <v>15.5</v>
      </c>
      <c r="BC53" s="2">
        <v>22.7</v>
      </c>
      <c r="BD53" s="31">
        <v>10</v>
      </c>
      <c r="BE53" s="31">
        <v>9.5</v>
      </c>
      <c r="BF53" s="528">
        <v>11.2</v>
      </c>
      <c r="BG53" s="528">
        <v>6.4262793447052768</v>
      </c>
      <c r="BH53" s="31">
        <v>14.702848528128264</v>
      </c>
      <c r="BI53" s="31">
        <v>-0.19406604311096309</v>
      </c>
      <c r="BJ53" s="31">
        <v>6.9447872953180445</v>
      </c>
      <c r="BK53" s="285">
        <v>17.70408555820573</v>
      </c>
      <c r="BL53" s="285">
        <v>5.0137272846123571</v>
      </c>
      <c r="BM53" s="285">
        <v>1.9309056956115844</v>
      </c>
      <c r="BN53" s="285">
        <v>3.3697298353607907</v>
      </c>
      <c r="BO53" s="475">
        <v>6.9</v>
      </c>
      <c r="BP53" s="1">
        <v>6</v>
      </c>
      <c r="BQ53" s="1">
        <v>3.7</v>
      </c>
      <c r="BR53" s="1">
        <v>3.7</v>
      </c>
      <c r="BS53" s="1">
        <f>BR53</f>
        <v>3.7</v>
      </c>
      <c r="BT53" s="1">
        <f>BS53</f>
        <v>3.7</v>
      </c>
      <c r="BU53" s="40">
        <f t="shared" si="36"/>
        <v>3.7</v>
      </c>
      <c r="BV53" s="40">
        <f t="shared" si="40"/>
        <v>3.7</v>
      </c>
      <c r="BW53" s="40">
        <f t="shared" si="40"/>
        <v>3.7</v>
      </c>
      <c r="BX53" s="40">
        <f t="shared" si="40"/>
        <v>3.7</v>
      </c>
      <c r="BY53" s="40">
        <f t="shared" si="40"/>
        <v>3.7</v>
      </c>
      <c r="BZ53" s="40">
        <f t="shared" si="40"/>
        <v>3.7</v>
      </c>
      <c r="CA53" s="40">
        <f t="shared" si="40"/>
        <v>3.7</v>
      </c>
      <c r="CB53" s="40">
        <f t="shared" si="40"/>
        <v>3.7</v>
      </c>
      <c r="CC53" s="40">
        <f t="shared" si="40"/>
        <v>3.7</v>
      </c>
      <c r="CD53" s="40">
        <f t="shared" si="40"/>
        <v>3.7</v>
      </c>
      <c r="CM53" s="285">
        <v>3.6</v>
      </c>
    </row>
    <row r="54" spans="2:91" s="25" customFormat="1">
      <c r="B54" s="25" t="s">
        <v>1928</v>
      </c>
      <c r="BE54" s="25">
        <v>15.8</v>
      </c>
      <c r="BF54" s="307">
        <v>4.8</v>
      </c>
      <c r="BG54" s="307">
        <v>8.3000000000000007</v>
      </c>
      <c r="BH54" s="25">
        <v>9.4</v>
      </c>
      <c r="BI54" s="25">
        <v>1.3</v>
      </c>
      <c r="BJ54" s="25">
        <v>10.3</v>
      </c>
      <c r="BK54" s="25">
        <v>15.3</v>
      </c>
      <c r="BL54" s="25">
        <v>4.4000000000000004</v>
      </c>
      <c r="BM54" s="25">
        <v>0.6</v>
      </c>
      <c r="BN54" s="25">
        <v>3.9</v>
      </c>
      <c r="BO54" s="25">
        <v>7.6</v>
      </c>
      <c r="BP54" s="25">
        <v>3.7</v>
      </c>
      <c r="BQ54" s="25">
        <v>3.7</v>
      </c>
      <c r="BR54" s="25">
        <v>3.7</v>
      </c>
      <c r="BS54" s="25">
        <f>BR54</f>
        <v>3.7</v>
      </c>
      <c r="BT54" s="25">
        <f>BS54</f>
        <v>3.7</v>
      </c>
      <c r="BU54" s="40">
        <f t="shared" si="36"/>
        <v>3.7</v>
      </c>
      <c r="BV54" s="40">
        <f t="shared" si="40"/>
        <v>3.7</v>
      </c>
      <c r="BW54" s="40">
        <f t="shared" si="40"/>
        <v>3.7</v>
      </c>
      <c r="BX54" s="40">
        <f t="shared" si="40"/>
        <v>3.7</v>
      </c>
      <c r="BY54" s="40">
        <f t="shared" si="40"/>
        <v>3.7</v>
      </c>
      <c r="BZ54" s="40">
        <f t="shared" si="40"/>
        <v>3.7</v>
      </c>
      <c r="CA54" s="40">
        <f t="shared" si="40"/>
        <v>3.7</v>
      </c>
      <c r="CB54" s="40">
        <f t="shared" si="40"/>
        <v>3.7</v>
      </c>
      <c r="CC54" s="40">
        <f t="shared" si="40"/>
        <v>3.7</v>
      </c>
      <c r="CD54" s="40">
        <f t="shared" si="40"/>
        <v>3.7</v>
      </c>
    </row>
    <row r="55" spans="2:91" ht="14.25" customHeight="1">
      <c r="B55" s="529" t="s">
        <v>4346</v>
      </c>
      <c r="AV55" s="25"/>
      <c r="BF55" s="1"/>
      <c r="BG55" s="1"/>
      <c r="BU55" s="40">
        <f t="shared" si="36"/>
        <v>0</v>
      </c>
      <c r="BV55" s="40">
        <f t="shared" si="40"/>
        <v>0</v>
      </c>
      <c r="BW55" s="40">
        <f t="shared" si="40"/>
        <v>0</v>
      </c>
      <c r="BX55" s="40">
        <f t="shared" si="40"/>
        <v>0</v>
      </c>
      <c r="BY55" s="40">
        <f t="shared" si="40"/>
        <v>0</v>
      </c>
      <c r="BZ55" s="40">
        <f t="shared" si="40"/>
        <v>0</v>
      </c>
      <c r="CA55" s="40">
        <f t="shared" si="40"/>
        <v>0</v>
      </c>
      <c r="CB55" s="40">
        <f t="shared" si="40"/>
        <v>0</v>
      </c>
      <c r="CC55" s="40">
        <f t="shared" si="40"/>
        <v>0</v>
      </c>
      <c r="CD55" s="40">
        <f t="shared" si="40"/>
        <v>0</v>
      </c>
    </row>
    <row r="56" spans="2:91">
      <c r="B56" s="25" t="s">
        <v>3173</v>
      </c>
      <c r="BH56" s="509">
        <v>2174.83</v>
      </c>
      <c r="BI56" s="233">
        <f>BI58/365*1000</f>
        <v>4208.4547945205477</v>
      </c>
      <c r="BJ56" s="233">
        <f>BJ58/365*1000</f>
        <v>4125.6657534246579</v>
      </c>
      <c r="BK56" s="233">
        <f>BK58/365*1000</f>
        <v>3866.9479452054793</v>
      </c>
      <c r="BL56" s="285"/>
      <c r="BU56" s="40">
        <f t="shared" si="36"/>
        <v>0</v>
      </c>
      <c r="BV56" s="40">
        <f t="shared" si="40"/>
        <v>0</v>
      </c>
      <c r="BW56" s="40">
        <f t="shared" si="40"/>
        <v>0</v>
      </c>
      <c r="BX56" s="40">
        <f t="shared" si="40"/>
        <v>0</v>
      </c>
      <c r="BY56" s="40">
        <f t="shared" si="40"/>
        <v>0</v>
      </c>
      <c r="BZ56" s="40">
        <f t="shared" si="40"/>
        <v>0</v>
      </c>
      <c r="CA56" s="40">
        <f t="shared" si="40"/>
        <v>0</v>
      </c>
      <c r="CB56" s="40">
        <f t="shared" si="40"/>
        <v>0</v>
      </c>
      <c r="CC56" s="40">
        <f t="shared" si="40"/>
        <v>0</v>
      </c>
      <c r="CD56" s="40">
        <f t="shared" si="40"/>
        <v>0</v>
      </c>
    </row>
    <row r="57" spans="2:91">
      <c r="B57" s="25" t="s">
        <v>2072</v>
      </c>
      <c r="D57" s="1" t="s">
        <v>2462</v>
      </c>
      <c r="BE57" s="1">
        <f t="shared" ref="BE57:BK57" si="43">100*(BE58-BD58)/BD58</f>
        <v>-4.1379310344827589</v>
      </c>
      <c r="BF57" s="285">
        <f t="shared" si="43"/>
        <v>9.3107399794450103</v>
      </c>
      <c r="BG57" s="285">
        <f t="shared" si="43"/>
        <v>1.6249629205142877</v>
      </c>
      <c r="BH57" s="1">
        <f>100*(BH58-BG58)/BG58</f>
        <v>0.68361186500029336</v>
      </c>
      <c r="BI57" s="1">
        <f t="shared" si="43"/>
        <v>-29.425034607823179</v>
      </c>
      <c r="BJ57" s="1">
        <f t="shared" si="43"/>
        <v>-1.9672075652014325</v>
      </c>
      <c r="BK57" s="285">
        <f t="shared" si="43"/>
        <v>-6.2709347698470257</v>
      </c>
      <c r="BL57" s="285">
        <f>100*(BL58-BK58)/BK58</f>
        <v>-14.81724994969662</v>
      </c>
      <c r="BM57" s="285">
        <f>100*(BM58-BL58)/BL58</f>
        <v>-4.707643682941022</v>
      </c>
      <c r="BN57" s="285">
        <f>100*(BN58-BM58)/BM58</f>
        <v>1.3397049838526605</v>
      </c>
      <c r="BO57" s="285">
        <f>100*(BO58-BN58)/BN58</f>
        <v>94.370349571809612</v>
      </c>
      <c r="BP57" s="25"/>
      <c r="BQ57" s="25"/>
      <c r="BR57" s="25"/>
      <c r="BS57" s="25"/>
      <c r="BT57" s="25"/>
      <c r="BU57" s="40">
        <f t="shared" si="36"/>
        <v>0</v>
      </c>
      <c r="BV57" s="40">
        <f t="shared" si="40"/>
        <v>0</v>
      </c>
      <c r="BW57" s="40">
        <f t="shared" si="40"/>
        <v>0</v>
      </c>
      <c r="BX57" s="40">
        <f t="shared" si="40"/>
        <v>0</v>
      </c>
      <c r="BY57" s="40">
        <f t="shared" si="40"/>
        <v>0</v>
      </c>
      <c r="BZ57" s="40">
        <f t="shared" si="40"/>
        <v>0</v>
      </c>
      <c r="CA57" s="40">
        <f t="shared" si="40"/>
        <v>0</v>
      </c>
      <c r="CB57" s="40">
        <f t="shared" si="40"/>
        <v>0</v>
      </c>
      <c r="CC57" s="40">
        <f t="shared" si="40"/>
        <v>0</v>
      </c>
      <c r="CD57" s="40">
        <f t="shared" si="40"/>
        <v>0</v>
      </c>
      <c r="CE57" s="25"/>
      <c r="CF57" s="25"/>
      <c r="CG57" s="25"/>
      <c r="CH57" s="25"/>
      <c r="CM57" s="285" t="e">
        <f>100*(CM58-CL58)/CL58</f>
        <v>#DIV/0!</v>
      </c>
    </row>
    <row r="58" spans="2:91">
      <c r="B58" s="377" t="s">
        <v>2072</v>
      </c>
      <c r="C58" s="1" t="s">
        <v>4397</v>
      </c>
      <c r="D58" s="1" t="s">
        <v>1431</v>
      </c>
      <c r="AV58" s="2">
        <v>1608</v>
      </c>
      <c r="AW58" s="2">
        <v>1647</v>
      </c>
      <c r="AX58" s="2">
        <v>1740</v>
      </c>
      <c r="AY58" s="2">
        <v>1858</v>
      </c>
      <c r="AZ58" s="2">
        <v>1869.3</v>
      </c>
      <c r="BA58" s="2">
        <v>1909</v>
      </c>
      <c r="BB58" s="2">
        <v>1886</v>
      </c>
      <c r="BC58" s="2">
        <v>2041</v>
      </c>
      <c r="BD58" s="2">
        <v>2030</v>
      </c>
      <c r="BE58" s="2">
        <v>1946</v>
      </c>
      <c r="BF58" s="517">
        <v>2127.1869999999999</v>
      </c>
      <c r="BG58" s="517">
        <v>2161.7530000000002</v>
      </c>
      <c r="BH58" s="475">
        <v>2176.5309999999999</v>
      </c>
      <c r="BI58" s="475">
        <v>1536.086</v>
      </c>
      <c r="BJ58" s="475">
        <v>1505.8679999999999</v>
      </c>
      <c r="BK58" s="475">
        <v>1411.4359999999999</v>
      </c>
      <c r="BL58" s="1">
        <v>1202.3</v>
      </c>
      <c r="BM58" s="1">
        <v>1145.7</v>
      </c>
      <c r="BN58" s="1072">
        <v>1161.049</v>
      </c>
      <c r="BO58" s="1">
        <v>2256.7349999999997</v>
      </c>
      <c r="BP58" s="233">
        <v>2070</v>
      </c>
      <c r="BQ58" s="530">
        <v>2070</v>
      </c>
      <c r="BR58" s="530">
        <v>3955.1400000000003</v>
      </c>
      <c r="BS58" s="530">
        <v>3955.1400000000003</v>
      </c>
      <c r="BT58" s="530">
        <f t="shared" ref="BQ58:BT61" si="44">BS58</f>
        <v>3955.1400000000003</v>
      </c>
      <c r="BU58" s="40">
        <f t="shared" si="36"/>
        <v>3955.1400000000003</v>
      </c>
      <c r="BV58" s="40">
        <f t="shared" si="40"/>
        <v>3955.1400000000003</v>
      </c>
      <c r="BW58" s="40">
        <f t="shared" si="40"/>
        <v>3955.1400000000003</v>
      </c>
      <c r="BX58" s="40">
        <f t="shared" si="40"/>
        <v>3955.1400000000003</v>
      </c>
      <c r="BY58" s="40">
        <f t="shared" si="40"/>
        <v>3955.1400000000003</v>
      </c>
      <c r="BZ58" s="40">
        <f t="shared" si="40"/>
        <v>3955.1400000000003</v>
      </c>
      <c r="CA58" s="40">
        <f t="shared" si="40"/>
        <v>3955.1400000000003</v>
      </c>
      <c r="CB58" s="40">
        <f t="shared" si="40"/>
        <v>3955.1400000000003</v>
      </c>
      <c r="CC58" s="40">
        <f t="shared" si="40"/>
        <v>3955.1400000000003</v>
      </c>
      <c r="CD58" s="40">
        <f t="shared" si="40"/>
        <v>3955.1400000000003</v>
      </c>
      <c r="CE58" s="25"/>
      <c r="CF58" s="25"/>
      <c r="CG58" s="25"/>
      <c r="CH58" s="25"/>
      <c r="CM58" s="1">
        <v>1309.172</v>
      </c>
    </row>
    <row r="59" spans="2:91">
      <c r="B59" s="377" t="s">
        <v>1472</v>
      </c>
      <c r="C59" s="1" t="s">
        <v>4397</v>
      </c>
      <c r="D59" s="1" t="s">
        <v>3331</v>
      </c>
      <c r="AV59" s="2"/>
      <c r="AW59" s="2"/>
      <c r="AX59" s="2"/>
      <c r="AY59" s="2"/>
      <c r="AZ59" s="2"/>
      <c r="BA59" s="2"/>
      <c r="BB59" s="2"/>
      <c r="BC59" s="2"/>
      <c r="BD59" s="2">
        <v>2014</v>
      </c>
      <c r="BE59" s="2">
        <v>1940</v>
      </c>
      <c r="BF59" s="517">
        <v>2133</v>
      </c>
      <c r="BG59" s="517">
        <v>2178.4720000000002</v>
      </c>
      <c r="BH59" s="32">
        <v>2496.3330000000001</v>
      </c>
      <c r="BI59" s="32">
        <v>2596.1860000000001</v>
      </c>
      <c r="BJ59" s="32">
        <v>2700.0340000000001</v>
      </c>
      <c r="BK59" s="1">
        <v>1421.4639999999999</v>
      </c>
      <c r="BL59" s="1">
        <v>1202.3</v>
      </c>
      <c r="BM59" s="1">
        <v>1149.4000000000001</v>
      </c>
      <c r="BN59" s="1">
        <f>573.4+576</f>
        <v>1149.4000000000001</v>
      </c>
      <c r="BO59" s="1">
        <v>4175.232</v>
      </c>
      <c r="BP59" s="25">
        <v>4175.232</v>
      </c>
      <c r="BQ59" s="530">
        <f t="shared" si="44"/>
        <v>4175.232</v>
      </c>
      <c r="BR59" s="530">
        <f t="shared" si="44"/>
        <v>4175.232</v>
      </c>
      <c r="BS59" s="530">
        <f t="shared" si="44"/>
        <v>4175.232</v>
      </c>
      <c r="BT59" s="530">
        <f t="shared" si="44"/>
        <v>4175.232</v>
      </c>
      <c r="BU59" s="40">
        <f t="shared" si="36"/>
        <v>4175.232</v>
      </c>
      <c r="BV59" s="40">
        <f t="shared" si="40"/>
        <v>4175.232</v>
      </c>
      <c r="BW59" s="40">
        <f t="shared" si="40"/>
        <v>4175.232</v>
      </c>
      <c r="BX59" s="40">
        <f t="shared" si="40"/>
        <v>4175.232</v>
      </c>
      <c r="BY59" s="40">
        <f t="shared" si="40"/>
        <v>4175.232</v>
      </c>
      <c r="BZ59" s="40">
        <f t="shared" si="40"/>
        <v>4175.232</v>
      </c>
      <c r="CA59" s="40">
        <f t="shared" si="40"/>
        <v>4175.232</v>
      </c>
      <c r="CB59" s="40">
        <f t="shared" si="40"/>
        <v>4175.232</v>
      </c>
      <c r="CC59" s="40">
        <f t="shared" si="40"/>
        <v>4175.232</v>
      </c>
      <c r="CD59" s="40">
        <f t="shared" si="40"/>
        <v>4175.232</v>
      </c>
      <c r="CE59" s="25"/>
      <c r="CF59" s="25"/>
      <c r="CG59" s="25"/>
      <c r="CH59" s="25"/>
      <c r="CM59" s="1">
        <v>2964.4140000000002</v>
      </c>
    </row>
    <row r="60" spans="2:91">
      <c r="B60" s="25" t="s">
        <v>3172</v>
      </c>
      <c r="C60" s="1" t="s">
        <v>4397</v>
      </c>
      <c r="D60" s="1" t="s">
        <v>4385</v>
      </c>
      <c r="AV60" s="2">
        <v>27</v>
      </c>
      <c r="AW60" s="2">
        <v>28</v>
      </c>
      <c r="AX60" s="2">
        <v>26.6</v>
      </c>
      <c r="AY60" s="2">
        <v>6.6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517">
        <v>0</v>
      </c>
      <c r="BG60" s="517">
        <v>0</v>
      </c>
      <c r="BH60" s="2">
        <v>0</v>
      </c>
      <c r="BI60" s="2">
        <v>0</v>
      </c>
      <c r="BJ60" s="2">
        <v>0</v>
      </c>
      <c r="BK60" s="1">
        <f t="shared" ref="BK60:BP60" si="45">BJ60</f>
        <v>0</v>
      </c>
      <c r="BL60" s="1">
        <f t="shared" si="45"/>
        <v>0</v>
      </c>
      <c r="BM60" s="1">
        <f t="shared" si="45"/>
        <v>0</v>
      </c>
      <c r="BN60" s="1">
        <f t="shared" si="45"/>
        <v>0</v>
      </c>
      <c r="BO60" s="1">
        <f t="shared" si="45"/>
        <v>0</v>
      </c>
      <c r="BP60" s="1">
        <f t="shared" si="45"/>
        <v>0</v>
      </c>
      <c r="BQ60" s="530">
        <f t="shared" si="44"/>
        <v>0</v>
      </c>
      <c r="BR60" s="530">
        <f t="shared" si="44"/>
        <v>0</v>
      </c>
      <c r="BS60" s="530">
        <f t="shared" si="44"/>
        <v>0</v>
      </c>
      <c r="BT60" s="530">
        <f t="shared" si="44"/>
        <v>0</v>
      </c>
      <c r="BU60" s="40">
        <f t="shared" si="36"/>
        <v>0</v>
      </c>
      <c r="BV60" s="40">
        <f t="shared" si="40"/>
        <v>0</v>
      </c>
      <c r="BW60" s="40">
        <f t="shared" si="40"/>
        <v>0</v>
      </c>
      <c r="BX60" s="40">
        <f t="shared" si="40"/>
        <v>0</v>
      </c>
      <c r="BY60" s="40">
        <f t="shared" si="40"/>
        <v>0</v>
      </c>
      <c r="BZ60" s="40">
        <f t="shared" si="40"/>
        <v>0</v>
      </c>
      <c r="CA60" s="40">
        <f t="shared" si="40"/>
        <v>0</v>
      </c>
      <c r="CB60" s="40">
        <f t="shared" si="40"/>
        <v>0</v>
      </c>
      <c r="CC60" s="40">
        <f t="shared" si="40"/>
        <v>0</v>
      </c>
      <c r="CD60" s="40">
        <f t="shared" si="40"/>
        <v>0</v>
      </c>
      <c r="CE60" s="25"/>
      <c r="CF60" s="25"/>
      <c r="CG60" s="25"/>
      <c r="CH60" s="25"/>
      <c r="CM60" s="1">
        <f>CL60</f>
        <v>0</v>
      </c>
    </row>
    <row r="61" spans="2:91">
      <c r="B61" s="25" t="s">
        <v>2210</v>
      </c>
      <c r="C61" s="1" t="s">
        <v>4397</v>
      </c>
      <c r="D61" s="1" t="s">
        <v>4503</v>
      </c>
      <c r="AV61" s="2">
        <v>82.9</v>
      </c>
      <c r="AW61" s="2">
        <v>72.900000000000006</v>
      </c>
      <c r="AX61" s="2">
        <v>58.1</v>
      </c>
      <c r="AY61" s="2">
        <v>53.3</v>
      </c>
      <c r="AZ61" s="2">
        <v>47.335999999999999</v>
      </c>
      <c r="BA61" s="2">
        <v>53.145000000000003</v>
      </c>
      <c r="BB61" s="2">
        <v>71.811999999999998</v>
      </c>
      <c r="BC61" s="2">
        <v>41.948999999999998</v>
      </c>
      <c r="BD61" s="2">
        <v>52.28</v>
      </c>
      <c r="BE61" s="2">
        <v>35.877000000000002</v>
      </c>
      <c r="BF61" s="517">
        <v>41.462000000000003</v>
      </c>
      <c r="BG61" s="528">
        <v>52.5</v>
      </c>
      <c r="BH61" s="31">
        <v>52.640999999999998</v>
      </c>
      <c r="BI61" s="31">
        <v>51.941000000000003</v>
      </c>
      <c r="BJ61" s="99">
        <v>89.412000000000006</v>
      </c>
      <c r="BK61" s="531">
        <v>46.109000000000002</v>
      </c>
      <c r="BL61" s="531">
        <v>56.317</v>
      </c>
      <c r="BM61" s="531">
        <v>77.161000000000001</v>
      </c>
      <c r="BN61" s="531">
        <v>103.755</v>
      </c>
      <c r="BO61" s="531">
        <v>90</v>
      </c>
      <c r="BP61" s="531">
        <f>BO61*1.1</f>
        <v>99.000000000000014</v>
      </c>
      <c r="BQ61" s="530">
        <f t="shared" si="44"/>
        <v>99.000000000000014</v>
      </c>
      <c r="BR61" s="530">
        <f t="shared" si="44"/>
        <v>99.000000000000014</v>
      </c>
      <c r="BS61" s="530">
        <f t="shared" si="44"/>
        <v>99.000000000000014</v>
      </c>
      <c r="BT61" s="530">
        <f t="shared" si="44"/>
        <v>99.000000000000014</v>
      </c>
      <c r="BU61" s="40">
        <f t="shared" si="36"/>
        <v>99.000000000000014</v>
      </c>
      <c r="BV61" s="40">
        <f t="shared" si="40"/>
        <v>99.000000000000014</v>
      </c>
      <c r="BW61" s="40">
        <f t="shared" si="40"/>
        <v>99.000000000000014</v>
      </c>
      <c r="BX61" s="40">
        <f t="shared" si="40"/>
        <v>99.000000000000014</v>
      </c>
      <c r="BY61" s="40">
        <f t="shared" si="40"/>
        <v>99.000000000000014</v>
      </c>
      <c r="BZ61" s="40">
        <f t="shared" si="40"/>
        <v>99.000000000000014</v>
      </c>
      <c r="CA61" s="40">
        <f t="shared" si="40"/>
        <v>99.000000000000014</v>
      </c>
      <c r="CB61" s="40">
        <f t="shared" si="40"/>
        <v>99.000000000000014</v>
      </c>
      <c r="CC61" s="40">
        <f t="shared" si="40"/>
        <v>99.000000000000014</v>
      </c>
      <c r="CD61" s="40">
        <f t="shared" si="40"/>
        <v>99.000000000000014</v>
      </c>
      <c r="CE61" s="25"/>
      <c r="CF61" s="25"/>
      <c r="CG61" s="25"/>
      <c r="CH61" s="25"/>
      <c r="CM61" s="531">
        <f>CL61+15</f>
        <v>15</v>
      </c>
    </row>
    <row r="62" spans="2:91">
      <c r="B62" s="25" t="s">
        <v>2689</v>
      </c>
      <c r="C62" s="1" t="s">
        <v>4397</v>
      </c>
      <c r="D62" s="1" t="s">
        <v>183</v>
      </c>
      <c r="AV62" s="2"/>
      <c r="AW62" s="2"/>
      <c r="AX62" s="2"/>
      <c r="AY62" s="2"/>
      <c r="AZ62" s="2">
        <v>163.655</v>
      </c>
      <c r="BA62" s="2">
        <v>191.315</v>
      </c>
      <c r="BB62" s="2">
        <v>157.10499999999999</v>
      </c>
      <c r="BC62" s="2">
        <v>193.685</v>
      </c>
      <c r="BD62" s="2">
        <v>174.49</v>
      </c>
      <c r="BE62" s="2">
        <v>163.95500000000001</v>
      </c>
      <c r="BF62" s="528">
        <v>182.65899999999999</v>
      </c>
      <c r="BG62" s="528">
        <v>179.012</v>
      </c>
      <c r="BH62" s="31">
        <v>182.87700000000001</v>
      </c>
      <c r="BI62" s="531">
        <v>229.37</v>
      </c>
      <c r="BJ62" s="531">
        <v>250</v>
      </c>
      <c r="BK62" s="1">
        <f>BJ62</f>
        <v>250</v>
      </c>
      <c r="BN62" s="1">
        <v>275.851</v>
      </c>
      <c r="BO62" s="1">
        <v>268.35000000000002</v>
      </c>
      <c r="BP62" s="25"/>
      <c r="BQ62" s="25"/>
      <c r="BR62" s="25"/>
      <c r="BS62" s="25"/>
      <c r="BT62" s="25"/>
      <c r="BU62" s="40">
        <f t="shared" si="36"/>
        <v>0</v>
      </c>
      <c r="BV62" s="40">
        <f t="shared" si="40"/>
        <v>0</v>
      </c>
      <c r="BW62" s="40">
        <f t="shared" si="40"/>
        <v>0</v>
      </c>
      <c r="BX62" s="40">
        <f t="shared" si="40"/>
        <v>0</v>
      </c>
      <c r="BY62" s="40">
        <f t="shared" si="40"/>
        <v>0</v>
      </c>
      <c r="BZ62" s="40">
        <f t="shared" si="40"/>
        <v>0</v>
      </c>
      <c r="CA62" s="40">
        <f t="shared" si="40"/>
        <v>0</v>
      </c>
      <c r="CB62" s="40">
        <f t="shared" si="40"/>
        <v>0</v>
      </c>
      <c r="CC62" s="40">
        <f t="shared" si="40"/>
        <v>0</v>
      </c>
      <c r="CD62" s="40">
        <f t="shared" si="40"/>
        <v>0</v>
      </c>
      <c r="CE62" s="25"/>
      <c r="CF62" s="25"/>
      <c r="CG62" s="25"/>
      <c r="CH62" s="25"/>
    </row>
    <row r="63" spans="2:91">
      <c r="B63" s="532" t="s">
        <v>2211</v>
      </c>
      <c r="C63" s="1" t="s">
        <v>4397</v>
      </c>
      <c r="D63" s="1" t="s">
        <v>3474</v>
      </c>
      <c r="AV63" s="2">
        <v>26.9</v>
      </c>
      <c r="AW63" s="2">
        <v>29</v>
      </c>
      <c r="AX63" s="2">
        <v>24.1</v>
      </c>
      <c r="AY63" s="2">
        <v>39.1</v>
      </c>
      <c r="AZ63" s="2">
        <v>35.36</v>
      </c>
      <c r="BA63" s="31">
        <v>29.388999999999999</v>
      </c>
      <c r="BB63" s="2">
        <v>4.952</v>
      </c>
      <c r="BC63" s="2">
        <v>0</v>
      </c>
      <c r="BD63" s="2">
        <v>21.3</v>
      </c>
      <c r="BE63" s="2">
        <v>39.5</v>
      </c>
      <c r="BF63" s="517">
        <v>47.005000000000003</v>
      </c>
      <c r="BG63" s="517">
        <v>56.244999999999997</v>
      </c>
      <c r="BH63" s="421">
        <v>65.438419999999994</v>
      </c>
      <c r="BI63" s="421">
        <v>58.131999999999998</v>
      </c>
      <c r="BJ63" s="32">
        <v>70.239000000000004</v>
      </c>
      <c r="BK63" s="1">
        <v>68.138000000000005</v>
      </c>
      <c r="BL63" s="1">
        <v>62.213000000000001</v>
      </c>
      <c r="BM63" s="1">
        <v>76.584999999999994</v>
      </c>
      <c r="BN63" s="1">
        <v>69.790000000000006</v>
      </c>
      <c r="BO63" s="1">
        <f>12/7*38.781</f>
        <v>66.481714285714276</v>
      </c>
      <c r="BP63" s="1">
        <f>BO63</f>
        <v>66.481714285714276</v>
      </c>
      <c r="BQ63" s="433">
        <f>BP63</f>
        <v>66.481714285714276</v>
      </c>
      <c r="BR63" s="433">
        <f>BQ63</f>
        <v>66.481714285714276</v>
      </c>
      <c r="BS63" s="433">
        <f>BR63</f>
        <v>66.481714285714276</v>
      </c>
      <c r="BT63" s="433">
        <f>BS63</f>
        <v>66.481714285714276</v>
      </c>
      <c r="BU63" s="40">
        <f t="shared" si="36"/>
        <v>66.481714285714276</v>
      </c>
      <c r="BV63" s="40">
        <f t="shared" ref="BV63:CD73" si="46">BU63</f>
        <v>66.481714285714276</v>
      </c>
      <c r="BW63" s="40">
        <f t="shared" si="46"/>
        <v>66.481714285714276</v>
      </c>
      <c r="BX63" s="40">
        <f t="shared" si="46"/>
        <v>66.481714285714276</v>
      </c>
      <c r="BY63" s="40">
        <f t="shared" si="46"/>
        <v>66.481714285714276</v>
      </c>
      <c r="BZ63" s="40">
        <f t="shared" si="46"/>
        <v>66.481714285714276</v>
      </c>
      <c r="CA63" s="40">
        <f t="shared" si="46"/>
        <v>66.481714285714276</v>
      </c>
      <c r="CB63" s="40">
        <f t="shared" si="46"/>
        <v>66.481714285714276</v>
      </c>
      <c r="CC63" s="40">
        <f t="shared" si="46"/>
        <v>66.481714285714276</v>
      </c>
      <c r="CD63" s="40">
        <f t="shared" si="46"/>
        <v>66.481714285714276</v>
      </c>
      <c r="CE63" s="25"/>
      <c r="CF63" s="25"/>
      <c r="CG63" s="25"/>
      <c r="CH63" s="25"/>
      <c r="CM63" s="1">
        <v>65.606999999999999</v>
      </c>
    </row>
    <row r="64" spans="2:91">
      <c r="B64" s="533" t="s">
        <v>2878</v>
      </c>
      <c r="C64" s="1" t="s">
        <v>4397</v>
      </c>
      <c r="D64" s="1" t="s">
        <v>184</v>
      </c>
      <c r="AV64" s="2"/>
      <c r="AW64" s="2"/>
      <c r="AX64" s="2"/>
      <c r="AY64" s="2"/>
      <c r="AZ64" s="2">
        <v>48.706000000000003</v>
      </c>
      <c r="BA64" s="31">
        <v>43.139000000000003</v>
      </c>
      <c r="BB64" s="2">
        <v>8.0709999999999997</v>
      </c>
      <c r="BC64" s="2">
        <v>1.278</v>
      </c>
      <c r="BD64" s="2">
        <v>35.298000000000002</v>
      </c>
      <c r="BE64" s="2">
        <v>57.83</v>
      </c>
      <c r="BF64" s="517">
        <v>64.555000000000007</v>
      </c>
      <c r="BG64" s="517">
        <v>71.084000000000003</v>
      </c>
      <c r="BH64" s="32">
        <v>88.724000000000004</v>
      </c>
      <c r="BI64" s="32">
        <v>82.266999999999996</v>
      </c>
      <c r="BJ64" s="32">
        <v>66.713999999999999</v>
      </c>
      <c r="BP64" s="25"/>
      <c r="BQ64" s="25"/>
      <c r="BR64" s="25"/>
      <c r="BS64" s="25"/>
      <c r="BT64" s="25"/>
      <c r="BU64" s="40">
        <f t="shared" si="36"/>
        <v>0</v>
      </c>
      <c r="BV64" s="40">
        <f t="shared" si="46"/>
        <v>0</v>
      </c>
      <c r="BW64" s="40">
        <f t="shared" si="46"/>
        <v>0</v>
      </c>
      <c r="BX64" s="40">
        <f t="shared" si="46"/>
        <v>0</v>
      </c>
      <c r="BY64" s="40">
        <f t="shared" si="46"/>
        <v>0</v>
      </c>
      <c r="BZ64" s="40">
        <f t="shared" si="46"/>
        <v>0</v>
      </c>
      <c r="CA64" s="40">
        <f t="shared" si="46"/>
        <v>0</v>
      </c>
      <c r="CB64" s="40">
        <f t="shared" si="46"/>
        <v>0</v>
      </c>
      <c r="CC64" s="40">
        <f t="shared" si="46"/>
        <v>0</v>
      </c>
      <c r="CD64" s="40">
        <f t="shared" si="46"/>
        <v>0</v>
      </c>
      <c r="CE64" s="25"/>
      <c r="CF64" s="25"/>
      <c r="CG64" s="25"/>
      <c r="CH64" s="25"/>
    </row>
    <row r="65" spans="2:91">
      <c r="B65" s="25" t="s">
        <v>2212</v>
      </c>
      <c r="C65" s="1" t="s">
        <v>4397</v>
      </c>
      <c r="D65" s="1" t="s">
        <v>1691</v>
      </c>
      <c r="AV65" s="2">
        <v>2.7530000000000001</v>
      </c>
      <c r="AW65" s="2">
        <v>2.73</v>
      </c>
      <c r="AX65" s="2">
        <v>3.2669999999999999</v>
      </c>
      <c r="AY65" s="2">
        <v>3.355</v>
      </c>
      <c r="AZ65" s="2">
        <v>5.3230000000000004</v>
      </c>
      <c r="BA65" s="2">
        <v>6.4980000000000002</v>
      </c>
      <c r="BB65" s="2">
        <v>7.577</v>
      </c>
      <c r="BC65" s="2">
        <v>7.1790000000000003</v>
      </c>
      <c r="BD65" s="2">
        <v>6.3780000000000001</v>
      </c>
      <c r="BE65" s="517">
        <v>5.4119999999999999</v>
      </c>
      <c r="BF65" s="517">
        <v>5.62</v>
      </c>
      <c r="BG65" s="517">
        <v>5.2110000000000003</v>
      </c>
      <c r="BH65" s="2">
        <v>4.173</v>
      </c>
      <c r="BI65" s="2">
        <v>3.3319999999999999</v>
      </c>
      <c r="BJ65" s="25">
        <v>6.6920000000000002</v>
      </c>
      <c r="BK65" s="1">
        <v>3.6379999999999999</v>
      </c>
      <c r="BL65" s="1">
        <v>3.1789999999999998</v>
      </c>
      <c r="BM65" s="1">
        <v>4.0529999999999999</v>
      </c>
      <c r="BN65" s="1">
        <v>2.778</v>
      </c>
      <c r="BO65" s="1">
        <f t="shared" ref="BO65:BT65" si="47">BN65</f>
        <v>2.778</v>
      </c>
      <c r="BP65" s="1">
        <f t="shared" si="47"/>
        <v>2.778</v>
      </c>
      <c r="BQ65" s="433">
        <f t="shared" si="47"/>
        <v>2.778</v>
      </c>
      <c r="BR65" s="433">
        <f t="shared" si="47"/>
        <v>2.778</v>
      </c>
      <c r="BS65" s="433">
        <f t="shared" si="47"/>
        <v>2.778</v>
      </c>
      <c r="BT65" s="433">
        <f t="shared" si="47"/>
        <v>2.778</v>
      </c>
      <c r="BU65" s="40">
        <f t="shared" si="36"/>
        <v>2.778</v>
      </c>
      <c r="BV65" s="40">
        <f t="shared" si="46"/>
        <v>2.778</v>
      </c>
      <c r="BW65" s="40">
        <f t="shared" si="46"/>
        <v>2.778</v>
      </c>
      <c r="BX65" s="40">
        <f t="shared" si="46"/>
        <v>2.778</v>
      </c>
      <c r="BY65" s="40">
        <f t="shared" si="46"/>
        <v>2.778</v>
      </c>
      <c r="BZ65" s="40">
        <f t="shared" si="46"/>
        <v>2.778</v>
      </c>
      <c r="CA65" s="40">
        <f t="shared" si="46"/>
        <v>2.778</v>
      </c>
      <c r="CB65" s="40">
        <f t="shared" si="46"/>
        <v>2.778</v>
      </c>
      <c r="CC65" s="40">
        <f t="shared" si="46"/>
        <v>2.778</v>
      </c>
      <c r="CD65" s="40">
        <f t="shared" si="46"/>
        <v>2.778</v>
      </c>
      <c r="CE65" s="25"/>
      <c r="CF65" s="25"/>
      <c r="CG65" s="25"/>
      <c r="CH65" s="25"/>
      <c r="CM65" s="1">
        <f>CL65</f>
        <v>0</v>
      </c>
    </row>
    <row r="66" spans="2:91">
      <c r="B66" s="25" t="s">
        <v>3531</v>
      </c>
      <c r="C66" s="1" t="s">
        <v>4397</v>
      </c>
      <c r="AV66" s="2"/>
      <c r="AW66" s="2"/>
      <c r="AX66" s="2"/>
      <c r="AY66" s="2"/>
      <c r="AZ66" s="2"/>
      <c r="BA66" s="2"/>
      <c r="BB66" s="2"/>
      <c r="BC66" s="2"/>
      <c r="BD66" s="2"/>
      <c r="BE66" s="32">
        <v>25.834</v>
      </c>
      <c r="BF66" s="463">
        <v>17.5</v>
      </c>
      <c r="BG66" s="348">
        <v>25.834</v>
      </c>
      <c r="BH66" s="32">
        <v>25.834</v>
      </c>
      <c r="BI66" s="32">
        <v>27.125699999999998</v>
      </c>
      <c r="BJ66" s="32">
        <v>28.48199</v>
      </c>
      <c r="BP66" s="25"/>
      <c r="BQ66" s="25"/>
      <c r="BR66" s="25"/>
      <c r="BS66" s="25"/>
      <c r="BT66" s="25"/>
      <c r="BU66" s="40">
        <f t="shared" si="36"/>
        <v>0</v>
      </c>
      <c r="BV66" s="40">
        <f t="shared" si="46"/>
        <v>0</v>
      </c>
      <c r="BW66" s="40">
        <f t="shared" si="46"/>
        <v>0</v>
      </c>
      <c r="BX66" s="40">
        <f t="shared" si="46"/>
        <v>0</v>
      </c>
      <c r="BY66" s="40">
        <f t="shared" si="46"/>
        <v>0</v>
      </c>
      <c r="BZ66" s="40">
        <f t="shared" si="46"/>
        <v>0</v>
      </c>
      <c r="CA66" s="40">
        <f t="shared" si="46"/>
        <v>0</v>
      </c>
      <c r="CB66" s="40">
        <f t="shared" si="46"/>
        <v>0</v>
      </c>
      <c r="CC66" s="40">
        <f t="shared" si="46"/>
        <v>0</v>
      </c>
      <c r="CD66" s="40">
        <f t="shared" si="46"/>
        <v>0</v>
      </c>
      <c r="CE66" s="25"/>
      <c r="CF66" s="25"/>
      <c r="CG66" s="25"/>
      <c r="CH66" s="25"/>
    </row>
    <row r="67" spans="2:91">
      <c r="B67" s="534" t="s">
        <v>2106</v>
      </c>
      <c r="C67" s="25" t="s">
        <v>4399</v>
      </c>
      <c r="D67" s="1" t="s">
        <v>2193</v>
      </c>
      <c r="AP67" s="289">
        <f>0+0.4+0</f>
        <v>0.4</v>
      </c>
      <c r="AQ67" s="289">
        <f>0</f>
        <v>0</v>
      </c>
      <c r="AR67" s="289">
        <f>1.7+1.9+0</f>
        <v>3.5999999999999996</v>
      </c>
      <c r="AS67" s="289">
        <f>1.2+1.6+0</f>
        <v>2.8</v>
      </c>
      <c r="AT67" s="289">
        <f>6.89+1.01+0</f>
        <v>7.8999999999999995</v>
      </c>
      <c r="AU67" s="289">
        <f>13+1.25+0</f>
        <v>14.25</v>
      </c>
      <c r="AV67" s="289">
        <f>24+3+0</f>
        <v>27</v>
      </c>
      <c r="AW67" s="289">
        <f>29+2+0</f>
        <v>31</v>
      </c>
      <c r="AX67" s="289">
        <f>21+1+0.007</f>
        <v>22.007000000000001</v>
      </c>
      <c r="AY67" s="289">
        <f>16+1.3+0.021</f>
        <v>17.321000000000002</v>
      </c>
      <c r="AZ67" s="535">
        <f>9.2+0.9+0.021</f>
        <v>10.121</v>
      </c>
      <c r="BA67" s="535">
        <f>5.6+2.4+0.018</f>
        <v>8.0180000000000007</v>
      </c>
      <c r="BB67" s="535">
        <f>22.8+3.1+23/1000</f>
        <v>25.923000000000002</v>
      </c>
      <c r="BC67" s="535">
        <f>1.13+2.1+23/1000</f>
        <v>3.2530000000000001</v>
      </c>
      <c r="BD67" s="535">
        <f>4.8+1.4+37/1000</f>
        <v>6.2369999999999992</v>
      </c>
      <c r="BE67" s="535">
        <f>7.2+2.3+65/1000</f>
        <v>9.5649999999999995</v>
      </c>
      <c r="BF67" s="535">
        <f>16.8+1.8+60/1000</f>
        <v>18.66</v>
      </c>
      <c r="BG67" s="535">
        <f>9.9+2.6+362/1000</f>
        <v>12.862</v>
      </c>
      <c r="BH67" s="535">
        <f>26.5+2.1+350/1000</f>
        <v>28.950000000000003</v>
      </c>
      <c r="BI67" s="535">
        <f>28.7+1.2+76/1000</f>
        <v>29.975999999999999</v>
      </c>
      <c r="BJ67" s="307">
        <f>47+1.3+0.099</f>
        <v>48.398999999999994</v>
      </c>
      <c r="BK67" s="536">
        <f>89.9+1.6+0.268</f>
        <v>91.768000000000001</v>
      </c>
      <c r="BL67" s="536">
        <f>107.8+0.9+0.427</f>
        <v>109.12700000000001</v>
      </c>
      <c r="BM67" s="1">
        <f>94.6+1.1+0.453</f>
        <v>96.152999999999992</v>
      </c>
      <c r="BN67" s="1">
        <f>208.7+1.9+1.127</f>
        <v>211.727</v>
      </c>
      <c r="BO67" s="1">
        <v>185</v>
      </c>
      <c r="BP67" s="1">
        <v>220</v>
      </c>
      <c r="BQ67" s="433">
        <v>265</v>
      </c>
      <c r="BR67" s="433">
        <v>318</v>
      </c>
      <c r="BS67" s="433">
        <v>380</v>
      </c>
      <c r="BT67" s="433">
        <v>450</v>
      </c>
      <c r="BU67" s="40">
        <f t="shared" si="36"/>
        <v>450</v>
      </c>
      <c r="BV67" s="40">
        <f t="shared" si="46"/>
        <v>450</v>
      </c>
      <c r="BW67" s="40">
        <f t="shared" si="46"/>
        <v>450</v>
      </c>
      <c r="BX67" s="40">
        <f t="shared" si="46"/>
        <v>450</v>
      </c>
      <c r="BY67" s="40">
        <f t="shared" si="46"/>
        <v>450</v>
      </c>
      <c r="BZ67" s="40">
        <f t="shared" si="46"/>
        <v>450</v>
      </c>
      <c r="CA67" s="40">
        <f t="shared" si="46"/>
        <v>450</v>
      </c>
      <c r="CB67" s="40">
        <f t="shared" si="46"/>
        <v>450</v>
      </c>
      <c r="CC67" s="40">
        <f t="shared" si="46"/>
        <v>450</v>
      </c>
      <c r="CD67" s="40">
        <f t="shared" si="46"/>
        <v>450</v>
      </c>
      <c r="CE67" s="25"/>
      <c r="CF67" s="25"/>
      <c r="CG67" s="25"/>
      <c r="CH67" s="25"/>
      <c r="CM67" s="536">
        <f>CL67*1.2</f>
        <v>0</v>
      </c>
    </row>
    <row r="68" spans="2:91">
      <c r="B68" s="534" t="s">
        <v>2794</v>
      </c>
      <c r="C68" s="25" t="s">
        <v>4399</v>
      </c>
      <c r="D68" s="1" t="s">
        <v>3331</v>
      </c>
      <c r="AP68" s="289">
        <f>1.6+0.2</f>
        <v>1.8</v>
      </c>
      <c r="AQ68" s="289">
        <f>1+0.3</f>
        <v>1.3</v>
      </c>
      <c r="AR68" s="289">
        <f>1.8+0.5</f>
        <v>2.2999999999999998</v>
      </c>
      <c r="AS68" s="289">
        <f>2.3+0.9</f>
        <v>3.1999999999999997</v>
      </c>
      <c r="AT68" s="289">
        <f>3.8+1.5</f>
        <v>5.3</v>
      </c>
      <c r="AU68" s="289">
        <f>3.9+3.3</f>
        <v>7.1999999999999993</v>
      </c>
      <c r="AV68" s="289">
        <f>5.7+3.3</f>
        <v>9</v>
      </c>
      <c r="AW68" s="289">
        <f>4.9+6.7</f>
        <v>11.600000000000001</v>
      </c>
      <c r="AX68" s="289">
        <f>2.9+5.4</f>
        <v>8.3000000000000007</v>
      </c>
      <c r="AY68" s="289">
        <f>2.2+4.2</f>
        <v>6.4</v>
      </c>
      <c r="AZ68" s="537">
        <f>0.68+7.4</f>
        <v>8.08</v>
      </c>
      <c r="BA68" s="536">
        <f>0.29+8.2</f>
        <v>8.4899999999999984</v>
      </c>
      <c r="BB68" s="537">
        <f>0.132+8.4</f>
        <v>8.532</v>
      </c>
      <c r="BC68" s="536">
        <f>0.111+7.7</f>
        <v>7.8109999999999999</v>
      </c>
      <c r="BD68" s="536">
        <f>0+5</f>
        <v>5</v>
      </c>
      <c r="BE68" s="536">
        <f>0+4.7</f>
        <v>4.7</v>
      </c>
      <c r="BF68" s="536">
        <f>0+6.2</f>
        <v>6.2</v>
      </c>
      <c r="BG68" s="538">
        <f>0+8.4</f>
        <v>8.4</v>
      </c>
      <c r="BH68" s="538">
        <f>0+6.9</f>
        <v>6.9</v>
      </c>
      <c r="BI68" s="536">
        <f>0+4.3</f>
        <v>4.3</v>
      </c>
      <c r="BJ68" s="536">
        <f>0+5.4</f>
        <v>5.4</v>
      </c>
      <c r="BK68" s="536">
        <f>0+6.2+0.308</f>
        <v>6.508</v>
      </c>
      <c r="BL68" s="536">
        <f>0+11.1+0.111</f>
        <v>11.211</v>
      </c>
      <c r="BM68" s="1">
        <f>0+18.4+0.218</f>
        <v>18.617999999999999</v>
      </c>
      <c r="BN68" s="1">
        <f>0.027+34.5+0.545</f>
        <v>35.072000000000003</v>
      </c>
      <c r="BO68" s="1">
        <f>0+35</f>
        <v>35</v>
      </c>
      <c r="BP68" s="1">
        <f>0+40</f>
        <v>40</v>
      </c>
      <c r="BQ68" s="433">
        <f>0+45</f>
        <v>45</v>
      </c>
      <c r="BR68" s="433">
        <f>0+52</f>
        <v>52</v>
      </c>
      <c r="BS68" s="433">
        <f>0+60</f>
        <v>60</v>
      </c>
      <c r="BT68" s="433">
        <f>0+70</f>
        <v>70</v>
      </c>
      <c r="BU68" s="40">
        <f t="shared" si="36"/>
        <v>70</v>
      </c>
      <c r="BV68" s="40">
        <f t="shared" si="46"/>
        <v>70</v>
      </c>
      <c r="BW68" s="40">
        <f t="shared" si="46"/>
        <v>70</v>
      </c>
      <c r="BX68" s="40">
        <f t="shared" si="46"/>
        <v>70</v>
      </c>
      <c r="BY68" s="40">
        <f t="shared" si="46"/>
        <v>70</v>
      </c>
      <c r="BZ68" s="40">
        <f t="shared" si="46"/>
        <v>70</v>
      </c>
      <c r="CA68" s="40">
        <f t="shared" si="46"/>
        <v>70</v>
      </c>
      <c r="CB68" s="40">
        <f t="shared" si="46"/>
        <v>70</v>
      </c>
      <c r="CC68" s="40">
        <f t="shared" si="46"/>
        <v>70</v>
      </c>
      <c r="CD68" s="40">
        <f t="shared" si="46"/>
        <v>70</v>
      </c>
      <c r="CE68" s="25"/>
      <c r="CF68" s="25"/>
      <c r="CG68" s="25"/>
      <c r="CH68" s="25"/>
      <c r="CM68" s="536">
        <f>CL68*1.2</f>
        <v>0</v>
      </c>
    </row>
    <row r="69" spans="2:91">
      <c r="B69" s="25" t="s">
        <v>2214</v>
      </c>
      <c r="C69" s="1" t="s">
        <v>4397</v>
      </c>
      <c r="D69" s="1" t="s">
        <v>4109</v>
      </c>
      <c r="AV69" s="2">
        <v>4.1120000000000001</v>
      </c>
      <c r="AW69" s="2">
        <v>6.9530000000000003</v>
      </c>
      <c r="AX69" s="2">
        <v>8.0630000000000006</v>
      </c>
      <c r="AY69" s="2">
        <v>4.71</v>
      </c>
      <c r="AZ69" s="2">
        <v>7.8559999999999999</v>
      </c>
      <c r="BA69" s="2">
        <v>7.7190000000000003</v>
      </c>
      <c r="BB69" s="2">
        <v>10.302</v>
      </c>
      <c r="BC69" s="2">
        <v>9.5839999999999996</v>
      </c>
      <c r="BD69" s="2">
        <v>9.5630000000000006</v>
      </c>
      <c r="BE69" s="2">
        <v>11.926</v>
      </c>
      <c r="BF69" s="517">
        <v>13.935</v>
      </c>
      <c r="BG69" s="517">
        <v>15.307</v>
      </c>
      <c r="BH69" s="2">
        <v>16.704000000000001</v>
      </c>
      <c r="BI69" s="2">
        <v>20.356000000000002</v>
      </c>
      <c r="BJ69" s="32">
        <v>21.234999999999999</v>
      </c>
      <c r="BK69" s="1">
        <v>22.082999999999998</v>
      </c>
      <c r="BL69" s="1">
        <v>18.582999999999998</v>
      </c>
      <c r="BM69" s="1">
        <v>25.568000000000001</v>
      </c>
      <c r="BN69" s="1">
        <v>28.991</v>
      </c>
      <c r="BO69" s="1">
        <f t="shared" ref="BM69:BT70" si="48">BN69</f>
        <v>28.991</v>
      </c>
      <c r="BP69" s="1">
        <f t="shared" si="48"/>
        <v>28.991</v>
      </c>
      <c r="BQ69" s="433">
        <f t="shared" si="48"/>
        <v>28.991</v>
      </c>
      <c r="BR69" s="433">
        <f t="shared" si="48"/>
        <v>28.991</v>
      </c>
      <c r="BS69" s="433">
        <f t="shared" si="48"/>
        <v>28.991</v>
      </c>
      <c r="BT69" s="433">
        <f t="shared" si="48"/>
        <v>28.991</v>
      </c>
      <c r="BU69" s="40">
        <f t="shared" si="36"/>
        <v>28.991</v>
      </c>
      <c r="BV69" s="40">
        <f t="shared" si="46"/>
        <v>28.991</v>
      </c>
      <c r="BW69" s="40">
        <f t="shared" si="46"/>
        <v>28.991</v>
      </c>
      <c r="BX69" s="40">
        <f t="shared" si="46"/>
        <v>28.991</v>
      </c>
      <c r="BY69" s="40">
        <f t="shared" si="46"/>
        <v>28.991</v>
      </c>
      <c r="BZ69" s="40">
        <f t="shared" si="46"/>
        <v>28.991</v>
      </c>
      <c r="CA69" s="40">
        <f t="shared" si="46"/>
        <v>28.991</v>
      </c>
      <c r="CB69" s="40">
        <f t="shared" si="46"/>
        <v>28.991</v>
      </c>
      <c r="CC69" s="40">
        <f t="shared" si="46"/>
        <v>28.991</v>
      </c>
      <c r="CD69" s="40">
        <f t="shared" si="46"/>
        <v>28.991</v>
      </c>
      <c r="CE69" s="25"/>
      <c r="CF69" s="25"/>
      <c r="CG69" s="25"/>
      <c r="CH69" s="25"/>
      <c r="CM69" s="1">
        <f>1.02*CL69</f>
        <v>0</v>
      </c>
    </row>
    <row r="70" spans="2:91">
      <c r="B70" s="25" t="s">
        <v>3350</v>
      </c>
      <c r="C70" s="1" t="s">
        <v>4398</v>
      </c>
      <c r="D70" s="1" t="s">
        <v>16</v>
      </c>
      <c r="AV70" s="2">
        <v>1382</v>
      </c>
      <c r="AW70" s="2">
        <v>1689</v>
      </c>
      <c r="AX70" s="2">
        <v>1616</v>
      </c>
      <c r="AY70" s="2">
        <v>2020</v>
      </c>
      <c r="AZ70" s="2">
        <v>836</v>
      </c>
      <c r="BA70" s="2">
        <v>535</v>
      </c>
      <c r="BB70" s="2">
        <v>557.029</v>
      </c>
      <c r="BC70" s="2">
        <v>5</v>
      </c>
      <c r="BD70" s="2">
        <v>0</v>
      </c>
      <c r="BE70" s="2">
        <v>2.0019999999999998</v>
      </c>
      <c r="BF70" s="517">
        <v>192</v>
      </c>
      <c r="BG70" s="517">
        <v>260</v>
      </c>
      <c r="BH70" s="32">
        <v>0</v>
      </c>
      <c r="BI70" s="32">
        <f>BH70*BI71/BH71</f>
        <v>0</v>
      </c>
      <c r="BJ70" s="32">
        <f>BI70*BJ71/BI71</f>
        <v>0</v>
      </c>
      <c r="BK70" s="1">
        <f>BJ70</f>
        <v>0</v>
      </c>
      <c r="BL70" s="1">
        <f>BK70</f>
        <v>0</v>
      </c>
      <c r="BM70" s="1">
        <f t="shared" si="48"/>
        <v>0</v>
      </c>
      <c r="BN70" s="1">
        <f t="shared" si="48"/>
        <v>0</v>
      </c>
      <c r="BO70" s="1">
        <f t="shared" si="48"/>
        <v>0</v>
      </c>
      <c r="BP70" s="1">
        <f t="shared" si="48"/>
        <v>0</v>
      </c>
      <c r="BQ70" s="433">
        <f t="shared" si="48"/>
        <v>0</v>
      </c>
      <c r="BR70" s="433">
        <f t="shared" si="48"/>
        <v>0</v>
      </c>
      <c r="BS70" s="433">
        <f t="shared" si="48"/>
        <v>0</v>
      </c>
      <c r="BT70" s="433">
        <f t="shared" si="48"/>
        <v>0</v>
      </c>
      <c r="BU70" s="40">
        <f t="shared" si="36"/>
        <v>0</v>
      </c>
      <c r="BV70" s="40">
        <f t="shared" si="46"/>
        <v>0</v>
      </c>
      <c r="BW70" s="40">
        <f t="shared" si="46"/>
        <v>0</v>
      </c>
      <c r="BX70" s="40">
        <f t="shared" si="46"/>
        <v>0</v>
      </c>
      <c r="BY70" s="40">
        <f t="shared" si="46"/>
        <v>0</v>
      </c>
      <c r="BZ70" s="40">
        <f t="shared" si="46"/>
        <v>0</v>
      </c>
      <c r="CA70" s="40">
        <f t="shared" si="46"/>
        <v>0</v>
      </c>
      <c r="CB70" s="40">
        <f t="shared" si="46"/>
        <v>0</v>
      </c>
      <c r="CC70" s="40">
        <f t="shared" si="46"/>
        <v>0</v>
      </c>
      <c r="CD70" s="40">
        <f t="shared" si="46"/>
        <v>0</v>
      </c>
      <c r="CE70" s="25"/>
      <c r="CF70" s="25"/>
      <c r="CG70" s="25"/>
      <c r="CH70" s="25"/>
      <c r="CM70" s="1">
        <f>CL70</f>
        <v>0</v>
      </c>
    </row>
    <row r="71" spans="2:91">
      <c r="B71" s="25" t="s">
        <v>3129</v>
      </c>
      <c r="D71" s="1" t="s">
        <v>3331</v>
      </c>
      <c r="AY71" s="2">
        <v>4363.78</v>
      </c>
      <c r="AZ71" s="2">
        <v>4431</v>
      </c>
      <c r="BA71" s="2">
        <v>4700</v>
      </c>
      <c r="BB71" s="2">
        <v>4618</v>
      </c>
      <c r="BC71" s="2">
        <v>4300</v>
      </c>
      <c r="BD71" s="2">
        <v>4100</v>
      </c>
      <c r="BE71" s="2">
        <v>4400</v>
      </c>
      <c r="BF71" s="517">
        <v>4800</v>
      </c>
      <c r="BG71" s="517">
        <f>BG968</f>
        <v>5440</v>
      </c>
      <c r="BH71" s="517">
        <f>BH968</f>
        <v>5900</v>
      </c>
      <c r="BI71" s="517">
        <f t="shared" ref="BI71:BP71" si="49">BI968</f>
        <v>5860</v>
      </c>
      <c r="BJ71" s="517">
        <f t="shared" si="49"/>
        <v>5840</v>
      </c>
      <c r="BK71" s="517">
        <f t="shared" si="49"/>
        <v>5840</v>
      </c>
      <c r="BL71" s="517">
        <f t="shared" si="49"/>
        <v>5936</v>
      </c>
      <c r="BM71" s="517">
        <f t="shared" si="49"/>
        <v>5980</v>
      </c>
      <c r="BN71" s="517">
        <f t="shared" si="49"/>
        <v>6023</v>
      </c>
      <c r="BO71" s="517">
        <f t="shared" si="49"/>
        <v>6220</v>
      </c>
      <c r="BP71" s="517">
        <f t="shared" si="49"/>
        <v>6260</v>
      </c>
      <c r="BQ71" s="530">
        <f>BP71</f>
        <v>6260</v>
      </c>
      <c r="BR71" s="530">
        <f>BQ71</f>
        <v>6260</v>
      </c>
      <c r="BS71" s="530">
        <f>BR71</f>
        <v>6260</v>
      </c>
      <c r="BT71" s="530">
        <f>BS71</f>
        <v>6260</v>
      </c>
      <c r="BU71" s="40">
        <f t="shared" si="36"/>
        <v>6260</v>
      </c>
      <c r="BV71" s="40">
        <f t="shared" si="46"/>
        <v>6260</v>
      </c>
      <c r="BW71" s="40">
        <f t="shared" si="46"/>
        <v>6260</v>
      </c>
      <c r="BX71" s="40">
        <f t="shared" si="46"/>
        <v>6260</v>
      </c>
      <c r="BY71" s="40">
        <f t="shared" si="46"/>
        <v>6260</v>
      </c>
      <c r="BZ71" s="40">
        <f t="shared" si="46"/>
        <v>6260</v>
      </c>
      <c r="CA71" s="40">
        <f t="shared" si="46"/>
        <v>6260</v>
      </c>
      <c r="CB71" s="40">
        <f t="shared" si="46"/>
        <v>6260</v>
      </c>
      <c r="CC71" s="40">
        <f t="shared" si="46"/>
        <v>6260</v>
      </c>
      <c r="CD71" s="40">
        <f t="shared" si="46"/>
        <v>6260</v>
      </c>
      <c r="CE71" s="25"/>
      <c r="CF71" s="25"/>
      <c r="CG71" s="25"/>
      <c r="CH71" s="25"/>
      <c r="CM71" s="517">
        <f>CM968</f>
        <v>5840</v>
      </c>
    </row>
    <row r="72" spans="2:91">
      <c r="B72" s="25" t="s">
        <v>926</v>
      </c>
      <c r="C72" s="1" t="s">
        <v>4398</v>
      </c>
      <c r="D72" s="1" t="s">
        <v>3331</v>
      </c>
      <c r="AV72" s="2">
        <v>0</v>
      </c>
      <c r="AW72" s="2">
        <v>203.7</v>
      </c>
      <c r="AX72" s="2">
        <v>355.29</v>
      </c>
      <c r="AY72" s="2">
        <v>583</v>
      </c>
      <c r="AZ72" s="2">
        <v>367</v>
      </c>
      <c r="BA72" s="2">
        <v>761</v>
      </c>
      <c r="BB72" s="2">
        <v>1110</v>
      </c>
      <c r="BC72" s="2">
        <v>1120.74</v>
      </c>
      <c r="BD72" s="2">
        <v>627</v>
      </c>
      <c r="BE72" s="2">
        <v>827</v>
      </c>
      <c r="BF72" s="517">
        <v>858</v>
      </c>
      <c r="BG72" s="517">
        <f>BG970</f>
        <v>1435</v>
      </c>
      <c r="BH72" s="517">
        <f t="shared" ref="BH72:BM72" si="50">BH970</f>
        <v>2534</v>
      </c>
      <c r="BI72" s="517">
        <f t="shared" si="50"/>
        <v>2543</v>
      </c>
      <c r="BJ72" s="517">
        <f t="shared" si="50"/>
        <v>2434</v>
      </c>
      <c r="BK72" s="517">
        <v>3387</v>
      </c>
      <c r="BL72" s="517">
        <f t="shared" si="50"/>
        <v>2814</v>
      </c>
      <c r="BM72" s="517">
        <f t="shared" si="50"/>
        <v>2768</v>
      </c>
      <c r="BN72" s="517">
        <f>BN1071+BN1072</f>
        <v>49</v>
      </c>
      <c r="BO72" s="517">
        <f>236</f>
        <v>236</v>
      </c>
      <c r="BP72" s="530">
        <f>BO72</f>
        <v>236</v>
      </c>
      <c r="BQ72" s="530">
        <f>BP72</f>
        <v>236</v>
      </c>
      <c r="BR72" s="530">
        <f>BQ72</f>
        <v>236</v>
      </c>
      <c r="BS72" s="530">
        <f t="shared" ref="BS72:BU76" si="51">BR72</f>
        <v>236</v>
      </c>
      <c r="BT72" s="530">
        <f t="shared" si="51"/>
        <v>236</v>
      </c>
      <c r="BU72" s="40">
        <f t="shared" si="36"/>
        <v>236</v>
      </c>
      <c r="BV72" s="40">
        <f t="shared" si="46"/>
        <v>236</v>
      </c>
      <c r="BW72" s="40">
        <f t="shared" si="46"/>
        <v>236</v>
      </c>
      <c r="BX72" s="40">
        <f t="shared" si="46"/>
        <v>236</v>
      </c>
      <c r="BY72" s="40">
        <f t="shared" si="46"/>
        <v>236</v>
      </c>
      <c r="BZ72" s="40">
        <f t="shared" si="46"/>
        <v>236</v>
      </c>
      <c r="CA72" s="40">
        <f t="shared" si="46"/>
        <v>236</v>
      </c>
      <c r="CB72" s="40">
        <f t="shared" si="46"/>
        <v>236</v>
      </c>
      <c r="CC72" s="40">
        <f t="shared" si="46"/>
        <v>236</v>
      </c>
      <c r="CD72" s="40">
        <f t="shared" si="46"/>
        <v>236</v>
      </c>
      <c r="CE72" s="25"/>
      <c r="CF72" s="25"/>
      <c r="CG72" s="25"/>
      <c r="CH72" s="25"/>
      <c r="CM72" s="517">
        <f>CM970</f>
        <v>0</v>
      </c>
    </row>
    <row r="73" spans="2:91">
      <c r="B73" s="25" t="s">
        <v>842</v>
      </c>
      <c r="D73" s="1" t="s">
        <v>3331</v>
      </c>
      <c r="AV73" s="2"/>
      <c r="AW73" s="2"/>
      <c r="AX73" s="2"/>
      <c r="AY73" s="2"/>
      <c r="AZ73" s="2"/>
      <c r="BA73" s="2"/>
      <c r="BB73" s="2"/>
      <c r="BC73" s="2">
        <v>2552</v>
      </c>
      <c r="BD73" s="2">
        <v>2500</v>
      </c>
      <c r="BE73" s="2">
        <v>2700</v>
      </c>
      <c r="BF73" s="517">
        <v>2500</v>
      </c>
      <c r="BG73" s="517">
        <v>2650</v>
      </c>
      <c r="BH73" s="32">
        <v>2560</v>
      </c>
      <c r="BI73" s="32">
        <v>3700</v>
      </c>
      <c r="BJ73" s="32">
        <v>3700</v>
      </c>
      <c r="BP73" s="25"/>
      <c r="BQ73" s="530">
        <f t="shared" ref="BQ73:BR76" si="52">BP73</f>
        <v>0</v>
      </c>
      <c r="BR73" s="530">
        <f t="shared" si="52"/>
        <v>0</v>
      </c>
      <c r="BS73" s="530">
        <f t="shared" si="51"/>
        <v>0</v>
      </c>
      <c r="BT73" s="530">
        <f t="shared" si="51"/>
        <v>0</v>
      </c>
      <c r="BU73" s="40">
        <f t="shared" si="51"/>
        <v>0</v>
      </c>
      <c r="BV73" s="40">
        <f t="shared" si="46"/>
        <v>0</v>
      </c>
      <c r="BW73" s="40">
        <f t="shared" si="46"/>
        <v>0</v>
      </c>
      <c r="BX73" s="40">
        <f t="shared" si="46"/>
        <v>0</v>
      </c>
      <c r="BY73" s="40">
        <f t="shared" si="46"/>
        <v>0</v>
      </c>
      <c r="BZ73" s="40">
        <f t="shared" si="46"/>
        <v>0</v>
      </c>
      <c r="CA73" s="40">
        <f t="shared" si="46"/>
        <v>0</v>
      </c>
      <c r="CB73" s="40">
        <f t="shared" si="46"/>
        <v>0</v>
      </c>
      <c r="CC73" s="40">
        <f t="shared" si="46"/>
        <v>0</v>
      </c>
      <c r="CD73" s="40">
        <f t="shared" si="46"/>
        <v>0</v>
      </c>
      <c r="CE73" s="25"/>
      <c r="CF73" s="25"/>
      <c r="CG73" s="25"/>
      <c r="CH73" s="25"/>
    </row>
    <row r="74" spans="2:91" s="25" customFormat="1">
      <c r="B74" s="25" t="s">
        <v>2749</v>
      </c>
      <c r="C74" s="25" t="s">
        <v>2205</v>
      </c>
      <c r="D74" s="25" t="s">
        <v>4110</v>
      </c>
      <c r="AV74" s="2">
        <v>31.722000000000001</v>
      </c>
      <c r="AW74" s="2">
        <v>114.44799999999999</v>
      </c>
      <c r="AX74" s="2">
        <v>196.8</v>
      </c>
      <c r="AY74" s="2">
        <v>212.7</v>
      </c>
      <c r="AZ74" s="2">
        <v>199.4</v>
      </c>
      <c r="BA74" s="2">
        <v>154.30000000000001</v>
      </c>
      <c r="BB74" s="2">
        <v>81.400000000000006</v>
      </c>
      <c r="BC74" s="2">
        <v>368.22223000000002</v>
      </c>
      <c r="BD74" s="2">
        <v>657</v>
      </c>
      <c r="BE74" s="539">
        <f>21587.5/31.1035</f>
        <v>694.05372385744374</v>
      </c>
      <c r="BF74" s="539">
        <f>21748/31.1035</f>
        <v>699.2139148327359</v>
      </c>
      <c r="BG74" s="540">
        <f>22211.925569/31.1035</f>
        <v>714.1294571028983</v>
      </c>
      <c r="BH74" s="539">
        <f>26736.7/31.1035</f>
        <v>859.60422460494806</v>
      </c>
      <c r="BI74" s="1002">
        <f>28599.6/31.1035</f>
        <v>919.49780571318331</v>
      </c>
      <c r="BJ74" s="1002">
        <f>30300.85/31.1035</f>
        <v>974.19422251515095</v>
      </c>
      <c r="BK74" s="1002">
        <f>31039.6877/31.1035</f>
        <v>997.94838844503022</v>
      </c>
      <c r="BL74" s="539">
        <f>33345.56879/31.1035</f>
        <v>1072.0841316893595</v>
      </c>
      <c r="BM74" s="539">
        <f>32344.40998/31.1035</f>
        <v>1039.8961525230279</v>
      </c>
      <c r="BN74" s="539">
        <f>29802.31574/31.1035</f>
        <v>958.16598582153131</v>
      </c>
      <c r="BO74" s="1114">
        <f>BN74-42</f>
        <v>916.16598582153131</v>
      </c>
      <c r="BP74" s="1114">
        <f>BO74+175</f>
        <v>1091.1659858215312</v>
      </c>
      <c r="BQ74" s="1115">
        <f>BP74+(465-175)</f>
        <v>1381.1659858215312</v>
      </c>
      <c r="BR74" s="1115">
        <f>BQ74+(500-465)</f>
        <v>1416.1659858215312</v>
      </c>
      <c r="BS74" s="1115">
        <f>BR74+(426-500)</f>
        <v>1342.1659858215312</v>
      </c>
      <c r="BT74" s="1115">
        <f>BS74+(433-426)</f>
        <v>1349.1659858215312</v>
      </c>
      <c r="BU74" s="40">
        <f t="shared" si="51"/>
        <v>1349.1659858215312</v>
      </c>
      <c r="BV74" s="40">
        <f t="shared" ref="BV74:CD74" si="53">BU74</f>
        <v>1349.1659858215312</v>
      </c>
      <c r="BW74" s="40">
        <f t="shared" si="53"/>
        <v>1349.1659858215312</v>
      </c>
      <c r="BX74" s="40">
        <f t="shared" si="53"/>
        <v>1349.1659858215312</v>
      </c>
      <c r="BY74" s="40">
        <f t="shared" si="53"/>
        <v>1349.1659858215312</v>
      </c>
      <c r="BZ74" s="40">
        <f t="shared" si="53"/>
        <v>1349.1659858215312</v>
      </c>
      <c r="CA74" s="40">
        <f t="shared" si="53"/>
        <v>1349.1659858215312</v>
      </c>
      <c r="CB74" s="40">
        <f t="shared" si="53"/>
        <v>1349.1659858215312</v>
      </c>
      <c r="CC74" s="40">
        <f t="shared" si="53"/>
        <v>1349.1659858215312</v>
      </c>
      <c r="CD74" s="40">
        <f t="shared" si="53"/>
        <v>1349.1659858215312</v>
      </c>
      <c r="CM74" s="285">
        <f>CL74*1.08</f>
        <v>0</v>
      </c>
    </row>
    <row r="75" spans="2:91" s="25" customFormat="1">
      <c r="B75" s="25" t="s">
        <v>2750</v>
      </c>
      <c r="C75" s="25" t="s">
        <v>2205</v>
      </c>
      <c r="AV75" s="2"/>
      <c r="AW75" s="2"/>
      <c r="AX75" s="2"/>
      <c r="AY75" s="2"/>
      <c r="AZ75" s="2"/>
      <c r="BA75" s="2"/>
      <c r="BB75" s="2"/>
      <c r="BC75" s="2"/>
      <c r="BD75" s="2">
        <f>BD76*1000/31.1035/1000</f>
        <v>264.98625556609386</v>
      </c>
      <c r="BE75" s="2">
        <v>324</v>
      </c>
      <c r="BF75" s="348">
        <f>BF76*1000/31.1035/1000</f>
        <v>298.99850499139973</v>
      </c>
      <c r="BG75" s="348">
        <v>300</v>
      </c>
      <c r="BH75" s="32">
        <v>315</v>
      </c>
      <c r="BI75" s="32">
        <f t="shared" ref="BI75:BP75" si="54">BI854</f>
        <v>389.17514299999999</v>
      </c>
      <c r="BJ75" s="32">
        <f t="shared" si="54"/>
        <v>392.096</v>
      </c>
      <c r="BK75" s="32">
        <f t="shared" si="54"/>
        <v>379.74200000000002</v>
      </c>
      <c r="BL75" s="32">
        <f t="shared" si="54"/>
        <v>390.29500000000002</v>
      </c>
      <c r="BM75" s="32">
        <f t="shared" si="54"/>
        <v>372.709</v>
      </c>
      <c r="BN75" s="32">
        <f t="shared" si="54"/>
        <v>160.63937300000001</v>
      </c>
      <c r="BO75" s="32">
        <f t="shared" si="54"/>
        <v>381.69900000000001</v>
      </c>
      <c r="BP75" s="32">
        <f t="shared" si="54"/>
        <v>382.16399999999999</v>
      </c>
      <c r="BQ75" s="530">
        <f t="shared" si="52"/>
        <v>382.16399999999999</v>
      </c>
      <c r="BR75" s="530">
        <f t="shared" si="52"/>
        <v>382.16399999999999</v>
      </c>
      <c r="BS75" s="530">
        <f t="shared" si="51"/>
        <v>382.16399999999999</v>
      </c>
      <c r="BT75" s="530">
        <f t="shared" si="51"/>
        <v>382.16399999999999</v>
      </c>
      <c r="BU75" s="40">
        <f t="shared" si="51"/>
        <v>382.16399999999999</v>
      </c>
      <c r="BV75" s="40">
        <f t="shared" ref="BV75:CD75" si="55">BU75</f>
        <v>382.16399999999999</v>
      </c>
      <c r="BW75" s="40">
        <f t="shared" si="55"/>
        <v>382.16399999999999</v>
      </c>
      <c r="BX75" s="40">
        <f t="shared" si="55"/>
        <v>382.16399999999999</v>
      </c>
      <c r="BY75" s="40">
        <f t="shared" si="55"/>
        <v>382.16399999999999</v>
      </c>
      <c r="BZ75" s="40">
        <f t="shared" si="55"/>
        <v>382.16399999999999</v>
      </c>
      <c r="CA75" s="40">
        <f t="shared" si="55"/>
        <v>382.16399999999999</v>
      </c>
      <c r="CB75" s="40">
        <f t="shared" si="55"/>
        <v>382.16399999999999</v>
      </c>
      <c r="CC75" s="40">
        <f t="shared" si="55"/>
        <v>382.16399999999999</v>
      </c>
      <c r="CD75" s="40">
        <f t="shared" si="55"/>
        <v>382.16399999999999</v>
      </c>
      <c r="CM75" s="32">
        <f>CM854</f>
        <v>390.29500000000002</v>
      </c>
    </row>
    <row r="76" spans="2:91" s="25" customFormat="1">
      <c r="B76" s="25" t="s">
        <v>2750</v>
      </c>
      <c r="C76" s="25" t="s">
        <v>3532</v>
      </c>
      <c r="AV76" s="2"/>
      <c r="AW76" s="2"/>
      <c r="AX76" s="2"/>
      <c r="AY76" s="2"/>
      <c r="AZ76" s="2"/>
      <c r="BA76" s="2"/>
      <c r="BB76" s="2"/>
      <c r="BC76" s="2"/>
      <c r="BD76" s="2">
        <v>8242</v>
      </c>
      <c r="BE76" s="32">
        <v>9984.2000000000007</v>
      </c>
      <c r="BF76" s="348">
        <v>9299.9</v>
      </c>
      <c r="BG76" s="348">
        <v>8740.1</v>
      </c>
      <c r="BH76" s="32">
        <v>8709</v>
      </c>
      <c r="BI76" s="32">
        <f>BI852</f>
        <v>11093.074000000001</v>
      </c>
      <c r="BJ76" s="32">
        <f t="shared" ref="BJ76:BP76" si="56">BJ852</f>
        <v>12832.432000000001</v>
      </c>
      <c r="BK76" s="32">
        <f t="shared" si="56"/>
        <v>12060.608</v>
      </c>
      <c r="BL76" s="32">
        <f t="shared" si="56"/>
        <v>12754.894</v>
      </c>
      <c r="BM76" s="32">
        <f t="shared" si="56"/>
        <v>12799.82</v>
      </c>
      <c r="BN76" s="32">
        <f t="shared" si="56"/>
        <v>12799.82</v>
      </c>
      <c r="BO76" s="32">
        <f t="shared" si="56"/>
        <v>13999.94</v>
      </c>
      <c r="BP76" s="32">
        <f t="shared" si="56"/>
        <v>13999.866</v>
      </c>
      <c r="BQ76" s="530">
        <f t="shared" si="52"/>
        <v>13999.866</v>
      </c>
      <c r="BR76" s="530">
        <f t="shared" si="52"/>
        <v>13999.866</v>
      </c>
      <c r="BS76" s="530">
        <f t="shared" si="51"/>
        <v>13999.866</v>
      </c>
      <c r="BT76" s="987">
        <f t="shared" si="51"/>
        <v>13999.866</v>
      </c>
      <c r="BU76" s="40">
        <f t="shared" si="51"/>
        <v>13999.866</v>
      </c>
      <c r="BV76" s="40">
        <f t="shared" ref="BV76:CD76" si="57">BU76</f>
        <v>13999.866</v>
      </c>
      <c r="BW76" s="40">
        <f t="shared" si="57"/>
        <v>13999.866</v>
      </c>
      <c r="BX76" s="40">
        <f t="shared" si="57"/>
        <v>13999.866</v>
      </c>
      <c r="BY76" s="40">
        <f t="shared" si="57"/>
        <v>13999.866</v>
      </c>
      <c r="BZ76" s="40">
        <f t="shared" si="57"/>
        <v>13999.866</v>
      </c>
      <c r="CA76" s="40">
        <f t="shared" si="57"/>
        <v>13999.866</v>
      </c>
      <c r="CB76" s="40">
        <f t="shared" si="57"/>
        <v>13999.866</v>
      </c>
      <c r="CC76" s="40">
        <f t="shared" si="57"/>
        <v>13999.866</v>
      </c>
      <c r="CD76" s="40">
        <f t="shared" si="57"/>
        <v>13999.866</v>
      </c>
      <c r="CM76" s="32">
        <f>CM852</f>
        <v>12754.894</v>
      </c>
    </row>
    <row r="77" spans="2:91" s="25" customFormat="1">
      <c r="B77" s="25" t="s">
        <v>2751</v>
      </c>
      <c r="C77" s="25" t="s">
        <v>2205</v>
      </c>
      <c r="AV77" s="2"/>
      <c r="AW77" s="2"/>
      <c r="AX77" s="2"/>
      <c r="AY77" s="2"/>
      <c r="AZ77" s="2"/>
      <c r="BA77" s="2"/>
      <c r="BB77" s="2"/>
      <c r="BC77" s="2"/>
      <c r="BD77" s="2"/>
      <c r="BE77" s="32"/>
      <c r="BF77" s="348"/>
      <c r="BG77" s="348"/>
      <c r="BH77" s="32"/>
      <c r="BI77" s="32"/>
      <c r="BJ77" s="32"/>
      <c r="BK77" s="904">
        <f>32820.22151/31.1035</f>
        <v>1055.1938370279872</v>
      </c>
      <c r="BL77" s="904">
        <f>34520.6355/31.1035</f>
        <v>1109.8633755043643</v>
      </c>
      <c r="BM77" s="904">
        <f>34196.10173/31.1035</f>
        <v>1099.4293802948223</v>
      </c>
      <c r="BN77" s="32"/>
      <c r="BO77" s="32"/>
      <c r="BU77" s="40">
        <f t="shared" ref="BU77:CD77" si="58">BT77</f>
        <v>0</v>
      </c>
      <c r="BV77" s="40">
        <f t="shared" si="58"/>
        <v>0</v>
      </c>
      <c r="BW77" s="40">
        <f t="shared" si="58"/>
        <v>0</v>
      </c>
      <c r="BX77" s="40">
        <f t="shared" si="58"/>
        <v>0</v>
      </c>
      <c r="BY77" s="40">
        <f t="shared" si="58"/>
        <v>0</v>
      </c>
      <c r="BZ77" s="40">
        <f t="shared" si="58"/>
        <v>0</v>
      </c>
      <c r="CA77" s="40">
        <f t="shared" si="58"/>
        <v>0</v>
      </c>
      <c r="CB77" s="40">
        <f t="shared" si="58"/>
        <v>0</v>
      </c>
      <c r="CC77" s="40">
        <f t="shared" si="58"/>
        <v>0</v>
      </c>
      <c r="CD77" s="40">
        <f t="shared" si="58"/>
        <v>0</v>
      </c>
      <c r="CM77" s="32"/>
    </row>
    <row r="78" spans="2:91" s="25" customFormat="1">
      <c r="B78" s="25" t="s">
        <v>2751</v>
      </c>
      <c r="C78" s="25" t="s">
        <v>3532</v>
      </c>
      <c r="AV78" s="2"/>
      <c r="AW78" s="2"/>
      <c r="AX78" s="2"/>
      <c r="AY78" s="2"/>
      <c r="AZ78" s="537">
        <v>56.843000000000004</v>
      </c>
      <c r="BA78" s="537">
        <v>54.341000000000001</v>
      </c>
      <c r="BB78" s="537">
        <v>60.222999999999999</v>
      </c>
      <c r="BC78" s="537">
        <v>82.298000000000002</v>
      </c>
      <c r="BD78" s="537">
        <v>138.04300000000001</v>
      </c>
      <c r="BE78" s="537">
        <v>159.77000000000001</v>
      </c>
      <c r="BF78" s="541">
        <v>155.78899999999999</v>
      </c>
      <c r="BG78" s="541">
        <v>162.5</v>
      </c>
      <c r="BH78" s="537">
        <v>162.5</v>
      </c>
      <c r="BI78" s="537">
        <v>183.46250000000001</v>
      </c>
      <c r="BJ78" s="537">
        <f>BI78</f>
        <v>183.46250000000001</v>
      </c>
      <c r="BK78" s="32"/>
      <c r="BL78" s="32"/>
      <c r="BM78" s="539">
        <f>22090.9549/31.1035</f>
        <v>710.24016268265632</v>
      </c>
      <c r="BN78" s="32"/>
      <c r="BO78" s="32"/>
      <c r="BU78" s="40">
        <f t="shared" ref="BU78:CD78" si="59">BT78</f>
        <v>0</v>
      </c>
      <c r="BV78" s="40">
        <f t="shared" si="59"/>
        <v>0</v>
      </c>
      <c r="BW78" s="40">
        <f t="shared" si="59"/>
        <v>0</v>
      </c>
      <c r="BX78" s="40">
        <f t="shared" si="59"/>
        <v>0</v>
      </c>
      <c r="BY78" s="40">
        <f t="shared" si="59"/>
        <v>0</v>
      </c>
      <c r="BZ78" s="40">
        <f t="shared" si="59"/>
        <v>0</v>
      </c>
      <c r="CA78" s="40">
        <f t="shared" si="59"/>
        <v>0</v>
      </c>
      <c r="CB78" s="40">
        <f t="shared" si="59"/>
        <v>0</v>
      </c>
      <c r="CC78" s="40">
        <f t="shared" si="59"/>
        <v>0</v>
      </c>
      <c r="CD78" s="40">
        <f t="shared" si="59"/>
        <v>0</v>
      </c>
      <c r="CM78" s="32"/>
    </row>
    <row r="79" spans="2:91" s="25" customFormat="1">
      <c r="B79" s="25" t="s">
        <v>927</v>
      </c>
      <c r="C79" s="25" t="s">
        <v>2206</v>
      </c>
      <c r="D79" s="25" t="s">
        <v>1788</v>
      </c>
      <c r="AV79" s="2">
        <v>53.228000000000002</v>
      </c>
      <c r="AW79" s="2">
        <v>61.357999999999997</v>
      </c>
      <c r="AX79" s="2">
        <v>54.585000000000001</v>
      </c>
      <c r="AY79" s="2">
        <v>57.274999999999999</v>
      </c>
      <c r="AZ79" s="2">
        <v>56.843000000000004</v>
      </c>
      <c r="BA79" s="2">
        <v>54.341000000000001</v>
      </c>
      <c r="BB79" s="2">
        <v>60.222999999999999</v>
      </c>
      <c r="BC79" s="2">
        <v>82.298000000000002</v>
      </c>
      <c r="BD79" s="2">
        <v>137.80799999999999</v>
      </c>
      <c r="BE79" s="2">
        <v>160.661</v>
      </c>
      <c r="BF79" s="517">
        <v>154.06</v>
      </c>
      <c r="BG79" s="517">
        <v>166.685</v>
      </c>
      <c r="BH79" s="421">
        <v>150.71100000000001</v>
      </c>
      <c r="BI79" s="539">
        <v>150.62799999999999</v>
      </c>
      <c r="BJ79" s="421">
        <v>204.51900000000001</v>
      </c>
      <c r="BK79" s="2">
        <v>220.47499999999999</v>
      </c>
      <c r="BL79" s="25">
        <v>240.041</v>
      </c>
      <c r="BM79" s="25">
        <v>249.102</v>
      </c>
      <c r="BN79" s="25">
        <v>248.595</v>
      </c>
      <c r="BO79" s="25">
        <f>1.06943*BN79</f>
        <v>265.85495085000002</v>
      </c>
      <c r="BP79" s="25">
        <f>1.06943*BO79</f>
        <v>284.31326008751557</v>
      </c>
      <c r="BQ79" s="25">
        <f>1.06943*BP79</f>
        <v>304.05312973539179</v>
      </c>
      <c r="BR79" s="25">
        <f>1.06943*BQ79</f>
        <v>325.16353853292009</v>
      </c>
      <c r="BS79" s="25">
        <f>1.06943*BR79</f>
        <v>347.73964301326077</v>
      </c>
      <c r="BT79" s="433">
        <f>BS79</f>
        <v>347.73964301326077</v>
      </c>
      <c r="BU79" s="40">
        <f t="shared" ref="BU79:CD79" si="60">BT79</f>
        <v>347.73964301326077</v>
      </c>
      <c r="BV79" s="40">
        <f t="shared" si="60"/>
        <v>347.73964301326077</v>
      </c>
      <c r="BW79" s="40">
        <f t="shared" si="60"/>
        <v>347.73964301326077</v>
      </c>
      <c r="BX79" s="40">
        <f t="shared" si="60"/>
        <v>347.73964301326077</v>
      </c>
      <c r="BY79" s="40">
        <f t="shared" si="60"/>
        <v>347.73964301326077</v>
      </c>
      <c r="BZ79" s="40">
        <f t="shared" si="60"/>
        <v>347.73964301326077</v>
      </c>
      <c r="CA79" s="40">
        <f t="shared" si="60"/>
        <v>347.73964301326077</v>
      </c>
      <c r="CB79" s="40">
        <f t="shared" si="60"/>
        <v>347.73964301326077</v>
      </c>
      <c r="CC79" s="40">
        <f t="shared" si="60"/>
        <v>347.73964301326077</v>
      </c>
      <c r="CD79" s="40">
        <f t="shared" si="60"/>
        <v>347.73964301326077</v>
      </c>
      <c r="CM79" s="25">
        <f>CL79*1.04</f>
        <v>0</v>
      </c>
    </row>
    <row r="80" spans="2:91" s="25" customFormat="1">
      <c r="B80" s="25" t="s">
        <v>4382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517">
        <v>0</v>
      </c>
      <c r="BG80" s="517">
        <v>0</v>
      </c>
      <c r="BH80" s="2">
        <v>0</v>
      </c>
      <c r="BI80" s="2">
        <v>0</v>
      </c>
      <c r="BJ80" s="2">
        <v>0</v>
      </c>
      <c r="BK80" s="2">
        <v>0</v>
      </c>
      <c r="BM80" s="25">
        <f>1.06943*BL80</f>
        <v>0</v>
      </c>
      <c r="BU80" s="40">
        <f t="shared" ref="BU80:CD80" si="61">BT80</f>
        <v>0</v>
      </c>
      <c r="BV80" s="40">
        <f t="shared" si="61"/>
        <v>0</v>
      </c>
      <c r="BW80" s="40">
        <f t="shared" si="61"/>
        <v>0</v>
      </c>
      <c r="BX80" s="40">
        <f t="shared" si="61"/>
        <v>0</v>
      </c>
      <c r="BY80" s="40">
        <f t="shared" si="61"/>
        <v>0</v>
      </c>
      <c r="BZ80" s="40">
        <f t="shared" si="61"/>
        <v>0</v>
      </c>
      <c r="CA80" s="40">
        <f t="shared" si="61"/>
        <v>0</v>
      </c>
      <c r="CB80" s="40">
        <f t="shared" si="61"/>
        <v>0</v>
      </c>
      <c r="CC80" s="40">
        <f t="shared" si="61"/>
        <v>0</v>
      </c>
      <c r="CD80" s="40">
        <f t="shared" si="61"/>
        <v>0</v>
      </c>
    </row>
    <row r="81" spans="2:92" s="25" customFormat="1">
      <c r="B81" s="112" t="s">
        <v>928</v>
      </c>
      <c r="C81" s="25" t="s">
        <v>4397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31">
        <f t="shared" ref="BA81:BF81" si="62">AZ81</f>
        <v>0</v>
      </c>
      <c r="BB81" s="31">
        <f t="shared" si="62"/>
        <v>0</v>
      </c>
      <c r="BC81" s="31">
        <f>BB81</f>
        <v>0</v>
      </c>
      <c r="BD81" s="2">
        <f t="shared" si="62"/>
        <v>0</v>
      </c>
      <c r="BE81" s="2">
        <f t="shared" si="62"/>
        <v>0</v>
      </c>
      <c r="BF81" s="517">
        <f t="shared" si="62"/>
        <v>0</v>
      </c>
      <c r="BG81" s="517">
        <f>BF81</f>
        <v>0</v>
      </c>
      <c r="BH81" s="2">
        <f>BG81</f>
        <v>0</v>
      </c>
      <c r="BI81" s="2">
        <f>BH81</f>
        <v>0</v>
      </c>
      <c r="BJ81" s="2">
        <f>BI81</f>
        <v>0</v>
      </c>
      <c r="BK81" s="25">
        <f>BJ81</f>
        <v>0</v>
      </c>
      <c r="BL81" s="25">
        <f t="shared" ref="BL81:BT81" si="63">BK81</f>
        <v>0</v>
      </c>
      <c r="BM81" s="25">
        <f t="shared" si="63"/>
        <v>0</v>
      </c>
      <c r="BN81" s="25">
        <f t="shared" si="63"/>
        <v>0</v>
      </c>
      <c r="BO81" s="25">
        <f t="shared" si="63"/>
        <v>0</v>
      </c>
      <c r="BP81" s="25">
        <f t="shared" si="63"/>
        <v>0</v>
      </c>
      <c r="BQ81" s="433">
        <f>BP81</f>
        <v>0</v>
      </c>
      <c r="BR81" s="433">
        <f t="shared" si="63"/>
        <v>0</v>
      </c>
      <c r="BS81" s="433">
        <f t="shared" si="63"/>
        <v>0</v>
      </c>
      <c r="BT81" s="433">
        <f t="shared" si="63"/>
        <v>0</v>
      </c>
      <c r="BU81" s="40">
        <f t="shared" ref="BU81:CD81" si="64">BT81</f>
        <v>0</v>
      </c>
      <c r="BV81" s="40">
        <f t="shared" si="64"/>
        <v>0</v>
      </c>
      <c r="BW81" s="40">
        <f t="shared" si="64"/>
        <v>0</v>
      </c>
      <c r="BX81" s="40">
        <f t="shared" si="64"/>
        <v>0</v>
      </c>
      <c r="BY81" s="40">
        <f t="shared" si="64"/>
        <v>0</v>
      </c>
      <c r="BZ81" s="40">
        <f t="shared" si="64"/>
        <v>0</v>
      </c>
      <c r="CA81" s="40">
        <f t="shared" si="64"/>
        <v>0</v>
      </c>
      <c r="CB81" s="40">
        <f t="shared" si="64"/>
        <v>0</v>
      </c>
      <c r="CC81" s="40">
        <f t="shared" si="64"/>
        <v>0</v>
      </c>
      <c r="CD81" s="40">
        <f t="shared" si="64"/>
        <v>0</v>
      </c>
      <c r="CM81" s="25">
        <f>CL81</f>
        <v>0</v>
      </c>
    </row>
    <row r="82" spans="2:92">
      <c r="B82" s="25" t="s">
        <v>2219</v>
      </c>
      <c r="BB82" s="1" t="s">
        <v>2219</v>
      </c>
      <c r="BD82" s="539">
        <v>31.1035</v>
      </c>
      <c r="BE82" s="285">
        <f>BE76/$BD$82</f>
        <v>320.99924445801923</v>
      </c>
      <c r="BF82" s="285">
        <f t="shared" ref="BF82:BM82" si="65">BF76/$BD$82</f>
        <v>298.99850499139967</v>
      </c>
      <c r="BG82" s="285">
        <f t="shared" si="65"/>
        <v>281.00053048692268</v>
      </c>
      <c r="BH82" s="285">
        <f t="shared" si="65"/>
        <v>280.00064301445173</v>
      </c>
      <c r="BI82" s="285">
        <f t="shared" si="65"/>
        <v>356.65034481649974</v>
      </c>
      <c r="BJ82" s="285">
        <f t="shared" si="65"/>
        <v>412.57196135483144</v>
      </c>
      <c r="BK82" s="285">
        <f>BK76/$BD$82</f>
        <v>387.75726204446443</v>
      </c>
      <c r="BL82" s="285">
        <f t="shared" si="65"/>
        <v>410.07905862684265</v>
      </c>
      <c r="BM82" s="285">
        <f t="shared" si="65"/>
        <v>411.5234619898082</v>
      </c>
      <c r="BN82" s="285"/>
      <c r="BO82" s="285" t="s">
        <v>2219</v>
      </c>
      <c r="BP82" s="25"/>
      <c r="BQ82" s="25"/>
      <c r="BR82" s="25"/>
      <c r="BS82" s="25"/>
      <c r="BT82" s="25"/>
      <c r="BU82" s="40">
        <f t="shared" ref="BU82:CD82" si="66">BT82</f>
        <v>0</v>
      </c>
      <c r="BV82" s="40">
        <f t="shared" si="66"/>
        <v>0</v>
      </c>
      <c r="BW82" s="40">
        <f t="shared" si="66"/>
        <v>0</v>
      </c>
      <c r="BX82" s="40">
        <f t="shared" si="66"/>
        <v>0</v>
      </c>
      <c r="BY82" s="40">
        <f t="shared" si="66"/>
        <v>0</v>
      </c>
      <c r="BZ82" s="40">
        <f t="shared" si="66"/>
        <v>0</v>
      </c>
      <c r="CA82" s="40">
        <f t="shared" si="66"/>
        <v>0</v>
      </c>
      <c r="CB82" s="40">
        <f t="shared" si="66"/>
        <v>0</v>
      </c>
      <c r="CC82" s="40">
        <f t="shared" si="66"/>
        <v>0</v>
      </c>
      <c r="CD82" s="40">
        <f t="shared" si="66"/>
        <v>0</v>
      </c>
      <c r="CE82" s="25"/>
      <c r="CF82" s="25"/>
      <c r="CG82" s="25"/>
      <c r="CH82" s="25"/>
      <c r="CI82" s="25"/>
      <c r="CJ82" s="25"/>
      <c r="CK82" s="25"/>
      <c r="CL82" s="25"/>
      <c r="CM82" s="285">
        <f>CM76/$BD$82</f>
        <v>410.07905862684265</v>
      </c>
      <c r="CN82" s="25"/>
    </row>
    <row r="83" spans="2:92">
      <c r="B83" s="25" t="s">
        <v>154</v>
      </c>
      <c r="AZ83" s="25">
        <v>308.04000000000002</v>
      </c>
      <c r="BA83" s="25">
        <v>271</v>
      </c>
      <c r="BB83" s="25">
        <v>279.02999999999997</v>
      </c>
      <c r="BC83" s="25">
        <v>342.61</v>
      </c>
      <c r="BD83" s="25">
        <v>411.63</v>
      </c>
      <c r="BE83" s="25">
        <v>425.00084812396545</v>
      </c>
      <c r="BF83" s="307">
        <v>604.84404398730362</v>
      </c>
      <c r="BG83" s="307">
        <v>702.06128097737178</v>
      </c>
      <c r="BH83" s="25">
        <v>871.6125626891909</v>
      </c>
      <c r="BI83" s="25">
        <v>989.27820637303716</v>
      </c>
      <c r="BJ83" s="99">
        <v>1240.7366368064304</v>
      </c>
      <c r="BK83" s="99">
        <v>1300</v>
      </c>
      <c r="BL83" s="25">
        <v>1250</v>
      </c>
      <c r="BM83" s="25">
        <v>1150</v>
      </c>
      <c r="BN83" s="25">
        <v>1050</v>
      </c>
      <c r="BO83" s="25">
        <v>1000</v>
      </c>
      <c r="BU83" s="40">
        <f t="shared" ref="BU83:CD83" si="67">BT83</f>
        <v>0</v>
      </c>
      <c r="BV83" s="40">
        <f t="shared" si="67"/>
        <v>0</v>
      </c>
      <c r="BW83" s="40">
        <f t="shared" si="67"/>
        <v>0</v>
      </c>
      <c r="BX83" s="40">
        <f t="shared" si="67"/>
        <v>0</v>
      </c>
      <c r="BY83" s="40">
        <f t="shared" si="67"/>
        <v>0</v>
      </c>
      <c r="BZ83" s="40">
        <f t="shared" si="67"/>
        <v>0</v>
      </c>
      <c r="CA83" s="40">
        <f t="shared" si="67"/>
        <v>0</v>
      </c>
      <c r="CB83" s="40">
        <f t="shared" si="67"/>
        <v>0</v>
      </c>
      <c r="CC83" s="40">
        <f t="shared" si="67"/>
        <v>0</v>
      </c>
      <c r="CD83" s="40">
        <f t="shared" si="67"/>
        <v>0</v>
      </c>
      <c r="CM83" s="25">
        <v>1250</v>
      </c>
    </row>
    <row r="84" spans="2:92">
      <c r="B84" s="377" t="s">
        <v>2802</v>
      </c>
      <c r="C84" s="1" t="s">
        <v>3426</v>
      </c>
      <c r="D84" s="1" t="s">
        <v>1432</v>
      </c>
      <c r="AV84" s="2">
        <v>191.48</v>
      </c>
      <c r="AW84" s="2">
        <v>190.22</v>
      </c>
      <c r="AX84" s="2">
        <v>171.33</v>
      </c>
      <c r="AY84" s="2">
        <v>159.88</v>
      </c>
      <c r="AZ84" s="2">
        <v>182.85</v>
      </c>
      <c r="BA84" s="2">
        <v>173.03</v>
      </c>
      <c r="BB84" s="2">
        <v>153.72999999999999</v>
      </c>
      <c r="BC84" s="2">
        <v>164.48</v>
      </c>
      <c r="BD84" s="2">
        <v>203.97</v>
      </c>
      <c r="BE84" s="2">
        <v>230.5</v>
      </c>
      <c r="BF84" s="528">
        <v>302</v>
      </c>
      <c r="BG84" s="528">
        <v>325</v>
      </c>
      <c r="BH84" s="531">
        <v>328</v>
      </c>
      <c r="BI84" s="531">
        <v>210</v>
      </c>
      <c r="BJ84" s="25">
        <f>430000/1506</f>
        <v>285.52456839309428</v>
      </c>
      <c r="BK84" s="25">
        <v>348.17</v>
      </c>
      <c r="BL84" s="307">
        <v>298.89</v>
      </c>
      <c r="BM84" s="531">
        <v>301.33</v>
      </c>
      <c r="BN84" s="531">
        <f>(320+306+314+346)/4</f>
        <v>321.5</v>
      </c>
      <c r="BO84" s="531">
        <f>BN84</f>
        <v>321.5</v>
      </c>
      <c r="BP84" s="531">
        <f>BO84</f>
        <v>321.5</v>
      </c>
      <c r="BQ84" s="531">
        <f>BP84</f>
        <v>321.5</v>
      </c>
      <c r="BR84" s="531">
        <f>BQ84</f>
        <v>321.5</v>
      </c>
      <c r="BS84" s="531">
        <f>BR84</f>
        <v>321.5</v>
      </c>
      <c r="BT84" s="542">
        <f>0.11*BT85</f>
        <v>206.25</v>
      </c>
      <c r="BU84" s="40">
        <f t="shared" ref="BU84:CD84" si="68">BT84</f>
        <v>206.25</v>
      </c>
      <c r="BV84" s="40">
        <f t="shared" si="68"/>
        <v>206.25</v>
      </c>
      <c r="BW84" s="40">
        <f t="shared" si="68"/>
        <v>206.25</v>
      </c>
      <c r="BX84" s="40">
        <f t="shared" si="68"/>
        <v>206.25</v>
      </c>
      <c r="BY84" s="40">
        <f t="shared" si="68"/>
        <v>206.25</v>
      </c>
      <c r="BZ84" s="40">
        <f t="shared" si="68"/>
        <v>206.25</v>
      </c>
      <c r="CA84" s="40">
        <f t="shared" si="68"/>
        <v>206.25</v>
      </c>
      <c r="CB84" s="40">
        <f t="shared" si="68"/>
        <v>206.25</v>
      </c>
      <c r="CC84" s="40">
        <f t="shared" si="68"/>
        <v>206.25</v>
      </c>
      <c r="CD84" s="40">
        <f t="shared" si="68"/>
        <v>206.25</v>
      </c>
      <c r="CM84" s="531">
        <v>306</v>
      </c>
    </row>
    <row r="85" spans="2:92">
      <c r="B85" s="25" t="s">
        <v>2803</v>
      </c>
      <c r="C85" s="1" t="s">
        <v>3426</v>
      </c>
      <c r="D85" s="1" t="s">
        <v>3331</v>
      </c>
      <c r="AV85" s="2">
        <v>1548.15</v>
      </c>
      <c r="AW85" s="2">
        <v>1625</v>
      </c>
      <c r="AX85" s="2">
        <v>1380</v>
      </c>
      <c r="AY85" s="2">
        <v>1339</v>
      </c>
      <c r="AZ85" s="32">
        <v>1551.5</v>
      </c>
      <c r="BA85" s="32">
        <v>1446.7</v>
      </c>
      <c r="BB85" s="32">
        <v>1351.1</v>
      </c>
      <c r="BC85" s="32">
        <v>1515.5</v>
      </c>
      <c r="BD85" s="25"/>
      <c r="BE85" s="25">
        <v>1901</v>
      </c>
      <c r="BF85" s="25">
        <v>2753</v>
      </c>
      <c r="BG85" s="307">
        <v>2640</v>
      </c>
      <c r="BH85" s="25">
        <f>+(2751+2948+2785+1462)/4</f>
        <v>2486.5</v>
      </c>
      <c r="BI85" s="25">
        <v>1665</v>
      </c>
      <c r="BJ85" s="25">
        <v>2171.9</v>
      </c>
      <c r="BK85" s="25">
        <v>2397.4</v>
      </c>
      <c r="BL85" s="25">
        <v>2023</v>
      </c>
      <c r="BM85" s="25">
        <v>1847</v>
      </c>
      <c r="BN85" s="25">
        <v>1867</v>
      </c>
      <c r="BO85" s="25">
        <v>1700</v>
      </c>
      <c r="BP85" s="25">
        <v>1650</v>
      </c>
      <c r="BQ85" s="542">
        <v>1704</v>
      </c>
      <c r="BR85" s="542">
        <v>1759</v>
      </c>
      <c r="BS85" s="542">
        <v>1816</v>
      </c>
      <c r="BT85" s="542">
        <v>1875</v>
      </c>
      <c r="BU85" s="40">
        <v>1936</v>
      </c>
      <c r="BV85" s="40">
        <v>1999</v>
      </c>
      <c r="BW85" s="40">
        <v>2064</v>
      </c>
      <c r="BX85" s="40">
        <v>2131</v>
      </c>
      <c r="BY85" s="40">
        <v>2200</v>
      </c>
      <c r="BZ85" s="40">
        <f>BY85</f>
        <v>2200</v>
      </c>
      <c r="CA85" s="40">
        <f>BZ85</f>
        <v>2200</v>
      </c>
      <c r="CB85" s="40">
        <f>CA85</f>
        <v>2200</v>
      </c>
      <c r="CC85" s="40">
        <f>CB85</f>
        <v>2200</v>
      </c>
      <c r="CD85" s="40">
        <f>CC85</f>
        <v>2200</v>
      </c>
      <c r="CM85" s="25">
        <v>2200</v>
      </c>
    </row>
    <row r="86" spans="2:92">
      <c r="B86" s="377" t="s">
        <v>2804</v>
      </c>
      <c r="C86" s="1" t="s">
        <v>4479</v>
      </c>
      <c r="D86" s="1" t="s">
        <v>16</v>
      </c>
      <c r="AV86" s="2">
        <v>18.23</v>
      </c>
      <c r="AW86" s="2">
        <v>16.760000000000002</v>
      </c>
      <c r="AX86" s="2">
        <v>11.45</v>
      </c>
      <c r="AY86" s="2">
        <v>15.78</v>
      </c>
      <c r="AZ86" s="2">
        <v>24.99</v>
      </c>
      <c r="BA86" s="2">
        <v>17.260000000000002</v>
      </c>
      <c r="BB86" s="2">
        <v>19.690000000000001</v>
      </c>
      <c r="BC86" s="2">
        <v>24.72</v>
      </c>
      <c r="BD86" s="2">
        <v>22.99</v>
      </c>
      <c r="BE86" s="2">
        <v>36.78</v>
      </c>
      <c r="BF86" s="517">
        <v>45.66</v>
      </c>
      <c r="BG86" s="517">
        <v>47.08</v>
      </c>
      <c r="BH86" s="32">
        <f>BH88</f>
        <v>78.89</v>
      </c>
      <c r="BI86" s="32">
        <f t="shared" ref="BI86:BP86" si="69">BH86*BI89/BH89</f>
        <v>49.9825076765609</v>
      </c>
      <c r="BJ86" s="32">
        <f t="shared" si="69"/>
        <v>64.274759467758443</v>
      </c>
      <c r="BK86" s="32">
        <f t="shared" si="69"/>
        <v>89.629375639713416</v>
      </c>
      <c r="BL86" s="32">
        <f t="shared" si="69"/>
        <v>90.436847492323452</v>
      </c>
      <c r="BM86" s="32">
        <f t="shared" si="69"/>
        <v>87.93368474923237</v>
      </c>
      <c r="BN86" s="32">
        <f t="shared" si="69"/>
        <v>79.858966223132057</v>
      </c>
      <c r="BO86" s="32">
        <f t="shared" si="69"/>
        <v>45.396067553735939</v>
      </c>
      <c r="BP86" s="32">
        <f t="shared" si="69"/>
        <v>48.093023541453448</v>
      </c>
      <c r="BQ86" s="542">
        <f t="shared" ref="BQ86:BT90" si="70">+BP86</f>
        <v>48.093023541453448</v>
      </c>
      <c r="BR86" s="542">
        <f t="shared" si="70"/>
        <v>48.093023541453448</v>
      </c>
      <c r="BS86" s="542">
        <f t="shared" si="70"/>
        <v>48.093023541453448</v>
      </c>
      <c r="BT86" s="542">
        <f t="shared" si="70"/>
        <v>48.093023541453448</v>
      </c>
      <c r="BU86" s="40">
        <f t="shared" ref="BU86:CD86" si="71">BT86</f>
        <v>48.093023541453448</v>
      </c>
      <c r="BV86" s="40">
        <f t="shared" si="71"/>
        <v>48.093023541453448</v>
      </c>
      <c r="BW86" s="40">
        <f t="shared" si="71"/>
        <v>48.093023541453448</v>
      </c>
      <c r="BX86" s="40">
        <f t="shared" si="71"/>
        <v>48.093023541453448</v>
      </c>
      <c r="BY86" s="40">
        <f t="shared" si="71"/>
        <v>48.093023541453448</v>
      </c>
      <c r="BZ86" s="40">
        <f t="shared" si="71"/>
        <v>48.093023541453448</v>
      </c>
      <c r="CA86" s="40">
        <f t="shared" si="71"/>
        <v>48.093023541453448</v>
      </c>
      <c r="CB86" s="40">
        <f t="shared" si="71"/>
        <v>48.093023541453448</v>
      </c>
      <c r="CC86" s="40">
        <f t="shared" si="71"/>
        <v>48.093023541453448</v>
      </c>
      <c r="CD86" s="40">
        <f t="shared" si="71"/>
        <v>48.093023541453448</v>
      </c>
      <c r="CM86" s="32" t="e">
        <f>CL86*CM89/CL89</f>
        <v>#DIV/0!</v>
      </c>
    </row>
    <row r="87" spans="2:92" ht="16.5" customHeight="1">
      <c r="B87" s="25" t="s">
        <v>358</v>
      </c>
      <c r="C87" s="1" t="s">
        <v>4479</v>
      </c>
      <c r="D87" s="1" t="s">
        <v>3331</v>
      </c>
      <c r="AV87" s="2">
        <v>11.75</v>
      </c>
      <c r="AW87" s="2">
        <v>14.24</v>
      </c>
      <c r="AX87" s="2">
        <v>10.98</v>
      </c>
      <c r="AY87" s="2">
        <v>7.89</v>
      </c>
      <c r="AZ87" s="2">
        <v>11.93</v>
      </c>
      <c r="BA87" s="2">
        <f>16925/BA72</f>
        <v>22.240473061760841</v>
      </c>
      <c r="BB87" s="31">
        <f>27318/BB72</f>
        <v>24.610810810810811</v>
      </c>
      <c r="BC87" s="31">
        <v>27.66</v>
      </c>
      <c r="BD87" s="31">
        <v>30.25</v>
      </c>
      <c r="BE87" s="31">
        <v>55.26</v>
      </c>
      <c r="BF87" s="528">
        <v>60.58</v>
      </c>
      <c r="BG87" s="528">
        <f>BG977</f>
        <v>56.43</v>
      </c>
      <c r="BH87" s="528">
        <f>BH977</f>
        <v>78.89</v>
      </c>
      <c r="BI87" s="528">
        <f>BI977</f>
        <v>49.81</v>
      </c>
      <c r="BJ87" s="285">
        <f>180000/2450</f>
        <v>73.469387755102048</v>
      </c>
      <c r="BK87" s="285">
        <f>343000/3387</f>
        <v>101.26956008266903</v>
      </c>
      <c r="BL87" s="345">
        <f>BL977</f>
        <v>103.38</v>
      </c>
      <c r="BM87" s="345">
        <f>BM977</f>
        <v>95</v>
      </c>
      <c r="BN87" s="345">
        <f>BN977</f>
        <v>82</v>
      </c>
      <c r="BO87" s="998">
        <f t="shared" ref="BO87:BT87" si="72">BN87*BO89/BN89</f>
        <v>46.613144590495445</v>
      </c>
      <c r="BP87" s="998">
        <f t="shared" si="72"/>
        <v>49.38240647118301</v>
      </c>
      <c r="BQ87" s="998">
        <f t="shared" si="72"/>
        <v>52.624266936299286</v>
      </c>
      <c r="BR87" s="998">
        <f t="shared" si="72"/>
        <v>55.277451971688571</v>
      </c>
      <c r="BS87" s="998">
        <f t="shared" si="72"/>
        <v>56.736703741152681</v>
      </c>
      <c r="BT87" s="998">
        <f t="shared" si="72"/>
        <v>66.246713852376146</v>
      </c>
      <c r="BU87" s="40">
        <f t="shared" ref="BU87:CD87" si="73">BT87</f>
        <v>66.246713852376146</v>
      </c>
      <c r="BV87" s="40">
        <f t="shared" si="73"/>
        <v>66.246713852376146</v>
      </c>
      <c r="BW87" s="40">
        <f t="shared" si="73"/>
        <v>66.246713852376146</v>
      </c>
      <c r="BX87" s="40">
        <f t="shared" si="73"/>
        <v>66.246713852376146</v>
      </c>
      <c r="BY87" s="40">
        <f t="shared" si="73"/>
        <v>66.246713852376146</v>
      </c>
      <c r="BZ87" s="40">
        <f t="shared" si="73"/>
        <v>66.246713852376146</v>
      </c>
      <c r="CA87" s="40">
        <f t="shared" si="73"/>
        <v>66.246713852376146</v>
      </c>
      <c r="CB87" s="40">
        <f t="shared" si="73"/>
        <v>66.246713852376146</v>
      </c>
      <c r="CC87" s="40">
        <f t="shared" si="73"/>
        <v>66.246713852376146</v>
      </c>
      <c r="CD87" s="40">
        <f t="shared" si="73"/>
        <v>66.246713852376146</v>
      </c>
      <c r="CM87" s="345" t="e">
        <f>CL87*CM88/CL88</f>
        <v>#DIV/0!</v>
      </c>
    </row>
    <row r="88" spans="2:92" ht="16.5" hidden="1" customHeight="1">
      <c r="B88" s="25" t="s">
        <v>4487</v>
      </c>
      <c r="C88" s="1" t="s">
        <v>4479</v>
      </c>
      <c r="D88" s="1" t="s">
        <v>3331</v>
      </c>
      <c r="AV88" s="2">
        <v>11.75</v>
      </c>
      <c r="AW88" s="2">
        <v>14.24</v>
      </c>
      <c r="AX88" s="2">
        <v>10.98</v>
      </c>
      <c r="AY88" s="2">
        <v>7.89</v>
      </c>
      <c r="AZ88" s="2">
        <v>11.93</v>
      </c>
      <c r="BA88" s="2">
        <f>16925/BA72</f>
        <v>22.240473061760841</v>
      </c>
      <c r="BB88" s="31">
        <f>27318/BB72</f>
        <v>24.610810810810811</v>
      </c>
      <c r="BC88" s="31">
        <v>27.66</v>
      </c>
      <c r="BD88" s="31">
        <v>30.25</v>
      </c>
      <c r="BE88" s="31">
        <v>55.26</v>
      </c>
      <c r="BF88" s="528">
        <v>60.58</v>
      </c>
      <c r="BG88" s="528">
        <f>BG977</f>
        <v>56.43</v>
      </c>
      <c r="BH88" s="528">
        <f>BH977</f>
        <v>78.89</v>
      </c>
      <c r="BI88" s="528">
        <f>BI977</f>
        <v>49.81</v>
      </c>
      <c r="BJ88" s="285">
        <f>180000/2450</f>
        <v>73.469387755102048</v>
      </c>
      <c r="BK88" s="285">
        <f>343000/3387</f>
        <v>101.26956008266903</v>
      </c>
      <c r="BL88" s="345">
        <f t="shared" ref="BL88:BR88" si="74">BL977</f>
        <v>103.38</v>
      </c>
      <c r="BM88" s="345">
        <f t="shared" si="74"/>
        <v>95</v>
      </c>
      <c r="BN88" s="345">
        <f t="shared" si="74"/>
        <v>82</v>
      </c>
      <c r="BO88" s="345">
        <f t="shared" si="74"/>
        <v>145</v>
      </c>
      <c r="BP88" s="345">
        <f t="shared" si="74"/>
        <v>147</v>
      </c>
      <c r="BQ88" s="345">
        <f t="shared" si="74"/>
        <v>149</v>
      </c>
      <c r="BR88" s="345">
        <f t="shared" si="74"/>
        <v>154</v>
      </c>
      <c r="BS88" s="542">
        <f t="shared" si="70"/>
        <v>154</v>
      </c>
      <c r="BT88" s="542">
        <f t="shared" si="70"/>
        <v>154</v>
      </c>
      <c r="BU88" s="40">
        <f t="shared" ref="BU88:CD88" si="75">BT88</f>
        <v>154</v>
      </c>
      <c r="BV88" s="40">
        <f t="shared" si="75"/>
        <v>154</v>
      </c>
      <c r="BW88" s="40">
        <f t="shared" si="75"/>
        <v>154</v>
      </c>
      <c r="BX88" s="40">
        <f t="shared" si="75"/>
        <v>154</v>
      </c>
      <c r="BY88" s="40">
        <f t="shared" si="75"/>
        <v>154</v>
      </c>
      <c r="BZ88" s="40">
        <f t="shared" si="75"/>
        <v>154</v>
      </c>
      <c r="CA88" s="40">
        <f t="shared" si="75"/>
        <v>154</v>
      </c>
      <c r="CB88" s="40">
        <f t="shared" si="75"/>
        <v>154</v>
      </c>
      <c r="CC88" s="40">
        <f t="shared" si="75"/>
        <v>154</v>
      </c>
      <c r="CD88" s="40">
        <f t="shared" si="75"/>
        <v>154</v>
      </c>
      <c r="CM88" s="345" t="e">
        <f>CL88*CM89/CL89</f>
        <v>#DIV/0!</v>
      </c>
    </row>
    <row r="89" spans="2:92">
      <c r="B89" s="299" t="s">
        <v>1496</v>
      </c>
      <c r="C89" s="299" t="s">
        <v>1497</v>
      </c>
      <c r="D89" s="299" t="s">
        <v>1498</v>
      </c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299"/>
      <c r="AA89" s="299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  <c r="AU89" s="299"/>
      <c r="AV89" s="315">
        <v>20.64833333333333</v>
      </c>
      <c r="AW89" s="315">
        <v>19.110833333333332</v>
      </c>
      <c r="AX89" s="315">
        <v>12.775</v>
      </c>
      <c r="AY89" s="315">
        <v>17.899999999999999</v>
      </c>
      <c r="AZ89" s="315">
        <v>28.4</v>
      </c>
      <c r="BA89" s="315">
        <v>24.4</v>
      </c>
      <c r="BB89" s="315">
        <v>25</v>
      </c>
      <c r="BC89" s="315">
        <v>28.8</v>
      </c>
      <c r="BD89" s="315">
        <v>38.200000000000003</v>
      </c>
      <c r="BE89" s="315">
        <v>54.4</v>
      </c>
      <c r="BF89" s="522">
        <v>65.2</v>
      </c>
      <c r="BG89" s="522">
        <v>71</v>
      </c>
      <c r="BH89" s="528">
        <f>97.7</f>
        <v>97.7</v>
      </c>
      <c r="BI89" s="31">
        <f>61.9</f>
        <v>61.9</v>
      </c>
      <c r="BJ89" s="543">
        <v>79.599999999999994</v>
      </c>
      <c r="BK89" s="543">
        <v>111</v>
      </c>
      <c r="BL89" s="543">
        <v>112</v>
      </c>
      <c r="BM89" s="543">
        <f>108.9+SIM!AU43</f>
        <v>108.9</v>
      </c>
      <c r="BN89" s="543">
        <f>98.9+SIM!V43</f>
        <v>98.9</v>
      </c>
      <c r="BO89" s="1101">
        <f>56.22+SIM!W43</f>
        <v>56.22</v>
      </c>
      <c r="BP89" s="1101">
        <f>59.56+SIM!X43</f>
        <v>59.56</v>
      </c>
      <c r="BQ89" s="1101">
        <f>63.47+SIM!Y43</f>
        <v>63.47</v>
      </c>
      <c r="BR89" s="1101">
        <f>66.67+SIM!Z43</f>
        <v>66.67</v>
      </c>
      <c r="BS89" s="1101">
        <f>68.43+SIM!AA43</f>
        <v>68.430000000000007</v>
      </c>
      <c r="BT89" s="1101">
        <f>79.9+SIM!AB43</f>
        <v>79.900000000000006</v>
      </c>
      <c r="BU89" s="40">
        <f t="shared" ref="BU89:CD89" si="76">BT89</f>
        <v>79.900000000000006</v>
      </c>
      <c r="BV89" s="40">
        <f t="shared" si="76"/>
        <v>79.900000000000006</v>
      </c>
      <c r="BW89" s="40">
        <f t="shared" si="76"/>
        <v>79.900000000000006</v>
      </c>
      <c r="BX89" s="40">
        <f t="shared" si="76"/>
        <v>79.900000000000006</v>
      </c>
      <c r="BY89" s="40">
        <f t="shared" si="76"/>
        <v>79.900000000000006</v>
      </c>
      <c r="BZ89" s="40">
        <f t="shared" si="76"/>
        <v>79.900000000000006</v>
      </c>
      <c r="CA89" s="40">
        <f t="shared" si="76"/>
        <v>79.900000000000006</v>
      </c>
      <c r="CB89" s="40">
        <f t="shared" si="76"/>
        <v>79.900000000000006</v>
      </c>
      <c r="CC89" s="40">
        <f t="shared" si="76"/>
        <v>79.900000000000006</v>
      </c>
      <c r="CD89" s="40">
        <f t="shared" si="76"/>
        <v>79.900000000000006</v>
      </c>
      <c r="CM89" s="543">
        <v>107.77</v>
      </c>
    </row>
    <row r="90" spans="2:92" s="25" customFormat="1">
      <c r="B90" s="25" t="s">
        <v>3561</v>
      </c>
      <c r="C90" s="25" t="s">
        <v>4400</v>
      </c>
      <c r="D90" s="25" t="s">
        <v>3956</v>
      </c>
      <c r="BG90" s="285">
        <v>56.43</v>
      </c>
      <c r="BH90" s="285">
        <v>78.89</v>
      </c>
      <c r="BI90" s="285">
        <v>49.81</v>
      </c>
      <c r="BJ90" s="285">
        <v>71.819999999999993</v>
      </c>
      <c r="BK90" s="285">
        <v>100.42</v>
      </c>
      <c r="BL90" s="285">
        <v>80</v>
      </c>
      <c r="BM90" s="285">
        <v>60.16</v>
      </c>
      <c r="BN90" s="285">
        <v>62.57</v>
      </c>
      <c r="BO90" s="285">
        <v>65.069999999999993</v>
      </c>
      <c r="BP90" s="285">
        <v>65.069999999999993</v>
      </c>
      <c r="BQ90" s="542">
        <f t="shared" si="70"/>
        <v>65.069999999999993</v>
      </c>
      <c r="BR90" s="542">
        <f t="shared" si="70"/>
        <v>65.069999999999993</v>
      </c>
      <c r="BS90" s="542">
        <f t="shared" si="70"/>
        <v>65.069999999999993</v>
      </c>
      <c r="BT90" s="542">
        <f t="shared" si="70"/>
        <v>65.069999999999993</v>
      </c>
      <c r="BU90" s="40">
        <f t="shared" ref="BU90:CD90" si="77">BT90</f>
        <v>65.069999999999993</v>
      </c>
      <c r="BV90" s="40">
        <f t="shared" si="77"/>
        <v>65.069999999999993</v>
      </c>
      <c r="BW90" s="40">
        <f t="shared" si="77"/>
        <v>65.069999999999993</v>
      </c>
      <c r="BX90" s="40">
        <f t="shared" si="77"/>
        <v>65.069999999999993</v>
      </c>
      <c r="BY90" s="40">
        <f t="shared" si="77"/>
        <v>65.069999999999993</v>
      </c>
      <c r="BZ90" s="40">
        <f t="shared" si="77"/>
        <v>65.069999999999993</v>
      </c>
      <c r="CA90" s="40">
        <f t="shared" si="77"/>
        <v>65.069999999999993</v>
      </c>
      <c r="CB90" s="40">
        <f t="shared" si="77"/>
        <v>65.069999999999993</v>
      </c>
      <c r="CC90" s="40">
        <f t="shared" si="77"/>
        <v>65.069999999999993</v>
      </c>
      <c r="CD90" s="40">
        <f t="shared" si="77"/>
        <v>65.069999999999993</v>
      </c>
      <c r="CM90" s="285">
        <v>80</v>
      </c>
    </row>
    <row r="91" spans="2:92" s="25" customFormat="1">
      <c r="B91" s="25" t="s">
        <v>2893</v>
      </c>
      <c r="BB91" s="31">
        <v>290</v>
      </c>
      <c r="BC91" s="31">
        <v>325</v>
      </c>
      <c r="BD91" s="31">
        <v>408</v>
      </c>
      <c r="BE91" s="31">
        <v>427</v>
      </c>
      <c r="BF91" s="345">
        <v>530</v>
      </c>
      <c r="BG91" s="544"/>
      <c r="BH91" s="545">
        <f>715503.80625/BH74</f>
        <v>832.36422736152463</v>
      </c>
      <c r="BI91" s="545">
        <f>876856.95436/BI74</f>
        <v>953.62593462622772</v>
      </c>
      <c r="BJ91" s="459"/>
      <c r="BK91" s="285"/>
      <c r="BL91" s="285"/>
      <c r="BM91" s="285"/>
      <c r="BN91" s="285"/>
      <c r="BO91" s="314"/>
      <c r="BP91" s="314"/>
      <c r="BQ91" s="314"/>
      <c r="BR91" s="314"/>
      <c r="BS91" s="314"/>
      <c r="BT91" s="257"/>
      <c r="BU91" s="40">
        <f t="shared" ref="BU91:CD91" si="78">BT91</f>
        <v>0</v>
      </c>
      <c r="BV91" s="40">
        <f t="shared" si="78"/>
        <v>0</v>
      </c>
      <c r="BW91" s="40">
        <f t="shared" si="78"/>
        <v>0</v>
      </c>
      <c r="BX91" s="40">
        <f t="shared" si="78"/>
        <v>0</v>
      </c>
      <c r="BY91" s="40">
        <f t="shared" si="78"/>
        <v>0</v>
      </c>
      <c r="BZ91" s="40">
        <f t="shared" si="78"/>
        <v>0</v>
      </c>
      <c r="CA91" s="40">
        <f t="shared" si="78"/>
        <v>0</v>
      </c>
      <c r="CB91" s="40">
        <f t="shared" si="78"/>
        <v>0</v>
      </c>
      <c r="CC91" s="40">
        <f t="shared" si="78"/>
        <v>0</v>
      </c>
      <c r="CD91" s="40">
        <f t="shared" si="78"/>
        <v>0</v>
      </c>
      <c r="CM91" s="459"/>
    </row>
    <row r="92" spans="2:92" s="25" customFormat="1">
      <c r="B92" s="25" t="s">
        <v>2894</v>
      </c>
      <c r="BB92" s="31">
        <v>312</v>
      </c>
      <c r="BC92" s="31">
        <v>347</v>
      </c>
      <c r="BD92" s="31">
        <v>393</v>
      </c>
      <c r="BE92" s="31">
        <v>427</v>
      </c>
      <c r="BF92" s="345"/>
      <c r="BG92" s="285"/>
      <c r="BH92" s="285">
        <v>1</v>
      </c>
      <c r="BI92" s="285"/>
      <c r="BJ92" s="285"/>
      <c r="BK92" s="285"/>
      <c r="BL92" s="285"/>
      <c r="BM92" s="285"/>
      <c r="BN92" s="285"/>
      <c r="BO92" s="1064">
        <v>60</v>
      </c>
      <c r="BP92" s="1065">
        <v>60</v>
      </c>
      <c r="BQ92" s="1065">
        <v>65</v>
      </c>
      <c r="BR92" s="285"/>
      <c r="BU92" s="40">
        <f t="shared" ref="BU92:CD92" si="79">BT92</f>
        <v>0</v>
      </c>
      <c r="BV92" s="40">
        <f t="shared" si="79"/>
        <v>0</v>
      </c>
      <c r="BW92" s="40">
        <f t="shared" si="79"/>
        <v>0</v>
      </c>
      <c r="BX92" s="40">
        <f t="shared" si="79"/>
        <v>0</v>
      </c>
      <c r="BY92" s="40">
        <f t="shared" si="79"/>
        <v>0</v>
      </c>
      <c r="BZ92" s="40">
        <f t="shared" si="79"/>
        <v>0</v>
      </c>
      <c r="CA92" s="40">
        <f t="shared" si="79"/>
        <v>0</v>
      </c>
      <c r="CB92" s="40">
        <f t="shared" si="79"/>
        <v>0</v>
      </c>
      <c r="CC92" s="40">
        <f t="shared" si="79"/>
        <v>0</v>
      </c>
      <c r="CD92" s="40">
        <f t="shared" si="79"/>
        <v>0</v>
      </c>
      <c r="CM92" s="285"/>
    </row>
    <row r="93" spans="2:92" s="25" customFormat="1">
      <c r="B93" s="25" t="s">
        <v>2895</v>
      </c>
      <c r="BB93" s="31">
        <v>314</v>
      </c>
      <c r="BC93" s="31">
        <v>363</v>
      </c>
      <c r="BD93" s="31">
        <v>401</v>
      </c>
      <c r="BE93" s="31">
        <v>440</v>
      </c>
      <c r="BF93" s="345"/>
      <c r="BG93" s="345">
        <f>4900000/21400</f>
        <v>228.97196261682242</v>
      </c>
      <c r="BH93" s="99">
        <f>5500000/39000</f>
        <v>141.02564102564102</v>
      </c>
      <c r="BI93" s="986"/>
      <c r="BJ93" s="99"/>
      <c r="BK93" s="99"/>
      <c r="BU93" s="40">
        <f t="shared" ref="BU93:CD93" si="80">BT93</f>
        <v>0</v>
      </c>
      <c r="BV93" s="40">
        <f t="shared" si="80"/>
        <v>0</v>
      </c>
      <c r="BW93" s="40">
        <f t="shared" si="80"/>
        <v>0</v>
      </c>
      <c r="BX93" s="40">
        <f t="shared" si="80"/>
        <v>0</v>
      </c>
      <c r="BY93" s="40">
        <f t="shared" si="80"/>
        <v>0</v>
      </c>
      <c r="BZ93" s="40">
        <f t="shared" si="80"/>
        <v>0</v>
      </c>
      <c r="CA93" s="40">
        <f t="shared" si="80"/>
        <v>0</v>
      </c>
      <c r="CB93" s="40">
        <f t="shared" si="80"/>
        <v>0</v>
      </c>
      <c r="CC93" s="40">
        <f t="shared" si="80"/>
        <v>0</v>
      </c>
      <c r="CD93" s="40">
        <f t="shared" si="80"/>
        <v>0</v>
      </c>
    </row>
    <row r="94" spans="2:92" s="25" customFormat="1">
      <c r="B94" s="25" t="s">
        <v>2896</v>
      </c>
      <c r="BB94" s="31">
        <v>322</v>
      </c>
      <c r="BC94" s="31">
        <v>391</v>
      </c>
      <c r="BD94" s="31">
        <v>434</v>
      </c>
      <c r="BE94" s="531">
        <v>485</v>
      </c>
      <c r="BF94" s="345"/>
      <c r="BG94" s="285">
        <v>56.43</v>
      </c>
      <c r="BH94" s="285">
        <v>78.89</v>
      </c>
      <c r="BI94" s="285">
        <f>BI90-BI88</f>
        <v>0</v>
      </c>
      <c r="BJ94" s="285">
        <f>BJ96/BJ95</f>
        <v>0.9720225737588758</v>
      </c>
      <c r="BK94" s="285">
        <f>BK96/BK95</f>
        <v>0.96666578980422002</v>
      </c>
      <c r="BL94" s="285">
        <f>BL96/BL95</f>
        <v>0.9621976263290356</v>
      </c>
      <c r="BM94" s="285"/>
      <c r="BN94" s="285"/>
      <c r="BO94" s="285"/>
      <c r="BU94" s="40">
        <f t="shared" ref="BU94:CD94" si="81">BT94</f>
        <v>0</v>
      </c>
      <c r="BV94" s="40">
        <f t="shared" si="81"/>
        <v>0</v>
      </c>
      <c r="BW94" s="40">
        <f t="shared" si="81"/>
        <v>0</v>
      </c>
      <c r="BX94" s="40">
        <f t="shared" si="81"/>
        <v>0</v>
      </c>
      <c r="BY94" s="40">
        <f t="shared" si="81"/>
        <v>0</v>
      </c>
      <c r="BZ94" s="40">
        <f t="shared" si="81"/>
        <v>0</v>
      </c>
      <c r="CA94" s="40">
        <f t="shared" si="81"/>
        <v>0</v>
      </c>
      <c r="CB94" s="40">
        <f t="shared" si="81"/>
        <v>0</v>
      </c>
      <c r="CC94" s="40">
        <f t="shared" si="81"/>
        <v>0</v>
      </c>
      <c r="CD94" s="40">
        <f t="shared" si="81"/>
        <v>0</v>
      </c>
      <c r="CM94" s="285"/>
    </row>
    <row r="95" spans="2:92" s="25" customFormat="1">
      <c r="B95" s="25" t="s">
        <v>3455</v>
      </c>
      <c r="BB95" s="99">
        <f>SUM(BB91:BB94)/4</f>
        <v>309.5</v>
      </c>
      <c r="BC95" s="546">
        <f>SUM(BC91:BC94)/4</f>
        <v>356.5</v>
      </c>
      <c r="BD95" s="546">
        <f>SUM(BD91:BD94)/4</f>
        <v>409</v>
      </c>
      <c r="BE95" s="546">
        <f>SUM(BE91:BE94)/4</f>
        <v>444.75</v>
      </c>
      <c r="BF95" s="345"/>
      <c r="BG95" s="345"/>
      <c r="BH95" s="99"/>
      <c r="BI95" s="99"/>
      <c r="BJ95" s="99">
        <v>1225</v>
      </c>
      <c r="BK95" s="99">
        <v>1569</v>
      </c>
      <c r="BL95" s="25">
        <v>1670</v>
      </c>
      <c r="BM95" s="25">
        <v>1600</v>
      </c>
      <c r="BN95" s="25">
        <v>1550</v>
      </c>
      <c r="BO95" s="25">
        <v>1500</v>
      </c>
      <c r="BP95" s="25">
        <v>1479</v>
      </c>
      <c r="BQ95" s="25">
        <v>1458</v>
      </c>
      <c r="BR95" s="25">
        <v>1437</v>
      </c>
      <c r="BS95" s="25">
        <v>1417</v>
      </c>
      <c r="BT95" s="25">
        <v>1396</v>
      </c>
      <c r="BU95" s="40">
        <f t="shared" ref="BU95:CD95" si="82">BT95</f>
        <v>1396</v>
      </c>
      <c r="BV95" s="40">
        <f t="shared" si="82"/>
        <v>1396</v>
      </c>
      <c r="BW95" s="40">
        <f t="shared" si="82"/>
        <v>1396</v>
      </c>
      <c r="BX95" s="40">
        <f t="shared" si="82"/>
        <v>1396</v>
      </c>
      <c r="BY95" s="40">
        <f t="shared" si="82"/>
        <v>1396</v>
      </c>
      <c r="BZ95" s="40">
        <f t="shared" si="82"/>
        <v>1396</v>
      </c>
      <c r="CA95" s="40">
        <f t="shared" si="82"/>
        <v>1396</v>
      </c>
      <c r="CB95" s="40">
        <f t="shared" si="82"/>
        <v>1396</v>
      </c>
      <c r="CC95" s="40">
        <f t="shared" si="82"/>
        <v>1396</v>
      </c>
      <c r="CD95" s="40">
        <f t="shared" si="82"/>
        <v>1396</v>
      </c>
      <c r="CM95" s="25">
        <f>2*CK95-871</f>
        <v>-871</v>
      </c>
    </row>
    <row r="96" spans="2:92">
      <c r="B96" s="25" t="s">
        <v>359</v>
      </c>
      <c r="C96" s="25" t="s">
        <v>4400</v>
      </c>
      <c r="D96" s="25" t="s">
        <v>4111</v>
      </c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">
        <v>387.82</v>
      </c>
      <c r="AW96" s="2">
        <v>311.10000000000002</v>
      </c>
      <c r="AX96" s="2">
        <v>294</v>
      </c>
      <c r="AY96" s="2">
        <v>279</v>
      </c>
      <c r="AZ96" s="2">
        <v>308.04000000000002</v>
      </c>
      <c r="BA96" s="2">
        <v>271</v>
      </c>
      <c r="BB96" s="2">
        <v>279.02999999999997</v>
      </c>
      <c r="BC96" s="2">
        <v>342.61</v>
      </c>
      <c r="BD96" s="2">
        <v>411.63</v>
      </c>
      <c r="BE96" s="540">
        <f>297199950/BE74/1000</f>
        <v>428.2088544215402</v>
      </c>
      <c r="BF96" s="540">
        <f>419841504.8/BF74/1000</f>
        <v>600.44786851879712</v>
      </c>
      <c r="BG96" s="540">
        <f>501419064.9/BG74/1000</f>
        <v>702.14029110936247</v>
      </c>
      <c r="BH96" s="540">
        <f>749326160.9/BH74/1000</f>
        <v>871.71065410290532</v>
      </c>
      <c r="BI96" s="540">
        <f>909741511/BI74/1000</f>
        <v>989.38953997218505</v>
      </c>
      <c r="BJ96" s="285">
        <f>1160000/BJ74</f>
        <v>1190.7276528546229</v>
      </c>
      <c r="BK96" s="285">
        <f>1513586.94778/BK74</f>
        <v>1516.6986242028213</v>
      </c>
      <c r="BL96" s="285">
        <f>1722699.86725/BL74</f>
        <v>1606.8700359694894</v>
      </c>
      <c r="BM96" s="285">
        <f>1403732.75/BM74</f>
        <v>1349.8778186593156</v>
      </c>
      <c r="BN96" s="285">
        <f>1166072.13837/BN74</f>
        <v>1216.9834408912043</v>
      </c>
      <c r="BO96" s="531">
        <v>1183</v>
      </c>
      <c r="BP96" s="531">
        <v>1165</v>
      </c>
      <c r="BQ96" s="547">
        <v>1176</v>
      </c>
      <c r="BR96" s="547">
        <v>1197</v>
      </c>
      <c r="BS96" s="547">
        <v>1220</v>
      </c>
      <c r="BT96" s="547">
        <v>1330</v>
      </c>
      <c r="BU96" s="40">
        <v>1067</v>
      </c>
      <c r="BV96" s="40">
        <v>1050</v>
      </c>
      <c r="BW96" s="40">
        <v>1033</v>
      </c>
      <c r="BX96" s="40">
        <v>1016</v>
      </c>
      <c r="BY96" s="40">
        <v>1000</v>
      </c>
      <c r="BZ96" s="40">
        <f>BY96</f>
        <v>1000</v>
      </c>
      <c r="CA96" s="40">
        <f>BZ96</f>
        <v>1000</v>
      </c>
      <c r="CB96" s="40">
        <f>CA96</f>
        <v>1000</v>
      </c>
      <c r="CC96" s="40">
        <f>CB96</f>
        <v>1000</v>
      </c>
      <c r="CD96" s="40">
        <f>CC96</f>
        <v>1000</v>
      </c>
      <c r="CM96" s="531">
        <f>CL96</f>
        <v>0</v>
      </c>
    </row>
    <row r="97" spans="2:91">
      <c r="B97" s="12" t="s">
        <v>3451</v>
      </c>
      <c r="C97" s="12"/>
      <c r="AV97" s="2">
        <v>700</v>
      </c>
      <c r="AW97" s="2">
        <v>700</v>
      </c>
      <c r="AX97" s="32">
        <v>700</v>
      </c>
      <c r="AY97" s="32">
        <v>700</v>
      </c>
      <c r="AZ97" s="32">
        <v>700</v>
      </c>
      <c r="BA97" s="32">
        <v>700</v>
      </c>
      <c r="BB97" s="32">
        <v>700</v>
      </c>
      <c r="BC97" s="32">
        <v>700</v>
      </c>
      <c r="BD97" s="32">
        <v>700</v>
      </c>
      <c r="BE97" s="32">
        <v>700</v>
      </c>
      <c r="BF97" s="348">
        <v>717.5</v>
      </c>
      <c r="BG97" s="348">
        <v>735.4375</v>
      </c>
      <c r="BH97" s="32">
        <v>753.82343749999973</v>
      </c>
      <c r="BI97" s="32">
        <v>772.66902343749962</v>
      </c>
      <c r="BJ97" s="32">
        <v>791.98574902343705</v>
      </c>
      <c r="BK97" s="25">
        <v>792.98574902343705</v>
      </c>
      <c r="BL97" s="25">
        <v>793.98574902343705</v>
      </c>
      <c r="BM97" s="1">
        <v>794.98574902343705</v>
      </c>
      <c r="BN97" s="1">
        <v>795.98574902343705</v>
      </c>
      <c r="BO97" s="1">
        <v>796.98574902343705</v>
      </c>
      <c r="BP97" s="1">
        <v>796.98574902343705</v>
      </c>
      <c r="BQ97" s="40">
        <f>BP97</f>
        <v>796.98574902343705</v>
      </c>
      <c r="BR97" s="40">
        <f>BQ97</f>
        <v>796.98574902343705</v>
      </c>
      <c r="BS97" s="40">
        <f>BR97</f>
        <v>796.98574902343705</v>
      </c>
      <c r="BT97" s="40">
        <f>BS97</f>
        <v>796.98574902343705</v>
      </c>
      <c r="BU97" s="40">
        <f t="shared" ref="BU97:CD97" si="83">BT97</f>
        <v>796.98574902343705</v>
      </c>
      <c r="BV97" s="40">
        <f t="shared" si="83"/>
        <v>796.98574902343705</v>
      </c>
      <c r="BW97" s="40">
        <f t="shared" si="83"/>
        <v>796.98574902343705</v>
      </c>
      <c r="BX97" s="40">
        <f t="shared" si="83"/>
        <v>796.98574902343705</v>
      </c>
      <c r="BY97" s="40">
        <f t="shared" si="83"/>
        <v>796.98574902343705</v>
      </c>
      <c r="BZ97" s="40">
        <f t="shared" si="83"/>
        <v>796.98574902343705</v>
      </c>
      <c r="CA97" s="40">
        <f t="shared" si="83"/>
        <v>796.98574902343705</v>
      </c>
      <c r="CB97" s="40">
        <f t="shared" si="83"/>
        <v>796.98574902343705</v>
      </c>
      <c r="CC97" s="40">
        <f t="shared" si="83"/>
        <v>796.98574902343705</v>
      </c>
      <c r="CD97" s="40">
        <f t="shared" si="83"/>
        <v>796.98574902343705</v>
      </c>
      <c r="CM97" s="25">
        <v>793.98574902343705</v>
      </c>
    </row>
    <row r="98" spans="2:91">
      <c r="B98" s="532" t="s">
        <v>356</v>
      </c>
      <c r="C98" s="1" t="s">
        <v>3426</v>
      </c>
      <c r="D98" s="1" t="s">
        <v>4503</v>
      </c>
      <c r="AV98" s="2">
        <v>404.1</v>
      </c>
      <c r="AW98" s="2">
        <v>338.82</v>
      </c>
      <c r="AX98" s="2">
        <v>286.89999999999998</v>
      </c>
      <c r="AY98" s="2">
        <v>266.7</v>
      </c>
      <c r="AZ98" s="539">
        <f>15452/1.41/AZ61</f>
        <v>231.51227920033278</v>
      </c>
      <c r="BA98" s="539">
        <f>24358/2.2/BA61</f>
        <v>208.33226421710754</v>
      </c>
      <c r="BB98" s="539">
        <f>35296/2.49/BB61</f>
        <v>197.39180640570413</v>
      </c>
      <c r="BC98" s="539">
        <f>25472/2.8/BC61</f>
        <v>216.86197185017181</v>
      </c>
      <c r="BD98" s="539">
        <f>33260/2.78/BD61</f>
        <v>228.84523291848541</v>
      </c>
      <c r="BE98" s="539">
        <f>24742/2.78/BE61</f>
        <v>248.06979401845192</v>
      </c>
      <c r="BF98" s="539">
        <f>32017/2.78/BF61</f>
        <v>277.77016243355712</v>
      </c>
      <c r="BG98" s="539">
        <f>42853/2.78/BG61</f>
        <v>293.61425145597809</v>
      </c>
      <c r="BH98" s="539">
        <f>90477/2.78/BH61</f>
        <v>618.25731755166908</v>
      </c>
      <c r="BI98" s="539">
        <f>58950/2.78/BI61</f>
        <v>408.2523627042803</v>
      </c>
      <c r="BJ98" s="539">
        <f>105213/2.78/BJ61</f>
        <v>423.28102355050601</v>
      </c>
      <c r="BK98" s="539">
        <f>99664/3.25/BK61</f>
        <v>665.07289583044849</v>
      </c>
      <c r="BL98" s="539">
        <f>103155/3.25/BL61</f>
        <v>563.59536196885483</v>
      </c>
      <c r="BM98" s="539">
        <f>132114/3.25/BM61</f>
        <v>526.82652555645393</v>
      </c>
      <c r="BN98" s="539">
        <f>179814/3.25/BN61</f>
        <v>533.25029748334657</v>
      </c>
      <c r="BO98" s="25">
        <v>384.8</v>
      </c>
      <c r="BP98" s="25">
        <v>385</v>
      </c>
      <c r="BQ98" s="433">
        <v>403.8</v>
      </c>
      <c r="BR98" s="433">
        <v>410</v>
      </c>
      <c r="BS98" s="433">
        <v>408</v>
      </c>
      <c r="BT98" s="433">
        <v>410</v>
      </c>
      <c r="BU98" s="40">
        <v>399.8</v>
      </c>
      <c r="BV98" s="40">
        <v>402.3</v>
      </c>
      <c r="BW98" s="40">
        <v>404.9</v>
      </c>
      <c r="BX98" s="40">
        <v>407.4</v>
      </c>
      <c r="BY98" s="40">
        <v>410</v>
      </c>
      <c r="BZ98" s="40">
        <f t="shared" ref="BV98:CD113" si="84">BY98</f>
        <v>410</v>
      </c>
      <c r="CA98" s="40">
        <f t="shared" si="84"/>
        <v>410</v>
      </c>
      <c r="CB98" s="40">
        <f t="shared" si="84"/>
        <v>410</v>
      </c>
      <c r="CC98" s="40">
        <f t="shared" si="84"/>
        <v>410</v>
      </c>
      <c r="CD98" s="40">
        <f t="shared" si="84"/>
        <v>410</v>
      </c>
      <c r="CM98" s="25">
        <f>(540+440)/2</f>
        <v>490</v>
      </c>
    </row>
    <row r="99" spans="2:91">
      <c r="B99" s="532" t="s">
        <v>2805</v>
      </c>
      <c r="C99" s="1" t="s">
        <v>3426</v>
      </c>
      <c r="D99" s="1" t="s">
        <v>3474</v>
      </c>
      <c r="AV99" s="2">
        <v>453.53</v>
      </c>
      <c r="AW99" s="2">
        <v>465.52</v>
      </c>
      <c r="AX99" s="2">
        <v>452.3</v>
      </c>
      <c r="AY99" s="2">
        <v>506.4</v>
      </c>
      <c r="AZ99" s="517">
        <f>12184/1.41/AZ63</f>
        <v>244.37598279901161</v>
      </c>
      <c r="BA99" s="517">
        <f>13829/2.2/BA63</f>
        <v>213.88645720878867</v>
      </c>
      <c r="BB99" s="517">
        <f>2637/2.49/BB63</f>
        <v>213.86028767736536</v>
      </c>
      <c r="BC99" s="548">
        <v>220</v>
      </c>
      <c r="BD99" s="517">
        <f>14759/2.78/BD63</f>
        <v>249.24848853311718</v>
      </c>
      <c r="BE99" s="517">
        <v>266.5</v>
      </c>
      <c r="BF99" s="517">
        <v>303.5</v>
      </c>
      <c r="BG99" s="517">
        <v>379.32</v>
      </c>
      <c r="BH99" s="517">
        <v>480.68</v>
      </c>
      <c r="BI99" s="517">
        <v>457.41</v>
      </c>
      <c r="BJ99" s="517">
        <v>482.62</v>
      </c>
      <c r="BK99" s="32">
        <v>499.35</v>
      </c>
      <c r="BL99" s="32">
        <v>506.83</v>
      </c>
      <c r="BM99" s="32">
        <v>467</v>
      </c>
      <c r="BN99" s="32">
        <v>494.82</v>
      </c>
      <c r="BO99" s="32">
        <v>451.04</v>
      </c>
      <c r="BP99" s="32">
        <f>BO99</f>
        <v>451.04</v>
      </c>
      <c r="BQ99" s="32">
        <f>BP99</f>
        <v>451.04</v>
      </c>
      <c r="BR99" s="32">
        <f>BQ99</f>
        <v>451.04</v>
      </c>
      <c r="BS99" s="32">
        <f>BR99</f>
        <v>451.04</v>
      </c>
      <c r="BT99" s="32">
        <f>BS99</f>
        <v>451.04</v>
      </c>
      <c r="BU99" s="40">
        <f t="shared" ref="BU99:BU162" si="85">BT99</f>
        <v>451.04</v>
      </c>
      <c r="BV99" s="40">
        <f t="shared" si="84"/>
        <v>451.04</v>
      </c>
      <c r="BW99" s="40">
        <f t="shared" si="84"/>
        <v>451.04</v>
      </c>
      <c r="BX99" s="40">
        <f t="shared" si="84"/>
        <v>451.04</v>
      </c>
      <c r="BY99" s="40">
        <f t="shared" si="84"/>
        <v>451.04</v>
      </c>
      <c r="BZ99" s="40">
        <f t="shared" si="84"/>
        <v>451.04</v>
      </c>
      <c r="CA99" s="40">
        <f t="shared" si="84"/>
        <v>451.04</v>
      </c>
      <c r="CB99" s="40">
        <f t="shared" si="84"/>
        <v>451.04</v>
      </c>
      <c r="CC99" s="40">
        <f t="shared" si="84"/>
        <v>451.04</v>
      </c>
      <c r="CD99" s="40">
        <f t="shared" si="84"/>
        <v>451.04</v>
      </c>
      <c r="CM99" s="32">
        <v>524.72</v>
      </c>
    </row>
    <row r="100" spans="2:91">
      <c r="B100" s="377" t="s">
        <v>2806</v>
      </c>
      <c r="C100" s="1" t="s">
        <v>3426</v>
      </c>
      <c r="D100" s="1" t="s">
        <v>17</v>
      </c>
      <c r="AV100" s="2">
        <v>17775.6008728735</v>
      </c>
      <c r="AW100" s="2">
        <v>14347.692666627499</v>
      </c>
      <c r="AX100" s="2">
        <v>8127.1446164911104</v>
      </c>
      <c r="AY100" s="2">
        <v>8258.0236503380111</v>
      </c>
      <c r="AZ100" s="2">
        <f>41877/1.41/AZ65</f>
        <v>5579.5603982716511</v>
      </c>
      <c r="BA100" s="2">
        <f>75885/2.2/BA65</f>
        <v>5308.2766725426</v>
      </c>
      <c r="BB100" s="2">
        <f>78764/2.49/BB65</f>
        <v>4174.7563038215949</v>
      </c>
      <c r="BC100" s="2">
        <f>79783/2.8/BC65</f>
        <v>3969.0665233916384</v>
      </c>
      <c r="BD100" s="2">
        <f>78479/2.78/BD65</f>
        <v>4426.1298393082334</v>
      </c>
      <c r="BE100" s="2">
        <f>69603/2.78/BE65</f>
        <v>4626.2103399320458</v>
      </c>
      <c r="BF100" s="2">
        <f>61648/2.78/BF65</f>
        <v>3945.825545968919</v>
      </c>
      <c r="BG100" s="2">
        <f>64502/2.78/BG65</f>
        <v>4452.5346907275562</v>
      </c>
      <c r="BH100" s="2">
        <f>40612/2.78/BH65</f>
        <v>3500.7508012281764</v>
      </c>
      <c r="BI100" s="2">
        <f>35283/2.78/BI65</f>
        <v>3809.0416022524123</v>
      </c>
      <c r="BJ100" s="2">
        <f>41957/2.78/BJ65</f>
        <v>2255.2967787157004</v>
      </c>
      <c r="BK100" s="421">
        <f>53319/BK65/3.25</f>
        <v>4509.5783820357765</v>
      </c>
      <c r="BL100" s="421">
        <f>45148/BL65/3.25</f>
        <v>4369.8308611803423</v>
      </c>
      <c r="BM100" s="421">
        <f>54205/BM65/3.25</f>
        <v>4115.0904363339596</v>
      </c>
      <c r="BN100" s="421">
        <f>38854/BN65/3.25</f>
        <v>4303.4834136346017</v>
      </c>
      <c r="BO100" s="32">
        <f>BN100</f>
        <v>4303.4834136346017</v>
      </c>
      <c r="BP100" s="32">
        <f>BO100</f>
        <v>4303.4834136346017</v>
      </c>
      <c r="BQ100" s="433">
        <f t="shared" ref="BQ100:BT105" si="86">BP100</f>
        <v>4303.4834136346017</v>
      </c>
      <c r="BR100" s="433">
        <f t="shared" si="86"/>
        <v>4303.4834136346017</v>
      </c>
      <c r="BS100" s="433">
        <f t="shared" si="86"/>
        <v>4303.4834136346017</v>
      </c>
      <c r="BT100" s="433">
        <f t="shared" si="86"/>
        <v>4303.4834136346017</v>
      </c>
      <c r="BU100" s="40">
        <f t="shared" si="85"/>
        <v>4303.4834136346017</v>
      </c>
      <c r="BV100" s="40">
        <f t="shared" si="84"/>
        <v>4303.4834136346017</v>
      </c>
      <c r="BW100" s="40">
        <f t="shared" si="84"/>
        <v>4303.4834136346017</v>
      </c>
      <c r="BX100" s="40">
        <f t="shared" si="84"/>
        <v>4303.4834136346017</v>
      </c>
      <c r="BY100" s="40">
        <f t="shared" si="84"/>
        <v>4303.4834136346017</v>
      </c>
      <c r="BZ100" s="40">
        <f t="shared" si="84"/>
        <v>4303.4834136346017</v>
      </c>
      <c r="CA100" s="40">
        <f t="shared" si="84"/>
        <v>4303.4834136346017</v>
      </c>
      <c r="CB100" s="40">
        <f t="shared" si="84"/>
        <v>4303.4834136346017</v>
      </c>
      <c r="CC100" s="40">
        <f t="shared" si="84"/>
        <v>4303.4834136346017</v>
      </c>
      <c r="CD100" s="40">
        <f t="shared" si="84"/>
        <v>4303.4834136346017</v>
      </c>
      <c r="CM100" s="32">
        <f t="shared" ref="CM100:CM105" si="87">CL100</f>
        <v>0</v>
      </c>
    </row>
    <row r="101" spans="2:91">
      <c r="B101" s="377" t="s">
        <v>360</v>
      </c>
      <c r="C101" s="1" t="s">
        <v>3426</v>
      </c>
      <c r="D101" s="1" t="s">
        <v>17</v>
      </c>
      <c r="AV101" s="2">
        <v>851.16731517509697</v>
      </c>
      <c r="AW101" s="2">
        <v>632.82036530993798</v>
      </c>
      <c r="AX101" s="2">
        <v>545.70259208731193</v>
      </c>
      <c r="AY101" s="2">
        <v>594.47983014862007</v>
      </c>
      <c r="AZ101" s="2">
        <f>6723/1.4/AZ69</f>
        <v>611.27073028804205</v>
      </c>
      <c r="BA101" s="2">
        <f>11301/2.2/BA69</f>
        <v>665.47715789845586</v>
      </c>
      <c r="BB101" s="2">
        <f>20640/2.49/BB69</f>
        <v>804.61625184488673</v>
      </c>
      <c r="BC101" s="2">
        <f>23428/2.8/BC69</f>
        <v>873.03243501073223</v>
      </c>
      <c r="BD101" s="2">
        <f>21375/2.78/BD69</f>
        <v>804.02059195475374</v>
      </c>
      <c r="BE101" s="2">
        <f>25812/2.78/BE69</f>
        <v>778.5420162947288</v>
      </c>
      <c r="BF101" s="2">
        <f>30820/2.78/BF69</f>
        <v>795.57451993195536</v>
      </c>
      <c r="BG101" s="2">
        <f>30535/2.78/BG69</f>
        <v>717.56797214609583</v>
      </c>
      <c r="BH101" s="2">
        <f>32572/2.78/BH69</f>
        <v>701.4216213236308</v>
      </c>
      <c r="BI101" s="2">
        <f>46651/2.78/BI69</f>
        <v>824.37292453323641</v>
      </c>
      <c r="BJ101" s="2">
        <f>44414/2.78/BJ69</f>
        <v>752.35502673914561</v>
      </c>
      <c r="BK101" s="421">
        <f>57879/3.25/BK69</f>
        <v>806.45397259987681</v>
      </c>
      <c r="BL101" s="421">
        <f>52082/3.25/BL69</f>
        <v>862.35972497609487</v>
      </c>
      <c r="BM101" s="421">
        <f>69780/3.25/BM69</f>
        <v>839.75161259266383</v>
      </c>
      <c r="BN101" s="421">
        <f>80157/3.25/BN69</f>
        <v>850.73617011114857</v>
      </c>
      <c r="BO101" s="32">
        <f>BN101</f>
        <v>850.73617011114857</v>
      </c>
      <c r="BP101" s="32">
        <f>BO101</f>
        <v>850.73617011114857</v>
      </c>
      <c r="BQ101" s="433">
        <f t="shared" si="86"/>
        <v>850.73617011114857</v>
      </c>
      <c r="BR101" s="433">
        <f t="shared" si="86"/>
        <v>850.73617011114857</v>
      </c>
      <c r="BS101" s="433">
        <f t="shared" si="86"/>
        <v>850.73617011114857</v>
      </c>
      <c r="BT101" s="433">
        <f t="shared" si="86"/>
        <v>850.73617011114857</v>
      </c>
      <c r="BU101" s="40">
        <f t="shared" si="85"/>
        <v>850.73617011114857</v>
      </c>
      <c r="BV101" s="40">
        <f t="shared" si="84"/>
        <v>850.73617011114857</v>
      </c>
      <c r="BW101" s="40">
        <f t="shared" si="84"/>
        <v>850.73617011114857</v>
      </c>
      <c r="BX101" s="40">
        <f t="shared" si="84"/>
        <v>850.73617011114857</v>
      </c>
      <c r="BY101" s="40">
        <f t="shared" si="84"/>
        <v>850.73617011114857</v>
      </c>
      <c r="BZ101" s="40">
        <f t="shared" si="84"/>
        <v>850.73617011114857</v>
      </c>
      <c r="CA101" s="40">
        <f t="shared" si="84"/>
        <v>850.73617011114857</v>
      </c>
      <c r="CB101" s="40">
        <f t="shared" si="84"/>
        <v>850.73617011114857</v>
      </c>
      <c r="CC101" s="40">
        <f t="shared" si="84"/>
        <v>850.73617011114857</v>
      </c>
      <c r="CD101" s="40">
        <f t="shared" si="84"/>
        <v>850.73617011114857</v>
      </c>
      <c r="CM101" s="32">
        <f t="shared" si="87"/>
        <v>0</v>
      </c>
    </row>
    <row r="102" spans="2:91">
      <c r="B102" s="25" t="s">
        <v>355</v>
      </c>
      <c r="C102" s="1" t="s">
        <v>981</v>
      </c>
      <c r="D102" s="1" t="s">
        <v>2193</v>
      </c>
      <c r="AP102" s="2">
        <f>(69+0+0)/AP67</f>
        <v>172.5</v>
      </c>
      <c r="AQ102" s="2"/>
      <c r="AR102" s="2">
        <f>(210+388+0)/AR67</f>
        <v>166.11111111111111</v>
      </c>
      <c r="AS102" s="2">
        <f>(128+150+0)/AS67</f>
        <v>99.285714285714292</v>
      </c>
      <c r="AT102" s="2">
        <f>(773+111+0)/AT67</f>
        <v>111.8987341772152</v>
      </c>
      <c r="AU102" s="2">
        <f>(760+107+0)/AU67</f>
        <v>60.842105263157897</v>
      </c>
      <c r="AV102" s="2">
        <f>(2783+549+0)/AV67</f>
        <v>123.4074074074074</v>
      </c>
      <c r="AW102" s="2">
        <f>(2341+328+0)/AW67</f>
        <v>86.096774193548384</v>
      </c>
      <c r="AX102" s="2">
        <f>(1647+200+19)/AX67</f>
        <v>84.791202799109371</v>
      </c>
      <c r="AY102" s="2">
        <f>(1417+252+48.8)/AY67</f>
        <v>99.174412562785051</v>
      </c>
      <c r="AZ102" s="2">
        <f>(1086+156+53.8)/AZ67</f>
        <v>128.03082699338009</v>
      </c>
      <c r="BA102" s="2">
        <f>(664.9+426.2+63.5)/BA67</f>
        <v>144.00099775505112</v>
      </c>
      <c r="BB102" s="2">
        <f>(2630+525.6+78.3)/BB67</f>
        <v>124.75022181074721</v>
      </c>
      <c r="BC102" s="2">
        <f>(134.8+359.9+69.4)/BC67</f>
        <v>173.40916077466954</v>
      </c>
      <c r="BD102" s="2">
        <f>(560+250+125.5)/BD67</f>
        <v>149.99198332531668</v>
      </c>
      <c r="BE102" s="2">
        <f>(866+516+143.1)/BE67</f>
        <v>159.44589649764768</v>
      </c>
      <c r="BF102" s="2">
        <f>(2051+386+181.1)/BF67</f>
        <v>140.30546623794211</v>
      </c>
      <c r="BG102" s="2">
        <f>(1233+556+1082.1)/BG67</f>
        <v>223.22344891929714</v>
      </c>
      <c r="BH102" s="2">
        <f>(2097+479+1059)/BH67</f>
        <v>125.56131260794471</v>
      </c>
      <c r="BI102" s="2">
        <f>(3354+261+213.6)/BI67</f>
        <v>127.72217774219375</v>
      </c>
      <c r="BJ102" s="2">
        <f>(5704+291+391)/BJ67</f>
        <v>131.9448748941094</v>
      </c>
      <c r="BK102" s="539">
        <f>(10814+331+817)/BK67</f>
        <v>130.35044895824254</v>
      </c>
      <c r="BL102" s="539">
        <f>(12928+302+1438)/BL67</f>
        <v>134.4121986309529</v>
      </c>
      <c r="BM102" s="539">
        <f>(11314+248+1248)/BM67</f>
        <v>133.22517238151696</v>
      </c>
      <c r="BN102" s="539">
        <f>(17272+441+3314)/BN67</f>
        <v>99.31184969323705</v>
      </c>
      <c r="BO102" s="307">
        <v>245</v>
      </c>
      <c r="BP102" s="307">
        <v>250</v>
      </c>
      <c r="BQ102" s="307">
        <v>255</v>
      </c>
      <c r="BR102" s="307">
        <v>260</v>
      </c>
      <c r="BS102" s="433">
        <v>265</v>
      </c>
      <c r="BT102" s="433">
        <v>270</v>
      </c>
      <c r="BU102" s="40">
        <f t="shared" si="85"/>
        <v>270</v>
      </c>
      <c r="BV102" s="40">
        <f t="shared" si="84"/>
        <v>270</v>
      </c>
      <c r="BW102" s="40">
        <f t="shared" si="84"/>
        <v>270</v>
      </c>
      <c r="BX102" s="40">
        <f t="shared" si="84"/>
        <v>270</v>
      </c>
      <c r="BY102" s="40">
        <f t="shared" si="84"/>
        <v>270</v>
      </c>
      <c r="BZ102" s="40">
        <f t="shared" si="84"/>
        <v>270</v>
      </c>
      <c r="CA102" s="40">
        <f t="shared" si="84"/>
        <v>270</v>
      </c>
      <c r="CB102" s="40">
        <f t="shared" si="84"/>
        <v>270</v>
      </c>
      <c r="CC102" s="40">
        <f t="shared" si="84"/>
        <v>270</v>
      </c>
      <c r="CD102" s="40">
        <f t="shared" si="84"/>
        <v>270</v>
      </c>
      <c r="CM102" s="32">
        <f t="shared" si="87"/>
        <v>0</v>
      </c>
    </row>
    <row r="103" spans="2:91">
      <c r="B103" s="25" t="s">
        <v>357</v>
      </c>
      <c r="C103" s="1" t="s">
        <v>981</v>
      </c>
      <c r="D103" s="1" t="s">
        <v>3331</v>
      </c>
      <c r="AP103" s="2">
        <f>(558+49)/AP68</f>
        <v>337.22222222222223</v>
      </c>
      <c r="AQ103" s="2">
        <f>(359+103)/AQ68</f>
        <v>355.38461538461536</v>
      </c>
      <c r="AR103" s="2">
        <f>(754+147)/AR68</f>
        <v>391.73913043478262</v>
      </c>
      <c r="AS103" s="2">
        <f>(1336+211)/AS68</f>
        <v>483.43750000000006</v>
      </c>
      <c r="AT103" s="2">
        <f>(844+222.6)/AT68</f>
        <v>201.24528301886792</v>
      </c>
      <c r="AU103" s="2">
        <f>(1501+396)/AU68</f>
        <v>263.47222222222223</v>
      </c>
      <c r="AV103" s="2">
        <f>(1387+924)/AV68</f>
        <v>256.77777777777777</v>
      </c>
      <c r="AW103" s="2">
        <f>(1784+1626)/AW68</f>
        <v>293.9655172413793</v>
      </c>
      <c r="AX103" s="2">
        <f>(1178+1332)/AX68</f>
        <v>302.40963855421683</v>
      </c>
      <c r="AY103" s="2">
        <f>(710+822)/AY68</f>
        <v>239.375</v>
      </c>
      <c r="AZ103" s="2">
        <f>(188+1812)/AZ68</f>
        <v>247.52475247524751</v>
      </c>
      <c r="BA103" s="2">
        <f>(80.3+2285.6)/BA68</f>
        <v>278.66902237926979</v>
      </c>
      <c r="BB103" s="2">
        <f>(34.1+2137)/BB68</f>
        <v>254.46554149085793</v>
      </c>
      <c r="BC103" s="2">
        <f>(29+1895)/BC68</f>
        <v>246.31929330431444</v>
      </c>
      <c r="BD103" s="2">
        <f>(0+1404)/BD68</f>
        <v>280.8</v>
      </c>
      <c r="BE103" s="2">
        <f>(0+1411)/BE68</f>
        <v>300.21276595744678</v>
      </c>
      <c r="BF103" s="2">
        <f>(0+1936)/BF68</f>
        <v>312.25806451612902</v>
      </c>
      <c r="BG103" s="2">
        <f>(0+2086)/BG68</f>
        <v>248.33333333333331</v>
      </c>
      <c r="BH103" s="2">
        <f>(0+1907.9)/BH68</f>
        <v>276.50724637681157</v>
      </c>
      <c r="BI103" s="2">
        <f>(0+1351.7)/BI68</f>
        <v>314.34883720930236</v>
      </c>
      <c r="BJ103" s="2">
        <f>(0+1914)/BJ68</f>
        <v>354.4444444444444</v>
      </c>
      <c r="BK103" s="2">
        <f>(0+2102+196.2)/BK68</f>
        <v>353.13460356484325</v>
      </c>
      <c r="BL103" s="2">
        <f>(0+3570+77.1)/BL68</f>
        <v>325.3144233342253</v>
      </c>
      <c r="BM103" s="2">
        <f>(0+6156+140.2)/BM68</f>
        <v>338.17810720807825</v>
      </c>
      <c r="BN103" s="2">
        <f>(6.7+6802+141)/BN68</f>
        <v>198.15522354014595</v>
      </c>
      <c r="BO103" s="32">
        <v>357</v>
      </c>
      <c r="BP103" s="32">
        <v>364</v>
      </c>
      <c r="BQ103" s="433">
        <v>371</v>
      </c>
      <c r="BR103" s="433">
        <v>379</v>
      </c>
      <c r="BS103" s="433">
        <v>386</v>
      </c>
      <c r="BT103" s="433">
        <v>394</v>
      </c>
      <c r="BU103" s="40">
        <f t="shared" si="85"/>
        <v>394</v>
      </c>
      <c r="BV103" s="40">
        <f t="shared" si="84"/>
        <v>394</v>
      </c>
      <c r="BW103" s="40">
        <f t="shared" si="84"/>
        <v>394</v>
      </c>
      <c r="BX103" s="40">
        <f t="shared" si="84"/>
        <v>394</v>
      </c>
      <c r="BY103" s="40">
        <f t="shared" si="84"/>
        <v>394</v>
      </c>
      <c r="BZ103" s="40">
        <f t="shared" si="84"/>
        <v>394</v>
      </c>
      <c r="CA103" s="40">
        <f t="shared" si="84"/>
        <v>394</v>
      </c>
      <c r="CB103" s="40">
        <f t="shared" si="84"/>
        <v>394</v>
      </c>
      <c r="CC103" s="40">
        <f t="shared" si="84"/>
        <v>394</v>
      </c>
      <c r="CD103" s="40">
        <f t="shared" si="84"/>
        <v>394</v>
      </c>
      <c r="CM103" s="32">
        <f t="shared" si="87"/>
        <v>0</v>
      </c>
    </row>
    <row r="104" spans="2:91">
      <c r="B104" s="25" t="s">
        <v>3452</v>
      </c>
      <c r="C104" s="12" t="s">
        <v>1619</v>
      </c>
      <c r="D104" s="25" t="s">
        <v>1788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">
        <v>743.6</v>
      </c>
      <c r="AW104" s="2">
        <v>832</v>
      </c>
      <c r="AX104" s="2">
        <v>902.2</v>
      </c>
      <c r="AY104" s="2">
        <v>956.8</v>
      </c>
      <c r="AZ104" s="2">
        <v>956.8</v>
      </c>
      <c r="BA104" s="2">
        <v>956.8</v>
      </c>
      <c r="BB104" s="2">
        <v>956.8</v>
      </c>
      <c r="BC104" s="2">
        <v>956.8</v>
      </c>
      <c r="BD104" s="2">
        <v>956.8</v>
      </c>
      <c r="BE104" s="2">
        <v>937</v>
      </c>
      <c r="BF104" s="2">
        <v>937</v>
      </c>
      <c r="BG104" s="2">
        <v>937</v>
      </c>
      <c r="BH104" s="2">
        <v>937</v>
      </c>
      <c r="BI104" s="2">
        <v>937</v>
      </c>
      <c r="BJ104" s="2">
        <v>937</v>
      </c>
      <c r="BK104" s="32">
        <f t="shared" ref="BK104:BP105" si="88">BJ104</f>
        <v>937</v>
      </c>
      <c r="BL104" s="32">
        <f t="shared" si="88"/>
        <v>937</v>
      </c>
      <c r="BM104" s="32">
        <f t="shared" si="88"/>
        <v>937</v>
      </c>
      <c r="BN104" s="32">
        <f t="shared" si="88"/>
        <v>937</v>
      </c>
      <c r="BO104" s="32">
        <f t="shared" si="88"/>
        <v>937</v>
      </c>
      <c r="BP104" s="32">
        <f t="shared" si="88"/>
        <v>937</v>
      </c>
      <c r="BQ104" s="433">
        <f t="shared" si="86"/>
        <v>937</v>
      </c>
      <c r="BR104" s="433">
        <f t="shared" si="86"/>
        <v>937</v>
      </c>
      <c r="BS104" s="433">
        <f t="shared" si="86"/>
        <v>937</v>
      </c>
      <c r="BT104" s="433">
        <f t="shared" si="86"/>
        <v>937</v>
      </c>
      <c r="BU104" s="40">
        <f t="shared" si="85"/>
        <v>937</v>
      </c>
      <c r="BV104" s="40">
        <f t="shared" si="84"/>
        <v>937</v>
      </c>
      <c r="BW104" s="40">
        <f t="shared" si="84"/>
        <v>937</v>
      </c>
      <c r="BX104" s="40">
        <f t="shared" si="84"/>
        <v>937</v>
      </c>
      <c r="BY104" s="40">
        <f t="shared" si="84"/>
        <v>937</v>
      </c>
      <c r="BZ104" s="40">
        <f t="shared" si="84"/>
        <v>937</v>
      </c>
      <c r="CA104" s="40">
        <f t="shared" si="84"/>
        <v>937</v>
      </c>
      <c r="CB104" s="40">
        <f t="shared" si="84"/>
        <v>937</v>
      </c>
      <c r="CC104" s="40">
        <f t="shared" si="84"/>
        <v>937</v>
      </c>
      <c r="CD104" s="40">
        <f t="shared" si="84"/>
        <v>937</v>
      </c>
      <c r="CM104" s="32">
        <f t="shared" si="87"/>
        <v>0</v>
      </c>
    </row>
    <row r="105" spans="2:91">
      <c r="B105" s="25" t="s">
        <v>638</v>
      </c>
      <c r="AV105" s="2">
        <v>100</v>
      </c>
      <c r="AW105" s="2">
        <v>100</v>
      </c>
      <c r="AX105" s="2">
        <v>100</v>
      </c>
      <c r="AY105" s="2">
        <v>100</v>
      </c>
      <c r="AZ105" s="2">
        <v>100</v>
      </c>
      <c r="BA105" s="2">
        <v>100</v>
      </c>
      <c r="BB105" s="2">
        <v>100</v>
      </c>
      <c r="BC105" s="2">
        <v>100</v>
      </c>
      <c r="BD105" s="2">
        <v>100</v>
      </c>
      <c r="BE105" s="2">
        <v>100</v>
      </c>
      <c r="BF105" s="517">
        <v>100</v>
      </c>
      <c r="BG105" s="517">
        <v>100</v>
      </c>
      <c r="BH105" s="25">
        <f>BG105</f>
        <v>100</v>
      </c>
      <c r="BI105" s="25">
        <f>BH105</f>
        <v>100</v>
      </c>
      <c r="BJ105" s="25">
        <f>BI105</f>
        <v>100</v>
      </c>
      <c r="BK105" s="25">
        <f t="shared" si="88"/>
        <v>100</v>
      </c>
      <c r="BL105" s="25">
        <f t="shared" si="88"/>
        <v>100</v>
      </c>
      <c r="BM105" s="1">
        <f t="shared" si="88"/>
        <v>100</v>
      </c>
      <c r="BN105" s="1">
        <f t="shared" si="88"/>
        <v>100</v>
      </c>
      <c r="BO105" s="1">
        <f t="shared" si="88"/>
        <v>100</v>
      </c>
      <c r="BP105" s="1">
        <f t="shared" si="88"/>
        <v>100</v>
      </c>
      <c r="BQ105" s="433">
        <f t="shared" si="86"/>
        <v>100</v>
      </c>
      <c r="BR105" s="433">
        <f t="shared" si="86"/>
        <v>100</v>
      </c>
      <c r="BS105" s="433">
        <f t="shared" si="86"/>
        <v>100</v>
      </c>
      <c r="BT105" s="433">
        <f t="shared" si="86"/>
        <v>100</v>
      </c>
      <c r="BU105" s="40">
        <f t="shared" si="85"/>
        <v>100</v>
      </c>
      <c r="BV105" s="40">
        <f t="shared" si="84"/>
        <v>100</v>
      </c>
      <c r="BW105" s="40">
        <f t="shared" si="84"/>
        <v>100</v>
      </c>
      <c r="BX105" s="40">
        <f t="shared" si="84"/>
        <v>100</v>
      </c>
      <c r="BY105" s="40">
        <f t="shared" si="84"/>
        <v>100</v>
      </c>
      <c r="BZ105" s="40">
        <f t="shared" si="84"/>
        <v>100</v>
      </c>
      <c r="CA105" s="40">
        <f t="shared" si="84"/>
        <v>100</v>
      </c>
      <c r="CB105" s="40">
        <f t="shared" si="84"/>
        <v>100</v>
      </c>
      <c r="CC105" s="40">
        <f t="shared" si="84"/>
        <v>100</v>
      </c>
      <c r="CD105" s="40">
        <f t="shared" si="84"/>
        <v>100</v>
      </c>
      <c r="CM105" s="25">
        <f t="shared" si="87"/>
        <v>0</v>
      </c>
    </row>
    <row r="106" spans="2:91" s="25" customFormat="1">
      <c r="AP106" s="25">
        <f t="shared" ref="AP106:BD106" si="89">SUM(AP102:AP103)/2</f>
        <v>254.86111111111111</v>
      </c>
      <c r="AQ106" s="25">
        <f>AQ103</f>
        <v>355.38461538461536</v>
      </c>
      <c r="AR106" s="25">
        <f t="shared" si="89"/>
        <v>278.92512077294685</v>
      </c>
      <c r="AS106" s="25">
        <f t="shared" si="89"/>
        <v>291.36160714285717</v>
      </c>
      <c r="AT106" s="25">
        <f t="shared" si="89"/>
        <v>156.57200859804158</v>
      </c>
      <c r="AU106" s="25">
        <f t="shared" si="89"/>
        <v>162.15716374269007</v>
      </c>
      <c r="AV106" s="25">
        <f t="shared" si="89"/>
        <v>190.09259259259258</v>
      </c>
      <c r="AW106" s="25">
        <f t="shared" si="89"/>
        <v>190.03114571746386</v>
      </c>
      <c r="AX106" s="25">
        <f t="shared" si="89"/>
        <v>193.60042067666311</v>
      </c>
      <c r="AY106" s="25">
        <f t="shared" si="89"/>
        <v>169.27470628139253</v>
      </c>
      <c r="AZ106" s="25">
        <f t="shared" si="89"/>
        <v>187.77778973431379</v>
      </c>
      <c r="BA106" s="25">
        <f t="shared" si="89"/>
        <v>211.33501006716045</v>
      </c>
      <c r="BB106" s="25">
        <f t="shared" si="89"/>
        <v>189.60788165080257</v>
      </c>
      <c r="BC106" s="25">
        <f t="shared" si="89"/>
        <v>209.86422703949199</v>
      </c>
      <c r="BD106" s="25">
        <f t="shared" si="89"/>
        <v>215.39599166265833</v>
      </c>
      <c r="BE106" s="25">
        <f t="shared" ref="BE106:BM106" si="90">SUM(BE102:BE103)/2</f>
        <v>229.82933122754724</v>
      </c>
      <c r="BF106" s="25">
        <f t="shared" si="90"/>
        <v>226.28176537703558</v>
      </c>
      <c r="BG106" s="25">
        <f t="shared" si="90"/>
        <v>235.77839112631523</v>
      </c>
      <c r="BH106" s="25">
        <f t="shared" si="90"/>
        <v>201.03427949237815</v>
      </c>
      <c r="BI106" s="25">
        <f t="shared" si="90"/>
        <v>221.03550747574806</v>
      </c>
      <c r="BJ106" s="25">
        <f t="shared" si="90"/>
        <v>243.19465966927692</v>
      </c>
      <c r="BK106" s="25">
        <f t="shared" si="90"/>
        <v>241.74252626154288</v>
      </c>
      <c r="BL106" s="25">
        <f t="shared" si="90"/>
        <v>229.8633109825891</v>
      </c>
      <c r="BM106" s="25">
        <f t="shared" si="90"/>
        <v>235.70163979479759</v>
      </c>
      <c r="BN106" s="25">
        <f>SUM(BN102:BN103)/2</f>
        <v>148.73353661669151</v>
      </c>
      <c r="BU106" s="40">
        <f t="shared" si="85"/>
        <v>0</v>
      </c>
      <c r="BV106" s="40">
        <f t="shared" si="84"/>
        <v>0</v>
      </c>
      <c r="BW106" s="40">
        <f t="shared" si="84"/>
        <v>0</v>
      </c>
      <c r="BX106" s="40">
        <f t="shared" si="84"/>
        <v>0</v>
      </c>
      <c r="BY106" s="40">
        <f t="shared" si="84"/>
        <v>0</v>
      </c>
      <c r="BZ106" s="40">
        <f t="shared" si="84"/>
        <v>0</v>
      </c>
      <c r="CA106" s="40">
        <f t="shared" si="84"/>
        <v>0</v>
      </c>
      <c r="CB106" s="40">
        <f t="shared" si="84"/>
        <v>0</v>
      </c>
      <c r="CC106" s="40">
        <f t="shared" si="84"/>
        <v>0</v>
      </c>
      <c r="CD106" s="40">
        <f t="shared" si="84"/>
        <v>0</v>
      </c>
    </row>
    <row r="107" spans="2:91" s="25" customFormat="1">
      <c r="B107" s="410" t="s">
        <v>4593</v>
      </c>
      <c r="AZ107" s="25">
        <f>(1086/9.2+156/0.9+53.8/0.021)/AZ67</f>
        <v>281.91696210838495</v>
      </c>
      <c r="BF107" s="307"/>
      <c r="BG107" s="307"/>
      <c r="BH107" s="307"/>
      <c r="BI107" s="307"/>
      <c r="BJ107" s="25">
        <f>430000/1506</f>
        <v>285.52456839309428</v>
      </c>
      <c r="BK107" s="25">
        <f>491000/1411</f>
        <v>347.98015591778881</v>
      </c>
      <c r="BL107" s="25">
        <f>270000/896</f>
        <v>301.33928571428572</v>
      </c>
      <c r="BU107" s="40">
        <f t="shared" si="85"/>
        <v>0</v>
      </c>
      <c r="BV107" s="40">
        <f t="shared" si="84"/>
        <v>0</v>
      </c>
      <c r="BW107" s="40">
        <f t="shared" si="84"/>
        <v>0</v>
      </c>
      <c r="BX107" s="40">
        <f t="shared" si="84"/>
        <v>0</v>
      </c>
      <c r="BY107" s="40">
        <f t="shared" si="84"/>
        <v>0</v>
      </c>
      <c r="BZ107" s="40">
        <f t="shared" si="84"/>
        <v>0</v>
      </c>
      <c r="CA107" s="40">
        <f t="shared" si="84"/>
        <v>0</v>
      </c>
      <c r="CB107" s="40">
        <f t="shared" si="84"/>
        <v>0</v>
      </c>
      <c r="CC107" s="40">
        <f t="shared" si="84"/>
        <v>0</v>
      </c>
      <c r="CD107" s="40">
        <f t="shared" si="84"/>
        <v>0</v>
      </c>
    </row>
    <row r="108" spans="2:91" s="25" customFormat="1">
      <c r="B108" s="25" t="s">
        <v>1457</v>
      </c>
      <c r="C108" s="25" t="s">
        <v>1458</v>
      </c>
      <c r="D108" s="25" t="s">
        <v>4594</v>
      </c>
      <c r="BF108" s="307"/>
      <c r="BG108" s="307"/>
      <c r="BU108" s="40">
        <f t="shared" si="85"/>
        <v>0</v>
      </c>
      <c r="BV108" s="40">
        <f t="shared" si="84"/>
        <v>0</v>
      </c>
      <c r="BW108" s="40">
        <f t="shared" si="84"/>
        <v>0</v>
      </c>
      <c r="BX108" s="40">
        <f t="shared" si="84"/>
        <v>0</v>
      </c>
      <c r="BY108" s="40">
        <f t="shared" si="84"/>
        <v>0</v>
      </c>
      <c r="BZ108" s="40">
        <f t="shared" si="84"/>
        <v>0</v>
      </c>
      <c r="CA108" s="40">
        <f t="shared" si="84"/>
        <v>0</v>
      </c>
      <c r="CB108" s="40">
        <f t="shared" si="84"/>
        <v>0</v>
      </c>
      <c r="CC108" s="40">
        <f t="shared" si="84"/>
        <v>0</v>
      </c>
      <c r="CD108" s="40">
        <f t="shared" si="84"/>
        <v>0</v>
      </c>
    </row>
    <row r="109" spans="2:91" s="25" customFormat="1">
      <c r="B109" s="25" t="s">
        <v>427</v>
      </c>
      <c r="BF109" s="307"/>
      <c r="BG109" s="307"/>
      <c r="BK109" s="25">
        <f>14000/98</f>
        <v>142.85714285714286</v>
      </c>
      <c r="BL109" s="25">
        <f>28000/120</f>
        <v>233.33333333333334</v>
      </c>
      <c r="BM109" s="25">
        <f>25000/150</f>
        <v>166.66666666666666</v>
      </c>
      <c r="BN109" s="25">
        <f>30000/200</f>
        <v>150</v>
      </c>
      <c r="BU109" s="40">
        <f t="shared" si="85"/>
        <v>0</v>
      </c>
      <c r="BV109" s="40">
        <f t="shared" si="84"/>
        <v>0</v>
      </c>
      <c r="BW109" s="40">
        <f t="shared" si="84"/>
        <v>0</v>
      </c>
      <c r="BX109" s="40">
        <f t="shared" si="84"/>
        <v>0</v>
      </c>
      <c r="BY109" s="40">
        <f t="shared" si="84"/>
        <v>0</v>
      </c>
      <c r="BZ109" s="40">
        <f t="shared" si="84"/>
        <v>0</v>
      </c>
      <c r="CA109" s="40">
        <f t="shared" si="84"/>
        <v>0</v>
      </c>
      <c r="CB109" s="40">
        <f t="shared" si="84"/>
        <v>0</v>
      </c>
      <c r="CC109" s="40">
        <f t="shared" si="84"/>
        <v>0</v>
      </c>
      <c r="CD109" s="40">
        <f t="shared" si="84"/>
        <v>0</v>
      </c>
    </row>
    <row r="110" spans="2:91" s="25" customFormat="1">
      <c r="B110" s="25" t="s">
        <v>2426</v>
      </c>
      <c r="BE110" s="2">
        <v>54.256999999999998</v>
      </c>
      <c r="BF110" s="307"/>
      <c r="BG110" s="307"/>
      <c r="BU110" s="40">
        <f t="shared" si="85"/>
        <v>0</v>
      </c>
      <c r="BV110" s="40">
        <f t="shared" si="84"/>
        <v>0</v>
      </c>
      <c r="BW110" s="40">
        <f t="shared" si="84"/>
        <v>0</v>
      </c>
      <c r="BX110" s="40">
        <f t="shared" si="84"/>
        <v>0</v>
      </c>
      <c r="BY110" s="40">
        <f t="shared" si="84"/>
        <v>0</v>
      </c>
      <c r="BZ110" s="40">
        <f t="shared" si="84"/>
        <v>0</v>
      </c>
      <c r="CA110" s="40">
        <f t="shared" si="84"/>
        <v>0</v>
      </c>
      <c r="CB110" s="40">
        <f t="shared" si="84"/>
        <v>0</v>
      </c>
      <c r="CC110" s="40">
        <f t="shared" si="84"/>
        <v>0</v>
      </c>
      <c r="CD110" s="40">
        <f t="shared" si="84"/>
        <v>0</v>
      </c>
    </row>
    <row r="111" spans="2:91" s="25" customFormat="1">
      <c r="B111" s="25" t="s">
        <v>4595</v>
      </c>
      <c r="BE111" s="2">
        <v>54.466000000000001</v>
      </c>
      <c r="BF111" s="307"/>
      <c r="BG111" s="307"/>
      <c r="BU111" s="40">
        <f t="shared" si="85"/>
        <v>0</v>
      </c>
      <c r="BV111" s="40">
        <f t="shared" si="84"/>
        <v>0</v>
      </c>
      <c r="BW111" s="40">
        <f t="shared" si="84"/>
        <v>0</v>
      </c>
      <c r="BX111" s="40">
        <f t="shared" si="84"/>
        <v>0</v>
      </c>
      <c r="BY111" s="40">
        <f t="shared" si="84"/>
        <v>0</v>
      </c>
      <c r="BZ111" s="40">
        <f t="shared" si="84"/>
        <v>0</v>
      </c>
      <c r="CA111" s="40">
        <f t="shared" si="84"/>
        <v>0</v>
      </c>
      <c r="CB111" s="40">
        <f t="shared" si="84"/>
        <v>0</v>
      </c>
      <c r="CC111" s="40">
        <f t="shared" si="84"/>
        <v>0</v>
      </c>
      <c r="CD111" s="40">
        <f t="shared" si="84"/>
        <v>0</v>
      </c>
    </row>
    <row r="112" spans="2:91" s="25" customFormat="1">
      <c r="B112" s="25" t="s">
        <v>2424</v>
      </c>
      <c r="BE112" s="2">
        <v>63.110999999999997</v>
      </c>
      <c r="BF112" s="307"/>
      <c r="BG112" s="307"/>
      <c r="BU112" s="40">
        <f t="shared" si="85"/>
        <v>0</v>
      </c>
      <c r="BV112" s="40">
        <f t="shared" si="84"/>
        <v>0</v>
      </c>
      <c r="BW112" s="40">
        <f t="shared" si="84"/>
        <v>0</v>
      </c>
      <c r="BX112" s="40">
        <f t="shared" si="84"/>
        <v>0</v>
      </c>
      <c r="BY112" s="40">
        <f t="shared" si="84"/>
        <v>0</v>
      </c>
      <c r="BZ112" s="40">
        <f t="shared" si="84"/>
        <v>0</v>
      </c>
      <c r="CA112" s="40">
        <f t="shared" si="84"/>
        <v>0</v>
      </c>
      <c r="CB112" s="40">
        <f t="shared" si="84"/>
        <v>0</v>
      </c>
      <c r="CC112" s="40">
        <f t="shared" si="84"/>
        <v>0</v>
      </c>
      <c r="CD112" s="40">
        <f t="shared" si="84"/>
        <v>0</v>
      </c>
    </row>
    <row r="113" spans="2:91" s="25" customFormat="1">
      <c r="B113" s="25" t="s">
        <v>2425</v>
      </c>
      <c r="AY113" s="25">
        <f>150/526*100</f>
        <v>28.517110266159694</v>
      </c>
      <c r="BE113" s="2">
        <v>37.255000000000003</v>
      </c>
      <c r="BF113" s="307"/>
      <c r="BG113" s="307"/>
      <c r="BU113" s="40">
        <f t="shared" si="85"/>
        <v>0</v>
      </c>
      <c r="BV113" s="40">
        <f t="shared" si="84"/>
        <v>0</v>
      </c>
      <c r="BW113" s="40">
        <f t="shared" si="84"/>
        <v>0</v>
      </c>
      <c r="BX113" s="40">
        <f t="shared" si="84"/>
        <v>0</v>
      </c>
      <c r="BY113" s="40">
        <f t="shared" si="84"/>
        <v>0</v>
      </c>
      <c r="BZ113" s="40">
        <f t="shared" si="84"/>
        <v>0</v>
      </c>
      <c r="CA113" s="40">
        <f t="shared" si="84"/>
        <v>0</v>
      </c>
      <c r="CB113" s="40">
        <f t="shared" si="84"/>
        <v>0</v>
      </c>
      <c r="CC113" s="40">
        <f t="shared" si="84"/>
        <v>0</v>
      </c>
      <c r="CD113" s="40">
        <f t="shared" si="84"/>
        <v>0</v>
      </c>
    </row>
    <row r="114" spans="2:91" s="25" customFormat="1">
      <c r="B114" s="25" t="s">
        <v>3845</v>
      </c>
      <c r="C114" s="25" t="s">
        <v>1458</v>
      </c>
      <c r="AY114" s="2">
        <v>43</v>
      </c>
      <c r="AZ114" s="2">
        <v>30.5</v>
      </c>
      <c r="BA114" s="2">
        <v>72.099999999999994</v>
      </c>
      <c r="BB114" s="2">
        <v>49.9</v>
      </c>
      <c r="BC114" s="421">
        <v>118.2</v>
      </c>
      <c r="BD114" s="421">
        <v>117.5</v>
      </c>
      <c r="BE114" s="25">
        <f>+SUM(BE110:BE113)</f>
        <v>209.089</v>
      </c>
      <c r="BF114" s="307"/>
      <c r="BG114" s="307"/>
      <c r="BU114" s="40">
        <f t="shared" si="85"/>
        <v>0</v>
      </c>
      <c r="BV114" s="40">
        <f t="shared" ref="BV114:CD129" si="91">BU114</f>
        <v>0</v>
      </c>
      <c r="BW114" s="40">
        <f t="shared" si="91"/>
        <v>0</v>
      </c>
      <c r="BX114" s="40">
        <f t="shared" si="91"/>
        <v>0</v>
      </c>
      <c r="BY114" s="40">
        <f t="shared" si="91"/>
        <v>0</v>
      </c>
      <c r="BZ114" s="40">
        <f t="shared" si="91"/>
        <v>0</v>
      </c>
      <c r="CA114" s="40">
        <f t="shared" si="91"/>
        <v>0</v>
      </c>
      <c r="CB114" s="40">
        <f t="shared" si="91"/>
        <v>0</v>
      </c>
      <c r="CC114" s="40">
        <f t="shared" si="91"/>
        <v>0</v>
      </c>
      <c r="CD114" s="40">
        <f t="shared" si="91"/>
        <v>0</v>
      </c>
    </row>
    <row r="115" spans="2:91" s="25" customFormat="1">
      <c r="B115" s="25" t="s">
        <v>3846</v>
      </c>
      <c r="C115" s="25" t="s">
        <v>2046</v>
      </c>
      <c r="AY115" s="25">
        <f t="shared" ref="AY115:BE115" si="92">+AY114*AY675</f>
        <v>150.5</v>
      </c>
      <c r="AZ115" s="25">
        <f t="shared" si="92"/>
        <v>70.149999999999991</v>
      </c>
      <c r="BA115" s="25">
        <f t="shared" si="92"/>
        <v>108.14999999999999</v>
      </c>
      <c r="BB115" s="25">
        <f t="shared" si="92"/>
        <v>294.41000000000003</v>
      </c>
      <c r="BC115" s="25">
        <f t="shared" si="92"/>
        <v>1063.8</v>
      </c>
      <c r="BD115" s="25">
        <f t="shared" si="92"/>
        <v>2220.75</v>
      </c>
      <c r="BE115" s="25">
        <f t="shared" si="92"/>
        <v>3031.7905000000001</v>
      </c>
      <c r="BF115" s="307"/>
      <c r="BG115" s="307"/>
      <c r="BH115" s="307"/>
      <c r="BI115" s="307"/>
      <c r="BJ115" s="307"/>
      <c r="BU115" s="40">
        <f t="shared" si="85"/>
        <v>0</v>
      </c>
      <c r="BV115" s="40">
        <f t="shared" si="91"/>
        <v>0</v>
      </c>
      <c r="BW115" s="40">
        <f t="shared" si="91"/>
        <v>0</v>
      </c>
      <c r="BX115" s="40">
        <f t="shared" si="91"/>
        <v>0</v>
      </c>
      <c r="BY115" s="40">
        <f t="shared" si="91"/>
        <v>0</v>
      </c>
      <c r="BZ115" s="40">
        <f t="shared" si="91"/>
        <v>0</v>
      </c>
      <c r="CA115" s="40">
        <f t="shared" si="91"/>
        <v>0</v>
      </c>
      <c r="CB115" s="40">
        <f t="shared" si="91"/>
        <v>0</v>
      </c>
      <c r="CC115" s="40">
        <f t="shared" si="91"/>
        <v>0</v>
      </c>
      <c r="CD115" s="40">
        <f t="shared" si="91"/>
        <v>0</v>
      </c>
    </row>
    <row r="116" spans="2:91" s="25" customFormat="1">
      <c r="AV116" s="25">
        <v>436.71015023941828</v>
      </c>
      <c r="AW116" s="25">
        <v>469.62163982267879</v>
      </c>
      <c r="AX116" s="25">
        <v>562.02697596029486</v>
      </c>
      <c r="AY116" s="25">
        <v>964.55981009401967</v>
      </c>
      <c r="AZ116" s="25">
        <v>1478.0208198681239</v>
      </c>
      <c r="BA116" s="25">
        <v>2105.7543189548755</v>
      </c>
      <c r="BF116" s="307"/>
      <c r="BG116" s="307"/>
      <c r="BU116" s="40">
        <f t="shared" si="85"/>
        <v>0</v>
      </c>
      <c r="BV116" s="40">
        <f t="shared" si="91"/>
        <v>0</v>
      </c>
      <c r="BW116" s="40">
        <f t="shared" si="91"/>
        <v>0</v>
      </c>
      <c r="BX116" s="40">
        <f t="shared" si="91"/>
        <v>0</v>
      </c>
      <c r="BY116" s="40">
        <f t="shared" si="91"/>
        <v>0</v>
      </c>
      <c r="BZ116" s="40">
        <f t="shared" si="91"/>
        <v>0</v>
      </c>
      <c r="CA116" s="40">
        <f t="shared" si="91"/>
        <v>0</v>
      </c>
      <c r="CB116" s="40">
        <f t="shared" si="91"/>
        <v>0</v>
      </c>
      <c r="CC116" s="40">
        <f t="shared" si="91"/>
        <v>0</v>
      </c>
      <c r="CD116" s="40">
        <f t="shared" si="91"/>
        <v>0</v>
      </c>
    </row>
    <row r="117" spans="2:91" s="25" customFormat="1">
      <c r="B117" s="238" t="s">
        <v>4533</v>
      </c>
      <c r="AV117" s="25" t="s">
        <v>2088</v>
      </c>
      <c r="BE117" s="307">
        <v>6105.9160000000002</v>
      </c>
      <c r="BF117" s="307">
        <v>7206.3250130575279</v>
      </c>
      <c r="BG117" s="307">
        <v>8060.5318798577055</v>
      </c>
      <c r="BH117" s="1079">
        <v>9698.0550363404745</v>
      </c>
      <c r="BI117" s="1079">
        <v>10638.423667004776</v>
      </c>
      <c r="BJ117" s="1079">
        <v>11993.016</v>
      </c>
      <c r="BK117" s="1079">
        <v>14451.880999999999</v>
      </c>
      <c r="BL117" s="1079">
        <v>16433.674999999999</v>
      </c>
      <c r="BM117" s="1079">
        <v>16932.127</v>
      </c>
      <c r="BN117" s="1079">
        <v>17194.136999999999</v>
      </c>
      <c r="BO117" s="1079">
        <v>17287.37</v>
      </c>
      <c r="BP117" s="1079">
        <v>18456.981</v>
      </c>
      <c r="BQ117" s="1079">
        <v>20067.792000000001</v>
      </c>
      <c r="BR117" s="1079">
        <v>21592.473999999998</v>
      </c>
      <c r="BS117" s="1079">
        <v>22804.241000000002</v>
      </c>
      <c r="BU117" s="40">
        <f t="shared" si="85"/>
        <v>0</v>
      </c>
      <c r="BV117" s="40">
        <f t="shared" si="91"/>
        <v>0</v>
      </c>
      <c r="BW117" s="40">
        <f t="shared" si="91"/>
        <v>0</v>
      </c>
      <c r="BX117" s="40">
        <f t="shared" si="91"/>
        <v>0</v>
      </c>
      <c r="BY117" s="40">
        <f t="shared" si="91"/>
        <v>0</v>
      </c>
      <c r="BZ117" s="40">
        <f t="shared" si="91"/>
        <v>0</v>
      </c>
      <c r="CA117" s="40">
        <f t="shared" si="91"/>
        <v>0</v>
      </c>
      <c r="CB117" s="40">
        <f t="shared" si="91"/>
        <v>0</v>
      </c>
      <c r="CC117" s="40">
        <f t="shared" si="91"/>
        <v>0</v>
      </c>
      <c r="CD117" s="40">
        <f t="shared" si="91"/>
        <v>0</v>
      </c>
      <c r="CM117" s="25">
        <v>16203.786</v>
      </c>
    </row>
    <row r="118" spans="2:91" s="25" customFormat="1">
      <c r="B118" s="25" t="s">
        <v>3076</v>
      </c>
      <c r="C118" s="25" t="s">
        <v>2499</v>
      </c>
      <c r="D118" s="25" t="s">
        <v>4564</v>
      </c>
      <c r="AV118" s="25">
        <f t="shared" ref="AV118:BA118" si="93">+AW118/((1+AW120/100)*(1+AW121/100))</f>
        <v>347.98572837278624</v>
      </c>
      <c r="AW118" s="25">
        <f t="shared" si="93"/>
        <v>393.81406831179174</v>
      </c>
      <c r="AX118" s="25">
        <f t="shared" si="93"/>
        <v>479.64843336586972</v>
      </c>
      <c r="AY118" s="25">
        <f t="shared" si="93"/>
        <v>892.18635835645841</v>
      </c>
      <c r="AZ118" s="25">
        <f t="shared" si="93"/>
        <v>1480.4267514836499</v>
      </c>
      <c r="BA118" s="25">
        <f t="shared" si="93"/>
        <v>2132.3433396373362</v>
      </c>
      <c r="BB118" s="2">
        <v>2534.2449999999999</v>
      </c>
      <c r="BC118" s="307">
        <f>BC139</f>
        <v>3558.8736600000002</v>
      </c>
      <c r="BD118" s="307">
        <f>BD139</f>
        <v>4390.9120000000003</v>
      </c>
      <c r="BE118" s="475">
        <f ca="1">+BF118/((1+BF120/100)*(1+Model!BF392/100))</f>
        <v>6053.5684619106369</v>
      </c>
      <c r="BF118" s="475">
        <f ca="1">+BG118/((1+BG120/100)*(1+Model!BG392/100))</f>
        <v>7420.9359147840732</v>
      </c>
      <c r="BG118" s="475">
        <f ca="1">+BH118/((1+BH120/100)*(1+Model!BH392/100))</f>
        <v>8426.0564134294327</v>
      </c>
      <c r="BH118" s="475">
        <f ca="1">+BI118/((1+BI120/100)*(1+Model!BI392/100))</f>
        <v>9857.9833034972798</v>
      </c>
      <c r="BI118" s="475">
        <f ca="1">+BJ118/((1+BJ120/100)*(1+Model!BJ392/100))</f>
        <v>9809.471481893328</v>
      </c>
      <c r="BJ118" s="475">
        <f ca="1">+BK118/((1+BK120/100)*(1+Model!BK392/100))</f>
        <v>12225.421392335058</v>
      </c>
      <c r="BK118" s="475">
        <f ca="1">+BL118/((1+BL120/100)*(1+Model!BL392/100))</f>
        <v>16133.355781955594</v>
      </c>
      <c r="BL118" s="475">
        <f ca="1">+BM118/((1+BM120/100)*(1+Model!BM392/100))</f>
        <v>17423.098603763883</v>
      </c>
      <c r="BM118" s="475">
        <f ca="1">+BN118/((1+BN120/100)*(1+Model!BN392/100))</f>
        <v>17202.653420649618</v>
      </c>
      <c r="BN118" s="25">
        <f>BN117</f>
        <v>17194.136999999999</v>
      </c>
      <c r="BO118" s="25">
        <f>BO117</f>
        <v>17287.37</v>
      </c>
      <c r="BU118" s="40">
        <f t="shared" si="85"/>
        <v>0</v>
      </c>
      <c r="BV118" s="40">
        <f t="shared" si="91"/>
        <v>0</v>
      </c>
      <c r="BW118" s="40">
        <f t="shared" si="91"/>
        <v>0</v>
      </c>
      <c r="BX118" s="40">
        <f t="shared" si="91"/>
        <v>0</v>
      </c>
      <c r="BY118" s="40">
        <f t="shared" si="91"/>
        <v>0</v>
      </c>
      <c r="BZ118" s="40">
        <f t="shared" si="91"/>
        <v>0</v>
      </c>
      <c r="CA118" s="40">
        <f t="shared" si="91"/>
        <v>0</v>
      </c>
      <c r="CB118" s="40">
        <f t="shared" si="91"/>
        <v>0</v>
      </c>
      <c r="CC118" s="40">
        <f t="shared" si="91"/>
        <v>0</v>
      </c>
      <c r="CD118" s="40">
        <f t="shared" si="91"/>
        <v>0</v>
      </c>
      <c r="CM118" s="348">
        <f>+CL118*(1+CM120/100)*(1+1.04/100)</f>
        <v>0</v>
      </c>
    </row>
    <row r="119" spans="2:91">
      <c r="B119" s="25" t="s">
        <v>211</v>
      </c>
      <c r="C119" s="25" t="s">
        <v>2499</v>
      </c>
      <c r="D119" s="25" t="s">
        <v>4564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">
        <v>345</v>
      </c>
      <c r="AW119" s="2">
        <v>371</v>
      </c>
      <c r="AX119" s="2">
        <v>444</v>
      </c>
      <c r="AY119" s="2">
        <v>762</v>
      </c>
      <c r="AZ119" s="2">
        <v>1167.633</v>
      </c>
      <c r="BA119" s="2">
        <v>1663.5409999999999</v>
      </c>
      <c r="BB119" s="1">
        <f>BA119*1.151*1.0456</f>
        <v>2002.0476385096001</v>
      </c>
      <c r="BF119" s="307"/>
      <c r="BG119" s="307"/>
      <c r="BO119" s="25">
        <v>3.478450148808987</v>
      </c>
      <c r="BP119" s="25">
        <v>3.5365739097902082</v>
      </c>
      <c r="BQ119" s="25">
        <v>4.0500128508575761</v>
      </c>
      <c r="BR119" s="25">
        <v>3.1638490094227478</v>
      </c>
      <c r="BS119" s="25">
        <v>3.2337277551456545</v>
      </c>
      <c r="BT119" s="25">
        <f>BS119</f>
        <v>3.2337277551456545</v>
      </c>
      <c r="BU119" s="40">
        <f t="shared" si="85"/>
        <v>3.2337277551456545</v>
      </c>
      <c r="BV119" s="40">
        <f t="shared" si="91"/>
        <v>3.2337277551456545</v>
      </c>
      <c r="BW119" s="40">
        <f t="shared" si="91"/>
        <v>3.2337277551456545</v>
      </c>
      <c r="BX119" s="40">
        <f t="shared" si="91"/>
        <v>3.2337277551456545</v>
      </c>
      <c r="BY119" s="40">
        <f t="shared" si="91"/>
        <v>3.2337277551456545</v>
      </c>
      <c r="BZ119" s="40">
        <f t="shared" si="91"/>
        <v>3.2337277551456545</v>
      </c>
      <c r="CA119" s="40">
        <f t="shared" si="91"/>
        <v>3.2337277551456545</v>
      </c>
      <c r="CB119" s="40">
        <f t="shared" si="91"/>
        <v>3.2337277551456545</v>
      </c>
      <c r="CC119" s="40">
        <f t="shared" si="91"/>
        <v>3.2337277551456545</v>
      </c>
      <c r="CD119" s="40">
        <f t="shared" si="91"/>
        <v>3.2337277551456545</v>
      </c>
    </row>
    <row r="120" spans="2:91" s="25" customFormat="1">
      <c r="B120" s="25" t="s">
        <v>2561</v>
      </c>
      <c r="C120" s="25" t="s">
        <v>2462</v>
      </c>
      <c r="D120" s="25" t="s">
        <v>4564</v>
      </c>
      <c r="AV120" s="2">
        <v>1</v>
      </c>
      <c r="AW120" s="2">
        <v>5.8</v>
      </c>
      <c r="AX120" s="2">
        <v>2.2999999999999998</v>
      </c>
      <c r="AY120" s="2">
        <v>-1.4</v>
      </c>
      <c r="AZ120" s="2">
        <v>1.8</v>
      </c>
      <c r="BA120" s="2">
        <v>4.4000000000000004</v>
      </c>
      <c r="BB120" s="2">
        <v>2.8</v>
      </c>
      <c r="BC120" s="2">
        <v>6.3</v>
      </c>
      <c r="BD120" s="2">
        <v>7.9</v>
      </c>
      <c r="BE120" s="548">
        <v>4.5</v>
      </c>
      <c r="BF120" s="549">
        <v>3.8169812418777695</v>
      </c>
      <c r="BG120" s="549">
        <v>5.0989735636447477</v>
      </c>
      <c r="BH120" s="548">
        <v>4.1493735028929057</v>
      </c>
      <c r="BI120" s="25">
        <v>3.0172646389609037</v>
      </c>
      <c r="BJ120" s="25">
        <v>5.0999999999999996</v>
      </c>
      <c r="BK120" s="25">
        <v>5.296146765048837</v>
      </c>
      <c r="BL120" s="25">
        <v>3.1</v>
      </c>
      <c r="BM120" s="25">
        <v>2.8</v>
      </c>
      <c r="BN120" s="25">
        <v>1.8380236712362663</v>
      </c>
      <c r="BO120" s="25">
        <v>2.2000000000000002</v>
      </c>
      <c r="BP120" s="25">
        <v>2.6</v>
      </c>
      <c r="BQ120" s="25">
        <v>5.3</v>
      </c>
      <c r="BR120" s="25">
        <v>3.3</v>
      </c>
      <c r="BS120" s="25">
        <v>3.1</v>
      </c>
      <c r="BT120" s="25">
        <f>BS120</f>
        <v>3.1</v>
      </c>
      <c r="BU120" s="40">
        <f t="shared" si="85"/>
        <v>3.1</v>
      </c>
      <c r="BV120" s="40">
        <f t="shared" si="91"/>
        <v>3.1</v>
      </c>
      <c r="BW120" s="40">
        <f t="shared" si="91"/>
        <v>3.1</v>
      </c>
      <c r="BX120" s="40">
        <f t="shared" si="91"/>
        <v>3.1</v>
      </c>
      <c r="BY120" s="40">
        <f t="shared" si="91"/>
        <v>3.1</v>
      </c>
      <c r="BZ120" s="40">
        <f t="shared" si="91"/>
        <v>3.1</v>
      </c>
      <c r="CA120" s="40">
        <f t="shared" si="91"/>
        <v>3.1</v>
      </c>
      <c r="CB120" s="40">
        <f t="shared" si="91"/>
        <v>3.1</v>
      </c>
      <c r="CC120" s="40">
        <f t="shared" si="91"/>
        <v>3.1</v>
      </c>
      <c r="CD120" s="40">
        <f t="shared" si="91"/>
        <v>3.1</v>
      </c>
      <c r="CM120" s="25">
        <v>3.67</v>
      </c>
    </row>
    <row r="121" spans="2:91" s="25" customFormat="1">
      <c r="B121" s="25" t="s">
        <v>1102</v>
      </c>
      <c r="D121" s="25" t="s">
        <v>2462</v>
      </c>
      <c r="AW121" s="2">
        <v>6.9655985745423088</v>
      </c>
      <c r="AX121" s="2">
        <v>19.057338595006669</v>
      </c>
      <c r="AY121" s="2">
        <v>88.649489058108983</v>
      </c>
      <c r="AZ121" s="2">
        <v>62.998484948361245</v>
      </c>
      <c r="BA121" s="2">
        <v>37.965249628678485</v>
      </c>
      <c r="BB121" s="2">
        <v>15.610784894266082</v>
      </c>
      <c r="BC121" s="421">
        <v>22.449525837489183</v>
      </c>
      <c r="BD121" s="421">
        <v>16.64315632653679</v>
      </c>
      <c r="BE121" s="421">
        <v>11.867055893874468</v>
      </c>
      <c r="BF121" s="539">
        <v>23.073929333434062</v>
      </c>
      <c r="BG121" s="307" t="s">
        <v>1921</v>
      </c>
      <c r="BU121" s="40">
        <f t="shared" si="85"/>
        <v>0</v>
      </c>
      <c r="BV121" s="40">
        <f t="shared" si="91"/>
        <v>0</v>
      </c>
      <c r="BW121" s="40">
        <f t="shared" si="91"/>
        <v>0</v>
      </c>
      <c r="BX121" s="40">
        <f t="shared" si="91"/>
        <v>0</v>
      </c>
      <c r="BY121" s="40">
        <f t="shared" si="91"/>
        <v>0</v>
      </c>
      <c r="BZ121" s="40">
        <f t="shared" si="91"/>
        <v>0</v>
      </c>
      <c r="CA121" s="40">
        <f t="shared" si="91"/>
        <v>0</v>
      </c>
      <c r="CB121" s="40">
        <f t="shared" si="91"/>
        <v>0</v>
      </c>
      <c r="CC121" s="40">
        <f t="shared" si="91"/>
        <v>0</v>
      </c>
      <c r="CD121" s="40">
        <f t="shared" si="91"/>
        <v>0</v>
      </c>
    </row>
    <row r="122" spans="2:91" s="25" customFormat="1">
      <c r="B122" s="25" t="s">
        <v>4670</v>
      </c>
      <c r="BF122" s="307"/>
      <c r="BG122" s="307"/>
      <c r="BM122" s="25">
        <v>2.9</v>
      </c>
      <c r="BN122" s="25">
        <v>3.1</v>
      </c>
      <c r="BO122" s="25">
        <v>3.7</v>
      </c>
      <c r="BP122" s="25">
        <v>4.2</v>
      </c>
      <c r="BQ122" s="25">
        <v>4.5999999999999996</v>
      </c>
      <c r="BR122" s="25">
        <v>3.4</v>
      </c>
      <c r="BS122" s="25">
        <f>BR122</f>
        <v>3.4</v>
      </c>
      <c r="BT122" s="25">
        <f>BS122</f>
        <v>3.4</v>
      </c>
      <c r="BU122" s="40">
        <f t="shared" si="85"/>
        <v>3.4</v>
      </c>
      <c r="BV122" s="40">
        <f t="shared" si="91"/>
        <v>3.4</v>
      </c>
      <c r="BW122" s="40">
        <f t="shared" si="91"/>
        <v>3.4</v>
      </c>
      <c r="BX122" s="40">
        <f t="shared" si="91"/>
        <v>3.4</v>
      </c>
      <c r="BY122" s="40">
        <f t="shared" si="91"/>
        <v>3.4</v>
      </c>
      <c r="BZ122" s="40">
        <f t="shared" si="91"/>
        <v>3.4</v>
      </c>
      <c r="CA122" s="40">
        <f t="shared" si="91"/>
        <v>3.4</v>
      </c>
      <c r="CB122" s="40">
        <f t="shared" si="91"/>
        <v>3.4</v>
      </c>
      <c r="CC122" s="40">
        <f t="shared" si="91"/>
        <v>3.4</v>
      </c>
      <c r="CD122" s="40">
        <f t="shared" si="91"/>
        <v>3.4</v>
      </c>
    </row>
    <row r="123" spans="2:91" s="25" customFormat="1" ht="15.75" customHeight="1">
      <c r="B123" s="550" t="s">
        <v>4563</v>
      </c>
      <c r="D123" s="551"/>
      <c r="E123" s="551"/>
      <c r="F123" s="551"/>
      <c r="G123" s="551"/>
      <c r="H123" s="551"/>
      <c r="I123" s="551"/>
      <c r="J123" s="551"/>
      <c r="K123" s="551"/>
      <c r="L123" s="551"/>
      <c r="M123" s="551"/>
      <c r="N123" s="551"/>
      <c r="O123" s="551"/>
      <c r="P123" s="551"/>
      <c r="Q123" s="551"/>
      <c r="R123" s="551"/>
      <c r="S123" s="551"/>
      <c r="T123" s="551"/>
      <c r="U123" s="551"/>
      <c r="V123" s="551"/>
      <c r="W123" s="551"/>
      <c r="X123" s="551"/>
      <c r="Y123" s="551"/>
      <c r="Z123" s="551"/>
      <c r="AA123" s="551"/>
      <c r="AB123" s="551"/>
      <c r="AC123" s="551"/>
      <c r="AD123" s="551"/>
      <c r="AE123" s="551"/>
      <c r="AF123" s="551"/>
      <c r="AG123" s="551"/>
      <c r="AH123" s="551"/>
      <c r="AI123" s="551"/>
      <c r="AJ123" s="551"/>
      <c r="AK123" s="551"/>
      <c r="AL123" s="551"/>
      <c r="AM123" s="551"/>
      <c r="AN123" s="551"/>
      <c r="AO123" s="551"/>
      <c r="AP123" s="551"/>
      <c r="AQ123" s="551"/>
      <c r="AR123" s="551"/>
      <c r="AS123" s="551"/>
      <c r="AT123" s="551"/>
      <c r="AU123" s="551"/>
      <c r="AV123" s="551"/>
      <c r="AZ123" s="551"/>
      <c r="BF123" s="307"/>
      <c r="BG123" s="307"/>
      <c r="BU123" s="40">
        <f t="shared" si="85"/>
        <v>0</v>
      </c>
      <c r="BV123" s="40">
        <f t="shared" si="91"/>
        <v>0</v>
      </c>
      <c r="BW123" s="40">
        <f t="shared" si="91"/>
        <v>0</v>
      </c>
      <c r="BX123" s="40">
        <f t="shared" si="91"/>
        <v>0</v>
      </c>
      <c r="BY123" s="40">
        <f t="shared" si="91"/>
        <v>0</v>
      </c>
      <c r="BZ123" s="40">
        <f t="shared" si="91"/>
        <v>0</v>
      </c>
      <c r="CA123" s="40">
        <f t="shared" si="91"/>
        <v>0</v>
      </c>
      <c r="CB123" s="40">
        <f t="shared" si="91"/>
        <v>0</v>
      </c>
      <c r="CC123" s="40">
        <f t="shared" si="91"/>
        <v>0</v>
      </c>
      <c r="CD123" s="40">
        <f t="shared" si="91"/>
        <v>0</v>
      </c>
    </row>
    <row r="124" spans="2:91" ht="14.25" customHeight="1">
      <c r="B124" s="118" t="s">
        <v>4624</v>
      </c>
      <c r="C124" s="25" t="s">
        <v>2499</v>
      </c>
      <c r="D124" s="25" t="s">
        <v>4564</v>
      </c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">
        <v>134.96355</v>
      </c>
      <c r="AW124" s="2">
        <v>103.71688</v>
      </c>
      <c r="AX124" s="2">
        <v>45.365000000000002</v>
      </c>
      <c r="AY124" s="2">
        <v>83.716999999999999</v>
      </c>
      <c r="AZ124" s="2">
        <v>117.077</v>
      </c>
      <c r="BA124" s="2">
        <v>441.81900000000002</v>
      </c>
      <c r="BB124" s="2">
        <v>490.44200000000001</v>
      </c>
      <c r="BC124" s="2">
        <v>674.33699999999999</v>
      </c>
      <c r="BU124" s="40">
        <f t="shared" si="85"/>
        <v>0</v>
      </c>
      <c r="BV124" s="40">
        <f t="shared" si="91"/>
        <v>0</v>
      </c>
      <c r="BW124" s="40">
        <f t="shared" si="91"/>
        <v>0</v>
      </c>
      <c r="BX124" s="40">
        <f t="shared" si="91"/>
        <v>0</v>
      </c>
      <c r="BY124" s="40">
        <f t="shared" si="91"/>
        <v>0</v>
      </c>
      <c r="BZ124" s="40">
        <f t="shared" si="91"/>
        <v>0</v>
      </c>
      <c r="CA124" s="40">
        <f t="shared" si="91"/>
        <v>0</v>
      </c>
      <c r="CB124" s="40">
        <f t="shared" si="91"/>
        <v>0</v>
      </c>
      <c r="CC124" s="40">
        <f t="shared" si="91"/>
        <v>0</v>
      </c>
      <c r="CD124" s="40">
        <f t="shared" si="91"/>
        <v>0</v>
      </c>
    </row>
    <row r="125" spans="2:91" ht="14.25" customHeight="1">
      <c r="B125" s="118" t="s">
        <v>4625</v>
      </c>
      <c r="C125" s="25" t="s">
        <v>2499</v>
      </c>
      <c r="D125" s="25" t="s">
        <v>4564</v>
      </c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">
        <v>100.84399999999999</v>
      </c>
      <c r="AW125" s="2">
        <v>133.77799999999999</v>
      </c>
      <c r="AX125" s="2">
        <v>159.37299999999999</v>
      </c>
      <c r="AY125" s="2">
        <v>286.048</v>
      </c>
      <c r="AZ125" s="2">
        <v>389.363</v>
      </c>
      <c r="BA125" s="2">
        <v>634.14369999999997</v>
      </c>
      <c r="BB125" s="2">
        <v>762.428</v>
      </c>
      <c r="BC125" s="2">
        <v>720.43700000000001</v>
      </c>
      <c r="BU125" s="40">
        <f t="shared" si="85"/>
        <v>0</v>
      </c>
      <c r="BV125" s="40">
        <f t="shared" si="91"/>
        <v>0</v>
      </c>
      <c r="BW125" s="40">
        <f t="shared" si="91"/>
        <v>0</v>
      </c>
      <c r="BX125" s="40">
        <f t="shared" si="91"/>
        <v>0</v>
      </c>
      <c r="BY125" s="40">
        <f t="shared" si="91"/>
        <v>0</v>
      </c>
      <c r="BZ125" s="40">
        <f t="shared" si="91"/>
        <v>0</v>
      </c>
      <c r="CA125" s="40">
        <f t="shared" si="91"/>
        <v>0</v>
      </c>
      <c r="CB125" s="40">
        <f t="shared" si="91"/>
        <v>0</v>
      </c>
      <c r="CC125" s="40">
        <f t="shared" si="91"/>
        <v>0</v>
      </c>
      <c r="CD125" s="40">
        <f t="shared" si="91"/>
        <v>0</v>
      </c>
    </row>
    <row r="126" spans="2:91" ht="14.25" customHeight="1">
      <c r="B126" s="118" t="s">
        <v>4626</v>
      </c>
      <c r="C126" s="25" t="s">
        <v>2499</v>
      </c>
      <c r="D126" s="25" t="s">
        <v>4564</v>
      </c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">
        <v>76.643000000000001</v>
      </c>
      <c r="AW126" s="2">
        <v>85.683999999999997</v>
      </c>
      <c r="AX126" s="2">
        <v>100.687</v>
      </c>
      <c r="AY126" s="2">
        <v>170.74199999999999</v>
      </c>
      <c r="AZ126" s="2">
        <v>261.08999999999997</v>
      </c>
      <c r="BA126" s="25"/>
      <c r="BB126" s="25"/>
      <c r="BC126" s="25"/>
      <c r="BM126" s="25">
        <v>3.3</v>
      </c>
      <c r="BN126" s="25">
        <v>3.5</v>
      </c>
      <c r="BO126" s="25">
        <v>4.4000000000000004</v>
      </c>
      <c r="BP126" s="25">
        <v>4</v>
      </c>
      <c r="BQ126" s="25">
        <v>2.5</v>
      </c>
      <c r="BR126" s="25">
        <v>3.4</v>
      </c>
      <c r="BS126" s="25">
        <f>BR126</f>
        <v>3.4</v>
      </c>
      <c r="BT126" s="25">
        <f>BS126</f>
        <v>3.4</v>
      </c>
      <c r="BU126" s="40">
        <f t="shared" si="85"/>
        <v>3.4</v>
      </c>
      <c r="BV126" s="40">
        <f t="shared" si="91"/>
        <v>3.4</v>
      </c>
      <c r="BW126" s="40">
        <f t="shared" si="91"/>
        <v>3.4</v>
      </c>
      <c r="BX126" s="40">
        <f t="shared" si="91"/>
        <v>3.4</v>
      </c>
      <c r="BY126" s="40">
        <f t="shared" si="91"/>
        <v>3.4</v>
      </c>
      <c r="BZ126" s="40">
        <f t="shared" si="91"/>
        <v>3.4</v>
      </c>
      <c r="CA126" s="40">
        <f t="shared" si="91"/>
        <v>3.4</v>
      </c>
      <c r="CB126" s="40">
        <f t="shared" si="91"/>
        <v>3.4</v>
      </c>
      <c r="CC126" s="40">
        <f t="shared" si="91"/>
        <v>3.4</v>
      </c>
      <c r="CD126" s="40">
        <f t="shared" si="91"/>
        <v>3.4</v>
      </c>
    </row>
    <row r="127" spans="2:91" ht="14.25" customHeight="1">
      <c r="B127" s="118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"/>
      <c r="AW127" s="2"/>
      <c r="AX127" s="2"/>
      <c r="AY127" s="37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U127" s="40">
        <f t="shared" si="85"/>
        <v>0</v>
      </c>
      <c r="BV127" s="40">
        <f t="shared" si="91"/>
        <v>0</v>
      </c>
      <c r="BW127" s="40">
        <f t="shared" si="91"/>
        <v>0</v>
      </c>
      <c r="BX127" s="40">
        <f t="shared" si="91"/>
        <v>0</v>
      </c>
      <c r="BY127" s="40">
        <f t="shared" si="91"/>
        <v>0</v>
      </c>
      <c r="BZ127" s="40">
        <f t="shared" si="91"/>
        <v>0</v>
      </c>
      <c r="CA127" s="40">
        <f t="shared" si="91"/>
        <v>0</v>
      </c>
      <c r="CB127" s="40">
        <f t="shared" si="91"/>
        <v>0</v>
      </c>
      <c r="CC127" s="40">
        <f t="shared" si="91"/>
        <v>0</v>
      </c>
      <c r="CD127" s="40">
        <f t="shared" si="91"/>
        <v>0</v>
      </c>
    </row>
    <row r="128" spans="2:91" ht="14.25" customHeight="1">
      <c r="B128" s="552" t="s">
        <v>2023</v>
      </c>
      <c r="C128" s="25"/>
      <c r="D128" s="25" t="s">
        <v>1172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"/>
      <c r="AW128" s="2"/>
      <c r="AX128" s="2"/>
      <c r="AY128" s="37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U128" s="40">
        <f t="shared" si="85"/>
        <v>0</v>
      </c>
      <c r="BV128" s="40">
        <f t="shared" si="91"/>
        <v>0</v>
      </c>
      <c r="BW128" s="40">
        <f t="shared" si="91"/>
        <v>0</v>
      </c>
      <c r="BX128" s="40">
        <f t="shared" si="91"/>
        <v>0</v>
      </c>
      <c r="BY128" s="40">
        <f t="shared" si="91"/>
        <v>0</v>
      </c>
      <c r="BZ128" s="40">
        <f t="shared" si="91"/>
        <v>0</v>
      </c>
      <c r="CA128" s="40">
        <f t="shared" si="91"/>
        <v>0</v>
      </c>
      <c r="CB128" s="40">
        <f t="shared" si="91"/>
        <v>0</v>
      </c>
      <c r="CC128" s="40">
        <f t="shared" si="91"/>
        <v>0</v>
      </c>
      <c r="CD128" s="40">
        <f t="shared" si="91"/>
        <v>0</v>
      </c>
    </row>
    <row r="129" spans="2:99" ht="14.25" customHeight="1">
      <c r="B129" s="118" t="s">
        <v>1173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"/>
      <c r="AW129" s="2"/>
      <c r="AX129" s="2"/>
      <c r="AY129" s="2"/>
      <c r="AZ129" s="2"/>
      <c r="BA129" s="25"/>
      <c r="BB129" s="25"/>
      <c r="BC129" s="25"/>
      <c r="BU129" s="40">
        <f t="shared" si="85"/>
        <v>0</v>
      </c>
      <c r="BV129" s="40">
        <f t="shared" si="91"/>
        <v>0</v>
      </c>
      <c r="BW129" s="40">
        <f t="shared" si="91"/>
        <v>0</v>
      </c>
      <c r="BX129" s="40">
        <f t="shared" si="91"/>
        <v>0</v>
      </c>
      <c r="BY129" s="40">
        <f t="shared" si="91"/>
        <v>0</v>
      </c>
      <c r="BZ129" s="40">
        <f t="shared" si="91"/>
        <v>0</v>
      </c>
      <c r="CA129" s="40">
        <f t="shared" si="91"/>
        <v>0</v>
      </c>
      <c r="CB129" s="40">
        <f t="shared" si="91"/>
        <v>0</v>
      </c>
      <c r="CC129" s="40">
        <f t="shared" si="91"/>
        <v>0</v>
      </c>
      <c r="CD129" s="40">
        <f t="shared" si="91"/>
        <v>0</v>
      </c>
    </row>
    <row r="130" spans="2:99" ht="14.25" customHeight="1">
      <c r="B130" s="118" t="s">
        <v>1634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"/>
      <c r="AW130" s="2"/>
      <c r="AX130" s="2"/>
      <c r="AY130" s="2"/>
      <c r="AZ130" s="2"/>
      <c r="BA130" s="25"/>
      <c r="BB130" s="25"/>
      <c r="BC130" s="40">
        <v>2687</v>
      </c>
      <c r="BD130" s="40">
        <v>2996</v>
      </c>
      <c r="BE130" s="40">
        <v>3461</v>
      </c>
      <c r="BF130" s="464">
        <v>3882</v>
      </c>
      <c r="BG130" s="464">
        <v>4343</v>
      </c>
      <c r="BU130" s="40">
        <f t="shared" si="85"/>
        <v>0</v>
      </c>
      <c r="BV130" s="40">
        <f t="shared" ref="BV130:CD140" si="94">BU130</f>
        <v>0</v>
      </c>
      <c r="BW130" s="40">
        <f t="shared" si="94"/>
        <v>0</v>
      </c>
      <c r="BX130" s="40">
        <f t="shared" si="94"/>
        <v>0</v>
      </c>
      <c r="BY130" s="40">
        <f t="shared" si="94"/>
        <v>0</v>
      </c>
      <c r="BZ130" s="40">
        <f t="shared" si="94"/>
        <v>0</v>
      </c>
      <c r="CA130" s="40">
        <f t="shared" si="94"/>
        <v>0</v>
      </c>
      <c r="CB130" s="40">
        <f t="shared" si="94"/>
        <v>0</v>
      </c>
      <c r="CC130" s="40">
        <f t="shared" si="94"/>
        <v>0</v>
      </c>
      <c r="CD130" s="40">
        <f t="shared" si="94"/>
        <v>0</v>
      </c>
    </row>
    <row r="131" spans="2:99" ht="14.25" customHeight="1">
      <c r="B131" s="118" t="s">
        <v>1635</v>
      </c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"/>
      <c r="AW131" s="2"/>
      <c r="AX131" s="2"/>
      <c r="AY131" s="2"/>
      <c r="AZ131" s="2"/>
      <c r="BA131" s="25"/>
      <c r="BB131" s="25"/>
      <c r="BC131" s="40">
        <v>2133</v>
      </c>
      <c r="BD131" s="40">
        <v>2492</v>
      </c>
      <c r="BE131" s="40">
        <v>2851</v>
      </c>
      <c r="BF131" s="464">
        <v>3198</v>
      </c>
      <c r="BG131" s="464">
        <v>3545</v>
      </c>
      <c r="BU131" s="40">
        <f t="shared" si="85"/>
        <v>0</v>
      </c>
      <c r="BV131" s="40">
        <f t="shared" si="94"/>
        <v>0</v>
      </c>
      <c r="BW131" s="40">
        <f t="shared" si="94"/>
        <v>0</v>
      </c>
      <c r="BX131" s="40">
        <f t="shared" si="94"/>
        <v>0</v>
      </c>
      <c r="BY131" s="40">
        <f t="shared" si="94"/>
        <v>0</v>
      </c>
      <c r="BZ131" s="40">
        <f t="shared" si="94"/>
        <v>0</v>
      </c>
      <c r="CA131" s="40">
        <f t="shared" si="94"/>
        <v>0</v>
      </c>
      <c r="CB131" s="40">
        <f t="shared" si="94"/>
        <v>0</v>
      </c>
      <c r="CC131" s="40">
        <f t="shared" si="94"/>
        <v>0</v>
      </c>
      <c r="CD131" s="40">
        <f t="shared" si="94"/>
        <v>0</v>
      </c>
    </row>
    <row r="132" spans="2:99" ht="14.25" customHeight="1">
      <c r="B132" s="118" t="s">
        <v>1636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"/>
      <c r="AW132" s="2"/>
      <c r="AX132" s="2"/>
      <c r="AY132" s="2"/>
      <c r="AZ132" s="2"/>
      <c r="BA132" s="25"/>
      <c r="BB132" s="25"/>
      <c r="BC132" s="40">
        <v>554</v>
      </c>
      <c r="BD132" s="40">
        <v>504</v>
      </c>
      <c r="BE132" s="40">
        <v>609</v>
      </c>
      <c r="BF132" s="464">
        <v>684</v>
      </c>
      <c r="BG132" s="464">
        <v>798</v>
      </c>
      <c r="BU132" s="40">
        <f t="shared" si="85"/>
        <v>0</v>
      </c>
      <c r="BV132" s="40">
        <f t="shared" si="94"/>
        <v>0</v>
      </c>
      <c r="BW132" s="40">
        <f t="shared" si="94"/>
        <v>0</v>
      </c>
      <c r="BX132" s="40">
        <f t="shared" si="94"/>
        <v>0</v>
      </c>
      <c r="BY132" s="40">
        <f t="shared" si="94"/>
        <v>0</v>
      </c>
      <c r="BZ132" s="40">
        <f t="shared" si="94"/>
        <v>0</v>
      </c>
      <c r="CA132" s="40">
        <f t="shared" si="94"/>
        <v>0</v>
      </c>
      <c r="CB132" s="40">
        <f t="shared" si="94"/>
        <v>0</v>
      </c>
      <c r="CC132" s="40">
        <f t="shared" si="94"/>
        <v>0</v>
      </c>
      <c r="CD132" s="40">
        <f t="shared" si="94"/>
        <v>0</v>
      </c>
    </row>
    <row r="133" spans="2:99" ht="14.25" customHeight="1">
      <c r="B133" s="118" t="s">
        <v>1561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"/>
      <c r="AW133" s="2"/>
      <c r="AX133" s="2"/>
      <c r="AY133" s="2"/>
      <c r="AZ133" s="2"/>
      <c r="BA133" s="25"/>
      <c r="BB133" s="25"/>
      <c r="BC133" s="40">
        <v>1101</v>
      </c>
      <c r="BD133" s="40">
        <v>1468</v>
      </c>
      <c r="BE133" s="40">
        <v>2158</v>
      </c>
      <c r="BF133" s="464">
        <v>1778</v>
      </c>
      <c r="BG133" s="464">
        <v>2095</v>
      </c>
      <c r="BU133" s="40">
        <f t="shared" si="85"/>
        <v>0</v>
      </c>
      <c r="BV133" s="40">
        <f t="shared" si="94"/>
        <v>0</v>
      </c>
      <c r="BW133" s="40">
        <f t="shared" si="94"/>
        <v>0</v>
      </c>
      <c r="BX133" s="40">
        <f t="shared" si="94"/>
        <v>0</v>
      </c>
      <c r="BY133" s="40">
        <f t="shared" si="94"/>
        <v>0</v>
      </c>
      <c r="BZ133" s="40">
        <f t="shared" si="94"/>
        <v>0</v>
      </c>
      <c r="CA133" s="40">
        <f t="shared" si="94"/>
        <v>0</v>
      </c>
      <c r="CB133" s="40">
        <f t="shared" si="94"/>
        <v>0</v>
      </c>
      <c r="CC133" s="40">
        <f t="shared" si="94"/>
        <v>0</v>
      </c>
      <c r="CD133" s="40">
        <f t="shared" si="94"/>
        <v>0</v>
      </c>
    </row>
    <row r="134" spans="2:99" ht="14.25" customHeight="1">
      <c r="B134" s="118" t="s">
        <v>1637</v>
      </c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"/>
      <c r="AW134" s="2"/>
      <c r="AX134" s="2"/>
      <c r="AY134" s="2"/>
      <c r="AZ134" s="2"/>
      <c r="BA134" s="25"/>
      <c r="BB134" s="25"/>
      <c r="BC134" s="40">
        <v>961</v>
      </c>
      <c r="BD134" s="40">
        <v>1259</v>
      </c>
      <c r="BE134" s="40">
        <v>1940</v>
      </c>
      <c r="BF134" s="464">
        <v>1517</v>
      </c>
      <c r="BG134" s="464">
        <v>1723</v>
      </c>
      <c r="BH134" s="1">
        <v>2150.9641971207084</v>
      </c>
      <c r="BU134" s="40">
        <f t="shared" si="85"/>
        <v>0</v>
      </c>
      <c r="BV134" s="40">
        <f t="shared" si="94"/>
        <v>0</v>
      </c>
      <c r="BW134" s="40">
        <f t="shared" si="94"/>
        <v>0</v>
      </c>
      <c r="BX134" s="40">
        <f t="shared" si="94"/>
        <v>0</v>
      </c>
      <c r="BY134" s="40">
        <f t="shared" si="94"/>
        <v>0</v>
      </c>
      <c r="BZ134" s="40">
        <f t="shared" si="94"/>
        <v>0</v>
      </c>
      <c r="CA134" s="40">
        <f t="shared" si="94"/>
        <v>0</v>
      </c>
      <c r="CB134" s="40">
        <f t="shared" si="94"/>
        <v>0</v>
      </c>
      <c r="CC134" s="40">
        <f t="shared" si="94"/>
        <v>0</v>
      </c>
      <c r="CD134" s="40">
        <f t="shared" si="94"/>
        <v>0</v>
      </c>
    </row>
    <row r="135" spans="2:99" ht="14.25" customHeight="1">
      <c r="B135" s="118" t="s">
        <v>1636</v>
      </c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"/>
      <c r="AW135" s="2"/>
      <c r="AX135" s="2"/>
      <c r="AY135" s="2"/>
      <c r="AZ135" s="2"/>
      <c r="BA135" s="25"/>
      <c r="BB135" s="25"/>
      <c r="BC135" s="40">
        <v>140</v>
      </c>
      <c r="BD135" s="40">
        <v>208</v>
      </c>
      <c r="BE135" s="40">
        <v>219</v>
      </c>
      <c r="BF135" s="464">
        <v>261</v>
      </c>
      <c r="BG135" s="464">
        <v>371</v>
      </c>
      <c r="BU135" s="40">
        <f t="shared" si="85"/>
        <v>0</v>
      </c>
      <c r="BV135" s="40">
        <f t="shared" si="94"/>
        <v>0</v>
      </c>
      <c r="BW135" s="40">
        <f t="shared" si="94"/>
        <v>0</v>
      </c>
      <c r="BX135" s="40">
        <f t="shared" si="94"/>
        <v>0</v>
      </c>
      <c r="BY135" s="40">
        <f t="shared" si="94"/>
        <v>0</v>
      </c>
      <c r="BZ135" s="40">
        <f t="shared" si="94"/>
        <v>0</v>
      </c>
      <c r="CA135" s="40">
        <f t="shared" si="94"/>
        <v>0</v>
      </c>
      <c r="CB135" s="40">
        <f t="shared" si="94"/>
        <v>0</v>
      </c>
      <c r="CC135" s="40">
        <f t="shared" si="94"/>
        <v>0</v>
      </c>
      <c r="CD135" s="40">
        <f t="shared" si="94"/>
        <v>0</v>
      </c>
    </row>
    <row r="136" spans="2:99" ht="14.25" customHeight="1">
      <c r="B136" s="118" t="s">
        <v>1638</v>
      </c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"/>
      <c r="AW136" s="2"/>
      <c r="AX136" s="2"/>
      <c r="AY136" s="2"/>
      <c r="AZ136" s="2"/>
      <c r="BA136" s="25"/>
      <c r="BB136" s="25"/>
      <c r="BC136" s="40">
        <v>26</v>
      </c>
      <c r="BD136" s="40">
        <v>-259</v>
      </c>
      <c r="BE136" s="40">
        <v>37</v>
      </c>
      <c r="BF136" s="464">
        <v>-21</v>
      </c>
      <c r="BG136" s="464">
        <v>83</v>
      </c>
      <c r="BH136" s="1">
        <v>103.61580287929127</v>
      </c>
      <c r="BU136" s="40">
        <f t="shared" si="85"/>
        <v>0</v>
      </c>
      <c r="BV136" s="40">
        <f t="shared" si="94"/>
        <v>0</v>
      </c>
      <c r="BW136" s="40">
        <f t="shared" si="94"/>
        <v>0</v>
      </c>
      <c r="BX136" s="40">
        <f t="shared" si="94"/>
        <v>0</v>
      </c>
      <c r="BY136" s="40">
        <f t="shared" si="94"/>
        <v>0</v>
      </c>
      <c r="BZ136" s="40">
        <f t="shared" si="94"/>
        <v>0</v>
      </c>
      <c r="CA136" s="40">
        <f t="shared" si="94"/>
        <v>0</v>
      </c>
      <c r="CB136" s="40">
        <f t="shared" si="94"/>
        <v>0</v>
      </c>
      <c r="CC136" s="40">
        <f t="shared" si="94"/>
        <v>0</v>
      </c>
      <c r="CD136" s="40">
        <f t="shared" si="94"/>
        <v>0</v>
      </c>
    </row>
    <row r="137" spans="2:99" ht="14.25" customHeight="1">
      <c r="B137" s="118" t="s">
        <v>1639</v>
      </c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"/>
      <c r="AW137" s="2"/>
      <c r="AX137" s="2"/>
      <c r="AY137" s="2"/>
      <c r="AZ137" s="17">
        <f>514*AZ764</f>
        <v>681.72333999999989</v>
      </c>
      <c r="BA137" s="17">
        <f>396*BA764</f>
        <v>862.68600000000004</v>
      </c>
      <c r="BB137" s="17">
        <f>460*BB764</f>
        <v>1070.3947000000001</v>
      </c>
      <c r="BC137" s="553">
        <f>606*BC764</f>
        <v>1577.6179799999998</v>
      </c>
      <c r="BD137" s="553">
        <f>808*BD764</f>
        <v>2209.0720000000001</v>
      </c>
      <c r="BE137" s="553">
        <f>997*BE764</f>
        <v>2721.81</v>
      </c>
      <c r="BF137" s="553">
        <f>1175*BF764</f>
        <v>3222.4375</v>
      </c>
      <c r="BG137" s="553">
        <f>1359*BG764</f>
        <v>3730.4549999999999</v>
      </c>
      <c r="BH137" s="553">
        <f>1743*BH764</f>
        <v>4784.5349999999999</v>
      </c>
      <c r="BI137" s="553">
        <v>4684.6534000000001</v>
      </c>
      <c r="BJ137" s="1">
        <v>2084.06</v>
      </c>
      <c r="BK137" s="1">
        <v>8263.861981</v>
      </c>
      <c r="BL137" s="1">
        <v>7974.5711769999998</v>
      </c>
      <c r="BU137" s="40">
        <f t="shared" si="85"/>
        <v>0</v>
      </c>
      <c r="BV137" s="40">
        <f t="shared" si="94"/>
        <v>0</v>
      </c>
      <c r="BW137" s="40">
        <f t="shared" si="94"/>
        <v>0</v>
      </c>
      <c r="BX137" s="40">
        <f t="shared" si="94"/>
        <v>0</v>
      </c>
      <c r="BY137" s="40">
        <f t="shared" si="94"/>
        <v>0</v>
      </c>
      <c r="BZ137" s="40">
        <f t="shared" si="94"/>
        <v>0</v>
      </c>
      <c r="CA137" s="40">
        <f t="shared" si="94"/>
        <v>0</v>
      </c>
      <c r="CB137" s="40">
        <f t="shared" si="94"/>
        <v>0</v>
      </c>
      <c r="CC137" s="40">
        <f t="shared" si="94"/>
        <v>0</v>
      </c>
      <c r="CD137" s="40">
        <f t="shared" si="94"/>
        <v>0</v>
      </c>
    </row>
    <row r="138" spans="2:99" ht="14.25" customHeight="1">
      <c r="B138" s="118" t="s">
        <v>1640</v>
      </c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"/>
      <c r="AW138" s="2"/>
      <c r="AX138" s="2"/>
      <c r="AY138" s="2"/>
      <c r="AZ138" s="17">
        <f>527*AZ764</f>
        <v>698.96536999999989</v>
      </c>
      <c r="BA138" s="17">
        <f>456*BA764</f>
        <v>993.39600000000007</v>
      </c>
      <c r="BB138" s="17">
        <f>502*BB764</f>
        <v>1168.1263900000001</v>
      </c>
      <c r="BC138" s="553">
        <f>704*BC764</f>
        <v>1832.7443199999998</v>
      </c>
      <c r="BD138" s="553">
        <f>740*BD764</f>
        <v>2023.16</v>
      </c>
      <c r="BE138" s="553">
        <f>928*BE764</f>
        <v>2533.44</v>
      </c>
      <c r="BF138" s="553">
        <f>903*BF764</f>
        <v>2476.4775</v>
      </c>
      <c r="BG138" s="553">
        <f>1045*BG764</f>
        <v>2868.5250000000001</v>
      </c>
      <c r="BH138" s="553">
        <f>1407*BH764</f>
        <v>3862.2150000000001</v>
      </c>
      <c r="BI138" s="553">
        <v>4155.4199900000003</v>
      </c>
      <c r="BJ138" s="1">
        <v>3979.39102</v>
      </c>
      <c r="BK138" s="1">
        <v>5489.5411599999998</v>
      </c>
      <c r="BL138" s="1">
        <v>5806.5933070000001</v>
      </c>
      <c r="BU138" s="40">
        <f t="shared" si="85"/>
        <v>0</v>
      </c>
      <c r="BV138" s="40">
        <f t="shared" si="94"/>
        <v>0</v>
      </c>
      <c r="BW138" s="40">
        <f t="shared" si="94"/>
        <v>0</v>
      </c>
      <c r="BX138" s="40">
        <f t="shared" si="94"/>
        <v>0</v>
      </c>
      <c r="BY138" s="40">
        <f t="shared" si="94"/>
        <v>0</v>
      </c>
      <c r="BZ138" s="40">
        <f t="shared" si="94"/>
        <v>0</v>
      </c>
      <c r="CA138" s="40">
        <f t="shared" si="94"/>
        <v>0</v>
      </c>
      <c r="CB138" s="40">
        <f t="shared" si="94"/>
        <v>0</v>
      </c>
      <c r="CC138" s="40">
        <f t="shared" si="94"/>
        <v>0</v>
      </c>
      <c r="CD138" s="40">
        <f t="shared" si="94"/>
        <v>0</v>
      </c>
    </row>
    <row r="139" spans="2:99" ht="14.25" customHeight="1">
      <c r="B139" s="118" t="s">
        <v>3005</v>
      </c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"/>
      <c r="AW139" s="2"/>
      <c r="AX139" s="2"/>
      <c r="AY139" s="2"/>
      <c r="AZ139" s="2"/>
      <c r="BA139" s="25"/>
      <c r="BB139" s="25"/>
      <c r="BC139" s="40">
        <f>BC130+BC133+BC136+BC137-BC138</f>
        <v>3558.8736600000002</v>
      </c>
      <c r="BD139" s="40">
        <f>BD130+BD133+BD136+BD137-BD138</f>
        <v>4390.9120000000003</v>
      </c>
      <c r="BE139" s="410">
        <f t="shared" ref="BE139:BL139" si="95">BE168/1000</f>
        <v>4899.0200000000004</v>
      </c>
      <c r="BF139" s="410">
        <f t="shared" si="95"/>
        <v>7206.3250130575279</v>
      </c>
      <c r="BG139" s="410">
        <f t="shared" si="95"/>
        <v>8060.5318798577055</v>
      </c>
      <c r="BH139" s="410">
        <f t="shared" si="95"/>
        <v>9698.0550363404727</v>
      </c>
      <c r="BI139" s="410">
        <f t="shared" si="95"/>
        <v>10638.423667004776</v>
      </c>
      <c r="BJ139" s="410">
        <f t="shared" si="95"/>
        <v>11993.016764795229</v>
      </c>
      <c r="BK139" s="410">
        <f t="shared" si="95"/>
        <v>14451.878000000001</v>
      </c>
      <c r="BL139" s="410">
        <f t="shared" si="95"/>
        <v>16433.674999999999</v>
      </c>
      <c r="BU139" s="40">
        <f t="shared" si="85"/>
        <v>0</v>
      </c>
      <c r="BV139" s="40">
        <f t="shared" si="94"/>
        <v>0</v>
      </c>
      <c r="BW139" s="40">
        <f t="shared" si="94"/>
        <v>0</v>
      </c>
      <c r="BX139" s="40">
        <f t="shared" si="94"/>
        <v>0</v>
      </c>
      <c r="BY139" s="40">
        <f t="shared" si="94"/>
        <v>0</v>
      </c>
      <c r="BZ139" s="40">
        <f t="shared" si="94"/>
        <v>0</v>
      </c>
      <c r="CA139" s="40">
        <f t="shared" si="94"/>
        <v>0</v>
      </c>
      <c r="CB139" s="40">
        <f t="shared" si="94"/>
        <v>0</v>
      </c>
      <c r="CC139" s="40">
        <f t="shared" si="94"/>
        <v>0</v>
      </c>
      <c r="CD139" s="40">
        <f t="shared" si="94"/>
        <v>0</v>
      </c>
    </row>
    <row r="140" spans="2:99" ht="14.25" customHeight="1">
      <c r="B140" s="118" t="s">
        <v>1641</v>
      </c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"/>
      <c r="AW140" s="2"/>
      <c r="AX140" s="2"/>
      <c r="AY140" s="2"/>
      <c r="AZ140" s="2"/>
      <c r="BA140" s="25"/>
      <c r="BB140" s="25"/>
      <c r="BC140" s="40">
        <v>3314</v>
      </c>
      <c r="BD140" s="40">
        <v>4037</v>
      </c>
      <c r="BE140" s="40">
        <v>4875</v>
      </c>
      <c r="BF140" s="464">
        <v>5862</v>
      </c>
      <c r="BG140" s="464">
        <v>6658</v>
      </c>
      <c r="BU140" s="40">
        <f t="shared" si="85"/>
        <v>0</v>
      </c>
      <c r="BV140" s="40">
        <f t="shared" si="94"/>
        <v>0</v>
      </c>
      <c r="BW140" s="40">
        <f t="shared" si="94"/>
        <v>0</v>
      </c>
      <c r="BX140" s="40">
        <f t="shared" si="94"/>
        <v>0</v>
      </c>
      <c r="BY140" s="40">
        <f t="shared" si="94"/>
        <v>0</v>
      </c>
      <c r="BZ140" s="40">
        <f t="shared" si="94"/>
        <v>0</v>
      </c>
      <c r="CA140" s="40">
        <f t="shared" si="94"/>
        <v>0</v>
      </c>
      <c r="CB140" s="40">
        <f t="shared" si="94"/>
        <v>0</v>
      </c>
      <c r="CC140" s="40">
        <f t="shared" si="94"/>
        <v>0</v>
      </c>
      <c r="CD140" s="40">
        <f t="shared" si="94"/>
        <v>0</v>
      </c>
    </row>
    <row r="141" spans="2:99" ht="14.25" customHeight="1">
      <c r="B141" s="118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"/>
      <c r="AW141" s="2"/>
      <c r="AX141" s="2"/>
      <c r="AY141" s="2"/>
      <c r="AZ141" s="2"/>
      <c r="BA141" s="25"/>
      <c r="BB141" s="25"/>
      <c r="BC141" s="25"/>
      <c r="BU141" s="40">
        <f t="shared" si="85"/>
        <v>0</v>
      </c>
      <c r="BV141" s="40">
        <f t="shared" ref="BV141:CD141" si="96">BU141</f>
        <v>0</v>
      </c>
      <c r="BW141" s="40">
        <f t="shared" si="96"/>
        <v>0</v>
      </c>
      <c r="BX141" s="40">
        <f t="shared" si="96"/>
        <v>0</v>
      </c>
      <c r="BY141" s="40">
        <f t="shared" si="96"/>
        <v>0</v>
      </c>
      <c r="BZ141" s="40">
        <f t="shared" si="96"/>
        <v>0</v>
      </c>
      <c r="CA141" s="40">
        <f t="shared" si="96"/>
        <v>0</v>
      </c>
      <c r="CB141" s="40">
        <f t="shared" si="96"/>
        <v>0</v>
      </c>
      <c r="CC141" s="40">
        <f t="shared" si="96"/>
        <v>0</v>
      </c>
      <c r="CD141" s="40">
        <f t="shared" si="96"/>
        <v>0</v>
      </c>
    </row>
    <row r="142" spans="2:99" s="555" customFormat="1">
      <c r="B142" s="554" t="s">
        <v>869</v>
      </c>
      <c r="BU142" s="40">
        <f t="shared" si="85"/>
        <v>0</v>
      </c>
      <c r="BV142" s="40">
        <f t="shared" ref="BV142:CD142" si="97">BU142</f>
        <v>0</v>
      </c>
      <c r="BW142" s="40">
        <f t="shared" si="97"/>
        <v>0</v>
      </c>
      <c r="BX142" s="40">
        <f t="shared" si="97"/>
        <v>0</v>
      </c>
      <c r="BY142" s="40">
        <f t="shared" si="97"/>
        <v>0</v>
      </c>
      <c r="BZ142" s="40">
        <f t="shared" si="97"/>
        <v>0</v>
      </c>
      <c r="CA142" s="40">
        <f t="shared" si="97"/>
        <v>0</v>
      </c>
      <c r="CB142" s="40">
        <f t="shared" si="97"/>
        <v>0</v>
      </c>
      <c r="CC142" s="40">
        <f t="shared" si="97"/>
        <v>0</v>
      </c>
      <c r="CD142" s="40">
        <f t="shared" si="97"/>
        <v>0</v>
      </c>
      <c r="CO142" s="362"/>
      <c r="CP142" s="362"/>
      <c r="CQ142" s="362"/>
      <c r="CR142" s="362"/>
      <c r="CS142" s="362"/>
      <c r="CT142" s="362"/>
      <c r="CU142" s="362"/>
    </row>
    <row r="143" spans="2:99" s="361" customFormat="1">
      <c r="B143" s="556" t="s">
        <v>870</v>
      </c>
      <c r="BU143" s="40">
        <f t="shared" si="85"/>
        <v>0</v>
      </c>
      <c r="BV143" s="40">
        <f t="shared" ref="BV143:CD143" si="98">BU143</f>
        <v>0</v>
      </c>
      <c r="BW143" s="40">
        <f t="shared" si="98"/>
        <v>0</v>
      </c>
      <c r="BX143" s="40">
        <f t="shared" si="98"/>
        <v>0</v>
      </c>
      <c r="BY143" s="40">
        <f t="shared" si="98"/>
        <v>0</v>
      </c>
      <c r="BZ143" s="40">
        <f t="shared" si="98"/>
        <v>0</v>
      </c>
      <c r="CA143" s="40">
        <f t="shared" si="98"/>
        <v>0</v>
      </c>
      <c r="CB143" s="40">
        <f t="shared" si="98"/>
        <v>0</v>
      </c>
      <c r="CC143" s="40">
        <f t="shared" si="98"/>
        <v>0</v>
      </c>
      <c r="CD143" s="40">
        <f t="shared" si="98"/>
        <v>0</v>
      </c>
      <c r="CO143" s="362"/>
      <c r="CP143" s="362"/>
      <c r="CQ143" s="362"/>
      <c r="CR143" s="362"/>
      <c r="CS143" s="362"/>
      <c r="CT143" s="362"/>
      <c r="CU143" s="362"/>
    </row>
    <row r="144" spans="2:99" s="361" customFormat="1">
      <c r="B144" s="166" t="s">
        <v>4321</v>
      </c>
      <c r="C144" s="361" t="s">
        <v>995</v>
      </c>
      <c r="AP144" s="557">
        <v>274.657195</v>
      </c>
      <c r="AQ144" s="557">
        <v>359.18200000000002</v>
      </c>
      <c r="AR144" s="557">
        <v>628.30070000000001</v>
      </c>
      <c r="AS144" s="557">
        <v>2713.0188800000001</v>
      </c>
      <c r="AT144" s="558">
        <v>9986.7566000000006</v>
      </c>
      <c r="AU144" s="557">
        <v>32571.39305173816</v>
      </c>
      <c r="AV144" s="557">
        <v>38865.293541242849</v>
      </c>
      <c r="AW144" s="557">
        <v>32981.523832173189</v>
      </c>
      <c r="AX144" s="557">
        <v>30462</v>
      </c>
      <c r="AY144" s="557">
        <v>47176</v>
      </c>
      <c r="AZ144" s="559">
        <v>89768</v>
      </c>
      <c r="BA144" s="560">
        <v>118592</v>
      </c>
      <c r="BB144" s="561">
        <v>124778</v>
      </c>
      <c r="BC144" s="562">
        <v>165028.67307845727</v>
      </c>
      <c r="BD144" s="562">
        <v>171417.22307845729</v>
      </c>
      <c r="BE144" s="563">
        <v>201808</v>
      </c>
      <c r="BF144" s="562">
        <v>433702.02501007478</v>
      </c>
      <c r="BG144" s="564">
        <v>529378.36841091234</v>
      </c>
      <c r="BH144" s="565">
        <v>631542.28688837565</v>
      </c>
      <c r="BI144" s="566">
        <v>798553</v>
      </c>
      <c r="BJ144" s="361">
        <v>842160</v>
      </c>
      <c r="BK144" s="361">
        <v>886998</v>
      </c>
      <c r="BL144" s="361">
        <v>1004206</v>
      </c>
      <c r="BM144" s="361">
        <v>937749</v>
      </c>
      <c r="BN144" s="361">
        <v>968022</v>
      </c>
      <c r="BO144" s="361">
        <v>1014911.7233599321</v>
      </c>
      <c r="BP144" s="361">
        <v>1093485.5950296097</v>
      </c>
      <c r="BQ144" s="361">
        <v>1163597.9665742998</v>
      </c>
      <c r="BR144" s="361">
        <v>1242081.9773084607</v>
      </c>
      <c r="BS144" s="361">
        <v>1285404.489980662</v>
      </c>
      <c r="BU144" s="40">
        <f t="shared" si="85"/>
        <v>0</v>
      </c>
      <c r="BV144" s="40">
        <f t="shared" ref="BV144:CD144" si="99">BU144</f>
        <v>0</v>
      </c>
      <c r="BW144" s="40">
        <f t="shared" si="99"/>
        <v>0</v>
      </c>
      <c r="BX144" s="40">
        <f t="shared" si="99"/>
        <v>0</v>
      </c>
      <c r="BY144" s="40">
        <f t="shared" si="99"/>
        <v>0</v>
      </c>
      <c r="BZ144" s="40">
        <f t="shared" si="99"/>
        <v>0</v>
      </c>
      <c r="CA144" s="40">
        <f t="shared" si="99"/>
        <v>0</v>
      </c>
      <c r="CB144" s="40">
        <f t="shared" si="99"/>
        <v>0</v>
      </c>
      <c r="CC144" s="40">
        <f t="shared" si="99"/>
        <v>0</v>
      </c>
      <c r="CD144" s="40">
        <f t="shared" si="99"/>
        <v>0</v>
      </c>
      <c r="CO144" s="362"/>
      <c r="CP144" s="362"/>
      <c r="CQ144" s="362"/>
      <c r="CR144" s="362"/>
      <c r="CS144" s="362"/>
      <c r="CT144" s="362"/>
      <c r="CU144" s="362"/>
    </row>
    <row r="145" spans="2:99" s="361" customFormat="1">
      <c r="B145" s="166" t="s">
        <v>4322</v>
      </c>
      <c r="C145" s="361" t="s">
        <v>995</v>
      </c>
      <c r="AP145" s="557">
        <v>39.450000000000003</v>
      </c>
      <c r="AQ145" s="557">
        <v>35.549999999999997</v>
      </c>
      <c r="AR145" s="557">
        <v>48.68</v>
      </c>
      <c r="AS145" s="557">
        <v>38.89</v>
      </c>
      <c r="AT145" s="558">
        <v>3255.96</v>
      </c>
      <c r="AU145" s="557">
        <v>10183.299999999999</v>
      </c>
      <c r="AV145" s="557">
        <v>12201.09</v>
      </c>
      <c r="AW145" s="557">
        <v>10380.77</v>
      </c>
      <c r="AX145" s="557">
        <v>6806.11</v>
      </c>
      <c r="AY145" s="557">
        <v>17204.650000000001</v>
      </c>
      <c r="AZ145" s="559">
        <v>29561</v>
      </c>
      <c r="BA145" s="567">
        <v>46819.29</v>
      </c>
      <c r="BB145" s="561">
        <v>47528</v>
      </c>
      <c r="BC145" s="568">
        <v>49720.01</v>
      </c>
      <c r="BD145" s="568">
        <v>41354</v>
      </c>
      <c r="BE145" s="569">
        <v>38624</v>
      </c>
      <c r="BF145" s="568">
        <v>286187.15591637878</v>
      </c>
      <c r="BG145" s="570">
        <v>289004.6942233594</v>
      </c>
      <c r="BH145" s="571">
        <v>234287.61043513019</v>
      </c>
      <c r="BI145" s="566">
        <v>247783.59111019684</v>
      </c>
      <c r="BJ145" s="361">
        <v>293565</v>
      </c>
      <c r="BK145" s="361">
        <v>374580</v>
      </c>
      <c r="BL145" s="361">
        <v>374292</v>
      </c>
      <c r="BM145" s="361">
        <v>429871</v>
      </c>
      <c r="BN145" s="361">
        <v>595044</v>
      </c>
      <c r="BO145" s="361">
        <v>638345.99710843374</v>
      </c>
      <c r="BP145" s="361">
        <v>749832.86741204828</v>
      </c>
      <c r="BQ145" s="361">
        <v>794814.06435007229</v>
      </c>
      <c r="BR145" s="361">
        <v>840381.61391770991</v>
      </c>
      <c r="BS145" s="361">
        <v>888850.77185675548</v>
      </c>
      <c r="BU145" s="40">
        <f t="shared" si="85"/>
        <v>0</v>
      </c>
      <c r="BV145" s="40">
        <f t="shared" ref="BV145:CD145" si="100">BU145</f>
        <v>0</v>
      </c>
      <c r="BW145" s="40">
        <f t="shared" si="100"/>
        <v>0</v>
      </c>
      <c r="BX145" s="40">
        <f t="shared" si="100"/>
        <v>0</v>
      </c>
      <c r="BY145" s="40">
        <f t="shared" si="100"/>
        <v>0</v>
      </c>
      <c r="BZ145" s="40">
        <f t="shared" si="100"/>
        <v>0</v>
      </c>
      <c r="CA145" s="40">
        <f t="shared" si="100"/>
        <v>0</v>
      </c>
      <c r="CB145" s="40">
        <f t="shared" si="100"/>
        <v>0</v>
      </c>
      <c r="CC145" s="40">
        <f t="shared" si="100"/>
        <v>0</v>
      </c>
      <c r="CD145" s="40">
        <f t="shared" si="100"/>
        <v>0</v>
      </c>
      <c r="CO145" s="362"/>
      <c r="CP145" s="362"/>
      <c r="CQ145" s="362"/>
      <c r="CR145" s="362"/>
      <c r="CS145" s="362"/>
      <c r="CT145" s="362"/>
      <c r="CU145" s="362"/>
    </row>
    <row r="146" spans="2:99" s="361" customFormat="1">
      <c r="B146" s="166" t="s">
        <v>4323</v>
      </c>
      <c r="C146" s="361" t="s">
        <v>995</v>
      </c>
      <c r="AP146" s="557">
        <v>139.42410913157852</v>
      </c>
      <c r="AQ146" s="557">
        <v>86.172021320033366</v>
      </c>
      <c r="AR146" s="557">
        <v>82.590617143718333</v>
      </c>
      <c r="AS146" s="557">
        <v>230.55289052367786</v>
      </c>
      <c r="AT146" s="558">
        <v>8193.8770521237839</v>
      </c>
      <c r="AU146" s="557">
        <v>23407.306142220001</v>
      </c>
      <c r="AV146" s="557">
        <v>24788.801773719999</v>
      </c>
      <c r="AW146" s="557">
        <v>27347</v>
      </c>
      <c r="AX146" s="557">
        <v>21124</v>
      </c>
      <c r="AY146" s="572">
        <v>56438</v>
      </c>
      <c r="AZ146" s="559">
        <v>54208</v>
      </c>
      <c r="BA146" s="567">
        <v>89172</v>
      </c>
      <c r="BB146" s="561">
        <v>178238</v>
      </c>
      <c r="BC146" s="568">
        <v>215024.86425218743</v>
      </c>
      <c r="BD146" s="568">
        <v>335861.42719943484</v>
      </c>
      <c r="BE146" s="569">
        <v>463441</v>
      </c>
      <c r="BF146" s="568">
        <v>546174.36712761305</v>
      </c>
      <c r="BG146" s="570">
        <v>583046.21313622443</v>
      </c>
      <c r="BH146" s="571">
        <v>723566.27455088717</v>
      </c>
      <c r="BI146" s="566">
        <v>758892.828041623</v>
      </c>
      <c r="BJ146" s="361">
        <v>864995.03059607837</v>
      </c>
      <c r="BK146" s="361">
        <v>969552</v>
      </c>
      <c r="BL146" s="361">
        <v>1151160</v>
      </c>
      <c r="BM146" s="361">
        <v>953593</v>
      </c>
      <c r="BN146" s="361">
        <v>762330</v>
      </c>
      <c r="BO146" s="361">
        <v>601469.56458099897</v>
      </c>
      <c r="BP146" s="361">
        <v>598673.25323458586</v>
      </c>
      <c r="BQ146" s="361">
        <v>612184.05747537094</v>
      </c>
      <c r="BR146" s="361">
        <v>606629.93285024876</v>
      </c>
      <c r="BS146" s="361">
        <v>601041.54911800148</v>
      </c>
      <c r="BU146" s="40">
        <f t="shared" si="85"/>
        <v>0</v>
      </c>
      <c r="BV146" s="40">
        <f t="shared" ref="BV146:CD146" si="101">BU146</f>
        <v>0</v>
      </c>
      <c r="BW146" s="40">
        <f t="shared" si="101"/>
        <v>0</v>
      </c>
      <c r="BX146" s="40">
        <f t="shared" si="101"/>
        <v>0</v>
      </c>
      <c r="BY146" s="40">
        <f t="shared" si="101"/>
        <v>0</v>
      </c>
      <c r="BZ146" s="40">
        <f t="shared" si="101"/>
        <v>0</v>
      </c>
      <c r="CA146" s="40">
        <f t="shared" si="101"/>
        <v>0</v>
      </c>
      <c r="CB146" s="40">
        <f t="shared" si="101"/>
        <v>0</v>
      </c>
      <c r="CC146" s="40">
        <f t="shared" si="101"/>
        <v>0</v>
      </c>
      <c r="CD146" s="40">
        <f t="shared" si="101"/>
        <v>0</v>
      </c>
      <c r="CO146" s="362"/>
      <c r="CP146" s="362"/>
      <c r="CQ146" s="362"/>
      <c r="CR146" s="362"/>
      <c r="CS146" s="362"/>
      <c r="CT146" s="362"/>
      <c r="CU146" s="362"/>
    </row>
    <row r="147" spans="2:99" s="361" customFormat="1">
      <c r="B147" s="166" t="s">
        <v>4324</v>
      </c>
      <c r="C147" s="361" t="s">
        <v>995</v>
      </c>
      <c r="AP147" s="557">
        <v>371.41</v>
      </c>
      <c r="AQ147" s="557">
        <v>365</v>
      </c>
      <c r="AR147" s="557">
        <v>466</v>
      </c>
      <c r="AS147" s="557">
        <v>1172</v>
      </c>
      <c r="AT147" s="558">
        <v>7747</v>
      </c>
      <c r="AU147" s="557">
        <v>37283</v>
      </c>
      <c r="AV147" s="557">
        <v>32273</v>
      </c>
      <c r="AW147" s="557">
        <v>35012</v>
      </c>
      <c r="AX147" s="557">
        <v>34922</v>
      </c>
      <c r="AY147" s="572">
        <v>60226</v>
      </c>
      <c r="AZ147" s="559">
        <v>177868</v>
      </c>
      <c r="BA147" s="567">
        <v>232190</v>
      </c>
      <c r="BB147" s="561">
        <v>347361</v>
      </c>
      <c r="BC147" s="568">
        <v>426017.45904144546</v>
      </c>
      <c r="BD147" s="568">
        <v>613947.4</v>
      </c>
      <c r="BE147" s="569">
        <v>818302.14785338251</v>
      </c>
      <c r="BF147" s="568">
        <v>1671916.3620299553</v>
      </c>
      <c r="BG147" s="570">
        <v>1892982.6766140647</v>
      </c>
      <c r="BH147" s="571">
        <v>2455043.4251864292</v>
      </c>
      <c r="BI147" s="566">
        <v>2155886.6155377068</v>
      </c>
      <c r="BJ147" s="361">
        <v>2516499.9811006146</v>
      </c>
      <c r="BK147" s="361">
        <v>3008418</v>
      </c>
      <c r="BL147" s="361">
        <v>3499201</v>
      </c>
      <c r="BM147" s="361">
        <v>3190332</v>
      </c>
      <c r="BN147" s="361">
        <v>2807391</v>
      </c>
      <c r="BO147" s="361">
        <v>2071921.1150752553</v>
      </c>
      <c r="BP147" s="361">
        <v>2108500.0282036383</v>
      </c>
      <c r="BQ147" s="361">
        <v>2441120.2617230928</v>
      </c>
      <c r="BR147" s="361">
        <v>2683520.4426825796</v>
      </c>
      <c r="BS147" s="361">
        <v>2968877.4663160057</v>
      </c>
      <c r="BU147" s="40">
        <f t="shared" si="85"/>
        <v>0</v>
      </c>
      <c r="BV147" s="40">
        <f t="shared" ref="BV147:CD147" si="102">BU147</f>
        <v>0</v>
      </c>
      <c r="BW147" s="40">
        <f t="shared" si="102"/>
        <v>0</v>
      </c>
      <c r="BX147" s="40">
        <f t="shared" si="102"/>
        <v>0</v>
      </c>
      <c r="BY147" s="40">
        <f t="shared" si="102"/>
        <v>0</v>
      </c>
      <c r="BZ147" s="40">
        <f t="shared" si="102"/>
        <v>0</v>
      </c>
      <c r="CA147" s="40">
        <f t="shared" si="102"/>
        <v>0</v>
      </c>
      <c r="CB147" s="40">
        <f t="shared" si="102"/>
        <v>0</v>
      </c>
      <c r="CC147" s="40">
        <f t="shared" si="102"/>
        <v>0</v>
      </c>
      <c r="CD147" s="40">
        <f t="shared" si="102"/>
        <v>0</v>
      </c>
      <c r="CO147" s="362"/>
      <c r="CP147" s="362"/>
      <c r="CQ147" s="362"/>
      <c r="CR147" s="362"/>
      <c r="CS147" s="362"/>
      <c r="CT147" s="362"/>
      <c r="CU147" s="362"/>
    </row>
    <row r="148" spans="2:99" s="361" customFormat="1">
      <c r="B148" s="166" t="s">
        <v>4325</v>
      </c>
      <c r="C148" s="361" t="s">
        <v>995</v>
      </c>
      <c r="AP148" s="557">
        <v>169.74</v>
      </c>
      <c r="AQ148" s="557">
        <v>124.74</v>
      </c>
      <c r="AR148" s="557">
        <v>103.56</v>
      </c>
      <c r="AS148" s="557">
        <v>315.33999999999997</v>
      </c>
      <c r="AT148" s="558">
        <v>3438.66</v>
      </c>
      <c r="AU148" s="557">
        <v>20113.78</v>
      </c>
      <c r="AV148" s="557">
        <v>22483.64</v>
      </c>
      <c r="AW148" s="557">
        <v>28153.376697837728</v>
      </c>
      <c r="AX148" s="557">
        <v>20913.001603972618</v>
      </c>
      <c r="AY148" s="572">
        <v>25514.564502591795</v>
      </c>
      <c r="AZ148" s="559">
        <v>44806</v>
      </c>
      <c r="BA148" s="567">
        <v>77507</v>
      </c>
      <c r="BB148" s="561">
        <v>149029</v>
      </c>
      <c r="BC148" s="568">
        <v>160899.18125472212</v>
      </c>
      <c r="BD148" s="568">
        <v>190104.50200024055</v>
      </c>
      <c r="BE148" s="569">
        <v>223545.11916671283</v>
      </c>
      <c r="BF148" s="568">
        <v>96597.406043893978</v>
      </c>
      <c r="BG148" s="570">
        <v>132321.19023630745</v>
      </c>
      <c r="BH148" s="571">
        <v>179992.14100332969</v>
      </c>
      <c r="BI148" s="566">
        <v>210394.40794617019</v>
      </c>
      <c r="BJ148" s="361">
        <v>255572</v>
      </c>
      <c r="BK148" s="361">
        <v>263397</v>
      </c>
      <c r="BL148" s="361">
        <v>305703</v>
      </c>
      <c r="BM148" s="361">
        <v>338476</v>
      </c>
      <c r="BN148" s="361">
        <v>328875</v>
      </c>
      <c r="BO148" s="361">
        <v>353499.36995038984</v>
      </c>
      <c r="BP148" s="361">
        <v>416866.27587810077</v>
      </c>
      <c r="BQ148" s="361">
        <v>446638.6750405216</v>
      </c>
      <c r="BR148" s="361">
        <v>479652.71710393362</v>
      </c>
      <c r="BS148" s="361">
        <v>517761.52931364311</v>
      </c>
      <c r="BU148" s="40">
        <f t="shared" si="85"/>
        <v>0</v>
      </c>
      <c r="BV148" s="40">
        <f t="shared" ref="BV148:CD148" si="103">BU148</f>
        <v>0</v>
      </c>
      <c r="BW148" s="40">
        <f t="shared" si="103"/>
        <v>0</v>
      </c>
      <c r="BX148" s="40">
        <f t="shared" si="103"/>
        <v>0</v>
      </c>
      <c r="BY148" s="40">
        <f t="shared" si="103"/>
        <v>0</v>
      </c>
      <c r="BZ148" s="40">
        <f t="shared" si="103"/>
        <v>0</v>
      </c>
      <c r="CA148" s="40">
        <f t="shared" si="103"/>
        <v>0</v>
      </c>
      <c r="CB148" s="40">
        <f t="shared" si="103"/>
        <v>0</v>
      </c>
      <c r="CC148" s="40">
        <f t="shared" si="103"/>
        <v>0</v>
      </c>
      <c r="CD148" s="40">
        <f t="shared" si="103"/>
        <v>0</v>
      </c>
      <c r="CO148" s="362"/>
      <c r="CP148" s="362"/>
      <c r="CQ148" s="362"/>
      <c r="CR148" s="362"/>
      <c r="CS148" s="362"/>
      <c r="CT148" s="362"/>
      <c r="CU148" s="362"/>
    </row>
    <row r="149" spans="2:99" s="361" customFormat="1">
      <c r="B149" s="166" t="s">
        <v>1820</v>
      </c>
      <c r="C149" s="361" t="s">
        <v>995</v>
      </c>
      <c r="AP149" s="557">
        <v>193.38</v>
      </c>
      <c r="AQ149" s="557">
        <v>233.58487677225293</v>
      </c>
      <c r="AR149" s="557">
        <v>366.12</v>
      </c>
      <c r="AS149" s="557">
        <v>634.69000000000005</v>
      </c>
      <c r="AT149" s="558">
        <v>2773.23</v>
      </c>
      <c r="AU149" s="557">
        <v>8529.7199999999993</v>
      </c>
      <c r="AV149" s="557">
        <v>11163.89</v>
      </c>
      <c r="AW149" s="557">
        <v>10158.17</v>
      </c>
      <c r="AX149" s="557">
        <v>17055.71</v>
      </c>
      <c r="AY149" s="572">
        <v>24645.32</v>
      </c>
      <c r="AZ149" s="559">
        <v>34480</v>
      </c>
      <c r="BA149" s="567">
        <v>51598</v>
      </c>
      <c r="BB149" s="561">
        <v>61983</v>
      </c>
      <c r="BC149" s="568">
        <v>86224</v>
      </c>
      <c r="BD149" s="568">
        <v>118768</v>
      </c>
      <c r="BE149" s="569">
        <v>153076</v>
      </c>
      <c r="BF149" s="568">
        <v>349976.55752598093</v>
      </c>
      <c r="BG149" s="570">
        <v>379860.43849105056</v>
      </c>
      <c r="BH149" s="571">
        <v>527394.60262024985</v>
      </c>
      <c r="BI149" s="566">
        <v>522954.35595863557</v>
      </c>
      <c r="BJ149" s="361">
        <v>579585</v>
      </c>
      <c r="BK149" s="361">
        <v>832509</v>
      </c>
      <c r="BL149" s="361">
        <v>838788</v>
      </c>
      <c r="BM149" s="361">
        <v>994268</v>
      </c>
      <c r="BN149" s="361">
        <v>1242459</v>
      </c>
      <c r="BO149" s="361">
        <v>1402131.2717136783</v>
      </c>
      <c r="BP149" s="361">
        <v>1645398.2128588215</v>
      </c>
      <c r="BQ149" s="361">
        <v>1826178.2781789356</v>
      </c>
      <c r="BR149" s="361">
        <v>2000916.5991580423</v>
      </c>
      <c r="BS149" s="361">
        <v>2203462.3979553785</v>
      </c>
      <c r="BU149" s="40">
        <f t="shared" si="85"/>
        <v>0</v>
      </c>
      <c r="BV149" s="40">
        <f t="shared" ref="BV149:CD149" si="104">BU149</f>
        <v>0</v>
      </c>
      <c r="BW149" s="40">
        <f t="shared" si="104"/>
        <v>0</v>
      </c>
      <c r="BX149" s="40">
        <f t="shared" si="104"/>
        <v>0</v>
      </c>
      <c r="BY149" s="40">
        <f t="shared" si="104"/>
        <v>0</v>
      </c>
      <c r="BZ149" s="40">
        <f t="shared" si="104"/>
        <v>0</v>
      </c>
      <c r="CA149" s="40">
        <f t="shared" si="104"/>
        <v>0</v>
      </c>
      <c r="CB149" s="40">
        <f t="shared" si="104"/>
        <v>0</v>
      </c>
      <c r="CC149" s="40">
        <f t="shared" si="104"/>
        <v>0</v>
      </c>
      <c r="CD149" s="40">
        <f t="shared" si="104"/>
        <v>0</v>
      </c>
      <c r="CO149" s="362"/>
      <c r="CP149" s="362"/>
      <c r="CQ149" s="362"/>
      <c r="CR149" s="362"/>
      <c r="CS149" s="362"/>
      <c r="CT149" s="362"/>
      <c r="CU149" s="362"/>
    </row>
    <row r="150" spans="2:99" s="361" customFormat="1">
      <c r="B150" s="166" t="s">
        <v>1821</v>
      </c>
      <c r="C150" s="361" t="s">
        <v>995</v>
      </c>
      <c r="AP150" s="557">
        <v>549.20000000000005</v>
      </c>
      <c r="AQ150" s="557">
        <v>721.93</v>
      </c>
      <c r="AR150" s="557">
        <v>1084.6199999999999</v>
      </c>
      <c r="AS150" s="557">
        <v>2435.7199999999998</v>
      </c>
      <c r="AT150" s="558">
        <v>9797.2199999999993</v>
      </c>
      <c r="AU150" s="557">
        <v>39129.22</v>
      </c>
      <c r="AV150" s="557">
        <v>34685.800000000003</v>
      </c>
      <c r="AW150" s="557">
        <v>41413.08</v>
      </c>
      <c r="AX150" s="557">
        <v>50102.48</v>
      </c>
      <c r="AY150" s="572">
        <v>89715.45</v>
      </c>
      <c r="AZ150" s="559">
        <v>122327</v>
      </c>
      <c r="BA150" s="567">
        <v>141597</v>
      </c>
      <c r="BB150" s="561">
        <v>175178</v>
      </c>
      <c r="BC150" s="568">
        <v>302455.42299151007</v>
      </c>
      <c r="BD150" s="568">
        <v>354069</v>
      </c>
      <c r="BE150" s="569">
        <v>438629</v>
      </c>
      <c r="BF150" s="568">
        <v>1160620.1785529035</v>
      </c>
      <c r="BG150" s="570">
        <v>1293919.2283969577</v>
      </c>
      <c r="BH150" s="571">
        <v>1760424.6138566302</v>
      </c>
      <c r="BI150" s="566">
        <v>2094575.7949189877</v>
      </c>
      <c r="BJ150" s="361">
        <v>2329591.1964285555</v>
      </c>
      <c r="BK150" s="361">
        <v>2679462</v>
      </c>
      <c r="BL150" s="361">
        <v>3081879</v>
      </c>
      <c r="BM150" s="361">
        <v>3177417</v>
      </c>
      <c r="BN150" s="361">
        <v>3387298</v>
      </c>
      <c r="BO150" s="361">
        <v>3672983.3374854717</v>
      </c>
      <c r="BP150" s="361">
        <v>4318698.2633165009</v>
      </c>
      <c r="BQ150" s="361">
        <v>4730361.9390843827</v>
      </c>
      <c r="BR150" s="361">
        <v>5133952.9039175129</v>
      </c>
      <c r="BS150" s="361">
        <v>5648321.4423068026</v>
      </c>
      <c r="BU150" s="40">
        <f t="shared" si="85"/>
        <v>0</v>
      </c>
      <c r="BV150" s="40">
        <f t="shared" ref="BV150:CD150" si="105">BU150</f>
        <v>0</v>
      </c>
      <c r="BW150" s="40">
        <f t="shared" si="105"/>
        <v>0</v>
      </c>
      <c r="BX150" s="40">
        <f t="shared" si="105"/>
        <v>0</v>
      </c>
      <c r="BY150" s="40">
        <f t="shared" si="105"/>
        <v>0</v>
      </c>
      <c r="BZ150" s="40">
        <f t="shared" si="105"/>
        <v>0</v>
      </c>
      <c r="CA150" s="40">
        <f t="shared" si="105"/>
        <v>0</v>
      </c>
      <c r="CB150" s="40">
        <f t="shared" si="105"/>
        <v>0</v>
      </c>
      <c r="CC150" s="40">
        <f t="shared" si="105"/>
        <v>0</v>
      </c>
      <c r="CD150" s="40">
        <f t="shared" si="105"/>
        <v>0</v>
      </c>
      <c r="CO150" s="362"/>
      <c r="CP150" s="362"/>
      <c r="CQ150" s="362"/>
      <c r="CR150" s="362"/>
      <c r="CS150" s="362"/>
      <c r="CT150" s="362"/>
      <c r="CU150" s="362"/>
    </row>
    <row r="151" spans="2:99" s="361" customFormat="1">
      <c r="B151" s="166" t="s">
        <v>1822</v>
      </c>
      <c r="C151" s="361" t="s">
        <v>995</v>
      </c>
      <c r="AP151" s="557">
        <v>23.31</v>
      </c>
      <c r="AQ151" s="557">
        <v>26.668524630994686</v>
      </c>
      <c r="AR151" s="557">
        <v>39.915520926090828</v>
      </c>
      <c r="AS151" s="557">
        <v>195.05260017809439</v>
      </c>
      <c r="AT151" s="558">
        <v>629.24545859305431</v>
      </c>
      <c r="AU151" s="557">
        <v>2235.4974977738202</v>
      </c>
      <c r="AV151" s="557">
        <v>3938.3313980409612</v>
      </c>
      <c r="AW151" s="557">
        <v>4602.739047195013</v>
      </c>
      <c r="AX151" s="557">
        <v>5850</v>
      </c>
      <c r="AY151" s="572">
        <v>15280</v>
      </c>
      <c r="AZ151" s="559">
        <v>18621</v>
      </c>
      <c r="BA151" s="567">
        <v>25462</v>
      </c>
      <c r="BB151" s="561">
        <v>33768</v>
      </c>
      <c r="BC151" s="568">
        <v>53710.5</v>
      </c>
      <c r="BD151" s="568">
        <v>64061.2</v>
      </c>
      <c r="BE151" s="569">
        <v>89177.9</v>
      </c>
      <c r="BF151" s="568">
        <v>203794.43126807446</v>
      </c>
      <c r="BG151" s="570">
        <v>197268.26109106065</v>
      </c>
      <c r="BH151" s="571">
        <v>194975.31978072179</v>
      </c>
      <c r="BI151" s="566">
        <v>275966.32400784857</v>
      </c>
      <c r="BJ151" s="361">
        <v>315807.63376797404</v>
      </c>
      <c r="BK151" s="361">
        <v>408382</v>
      </c>
      <c r="BL151" s="361">
        <v>492587</v>
      </c>
      <c r="BM151" s="361">
        <v>535374</v>
      </c>
      <c r="BN151" s="361">
        <v>583558</v>
      </c>
      <c r="BO151" s="361">
        <v>632161.64008504618</v>
      </c>
      <c r="BP151" s="361">
        <v>744825.24050974217</v>
      </c>
      <c r="BQ151" s="361">
        <v>809630.70216148952</v>
      </c>
      <c r="BR151" s="361">
        <v>895493.04104663059</v>
      </c>
      <c r="BS151" s="361">
        <v>994497.7982881245</v>
      </c>
      <c r="BU151" s="40">
        <f t="shared" si="85"/>
        <v>0</v>
      </c>
      <c r="BV151" s="40">
        <f t="shared" ref="BV151:CD151" si="106">BU151</f>
        <v>0</v>
      </c>
      <c r="BW151" s="40">
        <f t="shared" si="106"/>
        <v>0</v>
      </c>
      <c r="BX151" s="40">
        <f t="shared" si="106"/>
        <v>0</v>
      </c>
      <c r="BY151" s="40">
        <f t="shared" si="106"/>
        <v>0</v>
      </c>
      <c r="BZ151" s="40">
        <f t="shared" si="106"/>
        <v>0</v>
      </c>
      <c r="CA151" s="40">
        <f t="shared" si="106"/>
        <v>0</v>
      </c>
      <c r="CB151" s="40">
        <f t="shared" si="106"/>
        <v>0</v>
      </c>
      <c r="CC151" s="40">
        <f t="shared" si="106"/>
        <v>0</v>
      </c>
      <c r="CD151" s="40">
        <f t="shared" si="106"/>
        <v>0</v>
      </c>
      <c r="CO151" s="362"/>
      <c r="CP151" s="362"/>
      <c r="CQ151" s="362"/>
      <c r="CR151" s="362"/>
      <c r="CS151" s="362"/>
      <c r="CT151" s="362"/>
      <c r="CU151" s="362"/>
    </row>
    <row r="152" spans="2:99" s="361" customFormat="1">
      <c r="B152" s="166" t="s">
        <v>78</v>
      </c>
      <c r="C152" s="361" t="s">
        <v>995</v>
      </c>
      <c r="AP152" s="557">
        <v>180.2</v>
      </c>
      <c r="AQ152" s="557">
        <v>245</v>
      </c>
      <c r="AR152" s="557">
        <v>338</v>
      </c>
      <c r="AS152" s="557">
        <v>1597.4514174507722</v>
      </c>
      <c r="AT152" s="558">
        <v>7821.2558135568715</v>
      </c>
      <c r="AU152" s="557">
        <v>18777</v>
      </c>
      <c r="AV152" s="557">
        <v>23686</v>
      </c>
      <c r="AW152" s="557">
        <v>24329</v>
      </c>
      <c r="AX152" s="557">
        <v>21535</v>
      </c>
      <c r="AY152" s="572">
        <v>44995</v>
      </c>
      <c r="AZ152" s="559">
        <v>89928</v>
      </c>
      <c r="BA152" s="567">
        <v>138891</v>
      </c>
      <c r="BB152" s="561">
        <v>200102</v>
      </c>
      <c r="BC152" s="568">
        <v>247016.94822000002</v>
      </c>
      <c r="BD152" s="568">
        <v>295672.72313798196</v>
      </c>
      <c r="BE152" s="569">
        <v>350904</v>
      </c>
      <c r="BF152" s="568">
        <v>484799.50336999376</v>
      </c>
      <c r="BG152" s="570">
        <v>475886.46258936042</v>
      </c>
      <c r="BH152" s="571">
        <v>588230.03101873002</v>
      </c>
      <c r="BI152" s="566">
        <v>622046.80181657069</v>
      </c>
      <c r="BJ152" s="361">
        <v>712409</v>
      </c>
      <c r="BK152" s="361">
        <v>843866</v>
      </c>
      <c r="BL152" s="361">
        <v>1129759</v>
      </c>
      <c r="BM152" s="361">
        <v>1260089</v>
      </c>
      <c r="BN152" s="361">
        <v>1389984</v>
      </c>
      <c r="BO152" s="361">
        <v>1501660.2991943303</v>
      </c>
      <c r="BP152" s="361">
        <v>1765654.0012135413</v>
      </c>
      <c r="BQ152" s="361">
        <v>1921114.2053508165</v>
      </c>
      <c r="BR152" s="361">
        <v>2106927.9192960607</v>
      </c>
      <c r="BS152" s="361">
        <v>2322389.6241206732</v>
      </c>
      <c r="BU152" s="40">
        <f t="shared" si="85"/>
        <v>0</v>
      </c>
      <c r="BV152" s="40">
        <f t="shared" ref="BV152:CD152" si="107">BU152</f>
        <v>0</v>
      </c>
      <c r="BW152" s="40">
        <f t="shared" si="107"/>
        <v>0</v>
      </c>
      <c r="BX152" s="40">
        <f t="shared" si="107"/>
        <v>0</v>
      </c>
      <c r="BY152" s="40">
        <f t="shared" si="107"/>
        <v>0</v>
      </c>
      <c r="BZ152" s="40">
        <f t="shared" si="107"/>
        <v>0</v>
      </c>
      <c r="CA152" s="40">
        <f t="shared" si="107"/>
        <v>0</v>
      </c>
      <c r="CB152" s="40">
        <f t="shared" si="107"/>
        <v>0</v>
      </c>
      <c r="CC152" s="40">
        <f t="shared" si="107"/>
        <v>0</v>
      </c>
      <c r="CD152" s="40">
        <f t="shared" si="107"/>
        <v>0</v>
      </c>
      <c r="CO152" s="362"/>
      <c r="CP152" s="362"/>
      <c r="CQ152" s="362"/>
      <c r="CR152" s="362"/>
      <c r="CS152" s="362"/>
      <c r="CT152" s="362"/>
      <c r="CU152" s="362"/>
    </row>
    <row r="153" spans="2:99" s="361" customFormat="1">
      <c r="B153" s="166" t="s">
        <v>79</v>
      </c>
      <c r="C153" s="361" t="s">
        <v>995</v>
      </c>
      <c r="AP153" s="557">
        <v>290.54000000000002</v>
      </c>
      <c r="AQ153" s="557">
        <v>348</v>
      </c>
      <c r="AR153" s="557">
        <v>443.45</v>
      </c>
      <c r="AS153" s="557">
        <v>871.97</v>
      </c>
      <c r="AT153" s="558">
        <v>3193.72</v>
      </c>
      <c r="AU153" s="557">
        <v>9471.08455822</v>
      </c>
      <c r="AV153" s="557">
        <v>18896.898566</v>
      </c>
      <c r="AW153" s="557">
        <v>24603.973195999999</v>
      </c>
      <c r="AX153" s="557">
        <v>22118.901153374296</v>
      </c>
      <c r="AY153" s="572">
        <v>39815.75</v>
      </c>
      <c r="AZ153" s="571">
        <v>67462</v>
      </c>
      <c r="BA153" s="567">
        <v>98629</v>
      </c>
      <c r="BB153" s="561">
        <v>141864</v>
      </c>
      <c r="BC153" s="568">
        <v>168818</v>
      </c>
      <c r="BD153" s="568">
        <v>223658.31</v>
      </c>
      <c r="BE153" s="569">
        <v>292996.64</v>
      </c>
      <c r="BF153" s="568">
        <v>391799.10141486418</v>
      </c>
      <c r="BG153" s="570">
        <v>419516.85651067173</v>
      </c>
      <c r="BH153" s="571">
        <v>444490.4287479113</v>
      </c>
      <c r="BI153" s="566">
        <v>487451.16285606811</v>
      </c>
      <c r="BJ153" s="361">
        <v>596056</v>
      </c>
      <c r="BK153" s="361">
        <v>738920</v>
      </c>
      <c r="BL153" s="361">
        <v>772909</v>
      </c>
      <c r="BM153" s="361">
        <v>993544</v>
      </c>
      <c r="BN153" s="361">
        <v>914492</v>
      </c>
      <c r="BO153" s="361">
        <v>984887.79239688173</v>
      </c>
      <c r="BP153" s="361">
        <v>1156898.0471363857</v>
      </c>
      <c r="BQ153" s="361">
        <v>1239523.1776462034</v>
      </c>
      <c r="BR153" s="361">
        <v>1331144.5991938852</v>
      </c>
      <c r="BS153" s="361">
        <v>1446567.3447987298</v>
      </c>
      <c r="BU153" s="40">
        <f t="shared" si="85"/>
        <v>0</v>
      </c>
      <c r="BV153" s="40">
        <f t="shared" ref="BV153:CD153" si="108">BU153</f>
        <v>0</v>
      </c>
      <c r="BW153" s="40">
        <f t="shared" si="108"/>
        <v>0</v>
      </c>
      <c r="BX153" s="40">
        <f t="shared" si="108"/>
        <v>0</v>
      </c>
      <c r="BY153" s="40">
        <f t="shared" si="108"/>
        <v>0</v>
      </c>
      <c r="BZ153" s="40">
        <f t="shared" si="108"/>
        <v>0</v>
      </c>
      <c r="CA153" s="40">
        <f t="shared" si="108"/>
        <v>0</v>
      </c>
      <c r="CB153" s="40">
        <f t="shared" si="108"/>
        <v>0</v>
      </c>
      <c r="CC153" s="40">
        <f t="shared" si="108"/>
        <v>0</v>
      </c>
      <c r="CD153" s="40">
        <f t="shared" si="108"/>
        <v>0</v>
      </c>
      <c r="CO153" s="362"/>
      <c r="CP153" s="362"/>
      <c r="CQ153" s="362"/>
      <c r="CR153" s="362"/>
      <c r="CS153" s="362"/>
      <c r="CT153" s="362"/>
      <c r="CU153" s="362"/>
    </row>
    <row r="154" spans="2:99" s="361" customFormat="1">
      <c r="B154" s="166" t="s">
        <v>80</v>
      </c>
      <c r="C154" s="361" t="s">
        <v>995</v>
      </c>
      <c r="AP154" s="557">
        <v>333.81</v>
      </c>
      <c r="AQ154" s="557">
        <v>390</v>
      </c>
      <c r="AR154" s="557">
        <v>509</v>
      </c>
      <c r="AS154" s="557">
        <v>968</v>
      </c>
      <c r="AT154" s="558">
        <v>4030</v>
      </c>
      <c r="AU154" s="557">
        <v>13304</v>
      </c>
      <c r="AV154" s="557">
        <v>16908</v>
      </c>
      <c r="AW154" s="557">
        <v>20215</v>
      </c>
      <c r="AX154" s="557">
        <v>29438</v>
      </c>
      <c r="AY154" s="572">
        <v>50941</v>
      </c>
      <c r="AZ154" s="571">
        <v>86677</v>
      </c>
      <c r="BA154" s="567">
        <v>124663</v>
      </c>
      <c r="BB154" s="561">
        <v>150982</v>
      </c>
      <c r="BC154" s="568">
        <v>185123.36</v>
      </c>
      <c r="BD154" s="568">
        <v>236320.74</v>
      </c>
      <c r="BE154" s="569">
        <v>282967</v>
      </c>
      <c r="BF154" s="568">
        <v>240427.5247940541</v>
      </c>
      <c r="BG154" s="570">
        <v>317146.99521319335</v>
      </c>
      <c r="BH154" s="571">
        <v>274350.96512018051</v>
      </c>
      <c r="BI154" s="566">
        <v>314805.08001742099</v>
      </c>
      <c r="BJ154" s="361">
        <v>374859</v>
      </c>
      <c r="BK154" s="361">
        <v>475742</v>
      </c>
      <c r="BL154" s="361">
        <v>511983</v>
      </c>
      <c r="BM154" s="361">
        <v>558062</v>
      </c>
      <c r="BN154" s="361">
        <v>610282</v>
      </c>
      <c r="BO154" s="361">
        <v>648916.18098369939</v>
      </c>
      <c r="BP154" s="361">
        <v>756270.70508137194</v>
      </c>
      <c r="BQ154" s="361">
        <v>811147.7253440161</v>
      </c>
      <c r="BR154" s="361">
        <v>869423.39137303887</v>
      </c>
      <c r="BS154" s="361">
        <v>933992.12780002831</v>
      </c>
      <c r="BU154" s="40">
        <f t="shared" si="85"/>
        <v>0</v>
      </c>
      <c r="BV154" s="40">
        <f t="shared" ref="BV154:CD154" si="109">BU154</f>
        <v>0</v>
      </c>
      <c r="BW154" s="40">
        <f t="shared" si="109"/>
        <v>0</v>
      </c>
      <c r="BX154" s="40">
        <f t="shared" si="109"/>
        <v>0</v>
      </c>
      <c r="BY154" s="40">
        <f t="shared" si="109"/>
        <v>0</v>
      </c>
      <c r="BZ154" s="40">
        <f t="shared" si="109"/>
        <v>0</v>
      </c>
      <c r="CA154" s="40">
        <f t="shared" si="109"/>
        <v>0</v>
      </c>
      <c r="CB154" s="40">
        <f t="shared" si="109"/>
        <v>0</v>
      </c>
      <c r="CC154" s="40">
        <f t="shared" si="109"/>
        <v>0</v>
      </c>
      <c r="CD154" s="40">
        <f t="shared" si="109"/>
        <v>0</v>
      </c>
      <c r="CO154" s="362"/>
      <c r="CP154" s="362"/>
      <c r="CQ154" s="362"/>
      <c r="CR154" s="362"/>
      <c r="CS154" s="362"/>
      <c r="CT154" s="362"/>
      <c r="CU154" s="362"/>
    </row>
    <row r="155" spans="2:99" s="361" customFormat="1">
      <c r="B155" s="166" t="s">
        <v>81</v>
      </c>
      <c r="C155" s="361" t="s">
        <v>995</v>
      </c>
      <c r="AP155" s="557">
        <v>319.79465100000004</v>
      </c>
      <c r="AQ155" s="557">
        <v>406.64616900000004</v>
      </c>
      <c r="AR155" s="557">
        <v>461.83</v>
      </c>
      <c r="AS155" s="557">
        <v>560.53</v>
      </c>
      <c r="AT155" s="558">
        <v>2227.41</v>
      </c>
      <c r="AU155" s="557">
        <v>9279.11</v>
      </c>
      <c r="AV155" s="557">
        <v>14341.43</v>
      </c>
      <c r="AW155" s="557">
        <v>21495.09</v>
      </c>
      <c r="AX155" s="557">
        <v>41375</v>
      </c>
      <c r="AY155" s="572">
        <v>57211</v>
      </c>
      <c r="AZ155" s="559">
        <v>96741</v>
      </c>
      <c r="BA155" s="567">
        <v>125456</v>
      </c>
      <c r="BB155" s="561">
        <v>221787</v>
      </c>
      <c r="BC155" s="571">
        <v>244916.21</v>
      </c>
      <c r="BD155" s="571">
        <v>266013.77799999999</v>
      </c>
      <c r="BE155" s="570">
        <v>309547.19</v>
      </c>
      <c r="BF155" s="571">
        <v>698039.3097038772</v>
      </c>
      <c r="BG155" s="570">
        <v>801902.48734807759</v>
      </c>
      <c r="BH155" s="571">
        <v>906234.01844774513</v>
      </c>
      <c r="BI155" s="566">
        <v>1149533.9354006851</v>
      </c>
      <c r="BJ155" s="361">
        <v>1306286.9229020062</v>
      </c>
      <c r="BK155" s="361">
        <v>1457653</v>
      </c>
      <c r="BL155" s="361">
        <v>1628554</v>
      </c>
      <c r="BM155" s="361">
        <v>1875726</v>
      </c>
      <c r="BN155" s="361">
        <v>1939949</v>
      </c>
      <c r="BO155" s="361">
        <v>2052228.9417689582</v>
      </c>
      <c r="BP155" s="361">
        <v>2377632.9948002701</v>
      </c>
      <c r="BQ155" s="361">
        <v>2481391.1187155363</v>
      </c>
      <c r="BR155" s="361">
        <v>2577382.5406691111</v>
      </c>
      <c r="BS155" s="361">
        <v>2677284.9571240507</v>
      </c>
      <c r="BU155" s="40">
        <f t="shared" si="85"/>
        <v>0</v>
      </c>
      <c r="BV155" s="40">
        <f t="shared" ref="BV155:CD155" si="110">BU155</f>
        <v>0</v>
      </c>
      <c r="BW155" s="40">
        <f t="shared" si="110"/>
        <v>0</v>
      </c>
      <c r="BX155" s="40">
        <f t="shared" si="110"/>
        <v>0</v>
      </c>
      <c r="BY155" s="40">
        <f t="shared" si="110"/>
        <v>0</v>
      </c>
      <c r="BZ155" s="40">
        <f t="shared" si="110"/>
        <v>0</v>
      </c>
      <c r="CA155" s="40">
        <f t="shared" si="110"/>
        <v>0</v>
      </c>
      <c r="CB155" s="40">
        <f t="shared" si="110"/>
        <v>0</v>
      </c>
      <c r="CC155" s="40">
        <f t="shared" si="110"/>
        <v>0</v>
      </c>
      <c r="CD155" s="40">
        <f t="shared" si="110"/>
        <v>0</v>
      </c>
      <c r="CO155" s="362"/>
      <c r="CP155" s="362"/>
      <c r="CQ155" s="362"/>
      <c r="CR155" s="362"/>
      <c r="CS155" s="362"/>
      <c r="CT155" s="362"/>
      <c r="CU155" s="362"/>
    </row>
    <row r="156" spans="2:99" s="361" customFormat="1">
      <c r="B156" s="166" t="s">
        <v>82</v>
      </c>
      <c r="C156" s="361" t="s">
        <v>995</v>
      </c>
      <c r="AP156" s="572">
        <v>179.902907</v>
      </c>
      <c r="AQ156" s="572">
        <v>174.86</v>
      </c>
      <c r="AR156" s="572">
        <v>181.956704</v>
      </c>
      <c r="AS156" s="572">
        <v>349.63130899999999</v>
      </c>
      <c r="AT156" s="573">
        <v>1002.708555</v>
      </c>
      <c r="AU156" s="572">
        <v>5660.2015069999998</v>
      </c>
      <c r="AV156" s="572">
        <v>8927.2578450000001</v>
      </c>
      <c r="AW156" s="572">
        <v>14934.26</v>
      </c>
      <c r="AX156" s="572">
        <v>27669.200000000001</v>
      </c>
      <c r="AY156" s="572">
        <v>39036.43</v>
      </c>
      <c r="AZ156" s="559">
        <v>56826</v>
      </c>
      <c r="BA156" s="567">
        <v>74583</v>
      </c>
      <c r="BB156" s="561">
        <v>135601</v>
      </c>
      <c r="BC156" s="571">
        <v>151946.76999999999</v>
      </c>
      <c r="BD156" s="571">
        <v>163527.72</v>
      </c>
      <c r="BE156" s="570">
        <v>175076.58</v>
      </c>
      <c r="BF156" s="571">
        <v>4663.9354149354958</v>
      </c>
      <c r="BG156" s="570">
        <v>7504.776049107144</v>
      </c>
      <c r="BH156" s="571">
        <v>5405.3937360271384</v>
      </c>
      <c r="BI156" s="566">
        <v>5099.8071844116457</v>
      </c>
      <c r="BJ156" s="361">
        <v>7891</v>
      </c>
      <c r="BK156" s="361">
        <v>10126</v>
      </c>
      <c r="BL156" s="361">
        <v>10967</v>
      </c>
      <c r="BM156" s="361">
        <v>12927</v>
      </c>
      <c r="BN156" s="361">
        <v>14393</v>
      </c>
      <c r="BO156" s="361">
        <v>15289.017802976614</v>
      </c>
      <c r="BP156" s="361">
        <v>17783.16761424522</v>
      </c>
      <c r="BQ156" s="361">
        <v>18665.146132082209</v>
      </c>
      <c r="BR156" s="361">
        <v>19541.756401720151</v>
      </c>
      <c r="BS156" s="361">
        <v>20466.195057356119</v>
      </c>
      <c r="BU156" s="40">
        <f t="shared" si="85"/>
        <v>0</v>
      </c>
      <c r="BV156" s="40">
        <f t="shared" ref="BV156:CD156" si="111">BU156</f>
        <v>0</v>
      </c>
      <c r="BW156" s="40">
        <f t="shared" si="111"/>
        <v>0</v>
      </c>
      <c r="BX156" s="40">
        <f t="shared" si="111"/>
        <v>0</v>
      </c>
      <c r="BY156" s="40">
        <f t="shared" si="111"/>
        <v>0</v>
      </c>
      <c r="BZ156" s="40">
        <f t="shared" si="111"/>
        <v>0</v>
      </c>
      <c r="CA156" s="40">
        <f t="shared" si="111"/>
        <v>0</v>
      </c>
      <c r="CB156" s="40">
        <f t="shared" si="111"/>
        <v>0</v>
      </c>
      <c r="CC156" s="40">
        <f t="shared" si="111"/>
        <v>0</v>
      </c>
      <c r="CD156" s="40">
        <f t="shared" si="111"/>
        <v>0</v>
      </c>
      <c r="CO156" s="362"/>
      <c r="CP156" s="362"/>
      <c r="CQ156" s="362"/>
      <c r="CR156" s="362"/>
      <c r="CS156" s="362"/>
      <c r="CT156" s="362"/>
      <c r="CU156" s="362"/>
    </row>
    <row r="157" spans="2:99" s="361" customFormat="1">
      <c r="B157" s="166" t="s">
        <v>83</v>
      </c>
      <c r="C157" s="361" t="s">
        <v>995</v>
      </c>
      <c r="AP157" s="572">
        <v>27.397393999999998</v>
      </c>
      <c r="AQ157" s="572">
        <v>33.027999999999999</v>
      </c>
      <c r="AR157" s="572">
        <v>45.58</v>
      </c>
      <c r="AS157" s="572">
        <v>61.448</v>
      </c>
      <c r="AT157" s="573">
        <v>188.24734000000001</v>
      </c>
      <c r="AU157" s="572">
        <v>873.44</v>
      </c>
      <c r="AV157" s="572">
        <v>1550.585</v>
      </c>
      <c r="AW157" s="572">
        <v>2253.509</v>
      </c>
      <c r="AX157" s="572">
        <v>3698.53</v>
      </c>
      <c r="AY157" s="572">
        <v>5254.0379999999996</v>
      </c>
      <c r="AZ157" s="559">
        <v>8650</v>
      </c>
      <c r="BA157" s="567">
        <v>12839</v>
      </c>
      <c r="BB157" s="561">
        <v>20290</v>
      </c>
      <c r="BC157" s="571">
        <v>22806.06</v>
      </c>
      <c r="BD157" s="571">
        <v>22575.98</v>
      </c>
      <c r="BE157" s="570">
        <v>23581</v>
      </c>
      <c r="BF157" s="571">
        <v>45150.792000000001</v>
      </c>
      <c r="BG157" s="570">
        <v>49193.415951285962</v>
      </c>
      <c r="BH157" s="571">
        <v>55076.091999999997</v>
      </c>
      <c r="BI157" s="566">
        <v>62107.461000000003</v>
      </c>
      <c r="BJ157" s="361">
        <v>71776</v>
      </c>
      <c r="BK157" s="361">
        <v>81587</v>
      </c>
      <c r="BL157" s="361">
        <v>91875</v>
      </c>
      <c r="BM157" s="361">
        <v>111457</v>
      </c>
      <c r="BN157" s="361">
        <v>118217</v>
      </c>
      <c r="BO157" s="361">
        <v>125825.11434160173</v>
      </c>
      <c r="BP157" s="361">
        <v>147365.7125719433</v>
      </c>
      <c r="BQ157" s="361">
        <v>154980.78618730514</v>
      </c>
      <c r="BR157" s="361">
        <v>162420.12571616436</v>
      </c>
      <c r="BS157" s="361">
        <v>170440.38035418995</v>
      </c>
      <c r="BU157" s="40">
        <f t="shared" si="85"/>
        <v>0</v>
      </c>
      <c r="BV157" s="40">
        <f t="shared" ref="BV157:CD157" si="112">BU157</f>
        <v>0</v>
      </c>
      <c r="BW157" s="40">
        <f t="shared" si="112"/>
        <v>0</v>
      </c>
      <c r="BX157" s="40">
        <f t="shared" si="112"/>
        <v>0</v>
      </c>
      <c r="BY157" s="40">
        <f t="shared" si="112"/>
        <v>0</v>
      </c>
      <c r="BZ157" s="40">
        <f t="shared" si="112"/>
        <v>0</v>
      </c>
      <c r="CA157" s="40">
        <f t="shared" si="112"/>
        <v>0</v>
      </c>
      <c r="CB157" s="40">
        <f t="shared" si="112"/>
        <v>0</v>
      </c>
      <c r="CC157" s="40">
        <f t="shared" si="112"/>
        <v>0</v>
      </c>
      <c r="CD157" s="40">
        <f t="shared" si="112"/>
        <v>0</v>
      </c>
      <c r="CO157" s="362"/>
      <c r="CP157" s="362"/>
      <c r="CQ157" s="362"/>
      <c r="CR157" s="362"/>
      <c r="CS157" s="362"/>
      <c r="CT157" s="362"/>
      <c r="CU157" s="362"/>
    </row>
    <row r="158" spans="2:99" s="361" customFormat="1">
      <c r="B158" s="166" t="s">
        <v>84</v>
      </c>
      <c r="C158" s="361" t="s">
        <v>995</v>
      </c>
      <c r="AP158" s="557">
        <v>70.959999999999994</v>
      </c>
      <c r="AQ158" s="557">
        <v>81</v>
      </c>
      <c r="AR158" s="557">
        <v>90</v>
      </c>
      <c r="AS158" s="557">
        <v>188</v>
      </c>
      <c r="AT158" s="558">
        <v>762</v>
      </c>
      <c r="AU158" s="557">
        <v>2648</v>
      </c>
      <c r="AV158" s="557">
        <v>3310</v>
      </c>
      <c r="AW158" s="557">
        <v>4647</v>
      </c>
      <c r="AX158" s="557">
        <v>5779</v>
      </c>
      <c r="AY158" s="572">
        <v>12619.16</v>
      </c>
      <c r="AZ158" s="559">
        <v>28320</v>
      </c>
      <c r="BA158" s="567">
        <v>30386</v>
      </c>
      <c r="BB158" s="561">
        <v>45589</v>
      </c>
      <c r="BC158" s="570">
        <v>48951.86</v>
      </c>
      <c r="BD158" s="574">
        <v>53791.82</v>
      </c>
      <c r="BE158" s="575">
        <v>62404.49</v>
      </c>
      <c r="BF158" s="574">
        <v>41958.362884928836</v>
      </c>
      <c r="BG158" s="575">
        <v>44008.815596071858</v>
      </c>
      <c r="BH158" s="574">
        <v>55111.832948126488</v>
      </c>
      <c r="BI158" s="566">
        <v>63148.501208451504</v>
      </c>
      <c r="BJ158" s="361">
        <v>70871</v>
      </c>
      <c r="BK158" s="361">
        <v>96446</v>
      </c>
      <c r="BL158" s="361">
        <v>109507</v>
      </c>
      <c r="BM158" s="361">
        <v>124838</v>
      </c>
      <c r="BN158" s="361">
        <v>129112</v>
      </c>
      <c r="BO158" s="361">
        <v>140001.32987101347</v>
      </c>
      <c r="BP158" s="361">
        <v>166774.18795966779</v>
      </c>
      <c r="BQ158" s="361">
        <v>178511.81190805213</v>
      </c>
      <c r="BR158" s="361">
        <v>192632.03592193447</v>
      </c>
      <c r="BS158" s="361">
        <v>208336.30771738008</v>
      </c>
      <c r="BU158" s="40">
        <f t="shared" si="85"/>
        <v>0</v>
      </c>
      <c r="BV158" s="40">
        <f t="shared" ref="BV158:CD158" si="113">BU158</f>
        <v>0</v>
      </c>
      <c r="BW158" s="40">
        <f t="shared" si="113"/>
        <v>0</v>
      </c>
      <c r="BX158" s="40">
        <f t="shared" si="113"/>
        <v>0</v>
      </c>
      <c r="BY158" s="40">
        <f t="shared" si="113"/>
        <v>0</v>
      </c>
      <c r="BZ158" s="40">
        <f t="shared" si="113"/>
        <v>0</v>
      </c>
      <c r="CA158" s="40">
        <f t="shared" si="113"/>
        <v>0</v>
      </c>
      <c r="CB158" s="40">
        <f t="shared" si="113"/>
        <v>0</v>
      </c>
      <c r="CC158" s="40">
        <f t="shared" si="113"/>
        <v>0</v>
      </c>
      <c r="CD158" s="40">
        <f t="shared" si="113"/>
        <v>0</v>
      </c>
      <c r="CO158" s="362"/>
      <c r="CP158" s="362"/>
      <c r="CQ158" s="362"/>
      <c r="CR158" s="362"/>
      <c r="CS158" s="362"/>
      <c r="CT158" s="362"/>
      <c r="CU158" s="362"/>
    </row>
    <row r="159" spans="2:99" s="361" customFormat="1">
      <c r="B159" s="166"/>
      <c r="AP159" s="576"/>
      <c r="AQ159" s="576"/>
      <c r="AR159" s="576"/>
      <c r="AS159" s="576"/>
      <c r="AT159" s="577"/>
      <c r="AU159" s="576"/>
      <c r="AV159" s="576"/>
      <c r="AW159" s="576"/>
      <c r="AX159" s="576"/>
      <c r="AY159" s="578"/>
      <c r="AZ159" s="579"/>
      <c r="BA159" s="580"/>
      <c r="BB159" s="570"/>
      <c r="BC159" s="571"/>
      <c r="BD159" s="571"/>
      <c r="BE159" s="571"/>
      <c r="BF159" s="571"/>
      <c r="BG159" s="571"/>
      <c r="BH159" s="571"/>
      <c r="BI159" s="566"/>
      <c r="BU159" s="40">
        <f t="shared" si="85"/>
        <v>0</v>
      </c>
      <c r="BV159" s="40">
        <f t="shared" ref="BV159:CD159" si="114">BU159</f>
        <v>0</v>
      </c>
      <c r="BW159" s="40">
        <f t="shared" si="114"/>
        <v>0</v>
      </c>
      <c r="BX159" s="40">
        <f t="shared" si="114"/>
        <v>0</v>
      </c>
      <c r="BY159" s="40">
        <f t="shared" si="114"/>
        <v>0</v>
      </c>
      <c r="BZ159" s="40">
        <f t="shared" si="114"/>
        <v>0</v>
      </c>
      <c r="CA159" s="40">
        <f t="shared" si="114"/>
        <v>0</v>
      </c>
      <c r="CB159" s="40">
        <f t="shared" si="114"/>
        <v>0</v>
      </c>
      <c r="CC159" s="40">
        <f t="shared" si="114"/>
        <v>0</v>
      </c>
      <c r="CD159" s="40">
        <f t="shared" si="114"/>
        <v>0</v>
      </c>
      <c r="CO159" s="362"/>
      <c r="CP159" s="362"/>
      <c r="CQ159" s="362"/>
      <c r="CR159" s="362"/>
      <c r="CS159" s="362"/>
      <c r="CT159" s="362"/>
      <c r="CU159" s="362"/>
    </row>
    <row r="160" spans="2:99" s="361" customFormat="1">
      <c r="B160" s="166" t="s">
        <v>85</v>
      </c>
      <c r="C160" s="361" t="s">
        <v>995</v>
      </c>
      <c r="AP160" s="581">
        <v>3163.1762561315786</v>
      </c>
      <c r="AQ160" s="581">
        <v>3631.3615917232805</v>
      </c>
      <c r="AR160" s="581">
        <v>4889.603542069809</v>
      </c>
      <c r="AS160" s="581">
        <v>12332.295097152546</v>
      </c>
      <c r="AT160" s="582">
        <v>65047.290819273701</v>
      </c>
      <c r="AU160" s="581">
        <v>233466.05275695198</v>
      </c>
      <c r="AV160" s="581">
        <v>268020.01812400378</v>
      </c>
      <c r="AW160" s="581">
        <v>302526.49177320598</v>
      </c>
      <c r="AX160" s="582">
        <v>338848.93275734695</v>
      </c>
      <c r="AY160" s="583">
        <v>586072.3625025918</v>
      </c>
      <c r="AZ160" s="571">
        <v>1006243</v>
      </c>
      <c r="BA160" s="584">
        <v>1388384.29</v>
      </c>
      <c r="BB160" s="584">
        <v>2034078</v>
      </c>
      <c r="BC160" s="571">
        <v>2528659.3188383221</v>
      </c>
      <c r="BD160" s="571">
        <v>3151143.8234161143</v>
      </c>
      <c r="BE160" s="571">
        <v>3924081</v>
      </c>
      <c r="BF160" s="571">
        <v>6655807.0130575281</v>
      </c>
      <c r="BG160" s="571">
        <v>7412940.8798577059</v>
      </c>
      <c r="BH160" s="571">
        <v>9036125.0363404732</v>
      </c>
      <c r="BI160" s="566">
        <v>9769199.6670047753</v>
      </c>
      <c r="BJ160" s="361">
        <v>11137924.764795229</v>
      </c>
      <c r="BK160" s="361">
        <v>13127638</v>
      </c>
      <c r="BL160" s="361">
        <v>15003370</v>
      </c>
      <c r="BM160" s="361">
        <v>15493723</v>
      </c>
      <c r="BN160" s="361">
        <v>15791406</v>
      </c>
      <c r="BO160" s="361">
        <v>15856232.695718668</v>
      </c>
      <c r="BP160" s="361">
        <v>18064658.552820474</v>
      </c>
      <c r="BQ160" s="361">
        <v>19629859.915872175</v>
      </c>
      <c r="BR160" s="361">
        <v>21142101.596557032</v>
      </c>
      <c r="BS160" s="361">
        <v>22887694.382107776</v>
      </c>
      <c r="BU160" s="40">
        <f t="shared" si="85"/>
        <v>0</v>
      </c>
      <c r="BV160" s="40">
        <f t="shared" ref="BV160:CD160" si="115">BU160</f>
        <v>0</v>
      </c>
      <c r="BW160" s="40">
        <f t="shared" si="115"/>
        <v>0</v>
      </c>
      <c r="BX160" s="40">
        <f t="shared" si="115"/>
        <v>0</v>
      </c>
      <c r="BY160" s="40">
        <f t="shared" si="115"/>
        <v>0</v>
      </c>
      <c r="BZ160" s="40">
        <f t="shared" si="115"/>
        <v>0</v>
      </c>
      <c r="CA160" s="40">
        <f t="shared" si="115"/>
        <v>0</v>
      </c>
      <c r="CB160" s="40">
        <f t="shared" si="115"/>
        <v>0</v>
      </c>
      <c r="CC160" s="40">
        <f t="shared" si="115"/>
        <v>0</v>
      </c>
      <c r="CD160" s="40">
        <f t="shared" si="115"/>
        <v>0</v>
      </c>
      <c r="CO160" s="362"/>
      <c r="CP160" s="362"/>
      <c r="CQ160" s="362"/>
      <c r="CR160" s="362"/>
      <c r="CS160" s="362"/>
      <c r="CT160" s="362"/>
      <c r="CU160" s="362"/>
    </row>
    <row r="161" spans="2:99" s="361" customFormat="1">
      <c r="B161" s="166" t="s">
        <v>1802</v>
      </c>
      <c r="C161" s="361" t="s">
        <v>995</v>
      </c>
      <c r="AP161" s="557">
        <v>660.70582750841356</v>
      </c>
      <c r="AQ161" s="557">
        <v>785.75551707796194</v>
      </c>
      <c r="AR161" s="557">
        <v>1118.2564126748573</v>
      </c>
      <c r="AS161" s="557">
        <v>2544.9492591640346</v>
      </c>
      <c r="AT161" s="558">
        <v>13912.791250086744</v>
      </c>
      <c r="AU161" s="557">
        <v>55111.940243943602</v>
      </c>
      <c r="AV161" s="557">
        <v>55994.353294614186</v>
      </c>
      <c r="AW161" s="557">
        <v>59378.870569146267</v>
      </c>
      <c r="AX161" s="558">
        <v>66786.756875833351</v>
      </c>
      <c r="AY161" s="572">
        <v>111856.54335828994</v>
      </c>
      <c r="AZ161" s="585">
        <v>175009</v>
      </c>
      <c r="BA161" s="567">
        <v>264032</v>
      </c>
      <c r="BB161" s="570">
        <v>335347</v>
      </c>
      <c r="BC161" s="571">
        <v>472231</v>
      </c>
      <c r="BD161" s="571">
        <v>583475</v>
      </c>
      <c r="BE161" s="571">
        <v>687927</v>
      </c>
      <c r="BF161" s="571"/>
      <c r="BG161" s="571"/>
      <c r="BH161" s="568"/>
      <c r="BI161" s="566"/>
      <c r="BU161" s="40">
        <f t="shared" si="85"/>
        <v>0</v>
      </c>
      <c r="BV161" s="40">
        <f t="shared" ref="BV161:CD161" si="116">BU161</f>
        <v>0</v>
      </c>
      <c r="BW161" s="40">
        <f t="shared" si="116"/>
        <v>0</v>
      </c>
      <c r="BX161" s="40">
        <f t="shared" si="116"/>
        <v>0</v>
      </c>
      <c r="BY161" s="40">
        <f t="shared" si="116"/>
        <v>0</v>
      </c>
      <c r="BZ161" s="40">
        <f t="shared" si="116"/>
        <v>0</v>
      </c>
      <c r="CA161" s="40">
        <f t="shared" si="116"/>
        <v>0</v>
      </c>
      <c r="CB161" s="40">
        <f t="shared" si="116"/>
        <v>0</v>
      </c>
      <c r="CC161" s="40">
        <f t="shared" si="116"/>
        <v>0</v>
      </c>
      <c r="CD161" s="40">
        <f t="shared" si="116"/>
        <v>0</v>
      </c>
      <c r="CO161" s="362"/>
      <c r="CP161" s="362"/>
      <c r="CQ161" s="362"/>
      <c r="CR161" s="362"/>
      <c r="CS161" s="362"/>
      <c r="CT161" s="362"/>
      <c r="CU161" s="362"/>
    </row>
    <row r="162" spans="2:99" s="361" customFormat="1">
      <c r="B162" s="166"/>
      <c r="AP162" s="576"/>
      <c r="AQ162" s="576"/>
      <c r="AR162" s="576"/>
      <c r="AS162" s="576"/>
      <c r="AT162" s="577"/>
      <c r="AU162" s="576"/>
      <c r="AV162" s="577"/>
      <c r="AW162" s="577"/>
      <c r="AX162" s="577"/>
      <c r="AY162" s="576"/>
      <c r="AZ162" s="559"/>
      <c r="BA162" s="580"/>
      <c r="BB162" s="570"/>
      <c r="BC162" s="571"/>
      <c r="BD162" s="570"/>
      <c r="BE162" s="571"/>
      <c r="BF162" s="571"/>
      <c r="BG162" s="584"/>
      <c r="BH162" s="571"/>
      <c r="BI162" s="566"/>
      <c r="BU162" s="40">
        <f t="shared" si="85"/>
        <v>0</v>
      </c>
      <c r="BV162" s="40">
        <f>BU162</f>
        <v>0</v>
      </c>
      <c r="BW162" s="40">
        <f>BV162</f>
        <v>0</v>
      </c>
      <c r="BX162" s="40">
        <f t="shared" ref="BV162:CD177" si="117">BW162</f>
        <v>0</v>
      </c>
      <c r="BY162" s="40">
        <f t="shared" si="117"/>
        <v>0</v>
      </c>
      <c r="BZ162" s="40">
        <f t="shared" si="117"/>
        <v>0</v>
      </c>
      <c r="CA162" s="40">
        <f t="shared" si="117"/>
        <v>0</v>
      </c>
      <c r="CB162" s="40">
        <f t="shared" si="117"/>
        <v>0</v>
      </c>
      <c r="CC162" s="40">
        <f t="shared" si="117"/>
        <v>0</v>
      </c>
      <c r="CD162" s="40">
        <f t="shared" si="117"/>
        <v>0</v>
      </c>
      <c r="CO162" s="362"/>
      <c r="CP162" s="362"/>
      <c r="CQ162" s="362"/>
      <c r="CR162" s="362"/>
      <c r="CS162" s="362"/>
      <c r="CT162" s="362"/>
      <c r="CU162" s="362"/>
    </row>
    <row r="163" spans="2:99" s="361" customFormat="1">
      <c r="B163" s="166" t="s">
        <v>1801</v>
      </c>
      <c r="C163" s="361" t="s">
        <v>995</v>
      </c>
      <c r="AP163" s="586">
        <v>216.06</v>
      </c>
      <c r="AQ163" s="586">
        <v>259.43</v>
      </c>
      <c r="AR163" s="586">
        <v>329.75</v>
      </c>
      <c r="AS163" s="586">
        <v>537.72</v>
      </c>
      <c r="AT163" s="587">
        <v>1093.06</v>
      </c>
      <c r="AU163" s="586">
        <v>4899.7644430500004</v>
      </c>
      <c r="AV163" s="586">
        <v>11553.396505999999</v>
      </c>
      <c r="AW163" s="586">
        <v>15890.073326</v>
      </c>
      <c r="AX163" s="587">
        <v>16287.92</v>
      </c>
      <c r="AY163" s="586">
        <v>31538.76</v>
      </c>
      <c r="AZ163" s="588">
        <v>36034</v>
      </c>
      <c r="BA163" s="589">
        <v>57763</v>
      </c>
      <c r="BB163" s="590">
        <v>68189</v>
      </c>
      <c r="BC163" s="591">
        <v>78729.7</v>
      </c>
      <c r="BD163" s="591">
        <v>106962.459</v>
      </c>
      <c r="BE163" s="591">
        <v>166217.459</v>
      </c>
      <c r="BF163" s="591"/>
      <c r="BG163" s="591"/>
      <c r="BH163" s="591"/>
      <c r="BI163" s="566"/>
      <c r="BU163" s="40">
        <f t="shared" ref="BU163:BU226" si="118">BT163</f>
        <v>0</v>
      </c>
      <c r="BV163" s="40">
        <f t="shared" si="117"/>
        <v>0</v>
      </c>
      <c r="BW163" s="40">
        <f t="shared" si="117"/>
        <v>0</v>
      </c>
      <c r="BX163" s="40">
        <f t="shared" si="117"/>
        <v>0</v>
      </c>
      <c r="BY163" s="40">
        <f t="shared" si="117"/>
        <v>0</v>
      </c>
      <c r="BZ163" s="40">
        <f t="shared" si="117"/>
        <v>0</v>
      </c>
      <c r="CA163" s="40">
        <f t="shared" si="117"/>
        <v>0</v>
      </c>
      <c r="CB163" s="40">
        <f t="shared" si="117"/>
        <v>0</v>
      </c>
      <c r="CC163" s="40">
        <f t="shared" si="117"/>
        <v>0</v>
      </c>
      <c r="CD163" s="40">
        <f t="shared" si="117"/>
        <v>0</v>
      </c>
      <c r="CO163" s="362"/>
      <c r="CP163" s="362"/>
      <c r="CQ163" s="362"/>
      <c r="CR163" s="362"/>
      <c r="CS163" s="362"/>
      <c r="CT163" s="362"/>
      <c r="CU163" s="362"/>
    </row>
    <row r="164" spans="2:99" s="361" customFormat="1">
      <c r="B164" s="166"/>
      <c r="AP164" s="576"/>
      <c r="AQ164" s="576"/>
      <c r="AR164" s="576"/>
      <c r="AS164" s="576"/>
      <c r="AT164" s="577"/>
      <c r="AU164" s="576"/>
      <c r="AV164" s="577"/>
      <c r="AW164" s="577"/>
      <c r="AX164" s="577"/>
      <c r="AY164" s="576"/>
      <c r="AZ164" s="592"/>
      <c r="BA164" s="593"/>
      <c r="BB164" s="570"/>
      <c r="BC164" s="594"/>
      <c r="BD164" s="571"/>
      <c r="BE164" s="571"/>
      <c r="BF164" s="571"/>
      <c r="BG164" s="571"/>
      <c r="BH164" s="571"/>
      <c r="BI164" s="566"/>
      <c r="BU164" s="40">
        <f t="shared" si="118"/>
        <v>0</v>
      </c>
      <c r="BV164" s="40">
        <f t="shared" si="117"/>
        <v>0</v>
      </c>
      <c r="BW164" s="40">
        <f t="shared" si="117"/>
        <v>0</v>
      </c>
      <c r="BX164" s="40">
        <f t="shared" si="117"/>
        <v>0</v>
      </c>
      <c r="BY164" s="40">
        <f t="shared" si="117"/>
        <v>0</v>
      </c>
      <c r="BZ164" s="40">
        <f t="shared" si="117"/>
        <v>0</v>
      </c>
      <c r="CA164" s="40">
        <f t="shared" si="117"/>
        <v>0</v>
      </c>
      <c r="CB164" s="40">
        <f t="shared" si="117"/>
        <v>0</v>
      </c>
      <c r="CC164" s="40">
        <f t="shared" si="117"/>
        <v>0</v>
      </c>
      <c r="CD164" s="40">
        <f t="shared" si="117"/>
        <v>0</v>
      </c>
      <c r="CO164" s="362"/>
      <c r="CP164" s="362"/>
      <c r="CQ164" s="362"/>
      <c r="CR164" s="362"/>
      <c r="CS164" s="362"/>
      <c r="CT164" s="362"/>
      <c r="CU164" s="362"/>
    </row>
    <row r="165" spans="2:99" s="361" customFormat="1">
      <c r="B165" s="166" t="s">
        <v>871</v>
      </c>
      <c r="C165" s="361" t="s">
        <v>995</v>
      </c>
      <c r="AP165" s="595">
        <v>3607.8220836399923</v>
      </c>
      <c r="AQ165" s="595">
        <v>4157.6871088012422</v>
      </c>
      <c r="AR165" s="595">
        <v>5678.1099547446665</v>
      </c>
      <c r="AS165" s="595">
        <v>14339.52435631658</v>
      </c>
      <c r="AT165" s="596">
        <v>77867.02206936045</v>
      </c>
      <c r="AU165" s="596">
        <v>283678.22855784558</v>
      </c>
      <c r="AV165" s="596">
        <v>312460.97491261794</v>
      </c>
      <c r="AW165" s="596">
        <v>346015.28901635227</v>
      </c>
      <c r="AX165" s="596">
        <v>389347.76963318029</v>
      </c>
      <c r="AY165" s="596">
        <v>666390.14586088178</v>
      </c>
      <c r="AZ165" s="597">
        <v>1145218</v>
      </c>
      <c r="BA165" s="571">
        <v>1594653.29</v>
      </c>
      <c r="BB165" s="570">
        <v>2301236</v>
      </c>
      <c r="BC165" s="571">
        <v>2922160.6188383219</v>
      </c>
      <c r="BD165" s="571">
        <v>3627656.3644161145</v>
      </c>
      <c r="BE165" s="571">
        <v>4445790</v>
      </c>
      <c r="BF165" s="571">
        <v>6655807.0130575281</v>
      </c>
      <c r="BG165" s="571">
        <v>7412940.8798577059</v>
      </c>
      <c r="BH165" s="571">
        <v>9036125.0363404732</v>
      </c>
      <c r="BI165" s="566">
        <v>9769199.6670047753</v>
      </c>
      <c r="BJ165" s="361">
        <v>11137924.764795229</v>
      </c>
      <c r="BK165" s="361">
        <v>13127638</v>
      </c>
      <c r="BL165" s="361">
        <v>15003370</v>
      </c>
      <c r="BM165" s="361">
        <v>15493723</v>
      </c>
      <c r="BN165" s="361">
        <v>15791406</v>
      </c>
      <c r="BO165" s="361">
        <v>15856232.695718668</v>
      </c>
      <c r="BP165" s="361">
        <v>18064658.552820474</v>
      </c>
      <c r="BQ165" s="361">
        <v>19629859.915872175</v>
      </c>
      <c r="BR165" s="361">
        <v>21142101.596557032</v>
      </c>
      <c r="BS165" s="361">
        <v>22887694.382107776</v>
      </c>
      <c r="BU165" s="40">
        <f t="shared" si="118"/>
        <v>0</v>
      </c>
      <c r="BV165" s="40">
        <f t="shared" si="117"/>
        <v>0</v>
      </c>
      <c r="BW165" s="40">
        <f t="shared" si="117"/>
        <v>0</v>
      </c>
      <c r="BX165" s="40">
        <f t="shared" si="117"/>
        <v>0</v>
      </c>
      <c r="BY165" s="40">
        <f t="shared" si="117"/>
        <v>0</v>
      </c>
      <c r="BZ165" s="40">
        <f t="shared" si="117"/>
        <v>0</v>
      </c>
      <c r="CA165" s="40">
        <f t="shared" si="117"/>
        <v>0</v>
      </c>
      <c r="CB165" s="40">
        <f t="shared" si="117"/>
        <v>0</v>
      </c>
      <c r="CC165" s="40">
        <f t="shared" si="117"/>
        <v>0</v>
      </c>
      <c r="CD165" s="40">
        <f t="shared" si="117"/>
        <v>0</v>
      </c>
      <c r="CO165" s="362"/>
      <c r="CP165" s="362"/>
      <c r="CQ165" s="362"/>
      <c r="CR165" s="362"/>
      <c r="CS165" s="362"/>
      <c r="CT165" s="362"/>
      <c r="CU165" s="362"/>
    </row>
    <row r="166" spans="2:99" s="361" customFormat="1">
      <c r="B166" s="166" t="s">
        <v>1803</v>
      </c>
      <c r="C166" s="361" t="s">
        <v>995</v>
      </c>
      <c r="AP166" s="596">
        <v>276.25</v>
      </c>
      <c r="AQ166" s="596">
        <v>323.10000000000002</v>
      </c>
      <c r="AR166" s="596">
        <v>390.46</v>
      </c>
      <c r="AS166" s="596">
        <v>238.7</v>
      </c>
      <c r="AT166" s="596">
        <v>3269.2</v>
      </c>
      <c r="AU166" s="596">
        <v>22004.28</v>
      </c>
      <c r="AV166" s="596">
        <v>32964.629999999997</v>
      </c>
      <c r="AW166" s="596">
        <v>24553.14</v>
      </c>
      <c r="AX166" s="596">
        <v>54992.07</v>
      </c>
      <c r="AY166" s="596">
        <v>95819.48</v>
      </c>
      <c r="AZ166" s="597">
        <v>105709</v>
      </c>
      <c r="BA166" s="571">
        <v>224075.891</v>
      </c>
      <c r="BB166" s="598">
        <v>268664</v>
      </c>
      <c r="BC166" s="559">
        <v>392008</v>
      </c>
      <c r="BD166" s="559">
        <v>429852.22557999997</v>
      </c>
      <c r="BE166" s="559">
        <v>453229.63868000003</v>
      </c>
      <c r="BF166" s="559">
        <v>550518</v>
      </c>
      <c r="BG166" s="559">
        <v>647591</v>
      </c>
      <c r="BH166" s="599">
        <v>661930</v>
      </c>
      <c r="BI166" s="566">
        <v>869224</v>
      </c>
      <c r="BJ166" s="361">
        <v>855092</v>
      </c>
      <c r="BK166" s="361">
        <v>1324240</v>
      </c>
      <c r="BL166" s="361">
        <v>1430305</v>
      </c>
      <c r="BM166" s="361">
        <v>1438404</v>
      </c>
      <c r="BN166" s="361">
        <v>1402731</v>
      </c>
      <c r="BO166" s="361">
        <v>1530200</v>
      </c>
      <c r="BP166" s="361">
        <v>1734600</v>
      </c>
      <c r="BQ166" s="361">
        <v>1890500</v>
      </c>
      <c r="BR166" s="361">
        <v>2026500</v>
      </c>
      <c r="BS166" s="361">
        <v>2173200</v>
      </c>
      <c r="BU166" s="40">
        <f t="shared" si="118"/>
        <v>0</v>
      </c>
      <c r="BV166" s="40">
        <f t="shared" si="117"/>
        <v>0</v>
      </c>
      <c r="BW166" s="40">
        <f t="shared" si="117"/>
        <v>0</v>
      </c>
      <c r="BX166" s="40">
        <f t="shared" si="117"/>
        <v>0</v>
      </c>
      <c r="BY166" s="40">
        <f t="shared" si="117"/>
        <v>0</v>
      </c>
      <c r="BZ166" s="40">
        <f t="shared" si="117"/>
        <v>0</v>
      </c>
      <c r="CA166" s="40">
        <f t="shared" si="117"/>
        <v>0</v>
      </c>
      <c r="CB166" s="40">
        <f t="shared" si="117"/>
        <v>0</v>
      </c>
      <c r="CC166" s="40">
        <f t="shared" si="117"/>
        <v>0</v>
      </c>
      <c r="CD166" s="40">
        <f t="shared" si="117"/>
        <v>0</v>
      </c>
      <c r="CO166" s="362"/>
      <c r="CP166" s="362"/>
      <c r="CQ166" s="362"/>
      <c r="CR166" s="362"/>
      <c r="CS166" s="362"/>
      <c r="CT166" s="362"/>
      <c r="CU166" s="362"/>
    </row>
    <row r="167" spans="2:99" s="361" customFormat="1">
      <c r="AP167" s="576"/>
      <c r="AQ167" s="576"/>
      <c r="AR167" s="576"/>
      <c r="AS167" s="576"/>
      <c r="AT167" s="577"/>
      <c r="AU167" s="576"/>
      <c r="AV167" s="576"/>
      <c r="AW167" s="576"/>
      <c r="AX167" s="577"/>
      <c r="AY167" s="576"/>
      <c r="AZ167" s="289"/>
      <c r="BA167" s="577"/>
      <c r="BB167" s="289"/>
      <c r="BC167" s="577"/>
      <c r="BD167" s="289"/>
      <c r="BE167" s="577"/>
      <c r="BF167" s="289"/>
      <c r="BG167" s="577"/>
      <c r="BH167" s="577"/>
      <c r="BI167" s="566"/>
      <c r="BU167" s="40">
        <f t="shared" si="118"/>
        <v>0</v>
      </c>
      <c r="BV167" s="40">
        <f t="shared" si="117"/>
        <v>0</v>
      </c>
      <c r="BW167" s="40">
        <f t="shared" si="117"/>
        <v>0</v>
      </c>
      <c r="BX167" s="40">
        <f t="shared" si="117"/>
        <v>0</v>
      </c>
      <c r="BY167" s="40">
        <f t="shared" si="117"/>
        <v>0</v>
      </c>
      <c r="BZ167" s="40">
        <f t="shared" si="117"/>
        <v>0</v>
      </c>
      <c r="CA167" s="40">
        <f t="shared" si="117"/>
        <v>0</v>
      </c>
      <c r="CB167" s="40">
        <f t="shared" si="117"/>
        <v>0</v>
      </c>
      <c r="CC167" s="40">
        <f t="shared" si="117"/>
        <v>0</v>
      </c>
      <c r="CD167" s="40">
        <f t="shared" si="117"/>
        <v>0</v>
      </c>
      <c r="CO167" s="362"/>
      <c r="CP167" s="362"/>
      <c r="CQ167" s="362"/>
      <c r="CR167" s="362"/>
      <c r="CS167" s="362"/>
      <c r="CT167" s="362"/>
      <c r="CU167" s="362"/>
    </row>
    <row r="168" spans="2:99" s="361" customFormat="1">
      <c r="B168" s="166" t="s">
        <v>87</v>
      </c>
      <c r="C168" s="361" t="s">
        <v>995</v>
      </c>
      <c r="AP168" s="600">
        <v>3884.0720836399923</v>
      </c>
      <c r="AQ168" s="600">
        <v>4480.7871088012425</v>
      </c>
      <c r="AR168" s="600">
        <v>6068.5699547446666</v>
      </c>
      <c r="AS168" s="600">
        <v>14578.224356316581</v>
      </c>
      <c r="AT168" s="601">
        <v>81136.222069360447</v>
      </c>
      <c r="AU168" s="600">
        <v>305682.50855784561</v>
      </c>
      <c r="AV168" s="600">
        <v>345425.60491261794</v>
      </c>
      <c r="AW168" s="600">
        <v>370568.86963927222</v>
      </c>
      <c r="AX168" s="601">
        <v>444339.83963318029</v>
      </c>
      <c r="AY168" s="600">
        <v>762209.62586088176</v>
      </c>
      <c r="AZ168" s="602">
        <v>1250927</v>
      </c>
      <c r="BA168" s="603">
        <v>1818729.1810000001</v>
      </c>
      <c r="BB168" s="604">
        <v>2569900</v>
      </c>
      <c r="BC168" s="603">
        <v>3314168.6188383219</v>
      </c>
      <c r="BD168" s="574">
        <v>4057508.5899961144</v>
      </c>
      <c r="BE168" s="574">
        <v>4899020</v>
      </c>
      <c r="BF168" s="574">
        <v>7206325.0130575281</v>
      </c>
      <c r="BG168" s="574">
        <v>8060531.8798577059</v>
      </c>
      <c r="BH168" s="574">
        <v>9698055.0363404732</v>
      </c>
      <c r="BI168" s="566">
        <v>10638423.667004775</v>
      </c>
      <c r="BJ168" s="361">
        <v>11993016.764795229</v>
      </c>
      <c r="BK168" s="361">
        <v>14451878</v>
      </c>
      <c r="BL168" s="361">
        <v>16433675</v>
      </c>
      <c r="BM168" s="361">
        <v>16932127</v>
      </c>
      <c r="BN168" s="361">
        <v>17194137</v>
      </c>
      <c r="BO168" s="361">
        <v>17386432.695718668</v>
      </c>
      <c r="BP168" s="361">
        <v>19799258.552820474</v>
      </c>
      <c r="BQ168" s="361">
        <v>21520359.915872175</v>
      </c>
      <c r="BR168" s="361">
        <v>23168601.596557032</v>
      </c>
      <c r="BS168" s="361">
        <v>25060894.382107776</v>
      </c>
      <c r="BU168" s="40">
        <f t="shared" si="118"/>
        <v>0</v>
      </c>
      <c r="BV168" s="40">
        <f t="shared" si="117"/>
        <v>0</v>
      </c>
      <c r="BW168" s="40">
        <f t="shared" si="117"/>
        <v>0</v>
      </c>
      <c r="BX168" s="40">
        <f t="shared" si="117"/>
        <v>0</v>
      </c>
      <c r="BY168" s="40">
        <f t="shared" si="117"/>
        <v>0</v>
      </c>
      <c r="BZ168" s="40">
        <f t="shared" si="117"/>
        <v>0</v>
      </c>
      <c r="CA168" s="40">
        <f t="shared" si="117"/>
        <v>0</v>
      </c>
      <c r="CB168" s="40">
        <f t="shared" si="117"/>
        <v>0</v>
      </c>
      <c r="CC168" s="40">
        <f t="shared" si="117"/>
        <v>0</v>
      </c>
      <c r="CD168" s="40">
        <f t="shared" si="117"/>
        <v>0</v>
      </c>
      <c r="CO168" s="362"/>
      <c r="CP168" s="362"/>
      <c r="CQ168" s="362"/>
      <c r="CR168" s="362"/>
      <c r="CS168" s="362"/>
      <c r="CT168" s="362"/>
      <c r="CU168" s="362"/>
    </row>
    <row r="169" spans="2:99" s="361" customFormat="1">
      <c r="B169" s="605"/>
      <c r="BU169" s="40">
        <f t="shared" si="118"/>
        <v>0</v>
      </c>
      <c r="BV169" s="40">
        <f t="shared" si="117"/>
        <v>0</v>
      </c>
      <c r="BW169" s="40">
        <f t="shared" si="117"/>
        <v>0</v>
      </c>
      <c r="BX169" s="40">
        <f t="shared" si="117"/>
        <v>0</v>
      </c>
      <c r="BY169" s="40">
        <f t="shared" si="117"/>
        <v>0</v>
      </c>
      <c r="BZ169" s="40">
        <f t="shared" si="117"/>
        <v>0</v>
      </c>
      <c r="CA169" s="40">
        <f t="shared" si="117"/>
        <v>0</v>
      </c>
      <c r="CB169" s="40">
        <f t="shared" si="117"/>
        <v>0</v>
      </c>
      <c r="CC169" s="40">
        <f t="shared" si="117"/>
        <v>0</v>
      </c>
      <c r="CD169" s="40">
        <f t="shared" si="117"/>
        <v>0</v>
      </c>
      <c r="CO169" s="362"/>
      <c r="CP169" s="362"/>
      <c r="CQ169" s="362"/>
      <c r="CR169" s="362"/>
      <c r="CS169" s="362"/>
      <c r="CT169" s="362"/>
      <c r="CU169" s="362"/>
    </row>
    <row r="170" spans="2:99" s="361" customFormat="1">
      <c r="B170" s="556" t="s">
        <v>1800</v>
      </c>
      <c r="BU170" s="40">
        <f t="shared" si="118"/>
        <v>0</v>
      </c>
      <c r="BV170" s="40">
        <f t="shared" si="117"/>
        <v>0</v>
      </c>
      <c r="BW170" s="40">
        <f t="shared" si="117"/>
        <v>0</v>
      </c>
      <c r="BX170" s="40">
        <f t="shared" si="117"/>
        <v>0</v>
      </c>
      <c r="BY170" s="40">
        <f t="shared" si="117"/>
        <v>0</v>
      </c>
      <c r="BZ170" s="40">
        <f t="shared" si="117"/>
        <v>0</v>
      </c>
      <c r="CA170" s="40">
        <f t="shared" si="117"/>
        <v>0</v>
      </c>
      <c r="CB170" s="40">
        <f t="shared" si="117"/>
        <v>0</v>
      </c>
      <c r="CC170" s="40">
        <f t="shared" si="117"/>
        <v>0</v>
      </c>
      <c r="CD170" s="40">
        <f t="shared" si="117"/>
        <v>0</v>
      </c>
      <c r="CO170" s="362"/>
      <c r="CP170" s="362"/>
      <c r="CQ170" s="362"/>
      <c r="CR170" s="362"/>
      <c r="CS170" s="362"/>
      <c r="CT170" s="362"/>
      <c r="CU170" s="362"/>
    </row>
    <row r="171" spans="2:99" s="361" customFormat="1">
      <c r="B171" s="166" t="s">
        <v>4321</v>
      </c>
      <c r="C171" s="361" t="s">
        <v>995</v>
      </c>
      <c r="AP171" s="606">
        <v>274.657195</v>
      </c>
      <c r="AQ171" s="606">
        <v>315.75440771957233</v>
      </c>
      <c r="AR171" s="606">
        <v>321.79853808751841</v>
      </c>
      <c r="AS171" s="606">
        <v>302.2151361853372</v>
      </c>
      <c r="AT171" s="565">
        <v>287.20927462931354</v>
      </c>
      <c r="AU171" s="606">
        <v>272.66540775984186</v>
      </c>
      <c r="AV171" s="606">
        <v>261.38940290305555</v>
      </c>
      <c r="AW171" s="606">
        <v>253.5183884175118</v>
      </c>
      <c r="AX171" s="606">
        <v>222.58369090881735</v>
      </c>
      <c r="AY171" s="606">
        <v>217</v>
      </c>
      <c r="AZ171" s="607">
        <v>218</v>
      </c>
      <c r="BA171" s="608">
        <v>237</v>
      </c>
      <c r="BB171" s="561">
        <v>214</v>
      </c>
      <c r="BC171" s="571">
        <v>224.72757286039354</v>
      </c>
      <c r="BD171" s="570">
        <v>236.96784236229058</v>
      </c>
      <c r="BE171" s="571">
        <v>231.16</v>
      </c>
      <c r="BF171" s="570">
        <v>457.07806115489393</v>
      </c>
      <c r="BG171" s="571">
        <v>529.37836841091234</v>
      </c>
      <c r="BH171" s="609">
        <v>517.92042194055443</v>
      </c>
      <c r="BI171" s="361">
        <v>706.68399999999997</v>
      </c>
      <c r="BJ171" s="361">
        <v>717.327</v>
      </c>
      <c r="BK171" s="361">
        <v>750.29700000000003</v>
      </c>
      <c r="BL171" s="361">
        <v>854.23699999999997</v>
      </c>
      <c r="BM171" s="361">
        <v>721.08299999999997</v>
      </c>
      <c r="BN171" s="361">
        <v>743.31</v>
      </c>
      <c r="BO171" s="361">
        <v>729.09959443389823</v>
      </c>
      <c r="BP171" s="361">
        <v>745.84498512448999</v>
      </c>
      <c r="BQ171" s="361">
        <v>772.7878653219268</v>
      </c>
      <c r="BR171" s="361">
        <v>801.44973367995397</v>
      </c>
      <c r="BS171" s="361">
        <v>822.11809446260884</v>
      </c>
      <c r="BU171" s="40">
        <f t="shared" si="118"/>
        <v>0</v>
      </c>
      <c r="BV171" s="40">
        <f t="shared" si="117"/>
        <v>0</v>
      </c>
      <c r="BW171" s="40">
        <f t="shared" si="117"/>
        <v>0</v>
      </c>
      <c r="BX171" s="40">
        <f t="shared" si="117"/>
        <v>0</v>
      </c>
      <c r="BY171" s="40">
        <f t="shared" si="117"/>
        <v>0</v>
      </c>
      <c r="BZ171" s="40">
        <f t="shared" si="117"/>
        <v>0</v>
      </c>
      <c r="CA171" s="40">
        <f t="shared" si="117"/>
        <v>0</v>
      </c>
      <c r="CB171" s="40">
        <f t="shared" si="117"/>
        <v>0</v>
      </c>
      <c r="CC171" s="40">
        <f t="shared" si="117"/>
        <v>0</v>
      </c>
      <c r="CD171" s="40">
        <f t="shared" si="117"/>
        <v>0</v>
      </c>
      <c r="CO171" s="362"/>
      <c r="CP171" s="362"/>
      <c r="CQ171" s="362"/>
      <c r="CR171" s="362"/>
      <c r="CS171" s="362"/>
      <c r="CT171" s="362"/>
      <c r="CU171" s="362"/>
    </row>
    <row r="172" spans="2:99" s="361" customFormat="1">
      <c r="B172" s="166" t="s">
        <v>4322</v>
      </c>
      <c r="C172" s="361" t="s">
        <v>995</v>
      </c>
      <c r="AP172" s="610">
        <v>39.450000000000003</v>
      </c>
      <c r="AQ172" s="611">
        <v>36.5</v>
      </c>
      <c r="AR172" s="611">
        <v>39.31</v>
      </c>
      <c r="AS172" s="611">
        <v>32.869999999999997</v>
      </c>
      <c r="AT172" s="599">
        <v>33.04</v>
      </c>
      <c r="AU172" s="611">
        <v>25.64</v>
      </c>
      <c r="AV172" s="611">
        <v>41.65</v>
      </c>
      <c r="AW172" s="611">
        <v>41.12</v>
      </c>
      <c r="AX172" s="611">
        <v>53.28</v>
      </c>
      <c r="AY172" s="611">
        <v>71</v>
      </c>
      <c r="AZ172" s="579">
        <v>87</v>
      </c>
      <c r="BA172" s="608">
        <v>103</v>
      </c>
      <c r="BB172" s="561">
        <v>113</v>
      </c>
      <c r="BC172" s="571">
        <v>113.91</v>
      </c>
      <c r="BD172" s="570">
        <v>104.96</v>
      </c>
      <c r="BE172" s="568">
        <v>94</v>
      </c>
      <c r="BF172" s="569">
        <v>319.07181960394564</v>
      </c>
      <c r="BG172" s="571">
        <v>289.00469422335942</v>
      </c>
      <c r="BH172" s="609">
        <v>224.7607857065631</v>
      </c>
      <c r="BI172" s="361">
        <v>268.95807257579594</v>
      </c>
      <c r="BJ172" s="361">
        <v>287.27486380817396</v>
      </c>
      <c r="BK172" s="361">
        <v>298.89800000000002</v>
      </c>
      <c r="BL172" s="361">
        <v>302.36500000000001</v>
      </c>
      <c r="BM172" s="361">
        <v>281.71899999999999</v>
      </c>
      <c r="BN172" s="361">
        <v>332.16199999999998</v>
      </c>
      <c r="BO172" s="361">
        <v>338.80523999999997</v>
      </c>
      <c r="BP172" s="361">
        <v>345.58134480000001</v>
      </c>
      <c r="BQ172" s="361">
        <v>352.49297169600004</v>
      </c>
      <c r="BR172" s="361">
        <v>359.54283112992005</v>
      </c>
      <c r="BS172" s="361">
        <v>366.73368775251845</v>
      </c>
      <c r="BU172" s="40">
        <f t="shared" si="118"/>
        <v>0</v>
      </c>
      <c r="BV172" s="40">
        <f t="shared" si="117"/>
        <v>0</v>
      </c>
      <c r="BW172" s="40">
        <f t="shared" si="117"/>
        <v>0</v>
      </c>
      <c r="BX172" s="40">
        <f t="shared" si="117"/>
        <v>0</v>
      </c>
      <c r="BY172" s="40">
        <f t="shared" si="117"/>
        <v>0</v>
      </c>
      <c r="BZ172" s="40">
        <f t="shared" si="117"/>
        <v>0</v>
      </c>
      <c r="CA172" s="40">
        <f t="shared" si="117"/>
        <v>0</v>
      </c>
      <c r="CB172" s="40">
        <f t="shared" si="117"/>
        <v>0</v>
      </c>
      <c r="CC172" s="40">
        <f t="shared" si="117"/>
        <v>0</v>
      </c>
      <c r="CD172" s="40">
        <f t="shared" si="117"/>
        <v>0</v>
      </c>
      <c r="CO172" s="362"/>
      <c r="CP172" s="362"/>
      <c r="CQ172" s="362"/>
      <c r="CR172" s="362"/>
      <c r="CS172" s="362"/>
      <c r="CT172" s="362"/>
      <c r="CU172" s="362"/>
    </row>
    <row r="173" spans="2:99" s="361" customFormat="1">
      <c r="B173" s="166" t="s">
        <v>4323</v>
      </c>
      <c r="C173" s="361" t="s">
        <v>995</v>
      </c>
      <c r="AP173" s="610">
        <v>139.42410913157852</v>
      </c>
      <c r="AQ173" s="611">
        <v>135</v>
      </c>
      <c r="AR173" s="611">
        <v>133.82339315951887</v>
      </c>
      <c r="AS173" s="611">
        <v>131.23175306438242</v>
      </c>
      <c r="AT173" s="599">
        <v>149.96784274704865</v>
      </c>
      <c r="AU173" s="611">
        <v>152.36084971030925</v>
      </c>
      <c r="AV173" s="611">
        <v>160.49891676096357</v>
      </c>
      <c r="AW173" s="611">
        <v>180.05964131091295</v>
      </c>
      <c r="AX173" s="611">
        <v>191.8465571715212</v>
      </c>
      <c r="AY173" s="611">
        <v>202.4696774764902</v>
      </c>
      <c r="AZ173" s="579">
        <v>184</v>
      </c>
      <c r="BA173" s="608">
        <v>230</v>
      </c>
      <c r="BB173" s="561">
        <v>211</v>
      </c>
      <c r="BC173" s="571">
        <v>211.54315827043894</v>
      </c>
      <c r="BD173" s="570">
        <v>275.46118319168835</v>
      </c>
      <c r="BE173" s="568">
        <v>322</v>
      </c>
      <c r="BF173" s="569">
        <v>521.57987590548157</v>
      </c>
      <c r="BG173" s="571">
        <v>583.04621313622442</v>
      </c>
      <c r="BH173" s="609">
        <v>607.30112890158625</v>
      </c>
      <c r="BI173" s="361">
        <v>526.44166224086905</v>
      </c>
      <c r="BJ173" s="361">
        <v>553.99400000000003</v>
      </c>
      <c r="BK173" s="361">
        <v>629.93200000000002</v>
      </c>
      <c r="BL173" s="361">
        <v>649.28399999999999</v>
      </c>
      <c r="BM173" s="361">
        <v>633.70600000000002</v>
      </c>
      <c r="BN173" s="361">
        <v>606.37300000000005</v>
      </c>
      <c r="BO173" s="361">
        <v>582.63051661554448</v>
      </c>
      <c r="BP173" s="361">
        <v>613.90783348181674</v>
      </c>
      <c r="BQ173" s="361">
        <v>715.99557415369429</v>
      </c>
      <c r="BR173" s="361">
        <v>716.72926062062595</v>
      </c>
      <c r="BS173" s="361">
        <v>717.21838493191387</v>
      </c>
      <c r="BU173" s="40">
        <f t="shared" si="118"/>
        <v>0</v>
      </c>
      <c r="BV173" s="40">
        <f t="shared" si="117"/>
        <v>0</v>
      </c>
      <c r="BW173" s="40">
        <f t="shared" si="117"/>
        <v>0</v>
      </c>
      <c r="BX173" s="40">
        <f t="shared" si="117"/>
        <v>0</v>
      </c>
      <c r="BY173" s="40">
        <f t="shared" si="117"/>
        <v>0</v>
      </c>
      <c r="BZ173" s="40">
        <f t="shared" si="117"/>
        <v>0</v>
      </c>
      <c r="CA173" s="40">
        <f t="shared" si="117"/>
        <v>0</v>
      </c>
      <c r="CB173" s="40">
        <f t="shared" si="117"/>
        <v>0</v>
      </c>
      <c r="CC173" s="40">
        <f t="shared" si="117"/>
        <v>0</v>
      </c>
      <c r="CD173" s="40">
        <f t="shared" si="117"/>
        <v>0</v>
      </c>
      <c r="CO173" s="362"/>
      <c r="CP173" s="362"/>
      <c r="CQ173" s="362"/>
      <c r="CR173" s="362"/>
      <c r="CS173" s="362"/>
      <c r="CT173" s="362"/>
      <c r="CU173" s="362"/>
    </row>
    <row r="174" spans="2:99" s="361" customFormat="1">
      <c r="B174" s="166" t="s">
        <v>4324</v>
      </c>
      <c r="C174" s="361" t="s">
        <v>995</v>
      </c>
      <c r="AP174" s="610">
        <v>371.41</v>
      </c>
      <c r="AQ174" s="611">
        <v>382</v>
      </c>
      <c r="AR174" s="611">
        <v>324.40250260201947</v>
      </c>
      <c r="AS174" s="611">
        <v>258.74873034070856</v>
      </c>
      <c r="AT174" s="599">
        <v>266.01560358683321</v>
      </c>
      <c r="AU174" s="611">
        <v>261.60753871340842</v>
      </c>
      <c r="AV174" s="611">
        <v>274.08138549194109</v>
      </c>
      <c r="AW174" s="611">
        <v>274.76224941629164</v>
      </c>
      <c r="AX174" s="611">
        <v>280.65829169889258</v>
      </c>
      <c r="AY174" s="611">
        <v>255.52552060101402</v>
      </c>
      <c r="AZ174" s="579">
        <v>409</v>
      </c>
      <c r="BA174" s="608">
        <v>460</v>
      </c>
      <c r="BB174" s="561">
        <v>443</v>
      </c>
      <c r="BC174" s="571">
        <v>467.54177582993714</v>
      </c>
      <c r="BD174" s="570">
        <v>518</v>
      </c>
      <c r="BE174" s="568">
        <v>571</v>
      </c>
      <c r="BF174" s="569">
        <v>1857.4528216223175</v>
      </c>
      <c r="BG174" s="571">
        <v>1892.9826766140648</v>
      </c>
      <c r="BH174" s="609">
        <v>2067.4596533607996</v>
      </c>
      <c r="BI174" s="361">
        <v>1830.2944453760124</v>
      </c>
      <c r="BJ174" s="361">
        <v>2050.0120000000002</v>
      </c>
      <c r="BK174" s="361">
        <v>2086.4409999999998</v>
      </c>
      <c r="BL174" s="361">
        <v>1708.2329999999999</v>
      </c>
      <c r="BM174" s="361">
        <v>1857.02</v>
      </c>
      <c r="BN174" s="361">
        <v>1647.9</v>
      </c>
      <c r="BO174" s="361">
        <v>1721.1838156714568</v>
      </c>
      <c r="BP174" s="361">
        <v>1791.5859063264447</v>
      </c>
      <c r="BQ174" s="361">
        <v>2035.3742267243711</v>
      </c>
      <c r="BR174" s="361">
        <v>2077.1456322796021</v>
      </c>
      <c r="BS174" s="361">
        <v>2077.4582934884361</v>
      </c>
      <c r="BU174" s="40">
        <f t="shared" si="118"/>
        <v>0</v>
      </c>
      <c r="BV174" s="40">
        <f t="shared" si="117"/>
        <v>0</v>
      </c>
      <c r="BW174" s="40">
        <f t="shared" si="117"/>
        <v>0</v>
      </c>
      <c r="BX174" s="40">
        <f t="shared" si="117"/>
        <v>0</v>
      </c>
      <c r="BY174" s="40">
        <f t="shared" si="117"/>
        <v>0</v>
      </c>
      <c r="BZ174" s="40">
        <f t="shared" si="117"/>
        <v>0</v>
      </c>
      <c r="CA174" s="40">
        <f t="shared" si="117"/>
        <v>0</v>
      </c>
      <c r="CB174" s="40">
        <f t="shared" si="117"/>
        <v>0</v>
      </c>
      <c r="CC174" s="40">
        <f t="shared" si="117"/>
        <v>0</v>
      </c>
      <c r="CD174" s="40">
        <f t="shared" si="117"/>
        <v>0</v>
      </c>
      <c r="CO174" s="362"/>
      <c r="CP174" s="362"/>
      <c r="CQ174" s="362"/>
      <c r="CR174" s="362"/>
      <c r="CS174" s="362"/>
      <c r="CT174" s="362"/>
      <c r="CU174" s="362"/>
    </row>
    <row r="175" spans="2:99" s="361" customFormat="1">
      <c r="B175" s="166" t="s">
        <v>4325</v>
      </c>
      <c r="C175" s="361" t="s">
        <v>995</v>
      </c>
      <c r="AP175" s="610">
        <v>169.74</v>
      </c>
      <c r="AQ175" s="611">
        <v>170</v>
      </c>
      <c r="AR175" s="611">
        <v>182.57781365633744</v>
      </c>
      <c r="AS175" s="611">
        <v>177.68280758251888</v>
      </c>
      <c r="AT175" s="599">
        <v>165.15709456117989</v>
      </c>
      <c r="AU175" s="611">
        <v>173.97346731523189</v>
      </c>
      <c r="AV175" s="611">
        <v>187.97303034095415</v>
      </c>
      <c r="AW175" s="611">
        <v>194.09048055214978</v>
      </c>
      <c r="AX175" s="611">
        <v>207.89556006758156</v>
      </c>
      <c r="AY175" s="611">
        <v>196.30826586109282</v>
      </c>
      <c r="AZ175" s="579">
        <v>181</v>
      </c>
      <c r="BA175" s="608">
        <v>190</v>
      </c>
      <c r="BB175" s="561">
        <v>212</v>
      </c>
      <c r="BC175" s="571">
        <v>209.26</v>
      </c>
      <c r="BD175" s="570">
        <v>230.4</v>
      </c>
      <c r="BE175" s="568">
        <v>237.52</v>
      </c>
      <c r="BF175" s="569">
        <v>126.10167254813473</v>
      </c>
      <c r="BG175" s="571">
        <v>132.32119023630744</v>
      </c>
      <c r="BH175" s="609">
        <v>144.50936772846356</v>
      </c>
      <c r="BI175" s="361">
        <v>142.46797126723493</v>
      </c>
      <c r="BJ175" s="361">
        <v>142.79499999999999</v>
      </c>
      <c r="BK175" s="361">
        <v>164.19200000000001</v>
      </c>
      <c r="BL175" s="361">
        <v>166.077</v>
      </c>
      <c r="BM175" s="361">
        <v>179.01300000000001</v>
      </c>
      <c r="BN175" s="361">
        <v>175.214</v>
      </c>
      <c r="BO175" s="361">
        <v>179.06870800000002</v>
      </c>
      <c r="BP175" s="361">
        <v>183.90356311600002</v>
      </c>
      <c r="BQ175" s="361">
        <v>189.604573572596</v>
      </c>
      <c r="BR175" s="361">
        <v>197.3783610890724</v>
      </c>
      <c r="BS175" s="361">
        <v>205.47087389372436</v>
      </c>
      <c r="BU175" s="40">
        <f t="shared" si="118"/>
        <v>0</v>
      </c>
      <c r="BV175" s="40">
        <f t="shared" si="117"/>
        <v>0</v>
      </c>
      <c r="BW175" s="40">
        <f t="shared" si="117"/>
        <v>0</v>
      </c>
      <c r="BX175" s="40">
        <f t="shared" si="117"/>
        <v>0</v>
      </c>
      <c r="BY175" s="40">
        <f t="shared" si="117"/>
        <v>0</v>
      </c>
      <c r="BZ175" s="40">
        <f t="shared" si="117"/>
        <v>0</v>
      </c>
      <c r="CA175" s="40">
        <f t="shared" si="117"/>
        <v>0</v>
      </c>
      <c r="CB175" s="40">
        <f t="shared" si="117"/>
        <v>0</v>
      </c>
      <c r="CC175" s="40">
        <f t="shared" si="117"/>
        <v>0</v>
      </c>
      <c r="CD175" s="40">
        <f t="shared" si="117"/>
        <v>0</v>
      </c>
      <c r="CO175" s="362"/>
      <c r="CP175" s="362"/>
      <c r="CQ175" s="362"/>
      <c r="CR175" s="362"/>
      <c r="CS175" s="362"/>
      <c r="CT175" s="362"/>
      <c r="CU175" s="362"/>
    </row>
    <row r="176" spans="2:99" s="361" customFormat="1">
      <c r="B176" s="166" t="s">
        <v>1820</v>
      </c>
      <c r="C176" s="361" t="s">
        <v>995</v>
      </c>
      <c r="AP176" s="610">
        <v>193.38</v>
      </c>
      <c r="AQ176" s="611">
        <v>198.35281675749317</v>
      </c>
      <c r="AR176" s="611">
        <v>235.99473433242505</v>
      </c>
      <c r="AS176" s="611">
        <v>213.27126702997276</v>
      </c>
      <c r="AT176" s="599">
        <v>221.47147479564032</v>
      </c>
      <c r="AU176" s="611">
        <v>208.36431539509539</v>
      </c>
      <c r="AV176" s="611">
        <v>222.65704700272479</v>
      </c>
      <c r="AW176" s="611">
        <v>176.78198910081744</v>
      </c>
      <c r="AX176" s="611">
        <v>206.12490122615807</v>
      </c>
      <c r="AY176" s="611">
        <v>175.69521457765669</v>
      </c>
      <c r="AZ176" s="579">
        <v>155</v>
      </c>
      <c r="BA176" s="608">
        <v>162</v>
      </c>
      <c r="BB176" s="561">
        <v>163</v>
      </c>
      <c r="BC176" s="571">
        <v>190.7</v>
      </c>
      <c r="BD176" s="570">
        <v>210</v>
      </c>
      <c r="BE176" s="571">
        <v>228.3</v>
      </c>
      <c r="BF176" s="570">
        <v>368.39831073206545</v>
      </c>
      <c r="BG176" s="571">
        <v>379.86043849105056</v>
      </c>
      <c r="BH176" s="609">
        <v>410.50209430739159</v>
      </c>
      <c r="BI176" s="361">
        <v>440.22</v>
      </c>
      <c r="BJ176" s="361">
        <v>397.05500000000001</v>
      </c>
      <c r="BK176" s="361">
        <v>443.33300000000003</v>
      </c>
      <c r="BL176" s="361">
        <v>495.58100000000002</v>
      </c>
      <c r="BM176" s="361">
        <v>542.26599999999996</v>
      </c>
      <c r="BN176" s="361">
        <v>669.66399999999999</v>
      </c>
      <c r="BO176" s="361">
        <v>721.89779199999998</v>
      </c>
      <c r="BP176" s="361">
        <v>749.32990809600005</v>
      </c>
      <c r="BQ176" s="361">
        <v>768.13808878920963</v>
      </c>
      <c r="BR176" s="361">
        <v>802.70430278472395</v>
      </c>
      <c r="BS176" s="361">
        <v>857.28819537408526</v>
      </c>
      <c r="BU176" s="40">
        <f t="shared" si="118"/>
        <v>0</v>
      </c>
      <c r="BV176" s="40">
        <f t="shared" si="117"/>
        <v>0</v>
      </c>
      <c r="BW176" s="40">
        <f t="shared" si="117"/>
        <v>0</v>
      </c>
      <c r="BX176" s="40">
        <f t="shared" si="117"/>
        <v>0</v>
      </c>
      <c r="BY176" s="40">
        <f t="shared" si="117"/>
        <v>0</v>
      </c>
      <c r="BZ176" s="40">
        <f t="shared" si="117"/>
        <v>0</v>
      </c>
      <c r="CA176" s="40">
        <f t="shared" si="117"/>
        <v>0</v>
      </c>
      <c r="CB176" s="40">
        <f t="shared" si="117"/>
        <v>0</v>
      </c>
      <c r="CC176" s="40">
        <f t="shared" si="117"/>
        <v>0</v>
      </c>
      <c r="CD176" s="40">
        <f t="shared" si="117"/>
        <v>0</v>
      </c>
      <c r="CO176" s="362"/>
      <c r="CP176" s="362"/>
      <c r="CQ176" s="362"/>
      <c r="CR176" s="362"/>
      <c r="CS176" s="362"/>
      <c r="CT176" s="362"/>
      <c r="CU176" s="362"/>
    </row>
    <row r="177" spans="2:99" s="361" customFormat="1">
      <c r="B177" s="166" t="s">
        <v>1821</v>
      </c>
      <c r="C177" s="361" t="s">
        <v>995</v>
      </c>
      <c r="AP177" s="610">
        <v>549.20000000000005</v>
      </c>
      <c r="AQ177" s="611">
        <v>573.09</v>
      </c>
      <c r="AR177" s="611">
        <v>599.35</v>
      </c>
      <c r="AS177" s="611">
        <v>552.70000000000005</v>
      </c>
      <c r="AT177" s="599">
        <v>474.55</v>
      </c>
      <c r="AU177" s="611">
        <v>564.82000000000005</v>
      </c>
      <c r="AV177" s="611">
        <v>504.22</v>
      </c>
      <c r="AW177" s="611">
        <v>561.86</v>
      </c>
      <c r="AX177" s="611">
        <v>571.05999999999995</v>
      </c>
      <c r="AY177" s="611">
        <v>514.25</v>
      </c>
      <c r="AZ177" s="579">
        <v>440</v>
      </c>
      <c r="BA177" s="608">
        <v>367</v>
      </c>
      <c r="BB177" s="561">
        <v>394</v>
      </c>
      <c r="BC177" s="571">
        <v>523.9</v>
      </c>
      <c r="BD177" s="570">
        <v>570</v>
      </c>
      <c r="BE177" s="571">
        <v>620</v>
      </c>
      <c r="BF177" s="570">
        <v>1209.4215498213414</v>
      </c>
      <c r="BG177" s="571">
        <v>1293.9192283969578</v>
      </c>
      <c r="BH177" s="609">
        <v>1324.5878909700014</v>
      </c>
      <c r="BI177" s="361">
        <v>1587.845</v>
      </c>
      <c r="BJ177" s="361">
        <v>1659.079</v>
      </c>
      <c r="BK177" s="361">
        <v>1707.691</v>
      </c>
      <c r="BL177" s="361">
        <v>1793.075</v>
      </c>
      <c r="BM177" s="361">
        <v>1885.116</v>
      </c>
      <c r="BN177" s="361">
        <v>1997.6489999999999</v>
      </c>
      <c r="BO177" s="361">
        <v>2067.5667149999999</v>
      </c>
      <c r="BP177" s="361">
        <v>2110.9856160149998</v>
      </c>
      <c r="BQ177" s="361">
        <v>2167.9822276474047</v>
      </c>
      <c r="BR177" s="361">
        <v>2291.5572146233062</v>
      </c>
      <c r="BS177" s="361">
        <v>2413.0097469983411</v>
      </c>
      <c r="BU177" s="40">
        <f t="shared" si="118"/>
        <v>0</v>
      </c>
      <c r="BV177" s="40">
        <f t="shared" si="117"/>
        <v>0</v>
      </c>
      <c r="BW177" s="40">
        <f t="shared" si="117"/>
        <v>0</v>
      </c>
      <c r="BX177" s="40">
        <f t="shared" si="117"/>
        <v>0</v>
      </c>
      <c r="BY177" s="40">
        <f t="shared" si="117"/>
        <v>0</v>
      </c>
      <c r="BZ177" s="40">
        <f t="shared" si="117"/>
        <v>0</v>
      </c>
      <c r="CA177" s="40">
        <f t="shared" si="117"/>
        <v>0</v>
      </c>
      <c r="CB177" s="40">
        <f t="shared" si="117"/>
        <v>0</v>
      </c>
      <c r="CC177" s="40">
        <f t="shared" si="117"/>
        <v>0</v>
      </c>
      <c r="CD177" s="40">
        <f t="shared" si="117"/>
        <v>0</v>
      </c>
      <c r="CO177" s="362"/>
      <c r="CP177" s="362"/>
      <c r="CQ177" s="362"/>
      <c r="CR177" s="362"/>
      <c r="CS177" s="362"/>
      <c r="CT177" s="362"/>
      <c r="CU177" s="362"/>
    </row>
    <row r="178" spans="2:99" s="361" customFormat="1">
      <c r="B178" s="166" t="s">
        <v>1822</v>
      </c>
      <c r="C178" s="361" t="s">
        <v>995</v>
      </c>
      <c r="AP178" s="610">
        <v>23.31</v>
      </c>
      <c r="AQ178" s="611">
        <v>21.197854758997632</v>
      </c>
      <c r="AR178" s="611">
        <v>22.096574962490592</v>
      </c>
      <c r="AS178" s="611">
        <v>36.352000000000004</v>
      </c>
      <c r="AT178" s="599">
        <v>30.504666666666665</v>
      </c>
      <c r="AU178" s="611">
        <v>32.275172664993207</v>
      </c>
      <c r="AV178" s="611">
        <v>57.277172130326257</v>
      </c>
      <c r="AW178" s="611">
        <v>62.501741382846205</v>
      </c>
      <c r="AX178" s="611">
        <v>66.73517778707992</v>
      </c>
      <c r="AY178" s="611">
        <v>87.662285770137274</v>
      </c>
      <c r="AZ178" s="579">
        <v>67</v>
      </c>
      <c r="BA178" s="608">
        <v>66</v>
      </c>
      <c r="BB178" s="561">
        <v>76</v>
      </c>
      <c r="BC178" s="571">
        <v>96.7</v>
      </c>
      <c r="BD178" s="570">
        <v>106.1</v>
      </c>
      <c r="BE178" s="571">
        <v>135</v>
      </c>
      <c r="BF178" s="570">
        <v>198.97751555634306</v>
      </c>
      <c r="BG178" s="571">
        <v>197.26826109106065</v>
      </c>
      <c r="BH178" s="609">
        <v>202.57307252403655</v>
      </c>
      <c r="BI178" s="361">
        <v>210.37199543920019</v>
      </c>
      <c r="BJ178" s="361">
        <v>252.982</v>
      </c>
      <c r="BK178" s="361">
        <v>261.53100000000001</v>
      </c>
      <c r="BL178" s="361">
        <v>274.113</v>
      </c>
      <c r="BM178" s="361">
        <v>284.45999999999998</v>
      </c>
      <c r="BN178" s="361">
        <v>317.22500000000002</v>
      </c>
      <c r="BO178" s="361">
        <v>327.05897499999998</v>
      </c>
      <c r="BP178" s="361">
        <v>333.92721347499992</v>
      </c>
      <c r="BQ178" s="361">
        <v>340.93968495797486</v>
      </c>
      <c r="BR178" s="361">
        <v>356.96385015099969</v>
      </c>
      <c r="BS178" s="361">
        <v>375.16900650870059</v>
      </c>
      <c r="BU178" s="40">
        <f t="shared" si="118"/>
        <v>0</v>
      </c>
      <c r="BV178" s="40">
        <f t="shared" ref="BV178:CD193" si="119">BU178</f>
        <v>0</v>
      </c>
      <c r="BW178" s="40">
        <f t="shared" si="119"/>
        <v>0</v>
      </c>
      <c r="BX178" s="40">
        <f t="shared" si="119"/>
        <v>0</v>
      </c>
      <c r="BY178" s="40">
        <f t="shared" si="119"/>
        <v>0</v>
      </c>
      <c r="BZ178" s="40">
        <f t="shared" si="119"/>
        <v>0</v>
      </c>
      <c r="CA178" s="40">
        <f t="shared" si="119"/>
        <v>0</v>
      </c>
      <c r="CB178" s="40">
        <f t="shared" si="119"/>
        <v>0</v>
      </c>
      <c r="CC178" s="40">
        <f t="shared" si="119"/>
        <v>0</v>
      </c>
      <c r="CD178" s="40">
        <f t="shared" si="119"/>
        <v>0</v>
      </c>
      <c r="CO178" s="362"/>
      <c r="CP178" s="362"/>
      <c r="CQ178" s="362"/>
      <c r="CR178" s="362"/>
      <c r="CS178" s="362"/>
      <c r="CT178" s="362"/>
      <c r="CU178" s="362"/>
    </row>
    <row r="179" spans="2:99" s="361" customFormat="1">
      <c r="B179" s="166" t="s">
        <v>78</v>
      </c>
      <c r="C179" s="361" t="s">
        <v>995</v>
      </c>
      <c r="AP179" s="610">
        <v>180.2</v>
      </c>
      <c r="AQ179" s="611">
        <v>185.52493014939236</v>
      </c>
      <c r="AR179" s="611">
        <v>183.72284983133699</v>
      </c>
      <c r="AS179" s="611">
        <v>198.13461609820604</v>
      </c>
      <c r="AT179" s="599">
        <v>197.2824927524122</v>
      </c>
      <c r="AU179" s="611">
        <v>218.40754014714082</v>
      </c>
      <c r="AV179" s="611">
        <v>242.13103262061853</v>
      </c>
      <c r="AW179" s="611">
        <v>258.35170798405323</v>
      </c>
      <c r="AX179" s="611">
        <v>272.75447219649595</v>
      </c>
      <c r="AY179" s="611">
        <v>277.78982433463221</v>
      </c>
      <c r="AZ179" s="579">
        <v>347</v>
      </c>
      <c r="BA179" s="608">
        <v>447</v>
      </c>
      <c r="BB179" s="561">
        <v>502</v>
      </c>
      <c r="BC179" s="571">
        <v>517.07000000000005</v>
      </c>
      <c r="BD179" s="570">
        <v>557.01781582856029</v>
      </c>
      <c r="BE179" s="571">
        <v>600.89972437314407</v>
      </c>
      <c r="BF179" s="570">
        <v>459.26920972211127</v>
      </c>
      <c r="BG179" s="571">
        <v>475.88646258936041</v>
      </c>
      <c r="BH179" s="609">
        <v>563.78525369270596</v>
      </c>
      <c r="BI179" s="361">
        <v>561.64237824545864</v>
      </c>
      <c r="BJ179" s="361">
        <v>588.76800000000003</v>
      </c>
      <c r="BK179" s="361">
        <v>613.98800000000006</v>
      </c>
      <c r="BL179" s="361">
        <v>644.35900000000004</v>
      </c>
      <c r="BM179" s="361">
        <v>684.01</v>
      </c>
      <c r="BN179" s="361">
        <v>728.88300000000004</v>
      </c>
      <c r="BO179" s="361">
        <v>745.79308560000015</v>
      </c>
      <c r="BP179" s="361">
        <v>761.45474039759995</v>
      </c>
      <c r="BQ179" s="361">
        <v>785.05983734992549</v>
      </c>
      <c r="BR179" s="361">
        <v>824.31282921742184</v>
      </c>
      <c r="BS179" s="361">
        <v>874.59591179968447</v>
      </c>
      <c r="BU179" s="40">
        <f t="shared" si="118"/>
        <v>0</v>
      </c>
      <c r="BV179" s="40">
        <f t="shared" si="119"/>
        <v>0</v>
      </c>
      <c r="BW179" s="40">
        <f t="shared" si="119"/>
        <v>0</v>
      </c>
      <c r="BX179" s="40">
        <f t="shared" si="119"/>
        <v>0</v>
      </c>
      <c r="BY179" s="40">
        <f t="shared" si="119"/>
        <v>0</v>
      </c>
      <c r="BZ179" s="40">
        <f t="shared" si="119"/>
        <v>0</v>
      </c>
      <c r="CA179" s="40">
        <f t="shared" si="119"/>
        <v>0</v>
      </c>
      <c r="CB179" s="40">
        <f t="shared" si="119"/>
        <v>0</v>
      </c>
      <c r="CC179" s="40">
        <f t="shared" si="119"/>
        <v>0</v>
      </c>
      <c r="CD179" s="40">
        <f t="shared" si="119"/>
        <v>0</v>
      </c>
      <c r="CO179" s="362"/>
      <c r="CP179" s="362"/>
      <c r="CQ179" s="362"/>
      <c r="CR179" s="362"/>
      <c r="CS179" s="362"/>
      <c r="CT179" s="362"/>
      <c r="CU179" s="362"/>
    </row>
    <row r="180" spans="2:99" s="361" customFormat="1">
      <c r="B180" s="166" t="s">
        <v>79</v>
      </c>
      <c r="C180" s="361" t="s">
        <v>995</v>
      </c>
      <c r="AP180" s="610">
        <v>290.54000000000002</v>
      </c>
      <c r="AQ180" s="611">
        <v>293.16782357194506</v>
      </c>
      <c r="AR180" s="611">
        <v>298.93279826464209</v>
      </c>
      <c r="AS180" s="611">
        <v>305.10315979754159</v>
      </c>
      <c r="AT180" s="599">
        <v>315.53198120028924</v>
      </c>
      <c r="AU180" s="611">
        <v>310.9286261749819</v>
      </c>
      <c r="AV180" s="611">
        <v>326.90080260303688</v>
      </c>
      <c r="AW180" s="611">
        <v>311.18851048445407</v>
      </c>
      <c r="AX180" s="611">
        <v>315.43155459146783</v>
      </c>
      <c r="AY180" s="611">
        <v>302.1114967462039</v>
      </c>
      <c r="AZ180" s="579">
        <v>296</v>
      </c>
      <c r="BA180" s="608">
        <v>294</v>
      </c>
      <c r="BB180" s="561">
        <v>309</v>
      </c>
      <c r="BC180" s="571">
        <v>319.58363787984501</v>
      </c>
      <c r="BD180" s="570">
        <v>348.42806210688826</v>
      </c>
      <c r="BE180" s="571">
        <v>373.7</v>
      </c>
      <c r="BF180" s="570">
        <v>384.56012384419699</v>
      </c>
      <c r="BG180" s="571">
        <v>419.51685651067174</v>
      </c>
      <c r="BH180" s="609">
        <v>418.78913642954006</v>
      </c>
      <c r="BI180" s="361">
        <v>436.875744802935</v>
      </c>
      <c r="BJ180" s="361">
        <v>464.05099999999999</v>
      </c>
      <c r="BK180" s="361">
        <v>499.11900000000003</v>
      </c>
      <c r="BL180" s="361">
        <v>556.73599999999999</v>
      </c>
      <c r="BM180" s="361">
        <v>587.44299999999998</v>
      </c>
      <c r="BN180" s="361">
        <v>571.52099999999996</v>
      </c>
      <c r="BO180" s="361">
        <v>576.66468899999995</v>
      </c>
      <c r="BP180" s="361">
        <v>583.00800057899983</v>
      </c>
      <c r="BQ180" s="361">
        <v>595.25116859115883</v>
      </c>
      <c r="BR180" s="361">
        <v>616.68021066044048</v>
      </c>
      <c r="BS180" s="361">
        <v>646.28086077214175</v>
      </c>
      <c r="BU180" s="40">
        <f t="shared" si="118"/>
        <v>0</v>
      </c>
      <c r="BV180" s="40">
        <f t="shared" si="119"/>
        <v>0</v>
      </c>
      <c r="BW180" s="40">
        <f t="shared" si="119"/>
        <v>0</v>
      </c>
      <c r="BX180" s="40">
        <f t="shared" si="119"/>
        <v>0</v>
      </c>
      <c r="BY180" s="40">
        <f t="shared" si="119"/>
        <v>0</v>
      </c>
      <c r="BZ180" s="40">
        <f t="shared" si="119"/>
        <v>0</v>
      </c>
      <c r="CA180" s="40">
        <f t="shared" si="119"/>
        <v>0</v>
      </c>
      <c r="CB180" s="40">
        <f t="shared" si="119"/>
        <v>0</v>
      </c>
      <c r="CC180" s="40">
        <f t="shared" si="119"/>
        <v>0</v>
      </c>
      <c r="CD180" s="40">
        <f t="shared" si="119"/>
        <v>0</v>
      </c>
      <c r="CO180" s="362"/>
      <c r="CP180" s="362"/>
      <c r="CQ180" s="362"/>
      <c r="CR180" s="362"/>
      <c r="CS180" s="362"/>
      <c r="CT180" s="362"/>
      <c r="CU180" s="362"/>
    </row>
    <row r="181" spans="2:99" s="361" customFormat="1">
      <c r="B181" s="166" t="s">
        <v>80</v>
      </c>
      <c r="C181" s="361" t="s">
        <v>995</v>
      </c>
      <c r="AP181" s="610">
        <v>333.81</v>
      </c>
      <c r="AQ181" s="611">
        <v>336.25348966899855</v>
      </c>
      <c r="AR181" s="611">
        <v>338.08334875353381</v>
      </c>
      <c r="AS181" s="611">
        <v>344.29561051361463</v>
      </c>
      <c r="AT181" s="599">
        <v>346.38725468159896</v>
      </c>
      <c r="AU181" s="611">
        <v>351.24951439436506</v>
      </c>
      <c r="AV181" s="611">
        <v>358.47359952781079</v>
      </c>
      <c r="AW181" s="611">
        <v>363.42158066721532</v>
      </c>
      <c r="AX181" s="611">
        <v>371.22460343984471</v>
      </c>
      <c r="AY181" s="611">
        <v>372.98085875449715</v>
      </c>
      <c r="AZ181" s="579">
        <v>398</v>
      </c>
      <c r="BA181" s="608">
        <v>405</v>
      </c>
      <c r="BB181" s="561">
        <v>413</v>
      </c>
      <c r="BC181" s="571">
        <v>420.31</v>
      </c>
      <c r="BD181" s="570">
        <v>431.16646397964854</v>
      </c>
      <c r="BE181" s="571">
        <v>438.73</v>
      </c>
      <c r="BF181" s="570">
        <v>283.81275758163605</v>
      </c>
      <c r="BG181" s="571">
        <v>317.14699521319335</v>
      </c>
      <c r="BH181" s="609">
        <v>296.11803345458668</v>
      </c>
      <c r="BI181" s="361">
        <v>297.14798947992642</v>
      </c>
      <c r="BJ181" s="361">
        <v>289.92599999999999</v>
      </c>
      <c r="BK181" s="361">
        <v>308.30399999999997</v>
      </c>
      <c r="BL181" s="361">
        <v>316.32600000000002</v>
      </c>
      <c r="BM181" s="361">
        <v>325.58699999999999</v>
      </c>
      <c r="BN181" s="361">
        <v>337.78199999999998</v>
      </c>
      <c r="BO181" s="361">
        <v>341.49760199999997</v>
      </c>
      <c r="BP181" s="361">
        <v>345.59557322399991</v>
      </c>
      <c r="BQ181" s="361">
        <v>352.85308026170395</v>
      </c>
      <c r="BR181" s="361">
        <v>360.26299494719967</v>
      </c>
      <c r="BS181" s="361">
        <v>367.5042811456384</v>
      </c>
      <c r="BU181" s="40">
        <f t="shared" si="118"/>
        <v>0</v>
      </c>
      <c r="BV181" s="40">
        <f t="shared" si="119"/>
        <v>0</v>
      </c>
      <c r="BW181" s="40">
        <f t="shared" si="119"/>
        <v>0</v>
      </c>
      <c r="BX181" s="40">
        <f t="shared" si="119"/>
        <v>0</v>
      </c>
      <c r="BY181" s="40">
        <f t="shared" si="119"/>
        <v>0</v>
      </c>
      <c r="BZ181" s="40">
        <f t="shared" si="119"/>
        <v>0</v>
      </c>
      <c r="CA181" s="40">
        <f t="shared" si="119"/>
        <v>0</v>
      </c>
      <c r="CB181" s="40">
        <f t="shared" si="119"/>
        <v>0</v>
      </c>
      <c r="CC181" s="40">
        <f t="shared" si="119"/>
        <v>0</v>
      </c>
      <c r="CD181" s="40">
        <f t="shared" si="119"/>
        <v>0</v>
      </c>
      <c r="CO181" s="362"/>
      <c r="CP181" s="362"/>
      <c r="CQ181" s="362"/>
      <c r="CR181" s="362"/>
      <c r="CS181" s="362"/>
      <c r="CT181" s="362"/>
      <c r="CU181" s="362"/>
    </row>
    <row r="182" spans="2:99" s="361" customFormat="1">
      <c r="B182" s="166" t="s">
        <v>81</v>
      </c>
      <c r="C182" s="361" t="s">
        <v>995</v>
      </c>
      <c r="AP182" s="610">
        <v>319.79465100000004</v>
      </c>
      <c r="AQ182" s="611">
        <v>329</v>
      </c>
      <c r="AR182" s="611">
        <v>317.61</v>
      </c>
      <c r="AS182" s="611">
        <v>291.08999999999997</v>
      </c>
      <c r="AT182" s="599">
        <v>279.23</v>
      </c>
      <c r="AU182" s="611">
        <v>262.04000000000002</v>
      </c>
      <c r="AV182" s="611">
        <v>246.03</v>
      </c>
      <c r="AW182" s="611">
        <v>240.85</v>
      </c>
      <c r="AX182" s="611">
        <v>242.48</v>
      </c>
      <c r="AY182" s="611">
        <v>240.53</v>
      </c>
      <c r="AZ182" s="579">
        <v>245</v>
      </c>
      <c r="BA182" s="608">
        <v>251</v>
      </c>
      <c r="BB182" s="561">
        <v>254</v>
      </c>
      <c r="BC182" s="571">
        <v>253.11</v>
      </c>
      <c r="BD182" s="570">
        <v>251.87</v>
      </c>
      <c r="BE182" s="571">
        <v>266.67</v>
      </c>
      <c r="BF182" s="570">
        <v>782.9464645524738</v>
      </c>
      <c r="BG182" s="571">
        <v>801.90248734807756</v>
      </c>
      <c r="BH182" s="609">
        <v>834.38544496237057</v>
      </c>
      <c r="BI182" s="361">
        <v>839.34289919140667</v>
      </c>
      <c r="BJ182" s="361">
        <v>856.51287163776374</v>
      </c>
      <c r="BK182" s="361">
        <v>826.49300000000005</v>
      </c>
      <c r="BL182" s="361">
        <v>995.61400000000003</v>
      </c>
      <c r="BM182" s="361">
        <v>1019.89</v>
      </c>
      <c r="BN182" s="361">
        <v>1037.104</v>
      </c>
      <c r="BO182" s="361">
        <v>1044.3756989999999</v>
      </c>
      <c r="BP182" s="361">
        <v>1051.3231683166998</v>
      </c>
      <c r="BQ182" s="361">
        <v>1056.1843105863243</v>
      </c>
      <c r="BR182" s="361">
        <v>1058.1806834977622</v>
      </c>
      <c r="BS182" s="361">
        <v>1059.9042210890982</v>
      </c>
      <c r="BU182" s="40">
        <f t="shared" si="118"/>
        <v>0</v>
      </c>
      <c r="BV182" s="40">
        <f t="shared" si="119"/>
        <v>0</v>
      </c>
      <c r="BW182" s="40">
        <f t="shared" si="119"/>
        <v>0</v>
      </c>
      <c r="BX182" s="40">
        <f t="shared" si="119"/>
        <v>0</v>
      </c>
      <c r="BY182" s="40">
        <f t="shared" si="119"/>
        <v>0</v>
      </c>
      <c r="BZ182" s="40">
        <f t="shared" si="119"/>
        <v>0</v>
      </c>
      <c r="CA182" s="40">
        <f t="shared" si="119"/>
        <v>0</v>
      </c>
      <c r="CB182" s="40">
        <f t="shared" si="119"/>
        <v>0</v>
      </c>
      <c r="CC182" s="40">
        <f t="shared" si="119"/>
        <v>0</v>
      </c>
      <c r="CD182" s="40">
        <f t="shared" si="119"/>
        <v>0</v>
      </c>
      <c r="CO182" s="362"/>
      <c r="CP182" s="362"/>
      <c r="CQ182" s="362"/>
      <c r="CR182" s="362"/>
      <c r="CS182" s="362"/>
      <c r="CT182" s="362"/>
      <c r="CU182" s="362"/>
    </row>
    <row r="183" spans="2:99" s="361" customFormat="1">
      <c r="B183" s="166" t="s">
        <v>82</v>
      </c>
      <c r="C183" s="361" t="s">
        <v>995</v>
      </c>
      <c r="AP183" s="612">
        <v>179.902907</v>
      </c>
      <c r="AQ183" s="613">
        <v>164</v>
      </c>
      <c r="AR183" s="613">
        <v>161.46</v>
      </c>
      <c r="AS183" s="613">
        <v>165.09</v>
      </c>
      <c r="AT183" s="612">
        <v>149.11000000000001</v>
      </c>
      <c r="AU183" s="613">
        <v>163.52000000000001</v>
      </c>
      <c r="AV183" s="613">
        <v>163.85</v>
      </c>
      <c r="AW183" s="613">
        <v>170.35</v>
      </c>
      <c r="AX183" s="613">
        <v>183.26</v>
      </c>
      <c r="AY183" s="613">
        <v>184.84</v>
      </c>
      <c r="AZ183" s="579">
        <v>187</v>
      </c>
      <c r="BA183" s="608">
        <v>194</v>
      </c>
      <c r="BB183" s="561">
        <v>197</v>
      </c>
      <c r="BC183" s="571">
        <v>198.81</v>
      </c>
      <c r="BD183" s="570">
        <v>205.56</v>
      </c>
      <c r="BE183" s="571">
        <v>210.87</v>
      </c>
      <c r="BF183" s="570">
        <v>5.8247093915777768</v>
      </c>
      <c r="BG183" s="571">
        <v>7.5047760491071438</v>
      </c>
      <c r="BH183" s="609">
        <v>6.3410949562264589</v>
      </c>
      <c r="BI183" s="361">
        <v>6.547806180702759</v>
      </c>
      <c r="BJ183" s="361">
        <v>6.681976240776633</v>
      </c>
      <c r="BK183" s="361">
        <v>6.9870000000000001</v>
      </c>
      <c r="BL183" s="361">
        <v>7.117</v>
      </c>
      <c r="BM183" s="361">
        <v>6.798</v>
      </c>
      <c r="BN183" s="361">
        <v>6.9989999999999997</v>
      </c>
      <c r="BO183" s="361">
        <v>7.0689899999999994</v>
      </c>
      <c r="BP183" s="361">
        <v>7.1396799</v>
      </c>
      <c r="BQ183" s="361">
        <v>7.2110766990000004</v>
      </c>
      <c r="BR183" s="361">
        <v>7.2831874659900002</v>
      </c>
      <c r="BS183" s="361">
        <v>7.3560193406499002</v>
      </c>
      <c r="BU183" s="40">
        <f t="shared" si="118"/>
        <v>0</v>
      </c>
      <c r="BV183" s="40">
        <f t="shared" si="119"/>
        <v>0</v>
      </c>
      <c r="BW183" s="40">
        <f t="shared" si="119"/>
        <v>0</v>
      </c>
      <c r="BX183" s="40">
        <f t="shared" si="119"/>
        <v>0</v>
      </c>
      <c r="BY183" s="40">
        <f t="shared" si="119"/>
        <v>0</v>
      </c>
      <c r="BZ183" s="40">
        <f t="shared" si="119"/>
        <v>0</v>
      </c>
      <c r="CA183" s="40">
        <f t="shared" si="119"/>
        <v>0</v>
      </c>
      <c r="CB183" s="40">
        <f t="shared" si="119"/>
        <v>0</v>
      </c>
      <c r="CC183" s="40">
        <f t="shared" si="119"/>
        <v>0</v>
      </c>
      <c r="CD183" s="40">
        <f t="shared" si="119"/>
        <v>0</v>
      </c>
      <c r="CO183" s="362"/>
      <c r="CP183" s="362"/>
      <c r="CQ183" s="362"/>
      <c r="CR183" s="362"/>
      <c r="CS183" s="362"/>
      <c r="CT183" s="362"/>
      <c r="CU183" s="362"/>
    </row>
    <row r="184" spans="2:99" s="361" customFormat="1">
      <c r="B184" s="166" t="s">
        <v>83</v>
      </c>
      <c r="C184" s="361" t="s">
        <v>995</v>
      </c>
      <c r="AP184" s="613">
        <v>27.397393999999998</v>
      </c>
      <c r="AQ184" s="613">
        <v>24</v>
      </c>
      <c r="AR184" s="613">
        <v>36.46</v>
      </c>
      <c r="AS184" s="613">
        <v>37.29</v>
      </c>
      <c r="AT184" s="612">
        <v>35.01</v>
      </c>
      <c r="AU184" s="613">
        <v>33.53</v>
      </c>
      <c r="AV184" s="613">
        <v>33.69</v>
      </c>
      <c r="AW184" s="613">
        <v>33.56</v>
      </c>
      <c r="AX184" s="613">
        <v>32.44</v>
      </c>
      <c r="AY184" s="613">
        <v>31.44</v>
      </c>
      <c r="AZ184" s="579">
        <v>34</v>
      </c>
      <c r="BA184" s="608">
        <v>31</v>
      </c>
      <c r="BB184" s="561">
        <v>30</v>
      </c>
      <c r="BC184" s="571">
        <v>30.37</v>
      </c>
      <c r="BD184" s="570">
        <v>28.92</v>
      </c>
      <c r="BE184" s="571">
        <v>31.05</v>
      </c>
      <c r="BF184" s="570">
        <v>48.906622000000006</v>
      </c>
      <c r="BG184" s="571">
        <v>49.193415951285964</v>
      </c>
      <c r="BH184" s="609">
        <v>39.551000000000002</v>
      </c>
      <c r="BI184" s="361">
        <v>43.855658000000005</v>
      </c>
      <c r="BJ184" s="361">
        <v>42.978000000000002</v>
      </c>
      <c r="BK184" s="361">
        <v>43.652999999999999</v>
      </c>
      <c r="BL184" s="361">
        <v>45.643000000000001</v>
      </c>
      <c r="BM184" s="361">
        <v>46.51</v>
      </c>
      <c r="BN184" s="361">
        <v>47.152999999999999</v>
      </c>
      <c r="BO184" s="361">
        <v>47.718836000000003</v>
      </c>
      <c r="BP184" s="361">
        <v>48.530056211999998</v>
      </c>
      <c r="BQ184" s="361">
        <v>49.11241688654399</v>
      </c>
      <c r="BR184" s="361">
        <v>49.652653472295967</v>
      </c>
      <c r="BS184" s="361">
        <v>50.248485313963521</v>
      </c>
      <c r="BU184" s="40">
        <f t="shared" si="118"/>
        <v>0</v>
      </c>
      <c r="BV184" s="40">
        <f t="shared" si="119"/>
        <v>0</v>
      </c>
      <c r="BW184" s="40">
        <f t="shared" si="119"/>
        <v>0</v>
      </c>
      <c r="BX184" s="40">
        <f t="shared" si="119"/>
        <v>0</v>
      </c>
      <c r="BY184" s="40">
        <f t="shared" si="119"/>
        <v>0</v>
      </c>
      <c r="BZ184" s="40">
        <f t="shared" si="119"/>
        <v>0</v>
      </c>
      <c r="CA184" s="40">
        <f t="shared" si="119"/>
        <v>0</v>
      </c>
      <c r="CB184" s="40">
        <f t="shared" si="119"/>
        <v>0</v>
      </c>
      <c r="CC184" s="40">
        <f t="shared" si="119"/>
        <v>0</v>
      </c>
      <c r="CD184" s="40">
        <f t="shared" si="119"/>
        <v>0</v>
      </c>
      <c r="CO184" s="362"/>
      <c r="CP184" s="362"/>
      <c r="CQ184" s="362"/>
      <c r="CR184" s="362"/>
      <c r="CS184" s="362"/>
      <c r="CT184" s="362"/>
      <c r="CU184" s="362"/>
    </row>
    <row r="185" spans="2:99" s="361" customFormat="1">
      <c r="B185" s="166" t="s">
        <v>84</v>
      </c>
      <c r="C185" s="361" t="s">
        <v>995</v>
      </c>
      <c r="AP185" s="611">
        <v>70.959999999999994</v>
      </c>
      <c r="AQ185" s="599">
        <v>69</v>
      </c>
      <c r="AR185" s="611">
        <v>65.87</v>
      </c>
      <c r="AS185" s="611">
        <v>65.87</v>
      </c>
      <c r="AT185" s="599">
        <v>62.79</v>
      </c>
      <c r="AU185" s="611">
        <v>65.25</v>
      </c>
      <c r="AV185" s="611">
        <v>65.010000000000005</v>
      </c>
      <c r="AW185" s="611">
        <v>65.180000000000007</v>
      </c>
      <c r="AX185" s="611">
        <v>67.53</v>
      </c>
      <c r="AY185" s="611">
        <v>69.14</v>
      </c>
      <c r="AZ185" s="579">
        <v>70</v>
      </c>
      <c r="BA185" s="608">
        <v>71</v>
      </c>
      <c r="BB185" s="561">
        <v>72</v>
      </c>
      <c r="BC185" s="571">
        <v>71.599999999999994</v>
      </c>
      <c r="BD185" s="570">
        <v>71.3</v>
      </c>
      <c r="BE185" s="571">
        <v>75.400000000000006</v>
      </c>
      <c r="BF185" s="569">
        <v>35.40160672039589</v>
      </c>
      <c r="BG185" s="571">
        <v>44.008815596071855</v>
      </c>
      <c r="BH185" s="609">
        <v>62.931074937931456</v>
      </c>
      <c r="BI185" s="361">
        <v>54.784999999999997</v>
      </c>
      <c r="BJ185" s="361">
        <v>53.505762603031677</v>
      </c>
      <c r="BK185" s="361">
        <v>71.313999999999993</v>
      </c>
      <c r="BL185" s="361">
        <v>74.192999999999998</v>
      </c>
      <c r="BM185" s="361">
        <v>76.001999999999995</v>
      </c>
      <c r="BN185" s="361">
        <v>79.17</v>
      </c>
      <c r="BO185" s="361">
        <v>82.020119999999991</v>
      </c>
      <c r="BP185" s="361">
        <v>84.841612127999994</v>
      </c>
      <c r="BQ185" s="361">
        <v>87.386860491839997</v>
      </c>
      <c r="BR185" s="361">
        <v>90.969721772005428</v>
      </c>
      <c r="BS185" s="361">
        <v>94.88141980820167</v>
      </c>
      <c r="BU185" s="40">
        <f t="shared" si="118"/>
        <v>0</v>
      </c>
      <c r="BV185" s="40">
        <f t="shared" si="119"/>
        <v>0</v>
      </c>
      <c r="BW185" s="40">
        <f t="shared" si="119"/>
        <v>0</v>
      </c>
      <c r="BX185" s="40">
        <f t="shared" si="119"/>
        <v>0</v>
      </c>
      <c r="BY185" s="40">
        <f t="shared" si="119"/>
        <v>0</v>
      </c>
      <c r="BZ185" s="40">
        <f t="shared" si="119"/>
        <v>0</v>
      </c>
      <c r="CA185" s="40">
        <f t="shared" si="119"/>
        <v>0</v>
      </c>
      <c r="CB185" s="40">
        <f t="shared" si="119"/>
        <v>0</v>
      </c>
      <c r="CC185" s="40">
        <f t="shared" si="119"/>
        <v>0</v>
      </c>
      <c r="CD185" s="40">
        <f t="shared" si="119"/>
        <v>0</v>
      </c>
      <c r="CO185" s="362"/>
      <c r="CP185" s="362"/>
      <c r="CQ185" s="362"/>
      <c r="CR185" s="362"/>
      <c r="CS185" s="362"/>
      <c r="CT185" s="362"/>
      <c r="CU185" s="362"/>
    </row>
    <row r="186" spans="2:99" s="361" customFormat="1">
      <c r="B186" s="166"/>
      <c r="AP186" s="614"/>
      <c r="AQ186" s="614"/>
      <c r="AR186" s="614"/>
      <c r="AS186" s="614"/>
      <c r="AT186" s="614"/>
      <c r="AU186" s="615"/>
      <c r="AV186" s="616"/>
      <c r="AW186" s="616"/>
      <c r="AX186" s="616"/>
      <c r="AY186" s="616"/>
      <c r="AZ186" s="585"/>
      <c r="BA186" s="559"/>
      <c r="BB186" s="570"/>
      <c r="BC186" s="571"/>
      <c r="BD186" s="570"/>
      <c r="BE186" s="571"/>
      <c r="BF186" s="570"/>
      <c r="BG186" s="599"/>
      <c r="BH186" s="609"/>
      <c r="BU186" s="40">
        <f t="shared" si="118"/>
        <v>0</v>
      </c>
      <c r="BV186" s="40">
        <f t="shared" si="119"/>
        <v>0</v>
      </c>
      <c r="BW186" s="40">
        <f t="shared" si="119"/>
        <v>0</v>
      </c>
      <c r="BX186" s="40">
        <f t="shared" si="119"/>
        <v>0</v>
      </c>
      <c r="BY186" s="40">
        <f t="shared" si="119"/>
        <v>0</v>
      </c>
      <c r="BZ186" s="40">
        <f t="shared" si="119"/>
        <v>0</v>
      </c>
      <c r="CA186" s="40">
        <f t="shared" si="119"/>
        <v>0</v>
      </c>
      <c r="CB186" s="40">
        <f t="shared" si="119"/>
        <v>0</v>
      </c>
      <c r="CC186" s="40">
        <f t="shared" si="119"/>
        <v>0</v>
      </c>
      <c r="CD186" s="40">
        <f t="shared" si="119"/>
        <v>0</v>
      </c>
      <c r="CO186" s="362"/>
      <c r="CP186" s="362"/>
      <c r="CQ186" s="362"/>
      <c r="CR186" s="362"/>
      <c r="CS186" s="362"/>
      <c r="CT186" s="362"/>
      <c r="CU186" s="362"/>
    </row>
    <row r="187" spans="2:99" s="361" customFormat="1">
      <c r="B187" s="166" t="s">
        <v>85</v>
      </c>
      <c r="C187" s="361" t="s">
        <v>995</v>
      </c>
      <c r="AP187" s="617">
        <v>3163.1762561315786</v>
      </c>
      <c r="AQ187" s="617">
        <v>3232.8413226263992</v>
      </c>
      <c r="AR187" s="617">
        <v>3261.4925536498226</v>
      </c>
      <c r="AS187" s="617">
        <v>3111.9450806122823</v>
      </c>
      <c r="AT187" s="618">
        <v>3013.2576856209835</v>
      </c>
      <c r="AU187" s="617">
        <v>3096.632432275368</v>
      </c>
      <c r="AV187" s="617">
        <v>3145.8323893814318</v>
      </c>
      <c r="AW187" s="617">
        <v>3187.5962893162523</v>
      </c>
      <c r="AX187" s="617">
        <v>3285.3048090878592</v>
      </c>
      <c r="AY187" s="617">
        <v>3198.7431441217245</v>
      </c>
      <c r="AZ187" s="585">
        <v>3318</v>
      </c>
      <c r="BA187" s="559">
        <v>3508</v>
      </c>
      <c r="BB187" s="570">
        <v>3603</v>
      </c>
      <c r="BC187" s="559">
        <v>3849.1361448406146</v>
      </c>
      <c r="BD187" s="598">
        <v>4146.1513674690759</v>
      </c>
      <c r="BE187" s="559">
        <v>4437</v>
      </c>
      <c r="BF187" s="598">
        <v>7058.8031207569156</v>
      </c>
      <c r="BG187" s="559">
        <v>7412.9408798577051</v>
      </c>
      <c r="BH187" s="609">
        <v>7721.5154538727575</v>
      </c>
      <c r="BI187" s="361">
        <v>7953.4806227995423</v>
      </c>
      <c r="BJ187" s="361">
        <v>8362.9424742897445</v>
      </c>
      <c r="BK187" s="361">
        <v>8712.1729999999989</v>
      </c>
      <c r="BL187" s="361">
        <v>8882.9529999999995</v>
      </c>
      <c r="BM187" s="361">
        <v>9130.6230000000014</v>
      </c>
      <c r="BN187" s="361">
        <v>9298.1089999999986</v>
      </c>
      <c r="BO187" s="361">
        <v>9512.4503783208984</v>
      </c>
      <c r="BP187" s="361">
        <v>9756.9592011920504</v>
      </c>
      <c r="BQ187" s="361">
        <v>10276.373963729677</v>
      </c>
      <c r="BR187" s="361">
        <v>10610.813467391319</v>
      </c>
      <c r="BS187" s="361">
        <v>10935.237482679706</v>
      </c>
      <c r="BU187" s="40">
        <f t="shared" si="118"/>
        <v>0</v>
      </c>
      <c r="BV187" s="40">
        <f t="shared" si="119"/>
        <v>0</v>
      </c>
      <c r="BW187" s="40">
        <f t="shared" si="119"/>
        <v>0</v>
      </c>
      <c r="BX187" s="40">
        <f t="shared" si="119"/>
        <v>0</v>
      </c>
      <c r="BY187" s="40">
        <f t="shared" si="119"/>
        <v>0</v>
      </c>
      <c r="BZ187" s="40">
        <f t="shared" si="119"/>
        <v>0</v>
      </c>
      <c r="CA187" s="40">
        <f t="shared" si="119"/>
        <v>0</v>
      </c>
      <c r="CB187" s="40">
        <f t="shared" si="119"/>
        <v>0</v>
      </c>
      <c r="CC187" s="40">
        <f t="shared" si="119"/>
        <v>0</v>
      </c>
      <c r="CD187" s="40">
        <f t="shared" si="119"/>
        <v>0</v>
      </c>
      <c r="CO187" s="362"/>
      <c r="CP187" s="362"/>
      <c r="CQ187" s="362"/>
      <c r="CR187" s="362"/>
      <c r="CS187" s="362"/>
      <c r="CT187" s="362"/>
      <c r="CU187" s="362"/>
    </row>
    <row r="188" spans="2:99" s="361" customFormat="1">
      <c r="B188" s="166" t="s">
        <v>1802</v>
      </c>
      <c r="C188" s="361" t="s">
        <v>995</v>
      </c>
      <c r="AP188" s="617">
        <v>660.70582750841356</v>
      </c>
      <c r="AQ188" s="617">
        <v>690.02045822002333</v>
      </c>
      <c r="AR188" s="617">
        <v>677.97829302292234</v>
      </c>
      <c r="AS188" s="617">
        <v>585.70791830313112</v>
      </c>
      <c r="AT188" s="618">
        <v>817.71825393249981</v>
      </c>
      <c r="AU188" s="617">
        <v>733.54829567614217</v>
      </c>
      <c r="AV188" s="617">
        <v>739.22167768538725</v>
      </c>
      <c r="AW188" s="617">
        <v>892.42136662981545</v>
      </c>
      <c r="AX188" s="617">
        <v>888.72354067566312</v>
      </c>
      <c r="AY188" s="617">
        <v>909.6699274611417</v>
      </c>
      <c r="AZ188" s="619">
        <v>865</v>
      </c>
      <c r="BA188" s="620">
        <v>830</v>
      </c>
      <c r="BB188" s="621">
        <v>875</v>
      </c>
      <c r="BC188" s="571">
        <v>907</v>
      </c>
      <c r="BD188" s="570">
        <v>994</v>
      </c>
      <c r="BE188" s="571">
        <v>925</v>
      </c>
      <c r="BF188" s="627"/>
      <c r="BG188" s="627"/>
      <c r="BH188" s="627"/>
      <c r="BU188" s="40">
        <f t="shared" si="118"/>
        <v>0</v>
      </c>
      <c r="BV188" s="40">
        <f t="shared" si="119"/>
        <v>0</v>
      </c>
      <c r="BW188" s="40">
        <f t="shared" si="119"/>
        <v>0</v>
      </c>
      <c r="BX188" s="40">
        <f t="shared" si="119"/>
        <v>0</v>
      </c>
      <c r="BY188" s="40">
        <f t="shared" si="119"/>
        <v>0</v>
      </c>
      <c r="BZ188" s="40">
        <f t="shared" si="119"/>
        <v>0</v>
      </c>
      <c r="CA188" s="40">
        <f t="shared" si="119"/>
        <v>0</v>
      </c>
      <c r="CB188" s="40">
        <f t="shared" si="119"/>
        <v>0</v>
      </c>
      <c r="CC188" s="40">
        <f t="shared" si="119"/>
        <v>0</v>
      </c>
      <c r="CD188" s="40">
        <f t="shared" si="119"/>
        <v>0</v>
      </c>
      <c r="CO188" s="362"/>
      <c r="CP188" s="362"/>
      <c r="CQ188" s="362"/>
      <c r="CR188" s="362"/>
      <c r="CS188" s="362"/>
      <c r="CT188" s="362"/>
      <c r="CU188" s="362"/>
    </row>
    <row r="189" spans="2:99" s="361" customFormat="1">
      <c r="B189" s="166"/>
      <c r="AP189" s="622"/>
      <c r="AQ189" s="622"/>
      <c r="AR189" s="622"/>
      <c r="AS189" s="622"/>
      <c r="AT189" s="614"/>
      <c r="AU189" s="615"/>
      <c r="AV189" s="623"/>
      <c r="AW189" s="623"/>
      <c r="AX189" s="623"/>
      <c r="AY189" s="623"/>
      <c r="AZ189" s="624"/>
      <c r="BA189" s="624"/>
      <c r="BB189" s="289"/>
      <c r="BC189" s="574"/>
      <c r="BD189" s="570"/>
      <c r="BE189" s="574"/>
      <c r="BF189" s="575"/>
      <c r="BG189" s="575"/>
      <c r="BH189" s="575"/>
      <c r="BU189" s="40">
        <f t="shared" si="118"/>
        <v>0</v>
      </c>
      <c r="BV189" s="40">
        <f t="shared" si="119"/>
        <v>0</v>
      </c>
      <c r="BW189" s="40">
        <f t="shared" si="119"/>
        <v>0</v>
      </c>
      <c r="BX189" s="40">
        <f t="shared" si="119"/>
        <v>0</v>
      </c>
      <c r="BY189" s="40">
        <f t="shared" si="119"/>
        <v>0</v>
      </c>
      <c r="BZ189" s="40">
        <f t="shared" si="119"/>
        <v>0</v>
      </c>
      <c r="CA189" s="40">
        <f t="shared" si="119"/>
        <v>0</v>
      </c>
      <c r="CB189" s="40">
        <f t="shared" si="119"/>
        <v>0</v>
      </c>
      <c r="CC189" s="40">
        <f t="shared" si="119"/>
        <v>0</v>
      </c>
      <c r="CD189" s="40">
        <f t="shared" si="119"/>
        <v>0</v>
      </c>
      <c r="CO189" s="362"/>
      <c r="CP189" s="362"/>
      <c r="CQ189" s="362"/>
      <c r="CR189" s="362"/>
      <c r="CS189" s="362"/>
      <c r="CT189" s="362"/>
      <c r="CU189" s="362"/>
    </row>
    <row r="190" spans="2:99" s="361" customFormat="1">
      <c r="B190" s="166" t="s">
        <v>1801</v>
      </c>
      <c r="C190" s="361" t="s">
        <v>995</v>
      </c>
      <c r="AP190" s="625">
        <v>216.06</v>
      </c>
      <c r="AQ190" s="625">
        <v>216.06</v>
      </c>
      <c r="AR190" s="625">
        <v>218.7337282780411</v>
      </c>
      <c r="AS190" s="625">
        <v>226.28084781463934</v>
      </c>
      <c r="AT190" s="625">
        <v>241.92500263296475</v>
      </c>
      <c r="AU190" s="625">
        <v>240.82517114270672</v>
      </c>
      <c r="AV190" s="625">
        <v>258.4604002106372</v>
      </c>
      <c r="AW190" s="625">
        <v>245.28138493944181</v>
      </c>
      <c r="AX190" s="625">
        <v>249.92722485518698</v>
      </c>
      <c r="AY190" s="625">
        <v>239.40297525013165</v>
      </c>
      <c r="AZ190" s="626">
        <v>235</v>
      </c>
      <c r="BA190" s="627">
        <v>231</v>
      </c>
      <c r="BB190" s="628">
        <v>255</v>
      </c>
      <c r="BC190" s="627">
        <v>270</v>
      </c>
      <c r="BD190" s="627">
        <v>275</v>
      </c>
      <c r="BE190" s="627">
        <v>285</v>
      </c>
      <c r="BF190" s="627"/>
      <c r="BG190" s="627"/>
      <c r="BH190" s="627"/>
      <c r="BU190" s="40">
        <f t="shared" si="118"/>
        <v>0</v>
      </c>
      <c r="BV190" s="40">
        <f t="shared" si="119"/>
        <v>0</v>
      </c>
      <c r="BW190" s="40">
        <f t="shared" si="119"/>
        <v>0</v>
      </c>
      <c r="BX190" s="40">
        <f t="shared" si="119"/>
        <v>0</v>
      </c>
      <c r="BY190" s="40">
        <f t="shared" si="119"/>
        <v>0</v>
      </c>
      <c r="BZ190" s="40">
        <f t="shared" si="119"/>
        <v>0</v>
      </c>
      <c r="CA190" s="40">
        <f t="shared" si="119"/>
        <v>0</v>
      </c>
      <c r="CB190" s="40">
        <f t="shared" si="119"/>
        <v>0</v>
      </c>
      <c r="CC190" s="40">
        <f t="shared" si="119"/>
        <v>0</v>
      </c>
      <c r="CD190" s="40">
        <f t="shared" si="119"/>
        <v>0</v>
      </c>
      <c r="CO190" s="362"/>
      <c r="CP190" s="362"/>
      <c r="CQ190" s="362"/>
      <c r="CR190" s="362"/>
      <c r="CS190" s="362"/>
      <c r="CT190" s="362"/>
      <c r="CU190" s="362"/>
    </row>
    <row r="191" spans="2:99" s="361" customFormat="1">
      <c r="B191" s="166"/>
      <c r="AP191" s="629"/>
      <c r="AQ191" s="629"/>
      <c r="AR191" s="629"/>
      <c r="AS191" s="629"/>
      <c r="AT191" s="630"/>
      <c r="AU191" s="629"/>
      <c r="AV191" s="631"/>
      <c r="AW191" s="631"/>
      <c r="AX191" s="631"/>
      <c r="AY191" s="631"/>
      <c r="AZ191" s="607"/>
      <c r="BA191" s="598"/>
      <c r="BB191" s="593"/>
      <c r="BC191" s="593"/>
      <c r="BD191" s="598"/>
      <c r="BE191" s="559"/>
      <c r="BF191" s="559"/>
      <c r="BG191" s="632"/>
      <c r="BH191" s="593"/>
      <c r="BU191" s="40">
        <f t="shared" si="118"/>
        <v>0</v>
      </c>
      <c r="BV191" s="40">
        <f t="shared" si="119"/>
        <v>0</v>
      </c>
      <c r="BW191" s="40">
        <f t="shared" si="119"/>
        <v>0</v>
      </c>
      <c r="BX191" s="40">
        <f t="shared" si="119"/>
        <v>0</v>
      </c>
      <c r="BY191" s="40">
        <f t="shared" si="119"/>
        <v>0</v>
      </c>
      <c r="BZ191" s="40">
        <f t="shared" si="119"/>
        <v>0</v>
      </c>
      <c r="CA191" s="40">
        <f t="shared" si="119"/>
        <v>0</v>
      </c>
      <c r="CB191" s="40">
        <f t="shared" si="119"/>
        <v>0</v>
      </c>
      <c r="CC191" s="40">
        <f t="shared" si="119"/>
        <v>0</v>
      </c>
      <c r="CD191" s="40">
        <f t="shared" si="119"/>
        <v>0</v>
      </c>
      <c r="CO191" s="362"/>
      <c r="CP191" s="362"/>
      <c r="CQ191" s="362"/>
      <c r="CR191" s="362"/>
      <c r="CS191" s="362"/>
      <c r="CT191" s="362"/>
      <c r="CU191" s="362"/>
    </row>
    <row r="192" spans="2:99" s="361" customFormat="1">
      <c r="B192" s="166" t="s">
        <v>871</v>
      </c>
      <c r="C192" s="361" t="s">
        <v>995</v>
      </c>
      <c r="AP192" s="629">
        <v>3607.8220836399923</v>
      </c>
      <c r="AQ192" s="630">
        <v>3706.8017808464224</v>
      </c>
      <c r="AR192" s="633">
        <v>3720.7371183947043</v>
      </c>
      <c r="AS192" s="629">
        <v>3471.3721511007739</v>
      </c>
      <c r="AT192" s="630">
        <v>3589.0509369205188</v>
      </c>
      <c r="AU192" s="629">
        <v>3589.3555568088032</v>
      </c>
      <c r="AV192" s="629">
        <v>3626.5936668561817</v>
      </c>
      <c r="AW192" s="629">
        <v>3834.7362710066259</v>
      </c>
      <c r="AX192" s="629">
        <v>3924.1011249083358</v>
      </c>
      <c r="AY192" s="629">
        <v>3869.0100963327345</v>
      </c>
      <c r="AZ192" s="571">
        <v>3948</v>
      </c>
      <c r="BA192" s="570">
        <v>4107</v>
      </c>
      <c r="BB192" s="571">
        <v>4223</v>
      </c>
      <c r="BC192" s="571">
        <v>4486.1361448406151</v>
      </c>
      <c r="BD192" s="584">
        <v>4865.1513674690759</v>
      </c>
      <c r="BE192" s="571">
        <v>5077</v>
      </c>
      <c r="BF192" s="584">
        <v>7058.8031207569156</v>
      </c>
      <c r="BG192" s="571">
        <v>7412.9408798577051</v>
      </c>
      <c r="BH192" s="559">
        <v>7721.5154538727575</v>
      </c>
      <c r="BI192" s="361">
        <v>7953.4806227995423</v>
      </c>
      <c r="BJ192" s="361">
        <v>8362.9424742897445</v>
      </c>
      <c r="BK192" s="361">
        <v>8712.1729999999989</v>
      </c>
      <c r="BL192" s="361">
        <v>8882.9529999999995</v>
      </c>
      <c r="BM192" s="361">
        <v>9130.6230000000014</v>
      </c>
      <c r="BN192" s="361">
        <v>9298.1089999999986</v>
      </c>
      <c r="BO192" s="361">
        <v>9512.4503783208984</v>
      </c>
      <c r="BP192" s="361">
        <v>9756.9592011920504</v>
      </c>
      <c r="BQ192" s="361">
        <v>10276.373963729677</v>
      </c>
      <c r="BR192" s="361">
        <v>10610.813467391319</v>
      </c>
      <c r="BS192" s="361">
        <v>10935.237482679706</v>
      </c>
      <c r="BU192" s="40">
        <f t="shared" si="118"/>
        <v>0</v>
      </c>
      <c r="BV192" s="40">
        <f t="shared" si="119"/>
        <v>0</v>
      </c>
      <c r="BW192" s="40">
        <f t="shared" si="119"/>
        <v>0</v>
      </c>
      <c r="BX192" s="40">
        <f t="shared" si="119"/>
        <v>0</v>
      </c>
      <c r="BY192" s="40">
        <f t="shared" si="119"/>
        <v>0</v>
      </c>
      <c r="BZ192" s="40">
        <f t="shared" si="119"/>
        <v>0</v>
      </c>
      <c r="CA192" s="40">
        <f t="shared" si="119"/>
        <v>0</v>
      </c>
      <c r="CB192" s="40">
        <f t="shared" si="119"/>
        <v>0</v>
      </c>
      <c r="CC192" s="40">
        <f t="shared" si="119"/>
        <v>0</v>
      </c>
      <c r="CD192" s="40">
        <f t="shared" si="119"/>
        <v>0</v>
      </c>
      <c r="CO192" s="362"/>
      <c r="CP192" s="362"/>
      <c r="CQ192" s="362"/>
      <c r="CR192" s="362"/>
      <c r="CS192" s="362"/>
      <c r="CT192" s="362"/>
      <c r="CU192" s="362"/>
    </row>
    <row r="193" spans="2:99" s="361" customFormat="1">
      <c r="B193" s="166"/>
      <c r="AP193" s="629"/>
      <c r="AQ193" s="629"/>
      <c r="AR193" s="629"/>
      <c r="AS193" s="629"/>
      <c r="AT193" s="630"/>
      <c r="AU193" s="629"/>
      <c r="AV193" s="629"/>
      <c r="AW193" s="629"/>
      <c r="AX193" s="629"/>
      <c r="AY193" s="629"/>
      <c r="AZ193" s="577"/>
      <c r="BA193" s="289"/>
      <c r="BB193" s="577"/>
      <c r="BC193" s="577"/>
      <c r="BD193" s="577"/>
      <c r="BE193" s="577"/>
      <c r="BF193" s="577"/>
      <c r="BG193" s="577"/>
      <c r="BH193" s="577"/>
      <c r="BU193" s="40">
        <f t="shared" si="118"/>
        <v>0</v>
      </c>
      <c r="BV193" s="40">
        <f t="shared" si="119"/>
        <v>0</v>
      </c>
      <c r="BW193" s="40">
        <f t="shared" si="119"/>
        <v>0</v>
      </c>
      <c r="BX193" s="40">
        <f t="shared" si="119"/>
        <v>0</v>
      </c>
      <c r="BY193" s="40">
        <f t="shared" si="119"/>
        <v>0</v>
      </c>
      <c r="BZ193" s="40">
        <f t="shared" si="119"/>
        <v>0</v>
      </c>
      <c r="CA193" s="40">
        <f t="shared" si="119"/>
        <v>0</v>
      </c>
      <c r="CB193" s="40">
        <f t="shared" si="119"/>
        <v>0</v>
      </c>
      <c r="CC193" s="40">
        <f t="shared" si="119"/>
        <v>0</v>
      </c>
      <c r="CD193" s="40">
        <f t="shared" si="119"/>
        <v>0</v>
      </c>
      <c r="CO193" s="362"/>
      <c r="CP193" s="362"/>
      <c r="CQ193" s="362"/>
      <c r="CR193" s="362"/>
      <c r="CS193" s="362"/>
      <c r="CT193" s="362"/>
      <c r="CU193" s="362"/>
    </row>
    <row r="194" spans="2:99" s="361" customFormat="1">
      <c r="B194" s="166" t="s">
        <v>1803</v>
      </c>
      <c r="C194" s="361" t="s">
        <v>995</v>
      </c>
      <c r="AP194" s="630">
        <v>276</v>
      </c>
      <c r="AQ194" s="629">
        <v>283.57199102274262</v>
      </c>
      <c r="AR194" s="629">
        <v>284.63805056619037</v>
      </c>
      <c r="AS194" s="629">
        <v>265.56151924686145</v>
      </c>
      <c r="AT194" s="630">
        <v>274.56399889615744</v>
      </c>
      <c r="AU194" s="629">
        <v>274.58730245359936</v>
      </c>
      <c r="AV194" s="629">
        <v>277.4360344960362</v>
      </c>
      <c r="AW194" s="629">
        <v>293.35903663242846</v>
      </c>
      <c r="AX194" s="629">
        <v>300.19548785010807</v>
      </c>
      <c r="AY194" s="629">
        <v>295.98970703829895</v>
      </c>
      <c r="AZ194" s="571">
        <v>303</v>
      </c>
      <c r="BA194" s="598">
        <v>322</v>
      </c>
      <c r="BB194" s="571">
        <v>329</v>
      </c>
      <c r="BC194" s="570">
        <v>351.51381005289949</v>
      </c>
      <c r="BD194" s="571">
        <v>382</v>
      </c>
      <c r="BE194" s="571">
        <v>408</v>
      </c>
      <c r="BF194" s="571">
        <v>610.66499999999996</v>
      </c>
      <c r="BG194" s="571">
        <v>647.59100000000001</v>
      </c>
      <c r="BH194" s="559">
        <v>673.47799999999995</v>
      </c>
      <c r="BI194" s="361">
        <v>694.81200000000001</v>
      </c>
      <c r="BJ194" s="361">
        <v>730.58299999999997</v>
      </c>
      <c r="BK194" s="361">
        <v>861.09699999999998</v>
      </c>
      <c r="BL194" s="361">
        <v>984.13400000000001</v>
      </c>
      <c r="BM194" s="361">
        <v>1016.798</v>
      </c>
      <c r="BN194" s="361">
        <v>1035.8240000000001</v>
      </c>
      <c r="BO194" s="361">
        <v>1053.8754219028808</v>
      </c>
      <c r="BP194" s="361">
        <v>1080.9643241955619</v>
      </c>
      <c r="BQ194" s="361">
        <v>1138.5097967332638</v>
      </c>
      <c r="BR194" s="361">
        <v>1175.5620344853439</v>
      </c>
      <c r="BS194" s="361">
        <v>1211.5046657096475</v>
      </c>
      <c r="BU194" s="40">
        <f t="shared" si="118"/>
        <v>0</v>
      </c>
      <c r="BV194" s="40">
        <f t="shared" ref="BV194:CD204" si="120">BU194</f>
        <v>0</v>
      </c>
      <c r="BW194" s="40">
        <f t="shared" si="120"/>
        <v>0</v>
      </c>
      <c r="BX194" s="40">
        <f t="shared" si="120"/>
        <v>0</v>
      </c>
      <c r="BY194" s="40">
        <f t="shared" si="120"/>
        <v>0</v>
      </c>
      <c r="BZ194" s="40">
        <f t="shared" si="120"/>
        <v>0</v>
      </c>
      <c r="CA194" s="40">
        <f t="shared" si="120"/>
        <v>0</v>
      </c>
      <c r="CB194" s="40">
        <f t="shared" si="120"/>
        <v>0</v>
      </c>
      <c r="CC194" s="40">
        <f t="shared" si="120"/>
        <v>0</v>
      </c>
      <c r="CD194" s="40">
        <f t="shared" si="120"/>
        <v>0</v>
      </c>
      <c r="CO194" s="362"/>
      <c r="CP194" s="362"/>
      <c r="CQ194" s="362"/>
      <c r="CR194" s="362"/>
      <c r="CS194" s="362"/>
      <c r="CT194" s="362"/>
      <c r="CU194" s="362"/>
    </row>
    <row r="195" spans="2:99" s="361" customFormat="1">
      <c r="B195" s="166" t="s">
        <v>87</v>
      </c>
      <c r="C195" s="361" t="s">
        <v>995</v>
      </c>
      <c r="AP195" s="634">
        <v>3883.8220836399923</v>
      </c>
      <c r="AQ195" s="634">
        <v>3990.373771869165</v>
      </c>
      <c r="AR195" s="634">
        <v>4005.3751689608948</v>
      </c>
      <c r="AS195" s="634">
        <v>3736.9336703476351</v>
      </c>
      <c r="AT195" s="635">
        <v>3863.6149358166763</v>
      </c>
      <c r="AU195" s="634">
        <v>3863.9428592624026</v>
      </c>
      <c r="AV195" s="634">
        <v>3904.0297013522177</v>
      </c>
      <c r="AW195" s="634">
        <v>4128.0953076390542</v>
      </c>
      <c r="AX195" s="634">
        <v>4224.2966127584441</v>
      </c>
      <c r="AY195" s="634">
        <v>4164.9998033710335</v>
      </c>
      <c r="AZ195" s="603">
        <v>4251</v>
      </c>
      <c r="BA195" s="604">
        <v>4429</v>
      </c>
      <c r="BB195" s="603">
        <v>4552</v>
      </c>
      <c r="BC195" s="604">
        <v>4837.6499548935144</v>
      </c>
      <c r="BD195" s="603">
        <v>5247.1513674690759</v>
      </c>
      <c r="BE195" s="603">
        <v>5484</v>
      </c>
      <c r="BF195" s="603">
        <v>7669.4681207569156</v>
      </c>
      <c r="BG195" s="603">
        <v>8060.5318798577055</v>
      </c>
      <c r="BH195" s="603">
        <v>8394.9934538727575</v>
      </c>
      <c r="BI195" s="361">
        <v>8648.2926227995431</v>
      </c>
      <c r="BJ195" s="361">
        <v>9093.525474289745</v>
      </c>
      <c r="BK195" s="361">
        <v>9573.2699999999986</v>
      </c>
      <c r="BL195" s="361">
        <v>9867.0869999999995</v>
      </c>
      <c r="BM195" s="361">
        <v>10147.421000000002</v>
      </c>
      <c r="BN195" s="361">
        <v>10333.932999999999</v>
      </c>
      <c r="BO195" s="361">
        <v>10566.32580022378</v>
      </c>
      <c r="BP195" s="361">
        <v>10837.923525387612</v>
      </c>
      <c r="BQ195" s="361">
        <v>11414.883760462941</v>
      </c>
      <c r="BR195" s="361">
        <v>11786.375501876662</v>
      </c>
      <c r="BS195" s="361">
        <v>12146.742148389354</v>
      </c>
      <c r="BU195" s="40">
        <f t="shared" si="118"/>
        <v>0</v>
      </c>
      <c r="BV195" s="40">
        <f t="shared" si="120"/>
        <v>0</v>
      </c>
      <c r="BW195" s="40">
        <f t="shared" si="120"/>
        <v>0</v>
      </c>
      <c r="BX195" s="40">
        <f t="shared" si="120"/>
        <v>0</v>
      </c>
      <c r="BY195" s="40">
        <f t="shared" si="120"/>
        <v>0</v>
      </c>
      <c r="BZ195" s="40">
        <f t="shared" si="120"/>
        <v>0</v>
      </c>
      <c r="CA195" s="40">
        <f t="shared" si="120"/>
        <v>0</v>
      </c>
      <c r="CB195" s="40">
        <f t="shared" si="120"/>
        <v>0</v>
      </c>
      <c r="CC195" s="40">
        <f t="shared" si="120"/>
        <v>0</v>
      </c>
      <c r="CD195" s="40">
        <f t="shared" si="120"/>
        <v>0</v>
      </c>
      <c r="CO195" s="362"/>
      <c r="CP195" s="362"/>
      <c r="CQ195" s="362"/>
      <c r="CR195" s="362"/>
      <c r="CS195" s="362"/>
      <c r="CT195" s="362"/>
      <c r="CU195" s="362"/>
    </row>
    <row r="196" spans="2:99" s="361" customFormat="1">
      <c r="B196" s="605"/>
      <c r="BU196" s="40">
        <f t="shared" si="118"/>
        <v>0</v>
      </c>
      <c r="BV196" s="40">
        <f t="shared" si="120"/>
        <v>0</v>
      </c>
      <c r="BW196" s="40">
        <f t="shared" si="120"/>
        <v>0</v>
      </c>
      <c r="BX196" s="40">
        <f t="shared" si="120"/>
        <v>0</v>
      </c>
      <c r="BY196" s="40">
        <f t="shared" si="120"/>
        <v>0</v>
      </c>
      <c r="BZ196" s="40">
        <f t="shared" si="120"/>
        <v>0</v>
      </c>
      <c r="CA196" s="40">
        <f t="shared" si="120"/>
        <v>0</v>
      </c>
      <c r="CB196" s="40">
        <f t="shared" si="120"/>
        <v>0</v>
      </c>
      <c r="CC196" s="40">
        <f t="shared" si="120"/>
        <v>0</v>
      </c>
      <c r="CD196" s="40">
        <f t="shared" si="120"/>
        <v>0</v>
      </c>
      <c r="CO196" s="362"/>
      <c r="CP196" s="362"/>
      <c r="CQ196" s="362"/>
      <c r="CR196" s="362"/>
      <c r="CS196" s="362"/>
      <c r="CT196" s="362"/>
      <c r="CU196" s="362"/>
    </row>
    <row r="197" spans="2:99" s="361" customFormat="1">
      <c r="B197" s="605" t="s">
        <v>1505</v>
      </c>
      <c r="BU197" s="40">
        <f t="shared" si="118"/>
        <v>0</v>
      </c>
      <c r="BV197" s="40">
        <f t="shared" si="120"/>
        <v>0</v>
      </c>
      <c r="BW197" s="40">
        <f t="shared" si="120"/>
        <v>0</v>
      </c>
      <c r="BX197" s="40">
        <f t="shared" si="120"/>
        <v>0</v>
      </c>
      <c r="BY197" s="40">
        <f t="shared" si="120"/>
        <v>0</v>
      </c>
      <c r="BZ197" s="40">
        <f t="shared" si="120"/>
        <v>0</v>
      </c>
      <c r="CA197" s="40">
        <f t="shared" si="120"/>
        <v>0</v>
      </c>
      <c r="CB197" s="40">
        <f t="shared" si="120"/>
        <v>0</v>
      </c>
      <c r="CC197" s="40">
        <f t="shared" si="120"/>
        <v>0</v>
      </c>
      <c r="CD197" s="40">
        <f t="shared" si="120"/>
        <v>0</v>
      </c>
      <c r="CO197" s="362"/>
      <c r="CP197" s="362"/>
      <c r="CQ197" s="362"/>
      <c r="CR197" s="362"/>
      <c r="CS197" s="362"/>
      <c r="CT197" s="362"/>
      <c r="CU197" s="362"/>
    </row>
    <row r="198" spans="2:99" s="361" customFormat="1">
      <c r="B198" s="166" t="s">
        <v>4321</v>
      </c>
      <c r="C198" s="361" t="s">
        <v>2462</v>
      </c>
      <c r="AQ198" s="361">
        <f t="shared" ref="AQ198:BH212" si="121">(AQ171/AP171-1)*100</f>
        <v>14.963093437101605</v>
      </c>
      <c r="AR198" s="361">
        <f t="shared" si="121"/>
        <v>1.9141871721119363</v>
      </c>
      <c r="AS198" s="361">
        <f t="shared" si="121"/>
        <v>-6.0856093438358521</v>
      </c>
      <c r="AT198" s="361">
        <f t="shared" si="121"/>
        <v>-4.9652911979964909</v>
      </c>
      <c r="AU198" s="361">
        <f t="shared" si="121"/>
        <v>-5.0638569691883077</v>
      </c>
      <c r="AV198" s="361">
        <f t="shared" si="121"/>
        <v>-4.1354731975087873</v>
      </c>
      <c r="AW198" s="361">
        <f t="shared" si="121"/>
        <v>-3.0112217244181672</v>
      </c>
      <c r="AX198" s="361">
        <f t="shared" si="121"/>
        <v>-12.202151371264257</v>
      </c>
      <c r="AY198" s="361">
        <f t="shared" si="121"/>
        <v>-2.5085804292394154</v>
      </c>
      <c r="AZ198" s="361">
        <f t="shared" si="121"/>
        <v>0.46082949308756671</v>
      </c>
      <c r="BA198" s="361">
        <f t="shared" si="121"/>
        <v>8.7155963302752326</v>
      </c>
      <c r="BB198" s="361">
        <f t="shared" si="121"/>
        <v>-9.7046413502109736</v>
      </c>
      <c r="BC198" s="361">
        <f t="shared" si="121"/>
        <v>5.0128845142025868</v>
      </c>
      <c r="BD198" s="361">
        <f t="shared" si="121"/>
        <v>5.4467145914048665</v>
      </c>
      <c r="BE198" s="361">
        <f t="shared" si="121"/>
        <v>-2.4508989508421175</v>
      </c>
      <c r="BF198" s="361">
        <f t="shared" si="121"/>
        <v>97.732333083099988</v>
      </c>
      <c r="BG198" s="361">
        <f t="shared" si="121"/>
        <v>15.817934265612754</v>
      </c>
      <c r="BH198" s="361">
        <f t="shared" si="121"/>
        <v>-2.1644153131440524</v>
      </c>
      <c r="BI198" s="361">
        <f t="shared" ref="BI198:BS212" si="122">(BI171/BH171-1)*100</f>
        <v>36.446444291998084</v>
      </c>
      <c r="BJ198" s="361">
        <f t="shared" si="122"/>
        <v>1.5060479648612457</v>
      </c>
      <c r="BK198" s="361">
        <f t="shared" si="122"/>
        <v>4.5962301711771625</v>
      </c>
      <c r="BL198" s="361">
        <f t="shared" si="122"/>
        <v>13.853180807067055</v>
      </c>
      <c r="BM198" s="361">
        <f t="shared" si="122"/>
        <v>-15.587477479903121</v>
      </c>
      <c r="BN198" s="361">
        <f t="shared" si="122"/>
        <v>3.0824468195755461</v>
      </c>
      <c r="BO198" s="361">
        <f t="shared" si="122"/>
        <v>-1.9117737641228705</v>
      </c>
      <c r="BP198" s="361">
        <f t="shared" si="122"/>
        <v>2.2967219867394917</v>
      </c>
      <c r="BQ198" s="361">
        <f t="shared" si="122"/>
        <v>3.6123967761128917</v>
      </c>
      <c r="BR198" s="361">
        <f t="shared" si="122"/>
        <v>3.7088921351122961</v>
      </c>
      <c r="BS198" s="361">
        <f t="shared" si="122"/>
        <v>2.5788717512891912</v>
      </c>
      <c r="BU198" s="40">
        <f t="shared" si="118"/>
        <v>0</v>
      </c>
      <c r="BV198" s="40">
        <f t="shared" si="120"/>
        <v>0</v>
      </c>
      <c r="BW198" s="40">
        <f t="shared" si="120"/>
        <v>0</v>
      </c>
      <c r="BX198" s="40">
        <f t="shared" si="120"/>
        <v>0</v>
      </c>
      <c r="BY198" s="40">
        <f t="shared" si="120"/>
        <v>0</v>
      </c>
      <c r="BZ198" s="40">
        <f t="shared" si="120"/>
        <v>0</v>
      </c>
      <c r="CA198" s="40">
        <f t="shared" si="120"/>
        <v>0</v>
      </c>
      <c r="CB198" s="40">
        <f t="shared" si="120"/>
        <v>0</v>
      </c>
      <c r="CC198" s="40">
        <f t="shared" si="120"/>
        <v>0</v>
      </c>
      <c r="CD198" s="40">
        <f t="shared" si="120"/>
        <v>0</v>
      </c>
      <c r="CO198" s="362"/>
      <c r="CP198" s="362"/>
      <c r="CQ198" s="362"/>
      <c r="CR198" s="362"/>
      <c r="CS198" s="362"/>
      <c r="CT198" s="362"/>
      <c r="CU198" s="362"/>
    </row>
    <row r="199" spans="2:99" s="361" customFormat="1">
      <c r="B199" s="166" t="s">
        <v>4322</v>
      </c>
      <c r="C199" s="361" t="s">
        <v>2462</v>
      </c>
      <c r="AQ199" s="361">
        <f t="shared" si="121"/>
        <v>-7.4778200253485476</v>
      </c>
      <c r="AR199" s="361">
        <f t="shared" si="121"/>
        <v>7.6986301369863064</v>
      </c>
      <c r="AS199" s="361">
        <f t="shared" si="121"/>
        <v>-16.382599847367096</v>
      </c>
      <c r="AT199" s="361">
        <f t="shared" si="121"/>
        <v>0.51718892607242051</v>
      </c>
      <c r="AU199" s="361">
        <f t="shared" si="121"/>
        <v>-22.397094430992738</v>
      </c>
      <c r="AV199" s="361">
        <f t="shared" si="121"/>
        <v>62.441497659906389</v>
      </c>
      <c r="AW199" s="361">
        <f t="shared" si="121"/>
        <v>-1.2725090036014408</v>
      </c>
      <c r="AX199" s="361">
        <f t="shared" si="121"/>
        <v>29.57198443579767</v>
      </c>
      <c r="AY199" s="361">
        <f t="shared" si="121"/>
        <v>33.258258258258252</v>
      </c>
      <c r="AZ199" s="361">
        <f t="shared" si="121"/>
        <v>22.535211267605625</v>
      </c>
      <c r="BA199" s="361">
        <f t="shared" si="121"/>
        <v>18.390804597701148</v>
      </c>
      <c r="BB199" s="361">
        <f t="shared" si="121"/>
        <v>9.7087378640776656</v>
      </c>
      <c r="BC199" s="361">
        <f t="shared" si="121"/>
        <v>0.80530973451327093</v>
      </c>
      <c r="BD199" s="361">
        <f t="shared" si="121"/>
        <v>-7.8570801509963983</v>
      </c>
      <c r="BE199" s="361">
        <f t="shared" si="121"/>
        <v>-10.442073170731703</v>
      </c>
      <c r="BF199" s="361">
        <f t="shared" si="121"/>
        <v>239.43810596164431</v>
      </c>
      <c r="BG199" s="361">
        <f t="shared" si="121"/>
        <v>-9.4233095915231999</v>
      </c>
      <c r="BH199" s="361">
        <f t="shared" si="121"/>
        <v>-22.229365059082728</v>
      </c>
      <c r="BI199" s="361">
        <f t="shared" si="122"/>
        <v>19.664145028810619</v>
      </c>
      <c r="BJ199" s="361">
        <f t="shared" si="122"/>
        <v>6.8102775488235734</v>
      </c>
      <c r="BK199" s="361">
        <f t="shared" si="122"/>
        <v>4.0459983298738456</v>
      </c>
      <c r="BL199" s="361">
        <f t="shared" si="122"/>
        <v>1.159927466895061</v>
      </c>
      <c r="BM199" s="361">
        <f t="shared" si="122"/>
        <v>-6.8281712499793308</v>
      </c>
      <c r="BN199" s="361">
        <f t="shared" si="122"/>
        <v>17.905430588636186</v>
      </c>
      <c r="BO199" s="361">
        <f t="shared" si="122"/>
        <v>2.0000000000000018</v>
      </c>
      <c r="BP199" s="361">
        <f t="shared" si="122"/>
        <v>2.0000000000000018</v>
      </c>
      <c r="BQ199" s="361">
        <f t="shared" si="122"/>
        <v>2.0000000000000018</v>
      </c>
      <c r="BR199" s="361">
        <f t="shared" si="122"/>
        <v>2.0000000000000018</v>
      </c>
      <c r="BS199" s="361">
        <f t="shared" si="122"/>
        <v>2.0000000000000018</v>
      </c>
      <c r="BU199" s="40">
        <f t="shared" si="118"/>
        <v>0</v>
      </c>
      <c r="BV199" s="40">
        <f t="shared" si="120"/>
        <v>0</v>
      </c>
      <c r="BW199" s="40">
        <f t="shared" si="120"/>
        <v>0</v>
      </c>
      <c r="BX199" s="40">
        <f t="shared" si="120"/>
        <v>0</v>
      </c>
      <c r="BY199" s="40">
        <f t="shared" si="120"/>
        <v>0</v>
      </c>
      <c r="BZ199" s="40">
        <f t="shared" si="120"/>
        <v>0</v>
      </c>
      <c r="CA199" s="40">
        <f t="shared" si="120"/>
        <v>0</v>
      </c>
      <c r="CB199" s="40">
        <f t="shared" si="120"/>
        <v>0</v>
      </c>
      <c r="CC199" s="40">
        <f t="shared" si="120"/>
        <v>0</v>
      </c>
      <c r="CD199" s="40">
        <f t="shared" si="120"/>
        <v>0</v>
      </c>
      <c r="CO199" s="362"/>
      <c r="CP199" s="362"/>
      <c r="CQ199" s="362"/>
      <c r="CR199" s="362"/>
      <c r="CS199" s="362"/>
      <c r="CT199" s="362"/>
      <c r="CU199" s="362"/>
    </row>
    <row r="200" spans="2:99" s="361" customFormat="1">
      <c r="B200" s="166" t="s">
        <v>4323</v>
      </c>
      <c r="C200" s="361" t="s">
        <v>2462</v>
      </c>
      <c r="AQ200" s="361">
        <f t="shared" si="121"/>
        <v>-3.1731306437133955</v>
      </c>
      <c r="AR200" s="361">
        <f t="shared" si="121"/>
        <v>-0.87156062257861544</v>
      </c>
      <c r="AS200" s="361">
        <f t="shared" si="121"/>
        <v>-1.9366121527401359</v>
      </c>
      <c r="AT200" s="361">
        <f t="shared" si="121"/>
        <v>14.27710081223581</v>
      </c>
      <c r="AU200" s="361">
        <f t="shared" si="121"/>
        <v>1.5956800600892107</v>
      </c>
      <c r="AV200" s="361">
        <f t="shared" si="121"/>
        <v>5.3413111479278186</v>
      </c>
      <c r="AW200" s="361">
        <f t="shared" si="121"/>
        <v>12.187449575801089</v>
      </c>
      <c r="AX200" s="361">
        <f t="shared" si="121"/>
        <v>6.5461175945894068</v>
      </c>
      <c r="AY200" s="361">
        <f t="shared" si="121"/>
        <v>5.5373004663676895</v>
      </c>
      <c r="AZ200" s="361">
        <f t="shared" si="121"/>
        <v>-9.1221943486499697</v>
      </c>
      <c r="BA200" s="361">
        <f t="shared" si="121"/>
        <v>25</v>
      </c>
      <c r="BB200" s="361">
        <f t="shared" si="121"/>
        <v>-8.2608695652173871</v>
      </c>
      <c r="BC200" s="361">
        <f t="shared" si="121"/>
        <v>0.25742098125067781</v>
      </c>
      <c r="BD200" s="361">
        <f t="shared" si="121"/>
        <v>30.215122740833799</v>
      </c>
      <c r="BE200" s="361">
        <f t="shared" si="121"/>
        <v>16.894872906984549</v>
      </c>
      <c r="BF200" s="361">
        <f t="shared" si="121"/>
        <v>61.981327920957007</v>
      </c>
      <c r="BG200" s="361">
        <f t="shared" si="121"/>
        <v>11.784645088930068</v>
      </c>
      <c r="BH200" s="361">
        <f t="shared" si="121"/>
        <v>4.1600331532716472</v>
      </c>
      <c r="BI200" s="361">
        <f t="shared" si="122"/>
        <v>-13.314558925152365</v>
      </c>
      <c r="BJ200" s="361">
        <f t="shared" si="122"/>
        <v>5.233692493457065</v>
      </c>
      <c r="BK200" s="361">
        <f t="shared" si="122"/>
        <v>13.707368671862863</v>
      </c>
      <c r="BL200" s="361">
        <f t="shared" si="122"/>
        <v>3.0720776210765521</v>
      </c>
      <c r="BM200" s="361">
        <f t="shared" si="122"/>
        <v>-2.399258259867787</v>
      </c>
      <c r="BN200" s="361">
        <f t="shared" si="122"/>
        <v>-4.313198865088852</v>
      </c>
      <c r="BO200" s="361">
        <f t="shared" si="122"/>
        <v>-3.9154915183320482</v>
      </c>
      <c r="BP200" s="361">
        <f t="shared" si="122"/>
        <v>5.3682936225105005</v>
      </c>
      <c r="BQ200" s="361">
        <f t="shared" si="122"/>
        <v>16.629164038008849</v>
      </c>
      <c r="BR200" s="361">
        <f t="shared" si="122"/>
        <v>0.1024708103536609</v>
      </c>
      <c r="BS200" s="361">
        <f t="shared" si="122"/>
        <v>6.824394344726592E-2</v>
      </c>
      <c r="BU200" s="40">
        <f t="shared" si="118"/>
        <v>0</v>
      </c>
      <c r="BV200" s="40">
        <f t="shared" si="120"/>
        <v>0</v>
      </c>
      <c r="BW200" s="40">
        <f t="shared" si="120"/>
        <v>0</v>
      </c>
      <c r="BX200" s="40">
        <f t="shared" si="120"/>
        <v>0</v>
      </c>
      <c r="BY200" s="40">
        <f t="shared" si="120"/>
        <v>0</v>
      </c>
      <c r="BZ200" s="40">
        <f t="shared" si="120"/>
        <v>0</v>
      </c>
      <c r="CA200" s="40">
        <f t="shared" si="120"/>
        <v>0</v>
      </c>
      <c r="CB200" s="40">
        <f t="shared" si="120"/>
        <v>0</v>
      </c>
      <c r="CC200" s="40">
        <f t="shared" si="120"/>
        <v>0</v>
      </c>
      <c r="CD200" s="40">
        <f t="shared" si="120"/>
        <v>0</v>
      </c>
      <c r="CO200" s="362"/>
      <c r="CP200" s="362"/>
      <c r="CQ200" s="362"/>
      <c r="CR200" s="362"/>
      <c r="CS200" s="362"/>
      <c r="CT200" s="362"/>
      <c r="CU200" s="362"/>
    </row>
    <row r="201" spans="2:99" s="361" customFormat="1">
      <c r="B201" s="166" t="s">
        <v>4324</v>
      </c>
      <c r="C201" s="361" t="s">
        <v>2462</v>
      </c>
      <c r="AQ201" s="361">
        <f t="shared" si="121"/>
        <v>2.851296410974391</v>
      </c>
      <c r="AR201" s="361">
        <f t="shared" si="121"/>
        <v>-15.0778788999949</v>
      </c>
      <c r="AS201" s="361">
        <f t="shared" si="121"/>
        <v>-20.238367994915151</v>
      </c>
      <c r="AT201" s="361">
        <f t="shared" si="121"/>
        <v>2.8084672093099616</v>
      </c>
      <c r="AU201" s="361">
        <f t="shared" si="121"/>
        <v>-1.6570700417526063</v>
      </c>
      <c r="AV201" s="361">
        <f t="shared" si="121"/>
        <v>4.7681526457071355</v>
      </c>
      <c r="AW201" s="361">
        <f t="shared" si="121"/>
        <v>0.24841669678825617</v>
      </c>
      <c r="AX201" s="361">
        <f t="shared" si="121"/>
        <v>2.1458705827043456</v>
      </c>
      <c r="AY201" s="361">
        <f t="shared" si="121"/>
        <v>-8.9549362485404682</v>
      </c>
      <c r="AZ201" s="361">
        <f t="shared" si="121"/>
        <v>60.062290074980851</v>
      </c>
      <c r="BA201" s="361">
        <f t="shared" si="121"/>
        <v>12.469437652811743</v>
      </c>
      <c r="BB201" s="361">
        <f t="shared" si="121"/>
        <v>-3.6956521739130443</v>
      </c>
      <c r="BC201" s="361">
        <f t="shared" si="121"/>
        <v>5.5399042505501539</v>
      </c>
      <c r="BD201" s="361">
        <f t="shared" si="121"/>
        <v>10.792238635893892</v>
      </c>
      <c r="BE201" s="361">
        <f t="shared" si="121"/>
        <v>10.231660231660221</v>
      </c>
      <c r="BF201" s="361">
        <f t="shared" si="121"/>
        <v>225.2982174469908</v>
      </c>
      <c r="BG201" s="361">
        <f t="shared" si="121"/>
        <v>1.9128267796710618</v>
      </c>
      <c r="BH201" s="361">
        <f t="shared" si="121"/>
        <v>9.2170403301744983</v>
      </c>
      <c r="BI201" s="361">
        <f t="shared" si="122"/>
        <v>-11.471334282110835</v>
      </c>
      <c r="BJ201" s="361">
        <f t="shared" si="122"/>
        <v>12.004492237796715</v>
      </c>
      <c r="BK201" s="361">
        <f t="shared" si="122"/>
        <v>1.7770139882107738</v>
      </c>
      <c r="BL201" s="361">
        <f t="shared" si="122"/>
        <v>-18.126944399578036</v>
      </c>
      <c r="BM201" s="361">
        <f t="shared" si="122"/>
        <v>8.7099944796757747</v>
      </c>
      <c r="BN201" s="361">
        <f t="shared" si="122"/>
        <v>-11.261052654252502</v>
      </c>
      <c r="BO201" s="361">
        <f t="shared" si="122"/>
        <v>4.4471033237124091</v>
      </c>
      <c r="BP201" s="361">
        <f t="shared" si="122"/>
        <v>4.0903295751432145</v>
      </c>
      <c r="BQ201" s="361">
        <f t="shared" si="122"/>
        <v>13.607403336734315</v>
      </c>
      <c r="BR201" s="361">
        <f t="shared" si="122"/>
        <v>2.0522715187592633</v>
      </c>
      <c r="BS201" s="361">
        <f t="shared" si="122"/>
        <v>1.5052445239049916E-2</v>
      </c>
      <c r="BU201" s="40">
        <f t="shared" si="118"/>
        <v>0</v>
      </c>
      <c r="BV201" s="40">
        <f t="shared" si="120"/>
        <v>0</v>
      </c>
      <c r="BW201" s="40">
        <f t="shared" si="120"/>
        <v>0</v>
      </c>
      <c r="BX201" s="40">
        <f t="shared" si="120"/>
        <v>0</v>
      </c>
      <c r="BY201" s="40">
        <f t="shared" si="120"/>
        <v>0</v>
      </c>
      <c r="BZ201" s="40">
        <f t="shared" si="120"/>
        <v>0</v>
      </c>
      <c r="CA201" s="40">
        <f t="shared" si="120"/>
        <v>0</v>
      </c>
      <c r="CB201" s="40">
        <f t="shared" si="120"/>
        <v>0</v>
      </c>
      <c r="CC201" s="40">
        <f t="shared" si="120"/>
        <v>0</v>
      </c>
      <c r="CD201" s="40">
        <f t="shared" si="120"/>
        <v>0</v>
      </c>
      <c r="CO201" s="362"/>
      <c r="CP201" s="362"/>
      <c r="CQ201" s="362"/>
      <c r="CR201" s="362"/>
      <c r="CS201" s="362"/>
      <c r="CT201" s="362"/>
      <c r="CU201" s="362"/>
    </row>
    <row r="202" spans="2:99" s="361" customFormat="1">
      <c r="B202" s="166" t="s">
        <v>4325</v>
      </c>
      <c r="C202" s="361" t="s">
        <v>2462</v>
      </c>
      <c r="AQ202" s="361">
        <f t="shared" si="121"/>
        <v>0.15317544479791501</v>
      </c>
      <c r="AR202" s="361">
        <f t="shared" si="121"/>
        <v>7.3987139154926052</v>
      </c>
      <c r="AS202" s="361">
        <f t="shared" si="121"/>
        <v>-2.6810519721921611</v>
      </c>
      <c r="AT202" s="361">
        <f t="shared" si="121"/>
        <v>-7.0494794582316782</v>
      </c>
      <c r="AU202" s="361">
        <f t="shared" si="121"/>
        <v>5.3381738020258807</v>
      </c>
      <c r="AV202" s="361">
        <f t="shared" si="121"/>
        <v>8.046952930101515</v>
      </c>
      <c r="AW202" s="361">
        <f t="shared" si="121"/>
        <v>3.2544297445753267</v>
      </c>
      <c r="AX202" s="361">
        <f t="shared" si="121"/>
        <v>7.1127030424980031</v>
      </c>
      <c r="AY202" s="361">
        <f t="shared" si="121"/>
        <v>-5.5736131174335846</v>
      </c>
      <c r="AZ202" s="361">
        <f t="shared" si="121"/>
        <v>-7.798075029568496</v>
      </c>
      <c r="BA202" s="361">
        <f t="shared" si="121"/>
        <v>4.9723756906077332</v>
      </c>
      <c r="BB202" s="361">
        <f t="shared" si="121"/>
        <v>11.578947368421044</v>
      </c>
      <c r="BC202" s="361">
        <f t="shared" si="121"/>
        <v>-1.292452830188684</v>
      </c>
      <c r="BD202" s="361">
        <f t="shared" si="121"/>
        <v>10.102265124725228</v>
      </c>
      <c r="BE202" s="361">
        <f t="shared" si="121"/>
        <v>3.0902777777777724</v>
      </c>
      <c r="BF202" s="361">
        <f t="shared" si="121"/>
        <v>-46.909029745648901</v>
      </c>
      <c r="BG202" s="361">
        <f t="shared" si="121"/>
        <v>4.9321452780879182</v>
      </c>
      <c r="BH202" s="361">
        <f t="shared" si="121"/>
        <v>9.2110549114542408</v>
      </c>
      <c r="BI202" s="361">
        <f t="shared" si="122"/>
        <v>-1.4126395356351296</v>
      </c>
      <c r="BJ202" s="361">
        <f t="shared" si="122"/>
        <v>0.22954544088482631</v>
      </c>
      <c r="BK202" s="361">
        <f t="shared" si="122"/>
        <v>14.984418221926553</v>
      </c>
      <c r="BL202" s="361">
        <f t="shared" si="122"/>
        <v>1.1480461898265348</v>
      </c>
      <c r="BM202" s="361">
        <f t="shared" si="122"/>
        <v>7.7891580411495909</v>
      </c>
      <c r="BN202" s="361">
        <f t="shared" si="122"/>
        <v>-2.122192243021459</v>
      </c>
      <c r="BO202" s="361">
        <f t="shared" si="122"/>
        <v>2.200000000000002</v>
      </c>
      <c r="BP202" s="361">
        <f t="shared" si="122"/>
        <v>2.6999999999999913</v>
      </c>
      <c r="BQ202" s="361">
        <f t="shared" si="122"/>
        <v>3.0999999999999917</v>
      </c>
      <c r="BR202" s="361">
        <f t="shared" si="122"/>
        <v>4.0999999999999925</v>
      </c>
      <c r="BS202" s="361">
        <f t="shared" si="122"/>
        <v>4.0999999999999925</v>
      </c>
      <c r="BU202" s="40">
        <f t="shared" si="118"/>
        <v>0</v>
      </c>
      <c r="BV202" s="40">
        <f t="shared" si="120"/>
        <v>0</v>
      </c>
      <c r="BW202" s="40">
        <f t="shared" si="120"/>
        <v>0</v>
      </c>
      <c r="BX202" s="40">
        <f t="shared" si="120"/>
        <v>0</v>
      </c>
      <c r="BY202" s="40">
        <f t="shared" si="120"/>
        <v>0</v>
      </c>
      <c r="BZ202" s="40">
        <f t="shared" si="120"/>
        <v>0</v>
      </c>
      <c r="CA202" s="40">
        <f t="shared" si="120"/>
        <v>0</v>
      </c>
      <c r="CB202" s="40">
        <f t="shared" si="120"/>
        <v>0</v>
      </c>
      <c r="CC202" s="40">
        <f t="shared" si="120"/>
        <v>0</v>
      </c>
      <c r="CD202" s="40">
        <f t="shared" si="120"/>
        <v>0</v>
      </c>
      <c r="CO202" s="362"/>
      <c r="CP202" s="362"/>
      <c r="CQ202" s="362"/>
      <c r="CR202" s="362"/>
      <c r="CS202" s="362"/>
      <c r="CT202" s="362"/>
      <c r="CU202" s="362"/>
    </row>
    <row r="203" spans="2:99" s="361" customFormat="1">
      <c r="B203" s="166" t="s">
        <v>1820</v>
      </c>
      <c r="C203" s="361" t="s">
        <v>2462</v>
      </c>
      <c r="AQ203" s="361">
        <f t="shared" si="121"/>
        <v>2.5715258855585788</v>
      </c>
      <c r="AR203" s="361">
        <f t="shared" si="121"/>
        <v>18.97725386020257</v>
      </c>
      <c r="AS203" s="361">
        <f t="shared" si="121"/>
        <v>-9.6288026793189925</v>
      </c>
      <c r="AT203" s="361">
        <f t="shared" si="121"/>
        <v>3.8449660284125997</v>
      </c>
      <c r="AU203" s="361">
        <f t="shared" si="121"/>
        <v>-5.9182156133828823</v>
      </c>
      <c r="AV203" s="361">
        <f t="shared" si="121"/>
        <v>6.8594910700173761</v>
      </c>
      <c r="AW203" s="361">
        <f t="shared" si="121"/>
        <v>-20.603461026475365</v>
      </c>
      <c r="AX203" s="361">
        <f t="shared" si="121"/>
        <v>16.598360655737721</v>
      </c>
      <c r="AY203" s="361">
        <f t="shared" si="121"/>
        <v>-14.762741652021095</v>
      </c>
      <c r="AZ203" s="361">
        <f t="shared" si="121"/>
        <v>-11.77904283130573</v>
      </c>
      <c r="BA203" s="361">
        <f t="shared" si="121"/>
        <v>4.5161290322580649</v>
      </c>
      <c r="BB203" s="361">
        <f t="shared" si="121"/>
        <v>0.61728395061728669</v>
      </c>
      <c r="BC203" s="361">
        <f t="shared" si="121"/>
        <v>16.993865030674836</v>
      </c>
      <c r="BD203" s="361">
        <f t="shared" si="121"/>
        <v>10.12060828526482</v>
      </c>
      <c r="BE203" s="361">
        <f t="shared" si="121"/>
        <v>8.7142857142857189</v>
      </c>
      <c r="BF203" s="361">
        <f t="shared" si="121"/>
        <v>61.365882931259506</v>
      </c>
      <c r="BG203" s="361">
        <f t="shared" si="121"/>
        <v>3.1113410200519276</v>
      </c>
      <c r="BH203" s="361">
        <f t="shared" si="121"/>
        <v>8.0665562168203984</v>
      </c>
      <c r="BI203" s="361">
        <f t="shared" si="122"/>
        <v>7.239404160105245</v>
      </c>
      <c r="BJ203" s="361">
        <f t="shared" si="122"/>
        <v>-9.8053246104220619</v>
      </c>
      <c r="BK203" s="361">
        <f t="shared" si="122"/>
        <v>11.655312236340066</v>
      </c>
      <c r="BL203" s="361">
        <f t="shared" si="122"/>
        <v>11.785272019001525</v>
      </c>
      <c r="BM203" s="361">
        <f t="shared" si="122"/>
        <v>9.4202562245122365</v>
      </c>
      <c r="BN203" s="361">
        <f t="shared" si="122"/>
        <v>23.493635964637292</v>
      </c>
      <c r="BO203" s="361">
        <f t="shared" si="122"/>
        <v>7.8000000000000069</v>
      </c>
      <c r="BP203" s="361">
        <f t="shared" si="122"/>
        <v>3.8000000000000034</v>
      </c>
      <c r="BQ203" s="361">
        <f t="shared" si="122"/>
        <v>2.50999999999999</v>
      </c>
      <c r="BR203" s="361">
        <f t="shared" si="122"/>
        <v>4.4999999999999929</v>
      </c>
      <c r="BS203" s="361">
        <f t="shared" si="122"/>
        <v>6.800000000000006</v>
      </c>
      <c r="BU203" s="40">
        <f t="shared" si="118"/>
        <v>0</v>
      </c>
      <c r="BV203" s="40">
        <f t="shared" si="120"/>
        <v>0</v>
      </c>
      <c r="BW203" s="40">
        <f t="shared" si="120"/>
        <v>0</v>
      </c>
      <c r="BX203" s="40">
        <f t="shared" si="120"/>
        <v>0</v>
      </c>
      <c r="BY203" s="40">
        <f t="shared" si="120"/>
        <v>0</v>
      </c>
      <c r="BZ203" s="40">
        <f t="shared" si="120"/>
        <v>0</v>
      </c>
      <c r="CA203" s="40">
        <f t="shared" si="120"/>
        <v>0</v>
      </c>
      <c r="CB203" s="40">
        <f t="shared" si="120"/>
        <v>0</v>
      </c>
      <c r="CC203" s="40">
        <f t="shared" si="120"/>
        <v>0</v>
      </c>
      <c r="CD203" s="40">
        <f t="shared" si="120"/>
        <v>0</v>
      </c>
      <c r="CO203" s="362"/>
      <c r="CP203" s="362"/>
      <c r="CQ203" s="362"/>
      <c r="CR203" s="362"/>
      <c r="CS203" s="362"/>
      <c r="CT203" s="362"/>
      <c r="CU203" s="362"/>
    </row>
    <row r="204" spans="2:99" s="361" customFormat="1">
      <c r="B204" s="166" t="s">
        <v>1821</v>
      </c>
      <c r="C204" s="361" t="s">
        <v>2462</v>
      </c>
      <c r="AQ204" s="361">
        <f t="shared" si="121"/>
        <v>4.3499635833940342</v>
      </c>
      <c r="AR204" s="361">
        <f t="shared" si="121"/>
        <v>4.5821773194437254</v>
      </c>
      <c r="AS204" s="361">
        <f t="shared" si="121"/>
        <v>-7.7834320513890054</v>
      </c>
      <c r="AT204" s="361">
        <f t="shared" si="121"/>
        <v>-14.139677944635432</v>
      </c>
      <c r="AU204" s="361">
        <f t="shared" si="121"/>
        <v>19.022231587820038</v>
      </c>
      <c r="AV204" s="361">
        <f t="shared" si="121"/>
        <v>-10.729081831379917</v>
      </c>
      <c r="AW204" s="361">
        <f t="shared" si="121"/>
        <v>11.431517988179763</v>
      </c>
      <c r="AX204" s="361">
        <f t="shared" si="121"/>
        <v>1.637418574021976</v>
      </c>
      <c r="AY204" s="361">
        <f t="shared" si="121"/>
        <v>-9.9481665674359903</v>
      </c>
      <c r="AZ204" s="361">
        <f t="shared" si="121"/>
        <v>-14.438502673796794</v>
      </c>
      <c r="BA204" s="361">
        <f t="shared" si="121"/>
        <v>-16.59090909090909</v>
      </c>
      <c r="BB204" s="361">
        <f t="shared" si="121"/>
        <v>7.3569482288828425</v>
      </c>
      <c r="BC204" s="361">
        <f t="shared" si="121"/>
        <v>32.969543147208128</v>
      </c>
      <c r="BD204" s="361">
        <f t="shared" si="121"/>
        <v>8.7993891964115445</v>
      </c>
      <c r="BE204" s="361">
        <f t="shared" si="121"/>
        <v>8.7719298245614077</v>
      </c>
      <c r="BF204" s="361">
        <f t="shared" si="121"/>
        <v>95.06799190666797</v>
      </c>
      <c r="BG204" s="361">
        <f t="shared" si="121"/>
        <v>6.9866192303335906</v>
      </c>
      <c r="BH204" s="361">
        <f t="shared" si="121"/>
        <v>2.3702146084527254</v>
      </c>
      <c r="BI204" s="361">
        <f t="shared" si="122"/>
        <v>19.874642583151992</v>
      </c>
      <c r="BJ204" s="361">
        <f t="shared" si="122"/>
        <v>4.4862061473254666</v>
      </c>
      <c r="BK204" s="361">
        <f t="shared" si="122"/>
        <v>2.9300593883714976</v>
      </c>
      <c r="BL204" s="361">
        <f t="shared" si="122"/>
        <v>4.999967792768123</v>
      </c>
      <c r="BM204" s="361">
        <f t="shared" si="122"/>
        <v>5.1331372084268523</v>
      </c>
      <c r="BN204" s="361">
        <f t="shared" si="122"/>
        <v>5.9695530672913444</v>
      </c>
      <c r="BO204" s="361">
        <f t="shared" si="122"/>
        <v>3.499999999999992</v>
      </c>
      <c r="BP204" s="361">
        <f t="shared" si="122"/>
        <v>2.0999999999999908</v>
      </c>
      <c r="BQ204" s="361">
        <f t="shared" si="122"/>
        <v>2.6999999999999913</v>
      </c>
      <c r="BR204" s="361">
        <f t="shared" si="122"/>
        <v>5.6999999999999718</v>
      </c>
      <c r="BS204" s="361">
        <f t="shared" si="122"/>
        <v>5.2999999999999936</v>
      </c>
      <c r="BU204" s="40">
        <f t="shared" si="118"/>
        <v>0</v>
      </c>
      <c r="BV204" s="40">
        <f t="shared" si="120"/>
        <v>0</v>
      </c>
      <c r="BW204" s="40">
        <f t="shared" si="120"/>
        <v>0</v>
      </c>
      <c r="BX204" s="40">
        <f t="shared" si="120"/>
        <v>0</v>
      </c>
      <c r="BY204" s="40">
        <f t="shared" si="120"/>
        <v>0</v>
      </c>
      <c r="BZ204" s="40">
        <f t="shared" si="120"/>
        <v>0</v>
      </c>
      <c r="CA204" s="40">
        <f t="shared" si="120"/>
        <v>0</v>
      </c>
      <c r="CB204" s="40">
        <f t="shared" si="120"/>
        <v>0</v>
      </c>
      <c r="CC204" s="40">
        <f t="shared" si="120"/>
        <v>0</v>
      </c>
      <c r="CD204" s="40">
        <f t="shared" si="120"/>
        <v>0</v>
      </c>
      <c r="CO204" s="362"/>
      <c r="CP204" s="362"/>
      <c r="CQ204" s="362"/>
      <c r="CR204" s="362"/>
      <c r="CS204" s="362"/>
      <c r="CT204" s="362"/>
      <c r="CU204" s="362"/>
    </row>
    <row r="205" spans="2:99" s="361" customFormat="1">
      <c r="B205" s="166" t="s">
        <v>1822</v>
      </c>
      <c r="C205" s="361" t="s">
        <v>2462</v>
      </c>
      <c r="AQ205" s="361">
        <f t="shared" si="121"/>
        <v>-9.0611121450122951</v>
      </c>
      <c r="AR205" s="361">
        <f t="shared" si="121"/>
        <v>4.2396752582309682</v>
      </c>
      <c r="AS205" s="361">
        <f t="shared" si="121"/>
        <v>64.514184038514117</v>
      </c>
      <c r="AT205" s="361">
        <f t="shared" si="121"/>
        <v>-16.085313967136162</v>
      </c>
      <c r="AU205" s="361">
        <f t="shared" si="121"/>
        <v>5.8040496481190029</v>
      </c>
      <c r="AV205" s="361">
        <f t="shared" si="121"/>
        <v>77.465114516493671</v>
      </c>
      <c r="AW205" s="361">
        <f t="shared" si="121"/>
        <v>9.121555862835141</v>
      </c>
      <c r="AX205" s="361">
        <f t="shared" si="121"/>
        <v>6.7733095279735478</v>
      </c>
      <c r="AY205" s="361">
        <f t="shared" si="121"/>
        <v>31.358435950865026</v>
      </c>
      <c r="AZ205" s="361">
        <f t="shared" si="121"/>
        <v>-23.570325127406178</v>
      </c>
      <c r="BA205" s="361">
        <f t="shared" si="121"/>
        <v>-1.4925373134328401</v>
      </c>
      <c r="BB205" s="361">
        <f t="shared" si="121"/>
        <v>15.151515151515159</v>
      </c>
      <c r="BC205" s="361">
        <f t="shared" si="121"/>
        <v>27.236842105263158</v>
      </c>
      <c r="BD205" s="361">
        <f t="shared" si="121"/>
        <v>9.7207859358841695</v>
      </c>
      <c r="BE205" s="361">
        <f t="shared" si="121"/>
        <v>27.238454288407166</v>
      </c>
      <c r="BF205" s="361">
        <f t="shared" si="121"/>
        <v>47.390752263957836</v>
      </c>
      <c r="BG205" s="361">
        <f t="shared" si="121"/>
        <v>-0.85901889995124714</v>
      </c>
      <c r="BH205" s="361">
        <f t="shared" si="121"/>
        <v>2.6891358009827782</v>
      </c>
      <c r="BI205" s="361">
        <f t="shared" si="122"/>
        <v>3.8499307030248398</v>
      </c>
      <c r="BJ205" s="361">
        <f t="shared" si="122"/>
        <v>20.254599226404423</v>
      </c>
      <c r="BK205" s="361">
        <f t="shared" si="122"/>
        <v>3.37929180732226</v>
      </c>
      <c r="BL205" s="361">
        <f t="shared" si="122"/>
        <v>4.8109019580852674</v>
      </c>
      <c r="BM205" s="361">
        <f t="shared" si="122"/>
        <v>3.7747206444057602</v>
      </c>
      <c r="BN205" s="361">
        <f t="shared" si="122"/>
        <v>11.518315404626334</v>
      </c>
      <c r="BO205" s="361">
        <f t="shared" si="122"/>
        <v>3.0999999999999917</v>
      </c>
      <c r="BP205" s="361">
        <f t="shared" si="122"/>
        <v>2.0999999999999908</v>
      </c>
      <c r="BQ205" s="361">
        <f t="shared" si="122"/>
        <v>2.0999999999999908</v>
      </c>
      <c r="BR205" s="361">
        <f t="shared" si="122"/>
        <v>4.6999999999999931</v>
      </c>
      <c r="BS205" s="361">
        <f t="shared" si="122"/>
        <v>5.0999999999999712</v>
      </c>
      <c r="BU205" s="40">
        <f t="shared" si="118"/>
        <v>0</v>
      </c>
      <c r="BV205" s="40">
        <f t="shared" ref="BV205:CD205" si="123">BU205</f>
        <v>0</v>
      </c>
      <c r="BW205" s="40">
        <f t="shared" si="123"/>
        <v>0</v>
      </c>
      <c r="BX205" s="40">
        <f t="shared" si="123"/>
        <v>0</v>
      </c>
      <c r="BY205" s="40">
        <f t="shared" si="123"/>
        <v>0</v>
      </c>
      <c r="BZ205" s="40">
        <f t="shared" si="123"/>
        <v>0</v>
      </c>
      <c r="CA205" s="40">
        <f t="shared" si="123"/>
        <v>0</v>
      </c>
      <c r="CB205" s="40">
        <f t="shared" si="123"/>
        <v>0</v>
      </c>
      <c r="CC205" s="40">
        <f t="shared" si="123"/>
        <v>0</v>
      </c>
      <c r="CD205" s="40">
        <f t="shared" si="123"/>
        <v>0</v>
      </c>
      <c r="CO205" s="362"/>
      <c r="CP205" s="362"/>
      <c r="CQ205" s="362"/>
      <c r="CR205" s="362"/>
      <c r="CS205" s="362"/>
      <c r="CT205" s="362"/>
      <c r="CU205" s="362"/>
    </row>
    <row r="206" spans="2:99" s="361" customFormat="1">
      <c r="B206" s="166" t="s">
        <v>78</v>
      </c>
      <c r="C206" s="361" t="s">
        <v>2462</v>
      </c>
      <c r="AQ206" s="361">
        <f t="shared" si="121"/>
        <v>2.9550111816827762</v>
      </c>
      <c r="AR206" s="361">
        <f t="shared" si="121"/>
        <v>-0.97134132679864704</v>
      </c>
      <c r="AS206" s="361">
        <f t="shared" si="121"/>
        <v>7.8442971465440881</v>
      </c>
      <c r="AT206" s="361">
        <f t="shared" si="121"/>
        <v>-0.43007292848388223</v>
      </c>
      <c r="AU206" s="361">
        <f t="shared" si="121"/>
        <v>10.708019297607096</v>
      </c>
      <c r="AV206" s="361">
        <f t="shared" si="121"/>
        <v>10.862029972726784</v>
      </c>
      <c r="AW206" s="361">
        <f t="shared" si="121"/>
        <v>6.6991311224654071</v>
      </c>
      <c r="AX206" s="361">
        <f t="shared" si="121"/>
        <v>5.5748670387469446</v>
      </c>
      <c r="AY206" s="361">
        <f t="shared" si="121"/>
        <v>1.8461116687057411</v>
      </c>
      <c r="AZ206" s="361">
        <f t="shared" si="121"/>
        <v>24.914582753756864</v>
      </c>
      <c r="BA206" s="361">
        <f t="shared" si="121"/>
        <v>28.818443804034576</v>
      </c>
      <c r="BB206" s="361">
        <f t="shared" si="121"/>
        <v>12.304250559284124</v>
      </c>
      <c r="BC206" s="361">
        <f t="shared" si="121"/>
        <v>3.0019920318725246</v>
      </c>
      <c r="BD206" s="361">
        <f t="shared" si="121"/>
        <v>7.7258042099832114</v>
      </c>
      <c r="BE206" s="361">
        <f t="shared" si="121"/>
        <v>7.878008081179555</v>
      </c>
      <c r="BF206" s="361">
        <f t="shared" si="121"/>
        <v>-23.569741989610847</v>
      </c>
      <c r="BG206" s="361">
        <f t="shared" si="121"/>
        <v>3.618194408744202</v>
      </c>
      <c r="BH206" s="361">
        <f t="shared" si="121"/>
        <v>18.470538250883784</v>
      </c>
      <c r="BI206" s="361">
        <f t="shared" si="122"/>
        <v>-0.38008717560663596</v>
      </c>
      <c r="BJ206" s="361">
        <f t="shared" si="122"/>
        <v>4.8296964056167457</v>
      </c>
      <c r="BK206" s="361">
        <f t="shared" si="122"/>
        <v>4.2835208435241023</v>
      </c>
      <c r="BL206" s="361">
        <f t="shared" si="122"/>
        <v>4.946513612643888</v>
      </c>
      <c r="BM206" s="361">
        <f t="shared" si="122"/>
        <v>6.1535572561258522</v>
      </c>
      <c r="BN206" s="361">
        <f t="shared" si="122"/>
        <v>6.5602842063712696</v>
      </c>
      <c r="BO206" s="361">
        <f t="shared" si="122"/>
        <v>2.3200000000000109</v>
      </c>
      <c r="BP206" s="361">
        <f t="shared" si="122"/>
        <v>2.0999999999999686</v>
      </c>
      <c r="BQ206" s="361">
        <f t="shared" si="122"/>
        <v>3.0999999999999917</v>
      </c>
      <c r="BR206" s="361">
        <f t="shared" si="122"/>
        <v>5.0000000000000044</v>
      </c>
      <c r="BS206" s="361">
        <f t="shared" si="122"/>
        <v>6.0999999999999943</v>
      </c>
      <c r="BU206" s="40">
        <f t="shared" si="118"/>
        <v>0</v>
      </c>
      <c r="BV206" s="40">
        <f t="shared" ref="BV206:CD206" si="124">BU206</f>
        <v>0</v>
      </c>
      <c r="BW206" s="40">
        <f t="shared" si="124"/>
        <v>0</v>
      </c>
      <c r="BX206" s="40">
        <f t="shared" si="124"/>
        <v>0</v>
      </c>
      <c r="BY206" s="40">
        <f t="shared" si="124"/>
        <v>0</v>
      </c>
      <c r="BZ206" s="40">
        <f t="shared" si="124"/>
        <v>0</v>
      </c>
      <c r="CA206" s="40">
        <f t="shared" si="124"/>
        <v>0</v>
      </c>
      <c r="CB206" s="40">
        <f t="shared" si="124"/>
        <v>0</v>
      </c>
      <c r="CC206" s="40">
        <f t="shared" si="124"/>
        <v>0</v>
      </c>
      <c r="CD206" s="40">
        <f t="shared" si="124"/>
        <v>0</v>
      </c>
      <c r="CO206" s="362"/>
      <c r="CP206" s="362"/>
      <c r="CQ206" s="362"/>
      <c r="CR206" s="362"/>
      <c r="CS206" s="362"/>
      <c r="CT206" s="362"/>
      <c r="CU206" s="362"/>
    </row>
    <row r="207" spans="2:99" s="361" customFormat="1">
      <c r="B207" s="166" t="s">
        <v>79</v>
      </c>
      <c r="C207" s="361" t="s">
        <v>2462</v>
      </c>
      <c r="AQ207" s="361">
        <f t="shared" si="121"/>
        <v>0.90446188887762791</v>
      </c>
      <c r="AR207" s="361">
        <f t="shared" si="121"/>
        <v>1.9664418224540459</v>
      </c>
      <c r="AS207" s="361">
        <f t="shared" si="121"/>
        <v>2.064129987983776</v>
      </c>
      <c r="AT207" s="361">
        <f t="shared" si="121"/>
        <v>3.4181295957957047</v>
      </c>
      <c r="AU207" s="361">
        <f t="shared" si="121"/>
        <v>-1.4589186832333456</v>
      </c>
      <c r="AV207" s="361">
        <f t="shared" si="121"/>
        <v>5.136926961194721</v>
      </c>
      <c r="AW207" s="361">
        <f t="shared" si="121"/>
        <v>-4.8064403615621032</v>
      </c>
      <c r="AX207" s="361">
        <f t="shared" si="121"/>
        <v>1.3634963901489217</v>
      </c>
      <c r="AY207" s="361">
        <f t="shared" si="121"/>
        <v>-4.2228044884461413</v>
      </c>
      <c r="AZ207" s="361">
        <f t="shared" si="121"/>
        <v>-2.022927565493482</v>
      </c>
      <c r="BA207" s="361">
        <f t="shared" si="121"/>
        <v>-0.67567567567567988</v>
      </c>
      <c r="BB207" s="361">
        <f t="shared" si="121"/>
        <v>5.1020408163265252</v>
      </c>
      <c r="BC207" s="361">
        <f t="shared" si="121"/>
        <v>3.4251255274579284</v>
      </c>
      <c r="BD207" s="361">
        <f t="shared" si="121"/>
        <v>9.0256260985075887</v>
      </c>
      <c r="BE207" s="361">
        <f t="shared" si="121"/>
        <v>7.2531293089013626</v>
      </c>
      <c r="BF207" s="361">
        <f t="shared" si="121"/>
        <v>2.9061075312274642</v>
      </c>
      <c r="BG207" s="361">
        <f t="shared" si="121"/>
        <v>9.0900565344724349</v>
      </c>
      <c r="BH207" s="361">
        <f t="shared" si="121"/>
        <v>-0.17346623141307749</v>
      </c>
      <c r="BI207" s="361">
        <f t="shared" si="122"/>
        <v>4.3187864249764063</v>
      </c>
      <c r="BJ207" s="361">
        <f t="shared" si="122"/>
        <v>6.2203625448062239</v>
      </c>
      <c r="BK207" s="361">
        <f t="shared" si="122"/>
        <v>7.5569280100678649</v>
      </c>
      <c r="BL207" s="361">
        <f t="shared" si="122"/>
        <v>11.543740070003338</v>
      </c>
      <c r="BM207" s="361">
        <f t="shared" si="122"/>
        <v>5.5155405793769319</v>
      </c>
      <c r="BN207" s="361">
        <f t="shared" si="122"/>
        <v>-2.7103906251329968</v>
      </c>
      <c r="BO207" s="361">
        <f t="shared" si="122"/>
        <v>0.8999999999999897</v>
      </c>
      <c r="BP207" s="361">
        <f t="shared" si="122"/>
        <v>1.0999999999999677</v>
      </c>
      <c r="BQ207" s="361">
        <f t="shared" si="122"/>
        <v>2.0999999999999908</v>
      </c>
      <c r="BR207" s="361">
        <f t="shared" si="122"/>
        <v>3.599999999999981</v>
      </c>
      <c r="BS207" s="361">
        <f t="shared" si="122"/>
        <v>4.8000000000000265</v>
      </c>
      <c r="BU207" s="40">
        <f t="shared" si="118"/>
        <v>0</v>
      </c>
      <c r="BV207" s="40">
        <f t="shared" ref="BV207:CD207" si="125">BU207</f>
        <v>0</v>
      </c>
      <c r="BW207" s="40">
        <f t="shared" si="125"/>
        <v>0</v>
      </c>
      <c r="BX207" s="40">
        <f t="shared" si="125"/>
        <v>0</v>
      </c>
      <c r="BY207" s="40">
        <f t="shared" si="125"/>
        <v>0</v>
      </c>
      <c r="BZ207" s="40">
        <f t="shared" si="125"/>
        <v>0</v>
      </c>
      <c r="CA207" s="40">
        <f t="shared" si="125"/>
        <v>0</v>
      </c>
      <c r="CB207" s="40">
        <f t="shared" si="125"/>
        <v>0</v>
      </c>
      <c r="CC207" s="40">
        <f t="shared" si="125"/>
        <v>0</v>
      </c>
      <c r="CD207" s="40">
        <f t="shared" si="125"/>
        <v>0</v>
      </c>
      <c r="CO207" s="362"/>
      <c r="CP207" s="362"/>
      <c r="CQ207" s="362"/>
      <c r="CR207" s="362"/>
      <c r="CS207" s="362"/>
      <c r="CT207" s="362"/>
      <c r="CU207" s="362"/>
    </row>
    <row r="208" spans="2:99" s="361" customFormat="1">
      <c r="B208" s="166" t="s">
        <v>80</v>
      </c>
      <c r="C208" s="361" t="s">
        <v>2462</v>
      </c>
      <c r="AQ208" s="361">
        <f t="shared" si="121"/>
        <v>0.73200014049865647</v>
      </c>
      <c r="AR208" s="361">
        <f t="shared" si="121"/>
        <v>0.54419036255550779</v>
      </c>
      <c r="AS208" s="361">
        <f t="shared" si="121"/>
        <v>1.8374941513637388</v>
      </c>
      <c r="AT208" s="361">
        <f t="shared" si="121"/>
        <v>0.60751403855077157</v>
      </c>
      <c r="AU208" s="361">
        <f t="shared" si="121"/>
        <v>1.4037062989616933</v>
      </c>
      <c r="AV208" s="361">
        <f t="shared" si="121"/>
        <v>2.0566818849277801</v>
      </c>
      <c r="AW208" s="361">
        <f t="shared" si="121"/>
        <v>1.3802916437701818</v>
      </c>
      <c r="AX208" s="361">
        <f t="shared" si="121"/>
        <v>2.1470994535612409</v>
      </c>
      <c r="AY208" s="361">
        <f t="shared" si="121"/>
        <v>0.47309776840720463</v>
      </c>
      <c r="AZ208" s="361">
        <f t="shared" si="121"/>
        <v>6.7078887986503632</v>
      </c>
      <c r="BA208" s="361">
        <f t="shared" si="121"/>
        <v>1.7587939698492372</v>
      </c>
      <c r="BB208" s="361">
        <f t="shared" si="121"/>
        <v>1.9753086419753041</v>
      </c>
      <c r="BC208" s="361">
        <f t="shared" si="121"/>
        <v>1.7699757869249488</v>
      </c>
      <c r="BD208" s="361">
        <f t="shared" si="121"/>
        <v>2.5829659012748918</v>
      </c>
      <c r="BE208" s="361">
        <f t="shared" si="121"/>
        <v>1.7542032259513674</v>
      </c>
      <c r="BF208" s="361">
        <f t="shared" si="121"/>
        <v>-35.310382790865447</v>
      </c>
      <c r="BG208" s="361">
        <f t="shared" si="121"/>
        <v>11.745151245348451</v>
      </c>
      <c r="BH208" s="361">
        <f t="shared" si="121"/>
        <v>-6.6306671909253101</v>
      </c>
      <c r="BI208" s="361">
        <f t="shared" si="122"/>
        <v>0.34781941961590235</v>
      </c>
      <c r="BJ208" s="361">
        <f t="shared" si="122"/>
        <v>-2.4304352496432813</v>
      </c>
      <c r="BK208" s="361">
        <f t="shared" si="122"/>
        <v>6.338858881231757</v>
      </c>
      <c r="BL208" s="361">
        <f t="shared" si="122"/>
        <v>2.601977269188871</v>
      </c>
      <c r="BM208" s="361">
        <f t="shared" si="122"/>
        <v>2.9276758786821011</v>
      </c>
      <c r="BN208" s="361">
        <f t="shared" si="122"/>
        <v>3.7455426660155222</v>
      </c>
      <c r="BO208" s="361">
        <f t="shared" si="122"/>
        <v>1.0999999999999899</v>
      </c>
      <c r="BP208" s="361">
        <f t="shared" si="122"/>
        <v>1.1999999999999789</v>
      </c>
      <c r="BQ208" s="361">
        <f t="shared" si="122"/>
        <v>2.100000000000013</v>
      </c>
      <c r="BR208" s="361">
        <f t="shared" si="122"/>
        <v>2.0999999999999908</v>
      </c>
      <c r="BS208" s="361">
        <f t="shared" si="122"/>
        <v>2.0100000000000007</v>
      </c>
      <c r="BU208" s="40">
        <f t="shared" si="118"/>
        <v>0</v>
      </c>
      <c r="BV208" s="40">
        <f t="shared" ref="BV208:CD208" si="126">BU208</f>
        <v>0</v>
      </c>
      <c r="BW208" s="40">
        <f t="shared" si="126"/>
        <v>0</v>
      </c>
      <c r="BX208" s="40">
        <f t="shared" si="126"/>
        <v>0</v>
      </c>
      <c r="BY208" s="40">
        <f t="shared" si="126"/>
        <v>0</v>
      </c>
      <c r="BZ208" s="40">
        <f t="shared" si="126"/>
        <v>0</v>
      </c>
      <c r="CA208" s="40">
        <f t="shared" si="126"/>
        <v>0</v>
      </c>
      <c r="CB208" s="40">
        <f t="shared" si="126"/>
        <v>0</v>
      </c>
      <c r="CC208" s="40">
        <f t="shared" si="126"/>
        <v>0</v>
      </c>
      <c r="CD208" s="40">
        <f t="shared" si="126"/>
        <v>0</v>
      </c>
      <c r="CO208" s="362"/>
      <c r="CP208" s="362"/>
      <c r="CQ208" s="362"/>
      <c r="CR208" s="362"/>
      <c r="CS208" s="362"/>
      <c r="CT208" s="362"/>
      <c r="CU208" s="362"/>
    </row>
    <row r="209" spans="2:99" s="361" customFormat="1">
      <c r="B209" s="166" t="s">
        <v>81</v>
      </c>
      <c r="C209" s="361" t="s">
        <v>2462</v>
      </c>
      <c r="AQ209" s="361">
        <f t="shared" si="121"/>
        <v>2.8785187529606127</v>
      </c>
      <c r="AR209" s="361">
        <f t="shared" si="121"/>
        <v>-3.4620060790273466</v>
      </c>
      <c r="AS209" s="361">
        <f t="shared" si="121"/>
        <v>-8.3498630395768547</v>
      </c>
      <c r="AT209" s="361">
        <f t="shared" si="121"/>
        <v>-4.0743412690233072</v>
      </c>
      <c r="AU209" s="361">
        <f t="shared" si="121"/>
        <v>-6.1562153063782539</v>
      </c>
      <c r="AV209" s="361">
        <f t="shared" si="121"/>
        <v>-6.1097542359945134</v>
      </c>
      <c r="AW209" s="361">
        <f t="shared" si="121"/>
        <v>-2.1054342966304929</v>
      </c>
      <c r="AX209" s="361">
        <f t="shared" si="121"/>
        <v>0.67676977371808889</v>
      </c>
      <c r="AY209" s="361">
        <f t="shared" si="121"/>
        <v>-0.80419003629165209</v>
      </c>
      <c r="AZ209" s="361">
        <f t="shared" si="121"/>
        <v>1.8583960420737622</v>
      </c>
      <c r="BA209" s="361">
        <f t="shared" si="121"/>
        <v>2.4489795918367419</v>
      </c>
      <c r="BB209" s="361">
        <f t="shared" si="121"/>
        <v>1.195219123505975</v>
      </c>
      <c r="BC209" s="361">
        <f t="shared" si="121"/>
        <v>-0.35039370078739918</v>
      </c>
      <c r="BD209" s="361">
        <f t="shared" si="121"/>
        <v>-0.48990557465133922</v>
      </c>
      <c r="BE209" s="361">
        <f t="shared" si="121"/>
        <v>5.8760471671894354</v>
      </c>
      <c r="BF209" s="361">
        <f t="shared" si="121"/>
        <v>193.60125419150026</v>
      </c>
      <c r="BG209" s="361">
        <f t="shared" si="121"/>
        <v>2.4211135312347087</v>
      </c>
      <c r="BH209" s="361">
        <f t="shared" si="121"/>
        <v>4.0507366078530893</v>
      </c>
      <c r="BI209" s="361">
        <f t="shared" si="122"/>
        <v>0.59414438003047021</v>
      </c>
      <c r="BJ209" s="361">
        <f t="shared" si="122"/>
        <v>2.0456445706394932</v>
      </c>
      <c r="BK209" s="361">
        <f t="shared" si="122"/>
        <v>-3.5048943958497447</v>
      </c>
      <c r="BL209" s="361">
        <f t="shared" si="122"/>
        <v>20.462484255765023</v>
      </c>
      <c r="BM209" s="361">
        <f t="shared" si="122"/>
        <v>2.4382943590588235</v>
      </c>
      <c r="BN209" s="361">
        <f t="shared" si="122"/>
        <v>1.6878290796066286</v>
      </c>
      <c r="BO209" s="361">
        <f t="shared" si="122"/>
        <v>0.70115427189556545</v>
      </c>
      <c r="BP209" s="361">
        <f t="shared" si="122"/>
        <v>0.66522701776305926</v>
      </c>
      <c r="BQ209" s="361">
        <f t="shared" si="122"/>
        <v>0.46238325342033981</v>
      </c>
      <c r="BR209" s="361">
        <f t="shared" si="122"/>
        <v>0.18901747464223906</v>
      </c>
      <c r="BS209" s="361">
        <f t="shared" si="122"/>
        <v>0.1628774384388576</v>
      </c>
      <c r="BU209" s="40">
        <f t="shared" si="118"/>
        <v>0</v>
      </c>
      <c r="BV209" s="40">
        <f t="shared" ref="BV209:CD209" si="127">BU209</f>
        <v>0</v>
      </c>
      <c r="BW209" s="40">
        <f t="shared" si="127"/>
        <v>0</v>
      </c>
      <c r="BX209" s="40">
        <f t="shared" si="127"/>
        <v>0</v>
      </c>
      <c r="BY209" s="40">
        <f t="shared" si="127"/>
        <v>0</v>
      </c>
      <c r="BZ209" s="40">
        <f t="shared" si="127"/>
        <v>0</v>
      </c>
      <c r="CA209" s="40">
        <f t="shared" si="127"/>
        <v>0</v>
      </c>
      <c r="CB209" s="40">
        <f t="shared" si="127"/>
        <v>0</v>
      </c>
      <c r="CC209" s="40">
        <f t="shared" si="127"/>
        <v>0</v>
      </c>
      <c r="CD209" s="40">
        <f t="shared" si="127"/>
        <v>0</v>
      </c>
      <c r="CO209" s="362"/>
      <c r="CP209" s="362"/>
      <c r="CQ209" s="362"/>
      <c r="CR209" s="362"/>
      <c r="CS209" s="362"/>
      <c r="CT209" s="362"/>
      <c r="CU209" s="362"/>
    </row>
    <row r="210" spans="2:99" s="361" customFormat="1">
      <c r="B210" s="166" t="s">
        <v>82</v>
      </c>
      <c r="C210" s="361" t="s">
        <v>2462</v>
      </c>
      <c r="AQ210" s="361">
        <f t="shared" si="121"/>
        <v>-8.839716525536744</v>
      </c>
      <c r="AR210" s="361">
        <f t="shared" si="121"/>
        <v>-1.5487804878048683</v>
      </c>
      <c r="AS210" s="361">
        <f t="shared" si="121"/>
        <v>2.2482348569305088</v>
      </c>
      <c r="AT210" s="361">
        <f t="shared" si="121"/>
        <v>-9.6795687200920693</v>
      </c>
      <c r="AU210" s="361">
        <f t="shared" si="121"/>
        <v>9.66400643819998</v>
      </c>
      <c r="AV210" s="361">
        <f t="shared" si="121"/>
        <v>0.20181017612523888</v>
      </c>
      <c r="AW210" s="361">
        <f t="shared" si="121"/>
        <v>3.9670430271589785</v>
      </c>
      <c r="AX210" s="361">
        <f t="shared" si="121"/>
        <v>7.5785148224244203</v>
      </c>
      <c r="AY210" s="361">
        <f t="shared" si="121"/>
        <v>0.8621630470370123</v>
      </c>
      <c r="AZ210" s="361">
        <f t="shared" si="121"/>
        <v>1.1685782298203939</v>
      </c>
      <c r="BA210" s="361">
        <f t="shared" si="121"/>
        <v>3.7433155080213831</v>
      </c>
      <c r="BB210" s="361">
        <f t="shared" si="121"/>
        <v>1.5463917525773141</v>
      </c>
      <c r="BC210" s="361">
        <f t="shared" si="121"/>
        <v>0.91878172588832907</v>
      </c>
      <c r="BD210" s="361">
        <f t="shared" si="121"/>
        <v>3.3952014486192894</v>
      </c>
      <c r="BE210" s="361">
        <f t="shared" si="121"/>
        <v>2.583187390542907</v>
      </c>
      <c r="BF210" s="361">
        <f t="shared" si="121"/>
        <v>-97.237772375597402</v>
      </c>
      <c r="BG210" s="361">
        <f t="shared" si="121"/>
        <v>28.843785064344239</v>
      </c>
      <c r="BH210" s="361">
        <f t="shared" si="121"/>
        <v>-15.50587366320052</v>
      </c>
      <c r="BI210" s="361">
        <f t="shared" si="122"/>
        <v>3.2598664095595309</v>
      </c>
      <c r="BJ210" s="361">
        <f t="shared" si="122"/>
        <v>2.0490841721810593</v>
      </c>
      <c r="BK210" s="361">
        <f t="shared" si="122"/>
        <v>4.5648734480970621</v>
      </c>
      <c r="BL210" s="361">
        <f t="shared" si="122"/>
        <v>1.8605982539001031</v>
      </c>
      <c r="BM210" s="361">
        <f t="shared" si="122"/>
        <v>-4.4822256568778922</v>
      </c>
      <c r="BN210" s="361">
        <f t="shared" si="122"/>
        <v>2.9567519858781921</v>
      </c>
      <c r="BO210" s="361">
        <f t="shared" si="122"/>
        <v>1.0000000000000009</v>
      </c>
      <c r="BP210" s="361">
        <f t="shared" si="122"/>
        <v>1.0000000000000009</v>
      </c>
      <c r="BQ210" s="361">
        <f t="shared" si="122"/>
        <v>1.0000000000000009</v>
      </c>
      <c r="BR210" s="361">
        <f t="shared" si="122"/>
        <v>1.0000000000000009</v>
      </c>
      <c r="BS210" s="361">
        <f t="shared" si="122"/>
        <v>1.0000000000000009</v>
      </c>
      <c r="BU210" s="40">
        <f t="shared" si="118"/>
        <v>0</v>
      </c>
      <c r="BV210" s="40">
        <f t="shared" ref="BV210:CD210" si="128">BU210</f>
        <v>0</v>
      </c>
      <c r="BW210" s="40">
        <f t="shared" si="128"/>
        <v>0</v>
      </c>
      <c r="BX210" s="40">
        <f t="shared" si="128"/>
        <v>0</v>
      </c>
      <c r="BY210" s="40">
        <f t="shared" si="128"/>
        <v>0</v>
      </c>
      <c r="BZ210" s="40">
        <f t="shared" si="128"/>
        <v>0</v>
      </c>
      <c r="CA210" s="40">
        <f t="shared" si="128"/>
        <v>0</v>
      </c>
      <c r="CB210" s="40">
        <f t="shared" si="128"/>
        <v>0</v>
      </c>
      <c r="CC210" s="40">
        <f t="shared" si="128"/>
        <v>0</v>
      </c>
      <c r="CD210" s="40">
        <f t="shared" si="128"/>
        <v>0</v>
      </c>
      <c r="CO210" s="362"/>
      <c r="CP210" s="362"/>
      <c r="CQ210" s="362"/>
      <c r="CR210" s="362"/>
      <c r="CS210" s="362"/>
      <c r="CT210" s="362"/>
      <c r="CU210" s="362"/>
    </row>
    <row r="211" spans="2:99" s="361" customFormat="1">
      <c r="B211" s="166" t="s">
        <v>83</v>
      </c>
      <c r="C211" s="361" t="s">
        <v>2462</v>
      </c>
      <c r="AQ211" s="361">
        <f t="shared" si="121"/>
        <v>-12.400427573513007</v>
      </c>
      <c r="AR211" s="361">
        <f t="shared" si="121"/>
        <v>51.916666666666679</v>
      </c>
      <c r="AS211" s="361">
        <f t="shared" si="121"/>
        <v>2.2764673614920516</v>
      </c>
      <c r="AT211" s="361">
        <f t="shared" si="121"/>
        <v>-6.1142397425583255</v>
      </c>
      <c r="AU211" s="361">
        <f t="shared" si="121"/>
        <v>-4.2273636103970169</v>
      </c>
      <c r="AV211" s="361">
        <f t="shared" si="121"/>
        <v>0.47718461079628849</v>
      </c>
      <c r="AW211" s="361">
        <f t="shared" si="121"/>
        <v>-0.385871178391195</v>
      </c>
      <c r="AX211" s="361">
        <f t="shared" si="121"/>
        <v>-3.3373063170441086</v>
      </c>
      <c r="AY211" s="361">
        <f t="shared" si="121"/>
        <v>-3.0826140567200899</v>
      </c>
      <c r="AZ211" s="361">
        <f t="shared" si="121"/>
        <v>8.1424936386768501</v>
      </c>
      <c r="BA211" s="361">
        <f t="shared" si="121"/>
        <v>-8.8235294117647083</v>
      </c>
      <c r="BB211" s="361">
        <f t="shared" si="121"/>
        <v>-3.2258064516129004</v>
      </c>
      <c r="BC211" s="361">
        <f t="shared" si="121"/>
        <v>1.2333333333333307</v>
      </c>
      <c r="BD211" s="361">
        <f t="shared" si="121"/>
        <v>-4.7744484688837634</v>
      </c>
      <c r="BE211" s="361">
        <f t="shared" si="121"/>
        <v>7.3651452282157637</v>
      </c>
      <c r="BF211" s="361">
        <f t="shared" si="121"/>
        <v>57.509249597423519</v>
      </c>
      <c r="BG211" s="361">
        <f t="shared" si="121"/>
        <v>0.58641128656555797</v>
      </c>
      <c r="BH211" s="361">
        <f t="shared" si="121"/>
        <v>-19.601029456532181</v>
      </c>
      <c r="BI211" s="361">
        <f t="shared" si="122"/>
        <v>10.883815832722309</v>
      </c>
      <c r="BJ211" s="361">
        <f t="shared" si="122"/>
        <v>-2.0012423482507202</v>
      </c>
      <c r="BK211" s="361">
        <f t="shared" si="122"/>
        <v>1.5705709898087283</v>
      </c>
      <c r="BL211" s="361">
        <f t="shared" si="122"/>
        <v>4.558678670423566</v>
      </c>
      <c r="BM211" s="361">
        <f t="shared" si="122"/>
        <v>1.8995245711280973</v>
      </c>
      <c r="BN211" s="361">
        <f t="shared" si="122"/>
        <v>1.3824983874435537</v>
      </c>
      <c r="BO211" s="361">
        <f t="shared" si="122"/>
        <v>1.2000000000000011</v>
      </c>
      <c r="BP211" s="361">
        <f t="shared" si="122"/>
        <v>1.6999999999999904</v>
      </c>
      <c r="BQ211" s="361">
        <f t="shared" si="122"/>
        <v>1.1999999999999789</v>
      </c>
      <c r="BR211" s="361">
        <f t="shared" si="122"/>
        <v>1.0999999999999899</v>
      </c>
      <c r="BS211" s="361">
        <f t="shared" si="122"/>
        <v>1.2000000000000011</v>
      </c>
      <c r="BU211" s="40">
        <f t="shared" si="118"/>
        <v>0</v>
      </c>
      <c r="BV211" s="40">
        <f t="shared" ref="BV211:CD211" si="129">BU211</f>
        <v>0</v>
      </c>
      <c r="BW211" s="40">
        <f t="shared" si="129"/>
        <v>0</v>
      </c>
      <c r="BX211" s="40">
        <f t="shared" si="129"/>
        <v>0</v>
      </c>
      <c r="BY211" s="40">
        <f t="shared" si="129"/>
        <v>0</v>
      </c>
      <c r="BZ211" s="40">
        <f t="shared" si="129"/>
        <v>0</v>
      </c>
      <c r="CA211" s="40">
        <f t="shared" si="129"/>
        <v>0</v>
      </c>
      <c r="CB211" s="40">
        <f t="shared" si="129"/>
        <v>0</v>
      </c>
      <c r="CC211" s="40">
        <f t="shared" si="129"/>
        <v>0</v>
      </c>
      <c r="CD211" s="40">
        <f t="shared" si="129"/>
        <v>0</v>
      </c>
      <c r="CO211" s="362"/>
      <c r="CP211" s="362"/>
      <c r="CQ211" s="362"/>
      <c r="CR211" s="362"/>
      <c r="CS211" s="362"/>
      <c r="CT211" s="362"/>
      <c r="CU211" s="362"/>
    </row>
    <row r="212" spans="2:99" s="361" customFormat="1">
      <c r="B212" s="166" t="s">
        <v>84</v>
      </c>
      <c r="C212" s="361" t="s">
        <v>2462</v>
      </c>
      <c r="AQ212" s="361">
        <f t="shared" si="121"/>
        <v>-2.7621195039458812</v>
      </c>
      <c r="AR212" s="361">
        <f t="shared" si="121"/>
        <v>-4.5362318840579618</v>
      </c>
      <c r="AS212" s="361">
        <f t="shared" si="121"/>
        <v>0</v>
      </c>
      <c r="AT212" s="361">
        <f t="shared" ref="AT212:BH212" si="130">(AT185/AS185-1)*100</f>
        <v>-4.6758767268862966</v>
      </c>
      <c r="AU212" s="361">
        <f t="shared" si="130"/>
        <v>3.9178213091256575</v>
      </c>
      <c r="AV212" s="361">
        <f t="shared" si="130"/>
        <v>-0.36781609195400966</v>
      </c>
      <c r="AW212" s="361">
        <f t="shared" si="130"/>
        <v>0.26149823104137937</v>
      </c>
      <c r="AX212" s="361">
        <f t="shared" si="130"/>
        <v>3.6054004295796194</v>
      </c>
      <c r="AY212" s="361">
        <f t="shared" si="130"/>
        <v>2.3841255738190403</v>
      </c>
      <c r="AZ212" s="361">
        <f t="shared" si="130"/>
        <v>1.2438530517790092</v>
      </c>
      <c r="BA212" s="361">
        <f t="shared" si="130"/>
        <v>1.4285714285714235</v>
      </c>
      <c r="BB212" s="361">
        <f t="shared" si="130"/>
        <v>1.4084507042253502</v>
      </c>
      <c r="BC212" s="361">
        <f t="shared" si="130"/>
        <v>-0.55555555555556468</v>
      </c>
      <c r="BD212" s="361">
        <f t="shared" si="130"/>
        <v>-0.41899441340781385</v>
      </c>
      <c r="BE212" s="361">
        <f t="shared" si="130"/>
        <v>5.7503506311360475</v>
      </c>
      <c r="BF212" s="361">
        <f t="shared" si="130"/>
        <v>-53.048266949077075</v>
      </c>
      <c r="BG212" s="361">
        <f t="shared" si="130"/>
        <v>24.31304585595857</v>
      </c>
      <c r="BH212" s="361">
        <f t="shared" si="130"/>
        <v>42.996520323415766</v>
      </c>
      <c r="BI212" s="361">
        <f t="shared" si="122"/>
        <v>-12.94443952525185</v>
      </c>
      <c r="BJ212" s="361">
        <f t="shared" si="122"/>
        <v>-2.3350139581424068</v>
      </c>
      <c r="BK212" s="361">
        <f t="shared" si="122"/>
        <v>33.282840072929432</v>
      </c>
      <c r="BL212" s="361">
        <f t="shared" si="122"/>
        <v>4.0370754690523647</v>
      </c>
      <c r="BM212" s="361">
        <f t="shared" si="122"/>
        <v>2.438235413044354</v>
      </c>
      <c r="BN212" s="361">
        <f t="shared" si="122"/>
        <v>4.1683113602273725</v>
      </c>
      <c r="BO212" s="361">
        <f t="shared" si="122"/>
        <v>3.599999999999981</v>
      </c>
      <c r="BP212" s="361">
        <f t="shared" si="122"/>
        <v>3.4399999999999986</v>
      </c>
      <c r="BQ212" s="361">
        <f t="shared" si="122"/>
        <v>3.0000000000000027</v>
      </c>
      <c r="BR212" s="361">
        <f t="shared" si="122"/>
        <v>4.0999999999999925</v>
      </c>
      <c r="BS212" s="361">
        <f t="shared" si="122"/>
        <v>4.3000000000000149</v>
      </c>
      <c r="BU212" s="40">
        <f t="shared" si="118"/>
        <v>0</v>
      </c>
      <c r="BV212" s="40">
        <f t="shared" ref="BV212:CD212" si="131">BU212</f>
        <v>0</v>
      </c>
      <c r="BW212" s="40">
        <f t="shared" si="131"/>
        <v>0</v>
      </c>
      <c r="BX212" s="40">
        <f t="shared" si="131"/>
        <v>0</v>
      </c>
      <c r="BY212" s="40">
        <f t="shared" si="131"/>
        <v>0</v>
      </c>
      <c r="BZ212" s="40">
        <f t="shared" si="131"/>
        <v>0</v>
      </c>
      <c r="CA212" s="40">
        <f t="shared" si="131"/>
        <v>0</v>
      </c>
      <c r="CB212" s="40">
        <f t="shared" si="131"/>
        <v>0</v>
      </c>
      <c r="CC212" s="40">
        <f t="shared" si="131"/>
        <v>0</v>
      </c>
      <c r="CD212" s="40">
        <f t="shared" si="131"/>
        <v>0</v>
      </c>
      <c r="CO212" s="362"/>
      <c r="CP212" s="362"/>
      <c r="CQ212" s="362"/>
      <c r="CR212" s="362"/>
      <c r="CS212" s="362"/>
      <c r="CT212" s="362"/>
      <c r="CU212" s="362"/>
    </row>
    <row r="213" spans="2:99" s="361" customFormat="1">
      <c r="B213" s="166" t="s">
        <v>86</v>
      </c>
      <c r="C213" s="361" t="s">
        <v>2462</v>
      </c>
      <c r="AQ213" s="361">
        <f t="shared" ref="AQ213:BE213" si="132">((AQ188-AQ190)/(AP188-AP190)-1)*100</f>
        <v>6.5928046319191136</v>
      </c>
      <c r="AR213" s="361">
        <f t="shared" si="132"/>
        <v>-3.1048778901109575</v>
      </c>
      <c r="AS213" s="361">
        <f t="shared" si="132"/>
        <v>-21.735149834999113</v>
      </c>
      <c r="AT213" s="361">
        <f t="shared" si="132"/>
        <v>60.197519490388785</v>
      </c>
      <c r="AU213" s="361">
        <f t="shared" si="132"/>
        <v>-14.427075443940119</v>
      </c>
      <c r="AV213" s="361">
        <f t="shared" si="132"/>
        <v>-2.4277015758114029</v>
      </c>
      <c r="AW213" s="361">
        <f t="shared" si="132"/>
        <v>34.607342981020729</v>
      </c>
      <c r="AX213" s="361">
        <f t="shared" si="132"/>
        <v>-1.289313920630164</v>
      </c>
      <c r="AY213" s="361">
        <f t="shared" si="132"/>
        <v>4.926552581962329</v>
      </c>
      <c r="AZ213" s="361">
        <f t="shared" si="132"/>
        <v>-6.0075992226949815</v>
      </c>
      <c r="BA213" s="361">
        <f t="shared" si="132"/>
        <v>-4.9206349206349254</v>
      </c>
      <c r="BB213" s="361">
        <f t="shared" si="132"/>
        <v>3.5058430717863187</v>
      </c>
      <c r="BC213" s="361">
        <f t="shared" si="132"/>
        <v>2.7419354838709609</v>
      </c>
      <c r="BD213" s="361">
        <f t="shared" si="132"/>
        <v>12.872841444270012</v>
      </c>
      <c r="BE213" s="361">
        <f t="shared" si="132"/>
        <v>-10.987482614742694</v>
      </c>
      <c r="BU213" s="40">
        <f t="shared" si="118"/>
        <v>0</v>
      </c>
      <c r="BV213" s="40">
        <f t="shared" ref="BV213:CD213" si="133">BU213</f>
        <v>0</v>
      </c>
      <c r="BW213" s="40">
        <f t="shared" si="133"/>
        <v>0</v>
      </c>
      <c r="BX213" s="40">
        <f t="shared" si="133"/>
        <v>0</v>
      </c>
      <c r="BY213" s="40">
        <f t="shared" si="133"/>
        <v>0</v>
      </c>
      <c r="BZ213" s="40">
        <f t="shared" si="133"/>
        <v>0</v>
      </c>
      <c r="CA213" s="40">
        <f t="shared" si="133"/>
        <v>0</v>
      </c>
      <c r="CB213" s="40">
        <f t="shared" si="133"/>
        <v>0</v>
      </c>
      <c r="CC213" s="40">
        <f t="shared" si="133"/>
        <v>0</v>
      </c>
      <c r="CD213" s="40">
        <f t="shared" si="133"/>
        <v>0</v>
      </c>
      <c r="CO213" s="362"/>
      <c r="CP213" s="362"/>
      <c r="CQ213" s="362"/>
      <c r="CR213" s="362"/>
      <c r="CS213" s="362"/>
      <c r="CT213" s="362"/>
      <c r="CU213" s="362"/>
    </row>
    <row r="214" spans="2:99" s="361" customFormat="1">
      <c r="B214" s="166" t="s">
        <v>1803</v>
      </c>
      <c r="C214" s="361" t="s">
        <v>2462</v>
      </c>
      <c r="AQ214" s="361">
        <f t="shared" ref="AQ214:BG214" si="134">(AQ194/AP194-1)*100</f>
        <v>2.7434750082400816</v>
      </c>
      <c r="AR214" s="361">
        <f t="shared" si="134"/>
        <v>0.37593964749580433</v>
      </c>
      <c r="AS214" s="361">
        <f t="shared" si="134"/>
        <v>-6.7020313276396681</v>
      </c>
      <c r="AT214" s="361">
        <f t="shared" si="134"/>
        <v>3.3899789678968562</v>
      </c>
      <c r="AU214" s="361">
        <f t="shared" si="134"/>
        <v>8.4874774317178492E-3</v>
      </c>
      <c r="AV214" s="361">
        <f t="shared" si="134"/>
        <v>1.0374594953888039</v>
      </c>
      <c r="AW214" s="361">
        <f t="shared" si="134"/>
        <v>5.7393417424367543</v>
      </c>
      <c r="AX214" s="361">
        <f t="shared" si="134"/>
        <v>2.3304041682702614</v>
      </c>
      <c r="AY214" s="361">
        <f t="shared" si="134"/>
        <v>-1.401013999887013</v>
      </c>
      <c r="AZ214" s="361">
        <f t="shared" si="134"/>
        <v>2.3684245752484845</v>
      </c>
      <c r="BA214" s="361">
        <f t="shared" si="134"/>
        <v>6.2706270627062688</v>
      </c>
      <c r="BB214" s="361">
        <f t="shared" si="134"/>
        <v>2.1739130434782705</v>
      </c>
      <c r="BC214" s="361">
        <f t="shared" si="134"/>
        <v>6.8431033595439228</v>
      </c>
      <c r="BD214" s="361">
        <f t="shared" si="134"/>
        <v>8.6728285134836103</v>
      </c>
      <c r="BE214" s="361">
        <f t="shared" si="134"/>
        <v>6.8062827225130906</v>
      </c>
      <c r="BF214" s="361">
        <f t="shared" si="134"/>
        <v>49.672794117647044</v>
      </c>
      <c r="BG214" s="361">
        <f t="shared" si="134"/>
        <v>6.0468505645485005</v>
      </c>
      <c r="BH214" s="361">
        <f>(BH194/BG194-1)*100</f>
        <v>3.9974304769522684</v>
      </c>
      <c r="BI214" s="361">
        <f t="shared" ref="BI214:BS214" si="135">(BI194/BH194-1)*100</f>
        <v>3.1677352489613675</v>
      </c>
      <c r="BJ214" s="361">
        <f t="shared" si="135"/>
        <v>5.148299108247989</v>
      </c>
      <c r="BK214" s="361">
        <f t="shared" si="135"/>
        <v>17.864363118222016</v>
      </c>
      <c r="BL214" s="361">
        <f t="shared" si="135"/>
        <v>14.288401887359958</v>
      </c>
      <c r="BM214" s="361">
        <f t="shared" si="135"/>
        <v>3.3190602092804333</v>
      </c>
      <c r="BN214" s="361">
        <f t="shared" si="135"/>
        <v>1.8711681179546025</v>
      </c>
      <c r="BO214" s="361">
        <f t="shared" si="135"/>
        <v>1.7427113006534656</v>
      </c>
      <c r="BP214" s="361">
        <f t="shared" si="135"/>
        <v>2.5704083926513022</v>
      </c>
      <c r="BQ214" s="361">
        <f t="shared" si="135"/>
        <v>5.3235311517358719</v>
      </c>
      <c r="BR214" s="361">
        <f t="shared" si="135"/>
        <v>3.254450498220951</v>
      </c>
      <c r="BS214" s="361">
        <f t="shared" si="135"/>
        <v>3.0574848600005256</v>
      </c>
      <c r="BU214" s="40">
        <f t="shared" si="118"/>
        <v>0</v>
      </c>
      <c r="BV214" s="40">
        <f t="shared" ref="BV214:CD214" si="136">BU214</f>
        <v>0</v>
      </c>
      <c r="BW214" s="40">
        <f t="shared" si="136"/>
        <v>0</v>
      </c>
      <c r="BX214" s="40">
        <f t="shared" si="136"/>
        <v>0</v>
      </c>
      <c r="BY214" s="40">
        <f t="shared" si="136"/>
        <v>0</v>
      </c>
      <c r="BZ214" s="40">
        <f t="shared" si="136"/>
        <v>0</v>
      </c>
      <c r="CA214" s="40">
        <f t="shared" si="136"/>
        <v>0</v>
      </c>
      <c r="CB214" s="40">
        <f t="shared" si="136"/>
        <v>0</v>
      </c>
      <c r="CC214" s="40">
        <f t="shared" si="136"/>
        <v>0</v>
      </c>
      <c r="CD214" s="40">
        <f t="shared" si="136"/>
        <v>0</v>
      </c>
      <c r="CO214" s="362"/>
      <c r="CP214" s="362"/>
      <c r="CQ214" s="362"/>
      <c r="CR214" s="362"/>
      <c r="CS214" s="362"/>
      <c r="CT214" s="362"/>
      <c r="CU214" s="362"/>
    </row>
    <row r="215" spans="2:99" s="361" customFormat="1">
      <c r="B215" s="605"/>
      <c r="BU215" s="40">
        <f t="shared" si="118"/>
        <v>0</v>
      </c>
      <c r="BV215" s="40">
        <f t="shared" ref="BV215:CD215" si="137">BU215</f>
        <v>0</v>
      </c>
      <c r="BW215" s="40">
        <f t="shared" si="137"/>
        <v>0</v>
      </c>
      <c r="BX215" s="40">
        <f t="shared" si="137"/>
        <v>0</v>
      </c>
      <c r="BY215" s="40">
        <f t="shared" si="137"/>
        <v>0</v>
      </c>
      <c r="BZ215" s="40">
        <f t="shared" si="137"/>
        <v>0</v>
      </c>
      <c r="CA215" s="40">
        <f t="shared" si="137"/>
        <v>0</v>
      </c>
      <c r="CB215" s="40">
        <f t="shared" si="137"/>
        <v>0</v>
      </c>
      <c r="CC215" s="40">
        <f t="shared" si="137"/>
        <v>0</v>
      </c>
      <c r="CD215" s="40">
        <f t="shared" si="137"/>
        <v>0</v>
      </c>
      <c r="CO215" s="362"/>
      <c r="CP215" s="362"/>
      <c r="CQ215" s="362"/>
      <c r="CR215" s="362"/>
      <c r="CS215" s="362"/>
      <c r="CT215" s="362"/>
      <c r="CU215" s="362"/>
    </row>
    <row r="216" spans="2:99" s="361" customFormat="1">
      <c r="B216" s="605" t="s">
        <v>1506</v>
      </c>
      <c r="BU216" s="40">
        <f t="shared" si="118"/>
        <v>0</v>
      </c>
      <c r="BV216" s="40">
        <f t="shared" ref="BV216:CD216" si="138">BU216</f>
        <v>0</v>
      </c>
      <c r="BW216" s="40">
        <f t="shared" si="138"/>
        <v>0</v>
      </c>
      <c r="BX216" s="40">
        <f t="shared" si="138"/>
        <v>0</v>
      </c>
      <c r="BY216" s="40">
        <f t="shared" si="138"/>
        <v>0</v>
      </c>
      <c r="BZ216" s="40">
        <f t="shared" si="138"/>
        <v>0</v>
      </c>
      <c r="CA216" s="40">
        <f t="shared" si="138"/>
        <v>0</v>
      </c>
      <c r="CB216" s="40">
        <f t="shared" si="138"/>
        <v>0</v>
      </c>
      <c r="CC216" s="40">
        <f t="shared" si="138"/>
        <v>0</v>
      </c>
      <c r="CD216" s="40">
        <f t="shared" si="138"/>
        <v>0</v>
      </c>
      <c r="CO216" s="362"/>
      <c r="CP216" s="362"/>
      <c r="CQ216" s="362"/>
      <c r="CR216" s="362"/>
      <c r="CS216" s="362"/>
      <c r="CT216" s="362"/>
      <c r="CU216" s="362"/>
    </row>
    <row r="217" spans="2:99" s="361" customFormat="1">
      <c r="B217" s="166" t="s">
        <v>4321</v>
      </c>
      <c r="C217" s="361" t="s">
        <v>995</v>
      </c>
      <c r="AP217" s="361">
        <f t="shared" ref="AP217:BF231" si="139">AQ217/(1+AQ198/100)</f>
        <v>274657.19499999989</v>
      </c>
      <c r="AQ217" s="361">
        <f t="shared" si="139"/>
        <v>315754.40771957225</v>
      </c>
      <c r="AR217" s="361">
        <f t="shared" si="139"/>
        <v>321798.5380875183</v>
      </c>
      <c r="AS217" s="361">
        <f t="shared" si="139"/>
        <v>302215.13618533709</v>
      </c>
      <c r="AT217" s="361">
        <f t="shared" si="139"/>
        <v>287209.27462931344</v>
      </c>
      <c r="AU217" s="361">
        <f t="shared" si="139"/>
        <v>272665.40775984176</v>
      </c>
      <c r="AV217" s="361">
        <f t="shared" si="139"/>
        <v>261389.40290305548</v>
      </c>
      <c r="AW217" s="361">
        <f t="shared" si="139"/>
        <v>253518.38841751174</v>
      </c>
      <c r="AX217" s="361">
        <f t="shared" si="139"/>
        <v>222583.69090881728</v>
      </c>
      <c r="AY217" s="361">
        <f t="shared" si="139"/>
        <v>216999.99999999994</v>
      </c>
      <c r="AZ217" s="361">
        <f t="shared" si="139"/>
        <v>217999.99999999997</v>
      </c>
      <c r="BA217" s="361">
        <f t="shared" si="139"/>
        <v>236999.99999999997</v>
      </c>
      <c r="BB217" s="361">
        <f t="shared" si="139"/>
        <v>213999.99999999997</v>
      </c>
      <c r="BC217" s="361">
        <f t="shared" si="139"/>
        <v>224727.5728603935</v>
      </c>
      <c r="BD217" s="361">
        <f t="shared" si="139"/>
        <v>236967.84236229057</v>
      </c>
      <c r="BE217" s="361">
        <f t="shared" si="139"/>
        <v>231160</v>
      </c>
      <c r="BF217" s="361">
        <f t="shared" si="139"/>
        <v>457078.06115489395</v>
      </c>
      <c r="BG217" s="190">
        <f>BG144</f>
        <v>529378.36841091234</v>
      </c>
      <c r="BH217" s="361">
        <f t="shared" ref="BH217:BH233" si="140">BG217*(1+BH198/100)</f>
        <v>517920.4219405544</v>
      </c>
      <c r="BI217" s="361">
        <f t="shared" ref="BI217:BI233" si="141">BH217*(1+BI198/100)</f>
        <v>706684</v>
      </c>
      <c r="BJ217" s="361">
        <f t="shared" ref="BJ217:BJ233" si="142">BI217*(1+BJ198/100)</f>
        <v>717327</v>
      </c>
      <c r="BK217" s="361">
        <f t="shared" ref="BK217:BK233" si="143">BJ217*(1+BK198/100)</f>
        <v>750297</v>
      </c>
      <c r="BL217" s="361">
        <f t="shared" ref="BL217:BL233" si="144">BK217*(1+BL198/100)</f>
        <v>854236.99999999988</v>
      </c>
      <c r="BM217" s="361">
        <f t="shared" ref="BM217:BM233" si="145">BL217*(1+BM198/100)</f>
        <v>721082.99999999988</v>
      </c>
      <c r="BN217" s="361">
        <f t="shared" ref="BN217:BN233" si="146">BM217*(1+BN198/100)</f>
        <v>743309.99999999977</v>
      </c>
      <c r="BO217" s="361">
        <f t="shared" ref="BO217:BO233" si="147">BN217*(1+BO198/100)</f>
        <v>729099.59443389811</v>
      </c>
      <c r="BP217" s="361">
        <f t="shared" ref="BP217:BP233" si="148">BO217*(1+BP198/100)</f>
        <v>745844.98512448987</v>
      </c>
      <c r="BQ217" s="361">
        <f t="shared" ref="BQ217:BQ233" si="149">BP217*(1+BQ198/100)</f>
        <v>772787.86532192666</v>
      </c>
      <c r="BR217" s="361">
        <f t="shared" ref="BR217:BR233" si="150">BQ217*(1+BR198/100)</f>
        <v>801449.73367995385</v>
      </c>
      <c r="BS217" s="361">
        <f t="shared" ref="BS217:BS233" si="151">BR217*(1+BS198/100)</f>
        <v>822118.09446260869</v>
      </c>
      <c r="BU217" s="40">
        <f t="shared" si="118"/>
        <v>0</v>
      </c>
      <c r="BV217" s="40">
        <f t="shared" ref="BV217:CD217" si="152">BU217</f>
        <v>0</v>
      </c>
      <c r="BW217" s="40">
        <f t="shared" si="152"/>
        <v>0</v>
      </c>
      <c r="BX217" s="40">
        <f t="shared" si="152"/>
        <v>0</v>
      </c>
      <c r="BY217" s="40">
        <f t="shared" si="152"/>
        <v>0</v>
      </c>
      <c r="BZ217" s="40">
        <f t="shared" si="152"/>
        <v>0</v>
      </c>
      <c r="CA217" s="40">
        <f t="shared" si="152"/>
        <v>0</v>
      </c>
      <c r="CB217" s="40">
        <f t="shared" si="152"/>
        <v>0</v>
      </c>
      <c r="CC217" s="40">
        <f t="shared" si="152"/>
        <v>0</v>
      </c>
      <c r="CD217" s="40">
        <f t="shared" si="152"/>
        <v>0</v>
      </c>
      <c r="CO217" s="362"/>
      <c r="CP217" s="362"/>
      <c r="CQ217" s="362"/>
      <c r="CR217" s="362"/>
      <c r="CS217" s="362"/>
      <c r="CT217" s="362"/>
      <c r="CU217" s="362"/>
    </row>
    <row r="218" spans="2:99" s="361" customFormat="1">
      <c r="B218" s="166" t="s">
        <v>4322</v>
      </c>
      <c r="AP218" s="361">
        <f t="shared" si="139"/>
        <v>39449.999999999993</v>
      </c>
      <c r="AQ218" s="361">
        <f t="shared" si="139"/>
        <v>36499.999999999993</v>
      </c>
      <c r="AR218" s="361">
        <f t="shared" si="139"/>
        <v>39309.999999999993</v>
      </c>
      <c r="AS218" s="361">
        <f t="shared" si="139"/>
        <v>32869.999999999985</v>
      </c>
      <c r="AT218" s="361">
        <f t="shared" si="139"/>
        <v>33039.999999999993</v>
      </c>
      <c r="AU218" s="361">
        <f t="shared" si="139"/>
        <v>25639.999999999996</v>
      </c>
      <c r="AV218" s="361">
        <f t="shared" si="139"/>
        <v>41649.999999999993</v>
      </c>
      <c r="AW218" s="361">
        <f t="shared" si="139"/>
        <v>41119.999999999993</v>
      </c>
      <c r="AX218" s="361">
        <f t="shared" si="139"/>
        <v>53279.999999999993</v>
      </c>
      <c r="AY218" s="361">
        <f t="shared" si="139"/>
        <v>70999.999999999985</v>
      </c>
      <c r="AZ218" s="361">
        <f t="shared" si="139"/>
        <v>86999.999999999985</v>
      </c>
      <c r="BA218" s="361">
        <f t="shared" si="139"/>
        <v>102999.99999999999</v>
      </c>
      <c r="BB218" s="361">
        <f t="shared" si="139"/>
        <v>112999.99999999999</v>
      </c>
      <c r="BC218" s="361">
        <f t="shared" si="139"/>
        <v>113909.99999999999</v>
      </c>
      <c r="BD218" s="361">
        <f t="shared" si="139"/>
        <v>104959.99999999999</v>
      </c>
      <c r="BE218" s="361">
        <f t="shared" si="139"/>
        <v>93999.999999999985</v>
      </c>
      <c r="BF218" s="361">
        <f t="shared" si="139"/>
        <v>319071.81960394559</v>
      </c>
      <c r="BG218" s="190">
        <f t="shared" ref="BG218:BG231" si="153">BG145</f>
        <v>289004.6942233594</v>
      </c>
      <c r="BH218" s="361">
        <f t="shared" si="140"/>
        <v>224760.78570656307</v>
      </c>
      <c r="BI218" s="361">
        <f t="shared" si="141"/>
        <v>268958.07257579587</v>
      </c>
      <c r="BJ218" s="361">
        <f t="shared" si="142"/>
        <v>287274.86380817392</v>
      </c>
      <c r="BK218" s="361">
        <f t="shared" si="143"/>
        <v>298898</v>
      </c>
      <c r="BL218" s="361">
        <f t="shared" si="144"/>
        <v>302365</v>
      </c>
      <c r="BM218" s="361">
        <f t="shared" si="145"/>
        <v>281719</v>
      </c>
      <c r="BN218" s="361">
        <f t="shared" si="146"/>
        <v>332162</v>
      </c>
      <c r="BO218" s="361">
        <f t="shared" si="147"/>
        <v>338805.24</v>
      </c>
      <c r="BP218" s="361">
        <f t="shared" si="148"/>
        <v>345581.34480000002</v>
      </c>
      <c r="BQ218" s="361">
        <f t="shared" si="149"/>
        <v>352492.97169600002</v>
      </c>
      <c r="BR218" s="361">
        <f t="shared" si="150"/>
        <v>359542.83112992003</v>
      </c>
      <c r="BS218" s="361">
        <f t="shared" si="151"/>
        <v>366733.68775251845</v>
      </c>
      <c r="BU218" s="40">
        <f t="shared" si="118"/>
        <v>0</v>
      </c>
      <c r="BV218" s="40">
        <f t="shared" ref="BV218:CD218" si="154">BU218</f>
        <v>0</v>
      </c>
      <c r="BW218" s="40">
        <f t="shared" si="154"/>
        <v>0</v>
      </c>
      <c r="BX218" s="40">
        <f t="shared" si="154"/>
        <v>0</v>
      </c>
      <c r="BY218" s="40">
        <f t="shared" si="154"/>
        <v>0</v>
      </c>
      <c r="BZ218" s="40">
        <f t="shared" si="154"/>
        <v>0</v>
      </c>
      <c r="CA218" s="40">
        <f t="shared" si="154"/>
        <v>0</v>
      </c>
      <c r="CB218" s="40">
        <f t="shared" si="154"/>
        <v>0</v>
      </c>
      <c r="CC218" s="40">
        <f t="shared" si="154"/>
        <v>0</v>
      </c>
      <c r="CD218" s="40">
        <f t="shared" si="154"/>
        <v>0</v>
      </c>
      <c r="CO218" s="362"/>
      <c r="CP218" s="362"/>
      <c r="CQ218" s="362"/>
      <c r="CR218" s="362"/>
      <c r="CS218" s="362"/>
      <c r="CT218" s="362"/>
      <c r="CU218" s="362"/>
    </row>
    <row r="219" spans="2:99" s="361" customFormat="1">
      <c r="B219" s="166" t="s">
        <v>4323</v>
      </c>
      <c r="AP219" s="361">
        <f t="shared" si="139"/>
        <v>139424.10913157859</v>
      </c>
      <c r="AQ219" s="361">
        <f t="shared" si="139"/>
        <v>135000.00000000006</v>
      </c>
      <c r="AR219" s="361">
        <f t="shared" si="139"/>
        <v>133823.39315951892</v>
      </c>
      <c r="AS219" s="361">
        <f t="shared" si="139"/>
        <v>131231.75306438247</v>
      </c>
      <c r="AT219" s="361">
        <f t="shared" si="139"/>
        <v>149967.84274704871</v>
      </c>
      <c r="AU219" s="361">
        <f t="shared" si="139"/>
        <v>152360.8497103093</v>
      </c>
      <c r="AV219" s="361">
        <f t="shared" si="139"/>
        <v>160498.91676096359</v>
      </c>
      <c r="AW219" s="361">
        <f t="shared" si="139"/>
        <v>180059.64131091299</v>
      </c>
      <c r="AX219" s="361">
        <f t="shared" si="139"/>
        <v>191846.55717152124</v>
      </c>
      <c r="AY219" s="361">
        <f t="shared" si="139"/>
        <v>202469.67747649024</v>
      </c>
      <c r="AZ219" s="361">
        <f t="shared" si="139"/>
        <v>184000.00000000003</v>
      </c>
      <c r="BA219" s="361">
        <f t="shared" si="139"/>
        <v>230000.00000000003</v>
      </c>
      <c r="BB219" s="361">
        <f t="shared" si="139"/>
        <v>211000.00000000003</v>
      </c>
      <c r="BC219" s="361">
        <f t="shared" si="139"/>
        <v>211543.15827043896</v>
      </c>
      <c r="BD219" s="361">
        <f t="shared" si="139"/>
        <v>275461.18319168838</v>
      </c>
      <c r="BE219" s="361">
        <f t="shared" si="139"/>
        <v>322000</v>
      </c>
      <c r="BF219" s="361">
        <f t="shared" si="139"/>
        <v>521579.87590548157</v>
      </c>
      <c r="BG219" s="190">
        <f t="shared" si="153"/>
        <v>583046.21313622443</v>
      </c>
      <c r="BH219" s="361">
        <f t="shared" si="140"/>
        <v>607301.12890158629</v>
      </c>
      <c r="BI219" s="361">
        <f t="shared" si="141"/>
        <v>526441.66224086902</v>
      </c>
      <c r="BJ219" s="361">
        <f t="shared" si="142"/>
        <v>553994</v>
      </c>
      <c r="BK219" s="361">
        <f t="shared" si="143"/>
        <v>629932</v>
      </c>
      <c r="BL219" s="361">
        <f t="shared" si="144"/>
        <v>649284</v>
      </c>
      <c r="BM219" s="361">
        <f t="shared" si="145"/>
        <v>633706</v>
      </c>
      <c r="BN219" s="361">
        <f t="shared" si="146"/>
        <v>606373</v>
      </c>
      <c r="BO219" s="361">
        <f t="shared" si="147"/>
        <v>582630.51661554445</v>
      </c>
      <c r="BP219" s="361">
        <f t="shared" si="148"/>
        <v>613907.83348181669</v>
      </c>
      <c r="BQ219" s="361">
        <f t="shared" si="149"/>
        <v>715995.57415369421</v>
      </c>
      <c r="BR219" s="361">
        <f t="shared" si="150"/>
        <v>716729.26062062581</v>
      </c>
      <c r="BS219" s="361">
        <f t="shared" si="151"/>
        <v>717218.38493191381</v>
      </c>
      <c r="BU219" s="40">
        <f t="shared" si="118"/>
        <v>0</v>
      </c>
      <c r="BV219" s="40">
        <f t="shared" ref="BV219:CD219" si="155">BU219</f>
        <v>0</v>
      </c>
      <c r="BW219" s="40">
        <f t="shared" si="155"/>
        <v>0</v>
      </c>
      <c r="BX219" s="40">
        <f t="shared" si="155"/>
        <v>0</v>
      </c>
      <c r="BY219" s="40">
        <f t="shared" si="155"/>
        <v>0</v>
      </c>
      <c r="BZ219" s="40">
        <f t="shared" si="155"/>
        <v>0</v>
      </c>
      <c r="CA219" s="40">
        <f t="shared" si="155"/>
        <v>0</v>
      </c>
      <c r="CB219" s="40">
        <f t="shared" si="155"/>
        <v>0</v>
      </c>
      <c r="CC219" s="40">
        <f t="shared" si="155"/>
        <v>0</v>
      </c>
      <c r="CD219" s="40">
        <f t="shared" si="155"/>
        <v>0</v>
      </c>
      <c r="CO219" s="362"/>
      <c r="CP219" s="362"/>
      <c r="CQ219" s="362"/>
      <c r="CR219" s="362"/>
      <c r="CS219" s="362"/>
      <c r="CT219" s="362"/>
      <c r="CU219" s="362"/>
    </row>
    <row r="220" spans="2:99" s="361" customFormat="1">
      <c r="B220" s="166" t="s">
        <v>4324</v>
      </c>
      <c r="AP220" s="361">
        <f t="shared" si="139"/>
        <v>371409.99999999971</v>
      </c>
      <c r="AQ220" s="361">
        <f t="shared" si="139"/>
        <v>381999.99999999971</v>
      </c>
      <c r="AR220" s="361">
        <f t="shared" si="139"/>
        <v>324402.50260201923</v>
      </c>
      <c r="AS220" s="361">
        <f t="shared" si="139"/>
        <v>258748.7303407084</v>
      </c>
      <c r="AT220" s="361">
        <f t="shared" si="139"/>
        <v>266015.60358683305</v>
      </c>
      <c r="AU220" s="361">
        <f t="shared" si="139"/>
        <v>261607.53871340826</v>
      </c>
      <c r="AV220" s="361">
        <f t="shared" si="139"/>
        <v>274081.38549194095</v>
      </c>
      <c r="AW220" s="361">
        <f t="shared" si="139"/>
        <v>274762.24941629154</v>
      </c>
      <c r="AX220" s="361">
        <f t="shared" si="139"/>
        <v>280658.29169889248</v>
      </c>
      <c r="AY220" s="361">
        <f t="shared" si="139"/>
        <v>255525.52060101394</v>
      </c>
      <c r="AZ220" s="361">
        <f t="shared" si="139"/>
        <v>408999.99999999988</v>
      </c>
      <c r="BA220" s="361">
        <f t="shared" si="139"/>
        <v>459999.99999999988</v>
      </c>
      <c r="BB220" s="361">
        <f t="shared" si="139"/>
        <v>442999.99999999988</v>
      </c>
      <c r="BC220" s="361">
        <f t="shared" si="139"/>
        <v>467541.77582993708</v>
      </c>
      <c r="BD220" s="361">
        <f t="shared" si="139"/>
        <v>517999.99999999994</v>
      </c>
      <c r="BE220" s="361">
        <f t="shared" si="139"/>
        <v>570999.99999999988</v>
      </c>
      <c r="BF220" s="361">
        <f t="shared" si="139"/>
        <v>1857452.8216223172</v>
      </c>
      <c r="BG220" s="190">
        <f t="shared" si="153"/>
        <v>1892982.6766140647</v>
      </c>
      <c r="BH220" s="361">
        <f t="shared" si="140"/>
        <v>2067459.6533607997</v>
      </c>
      <c r="BI220" s="361">
        <f t="shared" si="141"/>
        <v>1830294.4453760125</v>
      </c>
      <c r="BJ220" s="361">
        <f t="shared" si="142"/>
        <v>2050012.0000000002</v>
      </c>
      <c r="BK220" s="361">
        <f t="shared" si="143"/>
        <v>2086440.9999999998</v>
      </c>
      <c r="BL220" s="361">
        <f t="shared" si="144"/>
        <v>1708232.9999999998</v>
      </c>
      <c r="BM220" s="361">
        <f t="shared" si="145"/>
        <v>1857019.9999999995</v>
      </c>
      <c r="BN220" s="361">
        <f t="shared" si="146"/>
        <v>1647899.9999999998</v>
      </c>
      <c r="BO220" s="361">
        <f t="shared" si="147"/>
        <v>1721183.8156714565</v>
      </c>
      <c r="BP220" s="361">
        <f t="shared" si="148"/>
        <v>1791585.9063264446</v>
      </c>
      <c r="BQ220" s="361">
        <f t="shared" si="149"/>
        <v>2035374.2267243708</v>
      </c>
      <c r="BR220" s="361">
        <f t="shared" si="150"/>
        <v>2077145.6322796016</v>
      </c>
      <c r="BS220" s="361">
        <f t="shared" si="151"/>
        <v>2077458.2934884359</v>
      </c>
      <c r="BU220" s="40">
        <f t="shared" si="118"/>
        <v>0</v>
      </c>
      <c r="BV220" s="40">
        <f t="shared" ref="BV220:CD220" si="156">BU220</f>
        <v>0</v>
      </c>
      <c r="BW220" s="40">
        <f t="shared" si="156"/>
        <v>0</v>
      </c>
      <c r="BX220" s="40">
        <f t="shared" si="156"/>
        <v>0</v>
      </c>
      <c r="BY220" s="40">
        <f t="shared" si="156"/>
        <v>0</v>
      </c>
      <c r="BZ220" s="40">
        <f t="shared" si="156"/>
        <v>0</v>
      </c>
      <c r="CA220" s="40">
        <f t="shared" si="156"/>
        <v>0</v>
      </c>
      <c r="CB220" s="40">
        <f t="shared" si="156"/>
        <v>0</v>
      </c>
      <c r="CC220" s="40">
        <f t="shared" si="156"/>
        <v>0</v>
      </c>
      <c r="CD220" s="40">
        <f t="shared" si="156"/>
        <v>0</v>
      </c>
      <c r="CO220" s="362"/>
      <c r="CP220" s="362"/>
      <c r="CQ220" s="362"/>
      <c r="CR220" s="362"/>
      <c r="CS220" s="362"/>
      <c r="CT220" s="362"/>
      <c r="CU220" s="362"/>
    </row>
    <row r="221" spans="2:99" s="361" customFormat="1">
      <c r="B221" s="166" t="s">
        <v>4325</v>
      </c>
      <c r="AP221" s="361">
        <f t="shared" si="139"/>
        <v>169740.00000000003</v>
      </c>
      <c r="AQ221" s="361">
        <f t="shared" si="139"/>
        <v>170000</v>
      </c>
      <c r="AR221" s="361">
        <f t="shared" si="139"/>
        <v>182577.81365633744</v>
      </c>
      <c r="AS221" s="361">
        <f t="shared" si="139"/>
        <v>177682.80758251887</v>
      </c>
      <c r="AT221" s="361">
        <f t="shared" si="139"/>
        <v>165157.0945611799</v>
      </c>
      <c r="AU221" s="361">
        <f t="shared" si="139"/>
        <v>173973.46731523192</v>
      </c>
      <c r="AV221" s="361">
        <f t="shared" si="139"/>
        <v>187973.03034095417</v>
      </c>
      <c r="AW221" s="361">
        <f t="shared" si="139"/>
        <v>194090.48055214979</v>
      </c>
      <c r="AX221" s="361">
        <f t="shared" si="139"/>
        <v>207895.56006758154</v>
      </c>
      <c r="AY221" s="361">
        <f t="shared" si="139"/>
        <v>196308.2658610928</v>
      </c>
      <c r="AZ221" s="361">
        <f t="shared" si="139"/>
        <v>181000</v>
      </c>
      <c r="BA221" s="361">
        <f t="shared" si="139"/>
        <v>190000</v>
      </c>
      <c r="BB221" s="361">
        <f t="shared" si="139"/>
        <v>212000</v>
      </c>
      <c r="BC221" s="361">
        <f t="shared" si="139"/>
        <v>209260</v>
      </c>
      <c r="BD221" s="361">
        <f t="shared" si="139"/>
        <v>230400</v>
      </c>
      <c r="BE221" s="361">
        <f t="shared" si="139"/>
        <v>237520</v>
      </c>
      <c r="BF221" s="361">
        <f t="shared" si="139"/>
        <v>126101.67254813474</v>
      </c>
      <c r="BG221" s="190">
        <f t="shared" si="153"/>
        <v>132321.19023630745</v>
      </c>
      <c r="BH221" s="361">
        <f t="shared" si="140"/>
        <v>144509.36772846355</v>
      </c>
      <c r="BI221" s="361">
        <f t="shared" si="141"/>
        <v>142467.97126723491</v>
      </c>
      <c r="BJ221" s="361">
        <f t="shared" si="142"/>
        <v>142794.99999999994</v>
      </c>
      <c r="BK221" s="361">
        <f t="shared" si="143"/>
        <v>164191.99999999994</v>
      </c>
      <c r="BL221" s="361">
        <f t="shared" si="144"/>
        <v>166076.99999999991</v>
      </c>
      <c r="BM221" s="361">
        <f t="shared" si="145"/>
        <v>179012.99999999991</v>
      </c>
      <c r="BN221" s="361">
        <f t="shared" si="146"/>
        <v>175213.99999999991</v>
      </c>
      <c r="BO221" s="361">
        <f t="shared" si="147"/>
        <v>179068.70799999993</v>
      </c>
      <c r="BP221" s="361">
        <f t="shared" si="148"/>
        <v>183903.56311599992</v>
      </c>
      <c r="BQ221" s="361">
        <f t="shared" si="149"/>
        <v>189604.57357259589</v>
      </c>
      <c r="BR221" s="361">
        <f t="shared" si="150"/>
        <v>197378.36108907231</v>
      </c>
      <c r="BS221" s="361">
        <f t="shared" si="151"/>
        <v>205470.87389372426</v>
      </c>
      <c r="BU221" s="40">
        <f t="shared" si="118"/>
        <v>0</v>
      </c>
      <c r="BV221" s="40">
        <f t="shared" ref="BV221:CD221" si="157">BU221</f>
        <v>0</v>
      </c>
      <c r="BW221" s="40">
        <f t="shared" si="157"/>
        <v>0</v>
      </c>
      <c r="BX221" s="40">
        <f t="shared" si="157"/>
        <v>0</v>
      </c>
      <c r="BY221" s="40">
        <f t="shared" si="157"/>
        <v>0</v>
      </c>
      <c r="BZ221" s="40">
        <f t="shared" si="157"/>
        <v>0</v>
      </c>
      <c r="CA221" s="40">
        <f t="shared" si="157"/>
        <v>0</v>
      </c>
      <c r="CB221" s="40">
        <f t="shared" si="157"/>
        <v>0</v>
      </c>
      <c r="CC221" s="40">
        <f t="shared" si="157"/>
        <v>0</v>
      </c>
      <c r="CD221" s="40">
        <f t="shared" si="157"/>
        <v>0</v>
      </c>
      <c r="CO221" s="362"/>
      <c r="CP221" s="362"/>
      <c r="CQ221" s="362"/>
      <c r="CR221" s="362"/>
      <c r="CS221" s="362"/>
      <c r="CT221" s="362"/>
      <c r="CU221" s="362"/>
    </row>
    <row r="222" spans="2:99" s="361" customFormat="1">
      <c r="B222" s="166" t="s">
        <v>1820</v>
      </c>
      <c r="AP222" s="361">
        <f t="shared" si="139"/>
        <v>193379.99999999991</v>
      </c>
      <c r="AQ222" s="361">
        <f t="shared" si="139"/>
        <v>198352.8167574931</v>
      </c>
      <c r="AR222" s="361">
        <f t="shared" si="139"/>
        <v>235994.734332425</v>
      </c>
      <c r="AS222" s="361">
        <f t="shared" si="139"/>
        <v>213271.26702997272</v>
      </c>
      <c r="AT222" s="361">
        <f t="shared" si="139"/>
        <v>221471.4747956403</v>
      </c>
      <c r="AU222" s="361">
        <f t="shared" si="139"/>
        <v>208364.31539509539</v>
      </c>
      <c r="AV222" s="361">
        <f t="shared" si="139"/>
        <v>222657.04700272478</v>
      </c>
      <c r="AW222" s="361">
        <f t="shared" si="139"/>
        <v>176781.98910081745</v>
      </c>
      <c r="AX222" s="361">
        <f t="shared" si="139"/>
        <v>206124.90122615808</v>
      </c>
      <c r="AY222" s="361">
        <f t="shared" si="139"/>
        <v>175695.2145776567</v>
      </c>
      <c r="AZ222" s="361">
        <f t="shared" si="139"/>
        <v>155000</v>
      </c>
      <c r="BA222" s="361">
        <f t="shared" si="139"/>
        <v>162000</v>
      </c>
      <c r="BB222" s="361">
        <f t="shared" si="139"/>
        <v>163000</v>
      </c>
      <c r="BC222" s="361">
        <f t="shared" si="139"/>
        <v>190700</v>
      </c>
      <c r="BD222" s="361">
        <f t="shared" si="139"/>
        <v>210000</v>
      </c>
      <c r="BE222" s="361">
        <f t="shared" si="139"/>
        <v>228300</v>
      </c>
      <c r="BF222" s="361">
        <f t="shared" si="139"/>
        <v>368398.31073206547</v>
      </c>
      <c r="BG222" s="190">
        <f t="shared" si="153"/>
        <v>379860.43849105056</v>
      </c>
      <c r="BH222" s="361">
        <f t="shared" si="140"/>
        <v>410502.09430739161</v>
      </c>
      <c r="BI222" s="361">
        <f t="shared" si="141"/>
        <v>440220.00000000006</v>
      </c>
      <c r="BJ222" s="361">
        <f t="shared" si="142"/>
        <v>397055.00000000006</v>
      </c>
      <c r="BK222" s="361">
        <f t="shared" si="143"/>
        <v>443333.00000000012</v>
      </c>
      <c r="BL222" s="361">
        <f t="shared" si="144"/>
        <v>495581.00000000017</v>
      </c>
      <c r="BM222" s="361">
        <f t="shared" si="145"/>
        <v>542266.00000000012</v>
      </c>
      <c r="BN222" s="361">
        <f t="shared" si="146"/>
        <v>669664.00000000023</v>
      </c>
      <c r="BO222" s="361">
        <f t="shared" si="147"/>
        <v>721897.79200000025</v>
      </c>
      <c r="BP222" s="361">
        <f t="shared" si="148"/>
        <v>749329.90809600032</v>
      </c>
      <c r="BQ222" s="361">
        <f t="shared" si="149"/>
        <v>768138.08878920984</v>
      </c>
      <c r="BR222" s="361">
        <f t="shared" si="150"/>
        <v>802704.30278472428</v>
      </c>
      <c r="BS222" s="361">
        <f t="shared" si="151"/>
        <v>857288.19537408557</v>
      </c>
      <c r="BU222" s="40">
        <f t="shared" si="118"/>
        <v>0</v>
      </c>
      <c r="BV222" s="40">
        <f t="shared" ref="BV222:CD222" si="158">BU222</f>
        <v>0</v>
      </c>
      <c r="BW222" s="40">
        <f t="shared" si="158"/>
        <v>0</v>
      </c>
      <c r="BX222" s="40">
        <f t="shared" si="158"/>
        <v>0</v>
      </c>
      <c r="BY222" s="40">
        <f t="shared" si="158"/>
        <v>0</v>
      </c>
      <c r="BZ222" s="40">
        <f t="shared" si="158"/>
        <v>0</v>
      </c>
      <c r="CA222" s="40">
        <f t="shared" si="158"/>
        <v>0</v>
      </c>
      <c r="CB222" s="40">
        <f t="shared" si="158"/>
        <v>0</v>
      </c>
      <c r="CC222" s="40">
        <f t="shared" si="158"/>
        <v>0</v>
      </c>
      <c r="CD222" s="40">
        <f t="shared" si="158"/>
        <v>0</v>
      </c>
      <c r="CO222" s="362"/>
      <c r="CP222" s="362"/>
      <c r="CQ222" s="362"/>
      <c r="CR222" s="362"/>
      <c r="CS222" s="362"/>
      <c r="CT222" s="362"/>
      <c r="CU222" s="362"/>
    </row>
    <row r="223" spans="2:99" s="361" customFormat="1">
      <c r="B223" s="166" t="s">
        <v>1821</v>
      </c>
      <c r="AP223" s="361">
        <f t="shared" si="139"/>
        <v>549200</v>
      </c>
      <c r="AQ223" s="361">
        <f t="shared" si="139"/>
        <v>573090</v>
      </c>
      <c r="AR223" s="361">
        <f t="shared" si="139"/>
        <v>599350</v>
      </c>
      <c r="AS223" s="361">
        <f t="shared" si="139"/>
        <v>552700</v>
      </c>
      <c r="AT223" s="361">
        <f t="shared" si="139"/>
        <v>474550</v>
      </c>
      <c r="AU223" s="361">
        <f t="shared" si="139"/>
        <v>564820</v>
      </c>
      <c r="AV223" s="361">
        <f t="shared" si="139"/>
        <v>504220</v>
      </c>
      <c r="AW223" s="361">
        <f t="shared" si="139"/>
        <v>561860</v>
      </c>
      <c r="AX223" s="361">
        <f t="shared" si="139"/>
        <v>571059.99999999988</v>
      </c>
      <c r="AY223" s="361">
        <f t="shared" si="139"/>
        <v>514249.99999999994</v>
      </c>
      <c r="AZ223" s="361">
        <f t="shared" si="139"/>
        <v>439999.99999999994</v>
      </c>
      <c r="BA223" s="361">
        <f t="shared" si="139"/>
        <v>366999.99999999994</v>
      </c>
      <c r="BB223" s="361">
        <f t="shared" si="139"/>
        <v>393999.99999999994</v>
      </c>
      <c r="BC223" s="361">
        <f t="shared" si="139"/>
        <v>523899.99999999994</v>
      </c>
      <c r="BD223" s="361">
        <f t="shared" si="139"/>
        <v>570000</v>
      </c>
      <c r="BE223" s="361">
        <f t="shared" si="139"/>
        <v>620000</v>
      </c>
      <c r="BF223" s="361">
        <f t="shared" si="139"/>
        <v>1209421.5498213414</v>
      </c>
      <c r="BG223" s="190">
        <f t="shared" si="153"/>
        <v>1293919.2283969577</v>
      </c>
      <c r="BH223" s="361">
        <f t="shared" si="140"/>
        <v>1324587.8909700012</v>
      </c>
      <c r="BI223" s="361">
        <f t="shared" si="141"/>
        <v>1587845</v>
      </c>
      <c r="BJ223" s="361">
        <f t="shared" si="142"/>
        <v>1659079</v>
      </c>
      <c r="BK223" s="361">
        <f t="shared" si="143"/>
        <v>1707691</v>
      </c>
      <c r="BL223" s="361">
        <f t="shared" si="144"/>
        <v>1793075</v>
      </c>
      <c r="BM223" s="361">
        <f t="shared" si="145"/>
        <v>1885115.9999999998</v>
      </c>
      <c r="BN223" s="361">
        <f t="shared" si="146"/>
        <v>1997648.9999999998</v>
      </c>
      <c r="BO223" s="361">
        <f t="shared" si="147"/>
        <v>2067566.7149999996</v>
      </c>
      <c r="BP223" s="361">
        <f t="shared" si="148"/>
        <v>2110985.6160149993</v>
      </c>
      <c r="BQ223" s="361">
        <f t="shared" si="149"/>
        <v>2167982.2276474042</v>
      </c>
      <c r="BR223" s="361">
        <f t="shared" si="150"/>
        <v>2291557.2146233055</v>
      </c>
      <c r="BS223" s="361">
        <f t="shared" si="151"/>
        <v>2413009.7469983404</v>
      </c>
      <c r="BU223" s="40">
        <f t="shared" si="118"/>
        <v>0</v>
      </c>
      <c r="BV223" s="40">
        <f t="shared" ref="BV223:CD223" si="159">BU223</f>
        <v>0</v>
      </c>
      <c r="BW223" s="40">
        <f t="shared" si="159"/>
        <v>0</v>
      </c>
      <c r="BX223" s="40">
        <f t="shared" si="159"/>
        <v>0</v>
      </c>
      <c r="BY223" s="40">
        <f t="shared" si="159"/>
        <v>0</v>
      </c>
      <c r="BZ223" s="40">
        <f t="shared" si="159"/>
        <v>0</v>
      </c>
      <c r="CA223" s="40">
        <f t="shared" si="159"/>
        <v>0</v>
      </c>
      <c r="CB223" s="40">
        <f t="shared" si="159"/>
        <v>0</v>
      </c>
      <c r="CC223" s="40">
        <f t="shared" si="159"/>
        <v>0</v>
      </c>
      <c r="CD223" s="40">
        <f t="shared" si="159"/>
        <v>0</v>
      </c>
      <c r="CO223" s="362"/>
      <c r="CP223" s="362"/>
      <c r="CQ223" s="362"/>
      <c r="CR223" s="362"/>
      <c r="CS223" s="362"/>
      <c r="CT223" s="362"/>
      <c r="CU223" s="362"/>
    </row>
    <row r="224" spans="2:99" s="361" customFormat="1">
      <c r="B224" s="166" t="s">
        <v>1822</v>
      </c>
      <c r="AP224" s="361">
        <f t="shared" si="139"/>
        <v>23310.000000000004</v>
      </c>
      <c r="AQ224" s="361">
        <f t="shared" si="139"/>
        <v>21197.854758997637</v>
      </c>
      <c r="AR224" s="361">
        <f t="shared" si="139"/>
        <v>22096.574962490595</v>
      </c>
      <c r="AS224" s="361">
        <f t="shared" si="139"/>
        <v>36352.000000000007</v>
      </c>
      <c r="AT224" s="361">
        <f t="shared" si="139"/>
        <v>30504.666666666672</v>
      </c>
      <c r="AU224" s="361">
        <f t="shared" si="139"/>
        <v>32275.172664993213</v>
      </c>
      <c r="AV224" s="361">
        <f t="shared" si="139"/>
        <v>57277.172130326268</v>
      </c>
      <c r="AW224" s="361">
        <f t="shared" si="139"/>
        <v>62501.741382846216</v>
      </c>
      <c r="AX224" s="361">
        <f t="shared" si="139"/>
        <v>66735.177787079927</v>
      </c>
      <c r="AY224" s="361">
        <f t="shared" si="139"/>
        <v>87662.2857701373</v>
      </c>
      <c r="AZ224" s="361">
        <f t="shared" si="139"/>
        <v>67000.000000000015</v>
      </c>
      <c r="BA224" s="361">
        <f t="shared" si="139"/>
        <v>66000.000000000015</v>
      </c>
      <c r="BB224" s="361">
        <f t="shared" si="139"/>
        <v>76000.000000000015</v>
      </c>
      <c r="BC224" s="361">
        <f t="shared" si="139"/>
        <v>96700.000000000015</v>
      </c>
      <c r="BD224" s="361">
        <f t="shared" si="139"/>
        <v>106100</v>
      </c>
      <c r="BE224" s="361">
        <f t="shared" si="139"/>
        <v>135000</v>
      </c>
      <c r="BF224" s="361">
        <f t="shared" si="139"/>
        <v>198977.51555634307</v>
      </c>
      <c r="BG224" s="190">
        <f t="shared" si="153"/>
        <v>197268.26109106065</v>
      </c>
      <c r="BH224" s="361">
        <f t="shared" si="140"/>
        <v>202573.07252403654</v>
      </c>
      <c r="BI224" s="361">
        <f t="shared" si="141"/>
        <v>210371.9954392002</v>
      </c>
      <c r="BJ224" s="361">
        <f t="shared" si="142"/>
        <v>252982</v>
      </c>
      <c r="BK224" s="361">
        <f t="shared" si="143"/>
        <v>261531</v>
      </c>
      <c r="BL224" s="361">
        <f t="shared" si="144"/>
        <v>274113</v>
      </c>
      <c r="BM224" s="361">
        <f t="shared" si="145"/>
        <v>284459.99999999994</v>
      </c>
      <c r="BN224" s="361">
        <f t="shared" si="146"/>
        <v>317225</v>
      </c>
      <c r="BO224" s="361">
        <f t="shared" si="147"/>
        <v>327058.97499999998</v>
      </c>
      <c r="BP224" s="361">
        <f t="shared" si="148"/>
        <v>333927.21347499994</v>
      </c>
      <c r="BQ224" s="361">
        <f t="shared" si="149"/>
        <v>340939.68495797488</v>
      </c>
      <c r="BR224" s="361">
        <f t="shared" si="150"/>
        <v>356963.85015099967</v>
      </c>
      <c r="BS224" s="361">
        <f t="shared" si="151"/>
        <v>375169.00650870055</v>
      </c>
      <c r="BU224" s="40">
        <f t="shared" si="118"/>
        <v>0</v>
      </c>
      <c r="BV224" s="40">
        <f t="shared" ref="BV224:CD224" si="160">BU224</f>
        <v>0</v>
      </c>
      <c r="BW224" s="40">
        <f t="shared" si="160"/>
        <v>0</v>
      </c>
      <c r="BX224" s="40">
        <f t="shared" si="160"/>
        <v>0</v>
      </c>
      <c r="BY224" s="40">
        <f t="shared" si="160"/>
        <v>0</v>
      </c>
      <c r="BZ224" s="40">
        <f t="shared" si="160"/>
        <v>0</v>
      </c>
      <c r="CA224" s="40">
        <f t="shared" si="160"/>
        <v>0</v>
      </c>
      <c r="CB224" s="40">
        <f t="shared" si="160"/>
        <v>0</v>
      </c>
      <c r="CC224" s="40">
        <f t="shared" si="160"/>
        <v>0</v>
      </c>
      <c r="CD224" s="40">
        <f t="shared" si="160"/>
        <v>0</v>
      </c>
      <c r="CO224" s="362"/>
      <c r="CP224" s="362"/>
      <c r="CQ224" s="362"/>
      <c r="CR224" s="362"/>
      <c r="CS224" s="362"/>
      <c r="CT224" s="362"/>
      <c r="CU224" s="362"/>
    </row>
    <row r="225" spans="2:99" s="361" customFormat="1">
      <c r="B225" s="166" t="s">
        <v>78</v>
      </c>
      <c r="AP225" s="361">
        <f t="shared" si="139"/>
        <v>180199.99999999997</v>
      </c>
      <c r="AQ225" s="361">
        <f t="shared" si="139"/>
        <v>185524.93014939234</v>
      </c>
      <c r="AR225" s="361">
        <f t="shared" si="139"/>
        <v>183722.84983133696</v>
      </c>
      <c r="AS225" s="361">
        <f t="shared" si="139"/>
        <v>198134.61609820602</v>
      </c>
      <c r="AT225" s="361">
        <f t="shared" si="139"/>
        <v>197282.49275241216</v>
      </c>
      <c r="AU225" s="361">
        <f t="shared" si="139"/>
        <v>218407.54014714077</v>
      </c>
      <c r="AV225" s="361">
        <f t="shared" si="139"/>
        <v>242131.03262061847</v>
      </c>
      <c r="AW225" s="361">
        <f t="shared" si="139"/>
        <v>258351.70798405318</v>
      </c>
      <c r="AX225" s="361">
        <f t="shared" si="139"/>
        <v>272754.47219649592</v>
      </c>
      <c r="AY225" s="361">
        <f t="shared" si="139"/>
        <v>277789.8243346322</v>
      </c>
      <c r="AZ225" s="361">
        <f t="shared" si="139"/>
        <v>346999.99999999994</v>
      </c>
      <c r="BA225" s="361">
        <f t="shared" si="139"/>
        <v>446999.99999999994</v>
      </c>
      <c r="BB225" s="361">
        <f t="shared" si="139"/>
        <v>502000</v>
      </c>
      <c r="BC225" s="361">
        <f t="shared" si="139"/>
        <v>517070.00000000006</v>
      </c>
      <c r="BD225" s="361">
        <f t="shared" si="139"/>
        <v>557017.81582856027</v>
      </c>
      <c r="BE225" s="361">
        <f t="shared" si="139"/>
        <v>600899.7243731441</v>
      </c>
      <c r="BF225" s="361">
        <f t="shared" si="139"/>
        <v>459269.20972211129</v>
      </c>
      <c r="BG225" s="190">
        <f t="shared" si="153"/>
        <v>475886.46258936042</v>
      </c>
      <c r="BH225" s="361">
        <f t="shared" si="140"/>
        <v>563785.253692706</v>
      </c>
      <c r="BI225" s="361">
        <f t="shared" si="141"/>
        <v>561642.37824545871</v>
      </c>
      <c r="BJ225" s="361">
        <f t="shared" si="142"/>
        <v>588768</v>
      </c>
      <c r="BK225" s="361">
        <f t="shared" si="143"/>
        <v>613988</v>
      </c>
      <c r="BL225" s="361">
        <f t="shared" si="144"/>
        <v>644359</v>
      </c>
      <c r="BM225" s="361">
        <f t="shared" si="145"/>
        <v>684010</v>
      </c>
      <c r="BN225" s="361">
        <f t="shared" si="146"/>
        <v>728883.00000000012</v>
      </c>
      <c r="BO225" s="361">
        <f t="shared" si="147"/>
        <v>745793.08560000022</v>
      </c>
      <c r="BP225" s="361">
        <f t="shared" si="148"/>
        <v>761454.74039759999</v>
      </c>
      <c r="BQ225" s="361">
        <f t="shared" si="149"/>
        <v>785059.83734992554</v>
      </c>
      <c r="BR225" s="361">
        <f t="shared" si="150"/>
        <v>824312.82921742182</v>
      </c>
      <c r="BS225" s="361">
        <f t="shared" si="151"/>
        <v>874595.91179968452</v>
      </c>
      <c r="BU225" s="40">
        <f t="shared" si="118"/>
        <v>0</v>
      </c>
      <c r="BV225" s="40">
        <f t="shared" ref="BV225:CD225" si="161">BU225</f>
        <v>0</v>
      </c>
      <c r="BW225" s="40">
        <f t="shared" si="161"/>
        <v>0</v>
      </c>
      <c r="BX225" s="40">
        <f t="shared" si="161"/>
        <v>0</v>
      </c>
      <c r="BY225" s="40">
        <f t="shared" si="161"/>
        <v>0</v>
      </c>
      <c r="BZ225" s="40">
        <f t="shared" si="161"/>
        <v>0</v>
      </c>
      <c r="CA225" s="40">
        <f t="shared" si="161"/>
        <v>0</v>
      </c>
      <c r="CB225" s="40">
        <f t="shared" si="161"/>
        <v>0</v>
      </c>
      <c r="CC225" s="40">
        <f t="shared" si="161"/>
        <v>0</v>
      </c>
      <c r="CD225" s="40">
        <f t="shared" si="161"/>
        <v>0</v>
      </c>
      <c r="CO225" s="362"/>
      <c r="CP225" s="362"/>
      <c r="CQ225" s="362"/>
      <c r="CR225" s="362"/>
      <c r="CS225" s="362"/>
      <c r="CT225" s="362"/>
      <c r="CU225" s="362"/>
    </row>
    <row r="226" spans="2:99" s="361" customFormat="1">
      <c r="B226" s="166" t="s">
        <v>79</v>
      </c>
      <c r="AP226" s="361">
        <f t="shared" si="139"/>
        <v>290540</v>
      </c>
      <c r="AQ226" s="361">
        <f t="shared" si="139"/>
        <v>293167.82357194507</v>
      </c>
      <c r="AR226" s="361">
        <f t="shared" si="139"/>
        <v>298932.79826464207</v>
      </c>
      <c r="AS226" s="361">
        <f t="shared" si="139"/>
        <v>305103.15979754156</v>
      </c>
      <c r="AT226" s="361">
        <f t="shared" si="139"/>
        <v>315531.98120028921</v>
      </c>
      <c r="AU226" s="361">
        <f t="shared" si="139"/>
        <v>310928.62617498188</v>
      </c>
      <c r="AV226" s="361">
        <f t="shared" si="139"/>
        <v>326900.80260303686</v>
      </c>
      <c r="AW226" s="361">
        <f t="shared" si="139"/>
        <v>311188.51048445405</v>
      </c>
      <c r="AX226" s="361">
        <f t="shared" si="139"/>
        <v>315431.55459146778</v>
      </c>
      <c r="AY226" s="361">
        <f t="shared" si="139"/>
        <v>302111.49674620386</v>
      </c>
      <c r="AZ226" s="361">
        <f t="shared" si="139"/>
        <v>295999.99999999994</v>
      </c>
      <c r="BA226" s="361">
        <f t="shared" si="139"/>
        <v>293999.99999999994</v>
      </c>
      <c r="BB226" s="361">
        <f t="shared" si="139"/>
        <v>308999.99999999994</v>
      </c>
      <c r="BC226" s="361">
        <f t="shared" si="139"/>
        <v>319583.63787984493</v>
      </c>
      <c r="BD226" s="361">
        <f t="shared" si="139"/>
        <v>348428.06210688822</v>
      </c>
      <c r="BE226" s="361">
        <f t="shared" si="139"/>
        <v>373700</v>
      </c>
      <c r="BF226" s="361">
        <f t="shared" si="139"/>
        <v>384560.12384419702</v>
      </c>
      <c r="BG226" s="190">
        <f t="shared" si="153"/>
        <v>419516.85651067173</v>
      </c>
      <c r="BH226" s="361">
        <f t="shared" si="140"/>
        <v>418789.13642954006</v>
      </c>
      <c r="BI226" s="361">
        <f t="shared" si="141"/>
        <v>436875.74480293493</v>
      </c>
      <c r="BJ226" s="361">
        <f t="shared" si="142"/>
        <v>464050.99999999994</v>
      </c>
      <c r="BK226" s="361">
        <f t="shared" si="143"/>
        <v>499118.99999999994</v>
      </c>
      <c r="BL226" s="361">
        <f t="shared" si="144"/>
        <v>556735.99999999988</v>
      </c>
      <c r="BM226" s="361">
        <f t="shared" si="145"/>
        <v>587442.99999999988</v>
      </c>
      <c r="BN226" s="361">
        <f t="shared" si="146"/>
        <v>571520.99999999988</v>
      </c>
      <c r="BO226" s="361">
        <f t="shared" si="147"/>
        <v>576664.68899999978</v>
      </c>
      <c r="BP226" s="361">
        <f t="shared" si="148"/>
        <v>583008.00057899964</v>
      </c>
      <c r="BQ226" s="361">
        <f t="shared" si="149"/>
        <v>595251.16859115858</v>
      </c>
      <c r="BR226" s="361">
        <f t="shared" si="150"/>
        <v>616680.21066044015</v>
      </c>
      <c r="BS226" s="361">
        <f t="shared" si="151"/>
        <v>646280.86077214149</v>
      </c>
      <c r="BU226" s="40">
        <f t="shared" si="118"/>
        <v>0</v>
      </c>
      <c r="BV226" s="40">
        <f>BU226</f>
        <v>0</v>
      </c>
      <c r="BW226" s="40">
        <f>BV226</f>
        <v>0</v>
      </c>
      <c r="BX226" s="40">
        <f t="shared" ref="BV226:CD241" si="162">BW226</f>
        <v>0</v>
      </c>
      <c r="BY226" s="40">
        <f t="shared" si="162"/>
        <v>0</v>
      </c>
      <c r="BZ226" s="40">
        <f t="shared" si="162"/>
        <v>0</v>
      </c>
      <c r="CA226" s="40">
        <f t="shared" si="162"/>
        <v>0</v>
      </c>
      <c r="CB226" s="40">
        <f t="shared" si="162"/>
        <v>0</v>
      </c>
      <c r="CC226" s="40">
        <f t="shared" si="162"/>
        <v>0</v>
      </c>
      <c r="CD226" s="40">
        <f t="shared" si="162"/>
        <v>0</v>
      </c>
      <c r="CO226" s="362"/>
      <c r="CP226" s="362"/>
      <c r="CQ226" s="362"/>
      <c r="CR226" s="362"/>
      <c r="CS226" s="362"/>
      <c r="CT226" s="362"/>
      <c r="CU226" s="362"/>
    </row>
    <row r="227" spans="2:99" s="361" customFormat="1">
      <c r="B227" s="166" t="s">
        <v>80</v>
      </c>
      <c r="AP227" s="361">
        <f t="shared" si="139"/>
        <v>333810</v>
      </c>
      <c r="AQ227" s="361">
        <f t="shared" si="139"/>
        <v>336253.48966899858</v>
      </c>
      <c r="AR227" s="361">
        <f t="shared" si="139"/>
        <v>338083.34875353385</v>
      </c>
      <c r="AS227" s="361">
        <f t="shared" si="139"/>
        <v>344295.61051361472</v>
      </c>
      <c r="AT227" s="361">
        <f t="shared" si="139"/>
        <v>346387.25468159904</v>
      </c>
      <c r="AU227" s="361">
        <f t="shared" si="139"/>
        <v>351249.51439436513</v>
      </c>
      <c r="AV227" s="361">
        <f t="shared" si="139"/>
        <v>358473.59952781082</v>
      </c>
      <c r="AW227" s="361">
        <f t="shared" si="139"/>
        <v>363421.5806672154</v>
      </c>
      <c r="AX227" s="361">
        <f t="shared" si="139"/>
        <v>371224.6034398448</v>
      </c>
      <c r="AY227" s="361">
        <f t="shared" si="139"/>
        <v>372980.8587544972</v>
      </c>
      <c r="AZ227" s="361">
        <f t="shared" si="139"/>
        <v>398000.00000000006</v>
      </c>
      <c r="BA227" s="361">
        <f t="shared" si="139"/>
        <v>405000</v>
      </c>
      <c r="BB227" s="361">
        <f t="shared" si="139"/>
        <v>413000</v>
      </c>
      <c r="BC227" s="361">
        <f t="shared" si="139"/>
        <v>420310.00000000006</v>
      </c>
      <c r="BD227" s="361">
        <f t="shared" si="139"/>
        <v>431166.46397964854</v>
      </c>
      <c r="BE227" s="361">
        <f t="shared" si="139"/>
        <v>438730</v>
      </c>
      <c r="BF227" s="361">
        <f t="shared" si="139"/>
        <v>283812.75758163602</v>
      </c>
      <c r="BG227" s="190">
        <f t="shared" si="153"/>
        <v>317146.99521319335</v>
      </c>
      <c r="BH227" s="361">
        <f t="shared" si="140"/>
        <v>296118.03345458669</v>
      </c>
      <c r="BI227" s="361">
        <f t="shared" si="141"/>
        <v>297147.98947992647</v>
      </c>
      <c r="BJ227" s="361">
        <f t="shared" si="142"/>
        <v>289926.00000000006</v>
      </c>
      <c r="BK227" s="361">
        <f t="shared" si="143"/>
        <v>308304.00000000006</v>
      </c>
      <c r="BL227" s="361">
        <f t="shared" si="144"/>
        <v>316326.00000000012</v>
      </c>
      <c r="BM227" s="361">
        <f t="shared" si="145"/>
        <v>325587.00000000006</v>
      </c>
      <c r="BN227" s="361">
        <f t="shared" si="146"/>
        <v>337782</v>
      </c>
      <c r="BO227" s="361">
        <f t="shared" si="147"/>
        <v>341497.60199999996</v>
      </c>
      <c r="BP227" s="361">
        <f t="shared" si="148"/>
        <v>345595.57322399988</v>
      </c>
      <c r="BQ227" s="361">
        <f t="shared" si="149"/>
        <v>352853.08026170393</v>
      </c>
      <c r="BR227" s="361">
        <f t="shared" si="150"/>
        <v>360262.99494719965</v>
      </c>
      <c r="BS227" s="361">
        <f t="shared" si="151"/>
        <v>367504.28114563838</v>
      </c>
      <c r="BU227" s="40">
        <f t="shared" ref="BU227:BU290" si="163">BT227</f>
        <v>0</v>
      </c>
      <c r="BV227" s="40">
        <f t="shared" si="162"/>
        <v>0</v>
      </c>
      <c r="BW227" s="40">
        <f t="shared" si="162"/>
        <v>0</v>
      </c>
      <c r="BX227" s="40">
        <f t="shared" si="162"/>
        <v>0</v>
      </c>
      <c r="BY227" s="40">
        <f t="shared" si="162"/>
        <v>0</v>
      </c>
      <c r="BZ227" s="40">
        <f t="shared" si="162"/>
        <v>0</v>
      </c>
      <c r="CA227" s="40">
        <f t="shared" si="162"/>
        <v>0</v>
      </c>
      <c r="CB227" s="40">
        <f t="shared" si="162"/>
        <v>0</v>
      </c>
      <c r="CC227" s="40">
        <f t="shared" si="162"/>
        <v>0</v>
      </c>
      <c r="CD227" s="40">
        <f t="shared" si="162"/>
        <v>0</v>
      </c>
      <c r="CO227" s="362"/>
      <c r="CP227" s="362"/>
      <c r="CQ227" s="362"/>
      <c r="CR227" s="362"/>
      <c r="CS227" s="362"/>
      <c r="CT227" s="362"/>
      <c r="CU227" s="362"/>
    </row>
    <row r="228" spans="2:99" s="361" customFormat="1">
      <c r="B228" s="166" t="s">
        <v>81</v>
      </c>
      <c r="AP228" s="361">
        <f t="shared" si="139"/>
        <v>319794.65099999995</v>
      </c>
      <c r="AQ228" s="361">
        <f t="shared" si="139"/>
        <v>328999.99999999988</v>
      </c>
      <c r="AR228" s="361">
        <f t="shared" si="139"/>
        <v>317609.99999999994</v>
      </c>
      <c r="AS228" s="361">
        <f t="shared" si="139"/>
        <v>291089.99999999988</v>
      </c>
      <c r="AT228" s="361">
        <f t="shared" si="139"/>
        <v>279229.99999999994</v>
      </c>
      <c r="AU228" s="361">
        <f t="shared" si="139"/>
        <v>262039.99999999997</v>
      </c>
      <c r="AV228" s="361">
        <f t="shared" si="139"/>
        <v>246029.99999999994</v>
      </c>
      <c r="AW228" s="361">
        <f t="shared" si="139"/>
        <v>240849.99999999994</v>
      </c>
      <c r="AX228" s="361">
        <f t="shared" si="139"/>
        <v>242479.99999999997</v>
      </c>
      <c r="AY228" s="361">
        <f t="shared" si="139"/>
        <v>240529.99999999997</v>
      </c>
      <c r="AZ228" s="361">
        <f t="shared" si="139"/>
        <v>245000</v>
      </c>
      <c r="BA228" s="361">
        <f t="shared" si="139"/>
        <v>251000.00000000003</v>
      </c>
      <c r="BB228" s="361">
        <f t="shared" si="139"/>
        <v>254000.00000000003</v>
      </c>
      <c r="BC228" s="361">
        <f t="shared" si="139"/>
        <v>253110.00000000003</v>
      </c>
      <c r="BD228" s="361">
        <f t="shared" si="139"/>
        <v>251870.00000000003</v>
      </c>
      <c r="BE228" s="361">
        <f t="shared" si="139"/>
        <v>266670.00000000006</v>
      </c>
      <c r="BF228" s="361">
        <f t="shared" si="139"/>
        <v>782946.46455247386</v>
      </c>
      <c r="BG228" s="190">
        <f t="shared" si="153"/>
        <v>801902.48734807759</v>
      </c>
      <c r="BH228" s="361">
        <f t="shared" si="140"/>
        <v>834385.44496237068</v>
      </c>
      <c r="BI228" s="361">
        <f t="shared" si="141"/>
        <v>839342.89919140679</v>
      </c>
      <c r="BJ228" s="361">
        <f t="shared" si="142"/>
        <v>856512.87163776392</v>
      </c>
      <c r="BK228" s="361">
        <f t="shared" si="143"/>
        <v>826493.00000000023</v>
      </c>
      <c r="BL228" s="361">
        <f t="shared" si="144"/>
        <v>995614.00000000035</v>
      </c>
      <c r="BM228" s="361">
        <f t="shared" si="145"/>
        <v>1019890.0000000002</v>
      </c>
      <c r="BN228" s="361">
        <f t="shared" si="146"/>
        <v>1037104.0000000002</v>
      </c>
      <c r="BO228" s="361">
        <f t="shared" si="147"/>
        <v>1044375.699</v>
      </c>
      <c r="BP228" s="361">
        <f t="shared" si="148"/>
        <v>1051323.1683166998</v>
      </c>
      <c r="BQ228" s="361">
        <f t="shared" si="149"/>
        <v>1056184.3105863244</v>
      </c>
      <c r="BR228" s="361">
        <f t="shared" si="150"/>
        <v>1058180.6834977623</v>
      </c>
      <c r="BS228" s="361">
        <f t="shared" si="151"/>
        <v>1059904.2210890984</v>
      </c>
      <c r="BU228" s="40">
        <f t="shared" si="163"/>
        <v>0</v>
      </c>
      <c r="BV228" s="40">
        <f t="shared" si="162"/>
        <v>0</v>
      </c>
      <c r="BW228" s="40">
        <f t="shared" si="162"/>
        <v>0</v>
      </c>
      <c r="BX228" s="40">
        <f t="shared" si="162"/>
        <v>0</v>
      </c>
      <c r="BY228" s="40">
        <f t="shared" si="162"/>
        <v>0</v>
      </c>
      <c r="BZ228" s="40">
        <f t="shared" si="162"/>
        <v>0</v>
      </c>
      <c r="CA228" s="40">
        <f t="shared" si="162"/>
        <v>0</v>
      </c>
      <c r="CB228" s="40">
        <f t="shared" si="162"/>
        <v>0</v>
      </c>
      <c r="CC228" s="40">
        <f t="shared" si="162"/>
        <v>0</v>
      </c>
      <c r="CD228" s="40">
        <f t="shared" si="162"/>
        <v>0</v>
      </c>
      <c r="CO228" s="362"/>
      <c r="CP228" s="362"/>
      <c r="CQ228" s="362"/>
      <c r="CR228" s="362"/>
      <c r="CS228" s="362"/>
      <c r="CT228" s="362"/>
      <c r="CU228" s="362"/>
    </row>
    <row r="229" spans="2:99" s="361" customFormat="1">
      <c r="B229" s="166" t="s">
        <v>82</v>
      </c>
      <c r="AP229" s="361">
        <f t="shared" si="139"/>
        <v>179902.9070000003</v>
      </c>
      <c r="AQ229" s="361">
        <f t="shared" si="139"/>
        <v>164000.00000000026</v>
      </c>
      <c r="AR229" s="361">
        <f t="shared" si="139"/>
        <v>161460.00000000026</v>
      </c>
      <c r="AS229" s="361">
        <f t="shared" si="139"/>
        <v>165090.00000000026</v>
      </c>
      <c r="AT229" s="361">
        <f t="shared" si="139"/>
        <v>149110.00000000023</v>
      </c>
      <c r="AU229" s="361">
        <f t="shared" si="139"/>
        <v>163520.00000000023</v>
      </c>
      <c r="AV229" s="361">
        <f t="shared" si="139"/>
        <v>163850.00000000023</v>
      </c>
      <c r="AW229" s="361">
        <f t="shared" si="139"/>
        <v>170350.00000000023</v>
      </c>
      <c r="AX229" s="361">
        <f t="shared" si="139"/>
        <v>183260.00000000026</v>
      </c>
      <c r="AY229" s="361">
        <f t="shared" si="139"/>
        <v>184840.00000000029</v>
      </c>
      <c r="AZ229" s="361">
        <f t="shared" si="139"/>
        <v>187000.00000000032</v>
      </c>
      <c r="BA229" s="361">
        <f t="shared" si="139"/>
        <v>194000.00000000032</v>
      </c>
      <c r="BB229" s="361">
        <f t="shared" si="139"/>
        <v>197000.00000000032</v>
      </c>
      <c r="BC229" s="361">
        <f t="shared" si="139"/>
        <v>198810.00000000032</v>
      </c>
      <c r="BD229" s="361">
        <f t="shared" si="139"/>
        <v>205560.00000000035</v>
      </c>
      <c r="BE229" s="361">
        <f t="shared" si="139"/>
        <v>210870.00000000035</v>
      </c>
      <c r="BF229" s="361">
        <f t="shared" si="139"/>
        <v>5824.7093915777768</v>
      </c>
      <c r="BG229" s="190">
        <f t="shared" si="153"/>
        <v>7504.776049107144</v>
      </c>
      <c r="BH229" s="361">
        <f t="shared" si="140"/>
        <v>6341.0949562264586</v>
      </c>
      <c r="BI229" s="361">
        <f t="shared" si="141"/>
        <v>6547.8061807027589</v>
      </c>
      <c r="BJ229" s="361">
        <f t="shared" si="142"/>
        <v>6681.976240776632</v>
      </c>
      <c r="BK229" s="361">
        <f t="shared" si="143"/>
        <v>6986.9999999999991</v>
      </c>
      <c r="BL229" s="361">
        <f t="shared" si="144"/>
        <v>7116.9999999999991</v>
      </c>
      <c r="BM229" s="361">
        <f t="shared" si="145"/>
        <v>6798</v>
      </c>
      <c r="BN229" s="361">
        <f t="shared" si="146"/>
        <v>6998.9999999999991</v>
      </c>
      <c r="BO229" s="361">
        <f t="shared" si="147"/>
        <v>7068.9899999999989</v>
      </c>
      <c r="BP229" s="361">
        <f t="shared" si="148"/>
        <v>7139.6798999999992</v>
      </c>
      <c r="BQ229" s="361">
        <f t="shared" si="149"/>
        <v>7211.0766989999993</v>
      </c>
      <c r="BR229" s="361">
        <f t="shared" si="150"/>
        <v>7283.1874659899995</v>
      </c>
      <c r="BS229" s="361">
        <f t="shared" si="151"/>
        <v>7356.0193406498993</v>
      </c>
      <c r="BU229" s="40">
        <f t="shared" si="163"/>
        <v>0</v>
      </c>
      <c r="BV229" s="40">
        <f t="shared" si="162"/>
        <v>0</v>
      </c>
      <c r="BW229" s="40">
        <f t="shared" si="162"/>
        <v>0</v>
      </c>
      <c r="BX229" s="40">
        <f t="shared" si="162"/>
        <v>0</v>
      </c>
      <c r="BY229" s="40">
        <f t="shared" si="162"/>
        <v>0</v>
      </c>
      <c r="BZ229" s="40">
        <f t="shared" si="162"/>
        <v>0</v>
      </c>
      <c r="CA229" s="40">
        <f t="shared" si="162"/>
        <v>0</v>
      </c>
      <c r="CB229" s="40">
        <f t="shared" si="162"/>
        <v>0</v>
      </c>
      <c r="CC229" s="40">
        <f t="shared" si="162"/>
        <v>0</v>
      </c>
      <c r="CD229" s="40">
        <f t="shared" si="162"/>
        <v>0</v>
      </c>
      <c r="CO229" s="362"/>
      <c r="CP229" s="362"/>
      <c r="CQ229" s="362"/>
      <c r="CR229" s="362"/>
      <c r="CS229" s="362"/>
      <c r="CT229" s="362"/>
      <c r="CU229" s="362"/>
    </row>
    <row r="230" spans="2:99" s="361" customFormat="1">
      <c r="B230" s="166" t="s">
        <v>83</v>
      </c>
      <c r="AP230" s="361">
        <f t="shared" si="139"/>
        <v>27397.393999999989</v>
      </c>
      <c r="AQ230" s="361">
        <f t="shared" si="139"/>
        <v>23999.999999999993</v>
      </c>
      <c r="AR230" s="361">
        <f t="shared" si="139"/>
        <v>36459.999999999993</v>
      </c>
      <c r="AS230" s="361">
        <f t="shared" si="139"/>
        <v>37289.999999999993</v>
      </c>
      <c r="AT230" s="361">
        <f t="shared" si="139"/>
        <v>35009.999999999993</v>
      </c>
      <c r="AU230" s="361">
        <f t="shared" si="139"/>
        <v>33530</v>
      </c>
      <c r="AV230" s="361">
        <f t="shared" si="139"/>
        <v>33689.999999999993</v>
      </c>
      <c r="AW230" s="361">
        <f t="shared" si="139"/>
        <v>33560</v>
      </c>
      <c r="AX230" s="361">
        <f t="shared" si="139"/>
        <v>32440</v>
      </c>
      <c r="AY230" s="361">
        <f t="shared" si="139"/>
        <v>31440.000000000004</v>
      </c>
      <c r="AZ230" s="361">
        <f t="shared" si="139"/>
        <v>34000.000000000007</v>
      </c>
      <c r="BA230" s="361">
        <f t="shared" si="139"/>
        <v>31000.000000000004</v>
      </c>
      <c r="BB230" s="361">
        <f t="shared" si="139"/>
        <v>30000.000000000004</v>
      </c>
      <c r="BC230" s="361">
        <f t="shared" si="139"/>
        <v>30370.000000000004</v>
      </c>
      <c r="BD230" s="361">
        <f t="shared" si="139"/>
        <v>28920.000000000004</v>
      </c>
      <c r="BE230" s="361">
        <f t="shared" si="139"/>
        <v>31050.000000000004</v>
      </c>
      <c r="BF230" s="361">
        <f t="shared" si="139"/>
        <v>48906.62200000001</v>
      </c>
      <c r="BG230" s="190">
        <f t="shared" si="153"/>
        <v>49193.415951285962</v>
      </c>
      <c r="BH230" s="361">
        <f t="shared" si="140"/>
        <v>39551</v>
      </c>
      <c r="BI230" s="361">
        <f t="shared" si="141"/>
        <v>43855.658000000003</v>
      </c>
      <c r="BJ230" s="361">
        <f t="shared" si="142"/>
        <v>42978</v>
      </c>
      <c r="BK230" s="361">
        <f t="shared" si="143"/>
        <v>43652.999999999993</v>
      </c>
      <c r="BL230" s="361">
        <f t="shared" si="144"/>
        <v>45642.999999999993</v>
      </c>
      <c r="BM230" s="361">
        <f t="shared" si="145"/>
        <v>46509.999999999993</v>
      </c>
      <c r="BN230" s="361">
        <f t="shared" si="146"/>
        <v>47152.999999999993</v>
      </c>
      <c r="BO230" s="361">
        <f t="shared" si="147"/>
        <v>47718.835999999996</v>
      </c>
      <c r="BP230" s="361">
        <f t="shared" si="148"/>
        <v>48530.056211999989</v>
      </c>
      <c r="BQ230" s="361">
        <f t="shared" si="149"/>
        <v>49112.416886543979</v>
      </c>
      <c r="BR230" s="361">
        <f t="shared" si="150"/>
        <v>49652.653472295955</v>
      </c>
      <c r="BS230" s="361">
        <f t="shared" si="151"/>
        <v>50248.485313963509</v>
      </c>
      <c r="BU230" s="40">
        <f t="shared" si="163"/>
        <v>0</v>
      </c>
      <c r="BV230" s="40">
        <f t="shared" si="162"/>
        <v>0</v>
      </c>
      <c r="BW230" s="40">
        <f t="shared" si="162"/>
        <v>0</v>
      </c>
      <c r="BX230" s="40">
        <f t="shared" si="162"/>
        <v>0</v>
      </c>
      <c r="BY230" s="40">
        <f t="shared" si="162"/>
        <v>0</v>
      </c>
      <c r="BZ230" s="40">
        <f t="shared" si="162"/>
        <v>0</v>
      </c>
      <c r="CA230" s="40">
        <f t="shared" si="162"/>
        <v>0</v>
      </c>
      <c r="CB230" s="40">
        <f t="shared" si="162"/>
        <v>0</v>
      </c>
      <c r="CC230" s="40">
        <f t="shared" si="162"/>
        <v>0</v>
      </c>
      <c r="CD230" s="40">
        <f t="shared" si="162"/>
        <v>0</v>
      </c>
      <c r="CO230" s="362"/>
      <c r="CP230" s="362"/>
      <c r="CQ230" s="362"/>
      <c r="CR230" s="362"/>
      <c r="CS230" s="362"/>
      <c r="CT230" s="362"/>
      <c r="CU230" s="362"/>
    </row>
    <row r="231" spans="2:99" s="361" customFormat="1">
      <c r="B231" s="166" t="s">
        <v>84</v>
      </c>
      <c r="AP231" s="361">
        <f t="shared" si="139"/>
        <v>70960.000000000015</v>
      </c>
      <c r="AQ231" s="361">
        <f t="shared" si="139"/>
        <v>69000.000000000015</v>
      </c>
      <c r="AR231" s="361">
        <f t="shared" si="139"/>
        <v>65870.000000000015</v>
      </c>
      <c r="AS231" s="361">
        <f t="shared" si="139"/>
        <v>65870.000000000015</v>
      </c>
      <c r="AT231" s="361">
        <f t="shared" si="139"/>
        <v>62790.000000000007</v>
      </c>
      <c r="AU231" s="361">
        <f t="shared" si="139"/>
        <v>65250.000000000007</v>
      </c>
      <c r="AV231" s="361">
        <f t="shared" si="139"/>
        <v>65010.000000000015</v>
      </c>
      <c r="AW231" s="361">
        <f t="shared" si="139"/>
        <v>65180.000000000015</v>
      </c>
      <c r="AX231" s="361">
        <f t="shared" si="139"/>
        <v>67530.000000000015</v>
      </c>
      <c r="AY231" s="361">
        <f t="shared" si="139"/>
        <v>69140.000000000015</v>
      </c>
      <c r="AZ231" s="361">
        <f t="shared" si="139"/>
        <v>70000.000000000015</v>
      </c>
      <c r="BA231" s="361">
        <f t="shared" si="139"/>
        <v>71000.000000000015</v>
      </c>
      <c r="BB231" s="361">
        <f t="shared" si="139"/>
        <v>72000.000000000015</v>
      </c>
      <c r="BC231" s="361">
        <f t="shared" si="139"/>
        <v>71600.000000000015</v>
      </c>
      <c r="BD231" s="361">
        <f t="shared" si="139"/>
        <v>71300.000000000015</v>
      </c>
      <c r="BE231" s="361">
        <f t="shared" si="139"/>
        <v>75400.000000000015</v>
      </c>
      <c r="BF231" s="361">
        <f t="shared" si="139"/>
        <v>35401.606720395896</v>
      </c>
      <c r="BG231" s="190">
        <f t="shared" si="153"/>
        <v>44008.815596071858</v>
      </c>
      <c r="BH231" s="361">
        <f t="shared" si="140"/>
        <v>62931.074937931458</v>
      </c>
      <c r="BI231" s="361">
        <f t="shared" si="141"/>
        <v>54785</v>
      </c>
      <c r="BJ231" s="361">
        <f t="shared" si="142"/>
        <v>53505.762603031682</v>
      </c>
      <c r="BK231" s="361">
        <f t="shared" si="143"/>
        <v>71314</v>
      </c>
      <c r="BL231" s="361">
        <f t="shared" si="144"/>
        <v>74193</v>
      </c>
      <c r="BM231" s="361">
        <f t="shared" si="145"/>
        <v>76002</v>
      </c>
      <c r="BN231" s="361">
        <f t="shared" si="146"/>
        <v>79170.000000000015</v>
      </c>
      <c r="BO231" s="361">
        <f t="shared" si="147"/>
        <v>82020.12</v>
      </c>
      <c r="BP231" s="361">
        <f t="shared" si="148"/>
        <v>84841.612127999993</v>
      </c>
      <c r="BQ231" s="361">
        <f t="shared" si="149"/>
        <v>87386.860491839994</v>
      </c>
      <c r="BR231" s="361">
        <f t="shared" si="150"/>
        <v>90969.721772005432</v>
      </c>
      <c r="BS231" s="361">
        <f t="shared" si="151"/>
        <v>94881.419808201681</v>
      </c>
      <c r="BU231" s="40">
        <f t="shared" si="163"/>
        <v>0</v>
      </c>
      <c r="BV231" s="40">
        <f t="shared" si="162"/>
        <v>0</v>
      </c>
      <c r="BW231" s="40">
        <f t="shared" si="162"/>
        <v>0</v>
      </c>
      <c r="BX231" s="40">
        <f t="shared" si="162"/>
        <v>0</v>
      </c>
      <c r="BY231" s="40">
        <f t="shared" si="162"/>
        <v>0</v>
      </c>
      <c r="BZ231" s="40">
        <f t="shared" si="162"/>
        <v>0</v>
      </c>
      <c r="CA231" s="40">
        <f t="shared" si="162"/>
        <v>0</v>
      </c>
      <c r="CB231" s="40">
        <f t="shared" si="162"/>
        <v>0</v>
      </c>
      <c r="CC231" s="40">
        <f t="shared" si="162"/>
        <v>0</v>
      </c>
      <c r="CD231" s="40">
        <f t="shared" si="162"/>
        <v>0</v>
      </c>
      <c r="CO231" s="362"/>
      <c r="CP231" s="362"/>
      <c r="CQ231" s="362"/>
      <c r="CR231" s="362"/>
      <c r="CS231" s="362"/>
      <c r="CT231" s="362"/>
      <c r="CU231" s="362"/>
    </row>
    <row r="232" spans="2:99" s="361" customFormat="1">
      <c r="B232" s="166" t="s">
        <v>86</v>
      </c>
      <c r="AP232" s="361">
        <f>+SUM(AP217:AP231)</f>
        <v>3163176.2561315782</v>
      </c>
      <c r="AQ232" s="361">
        <f t="shared" ref="AQ232:BS232" si="164">+SUM(AQ217:AQ231)</f>
        <v>3232841.3226263993</v>
      </c>
      <c r="AR232" s="361">
        <f t="shared" si="164"/>
        <v>3261492.5536498227</v>
      </c>
      <c r="AS232" s="361">
        <f t="shared" si="164"/>
        <v>3111945.0806122818</v>
      </c>
      <c r="AT232" s="361">
        <f t="shared" si="164"/>
        <v>3013257.6856209822</v>
      </c>
      <c r="AU232" s="361">
        <f t="shared" si="164"/>
        <v>3096632.4322753679</v>
      </c>
      <c r="AV232" s="361">
        <f t="shared" si="164"/>
        <v>3145832.389381431</v>
      </c>
      <c r="AW232" s="361">
        <f t="shared" si="164"/>
        <v>3187596.2893162528</v>
      </c>
      <c r="AX232" s="361">
        <f t="shared" si="164"/>
        <v>3285304.809087859</v>
      </c>
      <c r="AY232" s="361">
        <f t="shared" si="164"/>
        <v>3198743.1441217246</v>
      </c>
      <c r="AZ232" s="361">
        <f t="shared" si="164"/>
        <v>3318000.0000000005</v>
      </c>
      <c r="BA232" s="361">
        <f t="shared" si="164"/>
        <v>3508000.0000000005</v>
      </c>
      <c r="BB232" s="361">
        <f t="shared" si="164"/>
        <v>3603000.0000000005</v>
      </c>
      <c r="BC232" s="361">
        <f t="shared" si="164"/>
        <v>3849136.1448406149</v>
      </c>
      <c r="BD232" s="361">
        <f t="shared" si="164"/>
        <v>4146151.3674690765</v>
      </c>
      <c r="BE232" s="361">
        <f t="shared" si="164"/>
        <v>4436299.7243731441</v>
      </c>
      <c r="BF232" s="361">
        <f t="shared" si="164"/>
        <v>7058803.1207569167</v>
      </c>
      <c r="BG232" s="361">
        <f t="shared" si="164"/>
        <v>7412940.8798577059</v>
      </c>
      <c r="BH232" s="361">
        <f t="shared" si="164"/>
        <v>7721515.453872758</v>
      </c>
      <c r="BI232" s="361">
        <f t="shared" si="164"/>
        <v>7953480.6227995409</v>
      </c>
      <c r="BJ232" s="361">
        <f t="shared" si="164"/>
        <v>8362942.4742897451</v>
      </c>
      <c r="BK232" s="361">
        <f t="shared" si="164"/>
        <v>8712173</v>
      </c>
      <c r="BL232" s="361">
        <f t="shared" si="164"/>
        <v>8882953</v>
      </c>
      <c r="BM232" s="361">
        <f t="shared" si="164"/>
        <v>9130623</v>
      </c>
      <c r="BN232" s="361">
        <f t="shared" si="164"/>
        <v>9298109</v>
      </c>
      <c r="BO232" s="361">
        <f t="shared" si="164"/>
        <v>9512450.3783208951</v>
      </c>
      <c r="BP232" s="361">
        <f t="shared" si="164"/>
        <v>9756959.2011920512</v>
      </c>
      <c r="BQ232" s="361">
        <f t="shared" si="164"/>
        <v>10276373.963729672</v>
      </c>
      <c r="BR232" s="361">
        <f t="shared" si="164"/>
        <v>10610813.467391318</v>
      </c>
      <c r="BS232" s="361">
        <f t="shared" si="164"/>
        <v>10935237.482679704</v>
      </c>
      <c r="BU232" s="40">
        <f t="shared" si="163"/>
        <v>0</v>
      </c>
      <c r="BV232" s="40">
        <f t="shared" si="162"/>
        <v>0</v>
      </c>
      <c r="BW232" s="40">
        <f t="shared" si="162"/>
        <v>0</v>
      </c>
      <c r="BX232" s="40">
        <f t="shared" si="162"/>
        <v>0</v>
      </c>
      <c r="BY232" s="40">
        <f t="shared" si="162"/>
        <v>0</v>
      </c>
      <c r="BZ232" s="40">
        <f t="shared" si="162"/>
        <v>0</v>
      </c>
      <c r="CA232" s="40">
        <f t="shared" si="162"/>
        <v>0</v>
      </c>
      <c r="CB232" s="40">
        <f t="shared" si="162"/>
        <v>0</v>
      </c>
      <c r="CC232" s="40">
        <f t="shared" si="162"/>
        <v>0</v>
      </c>
      <c r="CD232" s="40">
        <f t="shared" si="162"/>
        <v>0</v>
      </c>
      <c r="CO232" s="362"/>
      <c r="CP232" s="362"/>
      <c r="CQ232" s="362"/>
      <c r="CR232" s="362"/>
      <c r="CS232" s="362"/>
      <c r="CT232" s="362"/>
      <c r="CU232" s="362"/>
    </row>
    <row r="233" spans="2:99" s="361" customFormat="1">
      <c r="B233" s="166" t="str">
        <f>B214</f>
        <v>plus Taxes less subsidies on product</v>
      </c>
      <c r="AP233" s="361">
        <f t="shared" ref="AP233:BF233" si="165">AQ233/(1+AQ214/100)</f>
        <v>275999.99999999994</v>
      </c>
      <c r="AQ233" s="361">
        <f t="shared" si="165"/>
        <v>283571.99102274259</v>
      </c>
      <c r="AR233" s="361">
        <f t="shared" si="165"/>
        <v>284638.05056619033</v>
      </c>
      <c r="AS233" s="361">
        <f t="shared" si="165"/>
        <v>265561.5192468614</v>
      </c>
      <c r="AT233" s="361">
        <f t="shared" si="165"/>
        <v>274563.99889615737</v>
      </c>
      <c r="AU233" s="361">
        <f t="shared" si="165"/>
        <v>274587.30245359929</v>
      </c>
      <c r="AV233" s="361">
        <f t="shared" si="165"/>
        <v>277436.03449603613</v>
      </c>
      <c r="AW233" s="361">
        <f t="shared" si="165"/>
        <v>293359.03663242835</v>
      </c>
      <c r="AX233" s="361">
        <f t="shared" si="165"/>
        <v>300195.48785010795</v>
      </c>
      <c r="AY233" s="361">
        <f t="shared" si="165"/>
        <v>295989.70703829883</v>
      </c>
      <c r="AZ233" s="361">
        <f t="shared" si="165"/>
        <v>302999.99999999988</v>
      </c>
      <c r="BA233" s="361">
        <f t="shared" si="165"/>
        <v>321999.99999999988</v>
      </c>
      <c r="BB233" s="361">
        <f t="shared" si="165"/>
        <v>328999.99999999994</v>
      </c>
      <c r="BC233" s="361">
        <f t="shared" si="165"/>
        <v>351513.81005289947</v>
      </c>
      <c r="BD233" s="361">
        <f t="shared" si="165"/>
        <v>381999.99999999994</v>
      </c>
      <c r="BE233" s="361">
        <f t="shared" si="165"/>
        <v>407999.99999999994</v>
      </c>
      <c r="BF233" s="361">
        <f t="shared" si="165"/>
        <v>610664.99999999988</v>
      </c>
      <c r="BG233" s="636">
        <f>BG166</f>
        <v>647591</v>
      </c>
      <c r="BH233" s="361">
        <f t="shared" si="140"/>
        <v>673478</v>
      </c>
      <c r="BI233" s="361">
        <f t="shared" si="141"/>
        <v>694812</v>
      </c>
      <c r="BJ233" s="361">
        <f t="shared" si="142"/>
        <v>730583</v>
      </c>
      <c r="BK233" s="361">
        <f t="shared" si="143"/>
        <v>861097</v>
      </c>
      <c r="BL233" s="361">
        <f t="shared" si="144"/>
        <v>984134</v>
      </c>
      <c r="BM233" s="361">
        <f t="shared" si="145"/>
        <v>1016797.9999999999</v>
      </c>
      <c r="BN233" s="361">
        <f t="shared" si="146"/>
        <v>1035823.9999999999</v>
      </c>
      <c r="BO233" s="361">
        <f t="shared" si="147"/>
        <v>1053875.4219028805</v>
      </c>
      <c r="BP233" s="361">
        <f t="shared" si="148"/>
        <v>1080964.3241955615</v>
      </c>
      <c r="BQ233" s="361">
        <f t="shared" si="149"/>
        <v>1138509.7967332634</v>
      </c>
      <c r="BR233" s="361">
        <f t="shared" si="150"/>
        <v>1175562.0344853434</v>
      </c>
      <c r="BS233" s="361">
        <f t="shared" si="151"/>
        <v>1211504.6657096469</v>
      </c>
      <c r="BU233" s="40">
        <f t="shared" si="163"/>
        <v>0</v>
      </c>
      <c r="BV233" s="40">
        <f t="shared" si="162"/>
        <v>0</v>
      </c>
      <c r="BW233" s="40">
        <f t="shared" si="162"/>
        <v>0</v>
      </c>
      <c r="BX233" s="40">
        <f t="shared" si="162"/>
        <v>0</v>
      </c>
      <c r="BY233" s="40">
        <f t="shared" si="162"/>
        <v>0</v>
      </c>
      <c r="BZ233" s="40">
        <f t="shared" si="162"/>
        <v>0</v>
      </c>
      <c r="CA233" s="40">
        <f t="shared" si="162"/>
        <v>0</v>
      </c>
      <c r="CB233" s="40">
        <f t="shared" si="162"/>
        <v>0</v>
      </c>
      <c r="CC233" s="40">
        <f t="shared" si="162"/>
        <v>0</v>
      </c>
      <c r="CD233" s="40">
        <f t="shared" si="162"/>
        <v>0</v>
      </c>
      <c r="CO233" s="362"/>
      <c r="CP233" s="362"/>
      <c r="CQ233" s="362"/>
      <c r="CR233" s="362"/>
      <c r="CS233" s="362"/>
      <c r="CT233" s="362"/>
      <c r="CU233" s="362"/>
    </row>
    <row r="234" spans="2:99" s="361" customFormat="1">
      <c r="B234" s="166" t="s">
        <v>87</v>
      </c>
      <c r="AP234" s="637">
        <f t="shared" ref="AP234:BF234" si="166">SUM(AP217:AP233)</f>
        <v>6602352.5122631565</v>
      </c>
      <c r="AQ234" s="637">
        <f t="shared" si="166"/>
        <v>6749254.636275541</v>
      </c>
      <c r="AR234" s="637">
        <f t="shared" si="166"/>
        <v>6807623.1578658354</v>
      </c>
      <c r="AS234" s="637">
        <f t="shared" si="166"/>
        <v>6489451.6804714249</v>
      </c>
      <c r="AT234" s="637">
        <f t="shared" si="166"/>
        <v>6301079.3701381218</v>
      </c>
      <c r="AU234" s="637">
        <f t="shared" si="166"/>
        <v>6467852.1670043347</v>
      </c>
      <c r="AV234" s="637">
        <f t="shared" si="166"/>
        <v>6569100.8132588984</v>
      </c>
      <c r="AW234" s="637">
        <f t="shared" si="166"/>
        <v>6668551.6152649336</v>
      </c>
      <c r="AX234" s="637">
        <f t="shared" si="166"/>
        <v>6870805.1060258262</v>
      </c>
      <c r="AY234" s="637">
        <f t="shared" si="166"/>
        <v>6693475.9952817485</v>
      </c>
      <c r="AZ234" s="637">
        <f t="shared" si="166"/>
        <v>6939000.0000000009</v>
      </c>
      <c r="BA234" s="637">
        <f t="shared" si="166"/>
        <v>7338000.0000000009</v>
      </c>
      <c r="BB234" s="637">
        <f t="shared" si="166"/>
        <v>7535000.0000000009</v>
      </c>
      <c r="BC234" s="637">
        <f t="shared" si="166"/>
        <v>8049786.0997341294</v>
      </c>
      <c r="BD234" s="637">
        <f t="shared" si="166"/>
        <v>8674302.7349381521</v>
      </c>
      <c r="BE234" s="637">
        <f t="shared" si="166"/>
        <v>9280599.4487462882</v>
      </c>
      <c r="BF234" s="637">
        <f t="shared" si="166"/>
        <v>14728271.241513833</v>
      </c>
      <c r="BG234" s="637">
        <f>SUM(BG217:BG233)</f>
        <v>15473472.759715412</v>
      </c>
      <c r="BH234" s="637">
        <f>SUM(BH217:BH233)</f>
        <v>16116508.907745516</v>
      </c>
      <c r="BI234" s="637">
        <f t="shared" ref="BI234:BS234" si="167">SUM(BI217:BI233)</f>
        <v>16601773.245599082</v>
      </c>
      <c r="BJ234" s="637">
        <f t="shared" si="167"/>
        <v>17456467.94857949</v>
      </c>
      <c r="BK234" s="637">
        <f t="shared" si="167"/>
        <v>18285443</v>
      </c>
      <c r="BL234" s="637">
        <f t="shared" si="167"/>
        <v>18750040</v>
      </c>
      <c r="BM234" s="637">
        <f t="shared" si="167"/>
        <v>19278044</v>
      </c>
      <c r="BN234" s="637">
        <f t="shared" si="167"/>
        <v>19632042</v>
      </c>
      <c r="BO234" s="637">
        <f t="shared" si="167"/>
        <v>20078776.17854467</v>
      </c>
      <c r="BP234" s="637">
        <f t="shared" si="167"/>
        <v>20594882.726579662</v>
      </c>
      <c r="BQ234" s="637">
        <f t="shared" si="167"/>
        <v>21691257.724192608</v>
      </c>
      <c r="BR234" s="637">
        <f t="shared" si="167"/>
        <v>22397188.969267979</v>
      </c>
      <c r="BS234" s="637">
        <f t="shared" si="167"/>
        <v>23081979.631069057</v>
      </c>
      <c r="BU234" s="40">
        <f t="shared" si="163"/>
        <v>0</v>
      </c>
      <c r="BV234" s="40">
        <f t="shared" si="162"/>
        <v>0</v>
      </c>
      <c r="BW234" s="40">
        <f t="shared" si="162"/>
        <v>0</v>
      </c>
      <c r="BX234" s="40">
        <f t="shared" si="162"/>
        <v>0</v>
      </c>
      <c r="BY234" s="40">
        <f t="shared" si="162"/>
        <v>0</v>
      </c>
      <c r="BZ234" s="40">
        <f t="shared" si="162"/>
        <v>0</v>
      </c>
      <c r="CA234" s="40">
        <f t="shared" si="162"/>
        <v>0</v>
      </c>
      <c r="CB234" s="40">
        <f t="shared" si="162"/>
        <v>0</v>
      </c>
      <c r="CC234" s="40">
        <f t="shared" si="162"/>
        <v>0</v>
      </c>
      <c r="CD234" s="40">
        <f t="shared" si="162"/>
        <v>0</v>
      </c>
      <c r="CO234" s="362"/>
      <c r="CP234" s="362"/>
      <c r="CQ234" s="362"/>
      <c r="CR234" s="362"/>
      <c r="CS234" s="362"/>
      <c r="CT234" s="362"/>
      <c r="CU234" s="362"/>
    </row>
    <row r="235" spans="2:99" s="25" customFormat="1" ht="14.25" customHeight="1">
      <c r="B235" s="118"/>
      <c r="BU235" s="40">
        <f t="shared" si="163"/>
        <v>0</v>
      </c>
      <c r="BV235" s="40">
        <f t="shared" si="162"/>
        <v>0</v>
      </c>
      <c r="BW235" s="40">
        <f t="shared" si="162"/>
        <v>0</v>
      </c>
      <c r="BX235" s="40">
        <f t="shared" si="162"/>
        <v>0</v>
      </c>
      <c r="BY235" s="40">
        <f t="shared" si="162"/>
        <v>0</v>
      </c>
      <c r="BZ235" s="40">
        <f t="shared" si="162"/>
        <v>0</v>
      </c>
      <c r="CA235" s="40">
        <f t="shared" si="162"/>
        <v>0</v>
      </c>
      <c r="CB235" s="40">
        <f t="shared" si="162"/>
        <v>0</v>
      </c>
      <c r="CC235" s="40">
        <f t="shared" si="162"/>
        <v>0</v>
      </c>
      <c r="CD235" s="40">
        <f t="shared" si="162"/>
        <v>0</v>
      </c>
    </row>
    <row r="236" spans="2:99" s="410" customFormat="1">
      <c r="B236" s="511" t="s">
        <v>2109</v>
      </c>
      <c r="C236" s="511" t="s">
        <v>3556</v>
      </c>
      <c r="D236" s="511" t="s">
        <v>47</v>
      </c>
      <c r="E236" s="511"/>
      <c r="F236" s="511"/>
      <c r="G236" s="511"/>
      <c r="H236" s="511"/>
      <c r="I236" s="511"/>
      <c r="J236" s="511"/>
      <c r="K236" s="511"/>
      <c r="L236" s="511"/>
      <c r="M236" s="511"/>
      <c r="N236" s="511"/>
      <c r="O236" s="511"/>
      <c r="P236" s="511"/>
      <c r="Q236" s="511"/>
      <c r="R236" s="511"/>
      <c r="S236" s="511"/>
      <c r="T236" s="511"/>
      <c r="U236" s="511"/>
      <c r="V236" s="511"/>
      <c r="W236" s="511"/>
      <c r="X236" s="511"/>
      <c r="Y236" s="511"/>
      <c r="Z236" s="511"/>
      <c r="AA236" s="511"/>
      <c r="AB236" s="511"/>
      <c r="AC236" s="511"/>
      <c r="AD236" s="511"/>
      <c r="AE236" s="511"/>
      <c r="AF236" s="511"/>
      <c r="AG236" s="511"/>
      <c r="AH236" s="511"/>
      <c r="AI236" s="511"/>
      <c r="AJ236" s="511"/>
      <c r="AK236" s="511"/>
      <c r="AL236" s="511"/>
      <c r="AM236" s="511"/>
      <c r="AN236" s="511"/>
      <c r="AO236" s="511"/>
      <c r="AP236" s="511"/>
      <c r="AQ236" s="511"/>
      <c r="AR236" s="511"/>
      <c r="AS236" s="511"/>
      <c r="AT236" s="511"/>
      <c r="AU236" s="511"/>
      <c r="BF236" s="465"/>
      <c r="BG236" s="465"/>
      <c r="BU236" s="40">
        <f t="shared" si="163"/>
        <v>0</v>
      </c>
      <c r="BV236" s="40">
        <f t="shared" si="162"/>
        <v>0</v>
      </c>
      <c r="BW236" s="40">
        <f t="shared" si="162"/>
        <v>0</v>
      </c>
      <c r="BX236" s="40">
        <f t="shared" si="162"/>
        <v>0</v>
      </c>
      <c r="BY236" s="40">
        <f t="shared" si="162"/>
        <v>0</v>
      </c>
      <c r="BZ236" s="40">
        <f t="shared" si="162"/>
        <v>0</v>
      </c>
      <c r="CA236" s="40">
        <f t="shared" si="162"/>
        <v>0</v>
      </c>
      <c r="CB236" s="40">
        <f t="shared" si="162"/>
        <v>0</v>
      </c>
      <c r="CC236" s="40">
        <f t="shared" si="162"/>
        <v>0</v>
      </c>
      <c r="CD236" s="40">
        <f t="shared" si="162"/>
        <v>0</v>
      </c>
    </row>
    <row r="237" spans="2:99" s="25" customFormat="1">
      <c r="B237" s="238" t="s">
        <v>2313</v>
      </c>
      <c r="BF237" s="307"/>
      <c r="BG237" s="307"/>
      <c r="BU237" s="40">
        <f t="shared" si="163"/>
        <v>0</v>
      </c>
      <c r="BV237" s="40">
        <f t="shared" si="162"/>
        <v>0</v>
      </c>
      <c r="BW237" s="40">
        <f t="shared" si="162"/>
        <v>0</v>
      </c>
      <c r="BX237" s="40">
        <f t="shared" si="162"/>
        <v>0</v>
      </c>
      <c r="BY237" s="40">
        <f t="shared" si="162"/>
        <v>0</v>
      </c>
      <c r="BZ237" s="40">
        <f t="shared" si="162"/>
        <v>0</v>
      </c>
      <c r="CA237" s="40">
        <f t="shared" si="162"/>
        <v>0</v>
      </c>
      <c r="CB237" s="40">
        <f t="shared" si="162"/>
        <v>0</v>
      </c>
      <c r="CC237" s="40">
        <f t="shared" si="162"/>
        <v>0</v>
      </c>
      <c r="CD237" s="40">
        <f t="shared" si="162"/>
        <v>0</v>
      </c>
    </row>
    <row r="238" spans="2:99" s="25" customFormat="1">
      <c r="B238" s="238"/>
      <c r="BF238" s="307"/>
      <c r="BG238" s="307"/>
      <c r="BU238" s="40">
        <f t="shared" si="163"/>
        <v>0</v>
      </c>
      <c r="BV238" s="40">
        <f t="shared" si="162"/>
        <v>0</v>
      </c>
      <c r="BW238" s="40">
        <f t="shared" si="162"/>
        <v>0</v>
      </c>
      <c r="BX238" s="40">
        <f t="shared" si="162"/>
        <v>0</v>
      </c>
      <c r="BY238" s="40">
        <f t="shared" si="162"/>
        <v>0</v>
      </c>
      <c r="BZ238" s="40">
        <f t="shared" si="162"/>
        <v>0</v>
      </c>
      <c r="CA238" s="40">
        <f t="shared" si="162"/>
        <v>0</v>
      </c>
      <c r="CB238" s="40">
        <f t="shared" si="162"/>
        <v>0</v>
      </c>
      <c r="CC238" s="40">
        <f t="shared" si="162"/>
        <v>0</v>
      </c>
      <c r="CD238" s="40">
        <f t="shared" si="162"/>
        <v>0</v>
      </c>
    </row>
    <row r="239" spans="2:99">
      <c r="B239" s="25" t="s">
        <v>3222</v>
      </c>
      <c r="AV239" s="2">
        <v>22.678999999999998</v>
      </c>
      <c r="AW239" s="2">
        <v>35.524000000000001</v>
      </c>
      <c r="AX239" s="2">
        <v>52.554000000000002</v>
      </c>
      <c r="AY239" s="2">
        <v>104.47799999999999</v>
      </c>
      <c r="AZ239" s="2">
        <v>79.057000000000002</v>
      </c>
      <c r="BA239" s="239">
        <v>59.801037999999998</v>
      </c>
      <c r="BB239" s="239">
        <v>108.80830400000001</v>
      </c>
      <c r="BC239" s="239">
        <v>102.153913</v>
      </c>
      <c r="BD239" s="239">
        <v>219.34438599999999</v>
      </c>
      <c r="BE239" s="25"/>
      <c r="BU239" s="40">
        <f t="shared" si="163"/>
        <v>0</v>
      </c>
      <c r="BV239" s="40">
        <f t="shared" si="162"/>
        <v>0</v>
      </c>
      <c r="BW239" s="40">
        <f t="shared" si="162"/>
        <v>0</v>
      </c>
      <c r="BX239" s="40">
        <f t="shared" si="162"/>
        <v>0</v>
      </c>
      <c r="BY239" s="40">
        <f t="shared" si="162"/>
        <v>0</v>
      </c>
      <c r="BZ239" s="40">
        <f t="shared" si="162"/>
        <v>0</v>
      </c>
      <c r="CA239" s="40">
        <f t="shared" si="162"/>
        <v>0</v>
      </c>
      <c r="CB239" s="40">
        <f t="shared" si="162"/>
        <v>0</v>
      </c>
      <c r="CC239" s="40">
        <f t="shared" si="162"/>
        <v>0</v>
      </c>
      <c r="CD239" s="40">
        <f t="shared" si="162"/>
        <v>0</v>
      </c>
    </row>
    <row r="240" spans="2:99">
      <c r="AV240" s="2"/>
      <c r="AW240" s="2"/>
      <c r="AX240" s="2"/>
      <c r="AY240" s="2"/>
      <c r="AZ240" s="2"/>
      <c r="BA240" s="2"/>
      <c r="BB240" s="2"/>
      <c r="BC240" s="2"/>
      <c r="BD240" s="2"/>
      <c r="BE240" s="25"/>
      <c r="BU240" s="40">
        <f t="shared" si="163"/>
        <v>0</v>
      </c>
      <c r="BV240" s="40">
        <f t="shared" si="162"/>
        <v>0</v>
      </c>
      <c r="BW240" s="40">
        <f t="shared" si="162"/>
        <v>0</v>
      </c>
      <c r="BX240" s="40">
        <f t="shared" si="162"/>
        <v>0</v>
      </c>
      <c r="BY240" s="40">
        <f t="shared" si="162"/>
        <v>0</v>
      </c>
      <c r="BZ240" s="40">
        <f t="shared" si="162"/>
        <v>0</v>
      </c>
      <c r="CA240" s="40">
        <f t="shared" si="162"/>
        <v>0</v>
      </c>
      <c r="CB240" s="40">
        <f t="shared" si="162"/>
        <v>0</v>
      </c>
      <c r="CC240" s="40">
        <f t="shared" si="162"/>
        <v>0</v>
      </c>
      <c r="CD240" s="40">
        <f t="shared" si="162"/>
        <v>0</v>
      </c>
    </row>
    <row r="241" spans="2:82">
      <c r="BU241" s="40">
        <f t="shared" si="163"/>
        <v>0</v>
      </c>
      <c r="BV241" s="40">
        <f t="shared" si="162"/>
        <v>0</v>
      </c>
      <c r="BW241" s="40">
        <f t="shared" si="162"/>
        <v>0</v>
      </c>
      <c r="BX241" s="40">
        <f t="shared" si="162"/>
        <v>0</v>
      </c>
      <c r="BY241" s="40">
        <f t="shared" si="162"/>
        <v>0</v>
      </c>
      <c r="BZ241" s="40">
        <f t="shared" si="162"/>
        <v>0</v>
      </c>
      <c r="CA241" s="40">
        <f t="shared" si="162"/>
        <v>0</v>
      </c>
      <c r="CB241" s="40">
        <f t="shared" si="162"/>
        <v>0</v>
      </c>
      <c r="CC241" s="40">
        <f t="shared" si="162"/>
        <v>0</v>
      </c>
      <c r="CD241" s="40">
        <f t="shared" si="162"/>
        <v>0</v>
      </c>
    </row>
    <row r="242" spans="2:82">
      <c r="B242" s="238" t="s">
        <v>4557</v>
      </c>
      <c r="BA242" s="239">
        <f>SUM(BA243:BA245)+BA239</f>
        <v>61.543037999999996</v>
      </c>
      <c r="BB242" s="239">
        <f>SUM(BB243:BB245)+BB239</f>
        <v>111.14130400000001</v>
      </c>
      <c r="BC242" s="239">
        <f>SUM(BC243:BC245)+BC239</f>
        <v>107.384913</v>
      </c>
      <c r="BD242" s="239">
        <f>SUM(BD243:BD245)+BD239</f>
        <v>253.53438599999998</v>
      </c>
      <c r="BU242" s="40">
        <f t="shared" si="163"/>
        <v>0</v>
      </c>
      <c r="BV242" s="40">
        <f t="shared" ref="BV242:CD257" si="168">BU242</f>
        <v>0</v>
      </c>
      <c r="BW242" s="40">
        <f t="shared" si="168"/>
        <v>0</v>
      </c>
      <c r="BX242" s="40">
        <f t="shared" si="168"/>
        <v>0</v>
      </c>
      <c r="BY242" s="40">
        <f t="shared" si="168"/>
        <v>0</v>
      </c>
      <c r="BZ242" s="40">
        <f t="shared" si="168"/>
        <v>0</v>
      </c>
      <c r="CA242" s="40">
        <f t="shared" si="168"/>
        <v>0</v>
      </c>
      <c r="CB242" s="40">
        <f t="shared" si="168"/>
        <v>0</v>
      </c>
      <c r="CC242" s="40">
        <f t="shared" si="168"/>
        <v>0</v>
      </c>
      <c r="CD242" s="40">
        <f t="shared" si="168"/>
        <v>0</v>
      </c>
    </row>
    <row r="243" spans="2:82" s="25" customFormat="1">
      <c r="B243" s="276" t="s">
        <v>2196</v>
      </c>
      <c r="C243" s="276" t="s">
        <v>3193</v>
      </c>
      <c r="D243" s="276"/>
      <c r="E243" s="276"/>
      <c r="F243" s="276"/>
      <c r="G243" s="276"/>
      <c r="H243" s="276"/>
      <c r="I243" s="276"/>
      <c r="J243" s="276"/>
      <c r="K243" s="276"/>
      <c r="L243" s="276"/>
      <c r="M243" s="276"/>
      <c r="N243" s="276"/>
      <c r="O243" s="276"/>
      <c r="P243" s="276"/>
      <c r="Q243" s="276"/>
      <c r="R243" s="276"/>
      <c r="S243" s="276"/>
      <c r="T243" s="276"/>
      <c r="U243" s="276"/>
      <c r="V243" s="276"/>
      <c r="W243" s="276"/>
      <c r="X243" s="276"/>
      <c r="Y243" s="276"/>
      <c r="Z243" s="276"/>
      <c r="AA243" s="276"/>
      <c r="AB243" s="276"/>
      <c r="AC243" s="276"/>
      <c r="AD243" s="276"/>
      <c r="AE243" s="276"/>
      <c r="AF243" s="276"/>
      <c r="AG243" s="276"/>
      <c r="AH243" s="276"/>
      <c r="AI243" s="276"/>
      <c r="AJ243" s="276"/>
      <c r="AK243" s="276"/>
      <c r="AL243" s="276"/>
      <c r="AM243" s="276"/>
      <c r="AN243" s="276"/>
      <c r="AO243" s="276"/>
      <c r="AP243" s="276"/>
      <c r="AQ243" s="276"/>
      <c r="AR243" s="276"/>
      <c r="AS243" s="276"/>
      <c r="AT243" s="276"/>
      <c r="AU243" s="276"/>
      <c r="AV243" s="2">
        <v>16.509</v>
      </c>
      <c r="AW243" s="2">
        <v>8.2200000000000006</v>
      </c>
      <c r="AX243" s="2">
        <v>14.723000000000001</v>
      </c>
      <c r="AY243" s="2">
        <v>5.4370000000000003</v>
      </c>
      <c r="AZ243" s="2">
        <v>8.7759999999999998</v>
      </c>
      <c r="BA243" s="276">
        <v>1.742</v>
      </c>
      <c r="BB243" s="276">
        <v>2.3330000000000002</v>
      </c>
      <c r="BC243" s="276">
        <v>4.9969999999999999</v>
      </c>
      <c r="BD243" s="276">
        <v>33.609000000000002</v>
      </c>
      <c r="BE243" s="2">
        <v>0</v>
      </c>
      <c r="BF243" s="348">
        <v>0</v>
      </c>
      <c r="BG243" s="348">
        <v>0</v>
      </c>
      <c r="BH243" s="32">
        <v>0</v>
      </c>
      <c r="BI243" s="32">
        <v>0</v>
      </c>
      <c r="BJ243" s="32">
        <v>0</v>
      </c>
      <c r="BK243" s="32">
        <v>0</v>
      </c>
      <c r="BU243" s="40">
        <f t="shared" si="163"/>
        <v>0</v>
      </c>
      <c r="BV243" s="40">
        <f t="shared" si="168"/>
        <v>0</v>
      </c>
      <c r="BW243" s="40">
        <f t="shared" si="168"/>
        <v>0</v>
      </c>
      <c r="BX243" s="40">
        <f t="shared" si="168"/>
        <v>0</v>
      </c>
      <c r="BY243" s="40">
        <f t="shared" si="168"/>
        <v>0</v>
      </c>
      <c r="BZ243" s="40">
        <f t="shared" si="168"/>
        <v>0</v>
      </c>
      <c r="CA243" s="40">
        <f t="shared" si="168"/>
        <v>0</v>
      </c>
      <c r="CB243" s="40">
        <f t="shared" si="168"/>
        <v>0</v>
      </c>
      <c r="CC243" s="40">
        <f t="shared" si="168"/>
        <v>0</v>
      </c>
      <c r="CD243" s="40">
        <f t="shared" si="168"/>
        <v>0</v>
      </c>
    </row>
    <row r="244" spans="2:82">
      <c r="B244" s="276" t="s">
        <v>2227</v>
      </c>
      <c r="C244" s="276"/>
      <c r="D244" s="276"/>
      <c r="E244" s="276"/>
      <c r="F244" s="276"/>
      <c r="G244" s="276"/>
      <c r="H244" s="276"/>
      <c r="I244" s="276"/>
      <c r="J244" s="276"/>
      <c r="K244" s="276"/>
      <c r="L244" s="276"/>
      <c r="M244" s="276"/>
      <c r="N244" s="276"/>
      <c r="O244" s="276"/>
      <c r="P244" s="276"/>
      <c r="Q244" s="276"/>
      <c r="R244" s="276"/>
      <c r="S244" s="276"/>
      <c r="T244" s="276"/>
      <c r="U244" s="276"/>
      <c r="V244" s="276"/>
      <c r="W244" s="276"/>
      <c r="X244" s="276"/>
      <c r="Y244" s="276"/>
      <c r="Z244" s="276"/>
      <c r="AA244" s="276"/>
      <c r="AB244" s="276"/>
      <c r="AC244" s="276"/>
      <c r="AD244" s="276"/>
      <c r="AE244" s="276"/>
      <c r="AF244" s="276"/>
      <c r="AG244" s="276"/>
      <c r="AH244" s="276"/>
      <c r="AI244" s="276"/>
      <c r="AJ244" s="276"/>
      <c r="AK244" s="276"/>
      <c r="AL244" s="276"/>
      <c r="AM244" s="276"/>
      <c r="AN244" s="276"/>
      <c r="AO244" s="276"/>
      <c r="AP244" s="276"/>
      <c r="AQ244" s="276"/>
      <c r="AR244" s="276"/>
      <c r="AS244" s="276"/>
      <c r="AT244" s="276"/>
      <c r="AU244" s="276"/>
      <c r="AV244" s="2">
        <v>0</v>
      </c>
      <c r="AW244" s="2">
        <v>0.11749999999999999</v>
      </c>
      <c r="AX244" s="2">
        <v>0.13900000000000001</v>
      </c>
      <c r="AY244" s="2">
        <v>3.3000000000000002E-2</v>
      </c>
      <c r="AZ244" s="2">
        <v>7.1999999999999995E-2</v>
      </c>
      <c r="BA244" s="276">
        <v>0</v>
      </c>
      <c r="BB244" s="276">
        <v>0</v>
      </c>
      <c r="BC244" s="276">
        <v>0.14000000000000001</v>
      </c>
      <c r="BD244" s="276">
        <v>0.58099999999999996</v>
      </c>
      <c r="BE244" s="2">
        <v>0</v>
      </c>
      <c r="BF244" s="348">
        <v>0</v>
      </c>
      <c r="BG244" s="348">
        <v>0</v>
      </c>
      <c r="BH244" s="32">
        <v>0</v>
      </c>
      <c r="BI244" s="32">
        <v>0</v>
      </c>
      <c r="BJ244" s="32">
        <v>0</v>
      </c>
      <c r="BK244" s="32">
        <v>0</v>
      </c>
      <c r="BU244" s="40">
        <f t="shared" si="163"/>
        <v>0</v>
      </c>
      <c r="BV244" s="40">
        <f t="shared" si="168"/>
        <v>0</v>
      </c>
      <c r="BW244" s="40">
        <f t="shared" si="168"/>
        <v>0</v>
      </c>
      <c r="BX244" s="40">
        <f t="shared" si="168"/>
        <v>0</v>
      </c>
      <c r="BY244" s="40">
        <f t="shared" si="168"/>
        <v>0</v>
      </c>
      <c r="BZ244" s="40">
        <f t="shared" si="168"/>
        <v>0</v>
      </c>
      <c r="CA244" s="40">
        <f t="shared" si="168"/>
        <v>0</v>
      </c>
      <c r="CB244" s="40">
        <f t="shared" si="168"/>
        <v>0</v>
      </c>
      <c r="CC244" s="40">
        <f t="shared" si="168"/>
        <v>0</v>
      </c>
      <c r="CD244" s="40">
        <f t="shared" si="168"/>
        <v>0</v>
      </c>
    </row>
    <row r="245" spans="2:82">
      <c r="B245" s="276" t="s">
        <v>2290</v>
      </c>
      <c r="C245" s="276"/>
      <c r="D245" s="276"/>
      <c r="E245" s="276"/>
      <c r="F245" s="276"/>
      <c r="G245" s="276"/>
      <c r="H245" s="276"/>
      <c r="I245" s="276"/>
      <c r="J245" s="276"/>
      <c r="K245" s="276"/>
      <c r="L245" s="276"/>
      <c r="M245" s="276"/>
      <c r="N245" s="276"/>
      <c r="O245" s="276"/>
      <c r="P245" s="276"/>
      <c r="Q245" s="276"/>
      <c r="R245" s="276"/>
      <c r="S245" s="276"/>
      <c r="T245" s="276"/>
      <c r="U245" s="276"/>
      <c r="V245" s="276"/>
      <c r="W245" s="276"/>
      <c r="X245" s="276"/>
      <c r="Y245" s="276"/>
      <c r="Z245" s="276"/>
      <c r="AA245" s="276"/>
      <c r="AB245" s="276"/>
      <c r="AC245" s="276"/>
      <c r="AD245" s="276"/>
      <c r="AE245" s="276"/>
      <c r="AF245" s="276"/>
      <c r="AG245" s="276"/>
      <c r="AH245" s="276"/>
      <c r="AI245" s="276"/>
      <c r="AJ245" s="276"/>
      <c r="AK245" s="276"/>
      <c r="AL245" s="276"/>
      <c r="AM245" s="276"/>
      <c r="AN245" s="276"/>
      <c r="AO245" s="276"/>
      <c r="AP245" s="276"/>
      <c r="AQ245" s="276"/>
      <c r="AR245" s="276"/>
      <c r="AS245" s="276"/>
      <c r="AT245" s="276"/>
      <c r="AU245" s="276"/>
      <c r="AV245" s="2">
        <v>0</v>
      </c>
      <c r="AW245" s="2">
        <v>0</v>
      </c>
      <c r="AX245" s="2">
        <v>0</v>
      </c>
      <c r="AY245" s="2">
        <v>0</v>
      </c>
      <c r="AZ245" s="2">
        <v>18.09</v>
      </c>
      <c r="BA245" s="276">
        <v>0</v>
      </c>
      <c r="BB245" s="276">
        <v>0</v>
      </c>
      <c r="BC245" s="276">
        <v>9.4E-2</v>
      </c>
      <c r="BD245" s="276">
        <v>0</v>
      </c>
      <c r="BE245" s="2">
        <v>1.5</v>
      </c>
      <c r="BF245" s="348">
        <v>1.5</v>
      </c>
      <c r="BG245" s="348">
        <v>1.5</v>
      </c>
      <c r="BH245" s="32">
        <v>1.5</v>
      </c>
      <c r="BI245" s="32">
        <v>1.5</v>
      </c>
      <c r="BJ245" s="32">
        <v>1.5</v>
      </c>
      <c r="BK245" s="32">
        <v>1.5</v>
      </c>
      <c r="BU245" s="40">
        <f t="shared" si="163"/>
        <v>0</v>
      </c>
      <c r="BV245" s="40">
        <f t="shared" si="168"/>
        <v>0</v>
      </c>
      <c r="BW245" s="40">
        <f t="shared" si="168"/>
        <v>0</v>
      </c>
      <c r="BX245" s="40">
        <f t="shared" si="168"/>
        <v>0</v>
      </c>
      <c r="BY245" s="40">
        <f t="shared" si="168"/>
        <v>0</v>
      </c>
      <c r="BZ245" s="40">
        <f t="shared" si="168"/>
        <v>0</v>
      </c>
      <c r="CA245" s="40">
        <f t="shared" si="168"/>
        <v>0</v>
      </c>
      <c r="CB245" s="40">
        <f t="shared" si="168"/>
        <v>0</v>
      </c>
      <c r="CC245" s="40">
        <f t="shared" si="168"/>
        <v>0</v>
      </c>
      <c r="CD245" s="40">
        <f t="shared" si="168"/>
        <v>0</v>
      </c>
    </row>
    <row r="246" spans="2:82">
      <c r="BU246" s="40">
        <f t="shared" si="163"/>
        <v>0</v>
      </c>
      <c r="BV246" s="40">
        <f t="shared" si="168"/>
        <v>0</v>
      </c>
      <c r="BW246" s="40">
        <f t="shared" si="168"/>
        <v>0</v>
      </c>
      <c r="BX246" s="40">
        <f t="shared" si="168"/>
        <v>0</v>
      </c>
      <c r="BY246" s="40">
        <f t="shared" si="168"/>
        <v>0</v>
      </c>
      <c r="BZ246" s="40">
        <f t="shared" si="168"/>
        <v>0</v>
      </c>
      <c r="CA246" s="40">
        <f t="shared" si="168"/>
        <v>0</v>
      </c>
      <c r="CB246" s="40">
        <f t="shared" si="168"/>
        <v>0</v>
      </c>
      <c r="CC246" s="40">
        <f t="shared" si="168"/>
        <v>0</v>
      </c>
      <c r="CD246" s="40">
        <f t="shared" si="168"/>
        <v>0</v>
      </c>
    </row>
    <row r="247" spans="2:82">
      <c r="B247" s="25" t="s">
        <v>3223</v>
      </c>
      <c r="AV247" s="2">
        <v>10.8</v>
      </c>
      <c r="AW247" s="2">
        <v>10.5</v>
      </c>
      <c r="AX247" s="2">
        <v>25.9</v>
      </c>
      <c r="AY247" s="2">
        <v>25.9</v>
      </c>
      <c r="AZ247" s="2">
        <v>25.9</v>
      </c>
      <c r="BA247" s="239">
        <v>81.55481300000001</v>
      </c>
      <c r="BB247" s="239">
        <v>89.657943999999986</v>
      </c>
      <c r="BC247" s="239">
        <v>103.77109900000001</v>
      </c>
      <c r="BD247" s="239">
        <v>138.53008800000001</v>
      </c>
      <c r="BE247" s="25"/>
      <c r="BU247" s="40">
        <f t="shared" si="163"/>
        <v>0</v>
      </c>
      <c r="BV247" s="40">
        <f t="shared" si="168"/>
        <v>0</v>
      </c>
      <c r="BW247" s="40">
        <f t="shared" si="168"/>
        <v>0</v>
      </c>
      <c r="BX247" s="40">
        <f t="shared" si="168"/>
        <v>0</v>
      </c>
      <c r="BY247" s="40">
        <f t="shared" si="168"/>
        <v>0</v>
      </c>
      <c r="BZ247" s="40">
        <f t="shared" si="168"/>
        <v>0</v>
      </c>
      <c r="CA247" s="40">
        <f t="shared" si="168"/>
        <v>0</v>
      </c>
      <c r="CB247" s="40">
        <f t="shared" si="168"/>
        <v>0</v>
      </c>
      <c r="CC247" s="40">
        <f t="shared" si="168"/>
        <v>0</v>
      </c>
      <c r="CD247" s="40">
        <f t="shared" si="168"/>
        <v>0</v>
      </c>
    </row>
    <row r="248" spans="2:82">
      <c r="B248" s="238" t="s">
        <v>2139</v>
      </c>
      <c r="AV248" s="25"/>
      <c r="AW248" s="25"/>
      <c r="AX248" s="25"/>
      <c r="AY248" s="25"/>
      <c r="AZ248" s="25"/>
      <c r="BA248" s="25">
        <f t="shared" ref="BA248:BF248" si="169">SUM(BA249:BA251)</f>
        <v>54.813133000000001</v>
      </c>
      <c r="BB248" s="25">
        <f t="shared" si="169"/>
        <v>74.976133999999973</v>
      </c>
      <c r="BC248" s="25">
        <f t="shared" si="169"/>
        <v>94.220106000000001</v>
      </c>
      <c r="BD248" s="25">
        <f t="shared" si="169"/>
        <v>122.09416499999999</v>
      </c>
      <c r="BE248" s="25">
        <f t="shared" si="169"/>
        <v>3.1E-2</v>
      </c>
      <c r="BF248" s="307">
        <f t="shared" si="169"/>
        <v>3.1E-2</v>
      </c>
      <c r="BU248" s="40">
        <f t="shared" si="163"/>
        <v>0</v>
      </c>
      <c r="BV248" s="40">
        <f t="shared" si="168"/>
        <v>0</v>
      </c>
      <c r="BW248" s="40">
        <f t="shared" si="168"/>
        <v>0</v>
      </c>
      <c r="BX248" s="40">
        <f t="shared" si="168"/>
        <v>0</v>
      </c>
      <c r="BY248" s="40">
        <f t="shared" si="168"/>
        <v>0</v>
      </c>
      <c r="BZ248" s="40">
        <f t="shared" si="168"/>
        <v>0</v>
      </c>
      <c r="CA248" s="40">
        <f t="shared" si="168"/>
        <v>0</v>
      </c>
      <c r="CB248" s="40">
        <f t="shared" si="168"/>
        <v>0</v>
      </c>
      <c r="CC248" s="40">
        <f t="shared" si="168"/>
        <v>0</v>
      </c>
      <c r="CD248" s="40">
        <f t="shared" si="168"/>
        <v>0</v>
      </c>
    </row>
    <row r="249" spans="2:82" ht="16.5" customHeight="1">
      <c r="B249" s="638" t="s">
        <v>2197</v>
      </c>
      <c r="C249" s="276" t="s">
        <v>3193</v>
      </c>
      <c r="D249" s="276"/>
      <c r="E249" s="276"/>
      <c r="F249" s="276"/>
      <c r="G249" s="276"/>
      <c r="H249" s="276"/>
      <c r="I249" s="276"/>
      <c r="J249" s="276"/>
      <c r="K249" s="276"/>
      <c r="L249" s="276"/>
      <c r="M249" s="276"/>
      <c r="N249" s="276"/>
      <c r="O249" s="276"/>
      <c r="P249" s="276"/>
      <c r="Q249" s="276"/>
      <c r="R249" s="276"/>
      <c r="S249" s="276"/>
      <c r="T249" s="276"/>
      <c r="U249" s="276"/>
      <c r="V249" s="276"/>
      <c r="W249" s="276"/>
      <c r="X249" s="276"/>
      <c r="Y249" s="276"/>
      <c r="Z249" s="276"/>
      <c r="AA249" s="276"/>
      <c r="AB249" s="276"/>
      <c r="AC249" s="276"/>
      <c r="AD249" s="276"/>
      <c r="AE249" s="276"/>
      <c r="AF249" s="276"/>
      <c r="AG249" s="276"/>
      <c r="AH249" s="276"/>
      <c r="AI249" s="276"/>
      <c r="AJ249" s="276"/>
      <c r="AK249" s="276"/>
      <c r="AL249" s="276"/>
      <c r="AM249" s="276"/>
      <c r="AN249" s="276"/>
      <c r="AO249" s="276"/>
      <c r="AP249" s="276"/>
      <c r="AQ249" s="276"/>
      <c r="AR249" s="276"/>
      <c r="AS249" s="276"/>
      <c r="AT249" s="276"/>
      <c r="AU249" s="276"/>
      <c r="AV249" s="2">
        <v>17.407</v>
      </c>
      <c r="AW249" s="2">
        <v>2.4725000000000001</v>
      </c>
      <c r="AX249" s="2">
        <v>11.116</v>
      </c>
      <c r="AY249" s="2">
        <v>0.63200000000000001</v>
      </c>
      <c r="AZ249" s="2">
        <v>3.6619999999999999</v>
      </c>
      <c r="BA249" s="276">
        <v>3.0409999999999999</v>
      </c>
      <c r="BB249" s="276">
        <v>2.6579999999999999</v>
      </c>
      <c r="BC249" s="276">
        <v>0</v>
      </c>
      <c r="BD249" s="276">
        <v>3.1E-2</v>
      </c>
      <c r="BE249" s="2">
        <v>3.1E-2</v>
      </c>
      <c r="BF249" s="348">
        <v>3.1E-2</v>
      </c>
      <c r="BG249" s="348">
        <v>3.1E-2</v>
      </c>
      <c r="BH249" s="32">
        <v>3.1E-2</v>
      </c>
      <c r="BI249" s="32">
        <v>3.1E-2</v>
      </c>
      <c r="BJ249" s="32">
        <v>3.1E-2</v>
      </c>
      <c r="BK249" s="32">
        <v>3.1E-2</v>
      </c>
      <c r="BU249" s="40">
        <f t="shared" si="163"/>
        <v>0</v>
      </c>
      <c r="BV249" s="40">
        <f t="shared" si="168"/>
        <v>0</v>
      </c>
      <c r="BW249" s="40">
        <f t="shared" si="168"/>
        <v>0</v>
      </c>
      <c r="BX249" s="40">
        <f t="shared" si="168"/>
        <v>0</v>
      </c>
      <c r="BY249" s="40">
        <f t="shared" si="168"/>
        <v>0</v>
      </c>
      <c r="BZ249" s="40">
        <f t="shared" si="168"/>
        <v>0</v>
      </c>
      <c r="CA249" s="40">
        <f t="shared" si="168"/>
        <v>0</v>
      </c>
      <c r="CB249" s="40">
        <f t="shared" si="168"/>
        <v>0</v>
      </c>
      <c r="CC249" s="40">
        <f t="shared" si="168"/>
        <v>0</v>
      </c>
      <c r="CD249" s="40">
        <f t="shared" si="168"/>
        <v>0</v>
      </c>
    </row>
    <row r="250" spans="2:82" ht="11.25" customHeight="1">
      <c r="B250" s="638" t="s">
        <v>164</v>
      </c>
      <c r="C250" s="276"/>
      <c r="D250" s="276"/>
      <c r="E250" s="276"/>
      <c r="F250" s="276"/>
      <c r="G250" s="276"/>
      <c r="H250" s="276"/>
      <c r="I250" s="276"/>
      <c r="J250" s="276"/>
      <c r="K250" s="276"/>
      <c r="L250" s="276"/>
      <c r="M250" s="276"/>
      <c r="N250" s="276"/>
      <c r="O250" s="276"/>
      <c r="P250" s="276"/>
      <c r="Q250" s="276"/>
      <c r="R250" s="276"/>
      <c r="S250" s="276"/>
      <c r="T250" s="276"/>
      <c r="U250" s="276"/>
      <c r="V250" s="276"/>
      <c r="W250" s="276"/>
      <c r="X250" s="276"/>
      <c r="Y250" s="276"/>
      <c r="Z250" s="276"/>
      <c r="AA250" s="276"/>
      <c r="AB250" s="276"/>
      <c r="AC250" s="276"/>
      <c r="AD250" s="276"/>
      <c r="AE250" s="276"/>
      <c r="AF250" s="276"/>
      <c r="AG250" s="276"/>
      <c r="AH250" s="276"/>
      <c r="AI250" s="276"/>
      <c r="AJ250" s="276"/>
      <c r="AK250" s="276"/>
      <c r="AL250" s="276"/>
      <c r="AM250" s="276"/>
      <c r="AN250" s="276"/>
      <c r="AO250" s="276"/>
      <c r="AP250" s="276"/>
      <c r="AQ250" s="276"/>
      <c r="AR250" s="276"/>
      <c r="AS250" s="276"/>
      <c r="AT250" s="276"/>
      <c r="AU250" s="276"/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76">
        <v>0</v>
      </c>
      <c r="BB250" s="276">
        <v>0</v>
      </c>
      <c r="BC250" s="276">
        <v>0</v>
      </c>
      <c r="BD250" s="276">
        <v>0</v>
      </c>
      <c r="BE250" s="2">
        <v>0</v>
      </c>
      <c r="BF250" s="348">
        <v>0</v>
      </c>
      <c r="BG250" s="348">
        <v>0</v>
      </c>
      <c r="BH250" s="32">
        <v>0</v>
      </c>
      <c r="BI250" s="32">
        <v>0</v>
      </c>
      <c r="BJ250" s="32">
        <v>0</v>
      </c>
      <c r="BK250" s="32">
        <v>0</v>
      </c>
      <c r="BU250" s="40">
        <f t="shared" si="163"/>
        <v>0</v>
      </c>
      <c r="BV250" s="40">
        <f t="shared" si="168"/>
        <v>0</v>
      </c>
      <c r="BW250" s="40">
        <f t="shared" si="168"/>
        <v>0</v>
      </c>
      <c r="BX250" s="40">
        <f t="shared" si="168"/>
        <v>0</v>
      </c>
      <c r="BY250" s="40">
        <f t="shared" si="168"/>
        <v>0</v>
      </c>
      <c r="BZ250" s="40">
        <f t="shared" si="168"/>
        <v>0</v>
      </c>
      <c r="CA250" s="40">
        <f t="shared" si="168"/>
        <v>0</v>
      </c>
      <c r="CB250" s="40">
        <f t="shared" si="168"/>
        <v>0</v>
      </c>
      <c r="CC250" s="40">
        <f t="shared" si="168"/>
        <v>0</v>
      </c>
      <c r="CD250" s="40">
        <f t="shared" si="168"/>
        <v>0</v>
      </c>
    </row>
    <row r="251" spans="2:82">
      <c r="B251" s="639" t="s">
        <v>2539</v>
      </c>
      <c r="AV251" s="2">
        <v>24.207000000000001</v>
      </c>
      <c r="AW251" s="2">
        <v>12.801</v>
      </c>
      <c r="AX251" s="2">
        <v>20.16</v>
      </c>
      <c r="AY251" s="2">
        <v>18.706</v>
      </c>
      <c r="AZ251" s="2">
        <v>45.613</v>
      </c>
      <c r="BA251" s="239">
        <v>51.772133000000004</v>
      </c>
      <c r="BB251" s="239">
        <v>72.318133999999972</v>
      </c>
      <c r="BC251" s="239">
        <v>94.220106000000001</v>
      </c>
      <c r="BD251" s="239">
        <v>122.06316499999998</v>
      </c>
      <c r="BE251" s="25"/>
      <c r="BU251" s="40">
        <f t="shared" si="163"/>
        <v>0</v>
      </c>
      <c r="BV251" s="40">
        <f t="shared" si="168"/>
        <v>0</v>
      </c>
      <c r="BW251" s="40">
        <f t="shared" si="168"/>
        <v>0</v>
      </c>
      <c r="BX251" s="40">
        <f t="shared" si="168"/>
        <v>0</v>
      </c>
      <c r="BY251" s="40">
        <f t="shared" si="168"/>
        <v>0</v>
      </c>
      <c r="BZ251" s="40">
        <f t="shared" si="168"/>
        <v>0</v>
      </c>
      <c r="CA251" s="40">
        <f t="shared" si="168"/>
        <v>0</v>
      </c>
      <c r="CB251" s="40">
        <f t="shared" si="168"/>
        <v>0</v>
      </c>
      <c r="CC251" s="40">
        <f t="shared" si="168"/>
        <v>0</v>
      </c>
      <c r="CD251" s="40">
        <f t="shared" si="168"/>
        <v>0</v>
      </c>
    </row>
    <row r="252" spans="2:82">
      <c r="B252" s="40" t="s">
        <v>1233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39">
        <v>0</v>
      </c>
      <c r="BB252" s="239">
        <v>0</v>
      </c>
      <c r="BC252" s="239">
        <v>0</v>
      </c>
      <c r="BD252" s="239">
        <v>0</v>
      </c>
      <c r="BE252" s="25"/>
      <c r="BU252" s="40">
        <f t="shared" si="163"/>
        <v>0</v>
      </c>
      <c r="BV252" s="40">
        <f t="shared" si="168"/>
        <v>0</v>
      </c>
      <c r="BW252" s="40">
        <f t="shared" si="168"/>
        <v>0</v>
      </c>
      <c r="BX252" s="40">
        <f t="shared" si="168"/>
        <v>0</v>
      </c>
      <c r="BY252" s="40">
        <f t="shared" si="168"/>
        <v>0</v>
      </c>
      <c r="BZ252" s="40">
        <f t="shared" si="168"/>
        <v>0</v>
      </c>
      <c r="CA252" s="40">
        <f t="shared" si="168"/>
        <v>0</v>
      </c>
      <c r="CB252" s="40">
        <f t="shared" si="168"/>
        <v>0</v>
      </c>
      <c r="CC252" s="40">
        <f t="shared" si="168"/>
        <v>0</v>
      </c>
      <c r="CD252" s="40">
        <f t="shared" si="168"/>
        <v>0</v>
      </c>
    </row>
    <row r="253" spans="2:82">
      <c r="B253" s="238" t="s">
        <v>1255</v>
      </c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U253" s="40">
        <f t="shared" si="163"/>
        <v>0</v>
      </c>
      <c r="BV253" s="40">
        <f t="shared" si="168"/>
        <v>0</v>
      </c>
      <c r="BW253" s="40">
        <f t="shared" si="168"/>
        <v>0</v>
      </c>
      <c r="BX253" s="40">
        <f t="shared" si="168"/>
        <v>0</v>
      </c>
      <c r="BY253" s="40">
        <f t="shared" si="168"/>
        <v>0</v>
      </c>
      <c r="BZ253" s="40">
        <f t="shared" si="168"/>
        <v>0</v>
      </c>
      <c r="CA253" s="40">
        <f t="shared" si="168"/>
        <v>0</v>
      </c>
      <c r="CB253" s="40">
        <f t="shared" si="168"/>
        <v>0</v>
      </c>
      <c r="CC253" s="40">
        <f t="shared" si="168"/>
        <v>0</v>
      </c>
      <c r="CD253" s="40">
        <f t="shared" si="168"/>
        <v>0</v>
      </c>
    </row>
    <row r="254" spans="2:82">
      <c r="B254" s="276" t="s">
        <v>2198</v>
      </c>
      <c r="C254" s="276" t="s">
        <v>3193</v>
      </c>
      <c r="D254" s="276"/>
      <c r="E254" s="276"/>
      <c r="F254" s="276"/>
      <c r="G254" s="276"/>
      <c r="H254" s="276"/>
      <c r="I254" s="276"/>
      <c r="J254" s="276"/>
      <c r="K254" s="276"/>
      <c r="L254" s="276"/>
      <c r="M254" s="276"/>
      <c r="N254" s="276"/>
      <c r="O254" s="276"/>
      <c r="P254" s="276"/>
      <c r="Q254" s="276"/>
      <c r="R254" s="276"/>
      <c r="S254" s="276"/>
      <c r="T254" s="276"/>
      <c r="U254" s="276"/>
      <c r="V254" s="276"/>
      <c r="W254" s="276"/>
      <c r="X254" s="276"/>
      <c r="Y254" s="276"/>
      <c r="Z254" s="276"/>
      <c r="AA254" s="276"/>
      <c r="AB254" s="276"/>
      <c r="AC254" s="276"/>
      <c r="AD254" s="276"/>
      <c r="AE254" s="276"/>
      <c r="AF254" s="276"/>
      <c r="AG254" s="276"/>
      <c r="AH254" s="276"/>
      <c r="AI254" s="276"/>
      <c r="AJ254" s="276"/>
      <c r="AK254" s="276"/>
      <c r="AL254" s="276"/>
      <c r="AM254" s="276"/>
      <c r="AN254" s="276"/>
      <c r="AO254" s="276"/>
      <c r="AP254" s="276"/>
      <c r="AQ254" s="276"/>
      <c r="AR254" s="276"/>
      <c r="AS254" s="276"/>
      <c r="AT254" s="276"/>
      <c r="AU254" s="276"/>
      <c r="AV254" s="2">
        <v>37.877000000000002</v>
      </c>
      <c r="AW254" s="2">
        <v>14.725</v>
      </c>
      <c r="AX254" s="2">
        <v>19.797999999999998</v>
      </c>
      <c r="AY254" s="2">
        <v>8.4870000000000001</v>
      </c>
      <c r="AZ254" s="2">
        <v>12.74</v>
      </c>
      <c r="BA254" s="276">
        <v>3.1619999999999999</v>
      </c>
      <c r="BB254" s="276">
        <v>5.609</v>
      </c>
      <c r="BC254" s="276">
        <v>0.88100000000000001</v>
      </c>
      <c r="BD254" s="276">
        <v>0.49099999999999999</v>
      </c>
      <c r="BE254" s="2">
        <v>0.49099999999999999</v>
      </c>
      <c r="BF254" s="348">
        <v>0.49099999999999999</v>
      </c>
      <c r="BG254" s="348">
        <v>0.49099999999999999</v>
      </c>
      <c r="BH254" s="32">
        <v>0.49099999999999999</v>
      </c>
      <c r="BI254" s="32">
        <v>0.49099999999999999</v>
      </c>
      <c r="BJ254" s="32">
        <v>0.49099999999999999</v>
      </c>
      <c r="BK254" s="32">
        <v>0.49099999999999999</v>
      </c>
      <c r="BU254" s="40">
        <f t="shared" si="163"/>
        <v>0</v>
      </c>
      <c r="BV254" s="40">
        <f t="shared" si="168"/>
        <v>0</v>
      </c>
      <c r="BW254" s="40">
        <f t="shared" si="168"/>
        <v>0</v>
      </c>
      <c r="BX254" s="40">
        <f t="shared" si="168"/>
        <v>0</v>
      </c>
      <c r="BY254" s="40">
        <f t="shared" si="168"/>
        <v>0</v>
      </c>
      <c r="BZ254" s="40">
        <f t="shared" si="168"/>
        <v>0</v>
      </c>
      <c r="CA254" s="40">
        <f t="shared" si="168"/>
        <v>0</v>
      </c>
      <c r="CB254" s="40">
        <f t="shared" si="168"/>
        <v>0</v>
      </c>
      <c r="CC254" s="40">
        <f t="shared" si="168"/>
        <v>0</v>
      </c>
      <c r="CD254" s="40">
        <f t="shared" si="168"/>
        <v>0</v>
      </c>
    </row>
    <row r="255" spans="2:82">
      <c r="BU255" s="40">
        <f t="shared" si="163"/>
        <v>0</v>
      </c>
      <c r="BV255" s="40">
        <f t="shared" si="168"/>
        <v>0</v>
      </c>
      <c r="BW255" s="40">
        <f t="shared" si="168"/>
        <v>0</v>
      </c>
      <c r="BX255" s="40">
        <f t="shared" si="168"/>
        <v>0</v>
      </c>
      <c r="BY255" s="40">
        <f t="shared" si="168"/>
        <v>0</v>
      </c>
      <c r="BZ255" s="40">
        <f t="shared" si="168"/>
        <v>0</v>
      </c>
      <c r="CA255" s="40">
        <f t="shared" si="168"/>
        <v>0</v>
      </c>
      <c r="CB255" s="40">
        <f t="shared" si="168"/>
        <v>0</v>
      </c>
      <c r="CC255" s="40">
        <f t="shared" si="168"/>
        <v>0</v>
      </c>
      <c r="CD255" s="40">
        <f t="shared" si="168"/>
        <v>0</v>
      </c>
    </row>
    <row r="256" spans="2:82" s="25" customFormat="1">
      <c r="B256" s="25" t="s">
        <v>3424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BF256" s="307"/>
      <c r="BG256" s="307"/>
      <c r="BU256" s="40">
        <f t="shared" si="163"/>
        <v>0</v>
      </c>
      <c r="BV256" s="40">
        <f t="shared" si="168"/>
        <v>0</v>
      </c>
      <c r="BW256" s="40">
        <f t="shared" si="168"/>
        <v>0</v>
      </c>
      <c r="BX256" s="40">
        <f t="shared" si="168"/>
        <v>0</v>
      </c>
      <c r="BY256" s="40">
        <f t="shared" si="168"/>
        <v>0</v>
      </c>
      <c r="BZ256" s="40">
        <f t="shared" si="168"/>
        <v>0</v>
      </c>
      <c r="CA256" s="40">
        <f t="shared" si="168"/>
        <v>0</v>
      </c>
      <c r="CB256" s="40">
        <f t="shared" si="168"/>
        <v>0</v>
      </c>
      <c r="CC256" s="40">
        <f t="shared" si="168"/>
        <v>0</v>
      </c>
      <c r="CD256" s="40">
        <f t="shared" si="168"/>
        <v>0</v>
      </c>
    </row>
    <row r="257" spans="1:91" s="25" customFormat="1">
      <c r="B257" s="25" t="s">
        <v>2011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BF257" s="307"/>
      <c r="BG257" s="307"/>
      <c r="BU257" s="40">
        <f t="shared" si="163"/>
        <v>0</v>
      </c>
      <c r="BV257" s="40">
        <f t="shared" si="168"/>
        <v>0</v>
      </c>
      <c r="BW257" s="40">
        <f t="shared" si="168"/>
        <v>0</v>
      </c>
      <c r="BX257" s="40">
        <f t="shared" si="168"/>
        <v>0</v>
      </c>
      <c r="BY257" s="40">
        <f t="shared" si="168"/>
        <v>0</v>
      </c>
      <c r="BZ257" s="40">
        <f t="shared" si="168"/>
        <v>0</v>
      </c>
      <c r="CA257" s="40">
        <f t="shared" si="168"/>
        <v>0</v>
      </c>
      <c r="CB257" s="40">
        <f t="shared" si="168"/>
        <v>0</v>
      </c>
      <c r="CC257" s="40">
        <f t="shared" si="168"/>
        <v>0</v>
      </c>
      <c r="CD257" s="40">
        <f t="shared" si="168"/>
        <v>0</v>
      </c>
    </row>
    <row r="258" spans="1:91" s="25" customFormat="1">
      <c r="B258" s="25" t="s">
        <v>3202</v>
      </c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BF258" s="307"/>
      <c r="BG258" s="307"/>
      <c r="BU258" s="40">
        <f t="shared" si="163"/>
        <v>0</v>
      </c>
      <c r="BV258" s="40">
        <f t="shared" ref="BV258:CD268" si="170">BU258</f>
        <v>0</v>
      </c>
      <c r="BW258" s="40">
        <f t="shared" si="170"/>
        <v>0</v>
      </c>
      <c r="BX258" s="40">
        <f t="shared" si="170"/>
        <v>0</v>
      </c>
      <c r="BY258" s="40">
        <f t="shared" si="170"/>
        <v>0</v>
      </c>
      <c r="BZ258" s="40">
        <f t="shared" si="170"/>
        <v>0</v>
      </c>
      <c r="CA258" s="40">
        <f t="shared" si="170"/>
        <v>0</v>
      </c>
      <c r="CB258" s="40">
        <f t="shared" si="170"/>
        <v>0</v>
      </c>
      <c r="CC258" s="40">
        <f t="shared" si="170"/>
        <v>0</v>
      </c>
      <c r="CD258" s="40">
        <f t="shared" si="170"/>
        <v>0</v>
      </c>
    </row>
    <row r="259" spans="1:91" s="25" customFormat="1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BF259" s="307"/>
      <c r="BG259" s="307"/>
      <c r="BU259" s="40">
        <f t="shared" si="163"/>
        <v>0</v>
      </c>
      <c r="BV259" s="40">
        <f t="shared" si="170"/>
        <v>0</v>
      </c>
      <c r="BW259" s="40">
        <f t="shared" si="170"/>
        <v>0</v>
      </c>
      <c r="BX259" s="40">
        <f t="shared" si="170"/>
        <v>0</v>
      </c>
      <c r="BY259" s="40">
        <f t="shared" si="170"/>
        <v>0</v>
      </c>
      <c r="BZ259" s="40">
        <f t="shared" si="170"/>
        <v>0</v>
      </c>
      <c r="CA259" s="40">
        <f t="shared" si="170"/>
        <v>0</v>
      </c>
      <c r="CB259" s="40">
        <f t="shared" si="170"/>
        <v>0</v>
      </c>
      <c r="CC259" s="40">
        <f t="shared" si="170"/>
        <v>0</v>
      </c>
      <c r="CD259" s="40">
        <f t="shared" si="170"/>
        <v>0</v>
      </c>
    </row>
    <row r="260" spans="1:91" s="25" customFormat="1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BF260" s="307"/>
      <c r="BG260" s="307"/>
      <c r="BU260" s="40">
        <f t="shared" si="163"/>
        <v>0</v>
      </c>
      <c r="BV260" s="40">
        <f t="shared" si="170"/>
        <v>0</v>
      </c>
      <c r="BW260" s="40">
        <f t="shared" si="170"/>
        <v>0</v>
      </c>
      <c r="BX260" s="40">
        <f t="shared" si="170"/>
        <v>0</v>
      </c>
      <c r="BY260" s="40">
        <f t="shared" si="170"/>
        <v>0</v>
      </c>
      <c r="BZ260" s="40">
        <f t="shared" si="170"/>
        <v>0</v>
      </c>
      <c r="CA260" s="40">
        <f t="shared" si="170"/>
        <v>0</v>
      </c>
      <c r="CB260" s="40">
        <f t="shared" si="170"/>
        <v>0</v>
      </c>
      <c r="CC260" s="40">
        <f t="shared" si="170"/>
        <v>0</v>
      </c>
      <c r="CD260" s="40">
        <f t="shared" si="170"/>
        <v>0</v>
      </c>
    </row>
    <row r="261" spans="1:91" s="25" customFormat="1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BF261" s="307"/>
      <c r="BG261" s="307"/>
      <c r="BU261" s="40">
        <f t="shared" si="163"/>
        <v>0</v>
      </c>
      <c r="BV261" s="40">
        <f t="shared" si="170"/>
        <v>0</v>
      </c>
      <c r="BW261" s="40">
        <f t="shared" si="170"/>
        <v>0</v>
      </c>
      <c r="BX261" s="40">
        <f t="shared" si="170"/>
        <v>0</v>
      </c>
      <c r="BY261" s="40">
        <f t="shared" si="170"/>
        <v>0</v>
      </c>
      <c r="BZ261" s="40">
        <f t="shared" si="170"/>
        <v>0</v>
      </c>
      <c r="CA261" s="40">
        <f t="shared" si="170"/>
        <v>0</v>
      </c>
      <c r="CB261" s="40">
        <f t="shared" si="170"/>
        <v>0</v>
      </c>
      <c r="CC261" s="40">
        <f t="shared" si="170"/>
        <v>0</v>
      </c>
      <c r="CD261" s="40">
        <f t="shared" si="170"/>
        <v>0</v>
      </c>
    </row>
    <row r="262" spans="1:91" s="25" customFormat="1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BF262" s="307"/>
      <c r="BG262" s="307"/>
      <c r="BU262" s="40">
        <f t="shared" si="163"/>
        <v>0</v>
      </c>
      <c r="BV262" s="40">
        <f t="shared" si="170"/>
        <v>0</v>
      </c>
      <c r="BW262" s="40">
        <f t="shared" si="170"/>
        <v>0</v>
      </c>
      <c r="BX262" s="40">
        <f t="shared" si="170"/>
        <v>0</v>
      </c>
      <c r="BY262" s="40">
        <f t="shared" si="170"/>
        <v>0</v>
      </c>
      <c r="BZ262" s="40">
        <f t="shared" si="170"/>
        <v>0</v>
      </c>
      <c r="CA262" s="40">
        <f t="shared" si="170"/>
        <v>0</v>
      </c>
      <c r="CB262" s="40">
        <f t="shared" si="170"/>
        <v>0</v>
      </c>
      <c r="CC262" s="40">
        <f t="shared" si="170"/>
        <v>0</v>
      </c>
      <c r="CD262" s="40">
        <f t="shared" si="170"/>
        <v>0</v>
      </c>
    </row>
    <row r="263" spans="1:91" s="25" customFormat="1" ht="26.25">
      <c r="B263" s="640" t="s">
        <v>258</v>
      </c>
      <c r="C263" s="641"/>
      <c r="D263" s="499"/>
      <c r="E263" s="499"/>
      <c r="F263" s="499"/>
      <c r="G263" s="499"/>
      <c r="H263" s="499"/>
      <c r="I263" s="499"/>
      <c r="J263" s="499"/>
      <c r="K263" s="499"/>
      <c r="L263" s="499"/>
      <c r="M263" s="499"/>
      <c r="N263" s="499"/>
      <c r="O263" s="499"/>
      <c r="P263" s="499"/>
      <c r="Q263" s="499"/>
      <c r="R263" s="499"/>
      <c r="S263" s="499"/>
      <c r="T263" s="499"/>
      <c r="U263" s="499"/>
      <c r="V263" s="499"/>
      <c r="W263" s="499"/>
      <c r="X263" s="499"/>
      <c r="Y263" s="499"/>
      <c r="Z263" s="499"/>
      <c r="AA263" s="499"/>
      <c r="AB263" s="499"/>
      <c r="AC263" s="499"/>
      <c r="AD263" s="499"/>
      <c r="AE263" s="499"/>
      <c r="AF263" s="499"/>
      <c r="AG263" s="499"/>
      <c r="AH263" s="499"/>
      <c r="AI263" s="499"/>
      <c r="AJ263" s="499"/>
      <c r="AK263" s="499"/>
      <c r="AL263" s="499"/>
      <c r="AM263" s="499"/>
      <c r="AN263" s="499"/>
      <c r="AO263" s="499"/>
      <c r="AP263" s="499"/>
      <c r="AQ263" s="499"/>
      <c r="AR263" s="499"/>
      <c r="AS263" s="499"/>
      <c r="AT263" s="499"/>
      <c r="AU263" s="499"/>
      <c r="AV263" s="499"/>
      <c r="AW263" s="499"/>
      <c r="AX263" s="499"/>
      <c r="AY263" s="499"/>
      <c r="AZ263" s="499"/>
      <c r="BA263" s="499"/>
      <c r="BB263" s="499"/>
      <c r="BC263" s="499"/>
      <c r="BD263" s="499"/>
      <c r="BE263" s="499"/>
      <c r="BF263" s="461"/>
      <c r="BG263" s="461"/>
      <c r="BU263" s="40">
        <f t="shared" si="163"/>
        <v>0</v>
      </c>
      <c r="BV263" s="40">
        <f t="shared" si="170"/>
        <v>0</v>
      </c>
      <c r="BW263" s="40">
        <f t="shared" si="170"/>
        <v>0</v>
      </c>
      <c r="BX263" s="40">
        <f t="shared" si="170"/>
        <v>0</v>
      </c>
      <c r="BY263" s="40">
        <f t="shared" si="170"/>
        <v>0</v>
      </c>
      <c r="BZ263" s="40">
        <f t="shared" si="170"/>
        <v>0</v>
      </c>
      <c r="CA263" s="40">
        <f t="shared" si="170"/>
        <v>0</v>
      </c>
      <c r="CB263" s="40">
        <f t="shared" si="170"/>
        <v>0</v>
      </c>
      <c r="CC263" s="40">
        <f t="shared" si="170"/>
        <v>0</v>
      </c>
      <c r="CD263" s="40">
        <f t="shared" si="170"/>
        <v>0</v>
      </c>
    </row>
    <row r="264" spans="1:91" s="25" customFormat="1">
      <c r="B264" s="499"/>
      <c r="C264" s="499"/>
      <c r="D264" s="499"/>
      <c r="E264" s="499"/>
      <c r="F264" s="499"/>
      <c r="G264" s="499"/>
      <c r="H264" s="499"/>
      <c r="I264" s="499"/>
      <c r="J264" s="499"/>
      <c r="K264" s="499"/>
      <c r="L264" s="499"/>
      <c r="M264" s="499"/>
      <c r="N264" s="499"/>
      <c r="O264" s="499"/>
      <c r="P264" s="499"/>
      <c r="Q264" s="499"/>
      <c r="R264" s="499"/>
      <c r="S264" s="499"/>
      <c r="T264" s="499"/>
      <c r="U264" s="499"/>
      <c r="V264" s="499"/>
      <c r="W264" s="499"/>
      <c r="X264" s="499"/>
      <c r="Y264" s="499"/>
      <c r="Z264" s="499"/>
      <c r="AA264" s="499"/>
      <c r="AB264" s="499"/>
      <c r="AC264" s="499"/>
      <c r="AD264" s="499"/>
      <c r="AE264" s="499"/>
      <c r="AF264" s="499"/>
      <c r="AG264" s="499"/>
      <c r="AH264" s="499"/>
      <c r="AI264" s="499"/>
      <c r="AJ264" s="499"/>
      <c r="AK264" s="499"/>
      <c r="AL264" s="499"/>
      <c r="AM264" s="499"/>
      <c r="AN264" s="499"/>
      <c r="AO264" s="499"/>
      <c r="AP264" s="499"/>
      <c r="AQ264" s="499"/>
      <c r="AR264" s="499"/>
      <c r="AS264" s="499"/>
      <c r="AT264" s="499"/>
      <c r="AU264" s="499"/>
      <c r="AV264" s="499" t="s">
        <v>4476</v>
      </c>
      <c r="AW264" s="499" t="s">
        <v>4476</v>
      </c>
      <c r="AX264" s="499" t="s">
        <v>4476</v>
      </c>
      <c r="AY264" s="499" t="s">
        <v>4476</v>
      </c>
      <c r="AZ264" s="499" t="s">
        <v>4476</v>
      </c>
      <c r="BA264" s="499" t="s">
        <v>4476</v>
      </c>
      <c r="BB264" s="499" t="s">
        <v>4476</v>
      </c>
      <c r="BC264" s="499" t="s">
        <v>4476</v>
      </c>
      <c r="BD264" s="499" t="s">
        <v>4477</v>
      </c>
      <c r="BE264" s="499" t="s">
        <v>4477</v>
      </c>
      <c r="BF264" s="461" t="s">
        <v>4477</v>
      </c>
      <c r="BG264" s="461" t="s">
        <v>4477</v>
      </c>
      <c r="BH264" s="499" t="s">
        <v>4477</v>
      </c>
      <c r="BI264" s="499" t="s">
        <v>4477</v>
      </c>
      <c r="BJ264" s="499" t="s">
        <v>4477</v>
      </c>
      <c r="BK264" s="499" t="s">
        <v>4477</v>
      </c>
      <c r="BU264" s="40">
        <f t="shared" si="163"/>
        <v>0</v>
      </c>
      <c r="BV264" s="40">
        <f t="shared" si="170"/>
        <v>0</v>
      </c>
      <c r="BW264" s="40">
        <f t="shared" si="170"/>
        <v>0</v>
      </c>
      <c r="BX264" s="40">
        <f t="shared" si="170"/>
        <v>0</v>
      </c>
      <c r="BY264" s="40">
        <f t="shared" si="170"/>
        <v>0</v>
      </c>
      <c r="BZ264" s="40">
        <f t="shared" si="170"/>
        <v>0</v>
      </c>
      <c r="CA264" s="40">
        <f t="shared" si="170"/>
        <v>0</v>
      </c>
      <c r="CB264" s="40">
        <f t="shared" si="170"/>
        <v>0</v>
      </c>
      <c r="CC264" s="40">
        <f t="shared" si="170"/>
        <v>0</v>
      </c>
      <c r="CD264" s="40">
        <f t="shared" si="170"/>
        <v>0</v>
      </c>
    </row>
    <row r="265" spans="1:91" s="25" customFormat="1">
      <c r="A265" s="898" t="s">
        <v>1126</v>
      </c>
      <c r="B265" s="642" t="s">
        <v>1252</v>
      </c>
      <c r="C265" s="499"/>
      <c r="D265" s="499"/>
      <c r="E265" s="499"/>
      <c r="F265" s="499"/>
      <c r="G265" s="499"/>
      <c r="H265" s="499"/>
      <c r="I265" s="499"/>
      <c r="J265" s="499"/>
      <c r="K265" s="499"/>
      <c r="L265" s="499"/>
      <c r="M265" s="499"/>
      <c r="N265" s="499"/>
      <c r="O265" s="499"/>
      <c r="P265" s="499"/>
      <c r="Q265" s="499"/>
      <c r="R265" s="499"/>
      <c r="S265" s="499"/>
      <c r="T265" s="499"/>
      <c r="U265" s="499"/>
      <c r="V265" s="499"/>
      <c r="W265" s="499"/>
      <c r="X265" s="499"/>
      <c r="Y265" s="499"/>
      <c r="Z265" s="499"/>
      <c r="AA265" s="499"/>
      <c r="AB265" s="499"/>
      <c r="AC265" s="499"/>
      <c r="AD265" s="499"/>
      <c r="AE265" s="499"/>
      <c r="AF265" s="499"/>
      <c r="AG265" s="499"/>
      <c r="AH265" s="499"/>
      <c r="AI265" s="499"/>
      <c r="AJ265" s="499"/>
      <c r="AK265" s="499"/>
      <c r="AL265" s="499"/>
      <c r="AM265" s="499"/>
      <c r="AN265" s="499"/>
      <c r="AO265" s="499"/>
      <c r="AP265" s="499"/>
      <c r="AQ265" s="499"/>
      <c r="AR265" s="499"/>
      <c r="AS265" s="499"/>
      <c r="AT265" s="499"/>
      <c r="AU265" s="499"/>
      <c r="AV265" s="643">
        <f t="shared" ref="AV265:BP265" si="171">AV267+AV273+AV274</f>
        <v>0</v>
      </c>
      <c r="AW265" s="643">
        <f t="shared" si="171"/>
        <v>0</v>
      </c>
      <c r="AX265" s="643">
        <f t="shared" si="171"/>
        <v>0</v>
      </c>
      <c r="AY265" s="643">
        <f t="shared" si="171"/>
        <v>0</v>
      </c>
      <c r="AZ265" s="643">
        <f t="shared" si="171"/>
        <v>0</v>
      </c>
      <c r="BA265" s="644">
        <f t="shared" si="171"/>
        <v>594527.11699999985</v>
      </c>
      <c r="BB265" s="644">
        <f t="shared" si="171"/>
        <v>687668.28800000018</v>
      </c>
      <c r="BC265" s="644">
        <f t="shared" si="171"/>
        <v>920829.06099999999</v>
      </c>
      <c r="BD265" s="644">
        <f t="shared" si="171"/>
        <v>1137.7830649999999</v>
      </c>
      <c r="BE265" s="644">
        <f t="shared" si="171"/>
        <v>1401.04823758</v>
      </c>
      <c r="BF265" s="644">
        <f t="shared" si="171"/>
        <v>1739.9962521815</v>
      </c>
      <c r="BG265" s="644">
        <f t="shared" si="171"/>
        <v>2367.9297889999998</v>
      </c>
      <c r="BH265" s="644">
        <f t="shared" si="171"/>
        <v>2354.7159219999944</v>
      </c>
      <c r="BI265" s="644">
        <f t="shared" si="171"/>
        <v>2944.6573789999993</v>
      </c>
      <c r="BJ265" s="645">
        <f t="shared" si="171"/>
        <v>2606.1094539999999</v>
      </c>
      <c r="BK265" s="645">
        <f t="shared" si="171"/>
        <v>3537.501115</v>
      </c>
      <c r="BL265" s="645">
        <f>BL267+BL273+BL274</f>
        <v>4024.5</v>
      </c>
      <c r="BM265" s="936">
        <f>BM267+BM273+BM274</f>
        <v>3960.2999265017816</v>
      </c>
      <c r="BN265" s="936">
        <f t="shared" si="171"/>
        <v>3750.9002090999998</v>
      </c>
      <c r="BO265" s="645">
        <f t="shared" si="171"/>
        <v>3345.6999960999992</v>
      </c>
      <c r="BP265" s="645">
        <f t="shared" si="171"/>
        <v>4286.1999961000001</v>
      </c>
      <c r="BQ265" s="645">
        <f>BQ267+BQ273+BQ274</f>
        <v>4942.4002121000003</v>
      </c>
      <c r="BR265" s="645">
        <f>BR267+BR273+BR274</f>
        <v>5347.5002121000007</v>
      </c>
      <c r="BS265" s="645">
        <f>BS267+BS273+BS274</f>
        <v>5719.7002121000005</v>
      </c>
      <c r="BT265" s="645">
        <f>BT267+BT273+BT274</f>
        <v>5719.7002121000005</v>
      </c>
      <c r="BU265" s="40">
        <f t="shared" si="163"/>
        <v>5719.7002121000005</v>
      </c>
      <c r="BV265" s="40">
        <f t="shared" si="170"/>
        <v>5719.7002121000005</v>
      </c>
      <c r="BW265" s="40">
        <f t="shared" si="170"/>
        <v>5719.7002121000005</v>
      </c>
      <c r="BX265" s="40">
        <f t="shared" si="170"/>
        <v>5719.7002121000005</v>
      </c>
      <c r="BY265" s="40">
        <f t="shared" si="170"/>
        <v>5719.7002121000005</v>
      </c>
      <c r="BZ265" s="40">
        <f t="shared" si="170"/>
        <v>5719.7002121000005</v>
      </c>
      <c r="CA265" s="40">
        <f t="shared" si="170"/>
        <v>5719.7002121000005</v>
      </c>
      <c r="CB265" s="40">
        <f t="shared" si="170"/>
        <v>5719.7002121000005</v>
      </c>
      <c r="CC265" s="40">
        <f t="shared" si="170"/>
        <v>5719.7002121000005</v>
      </c>
      <c r="CD265" s="40">
        <f t="shared" si="170"/>
        <v>5719.7002121000005</v>
      </c>
      <c r="CE265" s="645"/>
      <c r="CF265" s="645"/>
      <c r="CG265" s="645"/>
      <c r="CM265" s="645">
        <f>CM267+CM273+CM274</f>
        <v>4043.5235840000014</v>
      </c>
    </row>
    <row r="266" spans="1:91" s="25" customFormat="1">
      <c r="A266" s="899" t="s">
        <v>1127</v>
      </c>
      <c r="B266" s="499"/>
      <c r="C266" s="499"/>
      <c r="D266" s="499"/>
      <c r="E266" s="499"/>
      <c r="F266" s="499"/>
      <c r="G266" s="499"/>
      <c r="H266" s="499"/>
      <c r="I266" s="499"/>
      <c r="J266" s="499"/>
      <c r="K266" s="499"/>
      <c r="L266" s="499"/>
      <c r="M266" s="499"/>
      <c r="N266" s="499"/>
      <c r="O266" s="499"/>
      <c r="P266" s="499"/>
      <c r="Q266" s="499"/>
      <c r="R266" s="499"/>
      <c r="S266" s="499"/>
      <c r="T266" s="499"/>
      <c r="U266" s="499"/>
      <c r="V266" s="499"/>
      <c r="W266" s="499"/>
      <c r="X266" s="499"/>
      <c r="Y266" s="499"/>
      <c r="Z266" s="499"/>
      <c r="AA266" s="499"/>
      <c r="AB266" s="499"/>
      <c r="AC266" s="499"/>
      <c r="AD266" s="499"/>
      <c r="AE266" s="499"/>
      <c r="AF266" s="499"/>
      <c r="AG266" s="499"/>
      <c r="AH266" s="499"/>
      <c r="AI266" s="499"/>
      <c r="AJ266" s="499"/>
      <c r="AK266" s="499"/>
      <c r="AL266" s="499"/>
      <c r="AM266" s="499"/>
      <c r="AN266" s="499"/>
      <c r="AO266" s="499"/>
      <c r="AP266" s="499"/>
      <c r="AQ266" s="499"/>
      <c r="AR266" s="499"/>
      <c r="AS266" s="499"/>
      <c r="AT266" s="499"/>
      <c r="AU266" s="499"/>
      <c r="AV266" s="461"/>
      <c r="AW266" s="461"/>
      <c r="AX266" s="461"/>
      <c r="AY266" s="461"/>
      <c r="AZ266" s="461"/>
      <c r="BA266" s="461"/>
      <c r="BB266" s="461"/>
      <c r="BC266" s="461"/>
      <c r="BD266" s="461"/>
      <c r="BE266" s="461"/>
      <c r="BF266" s="461"/>
      <c r="BG266" s="461"/>
      <c r="BH266" s="461"/>
      <c r="BI266" s="461"/>
      <c r="BJ266" s="646"/>
      <c r="BK266" s="646"/>
      <c r="BL266" s="646"/>
      <c r="BM266" s="646"/>
      <c r="BN266" s="646"/>
      <c r="BO266" s="646"/>
      <c r="BP266" s="646"/>
      <c r="BQ266" s="646"/>
      <c r="BR266" s="646"/>
      <c r="BS266" s="646"/>
      <c r="BT266" s="646"/>
      <c r="BU266" s="40">
        <f t="shared" si="163"/>
        <v>0</v>
      </c>
      <c r="BV266" s="40">
        <f t="shared" si="170"/>
        <v>0</v>
      </c>
      <c r="BW266" s="40">
        <f t="shared" si="170"/>
        <v>0</v>
      </c>
      <c r="BX266" s="40">
        <f t="shared" si="170"/>
        <v>0</v>
      </c>
      <c r="BY266" s="40">
        <f t="shared" si="170"/>
        <v>0</v>
      </c>
      <c r="BZ266" s="40">
        <f t="shared" si="170"/>
        <v>0</v>
      </c>
      <c r="CA266" s="40">
        <f t="shared" si="170"/>
        <v>0</v>
      </c>
      <c r="CB266" s="40">
        <f t="shared" si="170"/>
        <v>0</v>
      </c>
      <c r="CC266" s="40">
        <f t="shared" si="170"/>
        <v>0</v>
      </c>
      <c r="CD266" s="40">
        <f t="shared" si="170"/>
        <v>0</v>
      </c>
      <c r="CE266" s="646"/>
      <c r="CF266" s="646"/>
      <c r="CG266" s="646"/>
      <c r="CM266" s="646"/>
    </row>
    <row r="267" spans="1:91" s="25" customFormat="1">
      <c r="A267" s="899" t="s">
        <v>1128</v>
      </c>
      <c r="B267" s="642" t="s">
        <v>1253</v>
      </c>
      <c r="C267" s="499"/>
      <c r="D267" s="499"/>
      <c r="E267" s="499"/>
      <c r="F267" s="499"/>
      <c r="G267" s="499"/>
      <c r="H267" s="499"/>
      <c r="I267" s="499"/>
      <c r="J267" s="499"/>
      <c r="K267" s="499"/>
      <c r="L267" s="499"/>
      <c r="M267" s="499"/>
      <c r="N267" s="499"/>
      <c r="O267" s="499"/>
      <c r="P267" s="499"/>
      <c r="Q267" s="499"/>
      <c r="R267" s="499"/>
      <c r="S267" s="499"/>
      <c r="T267" s="499"/>
      <c r="U267" s="499"/>
      <c r="V267" s="499"/>
      <c r="W267" s="499"/>
      <c r="X267" s="499"/>
      <c r="Y267" s="499"/>
      <c r="Z267" s="499"/>
      <c r="AA267" s="499"/>
      <c r="AB267" s="499"/>
      <c r="AC267" s="499"/>
      <c r="AD267" s="499"/>
      <c r="AE267" s="499"/>
      <c r="AF267" s="499"/>
      <c r="AG267" s="499"/>
      <c r="AH267" s="499"/>
      <c r="AI267" s="499"/>
      <c r="AJ267" s="499"/>
      <c r="AK267" s="499"/>
      <c r="AL267" s="499"/>
      <c r="AM267" s="499"/>
      <c r="AN267" s="499"/>
      <c r="AO267" s="499"/>
      <c r="AP267" s="499"/>
      <c r="AQ267" s="499"/>
      <c r="AR267" s="499"/>
      <c r="AS267" s="499"/>
      <c r="AT267" s="499"/>
      <c r="AU267" s="499"/>
      <c r="AV267" s="644">
        <f t="shared" ref="AV267:BP267" si="172">AV268+AV272</f>
        <v>0</v>
      </c>
      <c r="AW267" s="644">
        <f t="shared" si="172"/>
        <v>0</v>
      </c>
      <c r="AX267" s="644">
        <f t="shared" si="172"/>
        <v>0</v>
      </c>
      <c r="AY267" s="644">
        <f t="shared" si="172"/>
        <v>0</v>
      </c>
      <c r="AZ267" s="644">
        <f t="shared" si="172"/>
        <v>0</v>
      </c>
      <c r="BA267" s="644">
        <f t="shared" si="172"/>
        <v>567127.11699999985</v>
      </c>
      <c r="BB267" s="644">
        <f t="shared" si="172"/>
        <v>657670.28800000018</v>
      </c>
      <c r="BC267" s="644">
        <f t="shared" si="172"/>
        <v>874969.89</v>
      </c>
      <c r="BD267" s="644">
        <f t="shared" si="172"/>
        <v>1079.615877</v>
      </c>
      <c r="BE267" s="644">
        <f t="shared" si="172"/>
        <v>1315.005572</v>
      </c>
      <c r="BF267" s="644">
        <f t="shared" si="172"/>
        <v>1580.2662520000001</v>
      </c>
      <c r="BG267" s="644">
        <f t="shared" si="172"/>
        <v>1944.729789</v>
      </c>
      <c r="BH267" s="644">
        <f t="shared" si="172"/>
        <v>2111.1309249999945</v>
      </c>
      <c r="BI267" s="644">
        <f t="shared" si="172"/>
        <v>2590.5868919999994</v>
      </c>
      <c r="BJ267" s="645">
        <f t="shared" si="172"/>
        <v>2457.009454</v>
      </c>
      <c r="BK267" s="645">
        <f t="shared" si="172"/>
        <v>3422.1011149999999</v>
      </c>
      <c r="BL267" s="645">
        <f t="shared" si="172"/>
        <v>4024.5</v>
      </c>
      <c r="BM267" s="936">
        <f t="shared" si="172"/>
        <v>3960.2999264017817</v>
      </c>
      <c r="BN267" s="936">
        <f t="shared" si="172"/>
        <v>3750.9002089999999</v>
      </c>
      <c r="BO267" s="645">
        <f t="shared" si="172"/>
        <v>3345.6999959999994</v>
      </c>
      <c r="BP267" s="645">
        <f t="shared" si="172"/>
        <v>4286.1999960000003</v>
      </c>
      <c r="BQ267" s="645">
        <f>BQ268+BQ272</f>
        <v>4942.4002120000005</v>
      </c>
      <c r="BR267" s="645">
        <f>BR268+BR272</f>
        <v>5347.5002120000008</v>
      </c>
      <c r="BS267" s="645">
        <f>BS268+BS272</f>
        <v>5719.7002120000006</v>
      </c>
      <c r="BT267" s="645">
        <f>BT268+BT272</f>
        <v>5719.7002120000006</v>
      </c>
      <c r="BU267" s="40">
        <f t="shared" si="163"/>
        <v>5719.7002120000006</v>
      </c>
      <c r="BV267" s="40">
        <f t="shared" si="170"/>
        <v>5719.7002120000006</v>
      </c>
      <c r="BW267" s="40">
        <f t="shared" si="170"/>
        <v>5719.7002120000006</v>
      </c>
      <c r="BX267" s="40">
        <f t="shared" si="170"/>
        <v>5719.7002120000006</v>
      </c>
      <c r="BY267" s="40">
        <f t="shared" si="170"/>
        <v>5719.7002120000006</v>
      </c>
      <c r="BZ267" s="40">
        <f t="shared" si="170"/>
        <v>5719.7002120000006</v>
      </c>
      <c r="CA267" s="40">
        <f t="shared" si="170"/>
        <v>5719.7002120000006</v>
      </c>
      <c r="CB267" s="40">
        <f t="shared" si="170"/>
        <v>5719.7002120000006</v>
      </c>
      <c r="CC267" s="40">
        <f t="shared" si="170"/>
        <v>5719.7002120000006</v>
      </c>
      <c r="CD267" s="40">
        <f t="shared" si="170"/>
        <v>5719.7002120000006</v>
      </c>
      <c r="CE267" s="645"/>
      <c r="CF267" s="645"/>
      <c r="CG267" s="645"/>
      <c r="CM267" s="645">
        <f>CM268+CM272</f>
        <v>3969.7235840000012</v>
      </c>
    </row>
    <row r="268" spans="1:91" s="25" customFormat="1">
      <c r="A268" s="900" t="s">
        <v>1129</v>
      </c>
      <c r="B268" s="642" t="s">
        <v>2999</v>
      </c>
      <c r="C268" s="499"/>
      <c r="D268" s="499"/>
      <c r="E268" s="499"/>
      <c r="F268" s="499"/>
      <c r="G268" s="499"/>
      <c r="H268" s="499"/>
      <c r="I268" s="499"/>
      <c r="J268" s="499"/>
      <c r="K268" s="499"/>
      <c r="L268" s="499"/>
      <c r="M268" s="499"/>
      <c r="N268" s="499"/>
      <c r="O268" s="499"/>
      <c r="P268" s="499"/>
      <c r="Q268" s="499"/>
      <c r="R268" s="499"/>
      <c r="S268" s="499"/>
      <c r="T268" s="499"/>
      <c r="U268" s="499"/>
      <c r="V268" s="499"/>
      <c r="W268" s="499"/>
      <c r="X268" s="499"/>
      <c r="Y268" s="499"/>
      <c r="Z268" s="499"/>
      <c r="AA268" s="499"/>
      <c r="AB268" s="499"/>
      <c r="AC268" s="499"/>
      <c r="AD268" s="499"/>
      <c r="AE268" s="499"/>
      <c r="AF268" s="499"/>
      <c r="AG268" s="499"/>
      <c r="AH268" s="499"/>
      <c r="AI268" s="499"/>
      <c r="AJ268" s="499"/>
      <c r="AK268" s="499"/>
      <c r="AL268" s="499"/>
      <c r="AM268" s="499"/>
      <c r="AN268" s="499"/>
      <c r="AO268" s="499"/>
      <c r="AP268" s="499"/>
      <c r="AQ268" s="499"/>
      <c r="AR268" s="499"/>
      <c r="AS268" s="499"/>
      <c r="AT268" s="499"/>
      <c r="AU268" s="499"/>
      <c r="AV268" s="644">
        <f t="shared" ref="AV268:BP268" si="173">AV269+AV271</f>
        <v>0</v>
      </c>
      <c r="AW268" s="644">
        <f t="shared" si="173"/>
        <v>0</v>
      </c>
      <c r="AX268" s="644">
        <f t="shared" si="173"/>
        <v>0</v>
      </c>
      <c r="AY268" s="644">
        <f t="shared" si="173"/>
        <v>0</v>
      </c>
      <c r="AZ268" s="644">
        <f t="shared" si="173"/>
        <v>0</v>
      </c>
      <c r="BA268" s="644">
        <f t="shared" si="173"/>
        <v>493835.35599999991</v>
      </c>
      <c r="BB268" s="644">
        <f t="shared" si="173"/>
        <v>542772.11300000013</v>
      </c>
      <c r="BC268" s="644">
        <f t="shared" si="173"/>
        <v>734618.18900000001</v>
      </c>
      <c r="BD268" s="644">
        <f t="shared" si="173"/>
        <v>885.71907299999998</v>
      </c>
      <c r="BE268" s="644">
        <f t="shared" si="173"/>
        <v>1046.2735740000001</v>
      </c>
      <c r="BF268" s="644">
        <f t="shared" si="173"/>
        <v>1207.4662520000002</v>
      </c>
      <c r="BG268" s="644">
        <f t="shared" si="173"/>
        <v>1521.1502169999999</v>
      </c>
      <c r="BH268" s="644">
        <f t="shared" si="173"/>
        <v>1683.1511049999945</v>
      </c>
      <c r="BI268" s="644">
        <f t="shared" si="173"/>
        <v>1832.8911539999995</v>
      </c>
      <c r="BJ268" s="645">
        <f t="shared" si="173"/>
        <v>1878.509454</v>
      </c>
      <c r="BK268" s="645">
        <f t="shared" si="173"/>
        <v>2667.7801829999999</v>
      </c>
      <c r="BL268" s="645">
        <f t="shared" si="173"/>
        <v>3019.1</v>
      </c>
      <c r="BM268" s="936">
        <f t="shared" si="173"/>
        <v>3133.6999464017817</v>
      </c>
      <c r="BN268" s="936">
        <f t="shared" si="173"/>
        <v>2859.1002199999998</v>
      </c>
      <c r="BO268" s="645">
        <f t="shared" si="173"/>
        <v>2673.6003629999996</v>
      </c>
      <c r="BP268" s="645">
        <f t="shared" si="173"/>
        <v>3170.8003630000003</v>
      </c>
      <c r="BQ268" s="645">
        <f>BQ269+BQ271</f>
        <v>3562.8003630000003</v>
      </c>
      <c r="BR268" s="645">
        <f>BR269+BR271</f>
        <v>3830.2003630000004</v>
      </c>
      <c r="BS268" s="645">
        <f>BS269+BS271</f>
        <v>4100.2003630000008</v>
      </c>
      <c r="BT268" s="645">
        <f>BT269+BT271</f>
        <v>4100.2003630000008</v>
      </c>
      <c r="BU268" s="40">
        <f t="shared" si="163"/>
        <v>4100.2003630000008</v>
      </c>
      <c r="BV268" s="40">
        <f t="shared" si="170"/>
        <v>4100.2003630000008</v>
      </c>
      <c r="BW268" s="40">
        <f t="shared" si="170"/>
        <v>4100.2003630000008</v>
      </c>
      <c r="BX268" s="40">
        <f t="shared" si="170"/>
        <v>4100.2003630000008</v>
      </c>
      <c r="BY268" s="40">
        <f t="shared" si="170"/>
        <v>4100.2003630000008</v>
      </c>
      <c r="BZ268" s="40">
        <f t="shared" si="170"/>
        <v>4100.2003630000008</v>
      </c>
      <c r="CA268" s="40">
        <f t="shared" si="170"/>
        <v>4100.2003630000008</v>
      </c>
      <c r="CB268" s="40">
        <f t="shared" si="170"/>
        <v>4100.2003630000008</v>
      </c>
      <c r="CC268" s="40">
        <f t="shared" si="170"/>
        <v>4100.2003630000008</v>
      </c>
      <c r="CD268" s="40">
        <f t="shared" si="170"/>
        <v>4100.2003630000008</v>
      </c>
      <c r="CE268" s="645"/>
      <c r="CF268" s="645"/>
      <c r="CG268" s="645"/>
      <c r="CM268" s="645">
        <f>CM269+CM271</f>
        <v>2900.7540000000008</v>
      </c>
    </row>
    <row r="269" spans="1:91" s="25" customFormat="1">
      <c r="A269" s="901" t="s">
        <v>1130</v>
      </c>
      <c r="B269" s="647" t="s">
        <v>3001</v>
      </c>
      <c r="C269" s="647"/>
      <c r="D269" s="647"/>
      <c r="E269" s="647"/>
      <c r="F269" s="647"/>
      <c r="G269" s="647"/>
      <c r="H269" s="647"/>
      <c r="I269" s="647"/>
      <c r="J269" s="647"/>
      <c r="K269" s="647"/>
      <c r="L269" s="647"/>
      <c r="M269" s="647"/>
      <c r="N269" s="647"/>
      <c r="O269" s="647"/>
      <c r="P269" s="647"/>
      <c r="Q269" s="647"/>
      <c r="R269" s="647"/>
      <c r="S269" s="647"/>
      <c r="T269" s="647"/>
      <c r="U269" s="647"/>
      <c r="V269" s="647"/>
      <c r="W269" s="647"/>
      <c r="X269" s="647"/>
      <c r="Y269" s="647"/>
      <c r="Z269" s="647"/>
      <c r="AA269" s="647"/>
      <c r="AB269" s="647"/>
      <c r="AC269" s="647"/>
      <c r="AD269" s="647"/>
      <c r="AE269" s="647"/>
      <c r="AF269" s="647"/>
      <c r="AG269" s="647"/>
      <c r="AH269" s="647"/>
      <c r="AI269" s="647"/>
      <c r="AJ269" s="647"/>
      <c r="AK269" s="647"/>
      <c r="AL269" s="647"/>
      <c r="AM269" s="647"/>
      <c r="AN269" s="647"/>
      <c r="AO269" s="647"/>
      <c r="AP269" s="647"/>
      <c r="AQ269" s="647"/>
      <c r="AR269" s="647"/>
      <c r="AS269" s="647"/>
      <c r="AT269" s="647"/>
      <c r="AU269" s="647"/>
      <c r="AV269" s="648">
        <f>AV346</f>
        <v>0</v>
      </c>
      <c r="AW269" s="648">
        <f>AW346</f>
        <v>0</v>
      </c>
      <c r="AX269" s="648">
        <f>AX346</f>
        <v>0</v>
      </c>
      <c r="AY269" s="648">
        <f>AY346</f>
        <v>0</v>
      </c>
      <c r="AZ269" s="648">
        <f>AZ346</f>
        <v>0</v>
      </c>
      <c r="BA269" s="648">
        <f t="shared" ref="BA269:BF269" si="174">BA395</f>
        <v>231767.91299999994</v>
      </c>
      <c r="BB269" s="648">
        <f t="shared" si="174"/>
        <v>234319.83100000006</v>
      </c>
      <c r="BC269" s="648">
        <f t="shared" si="174"/>
        <v>310722.97199999995</v>
      </c>
      <c r="BD269" s="648">
        <f t="shared" si="174"/>
        <v>422.09347400000001</v>
      </c>
      <c r="BE269" s="648">
        <f t="shared" si="174"/>
        <v>538.1652620000001</v>
      </c>
      <c r="BF269" s="648">
        <f t="shared" si="174"/>
        <v>591.76625200000001</v>
      </c>
      <c r="BG269" s="648">
        <f t="shared" ref="BG269:BL269" si="175">BG395</f>
        <v>767.150217</v>
      </c>
      <c r="BH269" s="648">
        <f t="shared" si="175"/>
        <v>835.55110499999444</v>
      </c>
      <c r="BI269" s="648">
        <f t="shared" si="175"/>
        <v>965.39115399999946</v>
      </c>
      <c r="BJ269" s="648">
        <f t="shared" si="175"/>
        <v>970.60945400000014</v>
      </c>
      <c r="BK269" s="648">
        <f t="shared" si="175"/>
        <v>1340.9801830000001</v>
      </c>
      <c r="BL269" s="648">
        <f t="shared" si="175"/>
        <v>1584.6</v>
      </c>
      <c r="BM269" s="1003">
        <f t="shared" ref="BM269:BS269" si="176">BM392</f>
        <v>1686.5999959686728</v>
      </c>
      <c r="BN269" s="970">
        <f t="shared" si="176"/>
        <v>1450.0002199999999</v>
      </c>
      <c r="BO269" s="468">
        <f t="shared" si="176"/>
        <v>1143.400363</v>
      </c>
      <c r="BP269" s="468">
        <f t="shared" si="176"/>
        <v>1436.2003630000002</v>
      </c>
      <c r="BQ269" s="468">
        <f t="shared" si="176"/>
        <v>1672.3003630000001</v>
      </c>
      <c r="BR269" s="468">
        <f t="shared" si="176"/>
        <v>1803.7003629999999</v>
      </c>
      <c r="BS269" s="468">
        <f t="shared" si="176"/>
        <v>1927.0003630000001</v>
      </c>
      <c r="BT269" s="468">
        <f>BS269</f>
        <v>1927.0003630000001</v>
      </c>
      <c r="BU269" s="40">
        <f t="shared" si="163"/>
        <v>1927.0003630000001</v>
      </c>
      <c r="BV269" s="40">
        <f t="shared" ref="BV269:CD269" si="177">BU269</f>
        <v>1927.0003630000001</v>
      </c>
      <c r="BW269" s="40">
        <f t="shared" si="177"/>
        <v>1927.0003630000001</v>
      </c>
      <c r="BX269" s="40">
        <f t="shared" si="177"/>
        <v>1927.0003630000001</v>
      </c>
      <c r="BY269" s="40">
        <f t="shared" si="177"/>
        <v>1927.0003630000001</v>
      </c>
      <c r="BZ269" s="40">
        <f t="shared" si="177"/>
        <v>1927.0003630000001</v>
      </c>
      <c r="CA269" s="40">
        <f t="shared" si="177"/>
        <v>1927.0003630000001</v>
      </c>
      <c r="CB269" s="40">
        <f t="shared" si="177"/>
        <v>1927.0003630000001</v>
      </c>
      <c r="CC269" s="40">
        <f t="shared" si="177"/>
        <v>1927.0003630000001</v>
      </c>
      <c r="CD269" s="40">
        <f t="shared" si="177"/>
        <v>1927.0003630000001</v>
      </c>
      <c r="CE269" s="468"/>
      <c r="CF269" s="468"/>
      <c r="CG269" s="468"/>
      <c r="CM269" s="468">
        <f>CM392</f>
        <v>1496.7000000000003</v>
      </c>
    </row>
    <row r="270" spans="1:91" s="25" customFormat="1">
      <c r="A270" s="901" t="s">
        <v>1133</v>
      </c>
      <c r="B270" s="499" t="s">
        <v>3000</v>
      </c>
      <c r="C270" s="499"/>
      <c r="D270" s="499"/>
      <c r="E270" s="499"/>
      <c r="F270" s="499"/>
      <c r="G270" s="499"/>
      <c r="H270" s="499"/>
      <c r="I270" s="499"/>
      <c r="J270" s="499"/>
      <c r="K270" s="499"/>
      <c r="L270" s="499"/>
      <c r="M270" s="499"/>
      <c r="N270" s="499"/>
      <c r="O270" s="499"/>
      <c r="P270" s="499"/>
      <c r="Q270" s="499"/>
      <c r="R270" s="499"/>
      <c r="S270" s="499"/>
      <c r="T270" s="499"/>
      <c r="U270" s="499"/>
      <c r="V270" s="499"/>
      <c r="W270" s="499"/>
      <c r="X270" s="499"/>
      <c r="Y270" s="499"/>
      <c r="Z270" s="499"/>
      <c r="AA270" s="499"/>
      <c r="AB270" s="499"/>
      <c r="AC270" s="499"/>
      <c r="AD270" s="499"/>
      <c r="AE270" s="499"/>
      <c r="AF270" s="499"/>
      <c r="AG270" s="499"/>
      <c r="AH270" s="499"/>
      <c r="AI270" s="499"/>
      <c r="AJ270" s="499"/>
      <c r="AK270" s="499"/>
      <c r="AL270" s="499"/>
      <c r="AM270" s="499"/>
      <c r="AN270" s="499"/>
      <c r="AO270" s="499"/>
      <c r="AP270" s="499"/>
      <c r="AQ270" s="499"/>
      <c r="AR270" s="499"/>
      <c r="AS270" s="499"/>
      <c r="AT270" s="499"/>
      <c r="AU270" s="499"/>
      <c r="AV270" s="461"/>
      <c r="AW270" s="461"/>
      <c r="AX270" s="461"/>
      <c r="AY270" s="461"/>
      <c r="AZ270" s="461"/>
      <c r="BA270" s="646">
        <f>BA356</f>
        <v>80022.274000000005</v>
      </c>
      <c r="BB270" s="646">
        <f>BB356</f>
        <v>34325.194000000003</v>
      </c>
      <c r="BC270" s="461"/>
      <c r="BD270" s="461"/>
      <c r="BE270" s="461">
        <v>113.22763500000001</v>
      </c>
      <c r="BF270" s="461">
        <v>96.937189000000004</v>
      </c>
      <c r="BG270" s="461">
        <v>185.290021</v>
      </c>
      <c r="BH270" s="307">
        <v>91.656783000000004</v>
      </c>
      <c r="BI270" s="649">
        <f>BI356</f>
        <v>12.876058</v>
      </c>
      <c r="BJ270" s="649"/>
      <c r="BK270" s="457"/>
      <c r="BL270" s="458"/>
      <c r="BM270" s="938"/>
      <c r="BN270" s="938"/>
      <c r="BO270" s="458"/>
      <c r="BP270" s="458"/>
      <c r="BQ270" s="458"/>
      <c r="BR270" s="458"/>
      <c r="BS270" s="458"/>
      <c r="BT270" s="458"/>
      <c r="BU270" s="40">
        <f t="shared" si="163"/>
        <v>0</v>
      </c>
      <c r="BV270" s="40">
        <f t="shared" ref="BV270:CD270" si="178">BU270</f>
        <v>0</v>
      </c>
      <c r="BW270" s="40">
        <f t="shared" si="178"/>
        <v>0</v>
      </c>
      <c r="BX270" s="40">
        <f t="shared" si="178"/>
        <v>0</v>
      </c>
      <c r="BY270" s="40">
        <f t="shared" si="178"/>
        <v>0</v>
      </c>
      <c r="BZ270" s="40">
        <f t="shared" si="178"/>
        <v>0</v>
      </c>
      <c r="CA270" s="40">
        <f t="shared" si="178"/>
        <v>0</v>
      </c>
      <c r="CB270" s="40">
        <f t="shared" si="178"/>
        <v>0</v>
      </c>
      <c r="CC270" s="40">
        <f t="shared" si="178"/>
        <v>0</v>
      </c>
      <c r="CD270" s="40">
        <f t="shared" si="178"/>
        <v>0</v>
      </c>
      <c r="CE270" s="457"/>
      <c r="CF270" s="457"/>
      <c r="CG270" s="457"/>
      <c r="CM270" s="458"/>
    </row>
    <row r="271" spans="1:91" s="25" customFormat="1">
      <c r="A271" s="901" t="s">
        <v>531</v>
      </c>
      <c r="B271" s="647" t="s">
        <v>3002</v>
      </c>
      <c r="C271" s="647"/>
      <c r="D271" s="647"/>
      <c r="E271" s="647"/>
      <c r="F271" s="647"/>
      <c r="G271" s="647"/>
      <c r="H271" s="647"/>
      <c r="I271" s="647"/>
      <c r="J271" s="647"/>
      <c r="K271" s="647"/>
      <c r="L271" s="647"/>
      <c r="M271" s="647"/>
      <c r="N271" s="647"/>
      <c r="O271" s="647"/>
      <c r="P271" s="647"/>
      <c r="Q271" s="647"/>
      <c r="R271" s="647"/>
      <c r="S271" s="647"/>
      <c r="T271" s="647"/>
      <c r="U271" s="647"/>
      <c r="V271" s="647"/>
      <c r="W271" s="647"/>
      <c r="X271" s="647"/>
      <c r="Y271" s="647"/>
      <c r="Z271" s="647"/>
      <c r="AA271" s="647"/>
      <c r="AB271" s="647"/>
      <c r="AC271" s="647"/>
      <c r="AD271" s="647"/>
      <c r="AE271" s="647"/>
      <c r="AF271" s="647"/>
      <c r="AG271" s="647"/>
      <c r="AH271" s="647"/>
      <c r="AI271" s="647"/>
      <c r="AJ271" s="647"/>
      <c r="AK271" s="647"/>
      <c r="AL271" s="647"/>
      <c r="AM271" s="647"/>
      <c r="AN271" s="647"/>
      <c r="AO271" s="647"/>
      <c r="AP271" s="647"/>
      <c r="AQ271" s="647"/>
      <c r="AR271" s="647"/>
      <c r="AS271" s="647"/>
      <c r="AT271" s="647"/>
      <c r="AU271" s="647"/>
      <c r="AV271" s="648">
        <f>AV405</f>
        <v>0</v>
      </c>
      <c r="AW271" s="648">
        <f>AW405</f>
        <v>0</v>
      </c>
      <c r="AX271" s="648">
        <f>AX405</f>
        <v>0</v>
      </c>
      <c r="AY271" s="648">
        <f>AY405</f>
        <v>0</v>
      </c>
      <c r="AZ271" s="648">
        <f>AZ405</f>
        <v>0</v>
      </c>
      <c r="BA271" s="648">
        <f>BA438</f>
        <v>262067.443</v>
      </c>
      <c r="BB271" s="648">
        <f>BB438</f>
        <v>308452.28200000006</v>
      </c>
      <c r="BC271" s="648">
        <f>BC438</f>
        <v>423895.217</v>
      </c>
      <c r="BD271" s="648">
        <f>BD438</f>
        <v>463.62559900000002</v>
      </c>
      <c r="BE271" s="648">
        <f>BE438</f>
        <v>508.10831199999996</v>
      </c>
      <c r="BF271" s="648">
        <f>BF405</f>
        <v>615.70000000000005</v>
      </c>
      <c r="BG271" s="648">
        <f t="shared" ref="BG271:BL271" si="179">BG405</f>
        <v>754</v>
      </c>
      <c r="BH271" s="648">
        <f t="shared" si="179"/>
        <v>847.6</v>
      </c>
      <c r="BI271" s="648">
        <f t="shared" si="179"/>
        <v>867.5</v>
      </c>
      <c r="BJ271" s="648">
        <f t="shared" si="179"/>
        <v>907.9</v>
      </c>
      <c r="BK271" s="648">
        <f t="shared" si="179"/>
        <v>1326.8</v>
      </c>
      <c r="BL271" s="648">
        <f t="shared" si="179"/>
        <v>1434.5</v>
      </c>
      <c r="BM271" s="1003">
        <f t="shared" ref="BM271:BS271" si="180">BM406</f>
        <v>1447.0999504331087</v>
      </c>
      <c r="BN271" s="937">
        <f t="shared" si="180"/>
        <v>1409.1</v>
      </c>
      <c r="BO271" s="468">
        <f t="shared" si="180"/>
        <v>1530.1999999999998</v>
      </c>
      <c r="BP271" s="468">
        <f t="shared" si="180"/>
        <v>1734.6000000000004</v>
      </c>
      <c r="BQ271" s="468">
        <f t="shared" si="180"/>
        <v>1890.5000000000005</v>
      </c>
      <c r="BR271" s="468">
        <f t="shared" si="180"/>
        <v>2026.5000000000005</v>
      </c>
      <c r="BS271" s="468">
        <f t="shared" si="180"/>
        <v>2173.2000000000007</v>
      </c>
      <c r="BT271" s="468">
        <f>BS271</f>
        <v>2173.2000000000007</v>
      </c>
      <c r="BU271" s="40">
        <f t="shared" si="163"/>
        <v>2173.2000000000007</v>
      </c>
      <c r="BV271" s="40">
        <f t="shared" ref="BV271:CD271" si="181">BU271</f>
        <v>2173.2000000000007</v>
      </c>
      <c r="BW271" s="40">
        <f t="shared" si="181"/>
        <v>2173.2000000000007</v>
      </c>
      <c r="BX271" s="40">
        <f t="shared" si="181"/>
        <v>2173.2000000000007</v>
      </c>
      <c r="BY271" s="40">
        <f t="shared" si="181"/>
        <v>2173.2000000000007</v>
      </c>
      <c r="BZ271" s="40">
        <f t="shared" si="181"/>
        <v>2173.2000000000007</v>
      </c>
      <c r="CA271" s="40">
        <f t="shared" si="181"/>
        <v>2173.2000000000007</v>
      </c>
      <c r="CB271" s="40">
        <f t="shared" si="181"/>
        <v>2173.2000000000007</v>
      </c>
      <c r="CC271" s="40">
        <f t="shared" si="181"/>
        <v>2173.2000000000007</v>
      </c>
      <c r="CD271" s="40">
        <f t="shared" si="181"/>
        <v>2173.2000000000007</v>
      </c>
      <c r="CE271" s="468"/>
      <c r="CF271" s="468"/>
      <c r="CG271" s="468"/>
      <c r="CM271" s="468">
        <f>CM406</f>
        <v>1404.0540000000003</v>
      </c>
    </row>
    <row r="272" spans="1:91" s="25" customFormat="1">
      <c r="A272" s="900" t="s">
        <v>1131</v>
      </c>
      <c r="B272" s="499" t="s">
        <v>4365</v>
      </c>
      <c r="C272" s="499"/>
      <c r="D272" s="499"/>
      <c r="E272" s="499"/>
      <c r="F272" s="499"/>
      <c r="G272" s="499"/>
      <c r="H272" s="499"/>
      <c r="I272" s="499"/>
      <c r="J272" s="499"/>
      <c r="K272" s="499"/>
      <c r="L272" s="499"/>
      <c r="M272" s="499"/>
      <c r="N272" s="499"/>
      <c r="O272" s="499"/>
      <c r="P272" s="499"/>
      <c r="Q272" s="499"/>
      <c r="R272" s="499"/>
      <c r="S272" s="499"/>
      <c r="T272" s="499"/>
      <c r="U272" s="499"/>
      <c r="V272" s="499"/>
      <c r="W272" s="499"/>
      <c r="X272" s="499"/>
      <c r="Y272" s="499"/>
      <c r="Z272" s="499"/>
      <c r="AA272" s="499"/>
      <c r="AB272" s="499"/>
      <c r="AC272" s="499"/>
      <c r="AD272" s="499"/>
      <c r="AE272" s="499"/>
      <c r="AF272" s="499"/>
      <c r="AG272" s="499"/>
      <c r="AH272" s="499"/>
      <c r="AI272" s="499"/>
      <c r="AJ272" s="499"/>
      <c r="AK272" s="499"/>
      <c r="AL272" s="499"/>
      <c r="AM272" s="499"/>
      <c r="AN272" s="499"/>
      <c r="AO272" s="499"/>
      <c r="AP272" s="499"/>
      <c r="AQ272" s="499"/>
      <c r="AR272" s="499"/>
      <c r="AS272" s="499"/>
      <c r="AT272" s="499"/>
      <c r="AU272" s="499"/>
      <c r="AV272" s="461">
        <f>AV517</f>
        <v>0</v>
      </c>
      <c r="AW272" s="461">
        <f>AW517</f>
        <v>0</v>
      </c>
      <c r="AX272" s="461">
        <f>AX517</f>
        <v>0</v>
      </c>
      <c r="AY272" s="461">
        <f>AY517</f>
        <v>0</v>
      </c>
      <c r="AZ272" s="461">
        <f>AZ517</f>
        <v>0</v>
      </c>
      <c r="BA272" s="461">
        <f>BA534+BA536</f>
        <v>73291.760999999926</v>
      </c>
      <c r="BB272" s="461">
        <f>BB534+BB536</f>
        <v>114898.17500000002</v>
      </c>
      <c r="BC272" s="461">
        <f>BC534+BC536</f>
        <v>140351.70100000003</v>
      </c>
      <c r="BD272" s="461">
        <f>BD534+BD536</f>
        <v>193.89680399999992</v>
      </c>
      <c r="BE272" s="461">
        <f>BE534+BE536</f>
        <v>268.73199799999998</v>
      </c>
      <c r="BF272" s="1008">
        <f t="shared" ref="BF272:BL272" si="182">BF546</f>
        <v>372.8</v>
      </c>
      <c r="BG272" s="1008">
        <f t="shared" si="182"/>
        <v>423.57957200000021</v>
      </c>
      <c r="BH272" s="1008">
        <f t="shared" si="182"/>
        <v>427.97982000000002</v>
      </c>
      <c r="BI272" s="1008">
        <f t="shared" si="182"/>
        <v>757.69573799999989</v>
      </c>
      <c r="BJ272" s="1008">
        <f t="shared" si="182"/>
        <v>578.5</v>
      </c>
      <c r="BK272" s="1008">
        <f t="shared" si="182"/>
        <v>754.32093199999997</v>
      </c>
      <c r="BL272" s="1008">
        <f t="shared" si="182"/>
        <v>1005.4</v>
      </c>
      <c r="BM272" s="1003">
        <f t="shared" ref="BM272:BS272" si="183">BM545</f>
        <v>826.59998000000007</v>
      </c>
      <c r="BN272" s="939">
        <f t="shared" si="183"/>
        <v>891.7999890000001</v>
      </c>
      <c r="BO272" s="461">
        <f t="shared" si="183"/>
        <v>672.09963300000004</v>
      </c>
      <c r="BP272" s="461">
        <f t="shared" si="183"/>
        <v>1115.399633</v>
      </c>
      <c r="BQ272" s="461">
        <f t="shared" si="183"/>
        <v>1379.5998489999999</v>
      </c>
      <c r="BR272" s="461">
        <f t="shared" si="183"/>
        <v>1517.299849</v>
      </c>
      <c r="BS272" s="461">
        <f t="shared" si="183"/>
        <v>1619.499849</v>
      </c>
      <c r="BT272" s="461">
        <f>BS272</f>
        <v>1619.499849</v>
      </c>
      <c r="BU272" s="40">
        <f t="shared" si="163"/>
        <v>1619.499849</v>
      </c>
      <c r="BV272" s="40">
        <f t="shared" ref="BV272:CD272" si="184">BU272</f>
        <v>1619.499849</v>
      </c>
      <c r="BW272" s="40">
        <f t="shared" si="184"/>
        <v>1619.499849</v>
      </c>
      <c r="BX272" s="40">
        <f t="shared" si="184"/>
        <v>1619.499849</v>
      </c>
      <c r="BY272" s="40">
        <f t="shared" si="184"/>
        <v>1619.499849</v>
      </c>
      <c r="BZ272" s="40">
        <f t="shared" si="184"/>
        <v>1619.499849</v>
      </c>
      <c r="CA272" s="40">
        <f t="shared" si="184"/>
        <v>1619.499849</v>
      </c>
      <c r="CB272" s="40">
        <f t="shared" si="184"/>
        <v>1619.499849</v>
      </c>
      <c r="CC272" s="40">
        <f t="shared" si="184"/>
        <v>1619.499849</v>
      </c>
      <c r="CD272" s="40">
        <f t="shared" si="184"/>
        <v>1619.499849</v>
      </c>
      <c r="CE272" s="461"/>
      <c r="CF272" s="461"/>
      <c r="CG272" s="461"/>
      <c r="CM272" s="461">
        <f>CM545</f>
        <v>1068.9695840000002</v>
      </c>
    </row>
    <row r="273" spans="1:115" s="25" customFormat="1">
      <c r="A273" s="899" t="s">
        <v>1134</v>
      </c>
      <c r="B273" s="499" t="s">
        <v>3405</v>
      </c>
      <c r="C273" s="499"/>
      <c r="D273" s="499"/>
      <c r="E273" s="499"/>
      <c r="F273" s="499"/>
      <c r="G273" s="499"/>
      <c r="H273" s="499"/>
      <c r="I273" s="499"/>
      <c r="J273" s="499"/>
      <c r="K273" s="499"/>
      <c r="L273" s="499"/>
      <c r="M273" s="499"/>
      <c r="N273" s="499"/>
      <c r="O273" s="499"/>
      <c r="P273" s="499"/>
      <c r="Q273" s="499"/>
      <c r="R273" s="499"/>
      <c r="S273" s="499"/>
      <c r="T273" s="499"/>
      <c r="U273" s="499"/>
      <c r="V273" s="499"/>
      <c r="W273" s="499"/>
      <c r="X273" s="499"/>
      <c r="Y273" s="499"/>
      <c r="Z273" s="499"/>
      <c r="AA273" s="499"/>
      <c r="AB273" s="499"/>
      <c r="AC273" s="499"/>
      <c r="AD273" s="499"/>
      <c r="AE273" s="499"/>
      <c r="AF273" s="499"/>
      <c r="AG273" s="499"/>
      <c r="AH273" s="499"/>
      <c r="AI273" s="499"/>
      <c r="AJ273" s="499"/>
      <c r="AK273" s="499"/>
      <c r="AL273" s="499"/>
      <c r="AM273" s="499"/>
      <c r="AN273" s="499"/>
      <c r="AO273" s="499"/>
      <c r="AP273" s="499"/>
      <c r="AQ273" s="499"/>
      <c r="AR273" s="499"/>
      <c r="AS273" s="499"/>
      <c r="AT273" s="499"/>
      <c r="AU273" s="499"/>
      <c r="AV273" s="461"/>
      <c r="AW273" s="461"/>
      <c r="AX273" s="461"/>
      <c r="AY273" s="461"/>
      <c r="AZ273" s="461"/>
      <c r="BA273" s="461"/>
      <c r="BB273" s="461"/>
      <c r="BC273" s="461">
        <v>0</v>
      </c>
      <c r="BD273" s="461">
        <v>0</v>
      </c>
      <c r="BE273" s="461"/>
      <c r="BF273" s="461"/>
      <c r="BG273" s="461">
        <v>0</v>
      </c>
      <c r="BH273" s="307"/>
      <c r="BI273" s="307"/>
      <c r="BJ273" s="457"/>
      <c r="BK273" s="457"/>
      <c r="BL273" s="458"/>
      <c r="BM273" s="938"/>
      <c r="BN273" s="938"/>
      <c r="BO273" s="458"/>
      <c r="BU273" s="40">
        <f t="shared" si="163"/>
        <v>0</v>
      </c>
      <c r="BV273" s="40">
        <f t="shared" ref="BV273:CD273" si="185">BU273</f>
        <v>0</v>
      </c>
      <c r="BW273" s="40">
        <f t="shared" si="185"/>
        <v>0</v>
      </c>
      <c r="BX273" s="40">
        <f t="shared" si="185"/>
        <v>0</v>
      </c>
      <c r="BY273" s="40">
        <f t="shared" si="185"/>
        <v>0</v>
      </c>
      <c r="BZ273" s="40">
        <f t="shared" si="185"/>
        <v>0</v>
      </c>
      <c r="CA273" s="40">
        <f t="shared" si="185"/>
        <v>0</v>
      </c>
      <c r="CB273" s="40">
        <f t="shared" si="185"/>
        <v>0</v>
      </c>
      <c r="CC273" s="40">
        <f t="shared" si="185"/>
        <v>0</v>
      </c>
      <c r="CD273" s="40">
        <f t="shared" si="185"/>
        <v>0</v>
      </c>
      <c r="CE273" s="457"/>
      <c r="CF273" s="457"/>
      <c r="CG273" s="457"/>
      <c r="CM273" s="458"/>
    </row>
    <row r="274" spans="1:115" s="25" customFormat="1">
      <c r="A274" s="899" t="s">
        <v>1132</v>
      </c>
      <c r="B274" s="499" t="s">
        <v>113</v>
      </c>
      <c r="C274" s="499"/>
      <c r="D274" s="499"/>
      <c r="E274" s="499"/>
      <c r="F274" s="499"/>
      <c r="G274" s="499"/>
      <c r="H274" s="499"/>
      <c r="I274" s="499"/>
      <c r="J274" s="499"/>
      <c r="K274" s="499"/>
      <c r="L274" s="499"/>
      <c r="M274" s="499"/>
      <c r="N274" s="499"/>
      <c r="O274" s="499"/>
      <c r="P274" s="499"/>
      <c r="Q274" s="499"/>
      <c r="R274" s="499"/>
      <c r="S274" s="499"/>
      <c r="T274" s="499"/>
      <c r="U274" s="499"/>
      <c r="V274" s="499"/>
      <c r="W274" s="499"/>
      <c r="X274" s="499"/>
      <c r="Y274" s="499"/>
      <c r="Z274" s="499"/>
      <c r="AA274" s="499"/>
      <c r="AB274" s="499"/>
      <c r="AC274" s="499"/>
      <c r="AD274" s="499"/>
      <c r="AE274" s="499"/>
      <c r="AF274" s="499"/>
      <c r="AG274" s="499"/>
      <c r="AH274" s="499"/>
      <c r="AI274" s="499"/>
      <c r="AJ274" s="499"/>
      <c r="AK274" s="499"/>
      <c r="AL274" s="499"/>
      <c r="AM274" s="499"/>
      <c r="AN274" s="499"/>
      <c r="AO274" s="499"/>
      <c r="AP274" s="499"/>
      <c r="AQ274" s="499"/>
      <c r="AR274" s="499"/>
      <c r="AS274" s="499"/>
      <c r="AT274" s="499"/>
      <c r="AU274" s="499"/>
      <c r="AV274" s="461"/>
      <c r="AW274" s="461"/>
      <c r="AX274" s="461"/>
      <c r="AY274" s="461"/>
      <c r="AZ274" s="461"/>
      <c r="BA274" s="461">
        <v>27400</v>
      </c>
      <c r="BB274" s="461">
        <v>29998</v>
      </c>
      <c r="BC274" s="461">
        <v>45859.171000000002</v>
      </c>
      <c r="BD274" s="461">
        <v>58.167188000000003</v>
      </c>
      <c r="BE274" s="461">
        <v>86.042665580000005</v>
      </c>
      <c r="BF274" s="1008">
        <v>159.73000018149997</v>
      </c>
      <c r="BG274" s="1008">
        <v>423.2</v>
      </c>
      <c r="BH274" s="447">
        <v>243.58499699999999</v>
      </c>
      <c r="BI274" s="447">
        <v>354.07048700000001</v>
      </c>
      <c r="BJ274" s="1007">
        <v>149.1</v>
      </c>
      <c r="BK274" s="1007">
        <v>115.4</v>
      </c>
      <c r="BL274" s="1010">
        <v>0</v>
      </c>
      <c r="BM274" s="1012">
        <v>9.9999999999999995E-8</v>
      </c>
      <c r="BN274" s="1014">
        <v>9.9999999999999995E-8</v>
      </c>
      <c r="BO274" s="1014">
        <v>9.9999999999999995E-8</v>
      </c>
      <c r="BP274" s="1014">
        <v>9.9999999999999995E-8</v>
      </c>
      <c r="BQ274" s="1014">
        <v>9.9999999999999995E-8</v>
      </c>
      <c r="BR274" s="1014">
        <v>9.9999999999999995E-8</v>
      </c>
      <c r="BS274" s="1014">
        <v>9.9999999999999995E-8</v>
      </c>
      <c r="BT274" s="25">
        <f>BS274</f>
        <v>9.9999999999999995E-8</v>
      </c>
      <c r="BU274" s="40">
        <f t="shared" si="163"/>
        <v>9.9999999999999995E-8</v>
      </c>
      <c r="BV274" s="40">
        <f t="shared" ref="BV274:CD274" si="186">BU274</f>
        <v>9.9999999999999995E-8</v>
      </c>
      <c r="BW274" s="40">
        <f t="shared" si="186"/>
        <v>9.9999999999999995E-8</v>
      </c>
      <c r="BX274" s="40">
        <f t="shared" si="186"/>
        <v>9.9999999999999995E-8</v>
      </c>
      <c r="BY274" s="40">
        <f t="shared" si="186"/>
        <v>9.9999999999999995E-8</v>
      </c>
      <c r="BZ274" s="40">
        <f t="shared" si="186"/>
        <v>9.9999999999999995E-8</v>
      </c>
      <c r="CA274" s="40">
        <f t="shared" si="186"/>
        <v>9.9999999999999995E-8</v>
      </c>
      <c r="CB274" s="40">
        <f t="shared" si="186"/>
        <v>9.9999999999999995E-8</v>
      </c>
      <c r="CC274" s="40">
        <f t="shared" si="186"/>
        <v>9.9999999999999995E-8</v>
      </c>
      <c r="CD274" s="40">
        <f t="shared" si="186"/>
        <v>9.9999999999999995E-8</v>
      </c>
      <c r="CE274" s="457"/>
      <c r="CF274" s="457"/>
      <c r="CG274" s="457"/>
      <c r="CM274" s="458">
        <v>73.8</v>
      </c>
    </row>
    <row r="275" spans="1:115" s="25" customFormat="1">
      <c r="B275" s="480"/>
      <c r="C275" s="499"/>
      <c r="D275" s="499"/>
      <c r="E275" s="499"/>
      <c r="F275" s="499"/>
      <c r="G275" s="499"/>
      <c r="H275" s="499"/>
      <c r="I275" s="499"/>
      <c r="J275" s="499"/>
      <c r="K275" s="499"/>
      <c r="L275" s="499"/>
      <c r="M275" s="499"/>
      <c r="N275" s="499"/>
      <c r="O275" s="499"/>
      <c r="P275" s="499"/>
      <c r="Q275" s="499"/>
      <c r="R275" s="499"/>
      <c r="S275" s="499"/>
      <c r="T275" s="499"/>
      <c r="U275" s="499"/>
      <c r="V275" s="499"/>
      <c r="W275" s="499"/>
      <c r="X275" s="499"/>
      <c r="Y275" s="499"/>
      <c r="Z275" s="499"/>
      <c r="AA275" s="499"/>
      <c r="AB275" s="499"/>
      <c r="AC275" s="499"/>
      <c r="AD275" s="499"/>
      <c r="AE275" s="499"/>
      <c r="AF275" s="499"/>
      <c r="AG275" s="499"/>
      <c r="AH275" s="499"/>
      <c r="AI275" s="499"/>
      <c r="AJ275" s="499"/>
      <c r="AK275" s="499"/>
      <c r="AL275" s="499"/>
      <c r="AM275" s="499"/>
      <c r="AN275" s="499"/>
      <c r="AO275" s="499"/>
      <c r="AP275" s="499"/>
      <c r="AQ275" s="499"/>
      <c r="AR275" s="499"/>
      <c r="AS275" s="499"/>
      <c r="AT275" s="499"/>
      <c r="AU275" s="499"/>
      <c r="AV275" s="461"/>
      <c r="AW275" s="461"/>
      <c r="AX275" s="461"/>
      <c r="AY275" s="461"/>
      <c r="AZ275" s="461"/>
      <c r="BA275" s="461"/>
      <c r="BB275" s="461"/>
      <c r="BC275" s="461"/>
      <c r="BD275" s="461"/>
      <c r="BE275" s="461"/>
      <c r="BF275" s="461"/>
      <c r="BG275" s="461"/>
      <c r="BH275" s="307"/>
      <c r="BI275" s="307"/>
      <c r="BJ275" s="457"/>
      <c r="BK275" s="457"/>
      <c r="BL275" s="458"/>
      <c r="BM275" s="458"/>
      <c r="BN275" s="458"/>
      <c r="BO275" s="458"/>
      <c r="BU275" s="40">
        <f t="shared" si="163"/>
        <v>0</v>
      </c>
      <c r="BV275" s="40">
        <f t="shared" ref="BV275:CD275" si="187">BU275</f>
        <v>0</v>
      </c>
      <c r="BW275" s="40">
        <f t="shared" si="187"/>
        <v>0</v>
      </c>
      <c r="BX275" s="40">
        <f t="shared" si="187"/>
        <v>0</v>
      </c>
      <c r="BY275" s="40">
        <f t="shared" si="187"/>
        <v>0</v>
      </c>
      <c r="BZ275" s="40">
        <f t="shared" si="187"/>
        <v>0</v>
      </c>
      <c r="CA275" s="40">
        <f t="shared" si="187"/>
        <v>0</v>
      </c>
      <c r="CB275" s="40">
        <f t="shared" si="187"/>
        <v>0</v>
      </c>
      <c r="CC275" s="40">
        <f t="shared" si="187"/>
        <v>0</v>
      </c>
      <c r="CD275" s="40">
        <f t="shared" si="187"/>
        <v>0</v>
      </c>
      <c r="CE275" s="457"/>
      <c r="CF275" s="457"/>
      <c r="CG275" s="457"/>
      <c r="CM275" s="458"/>
    </row>
    <row r="276" spans="1:115" s="25" customFormat="1">
      <c r="B276" s="499" t="s">
        <v>3254</v>
      </c>
      <c r="C276" s="499"/>
      <c r="D276" s="499"/>
      <c r="E276" s="499"/>
      <c r="F276" s="499"/>
      <c r="G276" s="499"/>
      <c r="H276" s="499"/>
      <c r="I276" s="499"/>
      <c r="J276" s="499"/>
      <c r="K276" s="499"/>
      <c r="L276" s="499"/>
      <c r="M276" s="499"/>
      <c r="N276" s="499"/>
      <c r="O276" s="499"/>
      <c r="P276" s="499"/>
      <c r="Q276" s="499"/>
      <c r="R276" s="499"/>
      <c r="S276" s="499"/>
      <c r="T276" s="499"/>
      <c r="U276" s="499"/>
      <c r="V276" s="499"/>
      <c r="W276" s="499"/>
      <c r="X276" s="499"/>
      <c r="Y276" s="499"/>
      <c r="Z276" s="499"/>
      <c r="AA276" s="499"/>
      <c r="AB276" s="499"/>
      <c r="AC276" s="499"/>
      <c r="AD276" s="499"/>
      <c r="AE276" s="499"/>
      <c r="AF276" s="499"/>
      <c r="AG276" s="499"/>
      <c r="AH276" s="499"/>
      <c r="AI276" s="499"/>
      <c r="AJ276" s="499"/>
      <c r="AK276" s="499"/>
      <c r="AL276" s="499"/>
      <c r="AM276" s="499"/>
      <c r="AN276" s="499"/>
      <c r="AO276" s="499"/>
      <c r="AP276" s="499"/>
      <c r="AQ276" s="499"/>
      <c r="AR276" s="499"/>
      <c r="AS276" s="499"/>
      <c r="AT276" s="499"/>
      <c r="AU276" s="499"/>
      <c r="AV276" s="461"/>
      <c r="AW276" s="461"/>
      <c r="AX276" s="461"/>
      <c r="AY276" s="461"/>
      <c r="AZ276" s="461"/>
      <c r="BA276" s="461"/>
      <c r="BB276" s="461"/>
      <c r="BC276" s="461"/>
      <c r="BD276" s="461"/>
      <c r="BE276" s="461"/>
      <c r="BF276" s="461"/>
      <c r="BG276" s="461"/>
      <c r="BH276" s="307"/>
      <c r="BI276" s="307"/>
      <c r="BJ276" s="457"/>
      <c r="BK276" s="457"/>
      <c r="BL276" s="458"/>
      <c r="BM276" s="458"/>
      <c r="BN276" s="458"/>
      <c r="BO276" s="458">
        <f t="shared" ref="BO276:BT276" si="188">BO277-BO279</f>
        <v>1440.5000000000009</v>
      </c>
      <c r="BP276" s="458">
        <f t="shared" si="188"/>
        <v>1830.6999999999998</v>
      </c>
      <c r="BQ276" s="458">
        <f t="shared" si="188"/>
        <v>1753.8999999999996</v>
      </c>
      <c r="BR276" s="458">
        <f t="shared" si="188"/>
        <v>1350.8999999999996</v>
      </c>
      <c r="BS276" s="458">
        <f t="shared" si="188"/>
        <v>973.5</v>
      </c>
      <c r="BT276" s="458">
        <f t="shared" si="188"/>
        <v>973.5</v>
      </c>
      <c r="BU276" s="40">
        <f t="shared" si="163"/>
        <v>973.5</v>
      </c>
      <c r="BV276" s="40">
        <f t="shared" ref="BV276:CD276" si="189">BU276</f>
        <v>973.5</v>
      </c>
      <c r="BW276" s="40">
        <f t="shared" si="189"/>
        <v>973.5</v>
      </c>
      <c r="BX276" s="40">
        <f t="shared" si="189"/>
        <v>973.5</v>
      </c>
      <c r="BY276" s="40">
        <f t="shared" si="189"/>
        <v>973.5</v>
      </c>
      <c r="BZ276" s="40">
        <f t="shared" si="189"/>
        <v>973.5</v>
      </c>
      <c r="CA276" s="40">
        <f t="shared" si="189"/>
        <v>973.5</v>
      </c>
      <c r="CB276" s="40">
        <f t="shared" si="189"/>
        <v>973.5</v>
      </c>
      <c r="CC276" s="40">
        <f t="shared" si="189"/>
        <v>973.5</v>
      </c>
      <c r="CD276" s="40">
        <f t="shared" si="189"/>
        <v>973.5</v>
      </c>
      <c r="CE276" s="457"/>
      <c r="CF276" s="457"/>
      <c r="CG276" s="457"/>
      <c r="CM276" s="458">
        <f>CM277-CM279</f>
        <v>-194.53765757575729</v>
      </c>
    </row>
    <row r="277" spans="1:115" s="25" customFormat="1">
      <c r="B277" s="642" t="s">
        <v>3253</v>
      </c>
      <c r="C277" s="499"/>
      <c r="D277" s="499"/>
      <c r="E277" s="499"/>
      <c r="F277" s="499"/>
      <c r="G277" s="499"/>
      <c r="H277" s="499"/>
      <c r="I277" s="499"/>
      <c r="J277" s="499"/>
      <c r="K277" s="499"/>
      <c r="L277" s="499"/>
      <c r="M277" s="499"/>
      <c r="N277" s="499"/>
      <c r="O277" s="499"/>
      <c r="P277" s="499"/>
      <c r="Q277" s="499"/>
      <c r="R277" s="499"/>
      <c r="S277" s="499"/>
      <c r="T277" s="499"/>
      <c r="U277" s="499"/>
      <c r="V277" s="499"/>
      <c r="W277" s="499"/>
      <c r="X277" s="499"/>
      <c r="Y277" s="499"/>
      <c r="Z277" s="499"/>
      <c r="AA277" s="499"/>
      <c r="AB277" s="499"/>
      <c r="AC277" s="499"/>
      <c r="AD277" s="499"/>
      <c r="AE277" s="499"/>
      <c r="AF277" s="499"/>
      <c r="AG277" s="499"/>
      <c r="AH277" s="499"/>
      <c r="AI277" s="499"/>
      <c r="AJ277" s="499"/>
      <c r="AK277" s="499"/>
      <c r="AL277" s="499"/>
      <c r="AM277" s="499"/>
      <c r="AN277" s="499"/>
      <c r="AO277" s="499"/>
      <c r="AP277" s="499"/>
      <c r="AQ277" s="499"/>
      <c r="AR277" s="499"/>
      <c r="AS277" s="499"/>
      <c r="AT277" s="499"/>
      <c r="AU277" s="499"/>
      <c r="AV277" s="461"/>
      <c r="AW277" s="461"/>
      <c r="AX277" s="461"/>
      <c r="AY277" s="461"/>
      <c r="AZ277" s="461"/>
      <c r="BA277" s="461"/>
      <c r="BB277" s="461"/>
      <c r="BC277" s="461"/>
      <c r="BD277" s="461"/>
      <c r="BE277" s="461"/>
      <c r="BF277" s="461"/>
      <c r="BG277" s="461"/>
      <c r="BH277" s="307"/>
      <c r="BI277" s="307"/>
      <c r="BJ277" s="457"/>
      <c r="BK277" s="457"/>
      <c r="BL277" s="459"/>
      <c r="BM277" s="1004"/>
      <c r="BN277" s="459"/>
      <c r="BO277" s="238">
        <v>6159.1</v>
      </c>
      <c r="BP277" s="238">
        <v>6582.5</v>
      </c>
      <c r="BQ277" s="238">
        <v>7165</v>
      </c>
      <c r="BR277" s="25">
        <f>BQ277</f>
        <v>7165</v>
      </c>
      <c r="BS277" s="25">
        <f>BR277</f>
        <v>7165</v>
      </c>
      <c r="BT277" s="25">
        <f>BS277</f>
        <v>7165</v>
      </c>
      <c r="BU277" s="40">
        <f t="shared" si="163"/>
        <v>7165</v>
      </c>
      <c r="BV277" s="40">
        <f t="shared" ref="BV277:CD277" si="190">BU277</f>
        <v>7165</v>
      </c>
      <c r="BW277" s="40">
        <f t="shared" si="190"/>
        <v>7165</v>
      </c>
      <c r="BX277" s="40">
        <f t="shared" si="190"/>
        <v>7165</v>
      </c>
      <c r="BY277" s="40">
        <f t="shared" si="190"/>
        <v>7165</v>
      </c>
      <c r="BZ277" s="40">
        <f t="shared" si="190"/>
        <v>7165</v>
      </c>
      <c r="CA277" s="40">
        <f t="shared" si="190"/>
        <v>7165</v>
      </c>
      <c r="CB277" s="40">
        <f t="shared" si="190"/>
        <v>7165</v>
      </c>
      <c r="CC277" s="40">
        <f t="shared" si="190"/>
        <v>7165</v>
      </c>
      <c r="CD277" s="40">
        <f t="shared" si="190"/>
        <v>7165</v>
      </c>
      <c r="CE277" s="457"/>
      <c r="CF277" s="457"/>
      <c r="CG277" s="457"/>
      <c r="CM277" s="459">
        <v>4149.3</v>
      </c>
    </row>
    <row r="278" spans="1:115" s="25" customFormat="1">
      <c r="B278" s="499"/>
      <c r="C278" s="499"/>
      <c r="D278" s="499"/>
      <c r="E278" s="499"/>
      <c r="F278" s="499"/>
      <c r="G278" s="499"/>
      <c r="H278" s="499"/>
      <c r="I278" s="499"/>
      <c r="J278" s="499"/>
      <c r="K278" s="499"/>
      <c r="L278" s="499"/>
      <c r="M278" s="499"/>
      <c r="N278" s="499"/>
      <c r="O278" s="499"/>
      <c r="P278" s="499"/>
      <c r="Q278" s="499"/>
      <c r="R278" s="499"/>
      <c r="S278" s="499"/>
      <c r="T278" s="499"/>
      <c r="U278" s="499"/>
      <c r="V278" s="499"/>
      <c r="W278" s="499"/>
      <c r="X278" s="499"/>
      <c r="Y278" s="499"/>
      <c r="Z278" s="499"/>
      <c r="AA278" s="499"/>
      <c r="AB278" s="499"/>
      <c r="AC278" s="499"/>
      <c r="AD278" s="499"/>
      <c r="AE278" s="499"/>
      <c r="AF278" s="499"/>
      <c r="AG278" s="499"/>
      <c r="AH278" s="499"/>
      <c r="AI278" s="499"/>
      <c r="AJ278" s="499"/>
      <c r="AK278" s="499"/>
      <c r="AL278" s="499"/>
      <c r="AM278" s="499"/>
      <c r="AN278" s="499"/>
      <c r="AO278" s="499"/>
      <c r="AP278" s="499"/>
      <c r="AQ278" s="499"/>
      <c r="AR278" s="499"/>
      <c r="AS278" s="499"/>
      <c r="AT278" s="499"/>
      <c r="AU278" s="499"/>
      <c r="AV278" s="461"/>
      <c r="AW278" s="461"/>
      <c r="AX278" s="461"/>
      <c r="AY278" s="461"/>
      <c r="AZ278" s="461"/>
      <c r="BA278" s="461"/>
      <c r="BB278" s="461"/>
      <c r="BC278" s="461"/>
      <c r="BD278" s="461"/>
      <c r="BE278" s="461"/>
      <c r="BF278" s="461"/>
      <c r="BG278" s="461"/>
      <c r="BH278" s="307"/>
      <c r="BI278" s="307"/>
      <c r="BJ278" s="457"/>
      <c r="BK278" s="457"/>
      <c r="BL278" s="458"/>
      <c r="BM278" s="458"/>
      <c r="BN278" s="458"/>
      <c r="BO278" s="458"/>
      <c r="BU278" s="40">
        <f t="shared" si="163"/>
        <v>0</v>
      </c>
      <c r="BV278" s="40">
        <f t="shared" ref="BV278:CD278" si="191">BU278</f>
        <v>0</v>
      </c>
      <c r="BW278" s="40">
        <f t="shared" si="191"/>
        <v>0</v>
      </c>
      <c r="BX278" s="40">
        <f t="shared" si="191"/>
        <v>0</v>
      </c>
      <c r="BY278" s="40">
        <f t="shared" si="191"/>
        <v>0</v>
      </c>
      <c r="BZ278" s="40">
        <f t="shared" si="191"/>
        <v>0</v>
      </c>
      <c r="CA278" s="40">
        <f t="shared" si="191"/>
        <v>0</v>
      </c>
      <c r="CB278" s="40">
        <f t="shared" si="191"/>
        <v>0</v>
      </c>
      <c r="CC278" s="40">
        <f t="shared" si="191"/>
        <v>0</v>
      </c>
      <c r="CD278" s="40">
        <f t="shared" si="191"/>
        <v>0</v>
      </c>
      <c r="CE278" s="457"/>
      <c r="CF278" s="457"/>
      <c r="CG278" s="457"/>
      <c r="CM278" s="458"/>
    </row>
    <row r="279" spans="1:115" s="238" customFormat="1">
      <c r="A279" s="898" t="s">
        <v>1135</v>
      </c>
      <c r="B279" s="642" t="s">
        <v>114</v>
      </c>
      <c r="C279" s="642"/>
      <c r="D279" s="642"/>
      <c r="E279" s="642"/>
      <c r="F279" s="642"/>
      <c r="G279" s="642"/>
      <c r="H279" s="642"/>
      <c r="I279" s="642"/>
      <c r="J279" s="642"/>
      <c r="K279" s="642"/>
      <c r="L279" s="642"/>
      <c r="M279" s="642"/>
      <c r="N279" s="642"/>
      <c r="O279" s="642"/>
      <c r="P279" s="642"/>
      <c r="Q279" s="642"/>
      <c r="R279" s="642"/>
      <c r="S279" s="642"/>
      <c r="T279" s="642"/>
      <c r="U279" s="642"/>
      <c r="V279" s="642"/>
      <c r="W279" s="642"/>
      <c r="X279" s="642"/>
      <c r="Y279" s="642"/>
      <c r="Z279" s="642"/>
      <c r="AA279" s="642"/>
      <c r="AB279" s="642"/>
      <c r="AC279" s="642"/>
      <c r="AD279" s="642"/>
      <c r="AE279" s="642"/>
      <c r="AF279" s="642"/>
      <c r="AG279" s="642"/>
      <c r="AH279" s="642"/>
      <c r="AI279" s="642"/>
      <c r="AJ279" s="642"/>
      <c r="AK279" s="642"/>
      <c r="AL279" s="642"/>
      <c r="AM279" s="642"/>
      <c r="AN279" s="642"/>
      <c r="AO279" s="642"/>
      <c r="AP279" s="642"/>
      <c r="AQ279" s="642"/>
      <c r="AR279" s="642"/>
      <c r="AS279" s="642"/>
      <c r="AT279" s="642"/>
      <c r="AU279" s="642"/>
      <c r="AV279" s="456">
        <f t="shared" ref="AV279:BP279" si="192">AV281+AV287+AV288</f>
        <v>111.9747</v>
      </c>
      <c r="AW279" s="456">
        <f t="shared" si="192"/>
        <v>114.0411</v>
      </c>
      <c r="AX279" s="456">
        <f t="shared" si="192"/>
        <v>192.25130000000001</v>
      </c>
      <c r="AY279" s="456">
        <f t="shared" si="192"/>
        <v>306.38699999999994</v>
      </c>
      <c r="AZ279" s="456">
        <f t="shared" si="192"/>
        <v>398.38699999999994</v>
      </c>
      <c r="BA279" s="456">
        <f t="shared" si="192"/>
        <v>588611.55000000005</v>
      </c>
      <c r="BB279" s="456">
        <f t="shared" si="192"/>
        <v>800473.83200000005</v>
      </c>
      <c r="BC279" s="456">
        <f t="shared" si="192"/>
        <v>897266.7570000001</v>
      </c>
      <c r="BD279" s="456">
        <f t="shared" si="192"/>
        <v>1171.1278050000001</v>
      </c>
      <c r="BE279" s="456">
        <f t="shared" si="192"/>
        <v>1432.54068594</v>
      </c>
      <c r="BF279" s="456">
        <f t="shared" si="192"/>
        <v>1772.4441111814999</v>
      </c>
      <c r="BG279" s="456">
        <f t="shared" si="192"/>
        <v>2018.2139390000002</v>
      </c>
      <c r="BH279" s="456">
        <f t="shared" si="192"/>
        <v>2209.7775859999997</v>
      </c>
      <c r="BI279" s="456">
        <f t="shared" si="192"/>
        <v>2859.505705</v>
      </c>
      <c r="BJ279" s="452">
        <f>BJ281+BJ287+BJ288</f>
        <v>2955.4000000000005</v>
      </c>
      <c r="BK279" s="452">
        <f t="shared" si="192"/>
        <v>3551.0736030000003</v>
      </c>
      <c r="BL279" s="452">
        <f t="shared" si="192"/>
        <v>4410.5999999999995</v>
      </c>
      <c r="BM279" s="943">
        <f t="shared" si="192"/>
        <v>4728.3999999999996</v>
      </c>
      <c r="BN279" s="452">
        <f>BN281+BN287+BN288</f>
        <v>4564.5</v>
      </c>
      <c r="BO279" s="452">
        <f t="shared" si="192"/>
        <v>4718.5999999999995</v>
      </c>
      <c r="BP279" s="452">
        <f t="shared" si="192"/>
        <v>4751.8</v>
      </c>
      <c r="BQ279" s="452">
        <f>BQ281+BQ287+BQ288</f>
        <v>5411.1</v>
      </c>
      <c r="BR279" s="452">
        <f>BR281+BR287+BR288</f>
        <v>5814.1</v>
      </c>
      <c r="BS279" s="452">
        <f>BS281+BS287+BS288</f>
        <v>6191.5</v>
      </c>
      <c r="BT279" s="452">
        <f>BT281+BT287+BT288</f>
        <v>6191.5</v>
      </c>
      <c r="BU279" s="40">
        <f t="shared" si="163"/>
        <v>6191.5</v>
      </c>
      <c r="BV279" s="40">
        <f t="shared" ref="BV279:CD279" si="193">BU279</f>
        <v>6191.5</v>
      </c>
      <c r="BW279" s="40">
        <f t="shared" si="193"/>
        <v>6191.5</v>
      </c>
      <c r="BX279" s="40">
        <f t="shared" si="193"/>
        <v>6191.5</v>
      </c>
      <c r="BY279" s="40">
        <f t="shared" si="193"/>
        <v>6191.5</v>
      </c>
      <c r="BZ279" s="40">
        <f t="shared" si="193"/>
        <v>6191.5</v>
      </c>
      <c r="CA279" s="40">
        <f t="shared" si="193"/>
        <v>6191.5</v>
      </c>
      <c r="CB279" s="40">
        <f t="shared" si="193"/>
        <v>6191.5</v>
      </c>
      <c r="CC279" s="40">
        <f t="shared" si="193"/>
        <v>6191.5</v>
      </c>
      <c r="CD279" s="40">
        <f t="shared" si="193"/>
        <v>6191.5</v>
      </c>
      <c r="CE279" s="452"/>
      <c r="CF279" s="452"/>
      <c r="CG279" s="452"/>
      <c r="CI279" s="459"/>
      <c r="CJ279" s="459"/>
      <c r="CK279" s="459"/>
      <c r="CL279" s="459"/>
      <c r="CM279" s="452">
        <f>CM281+CM287+CM288</f>
        <v>4343.8376575757575</v>
      </c>
    </row>
    <row r="280" spans="1:115" s="25" customFormat="1">
      <c r="A280" s="899"/>
      <c r="B280" s="499"/>
      <c r="C280" s="499"/>
      <c r="D280" s="499"/>
      <c r="E280" s="499"/>
      <c r="F280" s="499"/>
      <c r="G280" s="499"/>
      <c r="H280" s="499"/>
      <c r="I280" s="499"/>
      <c r="J280" s="499"/>
      <c r="K280" s="499"/>
      <c r="L280" s="499"/>
      <c r="M280" s="499"/>
      <c r="N280" s="499"/>
      <c r="O280" s="499"/>
      <c r="P280" s="499"/>
      <c r="Q280" s="499"/>
      <c r="R280" s="499"/>
      <c r="S280" s="499"/>
      <c r="T280" s="499"/>
      <c r="U280" s="499"/>
      <c r="V280" s="499"/>
      <c r="W280" s="499"/>
      <c r="X280" s="499"/>
      <c r="Y280" s="499"/>
      <c r="Z280" s="499"/>
      <c r="AA280" s="499"/>
      <c r="AB280" s="499"/>
      <c r="AC280" s="499"/>
      <c r="AD280" s="499"/>
      <c r="AE280" s="499"/>
      <c r="AF280" s="499"/>
      <c r="AG280" s="499"/>
      <c r="AH280" s="499"/>
      <c r="AI280" s="499"/>
      <c r="AJ280" s="499"/>
      <c r="AK280" s="499"/>
      <c r="AL280" s="499"/>
      <c r="AM280" s="499"/>
      <c r="AN280" s="499"/>
      <c r="AO280" s="499"/>
      <c r="AP280" s="499"/>
      <c r="AQ280" s="499"/>
      <c r="AR280" s="499"/>
      <c r="AS280" s="499"/>
      <c r="AT280" s="499"/>
      <c r="AU280" s="499"/>
      <c r="AV280" s="461"/>
      <c r="AW280" s="461"/>
      <c r="AX280" s="461"/>
      <c r="AY280" s="461"/>
      <c r="AZ280" s="461"/>
      <c r="BA280" s="461"/>
      <c r="BB280" s="461"/>
      <c r="BC280" s="461"/>
      <c r="BD280" s="461"/>
      <c r="BE280" s="461"/>
      <c r="BF280" s="461"/>
      <c r="BG280" s="461"/>
      <c r="BH280" s="461"/>
      <c r="BI280" s="307"/>
      <c r="BJ280" s="457"/>
      <c r="BK280" s="457"/>
      <c r="BL280" s="457"/>
      <c r="BM280" s="458"/>
      <c r="BN280" s="458"/>
      <c r="BO280" s="458"/>
      <c r="BU280" s="40">
        <f t="shared" si="163"/>
        <v>0</v>
      </c>
      <c r="BV280" s="40">
        <f t="shared" ref="BV280:CD280" si="194">BU280</f>
        <v>0</v>
      </c>
      <c r="BW280" s="40">
        <f t="shared" si="194"/>
        <v>0</v>
      </c>
      <c r="BX280" s="40">
        <f t="shared" si="194"/>
        <v>0</v>
      </c>
      <c r="BY280" s="40">
        <f t="shared" si="194"/>
        <v>0</v>
      </c>
      <c r="BZ280" s="40">
        <f t="shared" si="194"/>
        <v>0</v>
      </c>
      <c r="CA280" s="40">
        <f t="shared" si="194"/>
        <v>0</v>
      </c>
      <c r="CB280" s="40">
        <f t="shared" si="194"/>
        <v>0</v>
      </c>
      <c r="CC280" s="40">
        <f t="shared" si="194"/>
        <v>0</v>
      </c>
      <c r="CD280" s="40">
        <f t="shared" si="194"/>
        <v>0</v>
      </c>
      <c r="CE280" s="457"/>
      <c r="CF280" s="457"/>
      <c r="CG280" s="457"/>
      <c r="CM280" s="458"/>
    </row>
    <row r="281" spans="1:115" s="238" customFormat="1">
      <c r="A281" s="899" t="s">
        <v>1136</v>
      </c>
      <c r="B281" s="642" t="s">
        <v>115</v>
      </c>
      <c r="C281" s="642"/>
      <c r="D281" s="642"/>
      <c r="E281" s="642"/>
      <c r="F281" s="642"/>
      <c r="G281" s="642"/>
      <c r="H281" s="642"/>
      <c r="I281" s="642"/>
      <c r="J281" s="642"/>
      <c r="K281" s="642"/>
      <c r="L281" s="642"/>
      <c r="M281" s="642"/>
      <c r="N281" s="642"/>
      <c r="O281" s="642"/>
      <c r="P281" s="642"/>
      <c r="Q281" s="642"/>
      <c r="R281" s="642"/>
      <c r="S281" s="642"/>
      <c r="T281" s="642"/>
      <c r="U281" s="642"/>
      <c r="V281" s="642"/>
      <c r="W281" s="642"/>
      <c r="X281" s="642"/>
      <c r="Y281" s="642"/>
      <c r="Z281" s="642"/>
      <c r="AA281" s="642"/>
      <c r="AB281" s="642"/>
      <c r="AC281" s="642"/>
      <c r="AD281" s="642"/>
      <c r="AE281" s="642"/>
      <c r="AF281" s="642"/>
      <c r="AG281" s="642"/>
      <c r="AH281" s="642"/>
      <c r="AI281" s="642"/>
      <c r="AJ281" s="642"/>
      <c r="AK281" s="642"/>
      <c r="AL281" s="642"/>
      <c r="AM281" s="642"/>
      <c r="AN281" s="642"/>
      <c r="AO281" s="642"/>
      <c r="AP281" s="642"/>
      <c r="AQ281" s="642"/>
      <c r="AR281" s="642"/>
      <c r="AS281" s="642"/>
      <c r="AT281" s="642"/>
      <c r="AU281" s="642"/>
      <c r="AV281" s="456">
        <f t="shared" ref="AV281:BE281" si="195">SUM(AV282:AV285)</f>
        <v>87.8827</v>
      </c>
      <c r="AW281" s="456">
        <f t="shared" si="195"/>
        <v>99.385099999999994</v>
      </c>
      <c r="AX281" s="456">
        <f t="shared" si="195"/>
        <v>178.38830000000002</v>
      </c>
      <c r="AY281" s="456">
        <f t="shared" si="195"/>
        <v>263.06599999999997</v>
      </c>
      <c r="AZ281" s="456">
        <f t="shared" si="195"/>
        <v>330.35899999999998</v>
      </c>
      <c r="BA281" s="456">
        <f t="shared" si="195"/>
        <v>515780.57500000001</v>
      </c>
      <c r="BB281" s="456">
        <f t="shared" si="195"/>
        <v>722389.02800000005</v>
      </c>
      <c r="BC281" s="456">
        <f t="shared" si="195"/>
        <v>797675.16700000013</v>
      </c>
      <c r="BD281" s="456">
        <f t="shared" si="195"/>
        <v>1013.315955</v>
      </c>
      <c r="BE281" s="456">
        <f t="shared" si="195"/>
        <v>1193.81517136</v>
      </c>
      <c r="BF281" s="456">
        <f t="shared" ref="BF281:BL281" si="196">SUM(BF282:BF285)</f>
        <v>1466.7316000000001</v>
      </c>
      <c r="BG281" s="456">
        <f t="shared" si="196"/>
        <v>1662.1453020000001</v>
      </c>
      <c r="BH281" s="456">
        <f t="shared" si="196"/>
        <v>1743.7398399999997</v>
      </c>
      <c r="BI281" s="456">
        <f t="shared" si="196"/>
        <v>2253.1057049999999</v>
      </c>
      <c r="BJ281" s="644">
        <f t="shared" si="196"/>
        <v>2402.7000000000003</v>
      </c>
      <c r="BK281" s="456">
        <f>SUM(BK282:BK285)</f>
        <v>2854.1736030000002</v>
      </c>
      <c r="BL281" s="644">
        <f t="shared" si="196"/>
        <v>3681.2</v>
      </c>
      <c r="BM281" s="941">
        <f>SUM(BM282:BM285)</f>
        <v>3972.4</v>
      </c>
      <c r="BN281" s="941">
        <f>SUM(BN282:BN285)</f>
        <v>3671.5</v>
      </c>
      <c r="BO281" s="452">
        <f>SUM(BO282:BO286)-BO286</f>
        <v>4281.7</v>
      </c>
      <c r="BP281" s="456">
        <f>SUM(BP282:BP286)</f>
        <v>4266</v>
      </c>
      <c r="BQ281" s="456">
        <f>SUM(BQ282:BQ286)</f>
        <v>4585.8</v>
      </c>
      <c r="BR281" s="456">
        <f>SUM(BR282:BR286)</f>
        <v>4929</v>
      </c>
      <c r="BS281" s="456">
        <f>SUM(BS282:BS286)</f>
        <v>5253.8</v>
      </c>
      <c r="BT281" s="456">
        <f>SUM(BT282:BT286)</f>
        <v>5253.8</v>
      </c>
      <c r="BU281" s="40">
        <f t="shared" si="163"/>
        <v>5253.8</v>
      </c>
      <c r="BV281" s="40">
        <f t="shared" ref="BV281:CD281" si="197">BU281</f>
        <v>5253.8</v>
      </c>
      <c r="BW281" s="40">
        <f t="shared" si="197"/>
        <v>5253.8</v>
      </c>
      <c r="BX281" s="40">
        <f t="shared" si="197"/>
        <v>5253.8</v>
      </c>
      <c r="BY281" s="40">
        <f t="shared" si="197"/>
        <v>5253.8</v>
      </c>
      <c r="BZ281" s="40">
        <f t="shared" si="197"/>
        <v>5253.8</v>
      </c>
      <c r="CA281" s="40">
        <f t="shared" si="197"/>
        <v>5253.8</v>
      </c>
      <c r="CB281" s="40">
        <f t="shared" si="197"/>
        <v>5253.8</v>
      </c>
      <c r="CC281" s="40">
        <f t="shared" si="197"/>
        <v>5253.8</v>
      </c>
      <c r="CD281" s="40">
        <f t="shared" si="197"/>
        <v>5253.8</v>
      </c>
      <c r="CE281" s="456"/>
      <c r="CF281" s="456"/>
      <c r="CG281" s="456"/>
      <c r="CM281" s="456">
        <f>SUM(CM282:CM286)</f>
        <v>3328.9376575757578</v>
      </c>
    </row>
    <row r="282" spans="1:115" s="25" customFormat="1">
      <c r="A282" s="900" t="s">
        <v>3915</v>
      </c>
      <c r="B282" s="647" t="s">
        <v>3138</v>
      </c>
      <c r="C282" s="648"/>
      <c r="D282" s="648"/>
      <c r="E282" s="648"/>
      <c r="F282" s="648"/>
      <c r="G282" s="648"/>
      <c r="H282" s="648"/>
      <c r="I282" s="648"/>
      <c r="J282" s="648"/>
      <c r="K282" s="648"/>
      <c r="L282" s="648"/>
      <c r="M282" s="648"/>
      <c r="N282" s="648"/>
      <c r="O282" s="648"/>
      <c r="P282" s="648"/>
      <c r="Q282" s="648"/>
      <c r="R282" s="648"/>
      <c r="S282" s="648"/>
      <c r="T282" s="648"/>
      <c r="U282" s="648"/>
      <c r="V282" s="648"/>
      <c r="W282" s="648"/>
      <c r="X282" s="648"/>
      <c r="Y282" s="648"/>
      <c r="Z282" s="648"/>
      <c r="AA282" s="648"/>
      <c r="AB282" s="648"/>
      <c r="AC282" s="648"/>
      <c r="AD282" s="648"/>
      <c r="AE282" s="648"/>
      <c r="AF282" s="648"/>
      <c r="AG282" s="648"/>
      <c r="AH282" s="648"/>
      <c r="AI282" s="648"/>
      <c r="AJ282" s="648"/>
      <c r="AK282" s="648"/>
      <c r="AL282" s="648"/>
      <c r="AM282" s="648"/>
      <c r="AN282" s="648"/>
      <c r="AO282" s="648"/>
      <c r="AP282" s="648"/>
      <c r="AQ282" s="648"/>
      <c r="AR282" s="648"/>
      <c r="AS282" s="648"/>
      <c r="AT282" s="648"/>
      <c r="AU282" s="648"/>
      <c r="AV282" s="648">
        <v>30.048999999999999</v>
      </c>
      <c r="AW282" s="648">
        <v>40.424999999999997</v>
      </c>
      <c r="AX282" s="648">
        <v>79.650000000000006</v>
      </c>
      <c r="AY282" s="648">
        <v>112.08199999999999</v>
      </c>
      <c r="AZ282" s="648">
        <v>178.589</v>
      </c>
      <c r="BA282" s="648">
        <v>219312.6</v>
      </c>
      <c r="BB282" s="648">
        <v>387801.36300000001</v>
      </c>
      <c r="BC282" s="648">
        <v>431545.52899999998</v>
      </c>
      <c r="BD282" s="648">
        <v>465.17921699999999</v>
      </c>
      <c r="BE282" s="648">
        <v>501.62598700000001</v>
      </c>
      <c r="BF282" s="648">
        <v>603.03160000000003</v>
      </c>
      <c r="BG282" s="648">
        <v>692.43164899999999</v>
      </c>
      <c r="BH282" s="464">
        <v>758.54590599999995</v>
      </c>
      <c r="BI282" s="447">
        <v>967.63051199999995</v>
      </c>
      <c r="BJ282" s="1007">
        <v>1075.3</v>
      </c>
      <c r="BK282" s="1007">
        <v>1208.7736030000001</v>
      </c>
      <c r="BL282" s="1007">
        <v>1315.6</v>
      </c>
      <c r="BM282" s="1005">
        <v>1565.9</v>
      </c>
      <c r="BN282">
        <v>1510.8</v>
      </c>
      <c r="BO282" s="457">
        <v>1704</v>
      </c>
      <c r="BP282" s="457">
        <v>1784</v>
      </c>
      <c r="BQ282" s="457">
        <v>1845.2</v>
      </c>
      <c r="BR282" s="457">
        <v>1970.5</v>
      </c>
      <c r="BS282" s="25">
        <v>2083.6999999999998</v>
      </c>
      <c r="BT282" s="25">
        <f t="shared" ref="BR282:BT286" si="198">BS282</f>
        <v>2083.6999999999998</v>
      </c>
      <c r="BU282" s="40">
        <f t="shared" si="163"/>
        <v>2083.6999999999998</v>
      </c>
      <c r="BV282" s="40">
        <f t="shared" ref="BV282:CD282" si="199">BU282</f>
        <v>2083.6999999999998</v>
      </c>
      <c r="BW282" s="40">
        <f t="shared" si="199"/>
        <v>2083.6999999999998</v>
      </c>
      <c r="BX282" s="40">
        <f t="shared" si="199"/>
        <v>2083.6999999999998</v>
      </c>
      <c r="BY282" s="40">
        <f t="shared" si="199"/>
        <v>2083.6999999999998</v>
      </c>
      <c r="BZ282" s="40">
        <f t="shared" si="199"/>
        <v>2083.6999999999998</v>
      </c>
      <c r="CA282" s="40">
        <f t="shared" si="199"/>
        <v>2083.6999999999998</v>
      </c>
      <c r="CB282" s="40">
        <f t="shared" si="199"/>
        <v>2083.6999999999998</v>
      </c>
      <c r="CC282" s="40">
        <f t="shared" si="199"/>
        <v>2083.6999999999998</v>
      </c>
      <c r="CD282" s="40">
        <f t="shared" si="199"/>
        <v>2083.6999999999998</v>
      </c>
      <c r="CE282" s="649"/>
      <c r="CF282" s="649"/>
      <c r="CG282" s="649"/>
      <c r="CM282" s="651">
        <f>13/12*1181.41</f>
        <v>1279.8608333333334</v>
      </c>
      <c r="CO282" s="195">
        <v>967.6</v>
      </c>
      <c r="CP282" s="195">
        <v>1015.950692</v>
      </c>
      <c r="CQ282" s="25">
        <v>1112.651384</v>
      </c>
      <c r="CR282" s="25">
        <v>1161.0013839999999</v>
      </c>
      <c r="CS282" s="25">
        <v>1215.5684490479998</v>
      </c>
      <c r="CT282" s="25">
        <v>1272.7001661532556</v>
      </c>
      <c r="CU282" s="25">
        <v>1332.5170739624587</v>
      </c>
      <c r="DE282" s="195">
        <v>967.6</v>
      </c>
      <c r="DF282" s="195">
        <v>1015.950692</v>
      </c>
      <c r="DG282" s="25">
        <v>1112.6520760000001</v>
      </c>
      <c r="DH282" s="25">
        <v>1161.002076</v>
      </c>
      <c r="DI282" s="25">
        <v>1215.569173572</v>
      </c>
      <c r="DJ282" s="25">
        <v>1272.7009247298838</v>
      </c>
      <c r="DK282" s="25">
        <v>1332.5178681921882</v>
      </c>
    </row>
    <row r="283" spans="1:115" s="25" customFormat="1">
      <c r="A283" s="900" t="s">
        <v>3916</v>
      </c>
      <c r="B283" s="647" t="s">
        <v>3137</v>
      </c>
      <c r="C283" s="648"/>
      <c r="D283" s="648"/>
      <c r="E283" s="648"/>
      <c r="F283" s="648"/>
      <c r="G283" s="648"/>
      <c r="H283" s="648"/>
      <c r="I283" s="648"/>
      <c r="J283" s="648"/>
      <c r="K283" s="648"/>
      <c r="L283" s="648"/>
      <c r="M283" s="648"/>
      <c r="N283" s="648"/>
      <c r="O283" s="648"/>
      <c r="P283" s="648"/>
      <c r="Q283" s="648"/>
      <c r="R283" s="648"/>
      <c r="S283" s="648"/>
      <c r="T283" s="648"/>
      <c r="U283" s="648"/>
      <c r="V283" s="648"/>
      <c r="W283" s="648"/>
      <c r="X283" s="648"/>
      <c r="Y283" s="648"/>
      <c r="Z283" s="648"/>
      <c r="AA283" s="648"/>
      <c r="AB283" s="648"/>
      <c r="AC283" s="648"/>
      <c r="AD283" s="648"/>
      <c r="AE283" s="648"/>
      <c r="AF283" s="648"/>
      <c r="AG283" s="648"/>
      <c r="AH283" s="648"/>
      <c r="AI283" s="648"/>
      <c r="AJ283" s="648"/>
      <c r="AK283" s="648"/>
      <c r="AL283" s="648"/>
      <c r="AM283" s="648"/>
      <c r="AN283" s="648"/>
      <c r="AO283" s="648"/>
      <c r="AP283" s="648"/>
      <c r="AQ283" s="648"/>
      <c r="AR283" s="648"/>
      <c r="AS283" s="648"/>
      <c r="AT283" s="648"/>
      <c r="AU283" s="648"/>
      <c r="AV283" s="648">
        <v>22.678999999999998</v>
      </c>
      <c r="AW283" s="648">
        <v>35.524000000000001</v>
      </c>
      <c r="AX283" s="648">
        <v>52.554000000000002</v>
      </c>
      <c r="AY283" s="648">
        <v>104.47799999999999</v>
      </c>
      <c r="AZ283" s="648">
        <v>79.057000000000002</v>
      </c>
      <c r="BA283" s="648">
        <v>130056.92200000001</v>
      </c>
      <c r="BB283" s="648">
        <v>112919.86900000001</v>
      </c>
      <c r="BC283" s="648">
        <v>102153.913</v>
      </c>
      <c r="BD283" s="648">
        <v>219.34438800000001</v>
      </c>
      <c r="BE283" s="648">
        <v>304.638216</v>
      </c>
      <c r="BF283" s="648">
        <v>416.7</v>
      </c>
      <c r="BG283" s="648">
        <v>480.76554299999998</v>
      </c>
      <c r="BH283" s="464">
        <v>488.00600400000002</v>
      </c>
      <c r="BI283" s="447">
        <v>652.25011700000005</v>
      </c>
      <c r="BJ283" s="1007">
        <v>688.6</v>
      </c>
      <c r="BK283" s="1007">
        <v>733.9</v>
      </c>
      <c r="BL283" s="1007">
        <v>1246.4000000000001</v>
      </c>
      <c r="BM283" s="1005">
        <v>1135.7</v>
      </c>
      <c r="BN283" s="289">
        <v>1024.3</v>
      </c>
      <c r="BO283" s="307">
        <v>1129.4000000000001</v>
      </c>
      <c r="BP283" s="307">
        <v>856</v>
      </c>
      <c r="BQ283" s="307">
        <v>1025.5</v>
      </c>
      <c r="BR283" s="307">
        <v>1099.8</v>
      </c>
      <c r="BS283" s="25">
        <v>1165.2</v>
      </c>
      <c r="BT283" s="25">
        <f t="shared" si="198"/>
        <v>1165.2</v>
      </c>
      <c r="BU283" s="40">
        <f t="shared" si="163"/>
        <v>1165.2</v>
      </c>
      <c r="BV283" s="40">
        <f t="shared" ref="BV283:CD283" si="200">BU283</f>
        <v>1165.2</v>
      </c>
      <c r="BW283" s="40">
        <f t="shared" si="200"/>
        <v>1165.2</v>
      </c>
      <c r="BX283" s="40">
        <f t="shared" si="200"/>
        <v>1165.2</v>
      </c>
      <c r="BY283" s="40">
        <f t="shared" si="200"/>
        <v>1165.2</v>
      </c>
      <c r="BZ283" s="40">
        <f t="shared" si="200"/>
        <v>1165.2</v>
      </c>
      <c r="CA283" s="40">
        <f t="shared" si="200"/>
        <v>1165.2</v>
      </c>
      <c r="CB283" s="40">
        <f t="shared" si="200"/>
        <v>1165.2</v>
      </c>
      <c r="CC283" s="40">
        <f t="shared" si="200"/>
        <v>1165.2</v>
      </c>
      <c r="CD283" s="40">
        <f t="shared" si="200"/>
        <v>1165.2</v>
      </c>
      <c r="CE283" s="457"/>
      <c r="CF283" s="457"/>
      <c r="CG283" s="457"/>
      <c r="CM283" s="458">
        <v>960.7</v>
      </c>
    </row>
    <row r="284" spans="1:115" s="25" customFormat="1">
      <c r="A284" s="900" t="s">
        <v>3921</v>
      </c>
      <c r="B284" s="647" t="s">
        <v>2811</v>
      </c>
      <c r="C284" s="647"/>
      <c r="D284" s="647"/>
      <c r="E284" s="647"/>
      <c r="F284" s="647"/>
      <c r="G284" s="647"/>
      <c r="H284" s="647"/>
      <c r="I284" s="647"/>
      <c r="J284" s="647"/>
      <c r="K284" s="647"/>
      <c r="L284" s="647"/>
      <c r="M284" s="647"/>
      <c r="N284" s="647"/>
      <c r="O284" s="647"/>
      <c r="P284" s="647"/>
      <c r="Q284" s="647"/>
      <c r="R284" s="647"/>
      <c r="S284" s="647"/>
      <c r="T284" s="647"/>
      <c r="U284" s="647"/>
      <c r="V284" s="647"/>
      <c r="W284" s="647"/>
      <c r="X284" s="647"/>
      <c r="Y284" s="647"/>
      <c r="Z284" s="647"/>
      <c r="AA284" s="647"/>
      <c r="AB284" s="647"/>
      <c r="AC284" s="647"/>
      <c r="AD284" s="647"/>
      <c r="AE284" s="647"/>
      <c r="AF284" s="647"/>
      <c r="AG284" s="647"/>
      <c r="AH284" s="647"/>
      <c r="AI284" s="647"/>
      <c r="AJ284" s="647"/>
      <c r="AK284" s="647"/>
      <c r="AL284" s="647"/>
      <c r="AM284" s="647"/>
      <c r="AN284" s="647"/>
      <c r="AO284" s="647"/>
      <c r="AP284" s="647"/>
      <c r="AQ284" s="647"/>
      <c r="AR284" s="647"/>
      <c r="AS284" s="647"/>
      <c r="AT284" s="647"/>
      <c r="AU284" s="647"/>
      <c r="AV284" s="648">
        <f>AV332</f>
        <v>35.007000000000005</v>
      </c>
      <c r="AW284" s="648">
        <f t="shared" ref="AW284:BJ284" si="201">AW332</f>
        <v>23.301000000000002</v>
      </c>
      <c r="AX284" s="648">
        <f t="shared" si="201"/>
        <v>46.06</v>
      </c>
      <c r="AY284" s="648">
        <f t="shared" si="201"/>
        <v>44.605999999999995</v>
      </c>
      <c r="AZ284" s="648">
        <f t="shared" si="201"/>
        <v>71.513000000000005</v>
      </c>
      <c r="BA284" s="648">
        <f t="shared" si="201"/>
        <v>133326.94399999999</v>
      </c>
      <c r="BB284" s="648">
        <f t="shared" si="201"/>
        <v>161976.07800000001</v>
      </c>
      <c r="BC284" s="648">
        <f t="shared" si="201"/>
        <v>197991.204</v>
      </c>
      <c r="BD284" s="648">
        <f t="shared" si="201"/>
        <v>260.59325200000001</v>
      </c>
      <c r="BE284" s="648">
        <f t="shared" si="201"/>
        <v>293.30445900000001</v>
      </c>
      <c r="BF284" s="648">
        <f t="shared" si="201"/>
        <v>338.6</v>
      </c>
      <c r="BG284" s="648">
        <f t="shared" si="201"/>
        <v>391.74811</v>
      </c>
      <c r="BH284" s="648">
        <f t="shared" si="201"/>
        <v>435.58792999999997</v>
      </c>
      <c r="BI284" s="1008">
        <f t="shared" si="201"/>
        <v>499.92507599999999</v>
      </c>
      <c r="BJ284" s="1008">
        <f t="shared" si="201"/>
        <v>535.20000000000005</v>
      </c>
      <c r="BK284" s="1008">
        <f t="shared" ref="BK284:BS284" si="202">BK332</f>
        <v>771.7</v>
      </c>
      <c r="BL284" s="1008">
        <f t="shared" si="202"/>
        <v>978.6</v>
      </c>
      <c r="BM284" s="1006">
        <f t="shared" si="202"/>
        <v>1038.5999999999999</v>
      </c>
      <c r="BN284" s="25">
        <f t="shared" si="202"/>
        <v>978</v>
      </c>
      <c r="BO284" s="25">
        <f t="shared" si="202"/>
        <v>1167.5</v>
      </c>
      <c r="BP284" s="25">
        <f t="shared" si="202"/>
        <v>1298.3</v>
      </c>
      <c r="BQ284" s="25">
        <f t="shared" si="202"/>
        <v>1403.8</v>
      </c>
      <c r="BR284" s="25">
        <f t="shared" si="202"/>
        <v>1505.6</v>
      </c>
      <c r="BS284" s="25">
        <f t="shared" si="202"/>
        <v>1595.1</v>
      </c>
      <c r="BT284" s="25">
        <f t="shared" si="198"/>
        <v>1595.1</v>
      </c>
      <c r="BU284" s="40">
        <f t="shared" si="163"/>
        <v>1595.1</v>
      </c>
      <c r="BV284" s="40">
        <f t="shared" ref="BV284:CD284" si="203">BU284</f>
        <v>1595.1</v>
      </c>
      <c r="BW284" s="40">
        <f t="shared" si="203"/>
        <v>1595.1</v>
      </c>
      <c r="BX284" s="40">
        <f t="shared" si="203"/>
        <v>1595.1</v>
      </c>
      <c r="BY284" s="40">
        <f t="shared" si="203"/>
        <v>1595.1</v>
      </c>
      <c r="BZ284" s="40">
        <f t="shared" si="203"/>
        <v>1595.1</v>
      </c>
      <c r="CA284" s="40">
        <f t="shared" si="203"/>
        <v>1595.1</v>
      </c>
      <c r="CB284" s="40">
        <f t="shared" si="203"/>
        <v>1595.1</v>
      </c>
      <c r="CC284" s="40">
        <f t="shared" si="203"/>
        <v>1595.1</v>
      </c>
      <c r="CD284" s="40">
        <f t="shared" si="203"/>
        <v>1595.1</v>
      </c>
      <c r="CE284" s="468"/>
      <c r="CF284" s="468"/>
      <c r="CG284" s="468"/>
      <c r="CM284" s="468">
        <f>CM332</f>
        <v>931.07682424242421</v>
      </c>
    </row>
    <row r="285" spans="1:115" s="25" customFormat="1">
      <c r="A285" s="900" t="s">
        <v>3923</v>
      </c>
      <c r="B285" s="647" t="s">
        <v>1382</v>
      </c>
      <c r="C285" s="647"/>
      <c r="D285" s="647"/>
      <c r="E285" s="647"/>
      <c r="F285" s="647"/>
      <c r="G285" s="647"/>
      <c r="H285" s="647"/>
      <c r="I285" s="647"/>
      <c r="J285" s="647"/>
      <c r="K285" s="647"/>
      <c r="L285" s="647"/>
      <c r="M285" s="647"/>
      <c r="N285" s="647"/>
      <c r="O285" s="647"/>
      <c r="P285" s="647"/>
      <c r="Q285" s="647"/>
      <c r="R285" s="647"/>
      <c r="S285" s="647"/>
      <c r="T285" s="647"/>
      <c r="U285" s="647"/>
      <c r="V285" s="647"/>
      <c r="W285" s="647"/>
      <c r="X285" s="647"/>
      <c r="Y285" s="647"/>
      <c r="Z285" s="647"/>
      <c r="AA285" s="647"/>
      <c r="AB285" s="647"/>
      <c r="AC285" s="647"/>
      <c r="AD285" s="647"/>
      <c r="AE285" s="647"/>
      <c r="AF285" s="647"/>
      <c r="AG285" s="647"/>
      <c r="AH285" s="647"/>
      <c r="AI285" s="647"/>
      <c r="AJ285" s="647"/>
      <c r="AK285" s="647"/>
      <c r="AL285" s="647"/>
      <c r="AM285" s="647"/>
      <c r="AN285" s="647"/>
      <c r="AO285" s="647"/>
      <c r="AP285" s="647"/>
      <c r="AQ285" s="647"/>
      <c r="AR285" s="647"/>
      <c r="AS285" s="647"/>
      <c r="AT285" s="647"/>
      <c r="AU285" s="647"/>
      <c r="AV285" s="648">
        <f t="shared" ref="AV285:BE285" si="204">AV337</f>
        <v>0.1477</v>
      </c>
      <c r="AW285" s="648">
        <f t="shared" si="204"/>
        <v>0.1351</v>
      </c>
      <c r="AX285" s="648">
        <f t="shared" si="204"/>
        <v>0.12429999999999999</v>
      </c>
      <c r="AY285" s="648">
        <f t="shared" si="204"/>
        <v>1.9</v>
      </c>
      <c r="AZ285" s="648">
        <f t="shared" si="204"/>
        <v>1.2</v>
      </c>
      <c r="BA285" s="648">
        <f t="shared" si="204"/>
        <v>33084.108999999997</v>
      </c>
      <c r="BB285" s="648">
        <f t="shared" si="204"/>
        <v>59691.717999999993</v>
      </c>
      <c r="BC285" s="648">
        <f t="shared" si="204"/>
        <v>65984.521000000008</v>
      </c>
      <c r="BD285" s="648">
        <f t="shared" si="204"/>
        <v>68.199097999999992</v>
      </c>
      <c r="BE285" s="648">
        <f t="shared" si="204"/>
        <v>94.246509360000005</v>
      </c>
      <c r="BF285" s="648">
        <v>108.4</v>
      </c>
      <c r="BG285" s="648">
        <v>97.2</v>
      </c>
      <c r="BH285" s="648">
        <v>61.6</v>
      </c>
      <c r="BI285" s="1008">
        <v>133.30000000000001</v>
      </c>
      <c r="BJ285" s="1008">
        <v>103.6</v>
      </c>
      <c r="BK285" s="1009">
        <v>139.80000000000001</v>
      </c>
      <c r="BL285" s="1009">
        <v>140.6</v>
      </c>
      <c r="BM285" s="1006">
        <v>232.2</v>
      </c>
      <c r="BN285">
        <v>158.4</v>
      </c>
      <c r="BO285" s="457">
        <v>280.8</v>
      </c>
      <c r="BP285" s="307">
        <v>327.7</v>
      </c>
      <c r="BQ285" s="307">
        <v>311.3</v>
      </c>
      <c r="BR285" s="307">
        <v>353.1</v>
      </c>
      <c r="BS285" s="25">
        <v>409.8</v>
      </c>
      <c r="BT285" s="25">
        <f t="shared" si="198"/>
        <v>409.8</v>
      </c>
      <c r="BU285" s="40">
        <f t="shared" si="163"/>
        <v>409.8</v>
      </c>
      <c r="BV285" s="40">
        <f t="shared" ref="BV285:CD285" si="205">BU285</f>
        <v>409.8</v>
      </c>
      <c r="BW285" s="40">
        <f t="shared" si="205"/>
        <v>409.8</v>
      </c>
      <c r="BX285" s="40">
        <f t="shared" si="205"/>
        <v>409.8</v>
      </c>
      <c r="BY285" s="40">
        <f t="shared" si="205"/>
        <v>409.8</v>
      </c>
      <c r="BZ285" s="40">
        <f t="shared" si="205"/>
        <v>409.8</v>
      </c>
      <c r="CA285" s="40">
        <f t="shared" si="205"/>
        <v>409.8</v>
      </c>
      <c r="CB285" s="40">
        <f t="shared" si="205"/>
        <v>409.8</v>
      </c>
      <c r="CC285" s="40">
        <f t="shared" si="205"/>
        <v>409.8</v>
      </c>
      <c r="CD285" s="40">
        <f t="shared" si="205"/>
        <v>409.8</v>
      </c>
      <c r="CE285" s="652"/>
      <c r="CF285" s="652"/>
      <c r="CG285" s="652"/>
      <c r="CM285" s="652">
        <v>157.30000000000001</v>
      </c>
    </row>
    <row r="286" spans="1:115" s="25" customFormat="1">
      <c r="A286" s="902" t="s">
        <v>1138</v>
      </c>
      <c r="B286" s="653" t="s">
        <v>4063</v>
      </c>
      <c r="C286" s="647"/>
      <c r="D286" s="647"/>
      <c r="E286" s="647"/>
      <c r="F286" s="647"/>
      <c r="G286" s="647"/>
      <c r="H286" s="647"/>
      <c r="I286" s="647"/>
      <c r="J286" s="647"/>
      <c r="K286" s="647"/>
      <c r="L286" s="647"/>
      <c r="M286" s="647"/>
      <c r="N286" s="647"/>
      <c r="O286" s="647"/>
      <c r="P286" s="647"/>
      <c r="Q286" s="647"/>
      <c r="R286" s="647"/>
      <c r="S286" s="647"/>
      <c r="T286" s="647"/>
      <c r="U286" s="647"/>
      <c r="V286" s="647"/>
      <c r="W286" s="647"/>
      <c r="X286" s="647"/>
      <c r="Y286" s="647"/>
      <c r="Z286" s="647"/>
      <c r="AA286" s="647"/>
      <c r="AB286" s="647"/>
      <c r="AC286" s="647"/>
      <c r="AD286" s="647"/>
      <c r="AE286" s="647"/>
      <c r="AF286" s="647"/>
      <c r="AG286" s="647"/>
      <c r="AH286" s="647"/>
      <c r="AI286" s="647"/>
      <c r="AJ286" s="647"/>
      <c r="AK286" s="647"/>
      <c r="AL286" s="647"/>
      <c r="AM286" s="647"/>
      <c r="AN286" s="647"/>
      <c r="AO286" s="647"/>
      <c r="AP286" s="647"/>
      <c r="AQ286" s="647"/>
      <c r="AR286" s="647"/>
      <c r="AS286" s="647"/>
      <c r="AT286" s="647"/>
      <c r="AU286" s="647"/>
      <c r="AV286" s="648"/>
      <c r="AW286" s="648"/>
      <c r="AX286" s="648"/>
      <c r="AY286" s="648"/>
      <c r="AZ286" s="648"/>
      <c r="BA286" s="648"/>
      <c r="BB286" s="648"/>
      <c r="BC286" s="648"/>
      <c r="BD286" s="648"/>
      <c r="BE286" s="648"/>
      <c r="BF286" s="648">
        <v>117.6</v>
      </c>
      <c r="BG286" s="648">
        <v>108.5</v>
      </c>
      <c r="BH286" s="648">
        <v>11.4</v>
      </c>
      <c r="BI286" s="1008">
        <v>-307.60000000000002</v>
      </c>
      <c r="BJ286" s="1009">
        <v>43.4</v>
      </c>
      <c r="BK286" s="1009">
        <v>-271.10000000000002</v>
      </c>
      <c r="BL286" s="1010">
        <v>-59</v>
      </c>
      <c r="BM286" s="1011">
        <v>-259.10000000000002</v>
      </c>
      <c r="BN286" s="288">
        <v>-147.5</v>
      </c>
      <c r="BO286" s="458">
        <v>0</v>
      </c>
      <c r="BP286" s="458">
        <v>0</v>
      </c>
      <c r="BQ286" s="458">
        <v>0</v>
      </c>
      <c r="BR286" s="25">
        <f t="shared" si="198"/>
        <v>0</v>
      </c>
      <c r="BS286" s="25">
        <f t="shared" si="198"/>
        <v>0</v>
      </c>
      <c r="BT286" s="25">
        <f t="shared" si="198"/>
        <v>0</v>
      </c>
      <c r="BU286" s="40">
        <f t="shared" si="163"/>
        <v>0</v>
      </c>
      <c r="BV286" s="40">
        <f t="shared" ref="BV286:CD286" si="206">BU286</f>
        <v>0</v>
      </c>
      <c r="BW286" s="40">
        <f t="shared" si="206"/>
        <v>0</v>
      </c>
      <c r="BX286" s="40">
        <f t="shared" si="206"/>
        <v>0</v>
      </c>
      <c r="BY286" s="40">
        <f t="shared" si="206"/>
        <v>0</v>
      </c>
      <c r="BZ286" s="40">
        <f t="shared" si="206"/>
        <v>0</v>
      </c>
      <c r="CA286" s="40">
        <f t="shared" si="206"/>
        <v>0</v>
      </c>
      <c r="CB286" s="40">
        <f t="shared" si="206"/>
        <v>0</v>
      </c>
      <c r="CC286" s="40">
        <f t="shared" si="206"/>
        <v>0</v>
      </c>
      <c r="CD286" s="40">
        <f t="shared" si="206"/>
        <v>0</v>
      </c>
      <c r="CE286" s="652"/>
      <c r="CF286" s="652"/>
      <c r="CG286" s="652"/>
      <c r="CH286" s="195">
        <v>0</v>
      </c>
      <c r="CI286" s="25">
        <v>36</v>
      </c>
      <c r="CJ286" s="25">
        <v>29</v>
      </c>
      <c r="CK286" s="25">
        <v>28</v>
      </c>
      <c r="CL286" s="25">
        <v>175</v>
      </c>
      <c r="CM286" s="652"/>
      <c r="CO286" s="195">
        <v>0</v>
      </c>
      <c r="CP286" s="195">
        <v>0</v>
      </c>
      <c r="CQ286" s="25">
        <v>16</v>
      </c>
      <c r="CR286" s="25">
        <v>6</v>
      </c>
      <c r="CS286" s="25">
        <v>28</v>
      </c>
      <c r="CT286" s="25">
        <v>174</v>
      </c>
      <c r="CU286" s="25">
        <v>7</v>
      </c>
      <c r="CW286" s="195">
        <v>0</v>
      </c>
      <c r="CX286" s="195">
        <v>0</v>
      </c>
      <c r="CY286" s="25">
        <v>0</v>
      </c>
      <c r="CZ286" s="25">
        <v>0</v>
      </c>
      <c r="DA286" s="25">
        <v>0</v>
      </c>
      <c r="DB286" s="25">
        <v>0</v>
      </c>
      <c r="DC286" s="25">
        <v>42</v>
      </c>
      <c r="DE286" s="195"/>
      <c r="DF286" s="195"/>
      <c r="DG286" s="25">
        <v>0</v>
      </c>
      <c r="DH286" s="25">
        <v>0</v>
      </c>
      <c r="DI286" s="25">
        <v>0</v>
      </c>
      <c r="DJ286" s="25">
        <v>0</v>
      </c>
      <c r="DK286" s="25">
        <v>24</v>
      </c>
    </row>
    <row r="287" spans="1:115" s="25" customFormat="1">
      <c r="A287" s="980" t="s">
        <v>3918</v>
      </c>
      <c r="B287" s="647" t="s">
        <v>4587</v>
      </c>
      <c r="C287" s="648"/>
      <c r="D287" s="648"/>
      <c r="E287" s="648"/>
      <c r="F287" s="648"/>
      <c r="G287" s="648"/>
      <c r="H287" s="648"/>
      <c r="I287" s="648"/>
      <c r="J287" s="648"/>
      <c r="K287" s="648"/>
      <c r="L287" s="648"/>
      <c r="M287" s="648"/>
      <c r="N287" s="648"/>
      <c r="O287" s="648"/>
      <c r="P287" s="648"/>
      <c r="Q287" s="648"/>
      <c r="R287" s="648"/>
      <c r="S287" s="648"/>
      <c r="T287" s="648"/>
      <c r="U287" s="648"/>
      <c r="V287" s="648"/>
      <c r="W287" s="648"/>
      <c r="X287" s="648"/>
      <c r="Y287" s="648"/>
      <c r="Z287" s="648"/>
      <c r="AA287" s="648"/>
      <c r="AB287" s="648"/>
      <c r="AC287" s="648"/>
      <c r="AD287" s="648"/>
      <c r="AE287" s="648"/>
      <c r="AF287" s="648"/>
      <c r="AG287" s="648"/>
      <c r="AH287" s="648"/>
      <c r="AI287" s="648"/>
      <c r="AJ287" s="648"/>
      <c r="AK287" s="648"/>
      <c r="AL287" s="648"/>
      <c r="AM287" s="648"/>
      <c r="AN287" s="648"/>
      <c r="AO287" s="648"/>
      <c r="AP287" s="648"/>
      <c r="AQ287" s="648"/>
      <c r="AR287" s="648"/>
      <c r="AS287" s="648"/>
      <c r="AT287" s="648"/>
      <c r="AU287" s="648"/>
      <c r="AV287" s="648">
        <v>8.4079999999999995</v>
      </c>
      <c r="AW287" s="648">
        <v>1.004</v>
      </c>
      <c r="AX287" s="648">
        <v>0</v>
      </c>
      <c r="AY287" s="648">
        <v>0</v>
      </c>
      <c r="AZ287" s="648">
        <v>0.26800000000000002</v>
      </c>
      <c r="BA287" s="648">
        <v>12363.529</v>
      </c>
      <c r="BB287" s="648">
        <v>4205.5</v>
      </c>
      <c r="BC287" s="648">
        <v>10156.413</v>
      </c>
      <c r="BD287" s="648">
        <v>2.4352589999999998</v>
      </c>
      <c r="BE287" s="648">
        <v>0</v>
      </c>
      <c r="BF287" s="648">
        <v>0</v>
      </c>
      <c r="BG287" s="648">
        <v>1.113318</v>
      </c>
      <c r="BH287" s="464"/>
      <c r="BI287" s="447">
        <v>0</v>
      </c>
      <c r="BJ287" s="1007">
        <v>0</v>
      </c>
      <c r="BK287" s="1007">
        <v>0</v>
      </c>
      <c r="BL287" s="1007">
        <v>0</v>
      </c>
      <c r="BM287" s="1011">
        <v>0</v>
      </c>
      <c r="BN287" s="942"/>
      <c r="BO287" s="458"/>
      <c r="BU287" s="40">
        <f t="shared" si="163"/>
        <v>0</v>
      </c>
      <c r="BV287" s="40">
        <f t="shared" ref="BV287:CD287" si="207">BU287</f>
        <v>0</v>
      </c>
      <c r="BW287" s="40">
        <f t="shared" si="207"/>
        <v>0</v>
      </c>
      <c r="BX287" s="40">
        <f t="shared" si="207"/>
        <v>0</v>
      </c>
      <c r="BY287" s="40">
        <f t="shared" si="207"/>
        <v>0</v>
      </c>
      <c r="BZ287" s="40">
        <f t="shared" si="207"/>
        <v>0</v>
      </c>
      <c r="CA287" s="40">
        <f t="shared" si="207"/>
        <v>0</v>
      </c>
      <c r="CB287" s="40">
        <f t="shared" si="207"/>
        <v>0</v>
      </c>
      <c r="CC287" s="40">
        <f t="shared" si="207"/>
        <v>0</v>
      </c>
      <c r="CD287" s="40">
        <f t="shared" si="207"/>
        <v>0</v>
      </c>
      <c r="CE287" s="457"/>
      <c r="CF287" s="457"/>
      <c r="CG287" s="457"/>
      <c r="CM287" s="457">
        <v>0</v>
      </c>
    </row>
    <row r="288" spans="1:115" s="238" customFormat="1">
      <c r="A288" s="899" t="s">
        <v>3922</v>
      </c>
      <c r="B288" s="642" t="s">
        <v>1374</v>
      </c>
      <c r="C288" s="642"/>
      <c r="D288" s="642"/>
      <c r="E288" s="642"/>
      <c r="F288" s="642"/>
      <c r="G288" s="642"/>
      <c r="H288" s="642"/>
      <c r="I288" s="642"/>
      <c r="J288" s="642"/>
      <c r="K288" s="642"/>
      <c r="L288" s="642"/>
      <c r="M288" s="642"/>
      <c r="N288" s="642"/>
      <c r="O288" s="642"/>
      <c r="P288" s="642"/>
      <c r="Q288" s="642"/>
      <c r="R288" s="642"/>
      <c r="S288" s="642"/>
      <c r="T288" s="642"/>
      <c r="U288" s="642"/>
      <c r="V288" s="642"/>
      <c r="W288" s="642"/>
      <c r="X288" s="642"/>
      <c r="Y288" s="642"/>
      <c r="Z288" s="642"/>
      <c r="AA288" s="642"/>
      <c r="AB288" s="642"/>
      <c r="AC288" s="642"/>
      <c r="AD288" s="642"/>
      <c r="AE288" s="642"/>
      <c r="AF288" s="642"/>
      <c r="AG288" s="642"/>
      <c r="AH288" s="642"/>
      <c r="AI288" s="642"/>
      <c r="AJ288" s="642"/>
      <c r="AK288" s="642"/>
      <c r="AL288" s="642"/>
      <c r="AM288" s="642"/>
      <c r="AN288" s="642"/>
      <c r="AO288" s="642"/>
      <c r="AP288" s="642"/>
      <c r="AQ288" s="642"/>
      <c r="AR288" s="642"/>
      <c r="AS288" s="642"/>
      <c r="AT288" s="642"/>
      <c r="AU288" s="642"/>
      <c r="AV288" s="456">
        <f t="shared" ref="AV288:BE288" si="208">SUM(AV290:AV291)</f>
        <v>15.683999999999999</v>
      </c>
      <c r="AW288" s="456">
        <f t="shared" si="208"/>
        <v>13.651999999999999</v>
      </c>
      <c r="AX288" s="456">
        <f t="shared" si="208"/>
        <v>13.863</v>
      </c>
      <c r="AY288" s="456">
        <f t="shared" si="208"/>
        <v>43.320999999999998</v>
      </c>
      <c r="AZ288" s="456">
        <f t="shared" si="208"/>
        <v>67.760000000000005</v>
      </c>
      <c r="BA288" s="456">
        <f t="shared" si="208"/>
        <v>60467.446000000004</v>
      </c>
      <c r="BB288" s="456">
        <f t="shared" si="208"/>
        <v>73879.304000000004</v>
      </c>
      <c r="BC288" s="456">
        <f t="shared" si="208"/>
        <v>89435.176999999996</v>
      </c>
      <c r="BD288" s="456">
        <f t="shared" si="208"/>
        <v>155.37659099999999</v>
      </c>
      <c r="BE288" s="456">
        <f t="shared" si="208"/>
        <v>238.72551458000001</v>
      </c>
      <c r="BF288" s="456">
        <f>SUM(BF290:BF291)</f>
        <v>305.71251118149996</v>
      </c>
      <c r="BG288" s="456">
        <f>SUM(BG290:BG291)</f>
        <v>354.95531900000003</v>
      </c>
      <c r="BH288" s="456">
        <f>SUM(BH290:BH291)</f>
        <v>466.03774599999997</v>
      </c>
      <c r="BI288" s="456">
        <f t="shared" ref="BI288:BN288" si="209">SUM(BI289:BI291)</f>
        <v>606.4</v>
      </c>
      <c r="BJ288" s="456">
        <f t="shared" si="209"/>
        <v>552.70000000000005</v>
      </c>
      <c r="BK288" s="456">
        <f t="shared" si="209"/>
        <v>696.9</v>
      </c>
      <c r="BL288" s="456">
        <f t="shared" si="209"/>
        <v>729.4</v>
      </c>
      <c r="BM288" s="941">
        <f t="shared" si="209"/>
        <v>756</v>
      </c>
      <c r="BN288" s="941">
        <f t="shared" si="209"/>
        <v>893</v>
      </c>
      <c r="BO288" s="456">
        <f t="shared" ref="BO288:BT288" si="210">SUM(BO289:BO291)</f>
        <v>436.9</v>
      </c>
      <c r="BP288" s="456">
        <f t="shared" si="210"/>
        <v>485.8</v>
      </c>
      <c r="BQ288" s="456">
        <f t="shared" si="210"/>
        <v>825.3</v>
      </c>
      <c r="BR288" s="456">
        <f t="shared" si="210"/>
        <v>885.1</v>
      </c>
      <c r="BS288" s="456">
        <f t="shared" si="210"/>
        <v>937.7</v>
      </c>
      <c r="BT288" s="456">
        <f t="shared" si="210"/>
        <v>937.7</v>
      </c>
      <c r="BU288" s="40">
        <f t="shared" si="163"/>
        <v>937.7</v>
      </c>
      <c r="BV288" s="40">
        <f t="shared" ref="BV288:CD288" si="211">BU288</f>
        <v>937.7</v>
      </c>
      <c r="BW288" s="40">
        <f t="shared" si="211"/>
        <v>937.7</v>
      </c>
      <c r="BX288" s="40">
        <f t="shared" si="211"/>
        <v>937.7</v>
      </c>
      <c r="BY288" s="40">
        <f t="shared" si="211"/>
        <v>937.7</v>
      </c>
      <c r="BZ288" s="40">
        <f t="shared" si="211"/>
        <v>937.7</v>
      </c>
      <c r="CA288" s="40">
        <f t="shared" si="211"/>
        <v>937.7</v>
      </c>
      <c r="CB288" s="40">
        <f t="shared" si="211"/>
        <v>937.7</v>
      </c>
      <c r="CC288" s="40">
        <f t="shared" si="211"/>
        <v>937.7</v>
      </c>
      <c r="CD288" s="40">
        <f t="shared" si="211"/>
        <v>937.7</v>
      </c>
      <c r="CE288" s="456"/>
      <c r="CF288" s="456"/>
      <c r="CG288" s="456"/>
      <c r="CM288" s="456">
        <f>SUM(CM289:CM291)</f>
        <v>1014.9</v>
      </c>
    </row>
    <row r="289" spans="1:115" s="238" customFormat="1">
      <c r="A289" s="899" t="s">
        <v>4064</v>
      </c>
      <c r="B289" s="653" t="s">
        <v>4064</v>
      </c>
      <c r="C289" s="642"/>
      <c r="D289" s="642"/>
      <c r="E289" s="642"/>
      <c r="F289" s="642"/>
      <c r="G289" s="642"/>
      <c r="H289" s="642"/>
      <c r="I289" s="642"/>
      <c r="J289" s="642"/>
      <c r="K289" s="642"/>
      <c r="L289" s="642"/>
      <c r="M289" s="642"/>
      <c r="N289" s="642"/>
      <c r="O289" s="642"/>
      <c r="P289" s="642"/>
      <c r="Q289" s="642"/>
      <c r="R289" s="642"/>
      <c r="S289" s="642"/>
      <c r="T289" s="642"/>
      <c r="U289" s="642"/>
      <c r="V289" s="642"/>
      <c r="W289" s="642"/>
      <c r="X289" s="642"/>
      <c r="Y289" s="642"/>
      <c r="Z289" s="642"/>
      <c r="AA289" s="642"/>
      <c r="AB289" s="642"/>
      <c r="AC289" s="642"/>
      <c r="AD289" s="642"/>
      <c r="AE289" s="642"/>
      <c r="AF289" s="642"/>
      <c r="AG289" s="642"/>
      <c r="AH289" s="642"/>
      <c r="AI289" s="642"/>
      <c r="AJ289" s="642"/>
      <c r="AK289" s="642"/>
      <c r="AL289" s="642"/>
      <c r="AM289" s="642"/>
      <c r="AN289" s="642"/>
      <c r="AO289" s="642"/>
      <c r="AP289" s="642"/>
      <c r="AQ289" s="642"/>
      <c r="AR289" s="642"/>
      <c r="AS289" s="642"/>
      <c r="AT289" s="642"/>
      <c r="AU289" s="642"/>
      <c r="AV289" s="456"/>
      <c r="AW289" s="456"/>
      <c r="AX289" s="456"/>
      <c r="AY289" s="456"/>
      <c r="AZ289" s="456"/>
      <c r="BA289" s="456"/>
      <c r="BB289" s="456"/>
      <c r="BC289" s="456"/>
      <c r="BD289" s="456"/>
      <c r="BE289" s="456"/>
      <c r="BF289" s="456"/>
      <c r="BG289" s="456"/>
      <c r="BH289" s="456"/>
      <c r="BI289" s="456"/>
      <c r="BJ289" s="452">
        <v>0</v>
      </c>
      <c r="BK289" s="452">
        <v>0</v>
      </c>
      <c r="BL289" s="307">
        <v>0</v>
      </c>
      <c r="BM289" s="888">
        <v>0</v>
      </c>
      <c r="BN289" s="888">
        <v>0</v>
      </c>
      <c r="BO289" s="307">
        <v>0</v>
      </c>
      <c r="BP289" s="307">
        <v>0</v>
      </c>
      <c r="BQ289" s="307">
        <v>0</v>
      </c>
      <c r="BR289" s="307">
        <v>0</v>
      </c>
      <c r="BS289" s="307">
        <v>0</v>
      </c>
      <c r="BT289" s="25">
        <f>BS289</f>
        <v>0</v>
      </c>
      <c r="BU289" s="40">
        <f t="shared" si="163"/>
        <v>0</v>
      </c>
      <c r="BV289" s="40">
        <f t="shared" ref="BV289:CD289" si="212">BU289</f>
        <v>0</v>
      </c>
      <c r="BW289" s="40">
        <f t="shared" si="212"/>
        <v>0</v>
      </c>
      <c r="BX289" s="40">
        <f t="shared" si="212"/>
        <v>0</v>
      </c>
      <c r="BY289" s="40">
        <f t="shared" si="212"/>
        <v>0</v>
      </c>
      <c r="BZ289" s="40">
        <f t="shared" si="212"/>
        <v>0</v>
      </c>
      <c r="CA289" s="40">
        <f t="shared" si="212"/>
        <v>0</v>
      </c>
      <c r="CB289" s="40">
        <f t="shared" si="212"/>
        <v>0</v>
      </c>
      <c r="CC289" s="40">
        <f t="shared" si="212"/>
        <v>0</v>
      </c>
      <c r="CD289" s="40">
        <f t="shared" si="212"/>
        <v>0</v>
      </c>
      <c r="CE289" s="452"/>
      <c r="CF289" s="452"/>
      <c r="CG289" s="452"/>
      <c r="CH289" s="195">
        <v>0</v>
      </c>
      <c r="CI289" s="25">
        <v>78</v>
      </c>
      <c r="CJ289" s="25">
        <v>42.343925639586701</v>
      </c>
      <c r="CK289" s="25">
        <v>77.863676877326725</v>
      </c>
      <c r="CL289" s="25">
        <v>195.99871749010333</v>
      </c>
      <c r="CM289" s="452"/>
      <c r="CO289" s="195">
        <v>0</v>
      </c>
      <c r="CP289" s="195">
        <v>0</v>
      </c>
      <c r="CQ289" s="25">
        <v>50</v>
      </c>
      <c r="CR289" s="25">
        <v>12.609885639586651</v>
      </c>
      <c r="CS289" s="25">
        <v>22.104451412926664</v>
      </c>
      <c r="CT289" s="25">
        <v>139.64392216259546</v>
      </c>
      <c r="CU289" s="25">
        <v>31.202919501849237</v>
      </c>
      <c r="CW289" s="195">
        <v>0</v>
      </c>
      <c r="CX289" s="195">
        <v>0</v>
      </c>
      <c r="CY289" s="25">
        <v>0</v>
      </c>
      <c r="CZ289" s="25">
        <v>-0.48661436041334127</v>
      </c>
      <c r="DA289" s="25">
        <v>39.115948797926762</v>
      </c>
      <c r="DB289" s="25">
        <v>43.837121052314501</v>
      </c>
      <c r="DC289" s="25">
        <v>57.372796368229274</v>
      </c>
      <c r="DE289" s="195"/>
      <c r="DF289" s="195"/>
      <c r="DG289" s="25">
        <v>0</v>
      </c>
      <c r="DH289" s="25">
        <v>-0.48661436041334127</v>
      </c>
      <c r="DI289" s="25">
        <v>39.115948797926762</v>
      </c>
      <c r="DJ289" s="25">
        <v>43.837121052314501</v>
      </c>
      <c r="DK289" s="25">
        <v>14.372796368229274</v>
      </c>
    </row>
    <row r="290" spans="1:115" s="25" customFormat="1">
      <c r="A290" s="899" t="s">
        <v>3232</v>
      </c>
      <c r="B290" s="647" t="s">
        <v>1920</v>
      </c>
      <c r="C290" s="648"/>
      <c r="D290" s="648"/>
      <c r="E290" s="648"/>
      <c r="F290" s="648"/>
      <c r="G290" s="648"/>
      <c r="H290" s="648"/>
      <c r="I290" s="648"/>
      <c r="J290" s="648"/>
      <c r="K290" s="648"/>
      <c r="L290" s="648"/>
      <c r="M290" s="648"/>
      <c r="N290" s="648"/>
      <c r="O290" s="648"/>
      <c r="P290" s="648"/>
      <c r="Q290" s="648"/>
      <c r="R290" s="648"/>
      <c r="S290" s="648"/>
      <c r="T290" s="648"/>
      <c r="U290" s="648"/>
      <c r="V290" s="648"/>
      <c r="W290" s="648"/>
      <c r="X290" s="648"/>
      <c r="Y290" s="648"/>
      <c r="Z290" s="648"/>
      <c r="AA290" s="648"/>
      <c r="AB290" s="648"/>
      <c r="AC290" s="648"/>
      <c r="AD290" s="648"/>
      <c r="AE290" s="648"/>
      <c r="AF290" s="648"/>
      <c r="AG290" s="648"/>
      <c r="AH290" s="648"/>
      <c r="AI290" s="648"/>
      <c r="AJ290" s="648"/>
      <c r="AK290" s="648"/>
      <c r="AL290" s="648"/>
      <c r="AM290" s="648"/>
      <c r="AN290" s="648"/>
      <c r="AO290" s="648"/>
      <c r="AP290" s="648"/>
      <c r="AQ290" s="648"/>
      <c r="AR290" s="648"/>
      <c r="AS290" s="648"/>
      <c r="AT290" s="648"/>
      <c r="AU290" s="648"/>
      <c r="AV290" s="648">
        <v>15.683999999999999</v>
      </c>
      <c r="AW290" s="648">
        <v>13.651999999999999</v>
      </c>
      <c r="AX290" s="648">
        <v>13.863</v>
      </c>
      <c r="AY290" s="648">
        <v>43.320999999999998</v>
      </c>
      <c r="AZ290" s="648">
        <v>67.760000000000005</v>
      </c>
      <c r="BA290" s="648">
        <v>33067.446000000004</v>
      </c>
      <c r="BB290" s="648">
        <v>43881.303999999996</v>
      </c>
      <c r="BC290" s="648">
        <v>43576.006000000001</v>
      </c>
      <c r="BD290" s="648">
        <v>97.209402999999995</v>
      </c>
      <c r="BE290" s="648">
        <v>152.682849</v>
      </c>
      <c r="BF290" s="648">
        <v>145.98251099999999</v>
      </c>
      <c r="BG290" s="648">
        <v>197.85423399999999</v>
      </c>
      <c r="BH290" s="464">
        <f>222.452749</f>
        <v>222.45274900000001</v>
      </c>
      <c r="BI290" s="447">
        <v>391.62951299999997</v>
      </c>
      <c r="BJ290" s="1007">
        <v>552.70000000000005</v>
      </c>
      <c r="BK290" s="1007">
        <v>696.9</v>
      </c>
      <c r="BL290" s="1007">
        <v>729.4</v>
      </c>
      <c r="BM290" s="1006">
        <v>756</v>
      </c>
      <c r="BN290" s="288">
        <v>893</v>
      </c>
      <c r="BO290" s="654">
        <v>436.9</v>
      </c>
      <c r="BP290" s="654">
        <v>485.8</v>
      </c>
      <c r="BQ290" s="654">
        <v>825.3</v>
      </c>
      <c r="BR290" s="25">
        <v>885.1</v>
      </c>
      <c r="BS290" s="25">
        <v>937.7</v>
      </c>
      <c r="BT290" s="25">
        <f>BS290</f>
        <v>937.7</v>
      </c>
      <c r="BU290" s="40">
        <f t="shared" si="163"/>
        <v>937.7</v>
      </c>
      <c r="BV290" s="40">
        <f t="shared" ref="BV290:CD290" si="213">BU290</f>
        <v>937.7</v>
      </c>
      <c r="BW290" s="40">
        <f t="shared" si="213"/>
        <v>937.7</v>
      </c>
      <c r="BX290" s="40">
        <f t="shared" si="213"/>
        <v>937.7</v>
      </c>
      <c r="BY290" s="40">
        <f t="shared" si="213"/>
        <v>937.7</v>
      </c>
      <c r="BZ290" s="40">
        <f t="shared" si="213"/>
        <v>937.7</v>
      </c>
      <c r="CA290" s="40">
        <f t="shared" si="213"/>
        <v>937.7</v>
      </c>
      <c r="CB290" s="40">
        <f t="shared" si="213"/>
        <v>937.7</v>
      </c>
      <c r="CC290" s="40">
        <f t="shared" si="213"/>
        <v>937.7</v>
      </c>
      <c r="CD290" s="40">
        <f t="shared" si="213"/>
        <v>937.7</v>
      </c>
      <c r="CE290" s="654"/>
      <c r="CF290" s="654"/>
      <c r="CG290" s="654"/>
      <c r="CM290" s="654">
        <v>941.1</v>
      </c>
    </row>
    <row r="291" spans="1:115" s="25" customFormat="1">
      <c r="A291" s="899" t="s">
        <v>1132</v>
      </c>
      <c r="B291" s="499" t="s">
        <v>1375</v>
      </c>
      <c r="C291" s="499"/>
      <c r="D291" s="499"/>
      <c r="E291" s="499"/>
      <c r="F291" s="499"/>
      <c r="G291" s="499"/>
      <c r="H291" s="499"/>
      <c r="I291" s="499"/>
      <c r="J291" s="499"/>
      <c r="K291" s="499"/>
      <c r="L291" s="499"/>
      <c r="M291" s="499"/>
      <c r="N291" s="499"/>
      <c r="O291" s="499"/>
      <c r="P291" s="499"/>
      <c r="Q291" s="499"/>
      <c r="R291" s="499"/>
      <c r="S291" s="499"/>
      <c r="T291" s="499"/>
      <c r="U291" s="499"/>
      <c r="V291" s="499"/>
      <c r="W291" s="499"/>
      <c r="X291" s="499"/>
      <c r="Y291" s="499"/>
      <c r="Z291" s="499"/>
      <c r="AA291" s="499"/>
      <c r="AB291" s="499"/>
      <c r="AC291" s="499"/>
      <c r="AD291" s="499"/>
      <c r="AE291" s="499"/>
      <c r="AF291" s="499"/>
      <c r="AG291" s="499"/>
      <c r="AH291" s="499"/>
      <c r="AI291" s="499"/>
      <c r="AJ291" s="499"/>
      <c r="AK291" s="499"/>
      <c r="AL291" s="499"/>
      <c r="AM291" s="499"/>
      <c r="AN291" s="499"/>
      <c r="AO291" s="499"/>
      <c r="AP291" s="499"/>
      <c r="AQ291" s="499"/>
      <c r="AR291" s="499"/>
      <c r="AS291" s="499"/>
      <c r="AT291" s="499"/>
      <c r="AU291" s="499"/>
      <c r="AV291" s="461"/>
      <c r="AW291" s="461"/>
      <c r="AX291" s="461"/>
      <c r="AY291" s="461"/>
      <c r="AZ291" s="461"/>
      <c r="BA291" s="461">
        <v>27400</v>
      </c>
      <c r="BB291" s="461">
        <v>29998</v>
      </c>
      <c r="BC291" s="461">
        <v>45859.171000000002</v>
      </c>
      <c r="BD291" s="461">
        <v>58.167188000000003</v>
      </c>
      <c r="BE291" s="461">
        <v>86.042665580000005</v>
      </c>
      <c r="BF291" s="461">
        <v>159.73000018149997</v>
      </c>
      <c r="BG291" s="307">
        <v>157.10108500000001</v>
      </c>
      <c r="BH291" s="307">
        <f>BH274</f>
        <v>243.58499699999999</v>
      </c>
      <c r="BI291" s="457">
        <v>214.770487</v>
      </c>
      <c r="BJ291" s="457"/>
      <c r="BK291" s="457"/>
      <c r="BL291" s="457"/>
      <c r="BM291" s="457"/>
      <c r="BN291" s="457"/>
      <c r="BO291" s="457"/>
      <c r="BP291" s="457"/>
      <c r="BQ291" s="457"/>
      <c r="BU291" s="40">
        <f t="shared" ref="BU291:BU354" si="214">BT291</f>
        <v>0</v>
      </c>
      <c r="BV291" s="40">
        <f>BU291</f>
        <v>0</v>
      </c>
      <c r="BW291" s="40">
        <f>BV291</f>
        <v>0</v>
      </c>
      <c r="BX291" s="40">
        <f t="shared" ref="BV291:CD306" si="215">BW291</f>
        <v>0</v>
      </c>
      <c r="BY291" s="40">
        <f t="shared" si="215"/>
        <v>0</v>
      </c>
      <c r="BZ291" s="40">
        <f t="shared" si="215"/>
        <v>0</v>
      </c>
      <c r="CA291" s="40">
        <f t="shared" si="215"/>
        <v>0</v>
      </c>
      <c r="CB291" s="40">
        <f t="shared" si="215"/>
        <v>0</v>
      </c>
      <c r="CC291" s="40">
        <f t="shared" si="215"/>
        <v>0</v>
      </c>
      <c r="CD291" s="40">
        <f t="shared" si="215"/>
        <v>0</v>
      </c>
      <c r="CE291" s="457"/>
      <c r="CF291" s="457"/>
      <c r="CG291" s="457"/>
      <c r="CM291" s="457">
        <f>CM274</f>
        <v>73.8</v>
      </c>
    </row>
    <row r="292" spans="1:115" s="25" customFormat="1">
      <c r="B292" s="647" t="s">
        <v>1229</v>
      </c>
      <c r="C292" s="499"/>
      <c r="D292" s="499"/>
      <c r="E292" s="499"/>
      <c r="F292" s="499"/>
      <c r="G292" s="499"/>
      <c r="H292" s="499"/>
      <c r="I292" s="499"/>
      <c r="J292" s="499"/>
      <c r="K292" s="499"/>
      <c r="L292" s="499"/>
      <c r="M292" s="499"/>
      <c r="N292" s="499"/>
      <c r="O292" s="499"/>
      <c r="P292" s="499"/>
      <c r="Q292" s="499"/>
      <c r="R292" s="499"/>
      <c r="S292" s="499"/>
      <c r="T292" s="499"/>
      <c r="U292" s="499"/>
      <c r="V292" s="499"/>
      <c r="W292" s="499"/>
      <c r="X292" s="499"/>
      <c r="Y292" s="499"/>
      <c r="Z292" s="499"/>
      <c r="AA292" s="499"/>
      <c r="AB292" s="499"/>
      <c r="AC292" s="499"/>
      <c r="AD292" s="499"/>
      <c r="AE292" s="499"/>
      <c r="AF292" s="499"/>
      <c r="AG292" s="499"/>
      <c r="AH292" s="499"/>
      <c r="AI292" s="499"/>
      <c r="AJ292" s="499"/>
      <c r="AK292" s="499"/>
      <c r="AL292" s="499"/>
      <c r="AM292" s="499"/>
      <c r="AN292" s="499"/>
      <c r="AO292" s="499"/>
      <c r="AP292" s="499"/>
      <c r="AQ292" s="499"/>
      <c r="AR292" s="499"/>
      <c r="AS292" s="499"/>
      <c r="AT292" s="499"/>
      <c r="AU292" s="499"/>
      <c r="AV292" s="461"/>
      <c r="AW292" s="461"/>
      <c r="AX292" s="461"/>
      <c r="AY292" s="461"/>
      <c r="AZ292" s="461"/>
      <c r="BA292" s="461"/>
      <c r="BB292" s="461"/>
      <c r="BC292" s="461"/>
      <c r="BD292" s="461"/>
      <c r="BE292" s="461"/>
      <c r="BF292" s="461"/>
      <c r="BG292" s="648">
        <f>BG274-BG291</f>
        <v>266.09891499999998</v>
      </c>
      <c r="BH292" s="307"/>
      <c r="BI292" s="307"/>
      <c r="BJ292" s="307"/>
      <c r="BK292" s="307"/>
      <c r="BU292" s="40">
        <f t="shared" si="214"/>
        <v>0</v>
      </c>
      <c r="BV292" s="40">
        <f t="shared" si="215"/>
        <v>0</v>
      </c>
      <c r="BW292" s="40">
        <f t="shared" si="215"/>
        <v>0</v>
      </c>
      <c r="BX292" s="40">
        <f t="shared" si="215"/>
        <v>0</v>
      </c>
      <c r="BY292" s="40">
        <f t="shared" si="215"/>
        <v>0</v>
      </c>
      <c r="BZ292" s="40">
        <f t="shared" si="215"/>
        <v>0</v>
      </c>
      <c r="CA292" s="40">
        <f t="shared" si="215"/>
        <v>0</v>
      </c>
      <c r="CB292" s="40">
        <f t="shared" si="215"/>
        <v>0</v>
      </c>
      <c r="CC292" s="40">
        <f t="shared" si="215"/>
        <v>0</v>
      </c>
      <c r="CD292" s="40">
        <f t="shared" si="215"/>
        <v>0</v>
      </c>
      <c r="CE292" s="307"/>
      <c r="CF292" s="307"/>
      <c r="CG292" s="307"/>
    </row>
    <row r="293" spans="1:115" s="238" customFormat="1">
      <c r="A293" s="903" t="s">
        <v>1140</v>
      </c>
      <c r="B293" s="642" t="s">
        <v>1376</v>
      </c>
      <c r="C293" s="642"/>
      <c r="D293" s="642"/>
      <c r="E293" s="642"/>
      <c r="F293" s="642"/>
      <c r="G293" s="642"/>
      <c r="H293" s="642"/>
      <c r="I293" s="642"/>
      <c r="J293" s="642"/>
      <c r="K293" s="642"/>
      <c r="L293" s="642"/>
      <c r="M293" s="642"/>
      <c r="N293" s="642"/>
      <c r="O293" s="642"/>
      <c r="P293" s="642"/>
      <c r="Q293" s="642"/>
      <c r="R293" s="642"/>
      <c r="S293" s="642"/>
      <c r="T293" s="642"/>
      <c r="U293" s="642"/>
      <c r="V293" s="642"/>
      <c r="W293" s="642"/>
      <c r="X293" s="642"/>
      <c r="Y293" s="642"/>
      <c r="Z293" s="642"/>
      <c r="AA293" s="642"/>
      <c r="AB293" s="642"/>
      <c r="AC293" s="642"/>
      <c r="AD293" s="642"/>
      <c r="AE293" s="642"/>
      <c r="AF293" s="642"/>
      <c r="AG293" s="642"/>
      <c r="AH293" s="642"/>
      <c r="AI293" s="642"/>
      <c r="AJ293" s="642"/>
      <c r="AK293" s="642"/>
      <c r="AL293" s="642"/>
      <c r="AM293" s="642"/>
      <c r="AN293" s="642"/>
      <c r="AO293" s="642"/>
      <c r="AP293" s="642"/>
      <c r="AQ293" s="642"/>
      <c r="AR293" s="642"/>
      <c r="AS293" s="642"/>
      <c r="AT293" s="642"/>
      <c r="AU293" s="642"/>
      <c r="AV293" s="456">
        <f t="shared" ref="AV293:BE293" si="216">AV267-AV281</f>
        <v>-87.8827</v>
      </c>
      <c r="AW293" s="456">
        <f t="shared" si="216"/>
        <v>-99.385099999999994</v>
      </c>
      <c r="AX293" s="456">
        <f t="shared" si="216"/>
        <v>-178.38830000000002</v>
      </c>
      <c r="AY293" s="456">
        <f t="shared" si="216"/>
        <v>-263.06599999999997</v>
      </c>
      <c r="AZ293" s="456">
        <f t="shared" si="216"/>
        <v>-330.35899999999998</v>
      </c>
      <c r="BA293" s="456">
        <f t="shared" si="216"/>
        <v>51346.541999999841</v>
      </c>
      <c r="BB293" s="456">
        <f t="shared" si="216"/>
        <v>-64718.739999999874</v>
      </c>
      <c r="BC293" s="456">
        <f t="shared" si="216"/>
        <v>77294.722999999882</v>
      </c>
      <c r="BD293" s="456">
        <f t="shared" si="216"/>
        <v>66.299921999999924</v>
      </c>
      <c r="BE293" s="456">
        <f t="shared" si="216"/>
        <v>121.19040064000001</v>
      </c>
      <c r="BF293" s="456">
        <f>BF267-BF281+BF286</f>
        <v>231.13465200000005</v>
      </c>
      <c r="BG293" s="456">
        <f>BG267-BG281+BG286</f>
        <v>391.08448699999985</v>
      </c>
      <c r="BH293" s="456">
        <f>BH267-BH281+BH286</f>
        <v>378.79108499999472</v>
      </c>
      <c r="BI293" s="456">
        <f>BI267-BI281+BI286</f>
        <v>29.881186999999386</v>
      </c>
      <c r="BJ293" s="456">
        <f t="shared" ref="BJ293:BQ293" si="217">BJ267-BJ281-BJ286</f>
        <v>10.909453999999734</v>
      </c>
      <c r="BK293" s="456">
        <f t="shared" si="217"/>
        <v>839.02751199999977</v>
      </c>
      <c r="BL293" s="456">
        <f t="shared" si="217"/>
        <v>402.30000000000018</v>
      </c>
      <c r="BM293" s="456">
        <f t="shared" si="217"/>
        <v>246.99992640178164</v>
      </c>
      <c r="BN293" s="456">
        <f t="shared" si="217"/>
        <v>226.9002089999999</v>
      </c>
      <c r="BO293" s="456">
        <f t="shared" si="217"/>
        <v>-936.00000400000044</v>
      </c>
      <c r="BP293" s="456">
        <f t="shared" si="217"/>
        <v>20.199996000000283</v>
      </c>
      <c r="BQ293" s="456">
        <f t="shared" si="217"/>
        <v>356.60021200000028</v>
      </c>
      <c r="BR293" s="456">
        <f>BR267-BR281-BR286</f>
        <v>418.50021200000083</v>
      </c>
      <c r="BS293" s="456">
        <f>BS267-BS281-BS286</f>
        <v>465.90021200000047</v>
      </c>
      <c r="BT293" s="456">
        <f>BT267-BT281-BT286</f>
        <v>465.90021200000047</v>
      </c>
      <c r="BU293" s="40">
        <f t="shared" si="214"/>
        <v>465.90021200000047</v>
      </c>
      <c r="BV293" s="40">
        <f t="shared" si="215"/>
        <v>465.90021200000047</v>
      </c>
      <c r="BW293" s="40">
        <f t="shared" si="215"/>
        <v>465.90021200000047</v>
      </c>
      <c r="BX293" s="40">
        <f t="shared" si="215"/>
        <v>465.90021200000047</v>
      </c>
      <c r="BY293" s="40">
        <f t="shared" si="215"/>
        <v>465.90021200000047</v>
      </c>
      <c r="BZ293" s="40">
        <f t="shared" si="215"/>
        <v>465.90021200000047</v>
      </c>
      <c r="CA293" s="40">
        <f t="shared" si="215"/>
        <v>465.90021200000047</v>
      </c>
      <c r="CB293" s="40">
        <f t="shared" si="215"/>
        <v>465.90021200000047</v>
      </c>
      <c r="CC293" s="40">
        <f t="shared" si="215"/>
        <v>465.90021200000047</v>
      </c>
      <c r="CD293" s="40">
        <f t="shared" si="215"/>
        <v>465.90021200000047</v>
      </c>
      <c r="CE293" s="456"/>
      <c r="CF293" s="456"/>
      <c r="CG293" s="456"/>
      <c r="CM293" s="456">
        <f>CM267-CM281</f>
        <v>640.78592642424337</v>
      </c>
    </row>
    <row r="294" spans="1:115" s="25" customFormat="1">
      <c r="A294" s="898"/>
      <c r="B294" s="499" t="s">
        <v>4669</v>
      </c>
      <c r="C294" s="499"/>
      <c r="D294" s="499"/>
      <c r="E294" s="499"/>
      <c r="F294" s="499"/>
      <c r="G294" s="499"/>
      <c r="H294" s="499"/>
      <c r="I294" s="499"/>
      <c r="J294" s="499"/>
      <c r="K294" s="499"/>
      <c r="L294" s="499"/>
      <c r="M294" s="499"/>
      <c r="N294" s="499"/>
      <c r="O294" s="499"/>
      <c r="P294" s="499"/>
      <c r="Q294" s="499"/>
      <c r="R294" s="499"/>
      <c r="S294" s="499"/>
      <c r="T294" s="499"/>
      <c r="U294" s="499"/>
      <c r="V294" s="499"/>
      <c r="W294" s="499"/>
      <c r="X294" s="499"/>
      <c r="Y294" s="499"/>
      <c r="Z294" s="499"/>
      <c r="AA294" s="499"/>
      <c r="AB294" s="499"/>
      <c r="AC294" s="499"/>
      <c r="AD294" s="499"/>
      <c r="AE294" s="499"/>
      <c r="AF294" s="499"/>
      <c r="AG294" s="499"/>
      <c r="AH294" s="499"/>
      <c r="AI294" s="499"/>
      <c r="AJ294" s="499"/>
      <c r="AK294" s="499"/>
      <c r="AL294" s="499"/>
      <c r="AM294" s="499"/>
      <c r="AN294" s="499"/>
      <c r="AO294" s="499"/>
      <c r="AP294" s="499"/>
      <c r="AQ294" s="499"/>
      <c r="AR294" s="499"/>
      <c r="AS294" s="499"/>
      <c r="AT294" s="499"/>
      <c r="AU294" s="499"/>
      <c r="AV294" s="461"/>
      <c r="AW294" s="461"/>
      <c r="AX294" s="461"/>
      <c r="AY294" s="461"/>
      <c r="AZ294" s="461"/>
      <c r="BA294" s="461"/>
      <c r="BB294" s="461"/>
      <c r="BC294" s="461"/>
      <c r="BD294" s="461"/>
      <c r="BE294" s="461"/>
      <c r="BF294" s="461"/>
      <c r="BG294" s="461"/>
      <c r="BH294" s="461"/>
      <c r="BI294" s="461"/>
      <c r="BJ294" s="461"/>
      <c r="BK294" s="461"/>
      <c r="BL294" s="461"/>
      <c r="BM294" s="461"/>
      <c r="BN294" s="461"/>
      <c r="BO294" s="461"/>
      <c r="BP294" s="461"/>
      <c r="BQ294" s="461"/>
      <c r="BR294" s="461"/>
      <c r="BS294" s="461"/>
      <c r="BT294" s="461"/>
      <c r="BU294" s="40">
        <f t="shared" si="214"/>
        <v>0</v>
      </c>
      <c r="BV294" s="40">
        <f t="shared" si="215"/>
        <v>0</v>
      </c>
      <c r="BW294" s="40">
        <f t="shared" si="215"/>
        <v>0</v>
      </c>
      <c r="BX294" s="40">
        <f t="shared" si="215"/>
        <v>0</v>
      </c>
      <c r="BY294" s="40">
        <f t="shared" si="215"/>
        <v>0</v>
      </c>
      <c r="BZ294" s="40">
        <f t="shared" si="215"/>
        <v>0</v>
      </c>
      <c r="CA294" s="40">
        <f t="shared" si="215"/>
        <v>0</v>
      </c>
      <c r="CB294" s="40">
        <f t="shared" si="215"/>
        <v>0</v>
      </c>
      <c r="CC294" s="40">
        <f t="shared" si="215"/>
        <v>0</v>
      </c>
      <c r="CD294" s="40">
        <f t="shared" si="215"/>
        <v>0</v>
      </c>
      <c r="CE294" s="307"/>
      <c r="CF294" s="307"/>
      <c r="CG294" s="307"/>
    </row>
    <row r="295" spans="1:115" s="238" customFormat="1">
      <c r="A295" s="898" t="s">
        <v>1139</v>
      </c>
      <c r="B295" s="642" t="s">
        <v>1377</v>
      </c>
      <c r="C295" s="642"/>
      <c r="D295" s="642"/>
      <c r="E295" s="642"/>
      <c r="F295" s="642"/>
      <c r="G295" s="642"/>
      <c r="H295" s="642"/>
      <c r="I295" s="642"/>
      <c r="J295" s="642"/>
      <c r="K295" s="642"/>
      <c r="L295" s="642"/>
      <c r="M295" s="642"/>
      <c r="N295" s="642"/>
      <c r="O295" s="642"/>
      <c r="P295" s="642"/>
      <c r="Q295" s="642"/>
      <c r="R295" s="642"/>
      <c r="S295" s="642"/>
      <c r="T295" s="642"/>
      <c r="U295" s="642"/>
      <c r="V295" s="642"/>
      <c r="W295" s="642"/>
      <c r="X295" s="642"/>
      <c r="Y295" s="642"/>
      <c r="Z295" s="642"/>
      <c r="AA295" s="642"/>
      <c r="AB295" s="642"/>
      <c r="AC295" s="642"/>
      <c r="AD295" s="642"/>
      <c r="AE295" s="642"/>
      <c r="AF295" s="642"/>
      <c r="AG295" s="642"/>
      <c r="AH295" s="642"/>
      <c r="AI295" s="642"/>
      <c r="AJ295" s="642"/>
      <c r="AK295" s="642"/>
      <c r="AL295" s="642"/>
      <c r="AM295" s="642"/>
      <c r="AN295" s="642"/>
      <c r="AO295" s="642"/>
      <c r="AP295" s="642"/>
      <c r="AQ295" s="642"/>
      <c r="AR295" s="642"/>
      <c r="AS295" s="642"/>
      <c r="AT295" s="642"/>
      <c r="AU295" s="642"/>
      <c r="AV295" s="456">
        <f t="shared" ref="AV295:BE295" si="218">AV265-AV279</f>
        <v>-111.9747</v>
      </c>
      <c r="AW295" s="456">
        <f t="shared" si="218"/>
        <v>-114.0411</v>
      </c>
      <c r="AX295" s="456">
        <f t="shared" si="218"/>
        <v>-192.25130000000001</v>
      </c>
      <c r="AY295" s="456">
        <f t="shared" si="218"/>
        <v>-306.38699999999994</v>
      </c>
      <c r="AZ295" s="456">
        <f t="shared" si="218"/>
        <v>-398.38699999999994</v>
      </c>
      <c r="BA295" s="456">
        <f t="shared" si="218"/>
        <v>5915.5669999998063</v>
      </c>
      <c r="BB295" s="456">
        <f t="shared" si="218"/>
        <v>-112805.54399999988</v>
      </c>
      <c r="BC295" s="456">
        <f t="shared" si="218"/>
        <v>23562.303999999887</v>
      </c>
      <c r="BD295" s="456">
        <f t="shared" si="218"/>
        <v>-33.344740000000229</v>
      </c>
      <c r="BE295" s="456">
        <f t="shared" si="218"/>
        <v>-31.492448360000026</v>
      </c>
      <c r="BF295" s="456">
        <f t="shared" ref="BF295:BM295" si="219">BF265-BF279+BF286</f>
        <v>85.152141000000114</v>
      </c>
      <c r="BG295" s="456">
        <f t="shared" si="219"/>
        <v>458.21584999999959</v>
      </c>
      <c r="BH295" s="456">
        <f t="shared" si="219"/>
        <v>156.33833599999471</v>
      </c>
      <c r="BI295" s="456">
        <f t="shared" si="219"/>
        <v>-222.44832600000075</v>
      </c>
      <c r="BJ295" s="456">
        <f t="shared" si="219"/>
        <v>-305.89054600000065</v>
      </c>
      <c r="BK295" s="456">
        <f t="shared" si="219"/>
        <v>-284.67248800000027</v>
      </c>
      <c r="BL295" s="456">
        <f t="shared" si="219"/>
        <v>-445.09999999999945</v>
      </c>
      <c r="BM295" s="456">
        <f t="shared" si="219"/>
        <v>-1027.200073498218</v>
      </c>
      <c r="BN295" s="644">
        <f>BN265-BN279+BN286</f>
        <v>-961.09979090000024</v>
      </c>
      <c r="BO295" s="456">
        <f t="shared" ref="BO295:BT295" si="220">BO265-BO279+BO286</f>
        <v>-1372.9000039000002</v>
      </c>
      <c r="BP295" s="456">
        <f t="shared" si="220"/>
        <v>-465.60000390000005</v>
      </c>
      <c r="BQ295" s="456">
        <f t="shared" si="220"/>
        <v>-468.69978790000005</v>
      </c>
      <c r="BR295" s="456">
        <f t="shared" si="220"/>
        <v>-466.59978789999968</v>
      </c>
      <c r="BS295" s="456">
        <f t="shared" si="220"/>
        <v>-471.7997878999995</v>
      </c>
      <c r="BT295" s="456">
        <f t="shared" si="220"/>
        <v>-471.7997878999995</v>
      </c>
      <c r="BU295" s="40">
        <f t="shared" si="214"/>
        <v>-471.7997878999995</v>
      </c>
      <c r="BV295" s="40">
        <f t="shared" si="215"/>
        <v>-471.7997878999995</v>
      </c>
      <c r="BW295" s="40">
        <f t="shared" si="215"/>
        <v>-471.7997878999995</v>
      </c>
      <c r="BX295" s="40">
        <f t="shared" si="215"/>
        <v>-471.7997878999995</v>
      </c>
      <c r="BY295" s="40">
        <f t="shared" si="215"/>
        <v>-471.7997878999995</v>
      </c>
      <c r="BZ295" s="40">
        <f t="shared" si="215"/>
        <v>-471.7997878999995</v>
      </c>
      <c r="CA295" s="40">
        <f t="shared" si="215"/>
        <v>-471.7997878999995</v>
      </c>
      <c r="CB295" s="40">
        <f t="shared" si="215"/>
        <v>-471.7997878999995</v>
      </c>
      <c r="CC295" s="40">
        <f t="shared" si="215"/>
        <v>-471.7997878999995</v>
      </c>
      <c r="CD295" s="40">
        <f t="shared" si="215"/>
        <v>-471.7997878999995</v>
      </c>
      <c r="CE295" s="456"/>
      <c r="CF295" s="456"/>
      <c r="CG295" s="456"/>
      <c r="CM295" s="655">
        <f>CM265-CM279-CM276</f>
        <v>-105.77641599999879</v>
      </c>
    </row>
    <row r="296" spans="1:115" s="25" customFormat="1" ht="15.75" hidden="1" customHeight="1">
      <c r="A296" s="898" t="s">
        <v>1139</v>
      </c>
      <c r="B296" s="656" t="s">
        <v>3230</v>
      </c>
      <c r="C296" s="499"/>
      <c r="D296" s="499"/>
      <c r="E296" s="499"/>
      <c r="F296" s="499"/>
      <c r="G296" s="499"/>
      <c r="H296" s="499"/>
      <c r="I296" s="499"/>
      <c r="J296" s="499"/>
      <c r="K296" s="499"/>
      <c r="L296" s="499"/>
      <c r="M296" s="499"/>
      <c r="N296" s="499"/>
      <c r="O296" s="499"/>
      <c r="P296" s="499"/>
      <c r="Q296" s="499"/>
      <c r="R296" s="499"/>
      <c r="S296" s="499"/>
      <c r="T296" s="499"/>
      <c r="U296" s="499"/>
      <c r="V296" s="499"/>
      <c r="W296" s="499"/>
      <c r="X296" s="499"/>
      <c r="Y296" s="499"/>
      <c r="Z296" s="499"/>
      <c r="AA296" s="499"/>
      <c r="AB296" s="499"/>
      <c r="AC296" s="499"/>
      <c r="AD296" s="499"/>
      <c r="AE296" s="499"/>
      <c r="AF296" s="499"/>
      <c r="AG296" s="499"/>
      <c r="AH296" s="499"/>
      <c r="AI296" s="499"/>
      <c r="AJ296" s="499"/>
      <c r="AK296" s="499"/>
      <c r="AL296" s="499"/>
      <c r="AM296" s="499"/>
      <c r="AN296" s="499"/>
      <c r="AO296" s="499"/>
      <c r="AP296" s="499"/>
      <c r="AQ296" s="499"/>
      <c r="AR296" s="499"/>
      <c r="AS296" s="499"/>
      <c r="AT296" s="499"/>
      <c r="AU296" s="499"/>
      <c r="AV296" s="657">
        <v>-121.308925</v>
      </c>
      <c r="AW296" s="657">
        <v>-102.90549999999999</v>
      </c>
      <c r="AX296" s="657">
        <v>-165.81019999999998</v>
      </c>
      <c r="AY296" s="657">
        <v>-213.23141399999997</v>
      </c>
      <c r="AZ296" s="657">
        <v>-325.48597399999994</v>
      </c>
      <c r="BA296" s="657">
        <v>109.05441799999983</v>
      </c>
      <c r="BB296" s="657">
        <v>-9.4801664999998678</v>
      </c>
      <c r="BC296" s="657">
        <v>244.97890800000013</v>
      </c>
      <c r="BD296" s="657">
        <v>128.01330899999988</v>
      </c>
      <c r="BE296" s="657">
        <v>62.978120640000071</v>
      </c>
      <c r="BF296" s="657">
        <v>250.08930400000003</v>
      </c>
      <c r="BG296" s="657"/>
      <c r="BH296" s="307"/>
      <c r="BI296" s="307"/>
      <c r="BJ296" s="307"/>
      <c r="BK296" s="307"/>
      <c r="BU296" s="40">
        <f t="shared" si="214"/>
        <v>0</v>
      </c>
      <c r="BV296" s="40">
        <f t="shared" si="215"/>
        <v>0</v>
      </c>
      <c r="BW296" s="40">
        <f t="shared" si="215"/>
        <v>0</v>
      </c>
      <c r="BX296" s="40">
        <f t="shared" si="215"/>
        <v>0</v>
      </c>
      <c r="BY296" s="40">
        <f t="shared" si="215"/>
        <v>0</v>
      </c>
      <c r="BZ296" s="40">
        <f t="shared" si="215"/>
        <v>0</v>
      </c>
      <c r="CA296" s="40">
        <f t="shared" si="215"/>
        <v>0</v>
      </c>
      <c r="CB296" s="40">
        <f t="shared" si="215"/>
        <v>0</v>
      </c>
      <c r="CC296" s="40">
        <f t="shared" si="215"/>
        <v>0</v>
      </c>
      <c r="CD296" s="40">
        <f t="shared" si="215"/>
        <v>0</v>
      </c>
      <c r="CE296" s="307"/>
      <c r="CF296" s="307"/>
      <c r="CG296" s="307"/>
    </row>
    <row r="297" spans="1:115" s="25" customFormat="1">
      <c r="A297" s="898"/>
      <c r="B297" s="499" t="s">
        <v>1882</v>
      </c>
      <c r="C297" s="499"/>
      <c r="D297" s="499"/>
      <c r="E297" s="499"/>
      <c r="F297" s="499"/>
      <c r="G297" s="499"/>
      <c r="H297" s="499"/>
      <c r="I297" s="499"/>
      <c r="J297" s="499"/>
      <c r="K297" s="499"/>
      <c r="L297" s="499"/>
      <c r="M297" s="499"/>
      <c r="N297" s="499"/>
      <c r="O297" s="499"/>
      <c r="P297" s="499"/>
      <c r="Q297" s="499"/>
      <c r="R297" s="499"/>
      <c r="S297" s="499"/>
      <c r="T297" s="499"/>
      <c r="U297" s="499"/>
      <c r="V297" s="499"/>
      <c r="W297" s="499"/>
      <c r="X297" s="499"/>
      <c r="Y297" s="499"/>
      <c r="Z297" s="499"/>
      <c r="AA297" s="499"/>
      <c r="AB297" s="499"/>
      <c r="AC297" s="499"/>
      <c r="AD297" s="499"/>
      <c r="AE297" s="499"/>
      <c r="AF297" s="499"/>
      <c r="AG297" s="499"/>
      <c r="AH297" s="499"/>
      <c r="AI297" s="499"/>
      <c r="AJ297" s="499"/>
      <c r="AK297" s="499"/>
      <c r="AL297" s="499"/>
      <c r="AM297" s="499"/>
      <c r="AN297" s="499"/>
      <c r="AO297" s="499"/>
      <c r="AP297" s="499"/>
      <c r="AQ297" s="499"/>
      <c r="AR297" s="499"/>
      <c r="AS297" s="499"/>
      <c r="AT297" s="499"/>
      <c r="AU297" s="499"/>
      <c r="AV297" s="461"/>
      <c r="AW297" s="461"/>
      <c r="AX297" s="461"/>
      <c r="AY297" s="461"/>
      <c r="AZ297" s="461"/>
      <c r="BA297" s="461"/>
      <c r="BB297" s="461"/>
      <c r="BC297" s="461"/>
      <c r="BD297" s="461"/>
      <c r="BE297" s="461"/>
      <c r="BF297" s="461"/>
      <c r="BG297" s="461">
        <f>-BG295</f>
        <v>-458.21584999999959</v>
      </c>
      <c r="BH297" s="461">
        <f>-BH295</f>
        <v>-156.33833599999471</v>
      </c>
      <c r="BI297" s="461">
        <f>-BI295</f>
        <v>222.44832600000075</v>
      </c>
      <c r="BJ297" s="461">
        <f>-BJ295</f>
        <v>305.89054600000065</v>
      </c>
      <c r="BK297" s="461">
        <f t="shared" ref="BK297:BT297" si="221">-BK295</f>
        <v>284.67248800000027</v>
      </c>
      <c r="BL297" s="461">
        <f t="shared" si="221"/>
        <v>445.09999999999945</v>
      </c>
      <c r="BM297" s="461">
        <f t="shared" si="221"/>
        <v>1027.200073498218</v>
      </c>
      <c r="BN297" s="461">
        <f t="shared" si="221"/>
        <v>961.09979090000024</v>
      </c>
      <c r="BO297" s="461">
        <f t="shared" si="221"/>
        <v>1372.9000039000002</v>
      </c>
      <c r="BP297" s="461">
        <f t="shared" si="221"/>
        <v>465.60000390000005</v>
      </c>
      <c r="BQ297" s="461">
        <f t="shared" si="221"/>
        <v>468.69978790000005</v>
      </c>
      <c r="BR297" s="461">
        <f t="shared" si="221"/>
        <v>466.59978789999968</v>
      </c>
      <c r="BS297" s="461">
        <f t="shared" si="221"/>
        <v>471.7997878999995</v>
      </c>
      <c r="BT297" s="461">
        <f t="shared" si="221"/>
        <v>471.7997878999995</v>
      </c>
      <c r="BU297" s="40">
        <f t="shared" si="214"/>
        <v>471.7997878999995</v>
      </c>
      <c r="BV297" s="40">
        <f t="shared" si="215"/>
        <v>471.7997878999995</v>
      </c>
      <c r="BW297" s="40">
        <f t="shared" si="215"/>
        <v>471.7997878999995</v>
      </c>
      <c r="BX297" s="40">
        <f t="shared" si="215"/>
        <v>471.7997878999995</v>
      </c>
      <c r="BY297" s="40">
        <f t="shared" si="215"/>
        <v>471.7997878999995</v>
      </c>
      <c r="BZ297" s="40">
        <f t="shared" si="215"/>
        <v>471.7997878999995</v>
      </c>
      <c r="CA297" s="40">
        <f t="shared" si="215"/>
        <v>471.7997878999995</v>
      </c>
      <c r="CB297" s="40">
        <f t="shared" si="215"/>
        <v>471.7997878999995</v>
      </c>
      <c r="CC297" s="40">
        <f t="shared" si="215"/>
        <v>471.7997878999995</v>
      </c>
      <c r="CD297" s="40">
        <f t="shared" si="215"/>
        <v>471.7997878999995</v>
      </c>
      <c r="CE297" s="307"/>
      <c r="CF297" s="307"/>
      <c r="CG297" s="307"/>
    </row>
    <row r="298" spans="1:115" s="25" customFormat="1">
      <c r="B298" s="499"/>
      <c r="C298" s="499"/>
      <c r="D298" s="499"/>
      <c r="E298" s="499"/>
      <c r="F298" s="499"/>
      <c r="G298" s="499"/>
      <c r="H298" s="499"/>
      <c r="I298" s="499"/>
      <c r="J298" s="499"/>
      <c r="K298" s="499"/>
      <c r="L298" s="499"/>
      <c r="M298" s="499"/>
      <c r="N298" s="499"/>
      <c r="O298" s="499"/>
      <c r="P298" s="499"/>
      <c r="Q298" s="499"/>
      <c r="R298" s="499"/>
      <c r="S298" s="499"/>
      <c r="T298" s="499"/>
      <c r="U298" s="499"/>
      <c r="V298" s="499"/>
      <c r="W298" s="499"/>
      <c r="X298" s="499"/>
      <c r="Y298" s="499"/>
      <c r="Z298" s="499"/>
      <c r="AA298" s="499"/>
      <c r="AB298" s="499"/>
      <c r="AC298" s="499"/>
      <c r="AD298" s="499"/>
      <c r="AE298" s="499"/>
      <c r="AF298" s="499"/>
      <c r="AG298" s="499"/>
      <c r="AH298" s="499"/>
      <c r="AI298" s="499"/>
      <c r="AJ298" s="499"/>
      <c r="AK298" s="499"/>
      <c r="AL298" s="499"/>
      <c r="AM298" s="499"/>
      <c r="AN298" s="499"/>
      <c r="AO298" s="499"/>
      <c r="AP298" s="499"/>
      <c r="AQ298" s="499"/>
      <c r="AR298" s="499"/>
      <c r="AS298" s="499"/>
      <c r="AT298" s="499"/>
      <c r="AU298" s="499"/>
      <c r="AV298" s="643"/>
      <c r="AW298" s="643"/>
      <c r="AX298" s="643"/>
      <c r="AY298" s="643"/>
      <c r="AZ298" s="643"/>
      <c r="BA298" s="643"/>
      <c r="BB298" s="643"/>
      <c r="BC298" s="643"/>
      <c r="BD298" s="643"/>
      <c r="BE298" s="643"/>
      <c r="BF298" s="643"/>
      <c r="BG298" s="461"/>
      <c r="BH298" s="307"/>
      <c r="BI298" s="307"/>
      <c r="BJ298" s="307"/>
      <c r="BK298" s="307"/>
      <c r="BL298" s="458"/>
      <c r="BO298" s="25">
        <f>BO295/BO117*100</f>
        <v>-7.9416360261855932</v>
      </c>
      <c r="BP298" s="25">
        <f>BP295/BP117*100</f>
        <v>-2.522622762086606</v>
      </c>
      <c r="BQ298" s="25">
        <f>BQ295/BQ117*100</f>
        <v>-2.3355822499057197</v>
      </c>
      <c r="BR298" s="25">
        <f>BR295/BR117*100</f>
        <v>-2.1609371297610442</v>
      </c>
      <c r="BU298" s="40">
        <f t="shared" si="214"/>
        <v>0</v>
      </c>
      <c r="BV298" s="40">
        <f t="shared" si="215"/>
        <v>0</v>
      </c>
      <c r="BW298" s="40">
        <f t="shared" si="215"/>
        <v>0</v>
      </c>
      <c r="BX298" s="40">
        <f t="shared" si="215"/>
        <v>0</v>
      </c>
      <c r="BY298" s="40">
        <f t="shared" si="215"/>
        <v>0</v>
      </c>
      <c r="BZ298" s="40">
        <f t="shared" si="215"/>
        <v>0</v>
      </c>
      <c r="CA298" s="40">
        <f t="shared" si="215"/>
        <v>0</v>
      </c>
      <c r="CB298" s="40">
        <f t="shared" si="215"/>
        <v>0</v>
      </c>
      <c r="CC298" s="40">
        <f t="shared" si="215"/>
        <v>0</v>
      </c>
      <c r="CD298" s="40">
        <f t="shared" si="215"/>
        <v>0</v>
      </c>
      <c r="CE298" s="307"/>
      <c r="CF298" s="307"/>
      <c r="CG298" s="307"/>
    </row>
    <row r="299" spans="1:115" s="25" customFormat="1">
      <c r="B299" s="499" t="s">
        <v>4368</v>
      </c>
      <c r="C299" s="499"/>
      <c r="D299" s="499"/>
      <c r="E299" s="499"/>
      <c r="F299" s="499"/>
      <c r="G299" s="499"/>
      <c r="H299" s="499"/>
      <c r="I299" s="499"/>
      <c r="J299" s="499"/>
      <c r="K299" s="499"/>
      <c r="L299" s="499"/>
      <c r="M299" s="499"/>
      <c r="N299" s="499"/>
      <c r="O299" s="499"/>
      <c r="P299" s="499"/>
      <c r="Q299" s="499"/>
      <c r="R299" s="499"/>
      <c r="S299" s="499"/>
      <c r="T299" s="499"/>
      <c r="U299" s="499"/>
      <c r="V299" s="499"/>
      <c r="W299" s="499"/>
      <c r="X299" s="499"/>
      <c r="Y299" s="499"/>
      <c r="Z299" s="499"/>
      <c r="AA299" s="499"/>
      <c r="AB299" s="499"/>
      <c r="AC299" s="499"/>
      <c r="AD299" s="499"/>
      <c r="AE299" s="499"/>
      <c r="AF299" s="499"/>
      <c r="AG299" s="499"/>
      <c r="AH299" s="499"/>
      <c r="AI299" s="499"/>
      <c r="AJ299" s="499"/>
      <c r="AK299" s="499"/>
      <c r="AL299" s="499"/>
      <c r="AM299" s="499"/>
      <c r="AN299" s="499"/>
      <c r="AO299" s="499"/>
      <c r="AP299" s="499"/>
      <c r="AQ299" s="499"/>
      <c r="AR299" s="499"/>
      <c r="AS299" s="499"/>
      <c r="AT299" s="499"/>
      <c r="AU299" s="499"/>
      <c r="AV299" s="461"/>
      <c r="AW299" s="461"/>
      <c r="AX299" s="461"/>
      <c r="AY299" s="461"/>
      <c r="AZ299" s="461"/>
      <c r="BA299" s="461"/>
      <c r="BB299" s="461"/>
      <c r="BC299" s="461"/>
      <c r="BD299" s="461"/>
      <c r="BE299" s="461"/>
      <c r="BF299" s="461"/>
      <c r="BG299" s="461"/>
      <c r="BH299" s="307">
        <f>0.6*535</f>
        <v>321</v>
      </c>
      <c r="BI299" s="307"/>
      <c r="BJ299" s="307"/>
      <c r="BK299" s="307"/>
      <c r="BU299" s="40">
        <f t="shared" si="214"/>
        <v>0</v>
      </c>
      <c r="BV299" s="40">
        <f t="shared" si="215"/>
        <v>0</v>
      </c>
      <c r="BW299" s="40">
        <f t="shared" si="215"/>
        <v>0</v>
      </c>
      <c r="BX299" s="40">
        <f t="shared" si="215"/>
        <v>0</v>
      </c>
      <c r="BY299" s="40">
        <f t="shared" si="215"/>
        <v>0</v>
      </c>
      <c r="BZ299" s="40">
        <f t="shared" si="215"/>
        <v>0</v>
      </c>
      <c r="CA299" s="40">
        <f t="shared" si="215"/>
        <v>0</v>
      </c>
      <c r="CB299" s="40">
        <f t="shared" si="215"/>
        <v>0</v>
      </c>
      <c r="CC299" s="40">
        <f t="shared" si="215"/>
        <v>0</v>
      </c>
      <c r="CD299" s="40">
        <f t="shared" si="215"/>
        <v>0</v>
      </c>
      <c r="CE299" s="307"/>
      <c r="CF299" s="307"/>
      <c r="CG299" s="307"/>
    </row>
    <row r="300" spans="1:115" s="25" customFormat="1">
      <c r="B300" s="499" t="s">
        <v>897</v>
      </c>
      <c r="C300" s="499"/>
      <c r="D300" s="499"/>
      <c r="E300" s="499"/>
      <c r="F300" s="499"/>
      <c r="G300" s="499"/>
      <c r="H300" s="499"/>
      <c r="I300" s="499"/>
      <c r="J300" s="499"/>
      <c r="K300" s="499"/>
      <c r="L300" s="499"/>
      <c r="M300" s="499"/>
      <c r="N300" s="499"/>
      <c r="O300" s="499"/>
      <c r="P300" s="499"/>
      <c r="Q300" s="499"/>
      <c r="R300" s="499"/>
      <c r="S300" s="499"/>
      <c r="T300" s="499"/>
      <c r="U300" s="499"/>
      <c r="V300" s="499"/>
      <c r="W300" s="499"/>
      <c r="X300" s="499"/>
      <c r="Y300" s="499"/>
      <c r="Z300" s="499"/>
      <c r="AA300" s="499"/>
      <c r="AB300" s="499"/>
      <c r="AC300" s="499"/>
      <c r="AD300" s="499"/>
      <c r="AE300" s="499"/>
      <c r="AF300" s="499"/>
      <c r="AG300" s="499"/>
      <c r="AH300" s="499"/>
      <c r="AI300" s="499"/>
      <c r="AJ300" s="499"/>
      <c r="AK300" s="499"/>
      <c r="AL300" s="499"/>
      <c r="AM300" s="499"/>
      <c r="AN300" s="499"/>
      <c r="AO300" s="499"/>
      <c r="AP300" s="499"/>
      <c r="AQ300" s="499"/>
      <c r="AR300" s="499"/>
      <c r="AS300" s="499"/>
      <c r="AT300" s="499"/>
      <c r="AU300" s="499"/>
      <c r="AV300" s="461"/>
      <c r="AW300" s="461"/>
      <c r="AX300" s="461"/>
      <c r="AY300" s="461"/>
      <c r="AZ300" s="461"/>
      <c r="BA300" s="461"/>
      <c r="BB300" s="461"/>
      <c r="BC300" s="461"/>
      <c r="BD300" s="461"/>
      <c r="BE300" s="461"/>
      <c r="BF300" s="461"/>
      <c r="BG300" s="461"/>
      <c r="BH300" s="307"/>
      <c r="BI300" s="307"/>
      <c r="BJ300" s="307"/>
      <c r="BK300" s="307"/>
      <c r="BU300" s="40">
        <f t="shared" si="214"/>
        <v>0</v>
      </c>
      <c r="BV300" s="40">
        <f t="shared" si="215"/>
        <v>0</v>
      </c>
      <c r="BW300" s="40">
        <f t="shared" si="215"/>
        <v>0</v>
      </c>
      <c r="BX300" s="40">
        <f t="shared" si="215"/>
        <v>0</v>
      </c>
      <c r="BY300" s="40">
        <f t="shared" si="215"/>
        <v>0</v>
      </c>
      <c r="BZ300" s="40">
        <f t="shared" si="215"/>
        <v>0</v>
      </c>
      <c r="CA300" s="40">
        <f t="shared" si="215"/>
        <v>0</v>
      </c>
      <c r="CB300" s="40">
        <f t="shared" si="215"/>
        <v>0</v>
      </c>
      <c r="CC300" s="40">
        <f t="shared" si="215"/>
        <v>0</v>
      </c>
      <c r="CD300" s="40">
        <f t="shared" si="215"/>
        <v>0</v>
      </c>
      <c r="CE300" s="307"/>
      <c r="CF300" s="307"/>
      <c r="CG300" s="307"/>
    </row>
    <row r="301" spans="1:115" s="25" customFormat="1">
      <c r="B301" s="499" t="s">
        <v>4327</v>
      </c>
      <c r="C301" s="499"/>
      <c r="D301" s="499"/>
      <c r="E301" s="499"/>
      <c r="F301" s="499"/>
      <c r="G301" s="499"/>
      <c r="H301" s="499"/>
      <c r="I301" s="499"/>
      <c r="J301" s="499"/>
      <c r="K301" s="499"/>
      <c r="L301" s="499"/>
      <c r="M301" s="499"/>
      <c r="N301" s="499"/>
      <c r="O301" s="499"/>
      <c r="P301" s="499"/>
      <c r="Q301" s="499"/>
      <c r="R301" s="499"/>
      <c r="S301" s="499"/>
      <c r="T301" s="499"/>
      <c r="U301" s="499"/>
      <c r="V301" s="499"/>
      <c r="W301" s="499"/>
      <c r="X301" s="499"/>
      <c r="Y301" s="499"/>
      <c r="Z301" s="499"/>
      <c r="AA301" s="499"/>
      <c r="AB301" s="499"/>
      <c r="AC301" s="499"/>
      <c r="AD301" s="499"/>
      <c r="AE301" s="499"/>
      <c r="AF301" s="499"/>
      <c r="AG301" s="499"/>
      <c r="AH301" s="499"/>
      <c r="AI301" s="499"/>
      <c r="AJ301" s="499"/>
      <c r="AK301" s="499"/>
      <c r="AL301" s="499"/>
      <c r="AM301" s="499"/>
      <c r="AN301" s="499"/>
      <c r="AO301" s="499"/>
      <c r="AP301" s="499"/>
      <c r="AQ301" s="499"/>
      <c r="AR301" s="499"/>
      <c r="AS301" s="499"/>
      <c r="AT301" s="499"/>
      <c r="AU301" s="499"/>
      <c r="AV301" s="461"/>
      <c r="AW301" s="461"/>
      <c r="AX301" s="461"/>
      <c r="AY301" s="461"/>
      <c r="AZ301" s="461"/>
      <c r="BA301" s="461"/>
      <c r="BB301" s="461"/>
      <c r="BC301" s="461"/>
      <c r="BD301" s="461"/>
      <c r="BE301" s="461"/>
      <c r="BF301" s="461"/>
      <c r="BG301" s="461"/>
      <c r="BH301" s="307"/>
      <c r="BI301" s="307"/>
      <c r="BJ301" s="307"/>
      <c r="BK301" s="307"/>
      <c r="BL301" s="307"/>
      <c r="BM301" s="307"/>
      <c r="BN301" s="307"/>
      <c r="BO301" s="307"/>
      <c r="BU301" s="40">
        <f t="shared" si="214"/>
        <v>0</v>
      </c>
      <c r="BV301" s="40">
        <f t="shared" si="215"/>
        <v>0</v>
      </c>
      <c r="BW301" s="40">
        <f t="shared" si="215"/>
        <v>0</v>
      </c>
      <c r="BX301" s="40">
        <f t="shared" si="215"/>
        <v>0</v>
      </c>
      <c r="BY301" s="40">
        <f t="shared" si="215"/>
        <v>0</v>
      </c>
      <c r="BZ301" s="40">
        <f t="shared" si="215"/>
        <v>0</v>
      </c>
      <c r="CA301" s="40">
        <f t="shared" si="215"/>
        <v>0</v>
      </c>
      <c r="CB301" s="40">
        <f t="shared" si="215"/>
        <v>0</v>
      </c>
      <c r="CC301" s="40">
        <f t="shared" si="215"/>
        <v>0</v>
      </c>
      <c r="CD301" s="40">
        <f t="shared" si="215"/>
        <v>0</v>
      </c>
      <c r="CE301" s="307"/>
      <c r="CF301" s="307"/>
      <c r="CG301" s="307"/>
      <c r="CM301" s="307"/>
    </row>
    <row r="302" spans="1:115" s="25" customFormat="1">
      <c r="B302" s="499" t="s">
        <v>4328</v>
      </c>
      <c r="C302" s="499"/>
      <c r="D302" s="499"/>
      <c r="E302" s="499"/>
      <c r="F302" s="499"/>
      <c r="G302" s="499"/>
      <c r="H302" s="499"/>
      <c r="I302" s="499"/>
      <c r="J302" s="499"/>
      <c r="K302" s="499"/>
      <c r="L302" s="499"/>
      <c r="M302" s="499"/>
      <c r="N302" s="499"/>
      <c r="O302" s="499"/>
      <c r="P302" s="499"/>
      <c r="Q302" s="499"/>
      <c r="R302" s="499"/>
      <c r="S302" s="499"/>
      <c r="T302" s="499"/>
      <c r="U302" s="499"/>
      <c r="V302" s="499"/>
      <c r="W302" s="499"/>
      <c r="X302" s="499"/>
      <c r="Y302" s="499"/>
      <c r="Z302" s="499"/>
      <c r="AA302" s="499"/>
      <c r="AB302" s="499"/>
      <c r="AC302" s="499"/>
      <c r="AD302" s="499"/>
      <c r="AE302" s="499"/>
      <c r="AF302" s="499"/>
      <c r="AG302" s="499"/>
      <c r="AH302" s="499"/>
      <c r="AI302" s="499"/>
      <c r="AJ302" s="499"/>
      <c r="AK302" s="499"/>
      <c r="AL302" s="499"/>
      <c r="AM302" s="499"/>
      <c r="AN302" s="499"/>
      <c r="AO302" s="499"/>
      <c r="AP302" s="499"/>
      <c r="AQ302" s="499"/>
      <c r="AR302" s="499"/>
      <c r="AS302" s="499"/>
      <c r="AT302" s="499"/>
      <c r="AU302" s="499"/>
      <c r="AV302" s="461"/>
      <c r="AW302" s="461"/>
      <c r="AX302" s="461"/>
      <c r="AY302" s="461"/>
      <c r="AZ302" s="461"/>
      <c r="BA302" s="461"/>
      <c r="BB302" s="461"/>
      <c r="BC302" s="461"/>
      <c r="BD302" s="461"/>
      <c r="BE302" s="461"/>
      <c r="BF302" s="461"/>
      <c r="BG302" s="461"/>
      <c r="BH302" s="307"/>
      <c r="BI302" s="307"/>
      <c r="BJ302" s="307"/>
      <c r="BK302" s="307"/>
      <c r="BL302" s="307"/>
      <c r="BM302" s="307"/>
      <c r="BN302" s="307"/>
      <c r="BO302" s="307"/>
      <c r="BU302" s="40">
        <f t="shared" si="214"/>
        <v>0</v>
      </c>
      <c r="BV302" s="40">
        <f t="shared" si="215"/>
        <v>0</v>
      </c>
      <c r="BW302" s="40">
        <f t="shared" si="215"/>
        <v>0</v>
      </c>
      <c r="BX302" s="40">
        <f t="shared" si="215"/>
        <v>0</v>
      </c>
      <c r="BY302" s="40">
        <f t="shared" si="215"/>
        <v>0</v>
      </c>
      <c r="BZ302" s="40">
        <f t="shared" si="215"/>
        <v>0</v>
      </c>
      <c r="CA302" s="40">
        <f t="shared" si="215"/>
        <v>0</v>
      </c>
      <c r="CB302" s="40">
        <f t="shared" si="215"/>
        <v>0</v>
      </c>
      <c r="CC302" s="40">
        <f t="shared" si="215"/>
        <v>0</v>
      </c>
      <c r="CD302" s="40">
        <f t="shared" si="215"/>
        <v>0</v>
      </c>
      <c r="CE302" s="307"/>
      <c r="CF302" s="307"/>
      <c r="CG302" s="307"/>
      <c r="CM302" s="307"/>
    </row>
    <row r="303" spans="1:115" s="25" customFormat="1">
      <c r="B303" s="499" t="s">
        <v>4329</v>
      </c>
      <c r="C303" s="499"/>
      <c r="D303" s="499"/>
      <c r="E303" s="499"/>
      <c r="F303" s="499"/>
      <c r="G303" s="499"/>
      <c r="H303" s="499"/>
      <c r="I303" s="499"/>
      <c r="J303" s="499"/>
      <c r="K303" s="499"/>
      <c r="L303" s="499"/>
      <c r="M303" s="499"/>
      <c r="N303" s="499"/>
      <c r="O303" s="499"/>
      <c r="P303" s="499"/>
      <c r="Q303" s="499"/>
      <c r="R303" s="499"/>
      <c r="S303" s="499"/>
      <c r="T303" s="499"/>
      <c r="U303" s="499"/>
      <c r="V303" s="499"/>
      <c r="W303" s="499"/>
      <c r="X303" s="499"/>
      <c r="Y303" s="499"/>
      <c r="Z303" s="499"/>
      <c r="AA303" s="499"/>
      <c r="AB303" s="499"/>
      <c r="AC303" s="499"/>
      <c r="AD303" s="499"/>
      <c r="AE303" s="499"/>
      <c r="AF303" s="499"/>
      <c r="AG303" s="499"/>
      <c r="AH303" s="499"/>
      <c r="AI303" s="499"/>
      <c r="AJ303" s="499"/>
      <c r="AK303" s="499"/>
      <c r="AL303" s="499"/>
      <c r="AM303" s="499"/>
      <c r="AN303" s="499"/>
      <c r="AO303" s="499"/>
      <c r="AP303" s="499"/>
      <c r="AQ303" s="499"/>
      <c r="AR303" s="499"/>
      <c r="AS303" s="499"/>
      <c r="AT303" s="499"/>
      <c r="AU303" s="499"/>
      <c r="AV303" s="461"/>
      <c r="AW303" s="461"/>
      <c r="AX303" s="461"/>
      <c r="AY303" s="461"/>
      <c r="AZ303" s="461"/>
      <c r="BA303" s="461"/>
      <c r="BB303" s="461"/>
      <c r="BC303" s="461"/>
      <c r="BD303" s="461"/>
      <c r="BE303" s="461"/>
      <c r="BF303" s="461"/>
      <c r="BG303" s="461"/>
      <c r="BH303" s="307"/>
      <c r="BI303" s="307"/>
      <c r="BJ303" s="307"/>
      <c r="BK303" s="307"/>
      <c r="BU303" s="40">
        <f t="shared" si="214"/>
        <v>0</v>
      </c>
      <c r="BV303" s="40">
        <f t="shared" si="215"/>
        <v>0</v>
      </c>
      <c r="BW303" s="40">
        <f t="shared" si="215"/>
        <v>0</v>
      </c>
      <c r="BX303" s="40">
        <f t="shared" si="215"/>
        <v>0</v>
      </c>
      <c r="BY303" s="40">
        <f t="shared" si="215"/>
        <v>0</v>
      </c>
      <c r="BZ303" s="40">
        <f t="shared" si="215"/>
        <v>0</v>
      </c>
      <c r="CA303" s="40">
        <f t="shared" si="215"/>
        <v>0</v>
      </c>
      <c r="CB303" s="40">
        <f t="shared" si="215"/>
        <v>0</v>
      </c>
      <c r="CC303" s="40">
        <f t="shared" si="215"/>
        <v>0</v>
      </c>
      <c r="CD303" s="40">
        <f t="shared" si="215"/>
        <v>0</v>
      </c>
      <c r="CE303" s="307"/>
      <c r="CF303" s="307"/>
      <c r="CG303" s="307"/>
    </row>
    <row r="304" spans="1:115" s="25" customFormat="1">
      <c r="B304" s="499" t="s">
        <v>668</v>
      </c>
      <c r="C304" s="499"/>
      <c r="D304" s="499"/>
      <c r="E304" s="499"/>
      <c r="F304" s="499"/>
      <c r="G304" s="499"/>
      <c r="H304" s="499"/>
      <c r="I304" s="499"/>
      <c r="J304" s="499"/>
      <c r="K304" s="499"/>
      <c r="L304" s="499"/>
      <c r="M304" s="499"/>
      <c r="N304" s="499"/>
      <c r="O304" s="499"/>
      <c r="P304" s="499"/>
      <c r="Q304" s="499"/>
      <c r="R304" s="499"/>
      <c r="S304" s="499"/>
      <c r="T304" s="499"/>
      <c r="U304" s="499"/>
      <c r="V304" s="499"/>
      <c r="W304" s="499"/>
      <c r="X304" s="499"/>
      <c r="Y304" s="499"/>
      <c r="Z304" s="499"/>
      <c r="AA304" s="499"/>
      <c r="AB304" s="499"/>
      <c r="AC304" s="499"/>
      <c r="AD304" s="499"/>
      <c r="AE304" s="499"/>
      <c r="AF304" s="499"/>
      <c r="AG304" s="499"/>
      <c r="AH304" s="499"/>
      <c r="AI304" s="499"/>
      <c r="AJ304" s="499"/>
      <c r="AK304" s="499"/>
      <c r="AL304" s="499"/>
      <c r="AM304" s="499"/>
      <c r="AN304" s="499"/>
      <c r="AO304" s="499"/>
      <c r="AP304" s="499"/>
      <c r="AQ304" s="499"/>
      <c r="AR304" s="499"/>
      <c r="AS304" s="499"/>
      <c r="AT304" s="499"/>
      <c r="AU304" s="499"/>
      <c r="AV304" s="461"/>
      <c r="AW304" s="461"/>
      <c r="AX304" s="461"/>
      <c r="AY304" s="461"/>
      <c r="AZ304" s="461"/>
      <c r="BA304" s="461"/>
      <c r="BB304" s="461"/>
      <c r="BC304" s="461"/>
      <c r="BD304" s="461"/>
      <c r="BE304" s="461"/>
      <c r="BF304" s="461"/>
      <c r="BG304" s="461"/>
      <c r="BH304" s="307"/>
      <c r="BI304" s="307"/>
      <c r="BJ304" s="307"/>
      <c r="BK304" s="307"/>
      <c r="BU304" s="40">
        <f t="shared" si="214"/>
        <v>0</v>
      </c>
      <c r="BV304" s="40">
        <f t="shared" si="215"/>
        <v>0</v>
      </c>
      <c r="BW304" s="40">
        <f t="shared" si="215"/>
        <v>0</v>
      </c>
      <c r="BX304" s="40">
        <f t="shared" si="215"/>
        <v>0</v>
      </c>
      <c r="BY304" s="40">
        <f t="shared" si="215"/>
        <v>0</v>
      </c>
      <c r="BZ304" s="40">
        <f t="shared" si="215"/>
        <v>0</v>
      </c>
      <c r="CA304" s="40">
        <f t="shared" si="215"/>
        <v>0</v>
      </c>
      <c r="CB304" s="40">
        <f t="shared" si="215"/>
        <v>0</v>
      </c>
      <c r="CC304" s="40">
        <f t="shared" si="215"/>
        <v>0</v>
      </c>
      <c r="CD304" s="40">
        <f t="shared" si="215"/>
        <v>0</v>
      </c>
      <c r="CE304" s="307"/>
      <c r="CF304" s="307"/>
      <c r="CG304" s="307"/>
    </row>
    <row r="305" spans="2:85" s="25" customFormat="1">
      <c r="B305" s="499" t="s">
        <v>669</v>
      </c>
      <c r="C305" s="499"/>
      <c r="D305" s="499"/>
      <c r="E305" s="499"/>
      <c r="F305" s="499"/>
      <c r="G305" s="499"/>
      <c r="H305" s="499"/>
      <c r="I305" s="499"/>
      <c r="J305" s="499"/>
      <c r="K305" s="499"/>
      <c r="L305" s="499"/>
      <c r="M305" s="499"/>
      <c r="N305" s="499"/>
      <c r="O305" s="499"/>
      <c r="P305" s="499"/>
      <c r="Q305" s="499"/>
      <c r="R305" s="499"/>
      <c r="S305" s="499"/>
      <c r="T305" s="499"/>
      <c r="U305" s="499"/>
      <c r="V305" s="499"/>
      <c r="W305" s="499"/>
      <c r="X305" s="499"/>
      <c r="Y305" s="499"/>
      <c r="Z305" s="499"/>
      <c r="AA305" s="499"/>
      <c r="AB305" s="499"/>
      <c r="AC305" s="499"/>
      <c r="AD305" s="499"/>
      <c r="AE305" s="499"/>
      <c r="AF305" s="499"/>
      <c r="AG305" s="499"/>
      <c r="AH305" s="499"/>
      <c r="AI305" s="499"/>
      <c r="AJ305" s="499"/>
      <c r="AK305" s="499"/>
      <c r="AL305" s="499"/>
      <c r="AM305" s="499"/>
      <c r="AN305" s="499"/>
      <c r="AO305" s="499"/>
      <c r="AP305" s="499"/>
      <c r="AQ305" s="499"/>
      <c r="AR305" s="499"/>
      <c r="AS305" s="499"/>
      <c r="AT305" s="499"/>
      <c r="AU305" s="499"/>
      <c r="AV305" s="461"/>
      <c r="AW305" s="461"/>
      <c r="AX305" s="461"/>
      <c r="AY305" s="461"/>
      <c r="AZ305" s="461"/>
      <c r="BA305" s="461"/>
      <c r="BB305" s="461"/>
      <c r="BC305" s="461"/>
      <c r="BD305" s="461"/>
      <c r="BE305" s="461"/>
      <c r="BF305" s="461"/>
      <c r="BG305" s="461"/>
      <c r="BH305" s="307"/>
      <c r="BI305" s="307"/>
      <c r="BJ305" s="307"/>
      <c r="BK305" s="307"/>
      <c r="BU305" s="40">
        <f t="shared" si="214"/>
        <v>0</v>
      </c>
      <c r="BV305" s="40">
        <f t="shared" si="215"/>
        <v>0</v>
      </c>
      <c r="BW305" s="40">
        <f t="shared" si="215"/>
        <v>0</v>
      </c>
      <c r="BX305" s="40">
        <f t="shared" si="215"/>
        <v>0</v>
      </c>
      <c r="BY305" s="40">
        <f t="shared" si="215"/>
        <v>0</v>
      </c>
      <c r="BZ305" s="40">
        <f t="shared" si="215"/>
        <v>0</v>
      </c>
      <c r="CA305" s="40">
        <f t="shared" si="215"/>
        <v>0</v>
      </c>
      <c r="CB305" s="40">
        <f t="shared" si="215"/>
        <v>0</v>
      </c>
      <c r="CC305" s="40">
        <f t="shared" si="215"/>
        <v>0</v>
      </c>
      <c r="CD305" s="40">
        <f t="shared" si="215"/>
        <v>0</v>
      </c>
      <c r="CE305" s="307"/>
      <c r="CF305" s="307"/>
      <c r="CG305" s="307"/>
    </row>
    <row r="306" spans="2:85" s="25" customFormat="1">
      <c r="B306" s="499" t="s">
        <v>2296</v>
      </c>
      <c r="C306" s="499"/>
      <c r="D306" s="499"/>
      <c r="E306" s="499"/>
      <c r="F306" s="499"/>
      <c r="G306" s="499"/>
      <c r="H306" s="499"/>
      <c r="I306" s="499"/>
      <c r="J306" s="499"/>
      <c r="K306" s="499"/>
      <c r="L306" s="499"/>
      <c r="M306" s="499"/>
      <c r="N306" s="499"/>
      <c r="O306" s="499"/>
      <c r="P306" s="499"/>
      <c r="Q306" s="499"/>
      <c r="R306" s="499"/>
      <c r="S306" s="499"/>
      <c r="T306" s="499"/>
      <c r="U306" s="499"/>
      <c r="V306" s="499"/>
      <c r="W306" s="499"/>
      <c r="X306" s="499"/>
      <c r="Y306" s="499"/>
      <c r="Z306" s="499"/>
      <c r="AA306" s="499"/>
      <c r="AB306" s="499"/>
      <c r="AC306" s="499"/>
      <c r="AD306" s="499"/>
      <c r="AE306" s="499"/>
      <c r="AF306" s="499"/>
      <c r="AG306" s="499"/>
      <c r="AH306" s="499"/>
      <c r="AI306" s="499"/>
      <c r="AJ306" s="499"/>
      <c r="AK306" s="499"/>
      <c r="AL306" s="499"/>
      <c r="AM306" s="499"/>
      <c r="AN306" s="499"/>
      <c r="AO306" s="499"/>
      <c r="AP306" s="499"/>
      <c r="AQ306" s="499"/>
      <c r="AR306" s="499"/>
      <c r="AS306" s="499"/>
      <c r="AT306" s="499"/>
      <c r="AU306" s="499"/>
      <c r="AV306" s="461"/>
      <c r="AW306" s="461"/>
      <c r="AX306" s="461"/>
      <c r="AY306" s="461"/>
      <c r="AZ306" s="461"/>
      <c r="BA306" s="461"/>
      <c r="BB306" s="461"/>
      <c r="BC306" s="461"/>
      <c r="BD306" s="461"/>
      <c r="BE306" s="461"/>
      <c r="BF306" s="461"/>
      <c r="BG306" s="461"/>
      <c r="BH306" s="307"/>
      <c r="BI306" s="307"/>
      <c r="BJ306" s="307"/>
      <c r="BK306" s="307"/>
      <c r="BU306" s="40">
        <f t="shared" si="214"/>
        <v>0</v>
      </c>
      <c r="BV306" s="40">
        <f t="shared" si="215"/>
        <v>0</v>
      </c>
      <c r="BW306" s="40">
        <f t="shared" si="215"/>
        <v>0</v>
      </c>
      <c r="BX306" s="40">
        <f t="shared" si="215"/>
        <v>0</v>
      </c>
      <c r="BY306" s="40">
        <f t="shared" si="215"/>
        <v>0</v>
      </c>
      <c r="BZ306" s="40">
        <f t="shared" si="215"/>
        <v>0</v>
      </c>
      <c r="CA306" s="40">
        <f t="shared" si="215"/>
        <v>0</v>
      </c>
      <c r="CB306" s="40">
        <f t="shared" si="215"/>
        <v>0</v>
      </c>
      <c r="CC306" s="40">
        <f t="shared" si="215"/>
        <v>0</v>
      </c>
      <c r="CD306" s="40">
        <f t="shared" si="215"/>
        <v>0</v>
      </c>
      <c r="CE306" s="307"/>
      <c r="CF306" s="307"/>
      <c r="CG306" s="307"/>
    </row>
    <row r="307" spans="2:85" s="25" customFormat="1">
      <c r="B307" s="499" t="s">
        <v>108</v>
      </c>
      <c r="C307" s="499"/>
      <c r="D307" s="499"/>
      <c r="E307" s="499"/>
      <c r="F307" s="499"/>
      <c r="G307" s="499"/>
      <c r="H307" s="499"/>
      <c r="I307" s="499"/>
      <c r="J307" s="499"/>
      <c r="K307" s="499"/>
      <c r="L307" s="499"/>
      <c r="M307" s="499"/>
      <c r="N307" s="499"/>
      <c r="O307" s="499"/>
      <c r="P307" s="499"/>
      <c r="Q307" s="499"/>
      <c r="R307" s="499"/>
      <c r="S307" s="499"/>
      <c r="T307" s="499"/>
      <c r="U307" s="499"/>
      <c r="V307" s="499"/>
      <c r="W307" s="499"/>
      <c r="X307" s="499"/>
      <c r="Y307" s="499"/>
      <c r="Z307" s="499"/>
      <c r="AA307" s="499"/>
      <c r="AB307" s="499"/>
      <c r="AC307" s="499"/>
      <c r="AD307" s="499"/>
      <c r="AE307" s="499"/>
      <c r="AF307" s="499"/>
      <c r="AG307" s="499"/>
      <c r="AH307" s="499"/>
      <c r="AI307" s="499"/>
      <c r="AJ307" s="499"/>
      <c r="AK307" s="499"/>
      <c r="AL307" s="499"/>
      <c r="AM307" s="499"/>
      <c r="AN307" s="499"/>
      <c r="AO307" s="499"/>
      <c r="AP307" s="499"/>
      <c r="AQ307" s="499"/>
      <c r="AR307" s="499"/>
      <c r="AS307" s="499"/>
      <c r="AT307" s="499"/>
      <c r="AU307" s="499"/>
      <c r="AV307" s="461"/>
      <c r="AW307" s="461"/>
      <c r="AX307" s="461"/>
      <c r="AY307" s="461"/>
      <c r="AZ307" s="461"/>
      <c r="BA307" s="461"/>
      <c r="BB307" s="461"/>
      <c r="BC307" s="461"/>
      <c r="BD307" s="461"/>
      <c r="BE307" s="461"/>
      <c r="BF307" s="461"/>
      <c r="BG307" s="461"/>
      <c r="BH307" s="307"/>
      <c r="BI307" s="307"/>
      <c r="BJ307" s="307"/>
      <c r="BK307" s="307"/>
      <c r="BU307" s="40">
        <f t="shared" si="214"/>
        <v>0</v>
      </c>
      <c r="BV307" s="40">
        <f t="shared" ref="BV307:CD322" si="222">BU307</f>
        <v>0</v>
      </c>
      <c r="BW307" s="40">
        <f t="shared" si="222"/>
        <v>0</v>
      </c>
      <c r="BX307" s="40">
        <f t="shared" si="222"/>
        <v>0</v>
      </c>
      <c r="BY307" s="40">
        <f t="shared" si="222"/>
        <v>0</v>
      </c>
      <c r="BZ307" s="40">
        <f t="shared" si="222"/>
        <v>0</v>
      </c>
      <c r="CA307" s="40">
        <f t="shared" si="222"/>
        <v>0</v>
      </c>
      <c r="CB307" s="40">
        <f t="shared" si="222"/>
        <v>0</v>
      </c>
      <c r="CC307" s="40">
        <f t="shared" si="222"/>
        <v>0</v>
      </c>
      <c r="CD307" s="40">
        <f t="shared" si="222"/>
        <v>0</v>
      </c>
      <c r="CE307" s="307"/>
      <c r="CF307" s="307"/>
      <c r="CG307" s="307"/>
    </row>
    <row r="308" spans="2:85" s="25" customFormat="1">
      <c r="B308" s="499" t="s">
        <v>4086</v>
      </c>
      <c r="C308" s="499"/>
      <c r="D308" s="499"/>
      <c r="E308" s="499"/>
      <c r="F308" s="499"/>
      <c r="G308" s="499"/>
      <c r="H308" s="499"/>
      <c r="I308" s="499"/>
      <c r="J308" s="499"/>
      <c r="K308" s="499"/>
      <c r="L308" s="499"/>
      <c r="M308" s="499"/>
      <c r="N308" s="499"/>
      <c r="O308" s="499"/>
      <c r="P308" s="499"/>
      <c r="Q308" s="499"/>
      <c r="R308" s="499"/>
      <c r="S308" s="499"/>
      <c r="T308" s="499"/>
      <c r="U308" s="499"/>
      <c r="V308" s="499"/>
      <c r="W308" s="499"/>
      <c r="X308" s="499"/>
      <c r="Y308" s="499"/>
      <c r="Z308" s="499"/>
      <c r="AA308" s="499"/>
      <c r="AB308" s="499"/>
      <c r="AC308" s="499"/>
      <c r="AD308" s="499"/>
      <c r="AE308" s="499"/>
      <c r="AF308" s="499"/>
      <c r="AG308" s="499"/>
      <c r="AH308" s="499"/>
      <c r="AI308" s="499"/>
      <c r="AJ308" s="499"/>
      <c r="AK308" s="499"/>
      <c r="AL308" s="499"/>
      <c r="AM308" s="499"/>
      <c r="AN308" s="499"/>
      <c r="AO308" s="499"/>
      <c r="AP308" s="499"/>
      <c r="AQ308" s="499"/>
      <c r="AR308" s="499"/>
      <c r="AS308" s="499"/>
      <c r="AT308" s="499"/>
      <c r="AU308" s="499"/>
      <c r="AV308" s="461"/>
      <c r="AW308" s="461"/>
      <c r="AX308" s="461"/>
      <c r="AY308" s="461"/>
      <c r="AZ308" s="461"/>
      <c r="BA308" s="461"/>
      <c r="BB308" s="461"/>
      <c r="BC308" s="461"/>
      <c r="BD308" s="461"/>
      <c r="BE308" s="461"/>
      <c r="BF308" s="461"/>
      <c r="BG308" s="461"/>
      <c r="BH308" s="307"/>
      <c r="BI308" s="307"/>
      <c r="BJ308" s="307"/>
      <c r="BK308" s="307"/>
      <c r="BU308" s="40">
        <f t="shared" si="214"/>
        <v>0</v>
      </c>
      <c r="BV308" s="40">
        <f t="shared" si="222"/>
        <v>0</v>
      </c>
      <c r="BW308" s="40">
        <f t="shared" si="222"/>
        <v>0</v>
      </c>
      <c r="BX308" s="40">
        <f t="shared" si="222"/>
        <v>0</v>
      </c>
      <c r="BY308" s="40">
        <f t="shared" si="222"/>
        <v>0</v>
      </c>
      <c r="BZ308" s="40">
        <f t="shared" si="222"/>
        <v>0</v>
      </c>
      <c r="CA308" s="40">
        <f t="shared" si="222"/>
        <v>0</v>
      </c>
      <c r="CB308" s="40">
        <f t="shared" si="222"/>
        <v>0</v>
      </c>
      <c r="CC308" s="40">
        <f t="shared" si="222"/>
        <v>0</v>
      </c>
      <c r="CD308" s="40">
        <f t="shared" si="222"/>
        <v>0</v>
      </c>
      <c r="CE308" s="307"/>
      <c r="CF308" s="307"/>
      <c r="CG308" s="307"/>
    </row>
    <row r="309" spans="2:85" s="25" customFormat="1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307"/>
      <c r="AW309" s="307"/>
      <c r="AX309" s="307"/>
      <c r="AY309" s="307"/>
      <c r="AZ309" s="307"/>
      <c r="BA309" s="307"/>
      <c r="BB309" s="307"/>
      <c r="BC309" s="307"/>
      <c r="BD309" s="307"/>
      <c r="BE309" s="307"/>
      <c r="BF309" s="307"/>
      <c r="BG309" s="307"/>
      <c r="BH309" s="307"/>
      <c r="BI309" s="307"/>
      <c r="BJ309" s="307"/>
      <c r="BK309" s="307"/>
      <c r="BU309" s="40">
        <f t="shared" si="214"/>
        <v>0</v>
      </c>
      <c r="BV309" s="40">
        <f t="shared" si="222"/>
        <v>0</v>
      </c>
      <c r="BW309" s="40">
        <f t="shared" si="222"/>
        <v>0</v>
      </c>
      <c r="BX309" s="40">
        <f t="shared" si="222"/>
        <v>0</v>
      </c>
      <c r="BY309" s="40">
        <f t="shared" si="222"/>
        <v>0</v>
      </c>
      <c r="BZ309" s="40">
        <f t="shared" si="222"/>
        <v>0</v>
      </c>
      <c r="CA309" s="40">
        <f t="shared" si="222"/>
        <v>0</v>
      </c>
      <c r="CB309" s="40">
        <f t="shared" si="222"/>
        <v>0</v>
      </c>
      <c r="CC309" s="40">
        <f t="shared" si="222"/>
        <v>0</v>
      </c>
      <c r="CD309" s="40">
        <f t="shared" si="222"/>
        <v>0</v>
      </c>
      <c r="CE309" s="307"/>
      <c r="CF309" s="307"/>
      <c r="CG309" s="307"/>
    </row>
    <row r="310" spans="2:85" s="25" customFormat="1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307"/>
      <c r="AW310" s="307"/>
      <c r="AX310" s="307"/>
      <c r="AY310" s="307"/>
      <c r="AZ310" s="307"/>
      <c r="BA310" s="307"/>
      <c r="BB310" s="307"/>
      <c r="BC310" s="307"/>
      <c r="BD310" s="307"/>
      <c r="BE310" s="307"/>
      <c r="BF310" s="307"/>
      <c r="BG310" s="307"/>
      <c r="BH310" s="307"/>
      <c r="BI310" s="307"/>
      <c r="BJ310" s="307"/>
      <c r="BK310" s="307"/>
      <c r="BU310" s="40">
        <f t="shared" si="214"/>
        <v>0</v>
      </c>
      <c r="BV310" s="40">
        <f t="shared" si="222"/>
        <v>0</v>
      </c>
      <c r="BW310" s="40">
        <f t="shared" si="222"/>
        <v>0</v>
      </c>
      <c r="BX310" s="40">
        <f t="shared" si="222"/>
        <v>0</v>
      </c>
      <c r="BY310" s="40">
        <f t="shared" si="222"/>
        <v>0</v>
      </c>
      <c r="BZ310" s="40">
        <f t="shared" si="222"/>
        <v>0</v>
      </c>
      <c r="CA310" s="40">
        <f t="shared" si="222"/>
        <v>0</v>
      </c>
      <c r="CB310" s="40">
        <f t="shared" si="222"/>
        <v>0</v>
      </c>
      <c r="CC310" s="40">
        <f t="shared" si="222"/>
        <v>0</v>
      </c>
      <c r="CD310" s="40">
        <f t="shared" si="222"/>
        <v>0</v>
      </c>
      <c r="CE310" s="307"/>
      <c r="CF310" s="307"/>
      <c r="CG310" s="307"/>
    </row>
    <row r="311" spans="2:85" s="25" customFormat="1" ht="20.25" hidden="1">
      <c r="B311" s="658" t="s">
        <v>298</v>
      </c>
      <c r="C311" s="659"/>
      <c r="D311" s="659"/>
      <c r="E311" s="659"/>
      <c r="F311" s="659"/>
      <c r="G311" s="659"/>
      <c r="H311" s="659"/>
      <c r="I311" s="659"/>
      <c r="J311" s="659"/>
      <c r="K311" s="659"/>
      <c r="L311" s="659"/>
      <c r="M311" s="659"/>
      <c r="N311" s="659"/>
      <c r="O311" s="659"/>
      <c r="P311" s="659"/>
      <c r="Q311" s="659"/>
      <c r="R311" s="659"/>
      <c r="S311" s="659"/>
      <c r="T311" s="659"/>
      <c r="U311" s="659"/>
      <c r="V311" s="659"/>
      <c r="W311" s="659"/>
      <c r="X311" s="659"/>
      <c r="Y311" s="659"/>
      <c r="Z311" s="659"/>
      <c r="AA311" s="659"/>
      <c r="AB311" s="659"/>
      <c r="AC311" s="659"/>
      <c r="AD311" s="659"/>
      <c r="AE311" s="659"/>
      <c r="AF311" s="659"/>
      <c r="AG311" s="659"/>
      <c r="AH311" s="659"/>
      <c r="AI311" s="659"/>
      <c r="AJ311" s="659"/>
      <c r="AK311" s="659"/>
      <c r="AL311" s="659"/>
      <c r="AM311" s="659"/>
      <c r="AN311" s="659"/>
      <c r="AO311" s="659"/>
      <c r="AP311" s="659"/>
      <c r="AQ311" s="659"/>
      <c r="AR311" s="659"/>
      <c r="AS311" s="659"/>
      <c r="AT311" s="659"/>
      <c r="AU311" s="659"/>
      <c r="AV311" s="307"/>
      <c r="AW311" s="307"/>
      <c r="AX311" s="307"/>
      <c r="AY311" s="307"/>
      <c r="AZ311" s="307"/>
      <c r="BA311" s="307"/>
      <c r="BB311" s="307"/>
      <c r="BC311" s="307"/>
      <c r="BD311" s="307"/>
      <c r="BE311" s="307"/>
      <c r="BF311" s="307"/>
      <c r="BG311" s="307"/>
      <c r="BH311" s="307"/>
      <c r="BI311" s="307"/>
      <c r="BJ311" s="307"/>
      <c r="BK311" s="307"/>
      <c r="BU311" s="40">
        <f t="shared" si="214"/>
        <v>0</v>
      </c>
      <c r="BV311" s="40">
        <f t="shared" si="222"/>
        <v>0</v>
      </c>
      <c r="BW311" s="40">
        <f t="shared" si="222"/>
        <v>0</v>
      </c>
      <c r="BX311" s="40">
        <f t="shared" si="222"/>
        <v>0</v>
      </c>
      <c r="BY311" s="40">
        <f t="shared" si="222"/>
        <v>0</v>
      </c>
      <c r="BZ311" s="40">
        <f t="shared" si="222"/>
        <v>0</v>
      </c>
      <c r="CA311" s="40">
        <f t="shared" si="222"/>
        <v>0</v>
      </c>
      <c r="CB311" s="40">
        <f t="shared" si="222"/>
        <v>0</v>
      </c>
      <c r="CC311" s="40">
        <f t="shared" si="222"/>
        <v>0</v>
      </c>
      <c r="CD311" s="40">
        <f t="shared" si="222"/>
        <v>0</v>
      </c>
      <c r="CE311" s="307"/>
      <c r="CF311" s="307"/>
      <c r="CG311" s="307"/>
    </row>
    <row r="312" spans="2:85" s="25" customFormat="1" hidden="1">
      <c r="B312" s="238" t="s">
        <v>2313</v>
      </c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459">
        <f>SUM(AV313:AV319)</f>
        <v>-102.645749825</v>
      </c>
      <c r="AW312" s="459">
        <f t="shared" ref="AW312:BF312" si="223">SUM(AW313:AW319)</f>
        <v>-78.967247037999996</v>
      </c>
      <c r="AX312" s="459">
        <f t="shared" si="223"/>
        <v>-116.11115785500002</v>
      </c>
      <c r="AY312" s="459">
        <f t="shared" si="223"/>
        <v>-160.29373086999999</v>
      </c>
      <c r="AZ312" s="459">
        <f t="shared" si="223"/>
        <v>-292.68984118000003</v>
      </c>
      <c r="BA312" s="459">
        <f t="shared" si="223"/>
        <v>66.757900999999961</v>
      </c>
      <c r="BB312" s="459">
        <f t="shared" si="223"/>
        <v>73.075092500000025</v>
      </c>
      <c r="BC312" s="459">
        <f t="shared" si="223"/>
        <v>166.22600800000004</v>
      </c>
      <c r="BD312" s="459">
        <f t="shared" si="223"/>
        <v>107.22484899999996</v>
      </c>
      <c r="BE312" s="459">
        <f t="shared" si="223"/>
        <v>38.232569000000076</v>
      </c>
      <c r="BF312" s="459">
        <f t="shared" si="223"/>
        <v>219.53167300000013</v>
      </c>
      <c r="BG312" s="459"/>
      <c r="BH312" s="307"/>
      <c r="BI312" s="307"/>
      <c r="BJ312" s="307"/>
      <c r="BK312" s="307"/>
      <c r="BU312" s="40">
        <f t="shared" si="214"/>
        <v>0</v>
      </c>
      <c r="BV312" s="40">
        <f t="shared" si="222"/>
        <v>0</v>
      </c>
      <c r="BW312" s="40">
        <f t="shared" si="222"/>
        <v>0</v>
      </c>
      <c r="BX312" s="40">
        <f t="shared" si="222"/>
        <v>0</v>
      </c>
      <c r="BY312" s="40">
        <f t="shared" si="222"/>
        <v>0</v>
      </c>
      <c r="BZ312" s="40">
        <f t="shared" si="222"/>
        <v>0</v>
      </c>
      <c r="CA312" s="40">
        <f t="shared" si="222"/>
        <v>0</v>
      </c>
      <c r="CB312" s="40">
        <f t="shared" si="222"/>
        <v>0</v>
      </c>
      <c r="CC312" s="40">
        <f t="shared" si="222"/>
        <v>0</v>
      </c>
      <c r="CD312" s="40">
        <f t="shared" si="222"/>
        <v>0</v>
      </c>
      <c r="CE312" s="307"/>
      <c r="CF312" s="307"/>
      <c r="CG312" s="307"/>
    </row>
    <row r="313" spans="2:85" s="25" customFormat="1" hidden="1">
      <c r="B313" s="25" t="s">
        <v>1024</v>
      </c>
      <c r="D313" s="25" t="s">
        <v>1371</v>
      </c>
      <c r="AV313" s="307">
        <f t="shared" ref="AV313:BF313" si="224">AV390</f>
        <v>-30.565108252999998</v>
      </c>
      <c r="AW313" s="307">
        <f t="shared" si="224"/>
        <v>-39.966346797</v>
      </c>
      <c r="AX313" s="307">
        <f t="shared" si="224"/>
        <v>-47.100897854999999</v>
      </c>
      <c r="AY313" s="307">
        <f t="shared" si="224"/>
        <v>-58.838299999999997</v>
      </c>
      <c r="AZ313" s="307">
        <f t="shared" si="224"/>
        <v>-120.88800000000001</v>
      </c>
      <c r="BA313" s="307">
        <f>BA390/1000</f>
        <v>53.263122999999993</v>
      </c>
      <c r="BB313" s="307">
        <f>BB390/1000</f>
        <v>68.756902000000011</v>
      </c>
      <c r="BC313" s="307">
        <f>BC390/1000</f>
        <v>130.27323699999999</v>
      </c>
      <c r="BD313" s="307">
        <f t="shared" si="224"/>
        <v>101.45527699999997</v>
      </c>
      <c r="BE313" s="307">
        <f t="shared" si="224"/>
        <v>26.789078000000075</v>
      </c>
      <c r="BF313" s="307">
        <f t="shared" si="224"/>
        <v>192.33783800000003</v>
      </c>
      <c r="BG313" s="307">
        <f>BG395</f>
        <v>767.150217</v>
      </c>
      <c r="BH313" s="307"/>
      <c r="BI313" s="307"/>
      <c r="BJ313" s="307"/>
      <c r="BK313" s="307"/>
      <c r="BU313" s="40">
        <f t="shared" si="214"/>
        <v>0</v>
      </c>
      <c r="BV313" s="40">
        <f t="shared" si="222"/>
        <v>0</v>
      </c>
      <c r="BW313" s="40">
        <f t="shared" si="222"/>
        <v>0</v>
      </c>
      <c r="BX313" s="40">
        <f t="shared" si="222"/>
        <v>0</v>
      </c>
      <c r="BY313" s="40">
        <f t="shared" si="222"/>
        <v>0</v>
      </c>
      <c r="BZ313" s="40">
        <f t="shared" si="222"/>
        <v>0</v>
      </c>
      <c r="CA313" s="40">
        <f t="shared" si="222"/>
        <v>0</v>
      </c>
      <c r="CB313" s="40">
        <f t="shared" si="222"/>
        <v>0</v>
      </c>
      <c r="CC313" s="40">
        <f t="shared" si="222"/>
        <v>0</v>
      </c>
      <c r="CD313" s="40">
        <f t="shared" si="222"/>
        <v>0</v>
      </c>
      <c r="CE313" s="307"/>
      <c r="CF313" s="307"/>
      <c r="CG313" s="307"/>
    </row>
    <row r="314" spans="2:85" s="25" customFormat="1" hidden="1">
      <c r="B314" s="25" t="s">
        <v>4588</v>
      </c>
      <c r="D314" s="25" t="s">
        <v>1371</v>
      </c>
      <c r="AV314" s="307">
        <f t="shared" ref="AV314:BF314" si="225">AV464</f>
        <v>-33.597454522</v>
      </c>
      <c r="AW314" s="307">
        <f t="shared" si="225"/>
        <v>-23.858137741</v>
      </c>
      <c r="AX314" s="307">
        <f t="shared" si="225"/>
        <v>-52.465000000000003</v>
      </c>
      <c r="AY314" s="307">
        <f t="shared" si="225"/>
        <v>-86.272000000000006</v>
      </c>
      <c r="AZ314" s="307">
        <f t="shared" si="225"/>
        <v>-116.126</v>
      </c>
      <c r="BA314" s="307">
        <f>BA464/1000</f>
        <v>17.198227999999975</v>
      </c>
      <c r="BB314" s="307">
        <f>BB464/1000</f>
        <v>18.047166000000026</v>
      </c>
      <c r="BC314" s="307">
        <f>BC464/1000</f>
        <v>69.015062000000029</v>
      </c>
      <c r="BD314" s="307">
        <f t="shared" si="225"/>
        <v>76.853571999999986</v>
      </c>
      <c r="BE314" s="307">
        <f t="shared" si="225"/>
        <v>55.123491000000001</v>
      </c>
      <c r="BF314" s="307">
        <f t="shared" si="225"/>
        <v>80.398335000000088</v>
      </c>
      <c r="BG314" s="307"/>
      <c r="BH314" s="307"/>
      <c r="BI314" s="307"/>
      <c r="BJ314" s="307"/>
      <c r="BK314" s="307"/>
      <c r="BU314" s="40">
        <f t="shared" si="214"/>
        <v>0</v>
      </c>
      <c r="BV314" s="40">
        <f t="shared" si="222"/>
        <v>0</v>
      </c>
      <c r="BW314" s="40">
        <f t="shared" si="222"/>
        <v>0</v>
      </c>
      <c r="BX314" s="40">
        <f t="shared" si="222"/>
        <v>0</v>
      </c>
      <c r="BY314" s="40">
        <f t="shared" si="222"/>
        <v>0</v>
      </c>
      <c r="BZ314" s="40">
        <f t="shared" si="222"/>
        <v>0</v>
      </c>
      <c r="CA314" s="40">
        <f t="shared" si="222"/>
        <v>0</v>
      </c>
      <c r="CB314" s="40">
        <f t="shared" si="222"/>
        <v>0</v>
      </c>
      <c r="CC314" s="40">
        <f t="shared" si="222"/>
        <v>0</v>
      </c>
      <c r="CD314" s="40">
        <f t="shared" si="222"/>
        <v>0</v>
      </c>
      <c r="CE314" s="307"/>
      <c r="CF314" s="307"/>
      <c r="CG314" s="307"/>
    </row>
    <row r="315" spans="2:85" s="25" customFormat="1" hidden="1">
      <c r="B315" s="25" t="s">
        <v>3584</v>
      </c>
      <c r="D315" s="25" t="s">
        <v>1371</v>
      </c>
      <c r="AV315" s="307">
        <f>AV273-0</f>
        <v>0</v>
      </c>
      <c r="AW315" s="307">
        <f t="shared" ref="AW315:BF315" si="226">AW273-0</f>
        <v>0</v>
      </c>
      <c r="AX315" s="307">
        <f t="shared" si="226"/>
        <v>0</v>
      </c>
      <c r="AY315" s="307">
        <f t="shared" si="226"/>
        <v>0</v>
      </c>
      <c r="AZ315" s="307">
        <f t="shared" si="226"/>
        <v>0</v>
      </c>
      <c r="BA315" s="307">
        <f t="shared" si="226"/>
        <v>0</v>
      </c>
      <c r="BB315" s="307">
        <f t="shared" si="226"/>
        <v>0</v>
      </c>
      <c r="BC315" s="307">
        <f t="shared" si="226"/>
        <v>0</v>
      </c>
      <c r="BD315" s="307">
        <f t="shared" si="226"/>
        <v>0</v>
      </c>
      <c r="BE315" s="307">
        <f t="shared" si="226"/>
        <v>0</v>
      </c>
      <c r="BF315" s="307">
        <f t="shared" si="226"/>
        <v>0</v>
      </c>
      <c r="BG315" s="307"/>
      <c r="BH315" s="307"/>
      <c r="BI315" s="307"/>
      <c r="BJ315" s="307"/>
      <c r="BK315" s="307"/>
      <c r="BU315" s="40">
        <f t="shared" si="214"/>
        <v>0</v>
      </c>
      <c r="BV315" s="40">
        <f t="shared" si="222"/>
        <v>0</v>
      </c>
      <c r="BW315" s="40">
        <f t="shared" si="222"/>
        <v>0</v>
      </c>
      <c r="BX315" s="40">
        <f t="shared" si="222"/>
        <v>0</v>
      </c>
      <c r="BY315" s="40">
        <f t="shared" si="222"/>
        <v>0</v>
      </c>
      <c r="BZ315" s="40">
        <f t="shared" si="222"/>
        <v>0</v>
      </c>
      <c r="CA315" s="40">
        <f t="shared" si="222"/>
        <v>0</v>
      </c>
      <c r="CB315" s="40">
        <f t="shared" si="222"/>
        <v>0</v>
      </c>
      <c r="CC315" s="40">
        <f t="shared" si="222"/>
        <v>0</v>
      </c>
      <c r="CD315" s="40">
        <f t="shared" si="222"/>
        <v>0</v>
      </c>
      <c r="CE315" s="307"/>
      <c r="CF315" s="307"/>
      <c r="CG315" s="307"/>
    </row>
    <row r="316" spans="2:85" s="25" customFormat="1" hidden="1">
      <c r="B316" s="25" t="s">
        <v>3585</v>
      </c>
      <c r="C316" s="1"/>
      <c r="D316" s="25" t="s">
        <v>1372</v>
      </c>
      <c r="AV316" s="307">
        <v>-21.804707049999998</v>
      </c>
      <c r="AW316" s="307">
        <v>-9.2480624999999996</v>
      </c>
      <c r="AX316" s="307">
        <v>-13.89866</v>
      </c>
      <c r="AY316" s="307">
        <v>-12.00176387</v>
      </c>
      <c r="AZ316" s="307">
        <v>-52.625328179999997</v>
      </c>
      <c r="BA316" s="307">
        <v>0</v>
      </c>
      <c r="BB316" s="307">
        <v>0</v>
      </c>
      <c r="BC316" s="307">
        <v>0</v>
      </c>
      <c r="BD316" s="307">
        <v>0</v>
      </c>
      <c r="BE316" s="307">
        <v>0</v>
      </c>
      <c r="BF316" s="307">
        <v>0</v>
      </c>
      <c r="BG316" s="307"/>
      <c r="BH316" s="307"/>
      <c r="BI316" s="307"/>
      <c r="BJ316" s="307"/>
      <c r="BK316" s="307"/>
      <c r="BU316" s="40">
        <f t="shared" si="214"/>
        <v>0</v>
      </c>
      <c r="BV316" s="40">
        <f t="shared" si="222"/>
        <v>0</v>
      </c>
      <c r="BW316" s="40">
        <f t="shared" si="222"/>
        <v>0</v>
      </c>
      <c r="BX316" s="40">
        <f t="shared" si="222"/>
        <v>0</v>
      </c>
      <c r="BY316" s="40">
        <f t="shared" si="222"/>
        <v>0</v>
      </c>
      <c r="BZ316" s="40">
        <f t="shared" si="222"/>
        <v>0</v>
      </c>
      <c r="CA316" s="40">
        <f t="shared" si="222"/>
        <v>0</v>
      </c>
      <c r="CB316" s="40">
        <f t="shared" si="222"/>
        <v>0</v>
      </c>
      <c r="CC316" s="40">
        <f t="shared" si="222"/>
        <v>0</v>
      </c>
      <c r="CD316" s="40">
        <f t="shared" si="222"/>
        <v>0</v>
      </c>
      <c r="CE316" s="307"/>
      <c r="CF316" s="307"/>
      <c r="CG316" s="307"/>
    </row>
    <row r="317" spans="2:85" s="25" customFormat="1" hidden="1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307"/>
      <c r="AW317" s="307"/>
      <c r="AX317" s="307"/>
      <c r="AY317" s="307"/>
      <c r="AZ317" s="307"/>
      <c r="BA317" s="307"/>
      <c r="BB317" s="307"/>
      <c r="BC317" s="307"/>
      <c r="BD317" s="307"/>
      <c r="BE317" s="307"/>
      <c r="BF317" s="307"/>
      <c r="BG317" s="307"/>
      <c r="BH317" s="307"/>
      <c r="BI317" s="307"/>
      <c r="BJ317" s="307"/>
      <c r="BK317" s="307"/>
      <c r="BU317" s="40">
        <f t="shared" si="214"/>
        <v>0</v>
      </c>
      <c r="BV317" s="40">
        <f t="shared" si="222"/>
        <v>0</v>
      </c>
      <c r="BW317" s="40">
        <f t="shared" si="222"/>
        <v>0</v>
      </c>
      <c r="BX317" s="40">
        <f t="shared" si="222"/>
        <v>0</v>
      </c>
      <c r="BY317" s="40">
        <f t="shared" si="222"/>
        <v>0</v>
      </c>
      <c r="BZ317" s="40">
        <f t="shared" si="222"/>
        <v>0</v>
      </c>
      <c r="CA317" s="40">
        <f t="shared" si="222"/>
        <v>0</v>
      </c>
      <c r="CB317" s="40">
        <f t="shared" si="222"/>
        <v>0</v>
      </c>
      <c r="CC317" s="40">
        <f t="shared" si="222"/>
        <v>0</v>
      </c>
      <c r="CD317" s="40">
        <f t="shared" si="222"/>
        <v>0</v>
      </c>
      <c r="CE317" s="307"/>
      <c r="CF317" s="307"/>
      <c r="CG317" s="307"/>
    </row>
    <row r="318" spans="2:85" s="25" customFormat="1" hidden="1">
      <c r="B318" s="458" t="s">
        <v>3945</v>
      </c>
      <c r="C318" s="233" t="s">
        <v>1397</v>
      </c>
      <c r="D318" s="1" t="s">
        <v>1370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307">
        <v>-16.67848</v>
      </c>
      <c r="AW318" s="307">
        <v>-5.8546000000000005</v>
      </c>
      <c r="AX318" s="307">
        <v>-2.6465999999999998</v>
      </c>
      <c r="AY318" s="307">
        <v>-3.0096849999999997</v>
      </c>
      <c r="AZ318" s="307">
        <v>-3.0505129999999996</v>
      </c>
      <c r="BA318" s="307">
        <v>-3.2677500000000004</v>
      </c>
      <c r="BB318" s="307">
        <v>-13.728975500000002</v>
      </c>
      <c r="BC318" s="307">
        <v>-23.429969999999997</v>
      </c>
      <c r="BD318" s="307">
        <v>-51.672599999999996</v>
      </c>
      <c r="BE318" s="307">
        <v>-39.585000000000001</v>
      </c>
      <c r="BF318" s="307">
        <v>-52.930250000000008</v>
      </c>
      <c r="BG318" s="307"/>
      <c r="BH318" s="307"/>
      <c r="BI318" s="307"/>
      <c r="BJ318" s="307"/>
      <c r="BK318" s="307"/>
      <c r="BU318" s="40">
        <f t="shared" si="214"/>
        <v>0</v>
      </c>
      <c r="BV318" s="40">
        <f t="shared" si="222"/>
        <v>0</v>
      </c>
      <c r="BW318" s="40">
        <f t="shared" si="222"/>
        <v>0</v>
      </c>
      <c r="BX318" s="40">
        <f t="shared" si="222"/>
        <v>0</v>
      </c>
      <c r="BY318" s="40">
        <f t="shared" si="222"/>
        <v>0</v>
      </c>
      <c r="BZ318" s="40">
        <f t="shared" si="222"/>
        <v>0</v>
      </c>
      <c r="CA318" s="40">
        <f t="shared" si="222"/>
        <v>0</v>
      </c>
      <c r="CB318" s="40">
        <f t="shared" si="222"/>
        <v>0</v>
      </c>
      <c r="CC318" s="40">
        <f t="shared" si="222"/>
        <v>0</v>
      </c>
      <c r="CD318" s="40">
        <f t="shared" si="222"/>
        <v>0</v>
      </c>
      <c r="CE318" s="307"/>
      <c r="CF318" s="307"/>
      <c r="CG318" s="307"/>
    </row>
    <row r="319" spans="2:85" s="25" customFormat="1" hidden="1">
      <c r="B319" s="530" t="s">
        <v>3381</v>
      </c>
      <c r="C319" s="233" t="s">
        <v>364</v>
      </c>
      <c r="D319" s="1" t="s">
        <v>1370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307">
        <v>0</v>
      </c>
      <c r="AW319" s="307">
        <v>-4.0100000000000004E-2</v>
      </c>
      <c r="AX319" s="307">
        <v>0</v>
      </c>
      <c r="AY319" s="307">
        <v>-0.171982</v>
      </c>
      <c r="AZ319" s="307">
        <v>0</v>
      </c>
      <c r="BA319" s="307">
        <v>-0.43570000000000003</v>
      </c>
      <c r="BB319" s="307">
        <v>0</v>
      </c>
      <c r="BC319" s="307">
        <v>-9.6323209999999992</v>
      </c>
      <c r="BD319" s="307">
        <v>-19.4114</v>
      </c>
      <c r="BE319" s="307">
        <v>-4.0949999999999998</v>
      </c>
      <c r="BF319" s="307">
        <v>-0.27425000000000005</v>
      </c>
      <c r="BG319" s="307"/>
      <c r="BH319" s="307"/>
      <c r="BI319" s="307"/>
      <c r="BJ319" s="307"/>
      <c r="BK319" s="307"/>
      <c r="BU319" s="40">
        <f t="shared" si="214"/>
        <v>0</v>
      </c>
      <c r="BV319" s="40">
        <f t="shared" si="222"/>
        <v>0</v>
      </c>
      <c r="BW319" s="40">
        <f t="shared" si="222"/>
        <v>0</v>
      </c>
      <c r="BX319" s="40">
        <f t="shared" si="222"/>
        <v>0</v>
      </c>
      <c r="BY319" s="40">
        <f t="shared" si="222"/>
        <v>0</v>
      </c>
      <c r="BZ319" s="40">
        <f t="shared" si="222"/>
        <v>0</v>
      </c>
      <c r="CA319" s="40">
        <f t="shared" si="222"/>
        <v>0</v>
      </c>
      <c r="CB319" s="40">
        <f t="shared" si="222"/>
        <v>0</v>
      </c>
      <c r="CC319" s="40">
        <f t="shared" si="222"/>
        <v>0</v>
      </c>
      <c r="CD319" s="40">
        <f t="shared" si="222"/>
        <v>0</v>
      </c>
      <c r="CE319" s="307"/>
      <c r="CF319" s="307"/>
      <c r="CG319" s="307"/>
    </row>
    <row r="320" spans="2:85" s="25" customFormat="1" hidden="1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307"/>
      <c r="AW320" s="307"/>
      <c r="AX320" s="307"/>
      <c r="AY320" s="307"/>
      <c r="AZ320" s="307"/>
      <c r="BA320" s="307"/>
      <c r="BB320" s="307"/>
      <c r="BC320" s="307"/>
      <c r="BD320" s="307"/>
      <c r="BE320" s="307"/>
      <c r="BF320" s="307"/>
      <c r="BG320" s="307"/>
      <c r="BH320" s="307"/>
      <c r="BI320" s="307"/>
      <c r="BJ320" s="307"/>
      <c r="BK320" s="307"/>
      <c r="BU320" s="40">
        <f t="shared" si="214"/>
        <v>0</v>
      </c>
      <c r="BV320" s="40">
        <f t="shared" si="222"/>
        <v>0</v>
      </c>
      <c r="BW320" s="40">
        <f t="shared" si="222"/>
        <v>0</v>
      </c>
      <c r="BX320" s="40">
        <f t="shared" si="222"/>
        <v>0</v>
      </c>
      <c r="BY320" s="40">
        <f t="shared" si="222"/>
        <v>0</v>
      </c>
      <c r="BZ320" s="40">
        <f t="shared" si="222"/>
        <v>0</v>
      </c>
      <c r="CA320" s="40">
        <f t="shared" si="222"/>
        <v>0</v>
      </c>
      <c r="CB320" s="40">
        <f t="shared" si="222"/>
        <v>0</v>
      </c>
      <c r="CC320" s="40">
        <f t="shared" si="222"/>
        <v>0</v>
      </c>
      <c r="CD320" s="40">
        <f t="shared" si="222"/>
        <v>0</v>
      </c>
      <c r="CE320" s="307"/>
      <c r="CF320" s="307"/>
      <c r="CG320" s="307"/>
    </row>
    <row r="321" spans="2:91" s="25" customFormat="1" hidden="1">
      <c r="B321" s="238" t="s">
        <v>2226</v>
      </c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459">
        <f>SUM(AV322:AV329)</f>
        <v>-30.627863524999999</v>
      </c>
      <c r="AW321" s="459">
        <f t="shared" ref="AW321:BF321" si="227">SUM(AW322:AW329)</f>
        <v>-14.369835</v>
      </c>
      <c r="AX321" s="459">
        <f t="shared" si="227"/>
        <v>-21.443876000000007</v>
      </c>
      <c r="AY321" s="459">
        <f t="shared" si="227"/>
        <v>-19.682479989999997</v>
      </c>
      <c r="AZ321" s="459">
        <f t="shared" si="227"/>
        <v>-66.633814399999991</v>
      </c>
      <c r="BA321" s="459">
        <f t="shared" si="227"/>
        <v>-36.380949999999984</v>
      </c>
      <c r="BB321" s="459">
        <f t="shared" si="227"/>
        <v>-30.250285000000005</v>
      </c>
      <c r="BC321" s="459">
        <f t="shared" si="227"/>
        <v>-55.190595999999992</v>
      </c>
      <c r="BD321" s="459">
        <f t="shared" si="227"/>
        <v>-54.133200000000002</v>
      </c>
      <c r="BE321" s="459">
        <f t="shared" si="227"/>
        <v>-56.237999999999992</v>
      </c>
      <c r="BF321" s="459">
        <f t="shared" si="227"/>
        <v>-63.363564770000011</v>
      </c>
      <c r="BG321" s="459"/>
      <c r="BH321" s="307"/>
      <c r="BI321" s="307"/>
      <c r="BJ321" s="307"/>
      <c r="BK321" s="307"/>
      <c r="BU321" s="40">
        <f t="shared" si="214"/>
        <v>0</v>
      </c>
      <c r="BV321" s="40">
        <f t="shared" si="222"/>
        <v>0</v>
      </c>
      <c r="BW321" s="40">
        <f t="shared" si="222"/>
        <v>0</v>
      </c>
      <c r="BX321" s="40">
        <f t="shared" si="222"/>
        <v>0</v>
      </c>
      <c r="BY321" s="40">
        <f t="shared" si="222"/>
        <v>0</v>
      </c>
      <c r="BZ321" s="40">
        <f t="shared" si="222"/>
        <v>0</v>
      </c>
      <c r="CA321" s="40">
        <f t="shared" si="222"/>
        <v>0</v>
      </c>
      <c r="CB321" s="40">
        <f t="shared" si="222"/>
        <v>0</v>
      </c>
      <c r="CC321" s="40">
        <f t="shared" si="222"/>
        <v>0</v>
      </c>
      <c r="CD321" s="40">
        <f t="shared" si="222"/>
        <v>0</v>
      </c>
      <c r="CE321" s="307"/>
      <c r="CF321" s="307"/>
      <c r="CG321" s="307"/>
    </row>
    <row r="322" spans="2:91" s="25" customFormat="1" hidden="1">
      <c r="B322" s="99" t="s">
        <v>2536</v>
      </c>
      <c r="D322" s="1" t="s">
        <v>1373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307">
        <v>-6.6188708250000001</v>
      </c>
      <c r="AW322" s="307">
        <v>-3.3433375000000005</v>
      </c>
      <c r="AX322" s="307">
        <v>-5.9596620000000007</v>
      </c>
      <c r="AY322" s="307">
        <v>-4.7037076999999998</v>
      </c>
      <c r="AZ322" s="307">
        <v>-35.728138779999995</v>
      </c>
      <c r="BA322" s="307">
        <v>0</v>
      </c>
      <c r="BB322" s="307">
        <v>0</v>
      </c>
      <c r="BC322" s="307">
        <v>0</v>
      </c>
      <c r="BD322" s="307">
        <v>0</v>
      </c>
      <c r="BE322" s="307">
        <v>0</v>
      </c>
      <c r="BF322" s="307">
        <v>0</v>
      </c>
      <c r="BG322" s="307"/>
      <c r="BH322" s="307"/>
      <c r="BI322" s="307"/>
      <c r="BJ322" s="307"/>
      <c r="BK322" s="307"/>
      <c r="BU322" s="40">
        <f t="shared" si="214"/>
        <v>0</v>
      </c>
      <c r="BV322" s="40">
        <f t="shared" si="222"/>
        <v>0</v>
      </c>
      <c r="BW322" s="40">
        <f t="shared" si="222"/>
        <v>0</v>
      </c>
      <c r="BX322" s="40">
        <f t="shared" si="222"/>
        <v>0</v>
      </c>
      <c r="BY322" s="40">
        <f t="shared" si="222"/>
        <v>0</v>
      </c>
      <c r="BZ322" s="40">
        <f t="shared" si="222"/>
        <v>0</v>
      </c>
      <c r="CA322" s="40">
        <f t="shared" si="222"/>
        <v>0</v>
      </c>
      <c r="CB322" s="40">
        <f t="shared" si="222"/>
        <v>0</v>
      </c>
      <c r="CC322" s="40">
        <f t="shared" si="222"/>
        <v>0</v>
      </c>
      <c r="CD322" s="40">
        <f t="shared" si="222"/>
        <v>0</v>
      </c>
      <c r="CE322" s="307"/>
      <c r="CF322" s="307"/>
      <c r="CG322" s="307"/>
    </row>
    <row r="323" spans="2:91" s="25" customFormat="1" hidden="1">
      <c r="B323" s="25" t="s">
        <v>2523</v>
      </c>
      <c r="C323" s="1"/>
      <c r="D323" s="25" t="s">
        <v>1372</v>
      </c>
      <c r="AV323" s="307">
        <v>-6.9789014750000007</v>
      </c>
      <c r="AW323" s="307">
        <v>-0.99147250000000042</v>
      </c>
      <c r="AX323" s="307">
        <v>-4.4575160000000018</v>
      </c>
      <c r="AY323" s="307">
        <v>-0.54346311999999841</v>
      </c>
      <c r="AZ323" s="307">
        <v>-4.8569472200000021</v>
      </c>
      <c r="BA323" s="307">
        <v>0</v>
      </c>
      <c r="BB323" s="307">
        <v>0</v>
      </c>
      <c r="BC323" s="307">
        <v>0</v>
      </c>
      <c r="BD323" s="307">
        <v>0</v>
      </c>
      <c r="BE323" s="307">
        <v>0</v>
      </c>
      <c r="BF323" s="307">
        <v>-2.2058147699999893</v>
      </c>
      <c r="BG323" s="307"/>
      <c r="BH323" s="307"/>
      <c r="BI323" s="307"/>
      <c r="BJ323" s="307"/>
      <c r="BK323" s="307"/>
      <c r="BU323" s="40">
        <f t="shared" si="214"/>
        <v>0</v>
      </c>
      <c r="BV323" s="40">
        <f t="shared" ref="BV323:CD333" si="228">BU323</f>
        <v>0</v>
      </c>
      <c r="BW323" s="40">
        <f t="shared" si="228"/>
        <v>0</v>
      </c>
      <c r="BX323" s="40">
        <f t="shared" si="228"/>
        <v>0</v>
      </c>
      <c r="BY323" s="40">
        <f t="shared" si="228"/>
        <v>0</v>
      </c>
      <c r="BZ323" s="40">
        <f t="shared" si="228"/>
        <v>0</v>
      </c>
      <c r="CA323" s="40">
        <f t="shared" si="228"/>
        <v>0</v>
      </c>
      <c r="CB323" s="40">
        <f t="shared" si="228"/>
        <v>0</v>
      </c>
      <c r="CC323" s="40">
        <f t="shared" si="228"/>
        <v>0</v>
      </c>
      <c r="CD323" s="40">
        <f t="shared" si="228"/>
        <v>0</v>
      </c>
      <c r="CE323" s="307"/>
      <c r="CF323" s="307"/>
      <c r="CG323" s="307"/>
    </row>
    <row r="324" spans="2:91" s="25" customFormat="1" hidden="1">
      <c r="B324" s="660" t="s">
        <v>3379</v>
      </c>
      <c r="C324" s="1"/>
      <c r="D324" s="25" t="s">
        <v>1371</v>
      </c>
      <c r="AV324" s="307">
        <v>0</v>
      </c>
      <c r="AW324" s="307">
        <v>0</v>
      </c>
      <c r="AX324" s="307">
        <v>0</v>
      </c>
      <c r="AY324" s="307">
        <v>0</v>
      </c>
      <c r="AZ324" s="307">
        <v>0</v>
      </c>
      <c r="BA324" s="307">
        <v>0</v>
      </c>
      <c r="BB324" s="307">
        <v>0</v>
      </c>
      <c r="BC324" s="307">
        <v>0</v>
      </c>
      <c r="BD324" s="307">
        <v>0</v>
      </c>
      <c r="BE324" s="307">
        <v>0</v>
      </c>
      <c r="BF324" s="307">
        <v>0</v>
      </c>
      <c r="BG324" s="307"/>
      <c r="BH324" s="307"/>
      <c r="BI324" s="307"/>
      <c r="BJ324" s="307"/>
      <c r="BK324" s="307"/>
      <c r="BU324" s="40">
        <f t="shared" si="214"/>
        <v>0</v>
      </c>
      <c r="BV324" s="40">
        <f t="shared" si="228"/>
        <v>0</v>
      </c>
      <c r="BW324" s="40">
        <f t="shared" si="228"/>
        <v>0</v>
      </c>
      <c r="BX324" s="40">
        <f t="shared" si="228"/>
        <v>0</v>
      </c>
      <c r="BY324" s="40">
        <f t="shared" si="228"/>
        <v>0</v>
      </c>
      <c r="BZ324" s="40">
        <f t="shared" si="228"/>
        <v>0</v>
      </c>
      <c r="CA324" s="40">
        <f t="shared" si="228"/>
        <v>0</v>
      </c>
      <c r="CB324" s="40">
        <f t="shared" si="228"/>
        <v>0</v>
      </c>
      <c r="CC324" s="40">
        <f t="shared" si="228"/>
        <v>0</v>
      </c>
      <c r="CD324" s="40">
        <f t="shared" si="228"/>
        <v>0</v>
      </c>
      <c r="CE324" s="307"/>
      <c r="CF324" s="307"/>
      <c r="CG324" s="307"/>
    </row>
    <row r="325" spans="2:91" s="25" customFormat="1" hidden="1">
      <c r="B325" s="99" t="s">
        <v>3832</v>
      </c>
      <c r="C325" s="1"/>
      <c r="D325" s="1" t="s">
        <v>1373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307">
        <v>-15.185836224999999</v>
      </c>
      <c r="AW325" s="307">
        <v>-5.904725</v>
      </c>
      <c r="AX325" s="307">
        <v>-7.9389979999999998</v>
      </c>
      <c r="AY325" s="307">
        <v>-7.2980561699999997</v>
      </c>
      <c r="AZ325" s="307">
        <v>-16.897189399999998</v>
      </c>
      <c r="BA325" s="307">
        <v>-27.4</v>
      </c>
      <c r="BB325" s="307">
        <v>-29.998000000000001</v>
      </c>
      <c r="BC325" s="307">
        <v>-45.859171000000003</v>
      </c>
      <c r="BD325" s="307">
        <v>-58.167188000000003</v>
      </c>
      <c r="BE325" s="307">
        <v>-86.042665580000005</v>
      </c>
      <c r="BF325" s="307">
        <v>-159.73000018149997</v>
      </c>
      <c r="BG325" s="307"/>
      <c r="BH325" s="307"/>
      <c r="BI325" s="307"/>
      <c r="BJ325" s="307"/>
      <c r="BK325" s="307"/>
      <c r="BU325" s="40">
        <f t="shared" si="214"/>
        <v>0</v>
      </c>
      <c r="BV325" s="40">
        <f t="shared" si="228"/>
        <v>0</v>
      </c>
      <c r="BW325" s="40">
        <f t="shared" si="228"/>
        <v>0</v>
      </c>
      <c r="BX325" s="40">
        <f t="shared" si="228"/>
        <v>0</v>
      </c>
      <c r="BY325" s="40">
        <f t="shared" si="228"/>
        <v>0</v>
      </c>
      <c r="BZ325" s="40">
        <f t="shared" si="228"/>
        <v>0</v>
      </c>
      <c r="CA325" s="40">
        <f t="shared" si="228"/>
        <v>0</v>
      </c>
      <c r="CB325" s="40">
        <f t="shared" si="228"/>
        <v>0</v>
      </c>
      <c r="CC325" s="40">
        <f t="shared" si="228"/>
        <v>0</v>
      </c>
      <c r="CD325" s="40">
        <f t="shared" si="228"/>
        <v>0</v>
      </c>
      <c r="CE325" s="307"/>
      <c r="CF325" s="307"/>
      <c r="CG325" s="307"/>
    </row>
    <row r="326" spans="2:91" s="25" customFormat="1" hidden="1">
      <c r="B326" s="499" t="s">
        <v>2524</v>
      </c>
      <c r="C326" s="1"/>
      <c r="D326" s="25" t="s">
        <v>1371</v>
      </c>
      <c r="AV326" s="307">
        <f>AV291-0</f>
        <v>0</v>
      </c>
      <c r="AW326" s="307">
        <f t="shared" ref="AW326:BF326" si="229">AW291-0</f>
        <v>0</v>
      </c>
      <c r="AX326" s="307">
        <f t="shared" si="229"/>
        <v>0</v>
      </c>
      <c r="AY326" s="307">
        <f t="shared" si="229"/>
        <v>0</v>
      </c>
      <c r="AZ326" s="307">
        <f t="shared" si="229"/>
        <v>0</v>
      </c>
      <c r="BA326" s="307">
        <f>BA291/1000-0</f>
        <v>27.4</v>
      </c>
      <c r="BB326" s="307">
        <f>BB291/1000-0</f>
        <v>29.998000000000001</v>
      </c>
      <c r="BC326" s="307">
        <f>BC291/1000-0</f>
        <v>45.859171000000003</v>
      </c>
      <c r="BD326" s="307">
        <f t="shared" si="229"/>
        <v>58.167188000000003</v>
      </c>
      <c r="BE326" s="307">
        <f t="shared" si="229"/>
        <v>86.042665580000005</v>
      </c>
      <c r="BF326" s="307">
        <f t="shared" si="229"/>
        <v>159.73000018149997</v>
      </c>
      <c r="BG326" s="307"/>
      <c r="BH326" s="307"/>
      <c r="BI326" s="307"/>
      <c r="BJ326" s="307"/>
      <c r="BK326" s="307"/>
      <c r="BU326" s="40">
        <f t="shared" si="214"/>
        <v>0</v>
      </c>
      <c r="BV326" s="40">
        <f t="shared" si="228"/>
        <v>0</v>
      </c>
      <c r="BW326" s="40">
        <f t="shared" si="228"/>
        <v>0</v>
      </c>
      <c r="BX326" s="40">
        <f t="shared" si="228"/>
        <v>0</v>
      </c>
      <c r="BY326" s="40">
        <f t="shared" si="228"/>
        <v>0</v>
      </c>
      <c r="BZ326" s="40">
        <f t="shared" si="228"/>
        <v>0</v>
      </c>
      <c r="CA326" s="40">
        <f t="shared" si="228"/>
        <v>0</v>
      </c>
      <c r="CB326" s="40">
        <f t="shared" si="228"/>
        <v>0</v>
      </c>
      <c r="CC326" s="40">
        <f t="shared" si="228"/>
        <v>0</v>
      </c>
      <c r="CD326" s="40">
        <f t="shared" si="228"/>
        <v>0</v>
      </c>
      <c r="CE326" s="307"/>
      <c r="CF326" s="307"/>
      <c r="CG326" s="307"/>
    </row>
    <row r="327" spans="2:91" s="25" customFormat="1" hidden="1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307"/>
      <c r="AW327" s="307"/>
      <c r="AX327" s="307"/>
      <c r="AY327" s="307"/>
      <c r="AZ327" s="307"/>
      <c r="BA327" s="307"/>
      <c r="BB327" s="307"/>
      <c r="BC327" s="307"/>
      <c r="BD327" s="307"/>
      <c r="BE327" s="307"/>
      <c r="BF327" s="307"/>
      <c r="BG327" s="307"/>
      <c r="BH327" s="307"/>
      <c r="BI327" s="307"/>
      <c r="BJ327" s="307"/>
      <c r="BK327" s="307"/>
      <c r="BU327" s="40">
        <f t="shared" si="214"/>
        <v>0</v>
      </c>
      <c r="BV327" s="40">
        <f t="shared" si="228"/>
        <v>0</v>
      </c>
      <c r="BW327" s="40">
        <f t="shared" si="228"/>
        <v>0</v>
      </c>
      <c r="BX327" s="40">
        <f t="shared" si="228"/>
        <v>0</v>
      </c>
      <c r="BY327" s="40">
        <f t="shared" si="228"/>
        <v>0</v>
      </c>
      <c r="BZ327" s="40">
        <f t="shared" si="228"/>
        <v>0</v>
      </c>
      <c r="CA327" s="40">
        <f t="shared" si="228"/>
        <v>0</v>
      </c>
      <c r="CB327" s="40">
        <f t="shared" si="228"/>
        <v>0</v>
      </c>
      <c r="CC327" s="40">
        <f t="shared" si="228"/>
        <v>0</v>
      </c>
      <c r="CD327" s="40">
        <f t="shared" si="228"/>
        <v>0</v>
      </c>
      <c r="CE327" s="307"/>
      <c r="CF327" s="307"/>
      <c r="CG327" s="307"/>
    </row>
    <row r="328" spans="2:91" s="25" customFormat="1" hidden="1">
      <c r="B328" s="661" t="s">
        <v>1427</v>
      </c>
      <c r="C328" s="1"/>
      <c r="D328" s="1" t="s">
        <v>1370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307">
        <v>-0.64148000000000005</v>
      </c>
      <c r="AW328" s="307">
        <v>-0.60150000000000003</v>
      </c>
      <c r="AX328" s="307">
        <v>-0.60150000000000003</v>
      </c>
      <c r="AY328" s="307">
        <v>-1.0318919999999998</v>
      </c>
      <c r="AZ328" s="307">
        <v>-1.061048</v>
      </c>
      <c r="BA328" s="307">
        <v>-1.7428000000000001</v>
      </c>
      <c r="BB328" s="307">
        <v>-1.1634725000000001</v>
      </c>
      <c r="BC328" s="307">
        <v>-15.099313999999998</v>
      </c>
      <c r="BD328" s="307">
        <v>-23.5124</v>
      </c>
      <c r="BE328" s="307">
        <v>-14.468999999999999</v>
      </c>
      <c r="BF328" s="307">
        <v>-4.1137499999999996</v>
      </c>
      <c r="BG328" s="307"/>
      <c r="BH328" s="307"/>
      <c r="BI328" s="307"/>
      <c r="BJ328" s="307"/>
      <c r="BK328" s="307"/>
      <c r="BU328" s="40">
        <f t="shared" si="214"/>
        <v>0</v>
      </c>
      <c r="BV328" s="40">
        <f t="shared" si="228"/>
        <v>0</v>
      </c>
      <c r="BW328" s="40">
        <f t="shared" si="228"/>
        <v>0</v>
      </c>
      <c r="BX328" s="40">
        <f t="shared" si="228"/>
        <v>0</v>
      </c>
      <c r="BY328" s="40">
        <f t="shared" si="228"/>
        <v>0</v>
      </c>
      <c r="BZ328" s="40">
        <f t="shared" si="228"/>
        <v>0</v>
      </c>
      <c r="CA328" s="40">
        <f t="shared" si="228"/>
        <v>0</v>
      </c>
      <c r="CB328" s="40">
        <f t="shared" si="228"/>
        <v>0</v>
      </c>
      <c r="CC328" s="40">
        <f t="shared" si="228"/>
        <v>0</v>
      </c>
      <c r="CD328" s="40">
        <f t="shared" si="228"/>
        <v>0</v>
      </c>
      <c r="CE328" s="307"/>
      <c r="CF328" s="307"/>
      <c r="CG328" s="307"/>
    </row>
    <row r="329" spans="2:91" s="25" customFormat="1" hidden="1">
      <c r="B329" s="458" t="s">
        <v>4315</v>
      </c>
      <c r="C329" s="1" t="s">
        <v>3380</v>
      </c>
      <c r="D329" s="1" t="s">
        <v>1370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307">
        <v>-1.2027749999999999</v>
      </c>
      <c r="AW329" s="307">
        <v>-3.5288000000000004</v>
      </c>
      <c r="AX329" s="307">
        <v>-2.4861999999999997</v>
      </c>
      <c r="AY329" s="307">
        <v>-6.1053610000000011</v>
      </c>
      <c r="AZ329" s="307">
        <v>-8.0904910000000019</v>
      </c>
      <c r="BA329" s="307">
        <v>-34.638149999999982</v>
      </c>
      <c r="BB329" s="307">
        <v>-29.086812500000004</v>
      </c>
      <c r="BC329" s="307">
        <v>-40.091281999999993</v>
      </c>
      <c r="BD329" s="307">
        <v>-30.620800000000006</v>
      </c>
      <c r="BE329" s="307">
        <v>-41.768999999999991</v>
      </c>
      <c r="BF329" s="307">
        <v>-57.044000000000018</v>
      </c>
      <c r="BG329" s="307"/>
      <c r="BH329" s="307"/>
      <c r="BI329" s="307"/>
      <c r="BJ329" s="307"/>
      <c r="BK329" s="307"/>
      <c r="BU329" s="40">
        <f t="shared" si="214"/>
        <v>0</v>
      </c>
      <c r="BV329" s="40">
        <f t="shared" si="228"/>
        <v>0</v>
      </c>
      <c r="BW329" s="40">
        <f t="shared" si="228"/>
        <v>0</v>
      </c>
      <c r="BX329" s="40">
        <f t="shared" si="228"/>
        <v>0</v>
      </c>
      <c r="BY329" s="40">
        <f t="shared" si="228"/>
        <v>0</v>
      </c>
      <c r="BZ329" s="40">
        <f t="shared" si="228"/>
        <v>0</v>
      </c>
      <c r="CA329" s="40">
        <f t="shared" si="228"/>
        <v>0</v>
      </c>
      <c r="CB329" s="40">
        <f t="shared" si="228"/>
        <v>0</v>
      </c>
      <c r="CC329" s="40">
        <f t="shared" si="228"/>
        <v>0</v>
      </c>
      <c r="CD329" s="40">
        <f t="shared" si="228"/>
        <v>0</v>
      </c>
      <c r="CE329" s="307"/>
      <c r="CF329" s="307"/>
      <c r="CG329" s="307"/>
    </row>
    <row r="330" spans="2:91" s="25" customFormat="1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307"/>
      <c r="AW330" s="307"/>
      <c r="AX330" s="307"/>
      <c r="AY330" s="307"/>
      <c r="AZ330" s="307"/>
      <c r="BA330" s="307"/>
      <c r="BB330" s="307"/>
      <c r="BC330" s="307"/>
      <c r="BD330" s="307"/>
      <c r="BE330" s="307"/>
      <c r="BF330" s="307"/>
      <c r="BG330" s="307"/>
      <c r="BH330" s="307"/>
      <c r="BI330" s="307"/>
      <c r="BJ330" s="307"/>
      <c r="BK330" s="307"/>
      <c r="BU330" s="40">
        <f t="shared" si="214"/>
        <v>0</v>
      </c>
      <c r="BV330" s="40">
        <f t="shared" si="228"/>
        <v>0</v>
      </c>
      <c r="BW330" s="40">
        <f t="shared" si="228"/>
        <v>0</v>
      </c>
      <c r="BX330" s="40">
        <f t="shared" si="228"/>
        <v>0</v>
      </c>
      <c r="BY330" s="40">
        <f t="shared" si="228"/>
        <v>0</v>
      </c>
      <c r="BZ330" s="40">
        <f t="shared" si="228"/>
        <v>0</v>
      </c>
      <c r="CA330" s="40">
        <f t="shared" si="228"/>
        <v>0</v>
      </c>
      <c r="CB330" s="40">
        <f t="shared" si="228"/>
        <v>0</v>
      </c>
      <c r="CC330" s="40">
        <f t="shared" si="228"/>
        <v>0</v>
      </c>
      <c r="CD330" s="40">
        <f t="shared" si="228"/>
        <v>0</v>
      </c>
      <c r="CE330" s="307"/>
      <c r="CF330" s="307"/>
      <c r="CG330" s="307"/>
    </row>
    <row r="331" spans="2:91" s="25" customFormat="1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307"/>
      <c r="AW331" s="307"/>
      <c r="AX331" s="307"/>
      <c r="AY331" s="307"/>
      <c r="AZ331" s="307"/>
      <c r="BA331" s="307"/>
      <c r="BB331" s="307"/>
      <c r="BC331" s="307"/>
      <c r="BD331" s="307"/>
      <c r="BE331" s="307"/>
      <c r="BF331" s="307"/>
      <c r="BG331" s="307"/>
      <c r="BH331" s="307"/>
      <c r="BI331" s="307"/>
      <c r="BJ331" s="307"/>
      <c r="BK331" s="307"/>
      <c r="BU331" s="40">
        <f t="shared" si="214"/>
        <v>0</v>
      </c>
      <c r="BV331" s="40">
        <f t="shared" si="228"/>
        <v>0</v>
      </c>
      <c r="BW331" s="40">
        <f t="shared" si="228"/>
        <v>0</v>
      </c>
      <c r="BX331" s="40">
        <f t="shared" si="228"/>
        <v>0</v>
      </c>
      <c r="BY331" s="40">
        <f t="shared" si="228"/>
        <v>0</v>
      </c>
      <c r="BZ331" s="40">
        <f t="shared" si="228"/>
        <v>0</v>
      </c>
      <c r="CA331" s="40">
        <f t="shared" si="228"/>
        <v>0</v>
      </c>
      <c r="CB331" s="40">
        <f t="shared" si="228"/>
        <v>0</v>
      </c>
      <c r="CC331" s="40">
        <f t="shared" si="228"/>
        <v>0</v>
      </c>
      <c r="CD331" s="40">
        <f t="shared" si="228"/>
        <v>0</v>
      </c>
      <c r="CE331" s="307"/>
      <c r="CF331" s="307"/>
      <c r="CG331" s="307"/>
    </row>
    <row r="332" spans="2:91" s="25" customFormat="1">
      <c r="B332" s="238" t="s">
        <v>4345</v>
      </c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59">
        <f>SUM(AV333:AV335)</f>
        <v>35.007000000000005</v>
      </c>
      <c r="AW332" s="459">
        <f t="shared" ref="AW332:BQ332" si="230">SUM(AW333:AW335)</f>
        <v>23.301000000000002</v>
      </c>
      <c r="AX332" s="459">
        <f t="shared" si="230"/>
        <v>46.06</v>
      </c>
      <c r="AY332" s="459">
        <f t="shared" si="230"/>
        <v>44.605999999999995</v>
      </c>
      <c r="AZ332" s="459">
        <f t="shared" si="230"/>
        <v>71.513000000000005</v>
      </c>
      <c r="BA332" s="459">
        <f t="shared" si="230"/>
        <v>133326.94399999999</v>
      </c>
      <c r="BB332" s="459">
        <f t="shared" si="230"/>
        <v>161976.07800000001</v>
      </c>
      <c r="BC332" s="459">
        <f t="shared" si="230"/>
        <v>197991.204</v>
      </c>
      <c r="BD332" s="459">
        <f t="shared" si="230"/>
        <v>260.59325200000001</v>
      </c>
      <c r="BE332" s="459">
        <f t="shared" si="230"/>
        <v>293.30445900000001</v>
      </c>
      <c r="BF332" s="459">
        <f t="shared" si="230"/>
        <v>338.6</v>
      </c>
      <c r="BG332" s="459">
        <f t="shared" si="230"/>
        <v>391.74811</v>
      </c>
      <c r="BH332" s="662">
        <f t="shared" si="230"/>
        <v>435.58792999999997</v>
      </c>
      <c r="BI332" s="662">
        <f t="shared" si="230"/>
        <v>499.92507599999999</v>
      </c>
      <c r="BJ332" s="662">
        <f t="shared" si="230"/>
        <v>535.20000000000005</v>
      </c>
      <c r="BK332" s="662">
        <f t="shared" si="230"/>
        <v>771.7</v>
      </c>
      <c r="BL332" s="662">
        <f t="shared" si="230"/>
        <v>978.6</v>
      </c>
      <c r="BM332" s="940">
        <f>SUM(BM333:BM335)</f>
        <v>1038.5999999999999</v>
      </c>
      <c r="BN332" s="940">
        <f t="shared" si="230"/>
        <v>978</v>
      </c>
      <c r="BO332" s="662">
        <f t="shared" si="230"/>
        <v>1167.5</v>
      </c>
      <c r="BP332" s="662">
        <f t="shared" si="230"/>
        <v>1298.3</v>
      </c>
      <c r="BQ332" s="662">
        <f t="shared" si="230"/>
        <v>1403.8</v>
      </c>
      <c r="BR332" s="662">
        <f>SUM(BR333:BR335)</f>
        <v>1505.6</v>
      </c>
      <c r="BS332" s="662">
        <f>SUM(BS333:BS335)</f>
        <v>1595.1</v>
      </c>
      <c r="BT332" s="662"/>
      <c r="BU332" s="40">
        <f t="shared" si="214"/>
        <v>0</v>
      </c>
      <c r="BV332" s="40">
        <f t="shared" si="228"/>
        <v>0</v>
      </c>
      <c r="BW332" s="40">
        <f t="shared" si="228"/>
        <v>0</v>
      </c>
      <c r="BX332" s="40">
        <f t="shared" si="228"/>
        <v>0</v>
      </c>
      <c r="BY332" s="40">
        <f t="shared" si="228"/>
        <v>0</v>
      </c>
      <c r="BZ332" s="40">
        <f t="shared" si="228"/>
        <v>0</v>
      </c>
      <c r="CA332" s="40">
        <f t="shared" si="228"/>
        <v>0</v>
      </c>
      <c r="CB332" s="40">
        <f t="shared" si="228"/>
        <v>0</v>
      </c>
      <c r="CC332" s="40">
        <f t="shared" si="228"/>
        <v>0</v>
      </c>
      <c r="CD332" s="40">
        <f t="shared" si="228"/>
        <v>0</v>
      </c>
      <c r="CE332" s="662"/>
      <c r="CF332" s="662"/>
      <c r="CG332" s="662"/>
      <c r="CM332" s="662">
        <f>SUM(CM333:CM335)</f>
        <v>931.07682424242421</v>
      </c>
    </row>
    <row r="333" spans="2:91" s="25" customFormat="1">
      <c r="B333" s="40" t="s">
        <v>285</v>
      </c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64">
        <v>10.8</v>
      </c>
      <c r="AW333" s="464">
        <v>10.5</v>
      </c>
      <c r="AX333" s="464">
        <v>25.9</v>
      </c>
      <c r="AY333" s="464">
        <v>25.9</v>
      </c>
      <c r="AZ333" s="464">
        <v>25.9</v>
      </c>
      <c r="BA333" s="464">
        <v>70001.656319999995</v>
      </c>
      <c r="BB333" s="464">
        <v>85728.712340000013</v>
      </c>
      <c r="BC333" s="464">
        <v>104755.87912</v>
      </c>
      <c r="BD333" s="464">
        <v>137.99663656000001</v>
      </c>
      <c r="BE333" s="464">
        <v>155.37488626999999</v>
      </c>
      <c r="BF333" s="464">
        <f>0.53*338.6</f>
        <v>179.45800000000003</v>
      </c>
      <c r="BG333" s="464">
        <f>0.53*391.74811</f>
        <v>207.62649830000001</v>
      </c>
      <c r="BH333" s="307">
        <f>0.53*435.58793</f>
        <v>230.86160290000001</v>
      </c>
      <c r="BI333" s="307">
        <f>0.53*499.925076</f>
        <v>264.96029027999998</v>
      </c>
      <c r="BJ333" s="307">
        <f>0.53*535.2</f>
        <v>283.65600000000006</v>
      </c>
      <c r="BK333" s="307">
        <f>0.53*771.7</f>
        <v>409.00100000000003</v>
      </c>
      <c r="BL333" s="475">
        <f>(0.53*978.6)</f>
        <v>518.65800000000002</v>
      </c>
      <c r="BM333" s="239">
        <f>0.53*1038.6</f>
        <v>550.45799999999997</v>
      </c>
      <c r="BN333">
        <f>0.53*978</f>
        <v>518.34</v>
      </c>
      <c r="BO333" s="307">
        <f>0.53*1167.5</f>
        <v>618.77499999999998</v>
      </c>
      <c r="BP333" s="307">
        <f>0.53*1298.3</f>
        <v>688.09900000000005</v>
      </c>
      <c r="BQ333" s="307">
        <f>0.53*1403.8</f>
        <v>744.01400000000001</v>
      </c>
      <c r="BR333" s="307">
        <f>0.53*1505.6</f>
        <v>797.96799999999996</v>
      </c>
      <c r="BS333" s="307">
        <f>0.53*1595.1</f>
        <v>845.40300000000002</v>
      </c>
      <c r="BT333" s="307"/>
      <c r="BU333" s="40">
        <f t="shared" si="214"/>
        <v>0</v>
      </c>
      <c r="BV333" s="40">
        <f t="shared" si="228"/>
        <v>0</v>
      </c>
      <c r="BW333" s="40">
        <f t="shared" si="228"/>
        <v>0</v>
      </c>
      <c r="BX333" s="40">
        <f t="shared" si="228"/>
        <v>0</v>
      </c>
      <c r="BY333" s="40">
        <f t="shared" si="228"/>
        <v>0</v>
      </c>
      <c r="BZ333" s="40">
        <f t="shared" si="228"/>
        <v>0</v>
      </c>
      <c r="CA333" s="40">
        <f t="shared" si="228"/>
        <v>0</v>
      </c>
      <c r="CB333" s="40">
        <f t="shared" si="228"/>
        <v>0</v>
      </c>
      <c r="CC333" s="40">
        <f t="shared" si="228"/>
        <v>0</v>
      </c>
      <c r="CD333" s="40">
        <f t="shared" si="228"/>
        <v>0</v>
      </c>
      <c r="CE333" s="307"/>
      <c r="CF333" s="307"/>
      <c r="CG333" s="307"/>
      <c r="CM333" s="475">
        <f>13/12*(0.53*856.64)</f>
        <v>491.85413333333332</v>
      </c>
    </row>
    <row r="334" spans="2:91" s="25" customFormat="1">
      <c r="B334" s="40" t="s">
        <v>2868</v>
      </c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0"/>
      <c r="AK334" s="40"/>
      <c r="AL334" s="40"/>
      <c r="AM334" s="40"/>
      <c r="AN334" s="40"/>
      <c r="AO334" s="40"/>
      <c r="AP334" s="40"/>
      <c r="AQ334" s="40"/>
      <c r="AR334" s="40"/>
      <c r="AS334" s="40"/>
      <c r="AT334" s="40"/>
      <c r="AU334" s="40"/>
      <c r="AV334" s="464">
        <v>24.207000000000001</v>
      </c>
      <c r="AW334" s="464">
        <v>12.801</v>
      </c>
      <c r="AX334" s="464">
        <v>20.16</v>
      </c>
      <c r="AY334" s="464">
        <v>18.706</v>
      </c>
      <c r="AZ334" s="464">
        <v>45.613</v>
      </c>
      <c r="BA334" s="464">
        <v>62663.663679999991</v>
      </c>
      <c r="BB334" s="464">
        <v>76128.756659999999</v>
      </c>
      <c r="BC334" s="464">
        <v>93055.865879999998</v>
      </c>
      <c r="BD334" s="464">
        <v>122.47882844</v>
      </c>
      <c r="BE334" s="464">
        <v>137.85309573000001</v>
      </c>
      <c r="BF334" s="464">
        <f>0.47*338.6</f>
        <v>159.142</v>
      </c>
      <c r="BG334" s="464">
        <f>0.47*391.74811</f>
        <v>184.12161169999999</v>
      </c>
      <c r="BH334" s="307">
        <f>0.47*435.58793</f>
        <v>204.72632709999996</v>
      </c>
      <c r="BI334" s="307">
        <f>0.47*499.925076</f>
        <v>234.96478571999998</v>
      </c>
      <c r="BJ334" s="307">
        <f>0.47*535.2</f>
        <v>251.54400000000001</v>
      </c>
      <c r="BK334" s="307">
        <f>0.47*771.7</f>
        <v>362.69900000000001</v>
      </c>
      <c r="BL334" s="475">
        <f>(0.47*978.6)</f>
        <v>459.94200000000001</v>
      </c>
      <c r="BM334" s="239">
        <f>0.47*1038.6</f>
        <v>488.14199999999994</v>
      </c>
      <c r="BN334">
        <f>0.47*978</f>
        <v>459.65999999999997</v>
      </c>
      <c r="BO334" s="307">
        <f>0.47*1167.5</f>
        <v>548.72500000000002</v>
      </c>
      <c r="BP334" s="307">
        <f>0.47*1298.3</f>
        <v>610.20099999999991</v>
      </c>
      <c r="BQ334" s="307">
        <f>0.47*1403.8</f>
        <v>659.78599999999994</v>
      </c>
      <c r="BR334" s="307">
        <f>0.47*1505.6</f>
        <v>707.63199999999995</v>
      </c>
      <c r="BS334" s="307">
        <f>0.47*1595.1</f>
        <v>749.69699999999989</v>
      </c>
      <c r="BT334" s="307"/>
      <c r="BU334" s="40">
        <f t="shared" si="214"/>
        <v>0</v>
      </c>
      <c r="BV334" s="40">
        <f t="shared" ref="BV334:CD334" si="231">BU334</f>
        <v>0</v>
      </c>
      <c r="BW334" s="40">
        <f t="shared" si="231"/>
        <v>0</v>
      </c>
      <c r="BX334" s="40">
        <f t="shared" si="231"/>
        <v>0</v>
      </c>
      <c r="BY334" s="40">
        <f t="shared" si="231"/>
        <v>0</v>
      </c>
      <c r="BZ334" s="40">
        <f t="shared" si="231"/>
        <v>0</v>
      </c>
      <c r="CA334" s="40">
        <f t="shared" si="231"/>
        <v>0</v>
      </c>
      <c r="CB334" s="40">
        <f t="shared" si="231"/>
        <v>0</v>
      </c>
      <c r="CC334" s="40">
        <f t="shared" si="231"/>
        <v>0</v>
      </c>
      <c r="CD334" s="40">
        <f t="shared" si="231"/>
        <v>0</v>
      </c>
      <c r="CE334" s="307"/>
      <c r="CF334" s="307"/>
      <c r="CG334" s="307"/>
      <c r="CM334" s="475">
        <f>12/11*(0.47*856.64)</f>
        <v>439.22269090909083</v>
      </c>
    </row>
    <row r="335" spans="2:91" s="25" customFormat="1">
      <c r="B335" s="25" t="s">
        <v>799</v>
      </c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307"/>
      <c r="AW335" s="307"/>
      <c r="AX335" s="307"/>
      <c r="AY335" s="307"/>
      <c r="AZ335" s="307"/>
      <c r="BA335" s="307">
        <v>661.62400000000014</v>
      </c>
      <c r="BB335" s="307">
        <v>118.60899999999999</v>
      </c>
      <c r="BC335" s="307">
        <v>179.459</v>
      </c>
      <c r="BD335" s="307">
        <v>0.117787</v>
      </c>
      <c r="BE335" s="307">
        <v>7.6477000000000003E-2</v>
      </c>
      <c r="BF335" s="307"/>
      <c r="BG335" s="307"/>
      <c r="BH335" s="307"/>
      <c r="BI335" s="307"/>
      <c r="BJ335" s="307"/>
      <c r="BK335" s="307"/>
      <c r="BL335" s="307"/>
      <c r="BU335" s="40">
        <f t="shared" si="214"/>
        <v>0</v>
      </c>
      <c r="BV335" s="40">
        <f t="shared" ref="BV335:CD335" si="232">BU335</f>
        <v>0</v>
      </c>
      <c r="BW335" s="40">
        <f t="shared" si="232"/>
        <v>0</v>
      </c>
      <c r="BX335" s="40">
        <f t="shared" si="232"/>
        <v>0</v>
      </c>
      <c r="BY335" s="40">
        <f t="shared" si="232"/>
        <v>0</v>
      </c>
      <c r="BZ335" s="40">
        <f t="shared" si="232"/>
        <v>0</v>
      </c>
      <c r="CA335" s="40">
        <f t="shared" si="232"/>
        <v>0</v>
      </c>
      <c r="CB335" s="40">
        <f t="shared" si="232"/>
        <v>0</v>
      </c>
      <c r="CC335" s="40">
        <f t="shared" si="232"/>
        <v>0</v>
      </c>
      <c r="CD335" s="40">
        <f t="shared" si="232"/>
        <v>0</v>
      </c>
      <c r="CE335" s="307"/>
      <c r="CF335" s="307"/>
      <c r="CG335" s="307"/>
    </row>
    <row r="336" spans="2:91" s="25" customFormat="1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307"/>
      <c r="AW336" s="307"/>
      <c r="AX336" s="307"/>
      <c r="AY336" s="307"/>
      <c r="AZ336" s="307"/>
      <c r="BA336" s="307"/>
      <c r="BB336" s="307"/>
      <c r="BC336" s="307"/>
      <c r="BD336" s="307"/>
      <c r="BE336" s="307"/>
      <c r="BF336" s="307"/>
      <c r="BG336" s="307"/>
      <c r="BH336" s="307"/>
      <c r="BI336" s="307"/>
      <c r="BJ336" s="307"/>
      <c r="BK336" s="307"/>
      <c r="BU336" s="40">
        <f t="shared" si="214"/>
        <v>0</v>
      </c>
      <c r="BV336" s="40">
        <f t="shared" ref="BV336:CD336" si="233">BU336</f>
        <v>0</v>
      </c>
      <c r="BW336" s="40">
        <f t="shared" si="233"/>
        <v>0</v>
      </c>
      <c r="BX336" s="40">
        <f t="shared" si="233"/>
        <v>0</v>
      </c>
      <c r="BY336" s="40">
        <f t="shared" si="233"/>
        <v>0</v>
      </c>
      <c r="BZ336" s="40">
        <f t="shared" si="233"/>
        <v>0</v>
      </c>
      <c r="CA336" s="40">
        <f t="shared" si="233"/>
        <v>0</v>
      </c>
      <c r="CB336" s="40">
        <f t="shared" si="233"/>
        <v>0</v>
      </c>
      <c r="CC336" s="40">
        <f t="shared" si="233"/>
        <v>0</v>
      </c>
      <c r="CD336" s="40">
        <f t="shared" si="233"/>
        <v>0</v>
      </c>
      <c r="CE336" s="307"/>
      <c r="CF336" s="307"/>
      <c r="CG336" s="307"/>
    </row>
    <row r="337" spans="2:91" s="25" customFormat="1">
      <c r="B337" s="459" t="s">
        <v>1244</v>
      </c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59">
        <f t="shared" ref="AV337:BE337" si="234">SUM(AV338:AV339)</f>
        <v>0.1477</v>
      </c>
      <c r="AW337" s="459">
        <f t="shared" si="234"/>
        <v>0.1351</v>
      </c>
      <c r="AX337" s="459">
        <f t="shared" si="234"/>
        <v>0.12429999999999999</v>
      </c>
      <c r="AY337" s="459">
        <f t="shared" si="234"/>
        <v>1.9</v>
      </c>
      <c r="AZ337" s="459">
        <f t="shared" si="234"/>
        <v>1.2</v>
      </c>
      <c r="BA337" s="459">
        <f t="shared" si="234"/>
        <v>33084.108999999997</v>
      </c>
      <c r="BB337" s="459">
        <f t="shared" si="234"/>
        <v>59691.717999999993</v>
      </c>
      <c r="BC337" s="459">
        <f t="shared" si="234"/>
        <v>65984.521000000008</v>
      </c>
      <c r="BD337" s="459">
        <f t="shared" si="234"/>
        <v>68.199097999999992</v>
      </c>
      <c r="BE337" s="459">
        <f t="shared" si="234"/>
        <v>94.246509360000005</v>
      </c>
      <c r="BF337" s="459">
        <f>SUM(BF338:BF339)</f>
        <v>101.715543</v>
      </c>
      <c r="BG337" s="459">
        <f>SUM(BG338:BG339)</f>
        <v>97.170175999999998</v>
      </c>
      <c r="BH337" s="459">
        <f>SUM(BH338:BH339)</f>
        <v>61.640619000000001</v>
      </c>
      <c r="BI337" s="663">
        <f>SUM(BI338:BI341)</f>
        <v>201.37370799999999</v>
      </c>
      <c r="BJ337" s="307">
        <f>SUM(BJ338:BJ339)</f>
        <v>100.946079</v>
      </c>
      <c r="BK337" s="307"/>
      <c r="BU337" s="40">
        <f t="shared" si="214"/>
        <v>0</v>
      </c>
      <c r="BV337" s="40">
        <f t="shared" ref="BV337:CD337" si="235">BU337</f>
        <v>0</v>
      </c>
      <c r="BW337" s="40">
        <f t="shared" si="235"/>
        <v>0</v>
      </c>
      <c r="BX337" s="40">
        <f t="shared" si="235"/>
        <v>0</v>
      </c>
      <c r="BY337" s="40">
        <f t="shared" si="235"/>
        <v>0</v>
      </c>
      <c r="BZ337" s="40">
        <f t="shared" si="235"/>
        <v>0</v>
      </c>
      <c r="CA337" s="40">
        <f t="shared" si="235"/>
        <v>0</v>
      </c>
      <c r="CB337" s="40">
        <f t="shared" si="235"/>
        <v>0</v>
      </c>
      <c r="CC337" s="40">
        <f t="shared" si="235"/>
        <v>0</v>
      </c>
      <c r="CD337" s="40">
        <f t="shared" si="235"/>
        <v>0</v>
      </c>
      <c r="CE337" s="307"/>
      <c r="CF337" s="307"/>
      <c r="CG337" s="307"/>
    </row>
    <row r="338" spans="2:91" s="307" customFormat="1">
      <c r="B338" s="464" t="s">
        <v>1048</v>
      </c>
      <c r="C338" s="464"/>
      <c r="D338" s="464"/>
      <c r="E338" s="464"/>
      <c r="F338" s="464"/>
      <c r="G338" s="464"/>
      <c r="H338" s="464"/>
      <c r="I338" s="464"/>
      <c r="J338" s="464"/>
      <c r="K338" s="464"/>
      <c r="L338" s="464"/>
      <c r="M338" s="464"/>
      <c r="N338" s="464"/>
      <c r="O338" s="464"/>
      <c r="P338" s="464"/>
      <c r="Q338" s="464"/>
      <c r="R338" s="464"/>
      <c r="S338" s="464"/>
      <c r="T338" s="464"/>
      <c r="U338" s="464"/>
      <c r="V338" s="464"/>
      <c r="W338" s="464"/>
      <c r="X338" s="464"/>
      <c r="Y338" s="464"/>
      <c r="Z338" s="464"/>
      <c r="AA338" s="464"/>
      <c r="AB338" s="464"/>
      <c r="AC338" s="464"/>
      <c r="AD338" s="464"/>
      <c r="AE338" s="464"/>
      <c r="AF338" s="464"/>
      <c r="AG338" s="464"/>
      <c r="AH338" s="464"/>
      <c r="AI338" s="464"/>
      <c r="AJ338" s="464"/>
      <c r="AK338" s="464"/>
      <c r="AL338" s="464"/>
      <c r="AM338" s="464"/>
      <c r="AN338" s="464"/>
      <c r="AO338" s="464"/>
      <c r="AP338" s="464"/>
      <c r="AQ338" s="464"/>
      <c r="AR338" s="464"/>
      <c r="AS338" s="464"/>
      <c r="AT338" s="464"/>
      <c r="AU338" s="464"/>
      <c r="AV338" s="464">
        <v>0.1477</v>
      </c>
      <c r="AW338" s="464">
        <v>0.1351</v>
      </c>
      <c r="AX338" s="464">
        <v>0.12429999999999999</v>
      </c>
      <c r="AY338" s="464">
        <v>1.9</v>
      </c>
      <c r="AZ338" s="464">
        <v>1.2</v>
      </c>
      <c r="BA338" s="464">
        <f>0.38*33084.109</f>
        <v>12571.96142</v>
      </c>
      <c r="BB338" s="464">
        <v>33415.581999999995</v>
      </c>
      <c r="BC338" s="464">
        <v>36106.646000000001</v>
      </c>
      <c r="BD338" s="464">
        <v>40.784562999999999</v>
      </c>
      <c r="BE338" s="464">
        <v>56.683041000000003</v>
      </c>
      <c r="BF338" s="464">
        <v>70.793452000000002</v>
      </c>
      <c r="BG338" s="464">
        <v>53.345999999999997</v>
      </c>
      <c r="BH338" s="307">
        <v>47.05</v>
      </c>
      <c r="BI338" s="307">
        <v>57.569000000000003</v>
      </c>
      <c r="BJ338" s="307">
        <v>84.113</v>
      </c>
      <c r="BU338" s="40">
        <f t="shared" si="214"/>
        <v>0</v>
      </c>
      <c r="BV338" s="40">
        <f t="shared" ref="BV338:CD338" si="236">BU338</f>
        <v>0</v>
      </c>
      <c r="BW338" s="40">
        <f t="shared" si="236"/>
        <v>0</v>
      </c>
      <c r="BX338" s="40">
        <f t="shared" si="236"/>
        <v>0</v>
      </c>
      <c r="BY338" s="40">
        <f t="shared" si="236"/>
        <v>0</v>
      </c>
      <c r="BZ338" s="40">
        <f t="shared" si="236"/>
        <v>0</v>
      </c>
      <c r="CA338" s="40">
        <f t="shared" si="236"/>
        <v>0</v>
      </c>
      <c r="CB338" s="40">
        <f t="shared" si="236"/>
        <v>0</v>
      </c>
      <c r="CC338" s="40">
        <f t="shared" si="236"/>
        <v>0</v>
      </c>
      <c r="CD338" s="40">
        <f t="shared" si="236"/>
        <v>0</v>
      </c>
    </row>
    <row r="339" spans="2:91" s="307" customFormat="1">
      <c r="B339" s="307" t="s">
        <v>3574</v>
      </c>
      <c r="C339" s="285"/>
      <c r="D339" s="285"/>
      <c r="E339" s="285"/>
      <c r="F339" s="285"/>
      <c r="G339" s="285"/>
      <c r="H339" s="285"/>
      <c r="I339" s="285"/>
      <c r="J339" s="285"/>
      <c r="K339" s="285"/>
      <c r="L339" s="285"/>
      <c r="M339" s="285"/>
      <c r="N339" s="285"/>
      <c r="O339" s="285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  <c r="AA339" s="285"/>
      <c r="AB339" s="285"/>
      <c r="AC339" s="285"/>
      <c r="AD339" s="285"/>
      <c r="AE339" s="285"/>
      <c r="AF339" s="285"/>
      <c r="AG339" s="285"/>
      <c r="AH339" s="285"/>
      <c r="AI339" s="285"/>
      <c r="AJ339" s="285"/>
      <c r="AK339" s="285"/>
      <c r="AL339" s="285"/>
      <c r="AM339" s="285"/>
      <c r="AN339" s="285"/>
      <c r="AO339" s="285"/>
      <c r="AP339" s="285"/>
      <c r="AQ339" s="285"/>
      <c r="AR339" s="285"/>
      <c r="AS339" s="285"/>
      <c r="AT339" s="285"/>
      <c r="AU339" s="285"/>
      <c r="BA339" s="307">
        <f>0.62*33084.109</f>
        <v>20512.147579999997</v>
      </c>
      <c r="BB339" s="307">
        <v>26276.135999999999</v>
      </c>
      <c r="BC339" s="307">
        <v>29877.875</v>
      </c>
      <c r="BD339" s="307">
        <v>27.414534999999997</v>
      </c>
      <c r="BE339" s="307">
        <v>37.563468360000002</v>
      </c>
      <c r="BF339" s="307">
        <v>30.922091000000002</v>
      </c>
      <c r="BG339" s="307">
        <v>43.824176000000001</v>
      </c>
      <c r="BH339" s="307">
        <v>14.590619</v>
      </c>
      <c r="BI339" s="307">
        <v>75.717528999999999</v>
      </c>
      <c r="BJ339" s="307">
        <v>16.833079000000001</v>
      </c>
      <c r="BU339" s="40">
        <f t="shared" si="214"/>
        <v>0</v>
      </c>
      <c r="BV339" s="40">
        <f t="shared" ref="BV339:CD339" si="237">BU339</f>
        <v>0</v>
      </c>
      <c r="BW339" s="40">
        <f t="shared" si="237"/>
        <v>0</v>
      </c>
      <c r="BX339" s="40">
        <f t="shared" si="237"/>
        <v>0</v>
      </c>
      <c r="BY339" s="40">
        <f t="shared" si="237"/>
        <v>0</v>
      </c>
      <c r="BZ339" s="40">
        <f t="shared" si="237"/>
        <v>0</v>
      </c>
      <c r="CA339" s="40">
        <f t="shared" si="237"/>
        <v>0</v>
      </c>
      <c r="CB339" s="40">
        <f t="shared" si="237"/>
        <v>0</v>
      </c>
      <c r="CC339" s="40">
        <f t="shared" si="237"/>
        <v>0</v>
      </c>
      <c r="CD339" s="40">
        <f t="shared" si="237"/>
        <v>0</v>
      </c>
    </row>
    <row r="340" spans="2:91" s="307" customFormat="1">
      <c r="C340" s="285"/>
      <c r="D340" s="285"/>
      <c r="E340" s="285"/>
      <c r="F340" s="285"/>
      <c r="G340" s="285"/>
      <c r="H340" s="285"/>
      <c r="I340" s="285"/>
      <c r="J340" s="285"/>
      <c r="K340" s="285"/>
      <c r="L340" s="285"/>
      <c r="M340" s="285"/>
      <c r="N340" s="285"/>
      <c r="O340" s="285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  <c r="AA340" s="285"/>
      <c r="AB340" s="285"/>
      <c r="AC340" s="285"/>
      <c r="AD340" s="285"/>
      <c r="AE340" s="285"/>
      <c r="AF340" s="285"/>
      <c r="AG340" s="285"/>
      <c r="AH340" s="285"/>
      <c r="AI340" s="285"/>
      <c r="AJ340" s="285"/>
      <c r="AK340" s="285"/>
      <c r="AL340" s="285"/>
      <c r="AM340" s="285"/>
      <c r="AN340" s="285"/>
      <c r="AO340" s="285"/>
      <c r="AP340" s="285"/>
      <c r="AQ340" s="285"/>
      <c r="AR340" s="285"/>
      <c r="AS340" s="285"/>
      <c r="AT340" s="285"/>
      <c r="AU340" s="285"/>
      <c r="BI340" s="307">
        <v>51.138838999999997</v>
      </c>
      <c r="BU340" s="40">
        <f t="shared" si="214"/>
        <v>0</v>
      </c>
      <c r="BV340" s="40">
        <f t="shared" ref="BV340:CD340" si="238">BU340</f>
        <v>0</v>
      </c>
      <c r="BW340" s="40">
        <f t="shared" si="238"/>
        <v>0</v>
      </c>
      <c r="BX340" s="40">
        <f t="shared" si="238"/>
        <v>0</v>
      </c>
      <c r="BY340" s="40">
        <f t="shared" si="238"/>
        <v>0</v>
      </c>
      <c r="BZ340" s="40">
        <f t="shared" si="238"/>
        <v>0</v>
      </c>
      <c r="CA340" s="40">
        <f t="shared" si="238"/>
        <v>0</v>
      </c>
      <c r="CB340" s="40">
        <f t="shared" si="238"/>
        <v>0</v>
      </c>
      <c r="CC340" s="40">
        <f t="shared" si="238"/>
        <v>0</v>
      </c>
      <c r="CD340" s="40">
        <f t="shared" si="238"/>
        <v>0</v>
      </c>
    </row>
    <row r="341" spans="2:91" s="25" customFormat="1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307"/>
      <c r="AW341" s="307"/>
      <c r="AX341" s="307"/>
      <c r="AY341" s="307"/>
      <c r="AZ341" s="307"/>
      <c r="BA341" s="307"/>
      <c r="BB341" s="307"/>
      <c r="BC341" s="307">
        <f>BC337-BC339</f>
        <v>36106.646000000008</v>
      </c>
      <c r="BD341" s="307"/>
      <c r="BE341" s="307"/>
      <c r="BF341" s="307"/>
      <c r="BG341" s="307"/>
      <c r="BH341" s="307"/>
      <c r="BI341" s="307">
        <v>16.948340000000002</v>
      </c>
      <c r="BJ341" s="307"/>
      <c r="BK341" s="307"/>
      <c r="BU341" s="40">
        <f t="shared" si="214"/>
        <v>0</v>
      </c>
      <c r="BV341" s="40">
        <f t="shared" ref="BV341:CD341" si="239">BU341</f>
        <v>0</v>
      </c>
      <c r="BW341" s="40">
        <f t="shared" si="239"/>
        <v>0</v>
      </c>
      <c r="BX341" s="40">
        <f t="shared" si="239"/>
        <v>0</v>
      </c>
      <c r="BY341" s="40">
        <f t="shared" si="239"/>
        <v>0</v>
      </c>
      <c r="BZ341" s="40">
        <f t="shared" si="239"/>
        <v>0</v>
      </c>
      <c r="CA341" s="40">
        <f t="shared" si="239"/>
        <v>0</v>
      </c>
      <c r="CB341" s="40">
        <f t="shared" si="239"/>
        <v>0</v>
      </c>
      <c r="CC341" s="40">
        <f t="shared" si="239"/>
        <v>0</v>
      </c>
      <c r="CD341" s="40">
        <f t="shared" si="239"/>
        <v>0</v>
      </c>
      <c r="CE341" s="307"/>
      <c r="CF341" s="307"/>
      <c r="CG341" s="307"/>
    </row>
    <row r="342" spans="2:91" s="25" customFormat="1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307"/>
      <c r="AW342" s="307"/>
      <c r="AX342" s="307"/>
      <c r="AY342" s="307"/>
      <c r="AZ342" s="307"/>
      <c r="BA342" s="307"/>
      <c r="BB342" s="307"/>
      <c r="BC342" s="307"/>
      <c r="BD342" s="307"/>
      <c r="BE342" s="307"/>
      <c r="BF342" s="307"/>
      <c r="BG342" s="307"/>
      <c r="BH342" s="307"/>
      <c r="BI342" s="307">
        <f>BI340+BI341</f>
        <v>68.087178999999992</v>
      </c>
      <c r="BJ342" s="307"/>
      <c r="BK342" s="307"/>
      <c r="BU342" s="40">
        <f t="shared" si="214"/>
        <v>0</v>
      </c>
      <c r="BV342" s="40">
        <f t="shared" ref="BV342:CD342" si="240">BU342</f>
        <v>0</v>
      </c>
      <c r="BW342" s="40">
        <f t="shared" si="240"/>
        <v>0</v>
      </c>
      <c r="BX342" s="40">
        <f t="shared" si="240"/>
        <v>0</v>
      </c>
      <c r="BY342" s="40">
        <f t="shared" si="240"/>
        <v>0</v>
      </c>
      <c r="BZ342" s="40">
        <f t="shared" si="240"/>
        <v>0</v>
      </c>
      <c r="CA342" s="40">
        <f t="shared" si="240"/>
        <v>0</v>
      </c>
      <c r="CB342" s="40">
        <f t="shared" si="240"/>
        <v>0</v>
      </c>
      <c r="CC342" s="40">
        <f t="shared" si="240"/>
        <v>0</v>
      </c>
      <c r="CD342" s="40">
        <f t="shared" si="240"/>
        <v>0</v>
      </c>
      <c r="CE342" s="307"/>
      <c r="CF342" s="307"/>
      <c r="CG342" s="307"/>
    </row>
    <row r="343" spans="2:91" s="25" customFormat="1" ht="24" thickBot="1">
      <c r="B343" s="664" t="s">
        <v>3036</v>
      </c>
      <c r="C343" s="642"/>
      <c r="D343" s="642"/>
      <c r="E343" s="642"/>
      <c r="F343" s="642"/>
      <c r="G343" s="642"/>
      <c r="H343" s="642"/>
      <c r="I343" s="642"/>
      <c r="J343" s="642"/>
      <c r="K343" s="642"/>
      <c r="L343" s="642"/>
      <c r="M343" s="642"/>
      <c r="N343" s="642"/>
      <c r="O343" s="642"/>
      <c r="P343" s="642"/>
      <c r="Q343" s="642"/>
      <c r="R343" s="642"/>
      <c r="S343" s="642"/>
      <c r="T343" s="642"/>
      <c r="U343" s="642"/>
      <c r="V343" s="642"/>
      <c r="W343" s="642"/>
      <c r="X343" s="642"/>
      <c r="Y343" s="642"/>
      <c r="Z343" s="642"/>
      <c r="AA343" s="642"/>
      <c r="AB343" s="642"/>
      <c r="AC343" s="642"/>
      <c r="AD343" s="642"/>
      <c r="AE343" s="642"/>
      <c r="AF343" s="642"/>
      <c r="AG343" s="642"/>
      <c r="AH343" s="642"/>
      <c r="AI343" s="642"/>
      <c r="AJ343" s="642"/>
      <c r="AK343" s="642"/>
      <c r="AL343" s="642"/>
      <c r="AM343" s="642"/>
      <c r="AN343" s="642"/>
      <c r="AO343" s="642"/>
      <c r="AP343" s="642"/>
      <c r="AQ343" s="642"/>
      <c r="AR343" s="642"/>
      <c r="AS343" s="642"/>
      <c r="AT343" s="642"/>
      <c r="AU343" s="642"/>
      <c r="AV343" s="456"/>
      <c r="AW343" s="456"/>
      <c r="AX343" s="456"/>
      <c r="AY343" s="456"/>
      <c r="AZ343" s="456"/>
      <c r="BA343" s="461"/>
      <c r="BB343" s="461"/>
      <c r="BC343" s="461"/>
      <c r="BD343" s="461">
        <v>41.254693000000003</v>
      </c>
      <c r="BE343" s="461"/>
      <c r="BF343" s="461"/>
      <c r="BG343" s="461"/>
      <c r="BH343" s="307"/>
      <c r="BI343" s="307"/>
      <c r="BJ343" s="307"/>
      <c r="BK343" s="307"/>
      <c r="BU343" s="40">
        <f t="shared" si="214"/>
        <v>0</v>
      </c>
      <c r="BV343" s="40">
        <f t="shared" ref="BV343:CD343" si="241">BU343</f>
        <v>0</v>
      </c>
      <c r="BW343" s="40">
        <f t="shared" si="241"/>
        <v>0</v>
      </c>
      <c r="BX343" s="40">
        <f t="shared" si="241"/>
        <v>0</v>
      </c>
      <c r="BY343" s="40">
        <f t="shared" si="241"/>
        <v>0</v>
      </c>
      <c r="BZ343" s="40">
        <f t="shared" si="241"/>
        <v>0</v>
      </c>
      <c r="CA343" s="40">
        <f t="shared" si="241"/>
        <v>0</v>
      </c>
      <c r="CB343" s="40">
        <f t="shared" si="241"/>
        <v>0</v>
      </c>
      <c r="CC343" s="40">
        <f t="shared" si="241"/>
        <v>0</v>
      </c>
      <c r="CD343" s="40">
        <f t="shared" si="241"/>
        <v>0</v>
      </c>
      <c r="CE343" s="307"/>
      <c r="CF343" s="307"/>
      <c r="CG343" s="307"/>
    </row>
    <row r="344" spans="2:91" s="25" customFormat="1" ht="16.5" hidden="1" thickBot="1">
      <c r="B344" s="499"/>
      <c r="C344" s="499"/>
      <c r="D344" s="499"/>
      <c r="E344" s="499"/>
      <c r="F344" s="499"/>
      <c r="G344" s="499"/>
      <c r="H344" s="499"/>
      <c r="I344" s="499"/>
      <c r="J344" s="499"/>
      <c r="K344" s="499"/>
      <c r="L344" s="499"/>
      <c r="M344" s="499"/>
      <c r="N344" s="499"/>
      <c r="O344" s="499"/>
      <c r="P344" s="499"/>
      <c r="Q344" s="499"/>
      <c r="R344" s="499"/>
      <c r="S344" s="499"/>
      <c r="T344" s="499"/>
      <c r="U344" s="499"/>
      <c r="V344" s="499"/>
      <c r="W344" s="499"/>
      <c r="X344" s="499"/>
      <c r="Y344" s="499"/>
      <c r="Z344" s="499"/>
      <c r="AA344" s="499"/>
      <c r="AB344" s="499"/>
      <c r="AC344" s="499"/>
      <c r="AD344" s="499"/>
      <c r="AE344" s="499"/>
      <c r="AF344" s="499"/>
      <c r="AG344" s="499"/>
      <c r="AH344" s="499"/>
      <c r="AI344" s="499"/>
      <c r="AJ344" s="499"/>
      <c r="AK344" s="499"/>
      <c r="AL344" s="499"/>
      <c r="AM344" s="499"/>
      <c r="AN344" s="499"/>
      <c r="AO344" s="499"/>
      <c r="AP344" s="499"/>
      <c r="AQ344" s="499"/>
      <c r="AR344" s="499"/>
      <c r="AS344" s="499"/>
      <c r="AT344" s="499"/>
      <c r="AU344" s="499"/>
      <c r="AV344" s="461"/>
      <c r="AW344" s="461"/>
      <c r="AX344" s="461"/>
      <c r="AY344" s="461"/>
      <c r="AZ344" s="461"/>
      <c r="BA344" s="665"/>
      <c r="BB344" s="665"/>
      <c r="BC344" s="665"/>
      <c r="BD344" s="665">
        <v>150.43715</v>
      </c>
      <c r="BE344" s="665"/>
      <c r="BF344" s="461"/>
      <c r="BG344" s="461"/>
      <c r="BH344" s="307"/>
      <c r="BI344" s="307"/>
      <c r="BJ344" s="307"/>
      <c r="BK344" s="307">
        <v>1334.425</v>
      </c>
      <c r="BL344" s="25">
        <v>1496.7</v>
      </c>
      <c r="BM344" s="25">
        <v>1687</v>
      </c>
      <c r="BN344" s="25">
        <v>1385.5</v>
      </c>
      <c r="BO344" s="25">
        <v>1416.0450000000001</v>
      </c>
      <c r="BP344" s="25">
        <v>1416.6420000000001</v>
      </c>
      <c r="BQ344" s="25">
        <v>1417.298</v>
      </c>
      <c r="BU344" s="40">
        <f t="shared" si="214"/>
        <v>0</v>
      </c>
      <c r="BV344" s="40">
        <f t="shared" ref="BV344:CD344" si="242">BU344</f>
        <v>0</v>
      </c>
      <c r="BW344" s="40">
        <f t="shared" si="242"/>
        <v>0</v>
      </c>
      <c r="BX344" s="40">
        <f t="shared" si="242"/>
        <v>0</v>
      </c>
      <c r="BY344" s="40">
        <f t="shared" si="242"/>
        <v>0</v>
      </c>
      <c r="BZ344" s="40">
        <f t="shared" si="242"/>
        <v>0</v>
      </c>
      <c r="CA344" s="40">
        <f t="shared" si="242"/>
        <v>0</v>
      </c>
      <c r="CB344" s="40">
        <f t="shared" si="242"/>
        <v>0</v>
      </c>
      <c r="CC344" s="40">
        <f t="shared" si="242"/>
        <v>0</v>
      </c>
      <c r="CD344" s="40">
        <f t="shared" si="242"/>
        <v>0</v>
      </c>
      <c r="CE344" s="307"/>
      <c r="CF344" s="307"/>
      <c r="CG344" s="307"/>
      <c r="CM344" s="25">
        <v>1496.7</v>
      </c>
    </row>
    <row r="345" spans="2:91" s="25" customFormat="1" ht="39" thickBot="1">
      <c r="B345" s="666" t="s">
        <v>3098</v>
      </c>
      <c r="C345" s="666"/>
      <c r="D345" s="666"/>
      <c r="E345" s="666"/>
      <c r="F345" s="666"/>
      <c r="G345" s="666"/>
      <c r="H345" s="666"/>
      <c r="I345" s="666"/>
      <c r="J345" s="666"/>
      <c r="K345" s="666"/>
      <c r="L345" s="666"/>
      <c r="M345" s="666"/>
      <c r="N345" s="666"/>
      <c r="O345" s="666"/>
      <c r="P345" s="666"/>
      <c r="Q345" s="666"/>
      <c r="R345" s="666"/>
      <c r="S345" s="666"/>
      <c r="T345" s="666"/>
      <c r="U345" s="666"/>
      <c r="V345" s="666"/>
      <c r="W345" s="666"/>
      <c r="X345" s="666"/>
      <c r="Y345" s="666"/>
      <c r="Z345" s="666"/>
      <c r="AA345" s="666"/>
      <c r="AB345" s="666"/>
      <c r="AC345" s="666"/>
      <c r="AD345" s="666"/>
      <c r="AE345" s="666"/>
      <c r="AF345" s="666"/>
      <c r="AG345" s="666"/>
      <c r="AH345" s="666"/>
      <c r="AI345" s="666"/>
      <c r="AJ345" s="666"/>
      <c r="AK345" s="666"/>
      <c r="AL345" s="666"/>
      <c r="AM345" s="666"/>
      <c r="AN345" s="666"/>
      <c r="AO345" s="666"/>
      <c r="AP345" s="666"/>
      <c r="AQ345" s="666"/>
      <c r="AR345" s="666"/>
      <c r="AS345" s="666"/>
      <c r="AT345" s="666"/>
      <c r="AU345" s="666"/>
      <c r="AV345" s="667"/>
      <c r="AW345" s="667"/>
      <c r="AX345" s="667"/>
      <c r="AY345" s="667"/>
      <c r="AZ345" s="667"/>
      <c r="BA345" s="668" t="s">
        <v>3099</v>
      </c>
      <c r="BB345" s="668" t="s">
        <v>3605</v>
      </c>
      <c r="BC345" s="668" t="s">
        <v>3606</v>
      </c>
      <c r="BD345" s="668" t="s">
        <v>3607</v>
      </c>
      <c r="BE345" s="669" t="s">
        <v>1317</v>
      </c>
      <c r="BF345" s="669" t="s">
        <v>1344</v>
      </c>
      <c r="BG345" s="669" t="s">
        <v>406</v>
      </c>
      <c r="BH345" s="669"/>
      <c r="BI345" s="307"/>
      <c r="BJ345" s="307"/>
      <c r="BK345" s="307"/>
      <c r="BU345" s="40">
        <f t="shared" si="214"/>
        <v>0</v>
      </c>
      <c r="BV345" s="40">
        <f t="shared" ref="BV345:CD345" si="243">BU345</f>
        <v>0</v>
      </c>
      <c r="BW345" s="40">
        <f t="shared" si="243"/>
        <v>0</v>
      </c>
      <c r="BX345" s="40">
        <f t="shared" si="243"/>
        <v>0</v>
      </c>
      <c r="BY345" s="40">
        <f t="shared" si="243"/>
        <v>0</v>
      </c>
      <c r="BZ345" s="40">
        <f t="shared" si="243"/>
        <v>0</v>
      </c>
      <c r="CA345" s="40">
        <f t="shared" si="243"/>
        <v>0</v>
      </c>
      <c r="CB345" s="40">
        <f t="shared" si="243"/>
        <v>0</v>
      </c>
      <c r="CC345" s="40">
        <f t="shared" si="243"/>
        <v>0</v>
      </c>
      <c r="CD345" s="40">
        <f t="shared" si="243"/>
        <v>0</v>
      </c>
      <c r="CE345" s="307"/>
      <c r="CF345" s="307"/>
      <c r="CG345" s="307"/>
    </row>
    <row r="346" spans="2:91" s="25" customFormat="1" hidden="1">
      <c r="B346" s="670" t="s">
        <v>3764</v>
      </c>
      <c r="C346" s="670"/>
      <c r="D346" s="670"/>
      <c r="E346" s="670"/>
      <c r="F346" s="670"/>
      <c r="G346" s="670"/>
      <c r="H346" s="670"/>
      <c r="I346" s="670"/>
      <c r="J346" s="670"/>
      <c r="K346" s="670"/>
      <c r="L346" s="670"/>
      <c r="M346" s="670"/>
      <c r="N346" s="670"/>
      <c r="O346" s="670"/>
      <c r="P346" s="670"/>
      <c r="Q346" s="670"/>
      <c r="R346" s="670"/>
      <c r="S346" s="670"/>
      <c r="T346" s="670"/>
      <c r="U346" s="670"/>
      <c r="V346" s="670"/>
      <c r="W346" s="670"/>
      <c r="X346" s="670"/>
      <c r="Y346" s="670"/>
      <c r="Z346" s="670"/>
      <c r="AA346" s="670"/>
      <c r="AB346" s="670"/>
      <c r="AC346" s="670"/>
      <c r="AD346" s="670"/>
      <c r="AE346" s="670"/>
      <c r="AF346" s="670"/>
      <c r="AG346" s="670"/>
      <c r="AH346" s="670"/>
      <c r="AI346" s="670"/>
      <c r="AJ346" s="670"/>
      <c r="AK346" s="670"/>
      <c r="AL346" s="670"/>
      <c r="AM346" s="670"/>
      <c r="AN346" s="670"/>
      <c r="AO346" s="670"/>
      <c r="AP346" s="670"/>
      <c r="AQ346" s="670"/>
      <c r="AR346" s="670"/>
      <c r="AS346" s="670"/>
      <c r="AT346" s="670"/>
      <c r="AU346" s="670"/>
      <c r="AV346" s="671"/>
      <c r="AW346" s="671"/>
      <c r="AX346" s="671"/>
      <c r="AY346" s="671"/>
      <c r="AZ346" s="671"/>
      <c r="BA346" s="672">
        <v>233521.07399999999</v>
      </c>
      <c r="BB346" s="672">
        <v>194637.625</v>
      </c>
      <c r="BC346" s="672">
        <v>280303.19699999999</v>
      </c>
      <c r="BD346" s="672">
        <v>373.17433499999999</v>
      </c>
      <c r="BE346" s="673">
        <v>387.32689800000003</v>
      </c>
      <c r="BF346" s="461">
        <v>563.51832200000001</v>
      </c>
      <c r="BG346" s="674"/>
      <c r="BH346" s="307"/>
      <c r="BI346" s="307"/>
      <c r="BJ346" s="307"/>
      <c r="BK346" s="307"/>
      <c r="BU346" s="40">
        <f t="shared" si="214"/>
        <v>0</v>
      </c>
      <c r="BV346" s="40">
        <f t="shared" ref="BV346:CD346" si="244">BU346</f>
        <v>0</v>
      </c>
      <c r="BW346" s="40">
        <f t="shared" si="244"/>
        <v>0</v>
      </c>
      <c r="BX346" s="40">
        <f t="shared" si="244"/>
        <v>0</v>
      </c>
      <c r="BY346" s="40">
        <f t="shared" si="244"/>
        <v>0</v>
      </c>
      <c r="BZ346" s="40">
        <f t="shared" si="244"/>
        <v>0</v>
      </c>
      <c r="CA346" s="40">
        <f t="shared" si="244"/>
        <v>0</v>
      </c>
      <c r="CB346" s="40">
        <f t="shared" si="244"/>
        <v>0</v>
      </c>
      <c r="CC346" s="40">
        <f t="shared" si="244"/>
        <v>0</v>
      </c>
      <c r="CD346" s="40">
        <f t="shared" si="244"/>
        <v>0</v>
      </c>
      <c r="CE346" s="307"/>
      <c r="CF346" s="307"/>
      <c r="CG346" s="307"/>
    </row>
    <row r="347" spans="2:91" s="25" customFormat="1" hidden="1">
      <c r="B347" s="675" t="s">
        <v>2897</v>
      </c>
      <c r="C347" s="675"/>
      <c r="D347" s="675"/>
      <c r="E347" s="675"/>
      <c r="F347" s="675"/>
      <c r="G347" s="675"/>
      <c r="H347" s="675"/>
      <c r="I347" s="675"/>
      <c r="J347" s="675"/>
      <c r="K347" s="675"/>
      <c r="L347" s="675"/>
      <c r="M347" s="675"/>
      <c r="N347" s="675"/>
      <c r="O347" s="675"/>
      <c r="P347" s="675"/>
      <c r="Q347" s="675"/>
      <c r="R347" s="675"/>
      <c r="S347" s="675"/>
      <c r="T347" s="675"/>
      <c r="U347" s="675"/>
      <c r="V347" s="675"/>
      <c r="W347" s="675"/>
      <c r="X347" s="675"/>
      <c r="Y347" s="675"/>
      <c r="Z347" s="675"/>
      <c r="AA347" s="675"/>
      <c r="AB347" s="675"/>
      <c r="AC347" s="675"/>
      <c r="AD347" s="675"/>
      <c r="AE347" s="675"/>
      <c r="AF347" s="675"/>
      <c r="AG347" s="675"/>
      <c r="AH347" s="675"/>
      <c r="AI347" s="675"/>
      <c r="AJ347" s="675"/>
      <c r="AK347" s="675"/>
      <c r="AL347" s="675"/>
      <c r="AM347" s="675"/>
      <c r="AN347" s="675"/>
      <c r="AO347" s="675"/>
      <c r="AP347" s="675"/>
      <c r="AQ347" s="675"/>
      <c r="AR347" s="675"/>
      <c r="AS347" s="675"/>
      <c r="AT347" s="675"/>
      <c r="AU347" s="675"/>
      <c r="AV347" s="676">
        <f>AV384+AV387</f>
        <v>30.565108252999998</v>
      </c>
      <c r="AW347" s="676">
        <f>AW384+AW387</f>
        <v>39.966346797</v>
      </c>
      <c r="AX347" s="676">
        <f>AX384+AX387</f>
        <v>47.100897854999999</v>
      </c>
      <c r="AY347" s="676">
        <f>AY384+AY387</f>
        <v>58.838299999999997</v>
      </c>
      <c r="AZ347" s="676">
        <f>AZ384+AZ387</f>
        <v>120.88800000000001</v>
      </c>
      <c r="BA347" s="677">
        <f>BA351+BA359+BA365+BA366+BA367+BA369+BA371+BA374+BA375+BA377+BA378+BA379</f>
        <v>236359.75700000007</v>
      </c>
      <c r="BB347" s="677">
        <f>BB351+BB359+BB365+BB366+BB367+BB369+BB371+BB374+BB375+BB377+BB378+BB379</f>
        <v>245166.66499999998</v>
      </c>
      <c r="BC347" s="677">
        <f>BC351+BC359+BC365+BC366+BC367+BC369+BC371+BC374+BC375+BC377+BC378+BC379</f>
        <v>343276.21400000004</v>
      </c>
      <c r="BD347" s="677">
        <f>BD351+BD359+BD365+BD366+BD367+BD369+BD371+BD374+BD375+BD377+BD378+BD379</f>
        <v>461.28486599999997</v>
      </c>
      <c r="BE347" s="678">
        <f>BE351+BE359+BE365+BE366+BE367+BE369+BE371+BE374+BE375+BE377+BE378+BE379</f>
        <v>588.92365399999994</v>
      </c>
      <c r="BF347" s="678">
        <f>BF351+BF359+BF365+BF366+BF367+BF369+BF374+BF375+BF376+BF377+BF378+BF379</f>
        <v>608.17382199999997</v>
      </c>
      <c r="BG347" s="677">
        <f>BG351+BG359+BG365+BG366+BG367+BG369+BG371+BG374+BG375+BG377+BG378+BG379</f>
        <v>828.15204600000004</v>
      </c>
      <c r="BH347" s="307"/>
      <c r="BI347" s="307"/>
      <c r="BJ347" s="307"/>
      <c r="BK347" s="307"/>
      <c r="BU347" s="40">
        <f t="shared" si="214"/>
        <v>0</v>
      </c>
      <c r="BV347" s="40">
        <f t="shared" ref="BV347:CD347" si="245">BU347</f>
        <v>0</v>
      </c>
      <c r="BW347" s="40">
        <f t="shared" si="245"/>
        <v>0</v>
      </c>
      <c r="BX347" s="40">
        <f t="shared" si="245"/>
        <v>0</v>
      </c>
      <c r="BY347" s="40">
        <f t="shared" si="245"/>
        <v>0</v>
      </c>
      <c r="BZ347" s="40">
        <f t="shared" si="245"/>
        <v>0</v>
      </c>
      <c r="CA347" s="40">
        <f t="shared" si="245"/>
        <v>0</v>
      </c>
      <c r="CB347" s="40">
        <f t="shared" si="245"/>
        <v>0</v>
      </c>
      <c r="CC347" s="40">
        <f t="shared" si="245"/>
        <v>0</v>
      </c>
      <c r="CD347" s="40">
        <f t="shared" si="245"/>
        <v>0</v>
      </c>
      <c r="CE347" s="307"/>
      <c r="CF347" s="307"/>
      <c r="CG347" s="307"/>
    </row>
    <row r="348" spans="2:91" s="25" customFormat="1" hidden="1">
      <c r="B348" s="679" t="s">
        <v>3019</v>
      </c>
      <c r="C348" s="680"/>
      <c r="D348" s="680"/>
      <c r="E348" s="680"/>
      <c r="F348" s="680"/>
      <c r="G348" s="680"/>
      <c r="H348" s="680"/>
      <c r="I348" s="680"/>
      <c r="J348" s="680"/>
      <c r="K348" s="680"/>
      <c r="L348" s="680"/>
      <c r="M348" s="680"/>
      <c r="N348" s="680"/>
      <c r="O348" s="680"/>
      <c r="P348" s="680"/>
      <c r="Q348" s="680"/>
      <c r="R348" s="680"/>
      <c r="S348" s="680"/>
      <c r="T348" s="680"/>
      <c r="U348" s="680"/>
      <c r="V348" s="680"/>
      <c r="W348" s="680"/>
      <c r="X348" s="680"/>
      <c r="Y348" s="680"/>
      <c r="Z348" s="680"/>
      <c r="AA348" s="680"/>
      <c r="AB348" s="680"/>
      <c r="AC348" s="680"/>
      <c r="AD348" s="680"/>
      <c r="AE348" s="680"/>
      <c r="AF348" s="680"/>
      <c r="AG348" s="680"/>
      <c r="AH348" s="680"/>
      <c r="AI348" s="680"/>
      <c r="AJ348" s="680"/>
      <c r="AK348" s="680"/>
      <c r="AL348" s="680"/>
      <c r="AM348" s="680"/>
      <c r="AN348" s="680"/>
      <c r="AO348" s="680"/>
      <c r="AP348" s="680"/>
      <c r="AQ348" s="680"/>
      <c r="AR348" s="680"/>
      <c r="AS348" s="680"/>
      <c r="AT348" s="680"/>
      <c r="AU348" s="680"/>
      <c r="AV348" s="672"/>
      <c r="AW348" s="672"/>
      <c r="AX348" s="672"/>
      <c r="AY348" s="672"/>
      <c r="AZ348" s="672"/>
      <c r="BA348" s="672"/>
      <c r="BB348" s="672"/>
      <c r="BC348" s="672"/>
      <c r="BD348" s="672">
        <v>1.520025</v>
      </c>
      <c r="BE348" s="673">
        <v>11.889065</v>
      </c>
      <c r="BF348" s="461">
        <v>8.6417199999999994</v>
      </c>
      <c r="BG348" s="461"/>
      <c r="BH348" s="307"/>
      <c r="BI348" s="307"/>
      <c r="BJ348" s="307"/>
      <c r="BK348" s="307"/>
      <c r="BU348" s="40">
        <f t="shared" si="214"/>
        <v>0</v>
      </c>
      <c r="BV348" s="40">
        <f t="shared" ref="BV348:CD348" si="246">BU348</f>
        <v>0</v>
      </c>
      <c r="BW348" s="40">
        <f t="shared" si="246"/>
        <v>0</v>
      </c>
      <c r="BX348" s="40">
        <f t="shared" si="246"/>
        <v>0</v>
      </c>
      <c r="BY348" s="40">
        <f t="shared" si="246"/>
        <v>0</v>
      </c>
      <c r="BZ348" s="40">
        <f t="shared" si="246"/>
        <v>0</v>
      </c>
      <c r="CA348" s="40">
        <f t="shared" si="246"/>
        <v>0</v>
      </c>
      <c r="CB348" s="40">
        <f t="shared" si="246"/>
        <v>0</v>
      </c>
      <c r="CC348" s="40">
        <f t="shared" si="246"/>
        <v>0</v>
      </c>
      <c r="CD348" s="40">
        <f t="shared" si="246"/>
        <v>0</v>
      </c>
      <c r="CE348" s="307"/>
      <c r="CF348" s="307"/>
      <c r="CG348" s="307"/>
    </row>
    <row r="349" spans="2:91" s="238" customFormat="1" hidden="1">
      <c r="B349" s="681" t="s">
        <v>3850</v>
      </c>
      <c r="C349" s="670"/>
      <c r="D349" s="670"/>
      <c r="E349" s="670"/>
      <c r="F349" s="670"/>
      <c r="G349" s="670"/>
      <c r="H349" s="670"/>
      <c r="I349" s="670"/>
      <c r="J349" s="670"/>
      <c r="K349" s="670"/>
      <c r="L349" s="670"/>
      <c r="M349" s="670"/>
      <c r="N349" s="670"/>
      <c r="O349" s="670"/>
      <c r="P349" s="670"/>
      <c r="Q349" s="670"/>
      <c r="R349" s="670"/>
      <c r="S349" s="670"/>
      <c r="T349" s="670"/>
      <c r="U349" s="670"/>
      <c r="V349" s="670"/>
      <c r="W349" s="670"/>
      <c r="X349" s="670"/>
      <c r="Y349" s="670"/>
      <c r="Z349" s="670"/>
      <c r="AA349" s="670"/>
      <c r="AB349" s="670"/>
      <c r="AC349" s="670"/>
      <c r="AD349" s="670"/>
      <c r="AE349" s="670"/>
      <c r="AF349" s="670"/>
      <c r="AG349" s="670"/>
      <c r="AH349" s="670"/>
      <c r="AI349" s="670"/>
      <c r="AJ349" s="670"/>
      <c r="AK349" s="670"/>
      <c r="AL349" s="670"/>
      <c r="AM349" s="670"/>
      <c r="AN349" s="670"/>
      <c r="AO349" s="670"/>
      <c r="AP349" s="670"/>
      <c r="AQ349" s="670"/>
      <c r="AR349" s="670"/>
      <c r="AS349" s="670"/>
      <c r="AT349" s="670"/>
      <c r="AU349" s="670"/>
      <c r="AV349" s="682"/>
      <c r="AW349" s="682"/>
      <c r="AX349" s="682"/>
      <c r="AY349" s="682"/>
      <c r="AZ349" s="671">
        <f t="shared" ref="AZ349:BG349" si="247">AZ346-AZ348</f>
        <v>0</v>
      </c>
      <c r="BA349" s="671">
        <f t="shared" si="247"/>
        <v>233521.07399999999</v>
      </c>
      <c r="BB349" s="671">
        <f t="shared" si="247"/>
        <v>194637.625</v>
      </c>
      <c r="BC349" s="671">
        <f t="shared" si="247"/>
        <v>280303.19699999999</v>
      </c>
      <c r="BD349" s="671">
        <f t="shared" si="247"/>
        <v>371.65431000000001</v>
      </c>
      <c r="BE349" s="671">
        <f t="shared" si="247"/>
        <v>375.43783300000001</v>
      </c>
      <c r="BF349" s="671">
        <f t="shared" si="247"/>
        <v>554.87660200000005</v>
      </c>
      <c r="BG349" s="671">
        <f t="shared" si="247"/>
        <v>0</v>
      </c>
      <c r="BH349" s="459"/>
      <c r="BI349" s="459"/>
      <c r="BJ349" s="459"/>
      <c r="BK349" s="459"/>
      <c r="BU349" s="40">
        <f t="shared" si="214"/>
        <v>0</v>
      </c>
      <c r="BV349" s="40">
        <f t="shared" ref="BV349:CD349" si="248">BU349</f>
        <v>0</v>
      </c>
      <c r="BW349" s="40">
        <f t="shared" si="248"/>
        <v>0</v>
      </c>
      <c r="BX349" s="40">
        <f t="shared" si="248"/>
        <v>0</v>
      </c>
      <c r="BY349" s="40">
        <f t="shared" si="248"/>
        <v>0</v>
      </c>
      <c r="BZ349" s="40">
        <f t="shared" si="248"/>
        <v>0</v>
      </c>
      <c r="CA349" s="40">
        <f t="shared" si="248"/>
        <v>0</v>
      </c>
      <c r="CB349" s="40">
        <f t="shared" si="248"/>
        <v>0</v>
      </c>
      <c r="CC349" s="40">
        <f t="shared" si="248"/>
        <v>0</v>
      </c>
      <c r="CD349" s="40">
        <f t="shared" si="248"/>
        <v>0</v>
      </c>
      <c r="CE349" s="459"/>
      <c r="CF349" s="459"/>
      <c r="CG349" s="459"/>
    </row>
    <row r="350" spans="2:91" s="25" customFormat="1" hidden="1">
      <c r="B350" s="679"/>
      <c r="C350" s="680"/>
      <c r="D350" s="680"/>
      <c r="E350" s="680"/>
      <c r="F350" s="680"/>
      <c r="G350" s="680"/>
      <c r="H350" s="680"/>
      <c r="I350" s="680"/>
      <c r="J350" s="680"/>
      <c r="K350" s="680"/>
      <c r="L350" s="680"/>
      <c r="M350" s="680"/>
      <c r="N350" s="680"/>
      <c r="O350" s="680"/>
      <c r="P350" s="680"/>
      <c r="Q350" s="680"/>
      <c r="R350" s="680"/>
      <c r="S350" s="680"/>
      <c r="T350" s="680"/>
      <c r="U350" s="680"/>
      <c r="V350" s="680"/>
      <c r="W350" s="680"/>
      <c r="X350" s="680"/>
      <c r="Y350" s="680"/>
      <c r="Z350" s="680"/>
      <c r="AA350" s="680"/>
      <c r="AB350" s="680"/>
      <c r="AC350" s="680"/>
      <c r="AD350" s="680"/>
      <c r="AE350" s="680"/>
      <c r="AF350" s="680"/>
      <c r="AG350" s="680"/>
      <c r="AH350" s="680"/>
      <c r="AI350" s="680"/>
      <c r="AJ350" s="680"/>
      <c r="AK350" s="680"/>
      <c r="AL350" s="680"/>
      <c r="AM350" s="680"/>
      <c r="AN350" s="680"/>
      <c r="AO350" s="680"/>
      <c r="AP350" s="680"/>
      <c r="AQ350" s="680"/>
      <c r="AR350" s="680"/>
      <c r="AS350" s="680"/>
      <c r="AT350" s="680"/>
      <c r="AU350" s="680"/>
      <c r="AV350" s="683"/>
      <c r="AW350" s="683"/>
      <c r="AX350" s="683"/>
      <c r="AY350" s="683"/>
      <c r="AZ350" s="683"/>
      <c r="BA350" s="672"/>
      <c r="BB350" s="672"/>
      <c r="BC350" s="672"/>
      <c r="BD350" s="672"/>
      <c r="BE350" s="672"/>
      <c r="BF350" s="683"/>
      <c r="BG350" s="683"/>
      <c r="BH350" s="307"/>
      <c r="BI350" s="307"/>
      <c r="BJ350" s="307"/>
      <c r="BK350" s="307">
        <f t="shared" ref="BK350:BQ350" si="249">BK344-BK392</f>
        <v>-6.5551830000001701</v>
      </c>
      <c r="BL350" s="307">
        <f t="shared" si="249"/>
        <v>-87.899999999999864</v>
      </c>
      <c r="BM350" s="307">
        <f t="shared" si="249"/>
        <v>0.40000403132717111</v>
      </c>
      <c r="BN350" s="307">
        <f t="shared" si="249"/>
        <v>-64.500219999999899</v>
      </c>
      <c r="BO350" s="307">
        <f t="shared" si="249"/>
        <v>272.6446370000001</v>
      </c>
      <c r="BP350" s="307">
        <f t="shared" si="249"/>
        <v>-19.558363000000099</v>
      </c>
      <c r="BQ350" s="307">
        <f t="shared" si="249"/>
        <v>-255.00236300000006</v>
      </c>
      <c r="BU350" s="40">
        <f t="shared" si="214"/>
        <v>0</v>
      </c>
      <c r="BV350" s="40">
        <f t="shared" ref="BV350:CD350" si="250">BU350</f>
        <v>0</v>
      </c>
      <c r="BW350" s="40">
        <f t="shared" si="250"/>
        <v>0</v>
      </c>
      <c r="BX350" s="40">
        <f t="shared" si="250"/>
        <v>0</v>
      </c>
      <c r="BY350" s="40">
        <f t="shared" si="250"/>
        <v>0</v>
      </c>
      <c r="BZ350" s="40">
        <f t="shared" si="250"/>
        <v>0</v>
      </c>
      <c r="CA350" s="40">
        <f t="shared" si="250"/>
        <v>0</v>
      </c>
      <c r="CB350" s="40">
        <f t="shared" si="250"/>
        <v>0</v>
      </c>
      <c r="CC350" s="40">
        <f t="shared" si="250"/>
        <v>0</v>
      </c>
      <c r="CD350" s="40">
        <f t="shared" si="250"/>
        <v>0</v>
      </c>
      <c r="CE350" s="307"/>
      <c r="CF350" s="307"/>
      <c r="CG350" s="307"/>
      <c r="CM350" s="307">
        <f>CM344-CM392</f>
        <v>0</v>
      </c>
    </row>
    <row r="351" spans="2:91" s="25" customFormat="1">
      <c r="B351" s="684" t="s">
        <v>3851</v>
      </c>
      <c r="C351" s="680"/>
      <c r="D351" s="680"/>
      <c r="E351" s="680"/>
      <c r="F351" s="680"/>
      <c r="G351" s="680"/>
      <c r="H351" s="680"/>
      <c r="I351" s="680"/>
      <c r="J351" s="680"/>
      <c r="K351" s="680"/>
      <c r="L351" s="680"/>
      <c r="M351" s="680"/>
      <c r="N351" s="680"/>
      <c r="O351" s="680"/>
      <c r="P351" s="680"/>
      <c r="Q351" s="680"/>
      <c r="R351" s="680"/>
      <c r="S351" s="680"/>
      <c r="T351" s="680"/>
      <c r="U351" s="680"/>
      <c r="V351" s="680"/>
      <c r="W351" s="680"/>
      <c r="X351" s="680"/>
      <c r="Y351" s="680"/>
      <c r="Z351" s="680"/>
      <c r="AA351" s="680"/>
      <c r="AB351" s="680"/>
      <c r="AC351" s="680"/>
      <c r="AD351" s="680"/>
      <c r="AE351" s="680"/>
      <c r="AF351" s="680"/>
      <c r="AG351" s="680"/>
      <c r="AH351" s="680"/>
      <c r="AI351" s="680"/>
      <c r="AJ351" s="680"/>
      <c r="AK351" s="680"/>
      <c r="AL351" s="680"/>
      <c r="AM351" s="680"/>
      <c r="AN351" s="680"/>
      <c r="AO351" s="680"/>
      <c r="AP351" s="680"/>
      <c r="AQ351" s="680"/>
      <c r="AR351" s="680"/>
      <c r="AS351" s="680"/>
      <c r="AT351" s="680"/>
      <c r="AU351" s="680"/>
      <c r="AV351" s="671">
        <f t="shared" ref="AV351:BC351" si="251">SUM(AV354:AV356)</f>
        <v>0</v>
      </c>
      <c r="AW351" s="671">
        <f t="shared" si="251"/>
        <v>0</v>
      </c>
      <c r="AX351" s="671">
        <f t="shared" si="251"/>
        <v>0</v>
      </c>
      <c r="AY351" s="671">
        <f t="shared" si="251"/>
        <v>0</v>
      </c>
      <c r="AZ351" s="671">
        <f t="shared" si="251"/>
        <v>26.791081999999999</v>
      </c>
      <c r="BA351" s="671">
        <f t="shared" si="251"/>
        <v>162998.37900000002</v>
      </c>
      <c r="BB351" s="671">
        <f t="shared" si="251"/>
        <v>121304</v>
      </c>
      <c r="BC351" s="671">
        <f t="shared" si="251"/>
        <v>137017.99900000001</v>
      </c>
      <c r="BD351" s="671">
        <f>SUM(BD354:BD356)</f>
        <v>249.42870700000003</v>
      </c>
      <c r="BE351" s="671">
        <f>SUM(BE354:BE356)</f>
        <v>323.92221499999999</v>
      </c>
      <c r="BF351" s="671">
        <f>SUM(BF354:BF356)</f>
        <v>336.85818500000005</v>
      </c>
      <c r="BG351" s="671">
        <f>SUM(BG354:BG356)</f>
        <v>518.74271599999997</v>
      </c>
      <c r="BH351" s="307"/>
      <c r="BI351" s="307"/>
      <c r="BJ351" s="307"/>
      <c r="BK351" s="307">
        <f>BK354+BK355+BK356</f>
        <v>902.87611200000003</v>
      </c>
      <c r="BU351" s="40">
        <f t="shared" si="214"/>
        <v>0</v>
      </c>
      <c r="BV351" s="40">
        <f t="shared" ref="BV351:CD351" si="252">BU351</f>
        <v>0</v>
      </c>
      <c r="BW351" s="40">
        <f t="shared" si="252"/>
        <v>0</v>
      </c>
      <c r="BX351" s="40">
        <f t="shared" si="252"/>
        <v>0</v>
      </c>
      <c r="BY351" s="40">
        <f t="shared" si="252"/>
        <v>0</v>
      </c>
      <c r="BZ351" s="40">
        <f t="shared" si="252"/>
        <v>0</v>
      </c>
      <c r="CA351" s="40">
        <f t="shared" si="252"/>
        <v>0</v>
      </c>
      <c r="CB351" s="40">
        <f t="shared" si="252"/>
        <v>0</v>
      </c>
      <c r="CC351" s="40">
        <f t="shared" si="252"/>
        <v>0</v>
      </c>
      <c r="CD351" s="40">
        <f t="shared" si="252"/>
        <v>0</v>
      </c>
      <c r="CE351" s="307"/>
      <c r="CF351" s="307"/>
      <c r="CG351" s="307"/>
    </row>
    <row r="352" spans="2:91" s="25" customFormat="1">
      <c r="B352" s="134" t="s">
        <v>3946</v>
      </c>
      <c r="C352" s="680"/>
      <c r="D352" s="680"/>
      <c r="E352" s="680"/>
      <c r="F352" s="680"/>
      <c r="G352" s="680"/>
      <c r="H352" s="680"/>
      <c r="I352" s="680"/>
      <c r="J352" s="680"/>
      <c r="K352" s="680"/>
      <c r="L352" s="680"/>
      <c r="M352" s="680"/>
      <c r="N352" s="680"/>
      <c r="O352" s="680"/>
      <c r="P352" s="680"/>
      <c r="Q352" s="680"/>
      <c r="R352" s="680"/>
      <c r="S352" s="680"/>
      <c r="T352" s="680"/>
      <c r="U352" s="680"/>
      <c r="V352" s="680"/>
      <c r="W352" s="680"/>
      <c r="X352" s="680"/>
      <c r="Y352" s="680"/>
      <c r="Z352" s="680"/>
      <c r="AA352" s="680"/>
      <c r="AB352" s="680"/>
      <c r="AC352" s="680"/>
      <c r="AD352" s="680"/>
      <c r="AE352" s="680"/>
      <c r="AF352" s="680"/>
      <c r="AG352" s="680"/>
      <c r="AH352" s="680"/>
      <c r="AI352" s="680"/>
      <c r="AJ352" s="680"/>
      <c r="AK352" s="680"/>
      <c r="AL352" s="680"/>
      <c r="AM352" s="680"/>
      <c r="AN352" s="680"/>
      <c r="AO352" s="680"/>
      <c r="AP352" s="680"/>
      <c r="AQ352" s="680"/>
      <c r="AR352" s="680"/>
      <c r="AS352" s="680"/>
      <c r="AT352" s="680"/>
      <c r="AU352" s="680"/>
      <c r="AV352" s="671"/>
      <c r="AW352" s="671"/>
      <c r="AX352" s="671"/>
      <c r="AY352" s="671"/>
      <c r="AZ352" s="671"/>
      <c r="BA352" s="671"/>
      <c r="BB352" s="671"/>
      <c r="BC352" s="671"/>
      <c r="BD352" s="671"/>
      <c r="BE352" s="685"/>
      <c r="BF352" s="682"/>
      <c r="BG352" s="682"/>
      <c r="BH352" s="307"/>
      <c r="BI352" s="307"/>
      <c r="BJ352" s="307"/>
      <c r="BK352" s="307"/>
      <c r="BU352" s="40">
        <f t="shared" si="214"/>
        <v>0</v>
      </c>
      <c r="BV352" s="40">
        <f t="shared" ref="BV352:CD352" si="253">BU352</f>
        <v>0</v>
      </c>
      <c r="BW352" s="40">
        <f t="shared" si="253"/>
        <v>0</v>
      </c>
      <c r="BX352" s="40">
        <f t="shared" si="253"/>
        <v>0</v>
      </c>
      <c r="BY352" s="40">
        <f t="shared" si="253"/>
        <v>0</v>
      </c>
      <c r="BZ352" s="40">
        <f t="shared" si="253"/>
        <v>0</v>
      </c>
      <c r="CA352" s="40">
        <f t="shared" si="253"/>
        <v>0</v>
      </c>
      <c r="CB352" s="40">
        <f t="shared" si="253"/>
        <v>0</v>
      </c>
      <c r="CC352" s="40">
        <f t="shared" si="253"/>
        <v>0</v>
      </c>
      <c r="CD352" s="40">
        <f t="shared" si="253"/>
        <v>0</v>
      </c>
      <c r="CE352" s="307"/>
      <c r="CF352" s="307"/>
      <c r="CG352" s="307"/>
    </row>
    <row r="353" spans="2:91" s="25" customFormat="1">
      <c r="B353" s="134" t="s">
        <v>2161</v>
      </c>
      <c r="C353" s="680"/>
      <c r="D353" s="680"/>
      <c r="E353" s="680"/>
      <c r="F353" s="680"/>
      <c r="G353" s="680"/>
      <c r="H353" s="680"/>
      <c r="I353" s="680"/>
      <c r="J353" s="680"/>
      <c r="K353" s="680"/>
      <c r="L353" s="680"/>
      <c r="M353" s="680"/>
      <c r="N353" s="680"/>
      <c r="O353" s="680"/>
      <c r="P353" s="680"/>
      <c r="Q353" s="680"/>
      <c r="R353" s="680"/>
      <c r="S353" s="680"/>
      <c r="T353" s="680"/>
      <c r="U353" s="680"/>
      <c r="V353" s="680"/>
      <c r="W353" s="680"/>
      <c r="X353" s="680"/>
      <c r="Y353" s="680"/>
      <c r="Z353" s="680"/>
      <c r="AA353" s="680"/>
      <c r="AB353" s="680"/>
      <c r="AC353" s="680"/>
      <c r="AD353" s="680"/>
      <c r="AE353" s="680"/>
      <c r="AF353" s="680"/>
      <c r="AG353" s="680"/>
      <c r="AH353" s="680"/>
      <c r="AI353" s="680"/>
      <c r="AJ353" s="680"/>
      <c r="AK353" s="680"/>
      <c r="AL353" s="680"/>
      <c r="AM353" s="680"/>
      <c r="AN353" s="680"/>
      <c r="AO353" s="680"/>
      <c r="AP353" s="680"/>
      <c r="AQ353" s="680"/>
      <c r="AR353" s="680"/>
      <c r="AS353" s="680"/>
      <c r="AT353" s="680"/>
      <c r="AU353" s="680"/>
      <c r="AV353" s="671"/>
      <c r="AW353" s="671"/>
      <c r="AX353" s="671"/>
      <c r="AY353" s="671"/>
      <c r="AZ353" s="671"/>
      <c r="BA353" s="671"/>
      <c r="BB353" s="671"/>
      <c r="BC353" s="671"/>
      <c r="BD353" s="671"/>
      <c r="BE353" s="685"/>
      <c r="BF353" s="682"/>
      <c r="BG353" s="682"/>
      <c r="BH353" s="307">
        <f>BH983*BH764</f>
        <v>36850.911300000014</v>
      </c>
      <c r="BI353" s="307">
        <v>180.7</v>
      </c>
      <c r="BJ353" s="307">
        <v>136.22</v>
      </c>
      <c r="BK353" s="307"/>
      <c r="BL353" s="25">
        <v>169.58</v>
      </c>
      <c r="BM353" s="25">
        <v>180.7</v>
      </c>
      <c r="BN353" s="25">
        <v>369.74</v>
      </c>
      <c r="BO353" s="25">
        <v>339.16</v>
      </c>
      <c r="BP353" s="276">
        <f t="shared" ref="BP353:BT354" si="254">BO353</f>
        <v>339.16</v>
      </c>
      <c r="BQ353" s="276">
        <f t="shared" si="254"/>
        <v>339.16</v>
      </c>
      <c r="BR353" s="276">
        <f t="shared" si="254"/>
        <v>339.16</v>
      </c>
      <c r="BS353" s="276">
        <f t="shared" si="254"/>
        <v>339.16</v>
      </c>
      <c r="BT353" s="276">
        <f t="shared" si="254"/>
        <v>339.16</v>
      </c>
      <c r="BU353" s="40">
        <f t="shared" si="214"/>
        <v>339.16</v>
      </c>
      <c r="BV353" s="40">
        <f t="shared" ref="BV353:CD353" si="255">BU353</f>
        <v>339.16</v>
      </c>
      <c r="BW353" s="40">
        <f t="shared" si="255"/>
        <v>339.16</v>
      </c>
      <c r="BX353" s="40">
        <f t="shared" si="255"/>
        <v>339.16</v>
      </c>
      <c r="BY353" s="40">
        <f t="shared" si="255"/>
        <v>339.16</v>
      </c>
      <c r="BZ353" s="40">
        <f t="shared" si="255"/>
        <v>339.16</v>
      </c>
      <c r="CA353" s="40">
        <f t="shared" si="255"/>
        <v>339.16</v>
      </c>
      <c r="CB353" s="40">
        <f t="shared" si="255"/>
        <v>339.16</v>
      </c>
      <c r="CC353" s="40">
        <f t="shared" si="255"/>
        <v>339.16</v>
      </c>
      <c r="CD353" s="40">
        <f t="shared" si="255"/>
        <v>339.16</v>
      </c>
      <c r="CE353" s="307"/>
      <c r="CF353" s="307"/>
      <c r="CG353" s="307"/>
      <c r="CM353" s="25">
        <v>169.58</v>
      </c>
    </row>
    <row r="354" spans="2:91" s="25" customFormat="1">
      <c r="B354" s="686" t="s">
        <v>4450</v>
      </c>
      <c r="C354" s="680"/>
      <c r="D354" s="680"/>
      <c r="E354" s="680"/>
      <c r="F354" s="680"/>
      <c r="G354" s="680"/>
      <c r="H354" s="680"/>
      <c r="I354" s="680"/>
      <c r="J354" s="680"/>
      <c r="K354" s="680"/>
      <c r="L354" s="680"/>
      <c r="M354" s="680"/>
      <c r="N354" s="680"/>
      <c r="O354" s="680"/>
      <c r="P354" s="680"/>
      <c r="Q354" s="680"/>
      <c r="R354" s="680"/>
      <c r="S354" s="680"/>
      <c r="T354" s="680"/>
      <c r="U354" s="680"/>
      <c r="V354" s="680"/>
      <c r="W354" s="680"/>
      <c r="X354" s="680"/>
      <c r="Y354" s="680"/>
      <c r="Z354" s="680"/>
      <c r="AA354" s="680"/>
      <c r="AB354" s="680"/>
      <c r="AC354" s="680"/>
      <c r="AD354" s="680"/>
      <c r="AE354" s="680"/>
      <c r="AF354" s="680"/>
      <c r="AG354" s="680"/>
      <c r="AH354" s="680"/>
      <c r="AI354" s="680"/>
      <c r="AJ354" s="680"/>
      <c r="AK354" s="680"/>
      <c r="AL354" s="680"/>
      <c r="AM354" s="680"/>
      <c r="AN354" s="680"/>
      <c r="AO354" s="680"/>
      <c r="AP354" s="680"/>
      <c r="AQ354" s="680"/>
      <c r="AR354" s="680"/>
      <c r="AS354" s="680"/>
      <c r="AT354" s="680"/>
      <c r="AU354" s="680"/>
      <c r="AV354" s="672"/>
      <c r="AW354" s="672"/>
      <c r="AX354" s="672"/>
      <c r="AY354" s="672"/>
      <c r="AZ354" s="672"/>
      <c r="BA354" s="672">
        <v>75261.976999999999</v>
      </c>
      <c r="BB354" s="672">
        <v>76719.900999999998</v>
      </c>
      <c r="BC354" s="672">
        <v>67912.073999999993</v>
      </c>
      <c r="BD354" s="672">
        <v>117.83781</v>
      </c>
      <c r="BE354" s="687">
        <v>190.73708199999999</v>
      </c>
      <c r="BF354" s="461">
        <v>258.23731600000002</v>
      </c>
      <c r="BG354" s="650">
        <v>315.60131000000001</v>
      </c>
      <c r="BH354" s="650">
        <v>437.07443899999998</v>
      </c>
      <c r="BI354" s="688">
        <v>595.69328399999995</v>
      </c>
      <c r="BJ354" s="472">
        <f>504.040066</f>
        <v>504.04006600000002</v>
      </c>
      <c r="BK354" s="472">
        <v>782.35045200000002</v>
      </c>
      <c r="BL354" s="508">
        <v>899.39</v>
      </c>
      <c r="BM354" s="25">
        <v>661.37592600000005</v>
      </c>
      <c r="BN354" s="25">
        <v>859.78870400000005</v>
      </c>
      <c r="BO354" s="25">
        <v>894.180252</v>
      </c>
      <c r="BP354" s="276">
        <f t="shared" si="254"/>
        <v>894.180252</v>
      </c>
      <c r="BQ354" s="276">
        <f t="shared" si="254"/>
        <v>894.180252</v>
      </c>
      <c r="BR354" s="276">
        <f t="shared" si="254"/>
        <v>894.180252</v>
      </c>
      <c r="BS354" s="276">
        <f t="shared" si="254"/>
        <v>894.180252</v>
      </c>
      <c r="BT354" s="276">
        <f t="shared" si="254"/>
        <v>894.180252</v>
      </c>
      <c r="BU354" s="40">
        <f t="shared" si="214"/>
        <v>894.180252</v>
      </c>
      <c r="BV354" s="40">
        <f t="shared" ref="BV354:CD354" si="256">BU354</f>
        <v>894.180252</v>
      </c>
      <c r="BW354" s="40">
        <f t="shared" si="256"/>
        <v>894.180252</v>
      </c>
      <c r="BX354" s="40">
        <f t="shared" si="256"/>
        <v>894.180252</v>
      </c>
      <c r="BY354" s="40">
        <f t="shared" si="256"/>
        <v>894.180252</v>
      </c>
      <c r="BZ354" s="40">
        <f t="shared" si="256"/>
        <v>894.180252</v>
      </c>
      <c r="CA354" s="40">
        <f t="shared" si="256"/>
        <v>894.180252</v>
      </c>
      <c r="CB354" s="40">
        <f t="shared" si="256"/>
        <v>894.180252</v>
      </c>
      <c r="CC354" s="40">
        <f t="shared" si="256"/>
        <v>894.180252</v>
      </c>
      <c r="CD354" s="40">
        <f t="shared" si="256"/>
        <v>894.180252</v>
      </c>
      <c r="CE354" s="307"/>
      <c r="CF354" s="307"/>
      <c r="CG354" s="307"/>
      <c r="CM354" s="25">
        <v>653.53352400000006</v>
      </c>
    </row>
    <row r="355" spans="2:91" s="25" customFormat="1">
      <c r="B355" s="25" t="s">
        <v>2477</v>
      </c>
      <c r="C355" s="680"/>
      <c r="D355" s="680"/>
      <c r="E355" s="680"/>
      <c r="F355" s="680"/>
      <c r="G355" s="680"/>
      <c r="H355" s="680"/>
      <c r="I355" s="680"/>
      <c r="J355" s="680"/>
      <c r="K355" s="680"/>
      <c r="L355" s="680"/>
      <c r="M355" s="680"/>
      <c r="N355" s="680"/>
      <c r="O355" s="680"/>
      <c r="P355" s="680"/>
      <c r="Q355" s="680"/>
      <c r="R355" s="680"/>
      <c r="S355" s="680"/>
      <c r="T355" s="680"/>
      <c r="U355" s="680"/>
      <c r="V355" s="680"/>
      <c r="W355" s="680"/>
      <c r="X355" s="680"/>
      <c r="Y355" s="680"/>
      <c r="Z355" s="680"/>
      <c r="AA355" s="680"/>
      <c r="AB355" s="680"/>
      <c r="AC355" s="680"/>
      <c r="AD355" s="680"/>
      <c r="AE355" s="680"/>
      <c r="AF355" s="680"/>
      <c r="AG355" s="680"/>
      <c r="AH355" s="680"/>
      <c r="AI355" s="680"/>
      <c r="AJ355" s="680"/>
      <c r="AK355" s="680"/>
      <c r="AL355" s="680"/>
      <c r="AM355" s="680"/>
      <c r="AN355" s="680"/>
      <c r="AO355" s="680"/>
      <c r="AP355" s="680"/>
      <c r="AQ355" s="680"/>
      <c r="AR355" s="680"/>
      <c r="AS355" s="680"/>
      <c r="AT355" s="680"/>
      <c r="AU355" s="680"/>
      <c r="AV355" s="672"/>
      <c r="AW355" s="672"/>
      <c r="AX355" s="672"/>
      <c r="AY355" s="672"/>
      <c r="AZ355" s="672"/>
      <c r="BA355" s="672">
        <v>7714.1279999999997</v>
      </c>
      <c r="BB355" s="672">
        <v>10258.905000000001</v>
      </c>
      <c r="BC355" s="672">
        <v>13079.913</v>
      </c>
      <c r="BD355" s="672">
        <v>17.699715000000001</v>
      </c>
      <c r="BE355" s="687">
        <v>18.433011</v>
      </c>
      <c r="BF355" s="461">
        <v>31.383161000000001</v>
      </c>
      <c r="BG355" s="507">
        <v>79.162396999999999</v>
      </c>
      <c r="BH355" s="507">
        <v>147.07008300000001</v>
      </c>
      <c r="BI355" s="463">
        <v>35.817734999999999</v>
      </c>
      <c r="BJ355" s="472">
        <v>28.025293000000001</v>
      </c>
      <c r="BK355" s="472">
        <v>113.856227</v>
      </c>
      <c r="BL355" s="508">
        <v>110.82</v>
      </c>
      <c r="BM355" s="25">
        <v>40.626553999999999</v>
      </c>
      <c r="BN355" s="25">
        <v>42.129736999999999</v>
      </c>
      <c r="BO355" s="25">
        <v>44.194094</v>
      </c>
      <c r="BP355" s="276">
        <f t="shared" ref="BP355:BT363" si="257">BO355</f>
        <v>44.194094</v>
      </c>
      <c r="BQ355" s="276">
        <f t="shared" si="257"/>
        <v>44.194094</v>
      </c>
      <c r="BR355" s="276">
        <f t="shared" si="257"/>
        <v>44.194094</v>
      </c>
      <c r="BS355" s="276">
        <f t="shared" si="257"/>
        <v>44.194094</v>
      </c>
      <c r="BT355" s="276">
        <f t="shared" si="257"/>
        <v>44.194094</v>
      </c>
      <c r="BU355" s="40">
        <f t="shared" ref="BU355:BU418" si="258">BT355</f>
        <v>44.194094</v>
      </c>
      <c r="BV355" s="40">
        <f>BU355</f>
        <v>44.194094</v>
      </c>
      <c r="BW355" s="40">
        <f>BV355</f>
        <v>44.194094</v>
      </c>
      <c r="BX355" s="40">
        <f t="shared" ref="BV355:CD370" si="259">BW355</f>
        <v>44.194094</v>
      </c>
      <c r="BY355" s="40">
        <f t="shared" si="259"/>
        <v>44.194094</v>
      </c>
      <c r="BZ355" s="40">
        <f t="shared" si="259"/>
        <v>44.194094</v>
      </c>
      <c r="CA355" s="40">
        <f t="shared" si="259"/>
        <v>44.194094</v>
      </c>
      <c r="CB355" s="40">
        <f t="shared" si="259"/>
        <v>44.194094</v>
      </c>
      <c r="CC355" s="40">
        <f t="shared" si="259"/>
        <v>44.194094</v>
      </c>
      <c r="CD355" s="40">
        <f t="shared" si="259"/>
        <v>44.194094</v>
      </c>
      <c r="CE355" s="307"/>
      <c r="CF355" s="307"/>
      <c r="CG355" s="307"/>
      <c r="CM355" s="25">
        <v>39.177005000000001</v>
      </c>
    </row>
    <row r="356" spans="2:91" s="25" customFormat="1">
      <c r="B356" s="40" t="s">
        <v>1721</v>
      </c>
      <c r="C356" s="689"/>
      <c r="D356" s="689"/>
      <c r="E356" s="689"/>
      <c r="F356" s="689"/>
      <c r="G356" s="689"/>
      <c r="H356" s="689"/>
      <c r="I356" s="689"/>
      <c r="J356" s="689"/>
      <c r="K356" s="689"/>
      <c r="L356" s="689"/>
      <c r="M356" s="689"/>
      <c r="N356" s="689"/>
      <c r="O356" s="689"/>
      <c r="P356" s="689"/>
      <c r="Q356" s="689"/>
      <c r="R356" s="689"/>
      <c r="S356" s="689"/>
      <c r="T356" s="689"/>
      <c r="U356" s="689"/>
      <c r="V356" s="689"/>
      <c r="W356" s="689"/>
      <c r="X356" s="689"/>
      <c r="Y356" s="689"/>
      <c r="Z356" s="689"/>
      <c r="AA356" s="689"/>
      <c r="AB356" s="689"/>
      <c r="AC356" s="689"/>
      <c r="AD356" s="689"/>
      <c r="AE356" s="689"/>
      <c r="AF356" s="689"/>
      <c r="AG356" s="689"/>
      <c r="AH356" s="689"/>
      <c r="AI356" s="689"/>
      <c r="AJ356" s="689"/>
      <c r="AK356" s="689"/>
      <c r="AL356" s="689"/>
      <c r="AM356" s="689"/>
      <c r="AN356" s="689"/>
      <c r="AO356" s="689"/>
      <c r="AP356" s="689"/>
      <c r="AQ356" s="689"/>
      <c r="AR356" s="689"/>
      <c r="AS356" s="689"/>
      <c r="AT356" s="689"/>
      <c r="AU356" s="689"/>
      <c r="AV356" s="690"/>
      <c r="AW356" s="690"/>
      <c r="AX356" s="690"/>
      <c r="AY356" s="690"/>
      <c r="AZ356" s="690">
        <v>26.791081999999999</v>
      </c>
      <c r="BA356" s="690">
        <v>80022.274000000005</v>
      </c>
      <c r="BB356" s="690">
        <v>34325.194000000003</v>
      </c>
      <c r="BC356" s="690">
        <v>56026.012000000002</v>
      </c>
      <c r="BD356" s="690">
        <v>113.891182</v>
      </c>
      <c r="BE356" s="691">
        <v>114.752122</v>
      </c>
      <c r="BF356" s="692">
        <v>47.237707999999998</v>
      </c>
      <c r="BG356" s="650">
        <v>123.979009</v>
      </c>
      <c r="BH356" s="507">
        <v>26.901477</v>
      </c>
      <c r="BI356" s="463">
        <v>12.876058</v>
      </c>
      <c r="BJ356" s="472">
        <v>3.2519999999999998</v>
      </c>
      <c r="BK356" s="472">
        <v>6.6694329999999997</v>
      </c>
      <c r="BL356" s="508">
        <v>2.1800000000000002</v>
      </c>
      <c r="BM356" s="239">
        <f>BL356*1211/1213</f>
        <v>2.1764056059356967</v>
      </c>
      <c r="BN356" s="467">
        <f>9.2*3.35</f>
        <v>30.819999999999997</v>
      </c>
      <c r="BO356" s="467">
        <f>2.1*3.35</f>
        <v>7.0350000000000001</v>
      </c>
      <c r="BP356" s="276">
        <v>0</v>
      </c>
      <c r="BQ356" s="276">
        <f t="shared" si="257"/>
        <v>0</v>
      </c>
      <c r="BR356" s="276">
        <f t="shared" si="257"/>
        <v>0</v>
      </c>
      <c r="BS356" s="276">
        <f t="shared" si="257"/>
        <v>0</v>
      </c>
      <c r="BT356" s="276">
        <f t="shared" si="257"/>
        <v>0</v>
      </c>
      <c r="BU356" s="40">
        <f t="shared" si="258"/>
        <v>0</v>
      </c>
      <c r="BV356" s="40">
        <f t="shared" si="259"/>
        <v>0</v>
      </c>
      <c r="BW356" s="40">
        <f t="shared" si="259"/>
        <v>0</v>
      </c>
      <c r="BX356" s="40">
        <f t="shared" si="259"/>
        <v>0</v>
      </c>
      <c r="BY356" s="40">
        <f t="shared" si="259"/>
        <v>0</v>
      </c>
      <c r="BZ356" s="40">
        <f t="shared" si="259"/>
        <v>0</v>
      </c>
      <c r="CA356" s="40">
        <f t="shared" si="259"/>
        <v>0</v>
      </c>
      <c r="CB356" s="40">
        <f t="shared" si="259"/>
        <v>0</v>
      </c>
      <c r="CC356" s="40">
        <f t="shared" si="259"/>
        <v>0</v>
      </c>
      <c r="CD356" s="40">
        <f t="shared" si="259"/>
        <v>0</v>
      </c>
      <c r="CE356" s="307"/>
      <c r="CF356" s="307"/>
      <c r="CG356" s="307"/>
      <c r="CM356" s="25">
        <v>33.36</v>
      </c>
    </row>
    <row r="357" spans="2:91" s="25" customFormat="1">
      <c r="B357" s="693" t="s">
        <v>3947</v>
      </c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307"/>
      <c r="AW357" s="307"/>
      <c r="AX357" s="307"/>
      <c r="AY357" s="307"/>
      <c r="AZ357" s="307"/>
      <c r="BA357" s="307"/>
      <c r="BB357" s="307"/>
      <c r="BC357" s="307"/>
      <c r="BD357" s="307"/>
      <c r="BE357" s="307"/>
      <c r="BF357" s="307"/>
      <c r="BG357" s="307"/>
      <c r="BH357" s="694"/>
      <c r="BI357" s="307">
        <v>139.507666</v>
      </c>
      <c r="BJ357" s="457">
        <v>153.45843199999999</v>
      </c>
      <c r="BK357" s="307"/>
      <c r="BM357" s="25">
        <v>60</v>
      </c>
      <c r="BN357" s="467">
        <f>8.1*3.35</f>
        <v>27.134999999999998</v>
      </c>
      <c r="BO357" s="467">
        <f>9.8*3.35</f>
        <v>32.830000000000005</v>
      </c>
      <c r="BP357" s="467">
        <f>10.1*4.2</f>
        <v>42.42</v>
      </c>
      <c r="BQ357" s="276">
        <v>121</v>
      </c>
      <c r="BR357" s="276">
        <v>122</v>
      </c>
      <c r="BS357" s="276">
        <v>123</v>
      </c>
      <c r="BT357" s="276">
        <v>124</v>
      </c>
      <c r="BU357" s="40">
        <f t="shared" si="258"/>
        <v>124</v>
      </c>
      <c r="BV357" s="40">
        <f t="shared" si="259"/>
        <v>124</v>
      </c>
      <c r="BW357" s="40">
        <f t="shared" si="259"/>
        <v>124</v>
      </c>
      <c r="BX357" s="40">
        <f t="shared" si="259"/>
        <v>124</v>
      </c>
      <c r="BY357" s="40">
        <f t="shared" si="259"/>
        <v>124</v>
      </c>
      <c r="BZ357" s="40">
        <f t="shared" si="259"/>
        <v>124</v>
      </c>
      <c r="CA357" s="40">
        <f t="shared" si="259"/>
        <v>124</v>
      </c>
      <c r="CB357" s="40">
        <f t="shared" si="259"/>
        <v>124</v>
      </c>
      <c r="CC357" s="40">
        <f t="shared" si="259"/>
        <v>124</v>
      </c>
      <c r="CD357" s="40">
        <f t="shared" si="259"/>
        <v>124</v>
      </c>
      <c r="CE357" s="307"/>
      <c r="CF357" s="307"/>
      <c r="CG357" s="307"/>
    </row>
    <row r="358" spans="2:91" s="25" customFormat="1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307"/>
      <c r="AW358" s="307"/>
      <c r="AX358" s="307"/>
      <c r="AY358" s="307"/>
      <c r="AZ358" s="307"/>
      <c r="BA358" s="307"/>
      <c r="BB358" s="307"/>
      <c r="BC358" s="307"/>
      <c r="BD358" s="307"/>
      <c r="BE358" s="307"/>
      <c r="BF358" s="307"/>
      <c r="BG358" s="307"/>
      <c r="BH358" s="307"/>
      <c r="BI358" s="307"/>
      <c r="BJ358" s="307"/>
      <c r="BK358" s="307"/>
      <c r="BU358" s="40">
        <f t="shared" si="258"/>
        <v>0</v>
      </c>
      <c r="BV358" s="40">
        <f t="shared" si="259"/>
        <v>0</v>
      </c>
      <c r="BW358" s="40">
        <f t="shared" si="259"/>
        <v>0</v>
      </c>
      <c r="BX358" s="40">
        <f t="shared" si="259"/>
        <v>0</v>
      </c>
      <c r="BY358" s="40">
        <f t="shared" si="259"/>
        <v>0</v>
      </c>
      <c r="BZ358" s="40">
        <f t="shared" si="259"/>
        <v>0</v>
      </c>
      <c r="CA358" s="40">
        <f t="shared" si="259"/>
        <v>0</v>
      </c>
      <c r="CB358" s="40">
        <f t="shared" si="259"/>
        <v>0</v>
      </c>
      <c r="CC358" s="40">
        <f t="shared" si="259"/>
        <v>0</v>
      </c>
      <c r="CD358" s="40">
        <f t="shared" si="259"/>
        <v>0</v>
      </c>
      <c r="CE358" s="307"/>
      <c r="CF358" s="307"/>
      <c r="CG358" s="307"/>
    </row>
    <row r="359" spans="2:91" s="25" customFormat="1">
      <c r="B359" s="238" t="s">
        <v>4029</v>
      </c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59">
        <f t="shared" ref="AV359:BC359" si="260">SUM(AV360:AV363)</f>
        <v>0</v>
      </c>
      <c r="AW359" s="459">
        <f t="shared" si="260"/>
        <v>0</v>
      </c>
      <c r="AX359" s="459">
        <f t="shared" si="260"/>
        <v>0</v>
      </c>
      <c r="AY359" s="459">
        <f t="shared" si="260"/>
        <v>0</v>
      </c>
      <c r="AZ359" s="459">
        <f t="shared" si="260"/>
        <v>47060925</v>
      </c>
      <c r="BA359" s="459">
        <f t="shared" si="260"/>
        <v>53527.092000000004</v>
      </c>
      <c r="BB359" s="459">
        <f t="shared" si="260"/>
        <v>106152.76999999999</v>
      </c>
      <c r="BC359" s="459">
        <f t="shared" si="260"/>
        <v>158546.70600000001</v>
      </c>
      <c r="BD359" s="459">
        <f>SUM(BD360:BD363)</f>
        <v>150.43715</v>
      </c>
      <c r="BE359" s="459">
        <f>SUM(BE360:BE363)</f>
        <v>195.495385</v>
      </c>
      <c r="BF359" s="459">
        <f>SUM(BF360:BF363)</f>
        <v>229.51602399999999</v>
      </c>
      <c r="BG359" s="695">
        <f>SUM(BG360:BG363)</f>
        <v>228.341094</v>
      </c>
      <c r="BH359" s="507">
        <f>SUM(BH360:BH363)-BH361</f>
        <v>190.43953299999998</v>
      </c>
      <c r="BI359" s="463">
        <f t="shared" ref="BI359:BO359" si="261">SUM(BI360:BI363)-BI361-BI362</f>
        <v>287.00764999999956</v>
      </c>
      <c r="BJ359" s="423">
        <f>SUM(BJ360:BJ363)-BJ361-BJ362</f>
        <v>389.34988700000008</v>
      </c>
      <c r="BK359" s="423">
        <f>BK360+BK363</f>
        <v>390.15443899999997</v>
      </c>
      <c r="BL359" s="307">
        <f t="shared" si="261"/>
        <v>437.82</v>
      </c>
      <c r="BM359" s="239">
        <f>BL359*1211/1213</f>
        <v>437.09812036273701</v>
      </c>
      <c r="BN359" s="307">
        <f t="shared" si="261"/>
        <v>299.42377900000002</v>
      </c>
      <c r="BO359" s="307">
        <f t="shared" si="261"/>
        <v>302.41801700000008</v>
      </c>
      <c r="BP359" s="276">
        <f t="shared" si="257"/>
        <v>302.41801700000008</v>
      </c>
      <c r="BQ359" s="276">
        <f t="shared" si="257"/>
        <v>302.41801700000008</v>
      </c>
      <c r="BR359" s="276">
        <f t="shared" si="257"/>
        <v>302.41801700000008</v>
      </c>
      <c r="BS359" s="276">
        <f t="shared" si="257"/>
        <v>302.41801700000008</v>
      </c>
      <c r="BT359" s="276">
        <f t="shared" si="257"/>
        <v>302.41801700000008</v>
      </c>
      <c r="BU359" s="40">
        <f t="shared" si="258"/>
        <v>302.41801700000008</v>
      </c>
      <c r="BV359" s="40">
        <f t="shared" si="259"/>
        <v>302.41801700000008</v>
      </c>
      <c r="BW359" s="40">
        <f t="shared" si="259"/>
        <v>302.41801700000008</v>
      </c>
      <c r="BX359" s="40">
        <f t="shared" si="259"/>
        <v>302.41801700000008</v>
      </c>
      <c r="BY359" s="40">
        <f t="shared" si="259"/>
        <v>302.41801700000008</v>
      </c>
      <c r="BZ359" s="40">
        <f t="shared" si="259"/>
        <v>302.41801700000008</v>
      </c>
      <c r="CA359" s="40">
        <f t="shared" si="259"/>
        <v>302.41801700000008</v>
      </c>
      <c r="CB359" s="40">
        <f t="shared" si="259"/>
        <v>302.41801700000008</v>
      </c>
      <c r="CC359" s="40">
        <f t="shared" si="259"/>
        <v>302.41801700000008</v>
      </c>
      <c r="CD359" s="40">
        <f t="shared" si="259"/>
        <v>302.41801700000008</v>
      </c>
      <c r="CE359" s="307"/>
      <c r="CF359" s="307"/>
      <c r="CG359" s="307"/>
      <c r="CM359" s="307">
        <f>SUM(CM360:CM363)-CM361-CM362</f>
        <v>294.53848400000004</v>
      </c>
    </row>
    <row r="360" spans="2:91" s="25" customFormat="1">
      <c r="B360" s="40" t="s">
        <v>4028</v>
      </c>
      <c r="C360" s="689"/>
      <c r="D360" s="689"/>
      <c r="E360" s="689"/>
      <c r="F360" s="689"/>
      <c r="G360" s="689"/>
      <c r="H360" s="689"/>
      <c r="I360" s="689"/>
      <c r="J360" s="689"/>
      <c r="K360" s="689"/>
      <c r="L360" s="689"/>
      <c r="M360" s="689"/>
      <c r="N360" s="689"/>
      <c r="O360" s="689"/>
      <c r="P360" s="689"/>
      <c r="Q360" s="689"/>
      <c r="R360" s="689"/>
      <c r="S360" s="689"/>
      <c r="T360" s="689"/>
      <c r="U360" s="689"/>
      <c r="V360" s="689"/>
      <c r="W360" s="689"/>
      <c r="X360" s="689"/>
      <c r="Y360" s="689"/>
      <c r="Z360" s="689"/>
      <c r="AA360" s="689"/>
      <c r="AB360" s="689"/>
      <c r="AC360" s="689"/>
      <c r="AD360" s="689"/>
      <c r="AE360" s="689"/>
      <c r="AF360" s="689"/>
      <c r="AG360" s="689"/>
      <c r="AH360" s="689"/>
      <c r="AI360" s="689"/>
      <c r="AJ360" s="689"/>
      <c r="AK360" s="689"/>
      <c r="AL360" s="689"/>
      <c r="AM360" s="689"/>
      <c r="AN360" s="689"/>
      <c r="AO360" s="689"/>
      <c r="AP360" s="689"/>
      <c r="AQ360" s="689"/>
      <c r="AR360" s="689"/>
      <c r="AS360" s="689"/>
      <c r="AT360" s="689"/>
      <c r="AU360" s="689"/>
      <c r="AV360" s="690"/>
      <c r="AW360" s="690"/>
      <c r="AX360" s="690"/>
      <c r="AY360" s="690"/>
      <c r="AZ360" s="696">
        <v>47060925</v>
      </c>
      <c r="BA360" s="690">
        <v>4485.991</v>
      </c>
      <c r="BB360" s="690">
        <v>41330.379999999997</v>
      </c>
      <c r="BC360" s="690">
        <v>37330.974000000002</v>
      </c>
      <c r="BD360" s="648">
        <v>41.254693000000003</v>
      </c>
      <c r="BE360" s="648">
        <f>0.25*195.495385</f>
        <v>48.87384625</v>
      </c>
      <c r="BF360" s="648">
        <f>0.25*229.516024</f>
        <v>57.379005999999997</v>
      </c>
      <c r="BG360" s="648">
        <v>61.901355000000002</v>
      </c>
      <c r="BH360" s="694">
        <v>56.019170000000003</v>
      </c>
      <c r="BI360" s="694">
        <v>86.114456000000004</v>
      </c>
      <c r="BJ360" s="472">
        <v>104.830625</v>
      </c>
      <c r="BK360" s="472">
        <v>123.476702</v>
      </c>
      <c r="BL360" s="508">
        <v>127.36</v>
      </c>
      <c r="BM360" s="25">
        <v>90.498285999999993</v>
      </c>
      <c r="BN360" s="25">
        <v>91.403268999999995</v>
      </c>
      <c r="BO360" s="25">
        <v>92.317301999999998</v>
      </c>
      <c r="BP360" s="276">
        <f t="shared" si="257"/>
        <v>92.317301999999998</v>
      </c>
      <c r="BQ360" s="276">
        <f t="shared" si="257"/>
        <v>92.317301999999998</v>
      </c>
      <c r="BR360" s="276">
        <f t="shared" si="257"/>
        <v>92.317301999999998</v>
      </c>
      <c r="BS360" s="276">
        <f t="shared" si="257"/>
        <v>92.317301999999998</v>
      </c>
      <c r="BT360" s="276">
        <f t="shared" si="257"/>
        <v>92.317301999999998</v>
      </c>
      <c r="BU360" s="40">
        <f t="shared" si="258"/>
        <v>92.317301999999998</v>
      </c>
      <c r="BV360" s="40">
        <f t="shared" si="259"/>
        <v>92.317301999999998</v>
      </c>
      <c r="BW360" s="40">
        <f t="shared" si="259"/>
        <v>92.317301999999998</v>
      </c>
      <c r="BX360" s="40">
        <f t="shared" si="259"/>
        <v>92.317301999999998</v>
      </c>
      <c r="BY360" s="40">
        <f t="shared" si="259"/>
        <v>92.317301999999998</v>
      </c>
      <c r="BZ360" s="40">
        <f t="shared" si="259"/>
        <v>92.317301999999998</v>
      </c>
      <c r="CA360" s="40">
        <f t="shared" si="259"/>
        <v>92.317301999999998</v>
      </c>
      <c r="CB360" s="40">
        <f t="shared" si="259"/>
        <v>92.317301999999998</v>
      </c>
      <c r="CC360" s="40">
        <f t="shared" si="259"/>
        <v>92.317301999999998</v>
      </c>
      <c r="CD360" s="40">
        <f t="shared" si="259"/>
        <v>92.317301999999998</v>
      </c>
      <c r="CE360" s="307"/>
      <c r="CF360" s="307"/>
      <c r="CG360" s="307"/>
      <c r="CM360" s="25">
        <v>89.602264000000005</v>
      </c>
    </row>
    <row r="361" spans="2:91" s="25" customFormat="1">
      <c r="B361" s="40" t="s">
        <v>2161</v>
      </c>
      <c r="C361" s="689"/>
      <c r="D361" s="689"/>
      <c r="E361" s="689"/>
      <c r="F361" s="689"/>
      <c r="G361" s="689"/>
      <c r="H361" s="689"/>
      <c r="I361" s="689"/>
      <c r="J361" s="689"/>
      <c r="K361" s="689"/>
      <c r="L361" s="689"/>
      <c r="M361" s="689"/>
      <c r="N361" s="689"/>
      <c r="O361" s="689"/>
      <c r="P361" s="689"/>
      <c r="Q361" s="689"/>
      <c r="R361" s="689"/>
      <c r="S361" s="689"/>
      <c r="T361" s="689"/>
      <c r="U361" s="689"/>
      <c r="V361" s="689"/>
      <c r="W361" s="689"/>
      <c r="X361" s="689"/>
      <c r="Y361" s="689"/>
      <c r="Z361" s="689"/>
      <c r="AA361" s="689"/>
      <c r="AB361" s="689"/>
      <c r="AC361" s="689"/>
      <c r="AD361" s="689"/>
      <c r="AE361" s="689"/>
      <c r="AF361" s="689"/>
      <c r="AG361" s="689"/>
      <c r="AH361" s="689"/>
      <c r="AI361" s="689"/>
      <c r="AJ361" s="689"/>
      <c r="AK361" s="689"/>
      <c r="AL361" s="689"/>
      <c r="AM361" s="689"/>
      <c r="AN361" s="689"/>
      <c r="AO361" s="689"/>
      <c r="AP361" s="689"/>
      <c r="AQ361" s="689"/>
      <c r="AR361" s="689"/>
      <c r="AS361" s="689"/>
      <c r="AT361" s="689"/>
      <c r="AU361" s="689"/>
      <c r="AV361" s="690"/>
      <c r="AW361" s="690"/>
      <c r="AX361" s="690"/>
      <c r="AY361" s="690"/>
      <c r="AZ361" s="696"/>
      <c r="BA361" s="690"/>
      <c r="BB361" s="690"/>
      <c r="BC361" s="690"/>
      <c r="BD361" s="648"/>
      <c r="BE361" s="648"/>
      <c r="BF361" s="648"/>
      <c r="BG361" s="648"/>
      <c r="BH361" s="457">
        <f>BH984*BH764</f>
        <v>1098</v>
      </c>
      <c r="BI361" s="457">
        <f>BI984*BI764</f>
        <v>2621.9999999999995</v>
      </c>
      <c r="BJ361" s="457">
        <v>25.02</v>
      </c>
      <c r="BK361" s="457"/>
      <c r="BL361" s="457"/>
      <c r="BM361" s="457">
        <v>25.02</v>
      </c>
      <c r="BN361" s="457">
        <v>25.02</v>
      </c>
      <c r="BO361" s="457">
        <v>25.02</v>
      </c>
      <c r="BP361" s="276">
        <f t="shared" si="257"/>
        <v>25.02</v>
      </c>
      <c r="BQ361" s="276">
        <f t="shared" si="257"/>
        <v>25.02</v>
      </c>
      <c r="BR361" s="276">
        <f t="shared" si="257"/>
        <v>25.02</v>
      </c>
      <c r="BS361" s="276">
        <f t="shared" si="257"/>
        <v>25.02</v>
      </c>
      <c r="BT361" s="276">
        <f t="shared" si="257"/>
        <v>25.02</v>
      </c>
      <c r="BU361" s="40">
        <f t="shared" si="258"/>
        <v>25.02</v>
      </c>
      <c r="BV361" s="40">
        <f t="shared" si="259"/>
        <v>25.02</v>
      </c>
      <c r="BW361" s="40">
        <f t="shared" si="259"/>
        <v>25.02</v>
      </c>
      <c r="BX361" s="40">
        <f t="shared" si="259"/>
        <v>25.02</v>
      </c>
      <c r="BY361" s="40">
        <f t="shared" si="259"/>
        <v>25.02</v>
      </c>
      <c r="BZ361" s="40">
        <f t="shared" si="259"/>
        <v>25.02</v>
      </c>
      <c r="CA361" s="40">
        <f t="shared" si="259"/>
        <v>25.02</v>
      </c>
      <c r="CB361" s="40">
        <f t="shared" si="259"/>
        <v>25.02</v>
      </c>
      <c r="CC361" s="40">
        <f t="shared" si="259"/>
        <v>25.02</v>
      </c>
      <c r="CD361" s="40">
        <f t="shared" si="259"/>
        <v>25.02</v>
      </c>
      <c r="CE361" s="457"/>
      <c r="CF361" s="457"/>
      <c r="CG361" s="457"/>
      <c r="CM361" s="457">
        <v>25.02</v>
      </c>
    </row>
    <row r="362" spans="2:91" s="25" customFormat="1">
      <c r="B362" s="40" t="s">
        <v>4581</v>
      </c>
      <c r="C362" s="689"/>
      <c r="D362" s="689"/>
      <c r="E362" s="689"/>
      <c r="F362" s="689"/>
      <c r="G362" s="689"/>
      <c r="H362" s="689"/>
      <c r="I362" s="689"/>
      <c r="J362" s="689"/>
      <c r="K362" s="689"/>
      <c r="L362" s="689"/>
      <c r="M362" s="689"/>
      <c r="N362" s="689"/>
      <c r="O362" s="689"/>
      <c r="P362" s="689"/>
      <c r="Q362" s="689"/>
      <c r="R362" s="689"/>
      <c r="S362" s="689"/>
      <c r="T362" s="689"/>
      <c r="U362" s="689"/>
      <c r="V362" s="689"/>
      <c r="W362" s="689"/>
      <c r="X362" s="689"/>
      <c r="Y362" s="689"/>
      <c r="Z362" s="689"/>
      <c r="AA362" s="689"/>
      <c r="AB362" s="689"/>
      <c r="AC362" s="689"/>
      <c r="AD362" s="689"/>
      <c r="AE362" s="689"/>
      <c r="AF362" s="689"/>
      <c r="AG362" s="689"/>
      <c r="AH362" s="689"/>
      <c r="AI362" s="689"/>
      <c r="AJ362" s="689"/>
      <c r="AK362" s="689"/>
      <c r="AL362" s="689"/>
      <c r="AM362" s="689"/>
      <c r="AN362" s="689"/>
      <c r="AO362" s="689"/>
      <c r="AP362" s="689"/>
      <c r="AQ362" s="689"/>
      <c r="AR362" s="689"/>
      <c r="AS362" s="689"/>
      <c r="AT362" s="689"/>
      <c r="AU362" s="689"/>
      <c r="AV362" s="690"/>
      <c r="AW362" s="690"/>
      <c r="AX362" s="690"/>
      <c r="AY362" s="690"/>
      <c r="AZ362" s="696"/>
      <c r="BA362" s="690"/>
      <c r="BB362" s="690"/>
      <c r="BC362" s="690"/>
      <c r="BD362" s="648"/>
      <c r="BE362" s="648"/>
      <c r="BF362" s="648"/>
      <c r="BG362" s="648"/>
      <c r="BH362" s="457"/>
      <c r="BI362" s="457">
        <v>14.484062</v>
      </c>
      <c r="BJ362" s="457"/>
      <c r="BK362" s="457"/>
      <c r="BL362" s="457"/>
      <c r="BM362" s="457">
        <v>19.348800000000001</v>
      </c>
      <c r="BN362" s="457">
        <v>19.348800000000001</v>
      </c>
      <c r="BO362" s="457">
        <v>19.348800000000001</v>
      </c>
      <c r="BP362" s="276">
        <f t="shared" si="257"/>
        <v>19.348800000000001</v>
      </c>
      <c r="BQ362" s="276">
        <f t="shared" si="257"/>
        <v>19.348800000000001</v>
      </c>
      <c r="BR362" s="276">
        <f t="shared" si="257"/>
        <v>19.348800000000001</v>
      </c>
      <c r="BS362" s="276">
        <f t="shared" si="257"/>
        <v>19.348800000000001</v>
      </c>
      <c r="BT362" s="276">
        <f t="shared" si="257"/>
        <v>19.348800000000001</v>
      </c>
      <c r="BU362" s="40">
        <f t="shared" si="258"/>
        <v>19.348800000000001</v>
      </c>
      <c r="BV362" s="40">
        <f t="shared" si="259"/>
        <v>19.348800000000001</v>
      </c>
      <c r="BW362" s="40">
        <f t="shared" si="259"/>
        <v>19.348800000000001</v>
      </c>
      <c r="BX362" s="40">
        <f t="shared" si="259"/>
        <v>19.348800000000001</v>
      </c>
      <c r="BY362" s="40">
        <f t="shared" si="259"/>
        <v>19.348800000000001</v>
      </c>
      <c r="BZ362" s="40">
        <f t="shared" si="259"/>
        <v>19.348800000000001</v>
      </c>
      <c r="CA362" s="40">
        <f t="shared" si="259"/>
        <v>19.348800000000001</v>
      </c>
      <c r="CB362" s="40">
        <f t="shared" si="259"/>
        <v>19.348800000000001</v>
      </c>
      <c r="CC362" s="40">
        <f t="shared" si="259"/>
        <v>19.348800000000001</v>
      </c>
      <c r="CD362" s="40">
        <f t="shared" si="259"/>
        <v>19.348800000000001</v>
      </c>
      <c r="CE362" s="457"/>
      <c r="CF362" s="457"/>
      <c r="CG362" s="457"/>
      <c r="CM362" s="457">
        <v>19.348800000000001</v>
      </c>
    </row>
    <row r="363" spans="2:91" s="25" customFormat="1">
      <c r="B363" s="40" t="s">
        <v>1101</v>
      </c>
      <c r="C363" s="689"/>
      <c r="D363" s="689"/>
      <c r="E363" s="689"/>
      <c r="F363" s="689"/>
      <c r="G363" s="689"/>
      <c r="H363" s="689"/>
      <c r="I363" s="689"/>
      <c r="J363" s="689"/>
      <c r="K363" s="689"/>
      <c r="L363" s="689"/>
      <c r="M363" s="689"/>
      <c r="N363" s="689"/>
      <c r="O363" s="689"/>
      <c r="P363" s="689"/>
      <c r="Q363" s="689"/>
      <c r="R363" s="689"/>
      <c r="S363" s="689"/>
      <c r="T363" s="689"/>
      <c r="U363" s="689"/>
      <c r="V363" s="689"/>
      <c r="W363" s="689"/>
      <c r="X363" s="689"/>
      <c r="Y363" s="689"/>
      <c r="Z363" s="689"/>
      <c r="AA363" s="689"/>
      <c r="AB363" s="689"/>
      <c r="AC363" s="689"/>
      <c r="AD363" s="689"/>
      <c r="AE363" s="689"/>
      <c r="AF363" s="689"/>
      <c r="AG363" s="689"/>
      <c r="AH363" s="689"/>
      <c r="AI363" s="689"/>
      <c r="AJ363" s="689"/>
      <c r="AK363" s="689"/>
      <c r="AL363" s="689"/>
      <c r="AM363" s="689"/>
      <c r="AN363" s="689"/>
      <c r="AO363" s="689"/>
      <c r="AP363" s="689"/>
      <c r="AQ363" s="689"/>
      <c r="AR363" s="689"/>
      <c r="AS363" s="689"/>
      <c r="AT363" s="689"/>
      <c r="AU363" s="689"/>
      <c r="AV363" s="690"/>
      <c r="AW363" s="690"/>
      <c r="AX363" s="690"/>
      <c r="AY363" s="690"/>
      <c r="AZ363" s="690"/>
      <c r="BA363" s="690">
        <v>49041.101000000002</v>
      </c>
      <c r="BB363" s="690">
        <v>64822.39</v>
      </c>
      <c r="BC363" s="690">
        <v>121215.732</v>
      </c>
      <c r="BD363" s="648">
        <v>109.182457</v>
      </c>
      <c r="BE363" s="648">
        <f>0.75*195.495385</f>
        <v>146.62153875000001</v>
      </c>
      <c r="BF363" s="648">
        <f>0.75*229.516024</f>
        <v>172.13701799999998</v>
      </c>
      <c r="BG363" s="648">
        <v>166.439739</v>
      </c>
      <c r="BH363" s="694">
        <v>134.42036300000001</v>
      </c>
      <c r="BI363" s="694">
        <v>200.89319399999999</v>
      </c>
      <c r="BJ363" s="472">
        <v>284.51926200000003</v>
      </c>
      <c r="BK363" s="472">
        <v>266.67773699999998</v>
      </c>
      <c r="BL363" s="463">
        <v>310.45999999999998</v>
      </c>
      <c r="BM363" s="307">
        <v>206.98558199999999</v>
      </c>
      <c r="BN363" s="307">
        <v>208.02051</v>
      </c>
      <c r="BO363" s="307">
        <v>210.10071500000001</v>
      </c>
      <c r="BP363" s="276">
        <f t="shared" si="257"/>
        <v>210.10071500000001</v>
      </c>
      <c r="BQ363" s="276">
        <f t="shared" si="257"/>
        <v>210.10071500000001</v>
      </c>
      <c r="BR363" s="276">
        <f t="shared" si="257"/>
        <v>210.10071500000001</v>
      </c>
      <c r="BS363" s="276">
        <f t="shared" si="257"/>
        <v>210.10071500000001</v>
      </c>
      <c r="BT363" s="276">
        <f t="shared" si="257"/>
        <v>210.10071500000001</v>
      </c>
      <c r="BU363" s="40">
        <f t="shared" si="258"/>
        <v>210.10071500000001</v>
      </c>
      <c r="BV363" s="40">
        <f t="shared" si="259"/>
        <v>210.10071500000001</v>
      </c>
      <c r="BW363" s="40">
        <f t="shared" si="259"/>
        <v>210.10071500000001</v>
      </c>
      <c r="BX363" s="40">
        <f t="shared" si="259"/>
        <v>210.10071500000001</v>
      </c>
      <c r="BY363" s="40">
        <f t="shared" si="259"/>
        <v>210.10071500000001</v>
      </c>
      <c r="BZ363" s="40">
        <f t="shared" si="259"/>
        <v>210.10071500000001</v>
      </c>
      <c r="CA363" s="40">
        <f t="shared" si="259"/>
        <v>210.10071500000001</v>
      </c>
      <c r="CB363" s="40">
        <f t="shared" si="259"/>
        <v>210.10071500000001</v>
      </c>
      <c r="CC363" s="40">
        <f t="shared" si="259"/>
        <v>210.10071500000001</v>
      </c>
      <c r="CD363" s="40">
        <f t="shared" si="259"/>
        <v>210.10071500000001</v>
      </c>
      <c r="CE363" s="307"/>
      <c r="CF363" s="307"/>
      <c r="CG363" s="307"/>
      <c r="CM363" s="307">
        <v>204.93621999999999</v>
      </c>
    </row>
    <row r="364" spans="2:91" s="25" customFormat="1">
      <c r="B364" s="238" t="s">
        <v>3948</v>
      </c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307"/>
      <c r="AW364" s="307"/>
      <c r="AX364" s="307"/>
      <c r="AY364" s="307"/>
      <c r="AZ364" s="307"/>
      <c r="BA364" s="307"/>
      <c r="BB364" s="307"/>
      <c r="BC364" s="307"/>
      <c r="BD364" s="307"/>
      <c r="BE364" s="307"/>
      <c r="BF364" s="307"/>
      <c r="BG364" s="506">
        <f>SUM(BG353:BG357)-BG353-BG357+BG359</f>
        <v>747.08380999999997</v>
      </c>
      <c r="BH364" s="506">
        <f>SUM(BH353:BH357)-BH353-BH357+BH359</f>
        <v>801.48553199999446</v>
      </c>
      <c r="BI364" s="506">
        <f>SUM(BI353:BI357)-BI353-BI357+BI359</f>
        <v>931.39472699999942</v>
      </c>
      <c r="BJ364" s="506">
        <f>SUM(BJ353:BJ357)-BJ353-BJ357+BJ359</f>
        <v>924.66724600000009</v>
      </c>
      <c r="BK364" s="506">
        <f>SUM(BK353:BK357)-BK353-BK357+BK359</f>
        <v>1293.0305510000001</v>
      </c>
      <c r="BL364" s="506">
        <f t="shared" ref="BL364:BQ364" si="262">SUM(BL353:BL357)-BL353-BL357+BL359</f>
        <v>1450.21</v>
      </c>
      <c r="BM364" s="506">
        <f t="shared" si="262"/>
        <v>1141.2770059686727</v>
      </c>
      <c r="BN364" s="506">
        <f t="shared" si="262"/>
        <v>1232.1622199999999</v>
      </c>
      <c r="BO364" s="506">
        <f t="shared" si="262"/>
        <v>1247.8273629999999</v>
      </c>
      <c r="BP364" s="506">
        <f t="shared" si="262"/>
        <v>1240.792363</v>
      </c>
      <c r="BQ364" s="506">
        <f t="shared" si="262"/>
        <v>1240.792363</v>
      </c>
      <c r="BR364" s="506">
        <f>SUM(BR353:BR357)-BR353-BR357+BR359</f>
        <v>1240.792363</v>
      </c>
      <c r="BS364" s="506">
        <f>SUM(BS353:BS357)-BS353-BS357+BS359</f>
        <v>1240.792363</v>
      </c>
      <c r="BT364" s="506">
        <f>SUM(BT353:BT357)-BT353-BT357+BT359</f>
        <v>1240.792363</v>
      </c>
      <c r="BU364" s="40">
        <f t="shared" si="258"/>
        <v>1240.792363</v>
      </c>
      <c r="BV364" s="40">
        <f t="shared" si="259"/>
        <v>1240.792363</v>
      </c>
      <c r="BW364" s="40">
        <f t="shared" si="259"/>
        <v>1240.792363</v>
      </c>
      <c r="BX364" s="40">
        <f t="shared" si="259"/>
        <v>1240.792363</v>
      </c>
      <c r="BY364" s="40">
        <f t="shared" si="259"/>
        <v>1240.792363</v>
      </c>
      <c r="BZ364" s="40">
        <f t="shared" si="259"/>
        <v>1240.792363</v>
      </c>
      <c r="CA364" s="40">
        <f t="shared" si="259"/>
        <v>1240.792363</v>
      </c>
      <c r="CB364" s="40">
        <f t="shared" si="259"/>
        <v>1240.792363</v>
      </c>
      <c r="CC364" s="40">
        <f t="shared" si="259"/>
        <v>1240.792363</v>
      </c>
      <c r="CD364" s="40">
        <f t="shared" si="259"/>
        <v>1240.792363</v>
      </c>
      <c r="CE364" s="697"/>
      <c r="CF364" s="697"/>
      <c r="CG364" s="697"/>
      <c r="CM364" s="506">
        <f>SUM(CM353:CM357)-CM353-CM357+CM359</f>
        <v>1020.6090130000001</v>
      </c>
    </row>
    <row r="365" spans="2:91" s="25" customFormat="1">
      <c r="B365" s="25" t="s">
        <v>909</v>
      </c>
      <c r="C365" s="680"/>
      <c r="D365" s="680"/>
      <c r="E365" s="680"/>
      <c r="F365" s="680"/>
      <c r="G365" s="680"/>
      <c r="H365" s="680"/>
      <c r="I365" s="680"/>
      <c r="J365" s="680"/>
      <c r="K365" s="680"/>
      <c r="L365" s="680"/>
      <c r="M365" s="680"/>
      <c r="N365" s="680"/>
      <c r="O365" s="680"/>
      <c r="P365" s="680"/>
      <c r="Q365" s="680"/>
      <c r="R365" s="680"/>
      <c r="S365" s="680"/>
      <c r="T365" s="680"/>
      <c r="U365" s="680"/>
      <c r="V365" s="680"/>
      <c r="W365" s="680"/>
      <c r="X365" s="680"/>
      <c r="Y365" s="680"/>
      <c r="Z365" s="680"/>
      <c r="AA365" s="680"/>
      <c r="AB365" s="680"/>
      <c r="AC365" s="680"/>
      <c r="AD365" s="680"/>
      <c r="AE365" s="680"/>
      <c r="AF365" s="680"/>
      <c r="AG365" s="680"/>
      <c r="AH365" s="680"/>
      <c r="AI365" s="680"/>
      <c r="AJ365" s="680"/>
      <c r="AK365" s="680"/>
      <c r="AL365" s="680"/>
      <c r="AM365" s="680"/>
      <c r="AN365" s="680"/>
      <c r="AO365" s="680"/>
      <c r="AP365" s="680"/>
      <c r="AQ365" s="680"/>
      <c r="AR365" s="680"/>
      <c r="AS365" s="680"/>
      <c r="AT365" s="680"/>
      <c r="AU365" s="680"/>
      <c r="AV365" s="672"/>
      <c r="AW365" s="672"/>
      <c r="AX365" s="672"/>
      <c r="AY365" s="672"/>
      <c r="AZ365" s="672"/>
      <c r="BA365" s="672">
        <v>227.57599999999999</v>
      </c>
      <c r="BB365" s="672">
        <v>243.57400000000001</v>
      </c>
      <c r="BC365" s="672">
        <v>249.203</v>
      </c>
      <c r="BD365" s="672">
        <v>0.37894099999999997</v>
      </c>
      <c r="BE365" s="687">
        <v>0.192972</v>
      </c>
      <c r="BF365" s="698">
        <v>0.70943400000000001</v>
      </c>
      <c r="BG365" s="650">
        <v>0.64528700000000005</v>
      </c>
      <c r="BH365" s="507">
        <v>0.47729300000000002</v>
      </c>
      <c r="BI365" s="463">
        <v>0.26722899999999999</v>
      </c>
      <c r="BJ365" s="472">
        <v>0.71873100000000001</v>
      </c>
      <c r="BK365" s="475">
        <v>1.596292</v>
      </c>
      <c r="BL365" s="508">
        <v>0.8</v>
      </c>
      <c r="BM365" s="509">
        <v>2</v>
      </c>
      <c r="BN365" s="509">
        <v>2.2999999999999998</v>
      </c>
      <c r="BO365" s="509">
        <v>2.645</v>
      </c>
      <c r="BP365" s="509">
        <v>3.0419999999999998</v>
      </c>
      <c r="BQ365" s="509">
        <v>3.4980000000000002</v>
      </c>
      <c r="BR365" s="509">
        <v>3.4980000000000002</v>
      </c>
      <c r="BS365" s="509">
        <v>3.4980000000000002</v>
      </c>
      <c r="BT365" s="509">
        <v>3.4980000000000002</v>
      </c>
      <c r="BU365" s="40">
        <f t="shared" si="258"/>
        <v>3.4980000000000002</v>
      </c>
      <c r="BV365" s="40">
        <f t="shared" si="259"/>
        <v>3.4980000000000002</v>
      </c>
      <c r="BW365" s="40">
        <f t="shared" si="259"/>
        <v>3.4980000000000002</v>
      </c>
      <c r="BX365" s="40">
        <f t="shared" si="259"/>
        <v>3.4980000000000002</v>
      </c>
      <c r="BY365" s="40">
        <f t="shared" si="259"/>
        <v>3.4980000000000002</v>
      </c>
      <c r="BZ365" s="40">
        <f t="shared" si="259"/>
        <v>3.4980000000000002</v>
      </c>
      <c r="CA365" s="40">
        <f t="shared" si="259"/>
        <v>3.4980000000000002</v>
      </c>
      <c r="CB365" s="40">
        <f t="shared" si="259"/>
        <v>3.4980000000000002</v>
      </c>
      <c r="CC365" s="40">
        <f t="shared" si="259"/>
        <v>3.4980000000000002</v>
      </c>
      <c r="CD365" s="40">
        <f t="shared" si="259"/>
        <v>3.4980000000000002</v>
      </c>
      <c r="CE365" s="348"/>
      <c r="CF365" s="348"/>
      <c r="CG365" s="348"/>
      <c r="CM365" s="509">
        <v>1.2</v>
      </c>
    </row>
    <row r="366" spans="2:91" s="25" customFormat="1">
      <c r="B366" s="25" t="s">
        <v>949</v>
      </c>
      <c r="C366" s="680"/>
      <c r="D366" s="680"/>
      <c r="E366" s="680"/>
      <c r="F366" s="680"/>
      <c r="G366" s="680"/>
      <c r="H366" s="680"/>
      <c r="I366" s="680"/>
      <c r="J366" s="680"/>
      <c r="K366" s="680"/>
      <c r="L366" s="680"/>
      <c r="M366" s="680"/>
      <c r="N366" s="680"/>
      <c r="O366" s="680"/>
      <c r="P366" s="680"/>
      <c r="Q366" s="680"/>
      <c r="R366" s="680"/>
      <c r="S366" s="680"/>
      <c r="T366" s="680"/>
      <c r="U366" s="680"/>
      <c r="V366" s="680"/>
      <c r="W366" s="680"/>
      <c r="X366" s="680"/>
      <c r="Y366" s="680"/>
      <c r="Z366" s="680"/>
      <c r="AA366" s="680"/>
      <c r="AB366" s="680"/>
      <c r="AC366" s="680"/>
      <c r="AD366" s="680"/>
      <c r="AE366" s="680"/>
      <c r="AF366" s="680"/>
      <c r="AG366" s="680"/>
      <c r="AH366" s="680"/>
      <c r="AI366" s="680"/>
      <c r="AJ366" s="680"/>
      <c r="AK366" s="680"/>
      <c r="AL366" s="680"/>
      <c r="AM366" s="680"/>
      <c r="AN366" s="680"/>
      <c r="AO366" s="680"/>
      <c r="AP366" s="680"/>
      <c r="AQ366" s="680"/>
      <c r="AR366" s="680"/>
      <c r="AS366" s="680"/>
      <c r="AT366" s="680"/>
      <c r="AU366" s="680"/>
      <c r="AV366" s="672"/>
      <c r="AW366" s="672"/>
      <c r="AX366" s="672"/>
      <c r="AY366" s="672"/>
      <c r="AZ366" s="672"/>
      <c r="BA366" s="672">
        <v>9769.848</v>
      </c>
      <c r="BB366" s="672">
        <v>824.41600000000005</v>
      </c>
      <c r="BC366" s="672">
        <v>1215.3030000000001</v>
      </c>
      <c r="BD366" s="672">
        <v>1.8774040000000001</v>
      </c>
      <c r="BE366" s="687">
        <v>2.0389240000000002</v>
      </c>
      <c r="BF366" s="461">
        <v>6.7536690000000004</v>
      </c>
      <c r="BG366" s="507">
        <v>6.6560579999999998</v>
      </c>
      <c r="BH366" s="507">
        <v>6.8710269999999998</v>
      </c>
      <c r="BI366" s="463">
        <v>4.9698880000000001</v>
      </c>
      <c r="BJ366" s="472">
        <v>18.813286999999999</v>
      </c>
      <c r="BK366" s="475">
        <v>12.430878999999999</v>
      </c>
      <c r="BL366" s="508">
        <v>95.6</v>
      </c>
      <c r="BM366" s="509">
        <v>97</v>
      </c>
      <c r="BN366" s="509">
        <v>50</v>
      </c>
      <c r="BO366" s="509">
        <v>50</v>
      </c>
      <c r="BP366" s="509">
        <v>50</v>
      </c>
      <c r="BQ366" s="509">
        <v>50</v>
      </c>
      <c r="BR366" s="509">
        <v>50</v>
      </c>
      <c r="BS366" s="509">
        <v>50</v>
      </c>
      <c r="BT366" s="509">
        <v>50</v>
      </c>
      <c r="BU366" s="40">
        <f t="shared" si="258"/>
        <v>50</v>
      </c>
      <c r="BV366" s="40">
        <f t="shared" si="259"/>
        <v>50</v>
      </c>
      <c r="BW366" s="40">
        <f t="shared" si="259"/>
        <v>50</v>
      </c>
      <c r="BX366" s="40">
        <f t="shared" si="259"/>
        <v>50</v>
      </c>
      <c r="BY366" s="40">
        <f t="shared" si="259"/>
        <v>50</v>
      </c>
      <c r="BZ366" s="40">
        <f t="shared" si="259"/>
        <v>50</v>
      </c>
      <c r="CA366" s="40">
        <f t="shared" si="259"/>
        <v>50</v>
      </c>
      <c r="CB366" s="40">
        <f t="shared" si="259"/>
        <v>50</v>
      </c>
      <c r="CC366" s="40">
        <f t="shared" si="259"/>
        <v>50</v>
      </c>
      <c r="CD366" s="40">
        <f t="shared" si="259"/>
        <v>50</v>
      </c>
      <c r="CE366" s="348"/>
      <c r="CF366" s="348"/>
      <c r="CG366" s="348"/>
      <c r="CM366" s="509">
        <v>84.6</v>
      </c>
    </row>
    <row r="367" spans="2:91" s="25" customFormat="1" ht="16.5" thickBot="1">
      <c r="B367" s="25" t="s">
        <v>1670</v>
      </c>
      <c r="C367" s="699"/>
      <c r="D367" s="699"/>
      <c r="E367" s="699"/>
      <c r="F367" s="699"/>
      <c r="G367" s="699"/>
      <c r="H367" s="699"/>
      <c r="I367" s="699"/>
      <c r="J367" s="699"/>
      <c r="K367" s="699"/>
      <c r="L367" s="699"/>
      <c r="M367" s="699"/>
      <c r="N367" s="699"/>
      <c r="O367" s="699"/>
      <c r="P367" s="699"/>
      <c r="Q367" s="699"/>
      <c r="R367" s="699"/>
      <c r="S367" s="699"/>
      <c r="T367" s="699"/>
      <c r="U367" s="699"/>
      <c r="V367" s="699"/>
      <c r="W367" s="699"/>
      <c r="X367" s="699"/>
      <c r="Y367" s="699"/>
      <c r="Z367" s="699"/>
      <c r="AA367" s="699"/>
      <c r="AB367" s="699"/>
      <c r="AC367" s="699"/>
      <c r="AD367" s="699"/>
      <c r="AE367" s="699"/>
      <c r="AF367" s="699"/>
      <c r="AG367" s="699"/>
      <c r="AH367" s="699"/>
      <c r="AI367" s="699"/>
      <c r="AJ367" s="699"/>
      <c r="AK367" s="699"/>
      <c r="AL367" s="699"/>
      <c r="AM367" s="699"/>
      <c r="AN367" s="699"/>
      <c r="AO367" s="699"/>
      <c r="AP367" s="699"/>
      <c r="AQ367" s="699"/>
      <c r="AR367" s="699"/>
      <c r="AS367" s="699"/>
      <c r="AT367" s="699"/>
      <c r="AU367" s="699"/>
      <c r="AV367" s="700"/>
      <c r="AW367" s="700"/>
      <c r="AX367" s="700"/>
      <c r="AY367" s="700"/>
      <c r="AZ367" s="700"/>
      <c r="BA367" s="700">
        <v>21.347000000000001</v>
      </c>
      <c r="BB367" s="700">
        <v>304.26600000000002</v>
      </c>
      <c r="BC367" s="700">
        <v>810.32799999999997</v>
      </c>
      <c r="BD367" s="700">
        <v>1.6762999999999999</v>
      </c>
      <c r="BE367" s="687">
        <v>1.136563</v>
      </c>
      <c r="BF367" s="462">
        <v>2.5719259999999999</v>
      </c>
      <c r="BG367" s="507">
        <v>1.4367570000000001</v>
      </c>
      <c r="BH367" s="507">
        <v>1.423424</v>
      </c>
      <c r="BI367" s="701">
        <v>1.5842879999999999</v>
      </c>
      <c r="BJ367" s="472">
        <v>2.7313139999999998</v>
      </c>
      <c r="BK367" s="475">
        <v>1.9655720000000001</v>
      </c>
      <c r="BL367" s="508">
        <v>4.1100000000000003</v>
      </c>
      <c r="BM367" s="509">
        <v>3</v>
      </c>
      <c r="BN367" s="509">
        <v>3.2</v>
      </c>
      <c r="BO367" s="509">
        <v>3.4</v>
      </c>
      <c r="BP367" s="509">
        <v>3.6</v>
      </c>
      <c r="BQ367" s="509">
        <v>3.8</v>
      </c>
      <c r="BR367" s="509">
        <v>3.8</v>
      </c>
      <c r="BS367" s="509">
        <v>3.8</v>
      </c>
      <c r="BT367" s="509">
        <v>3.8</v>
      </c>
      <c r="BU367" s="40">
        <f t="shared" si="258"/>
        <v>3.8</v>
      </c>
      <c r="BV367" s="40">
        <f t="shared" si="259"/>
        <v>3.8</v>
      </c>
      <c r="BW367" s="40">
        <f t="shared" si="259"/>
        <v>3.8</v>
      </c>
      <c r="BX367" s="40">
        <f t="shared" si="259"/>
        <v>3.8</v>
      </c>
      <c r="BY367" s="40">
        <f t="shared" si="259"/>
        <v>3.8</v>
      </c>
      <c r="BZ367" s="40">
        <f t="shared" si="259"/>
        <v>3.8</v>
      </c>
      <c r="CA367" s="40">
        <f t="shared" si="259"/>
        <v>3.8</v>
      </c>
      <c r="CB367" s="40">
        <f t="shared" si="259"/>
        <v>3.8</v>
      </c>
      <c r="CC367" s="40">
        <f t="shared" si="259"/>
        <v>3.8</v>
      </c>
      <c r="CD367" s="40">
        <f t="shared" si="259"/>
        <v>3.8</v>
      </c>
      <c r="CE367" s="348"/>
      <c r="CF367" s="348"/>
      <c r="CG367" s="348"/>
      <c r="CM367" s="509">
        <v>2.8</v>
      </c>
    </row>
    <row r="368" spans="2:91" s="25" customFormat="1">
      <c r="B368" s="702" t="s">
        <v>1345</v>
      </c>
      <c r="C368" s="680"/>
      <c r="D368" s="680"/>
      <c r="E368" s="680"/>
      <c r="F368" s="680"/>
      <c r="G368" s="680"/>
      <c r="H368" s="680"/>
      <c r="I368" s="680"/>
      <c r="J368" s="680"/>
      <c r="K368" s="680"/>
      <c r="L368" s="680"/>
      <c r="M368" s="680"/>
      <c r="N368" s="680"/>
      <c r="O368" s="680"/>
      <c r="P368" s="680"/>
      <c r="Q368" s="680"/>
      <c r="R368" s="680"/>
      <c r="S368" s="680"/>
      <c r="T368" s="680"/>
      <c r="U368" s="680"/>
      <c r="V368" s="680"/>
      <c r="W368" s="680"/>
      <c r="X368" s="680"/>
      <c r="Y368" s="680"/>
      <c r="Z368" s="680"/>
      <c r="AA368" s="680"/>
      <c r="AB368" s="680"/>
      <c r="AC368" s="680"/>
      <c r="AD368" s="680"/>
      <c r="AE368" s="680"/>
      <c r="AF368" s="680"/>
      <c r="AG368" s="680"/>
      <c r="AH368" s="680"/>
      <c r="AI368" s="680"/>
      <c r="AJ368" s="680"/>
      <c r="AK368" s="680"/>
      <c r="AL368" s="680"/>
      <c r="AM368" s="680"/>
      <c r="AN368" s="680"/>
      <c r="AO368" s="680"/>
      <c r="AP368" s="680"/>
      <c r="AQ368" s="680"/>
      <c r="AR368" s="680"/>
      <c r="AS368" s="680"/>
      <c r="AT368" s="680"/>
      <c r="AU368" s="680"/>
      <c r="AV368" s="672"/>
      <c r="AW368" s="672"/>
      <c r="AX368" s="672"/>
      <c r="AY368" s="672"/>
      <c r="AZ368" s="672"/>
      <c r="BA368" s="672">
        <v>22732.675999999999</v>
      </c>
      <c r="BB368" s="672">
        <v>25380.812999999998</v>
      </c>
      <c r="BC368" s="672">
        <v>57121.169000000002</v>
      </c>
      <c r="BD368" s="672">
        <v>63.878487999999997</v>
      </c>
      <c r="BE368" s="687">
        <v>78.008418000000006</v>
      </c>
      <c r="BF368" s="462">
        <v>82.182794000000001</v>
      </c>
      <c r="BG368" s="507">
        <v>99.776157999999995</v>
      </c>
      <c r="BH368" s="507">
        <v>106.68767800000001</v>
      </c>
      <c r="BI368" s="507">
        <v>105.984013</v>
      </c>
      <c r="BJ368" s="307"/>
      <c r="BK368" s="472">
        <v>154.92541</v>
      </c>
      <c r="BL368" s="25">
        <v>193.53</v>
      </c>
      <c r="BU368" s="40">
        <f t="shared" si="258"/>
        <v>0</v>
      </c>
      <c r="BV368" s="40">
        <f t="shared" si="259"/>
        <v>0</v>
      </c>
      <c r="BW368" s="40">
        <f t="shared" si="259"/>
        <v>0</v>
      </c>
      <c r="BX368" s="40">
        <f t="shared" si="259"/>
        <v>0</v>
      </c>
      <c r="BY368" s="40">
        <f t="shared" si="259"/>
        <v>0</v>
      </c>
      <c r="BZ368" s="40">
        <f t="shared" si="259"/>
        <v>0</v>
      </c>
      <c r="CA368" s="40">
        <f t="shared" si="259"/>
        <v>0</v>
      </c>
      <c r="CB368" s="40">
        <f t="shared" si="259"/>
        <v>0</v>
      </c>
      <c r="CC368" s="40">
        <f t="shared" si="259"/>
        <v>0</v>
      </c>
      <c r="CD368" s="40">
        <f t="shared" si="259"/>
        <v>0</v>
      </c>
      <c r="CE368" s="307"/>
      <c r="CF368" s="307"/>
      <c r="CG368" s="307"/>
    </row>
    <row r="369" spans="2:91" s="25" customFormat="1">
      <c r="B369" s="25" t="s">
        <v>3823</v>
      </c>
      <c r="C369" s="680"/>
      <c r="D369" s="680"/>
      <c r="E369" s="680"/>
      <c r="F369" s="680"/>
      <c r="G369" s="680"/>
      <c r="H369" s="680"/>
      <c r="I369" s="680"/>
      <c r="J369" s="680"/>
      <c r="K369" s="680"/>
      <c r="L369" s="680"/>
      <c r="M369" s="680"/>
      <c r="N369" s="680"/>
      <c r="O369" s="680"/>
      <c r="P369" s="680"/>
      <c r="Q369" s="680"/>
      <c r="R369" s="680"/>
      <c r="S369" s="680"/>
      <c r="T369" s="680"/>
      <c r="U369" s="680"/>
      <c r="V369" s="680"/>
      <c r="W369" s="680"/>
      <c r="X369" s="680"/>
      <c r="Y369" s="680"/>
      <c r="Z369" s="680"/>
      <c r="AA369" s="680"/>
      <c r="AB369" s="680"/>
      <c r="AC369" s="680"/>
      <c r="AD369" s="680"/>
      <c r="AE369" s="680"/>
      <c r="AF369" s="680"/>
      <c r="AG369" s="680"/>
      <c r="AH369" s="680"/>
      <c r="AI369" s="680"/>
      <c r="AJ369" s="680"/>
      <c r="AK369" s="680"/>
      <c r="AL369" s="680"/>
      <c r="AM369" s="680"/>
      <c r="AN369" s="680"/>
      <c r="AO369" s="680"/>
      <c r="AP369" s="680"/>
      <c r="AQ369" s="680"/>
      <c r="AR369" s="680"/>
      <c r="AS369" s="680"/>
      <c r="AT369" s="680"/>
      <c r="AU369" s="680"/>
      <c r="AV369" s="672"/>
      <c r="AW369" s="672"/>
      <c r="AX369" s="672"/>
      <c r="AY369" s="672"/>
      <c r="AZ369" s="672"/>
      <c r="BA369" s="672"/>
      <c r="BB369" s="672"/>
      <c r="BC369" s="672">
        <v>7303.585</v>
      </c>
      <c r="BD369" s="672">
        <v>10.182259999999999</v>
      </c>
      <c r="BE369" s="687">
        <v>11.662167</v>
      </c>
      <c r="BF369" s="461">
        <v>12.021985000000001</v>
      </c>
      <c r="BG369" s="507">
        <v>10.863303</v>
      </c>
      <c r="BH369" s="507">
        <v>11.641260000000001</v>
      </c>
      <c r="BI369" s="463">
        <v>12.486800000000001</v>
      </c>
      <c r="BJ369" s="472">
        <v>12.761200000000001</v>
      </c>
      <c r="BK369" s="475">
        <v>20.630517999999999</v>
      </c>
      <c r="BL369" s="508">
        <v>31.15</v>
      </c>
      <c r="BM369" s="509">
        <v>36</v>
      </c>
      <c r="BN369" s="509">
        <v>25</v>
      </c>
      <c r="BO369" s="509">
        <v>25</v>
      </c>
      <c r="BP369" s="509">
        <v>25</v>
      </c>
      <c r="BQ369" s="509">
        <v>25</v>
      </c>
      <c r="BR369" s="509">
        <v>25</v>
      </c>
      <c r="BS369" s="509">
        <v>25</v>
      </c>
      <c r="BT369" s="509">
        <v>25</v>
      </c>
      <c r="BU369" s="40">
        <f t="shared" si="258"/>
        <v>25</v>
      </c>
      <c r="BV369" s="40">
        <f t="shared" si="259"/>
        <v>25</v>
      </c>
      <c r="BW369" s="40">
        <f t="shared" si="259"/>
        <v>25</v>
      </c>
      <c r="BX369" s="40">
        <f t="shared" si="259"/>
        <v>25</v>
      </c>
      <c r="BY369" s="40">
        <f t="shared" si="259"/>
        <v>25</v>
      </c>
      <c r="BZ369" s="40">
        <f t="shared" si="259"/>
        <v>25</v>
      </c>
      <c r="CA369" s="40">
        <f t="shared" si="259"/>
        <v>25</v>
      </c>
      <c r="CB369" s="40">
        <f t="shared" si="259"/>
        <v>25</v>
      </c>
      <c r="CC369" s="40">
        <f t="shared" si="259"/>
        <v>25</v>
      </c>
      <c r="CD369" s="40">
        <f t="shared" si="259"/>
        <v>25</v>
      </c>
      <c r="CE369" s="348"/>
      <c r="CF369" s="348"/>
      <c r="CG369" s="348"/>
      <c r="CI369" s="423">
        <f>CH369+1.46252</f>
        <v>1.46252</v>
      </c>
      <c r="CM369" s="509">
        <v>20.2</v>
      </c>
    </row>
    <row r="370" spans="2:91" s="25" customFormat="1">
      <c r="C370" s="703"/>
      <c r="D370" s="703"/>
      <c r="E370" s="703"/>
      <c r="F370" s="703"/>
      <c r="G370" s="703"/>
      <c r="H370" s="703"/>
      <c r="I370" s="703"/>
      <c r="J370" s="703"/>
      <c r="K370" s="703"/>
      <c r="L370" s="703"/>
      <c r="M370" s="703"/>
      <c r="N370" s="703"/>
      <c r="O370" s="703"/>
      <c r="P370" s="703"/>
      <c r="Q370" s="703"/>
      <c r="R370" s="703"/>
      <c r="S370" s="703"/>
      <c r="T370" s="703"/>
      <c r="U370" s="703"/>
      <c r="V370" s="703"/>
      <c r="W370" s="703"/>
      <c r="X370" s="703"/>
      <c r="Y370" s="703"/>
      <c r="Z370" s="703"/>
      <c r="AA370" s="703"/>
      <c r="AB370" s="703"/>
      <c r="AC370" s="703"/>
      <c r="AD370" s="703"/>
      <c r="AE370" s="703"/>
      <c r="AF370" s="703"/>
      <c r="AG370" s="703"/>
      <c r="AH370" s="703"/>
      <c r="AI370" s="703"/>
      <c r="AJ370" s="703"/>
      <c r="AK370" s="703"/>
      <c r="AL370" s="703"/>
      <c r="AM370" s="703"/>
      <c r="AN370" s="703"/>
      <c r="AO370" s="703"/>
      <c r="AP370" s="703"/>
      <c r="AQ370" s="703"/>
      <c r="AR370" s="703"/>
      <c r="AS370" s="703"/>
      <c r="AT370" s="703"/>
      <c r="AU370" s="703"/>
      <c r="AV370" s="683"/>
      <c r="AW370" s="683"/>
      <c r="AX370" s="683"/>
      <c r="AY370" s="683"/>
      <c r="AZ370" s="683"/>
      <c r="BA370" s="683"/>
      <c r="BB370" s="683"/>
      <c r="BC370" s="683"/>
      <c r="BD370" s="683"/>
      <c r="BE370" s="462"/>
      <c r="BF370" s="461"/>
      <c r="BG370" s="307"/>
      <c r="BH370" s="307"/>
      <c r="BI370" s="307"/>
      <c r="BJ370" s="307"/>
      <c r="BK370" s="307"/>
      <c r="BU370" s="40">
        <f t="shared" si="258"/>
        <v>0</v>
      </c>
      <c r="BV370" s="40">
        <f t="shared" si="259"/>
        <v>0</v>
      </c>
      <c r="BW370" s="40">
        <f t="shared" si="259"/>
        <v>0</v>
      </c>
      <c r="BX370" s="40">
        <f t="shared" si="259"/>
        <v>0</v>
      </c>
      <c r="BY370" s="40">
        <f t="shared" si="259"/>
        <v>0</v>
      </c>
      <c r="BZ370" s="40">
        <f t="shared" si="259"/>
        <v>0</v>
      </c>
      <c r="CA370" s="40">
        <f t="shared" si="259"/>
        <v>0</v>
      </c>
      <c r="CB370" s="40">
        <f t="shared" si="259"/>
        <v>0</v>
      </c>
      <c r="CC370" s="40">
        <f t="shared" si="259"/>
        <v>0</v>
      </c>
      <c r="CD370" s="40">
        <f t="shared" si="259"/>
        <v>0</v>
      </c>
      <c r="CE370" s="307"/>
      <c r="CF370" s="307"/>
      <c r="CG370" s="307"/>
    </row>
    <row r="371" spans="2:91" s="25" customFormat="1">
      <c r="B371" s="702" t="s">
        <v>2743</v>
      </c>
      <c r="C371" s="703"/>
      <c r="D371" s="703"/>
      <c r="E371" s="703"/>
      <c r="F371" s="703"/>
      <c r="G371" s="703"/>
      <c r="H371" s="703"/>
      <c r="I371" s="703"/>
      <c r="J371" s="703"/>
      <c r="K371" s="703"/>
      <c r="L371" s="703"/>
      <c r="M371" s="703"/>
      <c r="N371" s="703"/>
      <c r="O371" s="703"/>
      <c r="P371" s="703"/>
      <c r="Q371" s="703"/>
      <c r="R371" s="703"/>
      <c r="S371" s="703"/>
      <c r="T371" s="703"/>
      <c r="U371" s="703"/>
      <c r="V371" s="703"/>
      <c r="W371" s="703"/>
      <c r="X371" s="703"/>
      <c r="Y371" s="703"/>
      <c r="Z371" s="703"/>
      <c r="AA371" s="703"/>
      <c r="AB371" s="703"/>
      <c r="AC371" s="703"/>
      <c r="AD371" s="703"/>
      <c r="AE371" s="703"/>
      <c r="AF371" s="703"/>
      <c r="AG371" s="703"/>
      <c r="AH371" s="703"/>
      <c r="AI371" s="703"/>
      <c r="AJ371" s="703"/>
      <c r="AK371" s="703"/>
      <c r="AL371" s="703"/>
      <c r="AM371" s="703"/>
      <c r="AN371" s="703"/>
      <c r="AO371" s="703"/>
      <c r="AP371" s="703"/>
      <c r="AQ371" s="703"/>
      <c r="AR371" s="703"/>
      <c r="AS371" s="703"/>
      <c r="AT371" s="703"/>
      <c r="AU371" s="703"/>
      <c r="AV371" s="683"/>
      <c r="AW371" s="683"/>
      <c r="AX371" s="683"/>
      <c r="AY371" s="683"/>
      <c r="AZ371" s="683"/>
      <c r="BA371" s="683">
        <v>7796.3140000000003</v>
      </c>
      <c r="BB371" s="683">
        <v>12812.887000000001</v>
      </c>
      <c r="BC371" s="683">
        <v>34601.911999999997</v>
      </c>
      <c r="BD371" s="683">
        <v>39.058273999999997</v>
      </c>
      <c r="BE371" s="462">
        <v>44.725496999999997</v>
      </c>
      <c r="BF371" s="461">
        <v>49.209580000000003</v>
      </c>
      <c r="BG371" s="507">
        <v>52.602350999999999</v>
      </c>
      <c r="BH371" s="507">
        <v>61.222054999999997</v>
      </c>
      <c r="BI371" s="507">
        <v>75.932012</v>
      </c>
      <c r="BJ371" s="307"/>
      <c r="BK371" s="472">
        <v>97.104516000000004</v>
      </c>
      <c r="BL371" s="510">
        <v>106.22</v>
      </c>
      <c r="BM371" s="25">
        <v>118</v>
      </c>
      <c r="BN371" s="25">
        <v>129.80000000000001</v>
      </c>
      <c r="BO371" s="25">
        <v>142.78</v>
      </c>
      <c r="BP371" s="25">
        <v>157.05799999999999</v>
      </c>
      <c r="BQ371" s="25">
        <v>172.76400000000001</v>
      </c>
      <c r="BR371" s="25">
        <v>172.76400000000001</v>
      </c>
      <c r="BS371" s="25">
        <v>172.76400000000001</v>
      </c>
      <c r="BT371" s="25">
        <v>172.76400000000001</v>
      </c>
      <c r="BU371" s="40">
        <f t="shared" si="258"/>
        <v>172.76400000000001</v>
      </c>
      <c r="BV371" s="40">
        <f t="shared" ref="BV371:CD386" si="263">BU371</f>
        <v>172.76400000000001</v>
      </c>
      <c r="BW371" s="40">
        <f t="shared" si="263"/>
        <v>172.76400000000001</v>
      </c>
      <c r="BX371" s="40">
        <f t="shared" si="263"/>
        <v>172.76400000000001</v>
      </c>
      <c r="BY371" s="40">
        <f t="shared" si="263"/>
        <v>172.76400000000001</v>
      </c>
      <c r="BZ371" s="40">
        <f t="shared" si="263"/>
        <v>172.76400000000001</v>
      </c>
      <c r="CA371" s="40">
        <f t="shared" si="263"/>
        <v>172.76400000000001</v>
      </c>
      <c r="CB371" s="40">
        <f t="shared" si="263"/>
        <v>172.76400000000001</v>
      </c>
      <c r="CC371" s="40">
        <f t="shared" si="263"/>
        <v>172.76400000000001</v>
      </c>
      <c r="CD371" s="40">
        <f t="shared" si="263"/>
        <v>172.76400000000001</v>
      </c>
      <c r="CE371" s="307"/>
      <c r="CF371" s="307"/>
      <c r="CG371" s="307"/>
      <c r="CM371" s="467">
        <v>97</v>
      </c>
    </row>
    <row r="372" spans="2:91" s="25" customFormat="1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307"/>
      <c r="AW372" s="307"/>
      <c r="AX372" s="307"/>
      <c r="AY372" s="307"/>
      <c r="AZ372" s="307"/>
      <c r="BA372" s="307"/>
      <c r="BB372" s="307"/>
      <c r="BC372" s="307"/>
      <c r="BD372" s="307"/>
      <c r="BE372" s="307"/>
      <c r="BF372" s="307"/>
      <c r="BG372" s="307"/>
      <c r="BH372" s="307"/>
      <c r="BI372" s="307"/>
      <c r="BJ372" s="307"/>
      <c r="BK372" s="307"/>
      <c r="BU372" s="40">
        <f t="shared" si="258"/>
        <v>0</v>
      </c>
      <c r="BV372" s="40">
        <f t="shared" si="263"/>
        <v>0</v>
      </c>
      <c r="BW372" s="40">
        <f t="shared" si="263"/>
        <v>0</v>
      </c>
      <c r="BX372" s="40">
        <f t="shared" si="263"/>
        <v>0</v>
      </c>
      <c r="BY372" s="40">
        <f t="shared" si="263"/>
        <v>0</v>
      </c>
      <c r="BZ372" s="40">
        <f t="shared" si="263"/>
        <v>0</v>
      </c>
      <c r="CA372" s="40">
        <f t="shared" si="263"/>
        <v>0</v>
      </c>
      <c r="CB372" s="40">
        <f t="shared" si="263"/>
        <v>0</v>
      </c>
      <c r="CC372" s="40">
        <f t="shared" si="263"/>
        <v>0</v>
      </c>
      <c r="CD372" s="40">
        <f t="shared" si="263"/>
        <v>0</v>
      </c>
      <c r="CE372" s="307"/>
      <c r="CF372" s="307"/>
      <c r="CG372" s="307"/>
      <c r="CM372" s="704"/>
    </row>
    <row r="373" spans="2:91" s="25" customFormat="1">
      <c r="B373" s="702" t="s">
        <v>2489</v>
      </c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307"/>
      <c r="AW373" s="307"/>
      <c r="AX373" s="307"/>
      <c r="AY373" s="307"/>
      <c r="AZ373" s="307"/>
      <c r="BA373" s="307">
        <v>5223.6710000000003</v>
      </c>
      <c r="BB373" s="307">
        <v>5490.8050000000003</v>
      </c>
      <c r="BC373" s="307">
        <v>5579.848</v>
      </c>
      <c r="BD373" s="307">
        <v>8.1127120000000001</v>
      </c>
      <c r="BE373" s="307">
        <v>3.7170359999999998</v>
      </c>
      <c r="BF373" s="307">
        <v>3.335029</v>
      </c>
      <c r="BG373" s="507">
        <v>0.46500200000000003</v>
      </c>
      <c r="BH373" s="507">
        <v>13.652569</v>
      </c>
      <c r="BI373" s="463">
        <v>14.688222</v>
      </c>
      <c r="BJ373" s="472">
        <v>10.917676</v>
      </c>
      <c r="BK373" s="475">
        <v>11.326371</v>
      </c>
      <c r="BL373" s="508">
        <v>2.73</v>
      </c>
      <c r="BM373" s="509">
        <v>20</v>
      </c>
      <c r="BN373" s="509">
        <v>15</v>
      </c>
      <c r="BO373" s="509">
        <v>15</v>
      </c>
      <c r="BP373" s="509">
        <v>15</v>
      </c>
      <c r="BQ373" s="509">
        <v>15</v>
      </c>
      <c r="BR373" s="509">
        <v>15</v>
      </c>
      <c r="BS373" s="509">
        <v>15</v>
      </c>
      <c r="BT373" s="509">
        <v>15</v>
      </c>
      <c r="BU373" s="40">
        <f t="shared" si="258"/>
        <v>15</v>
      </c>
      <c r="BV373" s="40">
        <f t="shared" si="263"/>
        <v>15</v>
      </c>
      <c r="BW373" s="40">
        <f t="shared" si="263"/>
        <v>15</v>
      </c>
      <c r="BX373" s="40">
        <f t="shared" si="263"/>
        <v>15</v>
      </c>
      <c r="BY373" s="40">
        <f t="shared" si="263"/>
        <v>15</v>
      </c>
      <c r="BZ373" s="40">
        <f t="shared" si="263"/>
        <v>15</v>
      </c>
      <c r="CA373" s="40">
        <f t="shared" si="263"/>
        <v>15</v>
      </c>
      <c r="CB373" s="40">
        <f t="shared" si="263"/>
        <v>15</v>
      </c>
      <c r="CC373" s="40">
        <f t="shared" si="263"/>
        <v>15</v>
      </c>
      <c r="CD373" s="40">
        <f t="shared" si="263"/>
        <v>15</v>
      </c>
      <c r="CE373" s="348"/>
      <c r="CF373" s="348"/>
      <c r="CG373" s="348"/>
      <c r="CM373" s="509">
        <v>11</v>
      </c>
    </row>
    <row r="374" spans="2:91" s="25" customFormat="1">
      <c r="B374" s="702" t="s">
        <v>18</v>
      </c>
      <c r="C374" s="705"/>
      <c r="D374" s="705"/>
      <c r="E374" s="705"/>
      <c r="F374" s="705"/>
      <c r="G374" s="705"/>
      <c r="H374" s="705"/>
      <c r="I374" s="705"/>
      <c r="J374" s="705"/>
      <c r="K374" s="705"/>
      <c r="L374" s="705"/>
      <c r="M374" s="705"/>
      <c r="N374" s="705"/>
      <c r="O374" s="705"/>
      <c r="P374" s="705"/>
      <c r="Q374" s="705"/>
      <c r="R374" s="705"/>
      <c r="S374" s="705"/>
      <c r="T374" s="705"/>
      <c r="U374" s="705"/>
      <c r="V374" s="705"/>
      <c r="W374" s="705"/>
      <c r="X374" s="705"/>
      <c r="Y374" s="705"/>
      <c r="Z374" s="705"/>
      <c r="AA374" s="705"/>
      <c r="AB374" s="705"/>
      <c r="AC374" s="705"/>
      <c r="AD374" s="705"/>
      <c r="AE374" s="705"/>
      <c r="AF374" s="705"/>
      <c r="AG374" s="705"/>
      <c r="AH374" s="705"/>
      <c r="AI374" s="705"/>
      <c r="AJ374" s="705"/>
      <c r="AK374" s="705"/>
      <c r="AL374" s="705"/>
      <c r="AM374" s="705"/>
      <c r="AN374" s="705"/>
      <c r="AO374" s="705"/>
      <c r="AP374" s="705"/>
      <c r="AQ374" s="705"/>
      <c r="AR374" s="705"/>
      <c r="AS374" s="705"/>
      <c r="AT374" s="705"/>
      <c r="AU374" s="705"/>
      <c r="AV374" s="706"/>
      <c r="AW374" s="706"/>
      <c r="AX374" s="706"/>
      <c r="AY374" s="706"/>
      <c r="AZ374" s="706"/>
      <c r="BA374" s="706">
        <v>8.3000000000000004E-2</v>
      </c>
      <c r="BB374" s="706">
        <v>268.10399999999998</v>
      </c>
      <c r="BC374" s="706">
        <v>54.728999999999999</v>
      </c>
      <c r="BD374" s="706">
        <v>5.0569999999999997E-2</v>
      </c>
      <c r="BE374" s="698">
        <v>4.7199999999999999E-2</v>
      </c>
      <c r="BF374" s="307">
        <v>4.3799999999999999E-2</v>
      </c>
      <c r="BG374" s="507">
        <v>6.7277000000000003E-2</v>
      </c>
      <c r="BH374" s="507">
        <v>4.6517999999999997E-2</v>
      </c>
      <c r="BI374" s="507">
        <v>0.114999</v>
      </c>
      <c r="BJ374" s="307"/>
      <c r="BK374" s="472">
        <v>0.48683799999999999</v>
      </c>
      <c r="BL374" s="510">
        <v>0.06</v>
      </c>
      <c r="BU374" s="40">
        <f t="shared" si="258"/>
        <v>0</v>
      </c>
      <c r="BV374" s="40">
        <f t="shared" si="263"/>
        <v>0</v>
      </c>
      <c r="BW374" s="40">
        <f t="shared" si="263"/>
        <v>0</v>
      </c>
      <c r="BX374" s="40">
        <f t="shared" si="263"/>
        <v>0</v>
      </c>
      <c r="BY374" s="40">
        <f t="shared" si="263"/>
        <v>0</v>
      </c>
      <c r="BZ374" s="40">
        <f t="shared" si="263"/>
        <v>0</v>
      </c>
      <c r="CA374" s="40">
        <f t="shared" si="263"/>
        <v>0</v>
      </c>
      <c r="CB374" s="40">
        <f t="shared" si="263"/>
        <v>0</v>
      </c>
      <c r="CC374" s="40">
        <f t="shared" si="263"/>
        <v>0</v>
      </c>
      <c r="CD374" s="40">
        <f t="shared" si="263"/>
        <v>0</v>
      </c>
      <c r="CE374" s="307"/>
      <c r="CF374" s="307"/>
      <c r="CG374" s="307"/>
    </row>
    <row r="375" spans="2:91" s="25" customFormat="1">
      <c r="B375" s="702" t="s">
        <v>876</v>
      </c>
      <c r="C375" s="707"/>
      <c r="D375" s="707"/>
      <c r="E375" s="707"/>
      <c r="F375" s="707"/>
      <c r="G375" s="707"/>
      <c r="H375" s="707"/>
      <c r="I375" s="707"/>
      <c r="J375" s="707"/>
      <c r="K375" s="707"/>
      <c r="L375" s="707"/>
      <c r="M375" s="707"/>
      <c r="N375" s="707"/>
      <c r="O375" s="707"/>
      <c r="P375" s="707"/>
      <c r="Q375" s="707"/>
      <c r="R375" s="707"/>
      <c r="S375" s="707"/>
      <c r="T375" s="707"/>
      <c r="U375" s="707"/>
      <c r="V375" s="707"/>
      <c r="W375" s="707"/>
      <c r="X375" s="707"/>
      <c r="Y375" s="707"/>
      <c r="Z375" s="707"/>
      <c r="AA375" s="707"/>
      <c r="AB375" s="707"/>
      <c r="AC375" s="707"/>
      <c r="AD375" s="707"/>
      <c r="AE375" s="707"/>
      <c r="AF375" s="707"/>
      <c r="AG375" s="707"/>
      <c r="AH375" s="707"/>
      <c r="AI375" s="707"/>
      <c r="AJ375" s="707"/>
      <c r="AK375" s="707"/>
      <c r="AL375" s="707"/>
      <c r="AM375" s="707"/>
      <c r="AN375" s="707"/>
      <c r="AO375" s="707"/>
      <c r="AP375" s="707"/>
      <c r="AQ375" s="707"/>
      <c r="AR375" s="707"/>
      <c r="AS375" s="707"/>
      <c r="AT375" s="707"/>
      <c r="AU375" s="707"/>
      <c r="AV375" s="708"/>
      <c r="AW375" s="708"/>
      <c r="AX375" s="708"/>
      <c r="AY375" s="708"/>
      <c r="AZ375" s="708"/>
      <c r="BA375" s="708">
        <v>1614.7090000000001</v>
      </c>
      <c r="BB375" s="708">
        <v>3034.328</v>
      </c>
      <c r="BC375" s="708">
        <v>2161.5650000000001</v>
      </c>
      <c r="BD375" s="708">
        <v>3.8503940000000001</v>
      </c>
      <c r="BE375" s="698">
        <v>3.0040300000000002</v>
      </c>
      <c r="BF375" s="709">
        <v>12.25872</v>
      </c>
      <c r="BG375" s="507">
        <v>8.7730080000000008</v>
      </c>
      <c r="BH375" s="507">
        <v>1.346044</v>
      </c>
      <c r="BI375" s="507">
        <v>2.459568</v>
      </c>
      <c r="BJ375" s="307"/>
      <c r="BK375" s="472">
        <v>6.5120680000000002</v>
      </c>
      <c r="BU375" s="40">
        <f t="shared" si="258"/>
        <v>0</v>
      </c>
      <c r="BV375" s="40">
        <f t="shared" si="263"/>
        <v>0</v>
      </c>
      <c r="BW375" s="40">
        <f t="shared" si="263"/>
        <v>0</v>
      </c>
      <c r="BX375" s="40">
        <f t="shared" si="263"/>
        <v>0</v>
      </c>
      <c r="BY375" s="40">
        <f t="shared" si="263"/>
        <v>0</v>
      </c>
      <c r="BZ375" s="40">
        <f t="shared" si="263"/>
        <v>0</v>
      </c>
      <c r="CA375" s="40">
        <f t="shared" si="263"/>
        <v>0</v>
      </c>
      <c r="CB375" s="40">
        <f t="shared" si="263"/>
        <v>0</v>
      </c>
      <c r="CC375" s="40">
        <f t="shared" si="263"/>
        <v>0</v>
      </c>
      <c r="CD375" s="40">
        <f t="shared" si="263"/>
        <v>0</v>
      </c>
      <c r="CE375" s="307"/>
      <c r="CF375" s="307"/>
      <c r="CG375" s="307"/>
    </row>
    <row r="376" spans="2:91" s="25" customFormat="1">
      <c r="B376" s="710" t="s">
        <v>877</v>
      </c>
      <c r="C376" s="707"/>
      <c r="D376" s="707"/>
      <c r="E376" s="707"/>
      <c r="F376" s="707"/>
      <c r="G376" s="707"/>
      <c r="H376" s="707"/>
      <c r="I376" s="707"/>
      <c r="J376" s="707"/>
      <c r="K376" s="707"/>
      <c r="L376" s="707"/>
      <c r="M376" s="707"/>
      <c r="N376" s="707"/>
      <c r="O376" s="707"/>
      <c r="P376" s="707"/>
      <c r="Q376" s="707"/>
      <c r="R376" s="707"/>
      <c r="S376" s="707"/>
      <c r="T376" s="707"/>
      <c r="U376" s="707"/>
      <c r="V376" s="707"/>
      <c r="W376" s="707"/>
      <c r="X376" s="707"/>
      <c r="Y376" s="707"/>
      <c r="Z376" s="707"/>
      <c r="AA376" s="707"/>
      <c r="AB376" s="707"/>
      <c r="AC376" s="707"/>
      <c r="AD376" s="707"/>
      <c r="AE376" s="707"/>
      <c r="AF376" s="707"/>
      <c r="AG376" s="707"/>
      <c r="AH376" s="707"/>
      <c r="AI376" s="707"/>
      <c r="AJ376" s="707"/>
      <c r="AK376" s="707"/>
      <c r="AL376" s="707"/>
      <c r="AM376" s="707"/>
      <c r="AN376" s="707"/>
      <c r="AO376" s="707"/>
      <c r="AP376" s="707"/>
      <c r="AQ376" s="707"/>
      <c r="AR376" s="707"/>
      <c r="AS376" s="707"/>
      <c r="AT376" s="707"/>
      <c r="AU376" s="707"/>
      <c r="AV376" s="708"/>
      <c r="AW376" s="708"/>
      <c r="AX376" s="708"/>
      <c r="AY376" s="708"/>
      <c r="AZ376" s="708"/>
      <c r="BA376" s="708"/>
      <c r="BB376" s="708"/>
      <c r="BC376" s="708"/>
      <c r="BD376" s="708"/>
      <c r="BE376" s="462"/>
      <c r="BF376" s="709">
        <v>7.432607</v>
      </c>
      <c r="BG376" s="507">
        <v>3.2628200000000001</v>
      </c>
      <c r="BH376" s="507">
        <v>0.85065100000000005</v>
      </c>
      <c r="BI376" s="507">
        <v>1.310732</v>
      </c>
      <c r="BJ376" s="307"/>
      <c r="BK376" s="472">
        <v>1.5471159999999999</v>
      </c>
      <c r="BU376" s="40">
        <f t="shared" si="258"/>
        <v>0</v>
      </c>
      <c r="BV376" s="40">
        <f t="shared" si="263"/>
        <v>0</v>
      </c>
      <c r="BW376" s="40">
        <f t="shared" si="263"/>
        <v>0</v>
      </c>
      <c r="BX376" s="40">
        <f t="shared" si="263"/>
        <v>0</v>
      </c>
      <c r="BY376" s="40">
        <f t="shared" si="263"/>
        <v>0</v>
      </c>
      <c r="BZ376" s="40">
        <f t="shared" si="263"/>
        <v>0</v>
      </c>
      <c r="CA376" s="40">
        <f t="shared" si="263"/>
        <v>0</v>
      </c>
      <c r="CB376" s="40">
        <f t="shared" si="263"/>
        <v>0</v>
      </c>
      <c r="CC376" s="40">
        <f t="shared" si="263"/>
        <v>0</v>
      </c>
      <c r="CD376" s="40">
        <f t="shared" si="263"/>
        <v>0</v>
      </c>
      <c r="CE376" s="307"/>
      <c r="CF376" s="307"/>
      <c r="CG376" s="307"/>
    </row>
    <row r="377" spans="2:91" s="25" customFormat="1">
      <c r="B377" s="702" t="s">
        <v>4072</v>
      </c>
      <c r="C377" s="707"/>
      <c r="D377" s="707"/>
      <c r="E377" s="707"/>
      <c r="F377" s="707"/>
      <c r="G377" s="707"/>
      <c r="H377" s="707"/>
      <c r="I377" s="707"/>
      <c r="J377" s="707"/>
      <c r="K377" s="707"/>
      <c r="L377" s="707"/>
      <c r="M377" s="707"/>
      <c r="N377" s="707"/>
      <c r="O377" s="707"/>
      <c r="P377" s="707"/>
      <c r="Q377" s="707"/>
      <c r="R377" s="707"/>
      <c r="S377" s="707"/>
      <c r="T377" s="707"/>
      <c r="U377" s="707"/>
      <c r="V377" s="707"/>
      <c r="W377" s="707"/>
      <c r="X377" s="707"/>
      <c r="Y377" s="707"/>
      <c r="Z377" s="707"/>
      <c r="AA377" s="707"/>
      <c r="AB377" s="707"/>
      <c r="AC377" s="707"/>
      <c r="AD377" s="707"/>
      <c r="AE377" s="707"/>
      <c r="AF377" s="707"/>
      <c r="AG377" s="707"/>
      <c r="AH377" s="707"/>
      <c r="AI377" s="707"/>
      <c r="AJ377" s="707"/>
      <c r="AK377" s="707"/>
      <c r="AL377" s="707"/>
      <c r="AM377" s="707"/>
      <c r="AN377" s="707"/>
      <c r="AO377" s="707"/>
      <c r="AP377" s="707"/>
      <c r="AQ377" s="707"/>
      <c r="AR377" s="707"/>
      <c r="AS377" s="707"/>
      <c r="AT377" s="707"/>
      <c r="AU377" s="707"/>
      <c r="AV377" s="708"/>
      <c r="AW377" s="708"/>
      <c r="AX377" s="708"/>
      <c r="AY377" s="708"/>
      <c r="AZ377" s="708"/>
      <c r="BA377" s="708">
        <v>0</v>
      </c>
      <c r="BB377" s="708">
        <v>132.916</v>
      </c>
      <c r="BC377" s="708"/>
      <c r="BD377" s="708">
        <v>2.0872999999999999E-2</v>
      </c>
      <c r="BE377" s="643">
        <v>0.303975</v>
      </c>
      <c r="BF377" s="709">
        <v>0</v>
      </c>
      <c r="BG377" s="650">
        <v>0</v>
      </c>
      <c r="BH377" s="507"/>
      <c r="BI377" s="507">
        <v>0</v>
      </c>
      <c r="BJ377" s="307"/>
      <c r="BK377" s="472">
        <v>0.118287</v>
      </c>
      <c r="BU377" s="40">
        <f t="shared" si="258"/>
        <v>0</v>
      </c>
      <c r="BV377" s="40">
        <f t="shared" si="263"/>
        <v>0</v>
      </c>
      <c r="BW377" s="40">
        <f t="shared" si="263"/>
        <v>0</v>
      </c>
      <c r="BX377" s="40">
        <f t="shared" si="263"/>
        <v>0</v>
      </c>
      <c r="BY377" s="40">
        <f t="shared" si="263"/>
        <v>0</v>
      </c>
      <c r="BZ377" s="40">
        <f t="shared" si="263"/>
        <v>0</v>
      </c>
      <c r="CA377" s="40">
        <f t="shared" si="263"/>
        <v>0</v>
      </c>
      <c r="CB377" s="40">
        <f t="shared" si="263"/>
        <v>0</v>
      </c>
      <c r="CC377" s="40">
        <f t="shared" si="263"/>
        <v>0</v>
      </c>
      <c r="CD377" s="40">
        <f t="shared" si="263"/>
        <v>0</v>
      </c>
      <c r="CE377" s="307"/>
      <c r="CF377" s="307"/>
      <c r="CG377" s="307"/>
    </row>
    <row r="378" spans="2:91" s="25" customFormat="1">
      <c r="B378" s="702" t="s">
        <v>2434</v>
      </c>
      <c r="C378" s="707"/>
      <c r="D378" s="707"/>
      <c r="E378" s="707"/>
      <c r="F378" s="707"/>
      <c r="G378" s="707"/>
      <c r="H378" s="707"/>
      <c r="I378" s="707"/>
      <c r="J378" s="707"/>
      <c r="K378" s="707"/>
      <c r="L378" s="707"/>
      <c r="M378" s="707"/>
      <c r="N378" s="707"/>
      <c r="O378" s="707"/>
      <c r="P378" s="707"/>
      <c r="Q378" s="707"/>
      <c r="R378" s="707"/>
      <c r="S378" s="707"/>
      <c r="T378" s="707"/>
      <c r="U378" s="707"/>
      <c r="V378" s="707"/>
      <c r="W378" s="707"/>
      <c r="X378" s="707"/>
      <c r="Y378" s="707"/>
      <c r="Z378" s="707"/>
      <c r="AA378" s="707"/>
      <c r="AB378" s="707"/>
      <c r="AC378" s="707"/>
      <c r="AD378" s="707"/>
      <c r="AE378" s="707"/>
      <c r="AF378" s="707"/>
      <c r="AG378" s="707"/>
      <c r="AH378" s="707"/>
      <c r="AI378" s="707"/>
      <c r="AJ378" s="707"/>
      <c r="AK378" s="707"/>
      <c r="AL378" s="707"/>
      <c r="AM378" s="707"/>
      <c r="AN378" s="707"/>
      <c r="AO378" s="707"/>
      <c r="AP378" s="707"/>
      <c r="AQ378" s="707"/>
      <c r="AR378" s="707"/>
      <c r="AS378" s="707"/>
      <c r="AT378" s="707"/>
      <c r="AU378" s="707"/>
      <c r="AV378" s="708"/>
      <c r="AW378" s="708"/>
      <c r="AX378" s="708"/>
      <c r="AY378" s="708"/>
      <c r="AZ378" s="708"/>
      <c r="BA378" s="708">
        <v>1.988</v>
      </c>
      <c r="BB378" s="708">
        <v>52.180999999999997</v>
      </c>
      <c r="BC378" s="708">
        <v>42.906999999999996</v>
      </c>
      <c r="BD378" s="708">
        <v>1.9813999999999998E-2</v>
      </c>
      <c r="BE378" s="698">
        <v>6.8170000000000001E-3</v>
      </c>
      <c r="BF378" s="709">
        <v>9.0700000000000004E-4</v>
      </c>
      <c r="BG378" s="650">
        <v>9.68E-4</v>
      </c>
      <c r="BH378" s="507">
        <v>1.7100000000000001E-4</v>
      </c>
      <c r="BI378" s="507">
        <v>1.5579999999999999E-3</v>
      </c>
      <c r="BJ378" s="307"/>
      <c r="BK378" s="472">
        <v>0.189225</v>
      </c>
      <c r="BU378" s="40">
        <f t="shared" si="258"/>
        <v>0</v>
      </c>
      <c r="BV378" s="40">
        <f t="shared" si="263"/>
        <v>0</v>
      </c>
      <c r="BW378" s="40">
        <f t="shared" si="263"/>
        <v>0</v>
      </c>
      <c r="BX378" s="40">
        <f t="shared" si="263"/>
        <v>0</v>
      </c>
      <c r="BY378" s="40">
        <f t="shared" si="263"/>
        <v>0</v>
      </c>
      <c r="BZ378" s="40">
        <f t="shared" si="263"/>
        <v>0</v>
      </c>
      <c r="CA378" s="40">
        <f t="shared" si="263"/>
        <v>0</v>
      </c>
      <c r="CB378" s="40">
        <f t="shared" si="263"/>
        <v>0</v>
      </c>
      <c r="CC378" s="40">
        <f t="shared" si="263"/>
        <v>0</v>
      </c>
      <c r="CD378" s="40">
        <f t="shared" si="263"/>
        <v>0</v>
      </c>
      <c r="CE378" s="307"/>
      <c r="CF378" s="307"/>
      <c r="CG378" s="307"/>
    </row>
    <row r="379" spans="2:91" s="25" customFormat="1">
      <c r="B379" s="710" t="s">
        <v>2356</v>
      </c>
      <c r="C379" s="711"/>
      <c r="D379" s="711"/>
      <c r="E379" s="711"/>
      <c r="F379" s="711"/>
      <c r="G379" s="711"/>
      <c r="H379" s="711"/>
      <c r="I379" s="711"/>
      <c r="J379" s="711"/>
      <c r="K379" s="711"/>
      <c r="L379" s="711"/>
      <c r="M379" s="711"/>
      <c r="N379" s="711"/>
      <c r="O379" s="711"/>
      <c r="P379" s="711"/>
      <c r="Q379" s="711"/>
      <c r="R379" s="711"/>
      <c r="S379" s="711"/>
      <c r="T379" s="711"/>
      <c r="U379" s="711"/>
      <c r="V379" s="711"/>
      <c r="W379" s="711"/>
      <c r="X379" s="711"/>
      <c r="Y379" s="711"/>
      <c r="Z379" s="711"/>
      <c r="AA379" s="711"/>
      <c r="AB379" s="711"/>
      <c r="AC379" s="711"/>
      <c r="AD379" s="711"/>
      <c r="AE379" s="711"/>
      <c r="AF379" s="711"/>
      <c r="AG379" s="711"/>
      <c r="AH379" s="711"/>
      <c r="AI379" s="711"/>
      <c r="AJ379" s="711"/>
      <c r="AK379" s="711"/>
      <c r="AL379" s="711"/>
      <c r="AM379" s="711"/>
      <c r="AN379" s="711"/>
      <c r="AO379" s="711"/>
      <c r="AP379" s="711"/>
      <c r="AQ379" s="711"/>
      <c r="AR379" s="711"/>
      <c r="AS379" s="711"/>
      <c r="AT379" s="711"/>
      <c r="AU379" s="711"/>
      <c r="AV379" s="712"/>
      <c r="AW379" s="712"/>
      <c r="AX379" s="712"/>
      <c r="AY379" s="712"/>
      <c r="AZ379" s="712"/>
      <c r="BA379" s="712">
        <v>402.42099999999999</v>
      </c>
      <c r="BB379" s="712">
        <v>37.222999999999999</v>
      </c>
      <c r="BC379" s="712">
        <v>1271.9770000000001</v>
      </c>
      <c r="BD379" s="712">
        <v>4.3041790000000004</v>
      </c>
      <c r="BE379" s="698">
        <v>6.3879089999999996</v>
      </c>
      <c r="BF379" s="709">
        <v>6.5649999999999997E-3</v>
      </c>
      <c r="BG379" s="507">
        <v>2.3227000000000001E-2</v>
      </c>
      <c r="BH379" s="507">
        <v>2.0289999999999999E-2</v>
      </c>
      <c r="BI379" s="507">
        <v>5.1390000000000003E-3</v>
      </c>
      <c r="BJ379" s="307"/>
      <c r="BK379" s="472">
        <v>1.022E-2</v>
      </c>
      <c r="BU379" s="40">
        <f t="shared" si="258"/>
        <v>0</v>
      </c>
      <c r="BV379" s="40">
        <f t="shared" si="263"/>
        <v>0</v>
      </c>
      <c r="BW379" s="40">
        <f t="shared" si="263"/>
        <v>0</v>
      </c>
      <c r="BX379" s="40">
        <f t="shared" si="263"/>
        <v>0</v>
      </c>
      <c r="BY379" s="40">
        <f t="shared" si="263"/>
        <v>0</v>
      </c>
      <c r="BZ379" s="40">
        <f t="shared" si="263"/>
        <v>0</v>
      </c>
      <c r="CA379" s="40">
        <f t="shared" si="263"/>
        <v>0</v>
      </c>
      <c r="CB379" s="40">
        <f t="shared" si="263"/>
        <v>0</v>
      </c>
      <c r="CC379" s="40">
        <f t="shared" si="263"/>
        <v>0</v>
      </c>
      <c r="CD379" s="40">
        <f t="shared" si="263"/>
        <v>0</v>
      </c>
      <c r="CE379" s="713"/>
      <c r="CF379" s="713"/>
      <c r="CG379" s="713"/>
    </row>
    <row r="380" spans="2:91" s="25" customFormat="1">
      <c r="B380" s="238" t="s">
        <v>1201</v>
      </c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307"/>
      <c r="AW380" s="307"/>
      <c r="AX380" s="307"/>
      <c r="AY380" s="307"/>
      <c r="AZ380" s="307"/>
      <c r="BA380" s="307"/>
      <c r="BB380" s="307"/>
      <c r="BC380" s="307"/>
      <c r="BD380" s="307"/>
      <c r="BE380" s="307"/>
      <c r="BF380" s="307"/>
      <c r="BG380" s="506">
        <f>SUM(BG365:BG369)-BG368+BG373</f>
        <v>20.066406999999998</v>
      </c>
      <c r="BH380" s="506">
        <f>SUM(BH365:BH369)-BH368+BH373</f>
        <v>34.065573000000001</v>
      </c>
      <c r="BI380" s="506">
        <f>SUM(BI365:BI369)-BI368+BI373</f>
        <v>33.996426999999997</v>
      </c>
      <c r="BJ380" s="506">
        <f>SUM(BJ365:BJ369)-BJ368+BJ373</f>
        <v>45.942208000000001</v>
      </c>
      <c r="BK380" s="506">
        <f>SUM(BK365:BK369)-BK368+BK373</f>
        <v>47.949631999999987</v>
      </c>
      <c r="BL380" s="506">
        <f t="shared" ref="BL380:BQ380" si="264">SUM(BL365:BL369)-BL368+BL373+BL379</f>
        <v>134.38999999999993</v>
      </c>
      <c r="BM380" s="506">
        <f t="shared" si="264"/>
        <v>158</v>
      </c>
      <c r="BN380" s="506">
        <f t="shared" si="264"/>
        <v>95.5</v>
      </c>
      <c r="BO380" s="506">
        <f t="shared" si="264"/>
        <v>96.045000000000002</v>
      </c>
      <c r="BP380" s="506">
        <f t="shared" si="264"/>
        <v>96.641999999999996</v>
      </c>
      <c r="BQ380" s="506">
        <f t="shared" si="264"/>
        <v>97.298000000000002</v>
      </c>
      <c r="BR380" s="506">
        <f>SUM(BR365:BR369)-BR368+BR373+BR379</f>
        <v>97.298000000000002</v>
      </c>
      <c r="BS380" s="506">
        <f>SUM(BS365:BS369)-BS368+BS373+BS379</f>
        <v>97.298000000000002</v>
      </c>
      <c r="BT380" s="506">
        <f>SUM(BT365:BT369)-BT368+BT373+BT379</f>
        <v>97.298000000000002</v>
      </c>
      <c r="BU380" s="40">
        <f t="shared" si="258"/>
        <v>97.298000000000002</v>
      </c>
      <c r="BV380" s="40">
        <f t="shared" si="263"/>
        <v>97.298000000000002</v>
      </c>
      <c r="BW380" s="40">
        <f t="shared" si="263"/>
        <v>97.298000000000002</v>
      </c>
      <c r="BX380" s="40">
        <f t="shared" si="263"/>
        <v>97.298000000000002</v>
      </c>
      <c r="BY380" s="40">
        <f t="shared" si="263"/>
        <v>97.298000000000002</v>
      </c>
      <c r="BZ380" s="40">
        <f t="shared" si="263"/>
        <v>97.298000000000002</v>
      </c>
      <c r="CA380" s="40">
        <f t="shared" si="263"/>
        <v>97.298000000000002</v>
      </c>
      <c r="CB380" s="40">
        <f t="shared" si="263"/>
        <v>97.298000000000002</v>
      </c>
      <c r="CC380" s="40">
        <f t="shared" si="263"/>
        <v>97.298000000000002</v>
      </c>
      <c r="CD380" s="40">
        <f t="shared" si="263"/>
        <v>97.298000000000002</v>
      </c>
      <c r="CE380" s="506"/>
      <c r="CF380" s="506"/>
      <c r="CG380" s="506"/>
      <c r="CM380" s="506">
        <f>SUM(CM365:CM369)-CM368+CM373+CM379</f>
        <v>119.8</v>
      </c>
    </row>
    <row r="381" spans="2:91" s="25" customFormat="1" hidden="1">
      <c r="B381" s="238" t="s">
        <v>4027</v>
      </c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59"/>
      <c r="AW381" s="459"/>
      <c r="AX381" s="459"/>
      <c r="AY381" s="459"/>
      <c r="AZ381" s="459"/>
      <c r="BA381" s="459">
        <f t="shared" ref="BA381:BF381" si="265">BA347-BA349</f>
        <v>2838.6830000000773</v>
      </c>
      <c r="BB381" s="459">
        <f t="shared" si="265"/>
        <v>50529.039999999979</v>
      </c>
      <c r="BC381" s="459">
        <f t="shared" si="265"/>
        <v>62973.017000000051</v>
      </c>
      <c r="BD381" s="459">
        <f t="shared" si="265"/>
        <v>89.630555999999956</v>
      </c>
      <c r="BE381" s="459">
        <f t="shared" si="265"/>
        <v>213.48582099999993</v>
      </c>
      <c r="BF381" s="459">
        <f t="shared" si="265"/>
        <v>53.297219999999925</v>
      </c>
      <c r="BG381" s="459">
        <f>BG347-BG349</f>
        <v>828.15204600000004</v>
      </c>
      <c r="BH381" s="307"/>
      <c r="BI381" s="307"/>
      <c r="BJ381" s="307"/>
      <c r="BK381" s="307"/>
      <c r="BU381" s="40">
        <f t="shared" si="258"/>
        <v>0</v>
      </c>
      <c r="BV381" s="40">
        <f t="shared" si="263"/>
        <v>0</v>
      </c>
      <c r="BW381" s="40">
        <f t="shared" si="263"/>
        <v>0</v>
      </c>
      <c r="BX381" s="40">
        <f t="shared" si="263"/>
        <v>0</v>
      </c>
      <c r="BY381" s="40">
        <f t="shared" si="263"/>
        <v>0</v>
      </c>
      <c r="BZ381" s="40">
        <f t="shared" si="263"/>
        <v>0</v>
      </c>
      <c r="CA381" s="40">
        <f t="shared" si="263"/>
        <v>0</v>
      </c>
      <c r="CB381" s="40">
        <f t="shared" si="263"/>
        <v>0</v>
      </c>
      <c r="CC381" s="40">
        <f t="shared" si="263"/>
        <v>0</v>
      </c>
      <c r="CD381" s="40">
        <f t="shared" si="263"/>
        <v>0</v>
      </c>
      <c r="CE381" s="307"/>
      <c r="CF381" s="307"/>
      <c r="CG381" s="307"/>
    </row>
    <row r="382" spans="2:91" s="25" customFormat="1" hidden="1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307"/>
      <c r="AW382" s="307"/>
      <c r="AX382" s="307"/>
      <c r="AY382" s="307"/>
      <c r="AZ382" s="307"/>
      <c r="BA382" s="307"/>
      <c r="BB382" s="307"/>
      <c r="BC382" s="307"/>
      <c r="BD382" s="307"/>
      <c r="BE382" s="307"/>
      <c r="BF382" s="307"/>
      <c r="BG382" s="307"/>
      <c r="BH382" s="307"/>
      <c r="BI382" s="307"/>
      <c r="BJ382" s="307"/>
      <c r="BK382" s="307"/>
      <c r="BU382" s="40">
        <f t="shared" si="258"/>
        <v>0</v>
      </c>
      <c r="BV382" s="40">
        <f t="shared" si="263"/>
        <v>0</v>
      </c>
      <c r="BW382" s="40">
        <f t="shared" si="263"/>
        <v>0</v>
      </c>
      <c r="BX382" s="40">
        <f t="shared" si="263"/>
        <v>0</v>
      </c>
      <c r="BY382" s="40">
        <f t="shared" si="263"/>
        <v>0</v>
      </c>
      <c r="BZ382" s="40">
        <f t="shared" si="263"/>
        <v>0</v>
      </c>
      <c r="CA382" s="40">
        <f t="shared" si="263"/>
        <v>0</v>
      </c>
      <c r="CB382" s="40">
        <f t="shared" si="263"/>
        <v>0</v>
      </c>
      <c r="CC382" s="40">
        <f t="shared" si="263"/>
        <v>0</v>
      </c>
      <c r="CD382" s="40">
        <f t="shared" si="263"/>
        <v>0</v>
      </c>
      <c r="CE382" s="307"/>
      <c r="CF382" s="307"/>
      <c r="CG382" s="307"/>
    </row>
    <row r="383" spans="2:91" s="25" customFormat="1">
      <c r="B383" s="714" t="s">
        <v>3822</v>
      </c>
      <c r="C383" s="714"/>
      <c r="D383" s="714"/>
      <c r="E383" s="714"/>
      <c r="F383" s="714"/>
      <c r="G383" s="714"/>
      <c r="H383" s="714"/>
      <c r="I383" s="714"/>
      <c r="J383" s="714"/>
      <c r="K383" s="714"/>
      <c r="L383" s="714"/>
      <c r="M383" s="714"/>
      <c r="N383" s="714"/>
      <c r="O383" s="714"/>
      <c r="P383" s="714"/>
      <c r="Q383" s="714"/>
      <c r="R383" s="714"/>
      <c r="S383" s="714"/>
      <c r="T383" s="714"/>
      <c r="U383" s="714"/>
      <c r="V383" s="714"/>
      <c r="W383" s="714"/>
      <c r="X383" s="714"/>
      <c r="Y383" s="714"/>
      <c r="Z383" s="714"/>
      <c r="AA383" s="714"/>
      <c r="AB383" s="714"/>
      <c r="AC383" s="714"/>
      <c r="AD383" s="714"/>
      <c r="AE383" s="714"/>
      <c r="AF383" s="714"/>
      <c r="AG383" s="714"/>
      <c r="AH383" s="714"/>
      <c r="AI383" s="714"/>
      <c r="AJ383" s="714"/>
      <c r="AK383" s="714"/>
      <c r="AL383" s="714"/>
      <c r="AM383" s="714"/>
      <c r="AN383" s="714"/>
      <c r="AO383" s="714"/>
      <c r="AP383" s="714"/>
      <c r="AQ383" s="714"/>
      <c r="AR383" s="714"/>
      <c r="AS383" s="714"/>
      <c r="AT383" s="714"/>
      <c r="AU383" s="714"/>
      <c r="AV383" s="715"/>
      <c r="AW383" s="715"/>
      <c r="AX383" s="715"/>
      <c r="AY383" s="715"/>
      <c r="AZ383" s="715"/>
      <c r="BA383" s="715">
        <v>5223.6710000000003</v>
      </c>
      <c r="BB383" s="672"/>
      <c r="BC383" s="672"/>
      <c r="BD383" s="672"/>
      <c r="BE383" s="673"/>
      <c r="BF383" s="461"/>
      <c r="BG383" s="461"/>
      <c r="BH383" s="307">
        <v>13.652569</v>
      </c>
      <c r="BI383" s="307">
        <v>14.688219999999999</v>
      </c>
      <c r="BJ383" s="307"/>
      <c r="BK383" s="307"/>
      <c r="BU383" s="40">
        <f t="shared" si="258"/>
        <v>0</v>
      </c>
      <c r="BV383" s="40">
        <f t="shared" si="263"/>
        <v>0</v>
      </c>
      <c r="BW383" s="40">
        <f t="shared" si="263"/>
        <v>0</v>
      </c>
      <c r="BX383" s="40">
        <f t="shared" si="263"/>
        <v>0</v>
      </c>
      <c r="BY383" s="40">
        <f t="shared" si="263"/>
        <v>0</v>
      </c>
      <c r="BZ383" s="40">
        <f t="shared" si="263"/>
        <v>0</v>
      </c>
      <c r="CA383" s="40">
        <f t="shared" si="263"/>
        <v>0</v>
      </c>
      <c r="CB383" s="40">
        <f t="shared" si="263"/>
        <v>0</v>
      </c>
      <c r="CC383" s="40">
        <f t="shared" si="263"/>
        <v>0</v>
      </c>
      <c r="CD383" s="40">
        <f t="shared" si="263"/>
        <v>0</v>
      </c>
      <c r="CE383" s="307"/>
      <c r="CF383" s="307"/>
      <c r="CG383" s="307"/>
    </row>
    <row r="384" spans="2:91" s="238" customFormat="1">
      <c r="B384" s="716" t="s">
        <v>3765</v>
      </c>
      <c r="C384" s="716"/>
      <c r="D384" s="716"/>
      <c r="E384" s="716"/>
      <c r="F384" s="716"/>
      <c r="G384" s="716"/>
      <c r="H384" s="716"/>
      <c r="I384" s="716"/>
      <c r="J384" s="716"/>
      <c r="K384" s="716"/>
      <c r="L384" s="716"/>
      <c r="M384" s="716"/>
      <c r="N384" s="716"/>
      <c r="O384" s="716"/>
      <c r="P384" s="716"/>
      <c r="Q384" s="716"/>
      <c r="R384" s="716"/>
      <c r="S384" s="716"/>
      <c r="T384" s="716"/>
      <c r="U384" s="716"/>
      <c r="V384" s="716"/>
      <c r="W384" s="716"/>
      <c r="X384" s="716"/>
      <c r="Y384" s="716"/>
      <c r="Z384" s="716"/>
      <c r="AA384" s="716"/>
      <c r="AB384" s="716"/>
      <c r="AC384" s="716"/>
      <c r="AD384" s="716"/>
      <c r="AE384" s="716"/>
      <c r="AF384" s="716"/>
      <c r="AG384" s="716"/>
      <c r="AH384" s="716"/>
      <c r="AI384" s="716"/>
      <c r="AJ384" s="716"/>
      <c r="AK384" s="716"/>
      <c r="AL384" s="716"/>
      <c r="AM384" s="716"/>
      <c r="AN384" s="716"/>
      <c r="AO384" s="716"/>
      <c r="AP384" s="716"/>
      <c r="AQ384" s="716"/>
      <c r="AR384" s="716"/>
      <c r="AS384" s="716"/>
      <c r="AT384" s="716"/>
      <c r="AU384" s="716"/>
      <c r="AV384" s="459">
        <v>21.242755636999998</v>
      </c>
      <c r="AW384" s="459">
        <v>23.508861399000001</v>
      </c>
      <c r="AX384" s="459">
        <v>15.222487441</v>
      </c>
      <c r="AY384" s="459">
        <v>22.432299999999998</v>
      </c>
      <c r="AZ384" s="459">
        <v>66.988</v>
      </c>
      <c r="BA384" s="717">
        <f>BA354+BA356+BA366+BA369+BA375+BA377+BA379+BA383</f>
        <v>172294.9</v>
      </c>
      <c r="BB384" s="459">
        <f t="shared" ref="BB384:BK384" si="266">BB354+BB356+BB366+BB369+BB375+BB377+BB379</f>
        <v>115073.97799999999</v>
      </c>
      <c r="BC384" s="459">
        <f t="shared" si="266"/>
        <v>135890.516</v>
      </c>
      <c r="BD384" s="459">
        <f t="shared" si="266"/>
        <v>251.964102</v>
      </c>
      <c r="BE384" s="459">
        <f t="shared" si="266"/>
        <v>328.88620899999995</v>
      </c>
      <c r="BF384" s="459">
        <f t="shared" si="266"/>
        <v>336.515963</v>
      </c>
      <c r="BG384" s="459">
        <f t="shared" si="266"/>
        <v>465.895915</v>
      </c>
      <c r="BH384" s="459">
        <f t="shared" si="266"/>
        <v>483.85453699999999</v>
      </c>
      <c r="BI384" s="459">
        <f t="shared" si="266"/>
        <v>628.49073699999997</v>
      </c>
      <c r="BJ384" s="459">
        <f t="shared" si="266"/>
        <v>538.86655300000007</v>
      </c>
      <c r="BK384" s="459">
        <f t="shared" si="266"/>
        <v>828.72185700000011</v>
      </c>
      <c r="BU384" s="40">
        <f t="shared" si="258"/>
        <v>0</v>
      </c>
      <c r="BV384" s="40">
        <f t="shared" si="263"/>
        <v>0</v>
      </c>
      <c r="BW384" s="40">
        <f t="shared" si="263"/>
        <v>0</v>
      </c>
      <c r="BX384" s="40">
        <f t="shared" si="263"/>
        <v>0</v>
      </c>
      <c r="BY384" s="40">
        <f t="shared" si="263"/>
        <v>0</v>
      </c>
      <c r="BZ384" s="40">
        <f t="shared" si="263"/>
        <v>0</v>
      </c>
      <c r="CA384" s="40">
        <f t="shared" si="263"/>
        <v>0</v>
      </c>
      <c r="CB384" s="40">
        <f t="shared" si="263"/>
        <v>0</v>
      </c>
      <c r="CC384" s="40">
        <f t="shared" si="263"/>
        <v>0</v>
      </c>
      <c r="CD384" s="40">
        <f t="shared" si="263"/>
        <v>0</v>
      </c>
      <c r="CE384" s="459"/>
      <c r="CF384" s="459"/>
      <c r="CG384" s="459"/>
    </row>
    <row r="385" spans="2:91" s="25" customFormat="1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307"/>
      <c r="AW385" s="307"/>
      <c r="AX385" s="307"/>
      <c r="AY385" s="307"/>
      <c r="AZ385" s="307"/>
      <c r="BA385" s="307"/>
      <c r="BB385" s="307"/>
      <c r="BC385" s="307"/>
      <c r="BD385" s="307"/>
      <c r="BE385" s="307"/>
      <c r="BF385" s="307"/>
      <c r="BG385" s="307"/>
      <c r="BH385" s="307"/>
      <c r="BI385" s="307"/>
      <c r="BJ385" s="307"/>
      <c r="BK385" s="307"/>
      <c r="BU385" s="40">
        <f t="shared" si="258"/>
        <v>0</v>
      </c>
      <c r="BV385" s="40">
        <f t="shared" si="263"/>
        <v>0</v>
      </c>
      <c r="BW385" s="40">
        <f t="shared" si="263"/>
        <v>0</v>
      </c>
      <c r="BX385" s="40">
        <f t="shared" si="263"/>
        <v>0</v>
      </c>
      <c r="BY385" s="40">
        <f t="shared" si="263"/>
        <v>0</v>
      </c>
      <c r="BZ385" s="40">
        <f t="shared" si="263"/>
        <v>0</v>
      </c>
      <c r="CA385" s="40">
        <f t="shared" si="263"/>
        <v>0</v>
      </c>
      <c r="CB385" s="40">
        <f t="shared" si="263"/>
        <v>0</v>
      </c>
      <c r="CC385" s="40">
        <f t="shared" si="263"/>
        <v>0</v>
      </c>
      <c r="CD385" s="40">
        <f t="shared" si="263"/>
        <v>0</v>
      </c>
      <c r="CE385" s="307"/>
      <c r="CF385" s="307"/>
      <c r="CG385" s="307"/>
    </row>
    <row r="386" spans="2:91" s="25" customFormat="1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307"/>
      <c r="AW386" s="307"/>
      <c r="AX386" s="307"/>
      <c r="AY386" s="307"/>
      <c r="AZ386" s="307"/>
      <c r="BA386" s="307"/>
      <c r="BB386" s="307"/>
      <c r="BC386" s="307"/>
      <c r="BD386" s="307"/>
      <c r="BE386" s="307"/>
      <c r="BF386" s="307"/>
      <c r="BG386" s="307"/>
      <c r="BH386" s="307"/>
      <c r="BI386" s="307"/>
      <c r="BJ386" s="307"/>
      <c r="BK386" s="307"/>
      <c r="BU386" s="40">
        <f t="shared" si="258"/>
        <v>0</v>
      </c>
      <c r="BV386" s="40">
        <f t="shared" si="263"/>
        <v>0</v>
      </c>
      <c r="BW386" s="40">
        <f t="shared" si="263"/>
        <v>0</v>
      </c>
      <c r="BX386" s="40">
        <f t="shared" si="263"/>
        <v>0</v>
      </c>
      <c r="BY386" s="40">
        <f t="shared" si="263"/>
        <v>0</v>
      </c>
      <c r="BZ386" s="40">
        <f t="shared" si="263"/>
        <v>0</v>
      </c>
      <c r="CA386" s="40">
        <f t="shared" si="263"/>
        <v>0</v>
      </c>
      <c r="CB386" s="40">
        <f t="shared" si="263"/>
        <v>0</v>
      </c>
      <c r="CC386" s="40">
        <f t="shared" si="263"/>
        <v>0</v>
      </c>
      <c r="CD386" s="40">
        <f t="shared" si="263"/>
        <v>0</v>
      </c>
      <c r="CE386" s="307"/>
      <c r="CF386" s="307"/>
      <c r="CG386" s="307"/>
    </row>
    <row r="387" spans="2:91" s="238" customFormat="1">
      <c r="B387" s="716" t="s">
        <v>1351</v>
      </c>
      <c r="C387" s="716"/>
      <c r="D387" s="716"/>
      <c r="E387" s="716"/>
      <c r="F387" s="716"/>
      <c r="G387" s="716"/>
      <c r="H387" s="716"/>
      <c r="I387" s="716"/>
      <c r="J387" s="716"/>
      <c r="K387" s="716"/>
      <c r="L387" s="716"/>
      <c r="M387" s="716"/>
      <c r="N387" s="716"/>
      <c r="O387" s="716"/>
      <c r="P387" s="716"/>
      <c r="Q387" s="716"/>
      <c r="R387" s="716"/>
      <c r="S387" s="716"/>
      <c r="T387" s="716"/>
      <c r="U387" s="716"/>
      <c r="V387" s="716"/>
      <c r="W387" s="716"/>
      <c r="X387" s="716"/>
      <c r="Y387" s="716"/>
      <c r="Z387" s="716"/>
      <c r="AA387" s="716"/>
      <c r="AB387" s="716"/>
      <c r="AC387" s="716"/>
      <c r="AD387" s="716"/>
      <c r="AE387" s="716"/>
      <c r="AF387" s="716"/>
      <c r="AG387" s="716"/>
      <c r="AH387" s="716"/>
      <c r="AI387" s="716"/>
      <c r="AJ387" s="716"/>
      <c r="AK387" s="716"/>
      <c r="AL387" s="716"/>
      <c r="AM387" s="716"/>
      <c r="AN387" s="716"/>
      <c r="AO387" s="716"/>
      <c r="AP387" s="716"/>
      <c r="AQ387" s="716"/>
      <c r="AR387" s="716"/>
      <c r="AS387" s="716"/>
      <c r="AT387" s="716"/>
      <c r="AU387" s="716"/>
      <c r="AV387" s="459">
        <v>9.3223526159999999</v>
      </c>
      <c r="AW387" s="459">
        <v>16.457485397999999</v>
      </c>
      <c r="AX387" s="459">
        <v>31.878410414000001</v>
      </c>
      <c r="AY387" s="459">
        <v>36.405999999999999</v>
      </c>
      <c r="AZ387" s="459">
        <v>53.9</v>
      </c>
      <c r="BA387" s="459">
        <f t="shared" ref="BA387:BT387" si="267">BA355+BA365+BA367</f>
        <v>7963.0509999999995</v>
      </c>
      <c r="BB387" s="459">
        <f t="shared" si="267"/>
        <v>10806.745000000001</v>
      </c>
      <c r="BC387" s="459">
        <f t="shared" si="267"/>
        <v>14139.444</v>
      </c>
      <c r="BD387" s="459">
        <f t="shared" si="267"/>
        <v>19.754956000000004</v>
      </c>
      <c r="BE387" s="459">
        <f t="shared" si="267"/>
        <v>19.762546</v>
      </c>
      <c r="BF387" s="459">
        <f t="shared" si="267"/>
        <v>34.664521000000001</v>
      </c>
      <c r="BG387" s="459">
        <f t="shared" si="267"/>
        <v>81.244440999999995</v>
      </c>
      <c r="BH387" s="459">
        <f t="shared" si="267"/>
        <v>148.97080000000003</v>
      </c>
      <c r="BI387" s="459">
        <f t="shared" si="267"/>
        <v>37.669252</v>
      </c>
      <c r="BJ387" s="459">
        <f t="shared" si="267"/>
        <v>31.475338000000004</v>
      </c>
      <c r="BK387" s="459">
        <f t="shared" si="267"/>
        <v>117.418091</v>
      </c>
      <c r="BL387" s="459">
        <f t="shared" si="267"/>
        <v>115.72999999999999</v>
      </c>
      <c r="BM387" s="239">
        <f>BL387*1211/1213</f>
        <v>115.53918384171476</v>
      </c>
      <c r="BN387" s="459">
        <f t="shared" si="267"/>
        <v>47.629736999999999</v>
      </c>
      <c r="BO387" s="459">
        <f t="shared" si="267"/>
        <v>50.239094000000001</v>
      </c>
      <c r="BP387" s="459">
        <f t="shared" si="267"/>
        <v>50.836094000000003</v>
      </c>
      <c r="BQ387" s="459">
        <f t="shared" si="267"/>
        <v>51.492093999999994</v>
      </c>
      <c r="BR387" s="459">
        <f t="shared" si="267"/>
        <v>51.492093999999994</v>
      </c>
      <c r="BS387" s="459">
        <f t="shared" si="267"/>
        <v>51.492093999999994</v>
      </c>
      <c r="BT387" s="459">
        <f t="shared" si="267"/>
        <v>51.492093999999994</v>
      </c>
      <c r="BU387" s="40">
        <f t="shared" si="258"/>
        <v>51.492093999999994</v>
      </c>
      <c r="BV387" s="40">
        <f t="shared" ref="BV387:CD397" si="268">BU387</f>
        <v>51.492093999999994</v>
      </c>
      <c r="BW387" s="40">
        <f t="shared" si="268"/>
        <v>51.492093999999994</v>
      </c>
      <c r="BX387" s="40">
        <f t="shared" si="268"/>
        <v>51.492093999999994</v>
      </c>
      <c r="BY387" s="40">
        <f t="shared" si="268"/>
        <v>51.492093999999994</v>
      </c>
      <c r="BZ387" s="40">
        <f t="shared" si="268"/>
        <v>51.492093999999994</v>
      </c>
      <c r="CA387" s="40">
        <f t="shared" si="268"/>
        <v>51.492093999999994</v>
      </c>
      <c r="CB387" s="40">
        <f t="shared" si="268"/>
        <v>51.492093999999994</v>
      </c>
      <c r="CC387" s="40">
        <f t="shared" si="268"/>
        <v>51.492093999999994</v>
      </c>
      <c r="CD387" s="40">
        <f t="shared" si="268"/>
        <v>51.492093999999994</v>
      </c>
      <c r="CE387" s="459"/>
      <c r="CF387" s="459"/>
      <c r="CG387" s="459"/>
      <c r="CM387" s="459">
        <f>CM355+CM365+CM367</f>
        <v>43.177005000000001</v>
      </c>
    </row>
    <row r="388" spans="2:91" s="25" customFormat="1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307"/>
      <c r="AW388" s="307"/>
      <c r="AX388" s="307"/>
      <c r="AY388" s="307"/>
      <c r="AZ388" s="307"/>
      <c r="BA388" s="307"/>
      <c r="BB388" s="307"/>
      <c r="BC388" s="307"/>
      <c r="BD388" s="307"/>
      <c r="BE388" s="307"/>
      <c r="BF388" s="307"/>
      <c r="BG388" s="307"/>
      <c r="BH388" s="307">
        <f>BH364+BH380+BH383</f>
        <v>849.20367399999441</v>
      </c>
      <c r="BI388" s="307">
        <f>BI364+BI380+BI383</f>
        <v>980.07937399999946</v>
      </c>
      <c r="BJ388" s="307"/>
      <c r="BL388" s="25">
        <f t="shared" ref="BL388:BS388" si="269">BL391-BL392</f>
        <v>0</v>
      </c>
      <c r="BM388" s="887">
        <f t="shared" si="269"/>
        <v>4.0313270801561885E-6</v>
      </c>
      <c r="BN388" s="897">
        <f t="shared" si="269"/>
        <v>-2.1999999989930075E-4</v>
      </c>
      <c r="BO388" s="897">
        <f t="shared" si="269"/>
        <v>-3.6299999987932097E-4</v>
      </c>
      <c r="BP388" s="897">
        <f t="shared" si="269"/>
        <v>-3.6300000010669464E-4</v>
      </c>
      <c r="BQ388" s="897">
        <f t="shared" si="269"/>
        <v>-3.6300000010669464E-4</v>
      </c>
      <c r="BR388" s="897">
        <f t="shared" si="269"/>
        <v>-3.6299999987932097E-4</v>
      </c>
      <c r="BS388" s="897">
        <f t="shared" si="269"/>
        <v>-3.6300000010669464E-4</v>
      </c>
      <c r="BU388" s="40">
        <f t="shared" si="258"/>
        <v>0</v>
      </c>
      <c r="BV388" s="40">
        <f t="shared" si="268"/>
        <v>0</v>
      </c>
      <c r="BW388" s="40">
        <f t="shared" si="268"/>
        <v>0</v>
      </c>
      <c r="BX388" s="40">
        <f t="shared" si="268"/>
        <v>0</v>
      </c>
      <c r="BY388" s="40">
        <f t="shared" si="268"/>
        <v>0</v>
      </c>
      <c r="BZ388" s="40">
        <f t="shared" si="268"/>
        <v>0</v>
      </c>
      <c r="CA388" s="40">
        <f t="shared" si="268"/>
        <v>0</v>
      </c>
      <c r="CB388" s="40">
        <f t="shared" si="268"/>
        <v>0</v>
      </c>
      <c r="CC388" s="40">
        <f t="shared" si="268"/>
        <v>0</v>
      </c>
      <c r="CD388" s="40">
        <f t="shared" si="268"/>
        <v>0</v>
      </c>
      <c r="CE388" s="307"/>
      <c r="CF388" s="307"/>
      <c r="CG388" s="307"/>
      <c r="CM388" s="25">
        <f>CM391-CM392</f>
        <v>-154.71981800000026</v>
      </c>
    </row>
    <row r="389" spans="2:91" s="25" customFormat="1" ht="15.75" hidden="1" customHeight="1">
      <c r="B389" s="675" t="s">
        <v>2897</v>
      </c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459">
        <f t="shared" ref="AV389:BC389" si="270">AV384+AV387</f>
        <v>30.565108252999998</v>
      </c>
      <c r="AW389" s="459">
        <f t="shared" si="270"/>
        <v>39.966346797</v>
      </c>
      <c r="AX389" s="459">
        <f t="shared" si="270"/>
        <v>47.100897854999999</v>
      </c>
      <c r="AY389" s="459">
        <f t="shared" si="270"/>
        <v>58.838299999999997</v>
      </c>
      <c r="AZ389" s="459">
        <f t="shared" si="270"/>
        <v>120.88800000000001</v>
      </c>
      <c r="BA389" s="459">
        <f t="shared" si="270"/>
        <v>180257.951</v>
      </c>
      <c r="BB389" s="459">
        <f t="shared" si="270"/>
        <v>125880.72299999998</v>
      </c>
      <c r="BC389" s="459">
        <f t="shared" si="270"/>
        <v>150029.96</v>
      </c>
      <c r="BD389" s="459">
        <f>BD384+BD387</f>
        <v>271.71905800000002</v>
      </c>
      <c r="BE389" s="459">
        <f>BE384+BE387</f>
        <v>348.64875499999994</v>
      </c>
      <c r="BF389" s="459">
        <f>BF384+BF387</f>
        <v>371.18048399999998</v>
      </c>
      <c r="BG389" s="459">
        <f>BG384+BG387</f>
        <v>547.140356</v>
      </c>
      <c r="BH389" s="307"/>
      <c r="BI389" s="307"/>
      <c r="BJ389" s="307"/>
      <c r="BU389" s="40">
        <f t="shared" si="258"/>
        <v>0</v>
      </c>
      <c r="BV389" s="40">
        <f t="shared" si="268"/>
        <v>0</v>
      </c>
      <c r="BW389" s="40">
        <f t="shared" si="268"/>
        <v>0</v>
      </c>
      <c r="BX389" s="40">
        <f t="shared" si="268"/>
        <v>0</v>
      </c>
      <c r="BY389" s="40">
        <f t="shared" si="268"/>
        <v>0</v>
      </c>
      <c r="BZ389" s="40">
        <f t="shared" si="268"/>
        <v>0</v>
      </c>
      <c r="CA389" s="40">
        <f t="shared" si="268"/>
        <v>0</v>
      </c>
      <c r="CB389" s="40">
        <f t="shared" si="268"/>
        <v>0</v>
      </c>
      <c r="CC389" s="40">
        <f t="shared" si="268"/>
        <v>0</v>
      </c>
      <c r="CD389" s="40">
        <f t="shared" si="268"/>
        <v>0</v>
      </c>
      <c r="CE389" s="307"/>
      <c r="CF389" s="307"/>
      <c r="CG389" s="307"/>
    </row>
    <row r="390" spans="2:91" s="238" customFormat="1" ht="15.75" hidden="1" customHeight="1">
      <c r="B390" s="718" t="s">
        <v>3054</v>
      </c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307">
        <f t="shared" ref="AV390:BD390" si="271">AV346-(AV384+AV387)</f>
        <v>-30.565108252999998</v>
      </c>
      <c r="AW390" s="307">
        <f t="shared" si="271"/>
        <v>-39.966346797</v>
      </c>
      <c r="AX390" s="307">
        <f t="shared" si="271"/>
        <v>-47.100897854999999</v>
      </c>
      <c r="AY390" s="307">
        <f t="shared" si="271"/>
        <v>-58.838299999999997</v>
      </c>
      <c r="AZ390" s="307">
        <f t="shared" si="271"/>
        <v>-120.88800000000001</v>
      </c>
      <c r="BA390" s="307">
        <f t="shared" si="271"/>
        <v>53263.122999999992</v>
      </c>
      <c r="BB390" s="307">
        <f t="shared" si="271"/>
        <v>68756.902000000016</v>
      </c>
      <c r="BC390" s="307">
        <f t="shared" si="271"/>
        <v>130273.23699999999</v>
      </c>
      <c r="BD390" s="307">
        <f t="shared" si="271"/>
        <v>101.45527699999997</v>
      </c>
      <c r="BE390" s="307">
        <f>BE349-(BE384+BE387)</f>
        <v>26.789078000000075</v>
      </c>
      <c r="BF390" s="307">
        <f>BF346-(BF384+BF387)</f>
        <v>192.33783800000003</v>
      </c>
      <c r="BG390" s="307">
        <f>BG346-(BG384+BG387)</f>
        <v>-547.140356</v>
      </c>
      <c r="BH390" s="459"/>
      <c r="BI390" s="459"/>
      <c r="BJ390" s="459"/>
      <c r="BU390" s="40">
        <f t="shared" si="258"/>
        <v>0</v>
      </c>
      <c r="BV390" s="40">
        <f t="shared" si="268"/>
        <v>0</v>
      </c>
      <c r="BW390" s="40">
        <f t="shared" si="268"/>
        <v>0</v>
      </c>
      <c r="BX390" s="40">
        <f t="shared" si="268"/>
        <v>0</v>
      </c>
      <c r="BY390" s="40">
        <f t="shared" si="268"/>
        <v>0</v>
      </c>
      <c r="BZ390" s="40">
        <f t="shared" si="268"/>
        <v>0</v>
      </c>
      <c r="CA390" s="40">
        <f t="shared" si="268"/>
        <v>0</v>
      </c>
      <c r="CB390" s="40">
        <f t="shared" si="268"/>
        <v>0</v>
      </c>
      <c r="CC390" s="40">
        <f t="shared" si="268"/>
        <v>0</v>
      </c>
      <c r="CD390" s="40">
        <f t="shared" si="268"/>
        <v>0</v>
      </c>
      <c r="CE390" s="459"/>
      <c r="CF390" s="459"/>
      <c r="CG390" s="459"/>
    </row>
    <row r="391" spans="2:91" s="25" customFormat="1">
      <c r="B391" s="23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307"/>
      <c r="AW391" s="307"/>
      <c r="AX391" s="307"/>
      <c r="AY391" s="307"/>
      <c r="AZ391" s="307"/>
      <c r="BA391" s="307"/>
      <c r="BB391" s="307"/>
      <c r="BC391" s="307"/>
      <c r="BD391" s="307"/>
      <c r="BE391" s="307"/>
      <c r="BF391" s="307"/>
      <c r="BG391" s="307"/>
      <c r="BH391" s="307">
        <v>751.33420428000011</v>
      </c>
      <c r="BI391" s="307"/>
      <c r="BJ391" s="307"/>
      <c r="BK391" s="307"/>
      <c r="BL391" s="307">
        <v>1584.6</v>
      </c>
      <c r="BM391" s="307">
        <v>1686.6</v>
      </c>
      <c r="BN391">
        <v>1450</v>
      </c>
      <c r="BO391" s="307">
        <v>1143.4000000000001</v>
      </c>
      <c r="BP391" s="25">
        <v>1436.2</v>
      </c>
      <c r="BQ391" s="25">
        <v>1672.3</v>
      </c>
      <c r="BR391" s="25">
        <v>1803.7</v>
      </c>
      <c r="BS391" s="25">
        <v>1927</v>
      </c>
      <c r="BU391" s="40">
        <f t="shared" si="258"/>
        <v>0</v>
      </c>
      <c r="BV391" s="40">
        <f t="shared" si="268"/>
        <v>0</v>
      </c>
      <c r="BW391" s="40">
        <f t="shared" si="268"/>
        <v>0</v>
      </c>
      <c r="BX391" s="40">
        <f t="shared" si="268"/>
        <v>0</v>
      </c>
      <c r="BY391" s="40">
        <f t="shared" si="268"/>
        <v>0</v>
      </c>
      <c r="BZ391" s="40">
        <f t="shared" si="268"/>
        <v>0</v>
      </c>
      <c r="CA391" s="40">
        <f t="shared" si="268"/>
        <v>0</v>
      </c>
      <c r="CB391" s="40">
        <f t="shared" si="268"/>
        <v>0</v>
      </c>
      <c r="CC391" s="40">
        <f t="shared" si="268"/>
        <v>0</v>
      </c>
      <c r="CD391" s="40">
        <f t="shared" si="268"/>
        <v>0</v>
      </c>
      <c r="CE391" s="307"/>
      <c r="CF391" s="307"/>
      <c r="CG391" s="307"/>
      <c r="CM391" s="307">
        <v>1341.980182</v>
      </c>
    </row>
    <row r="392" spans="2:91" s="25" customFormat="1">
      <c r="B392" s="719" t="s">
        <v>1701</v>
      </c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307"/>
      <c r="AW392" s="307"/>
      <c r="AX392" s="307"/>
      <c r="AY392" s="307"/>
      <c r="AZ392" s="504">
        <f t="shared" ref="AZ392:BF392" si="272">SUM(AZ354:AZ379)-AZ359</f>
        <v>47060951.791081995</v>
      </c>
      <c r="BA392" s="504">
        <f t="shared" si="272"/>
        <v>264316.10399999993</v>
      </c>
      <c r="BB392" s="504">
        <f t="shared" si="272"/>
        <v>276038.28300000005</v>
      </c>
      <c r="BC392" s="504">
        <f t="shared" si="272"/>
        <v>405977.23099999991</v>
      </c>
      <c r="BD392" s="504">
        <f t="shared" si="272"/>
        <v>533.27606600000001</v>
      </c>
      <c r="BE392" s="504">
        <f t="shared" si="272"/>
        <v>670.64910800000007</v>
      </c>
      <c r="BF392" s="504">
        <f t="shared" si="272"/>
        <v>742.90122499999995</v>
      </c>
      <c r="BG392" s="503">
        <f>BG364+BG380</f>
        <v>767.150217</v>
      </c>
      <c r="BH392" s="503">
        <f>BH364+BH380</f>
        <v>835.55110499999444</v>
      </c>
      <c r="BI392" s="503">
        <f>BI364+BI380</f>
        <v>965.39115399999946</v>
      </c>
      <c r="BJ392" s="505">
        <f>BJ364+BJ380</f>
        <v>970.60945400000014</v>
      </c>
      <c r="BK392" s="505">
        <f>BK364+BK380</f>
        <v>1340.9801830000001</v>
      </c>
      <c r="BL392" s="505">
        <f>BL364+BL380+BL383</f>
        <v>1584.6</v>
      </c>
      <c r="BM392" s="503">
        <f>BM364+BM380+BM383+387.32299</f>
        <v>1686.5999959686728</v>
      </c>
      <c r="BN392" s="503">
        <f>BN364+BN380+BN383+122.338</f>
        <v>1450.0002199999999</v>
      </c>
      <c r="BO392" s="503">
        <f>BO364+BO380+BO383-200.472</f>
        <v>1143.400363</v>
      </c>
      <c r="BP392" s="503">
        <f>BP364+BP380+BP383+98.766</f>
        <v>1436.2003630000002</v>
      </c>
      <c r="BQ392" s="503">
        <f>BQ364+BQ380+BQ383+334.21</f>
        <v>1672.3003630000001</v>
      </c>
      <c r="BR392" s="503">
        <f>BR364+BR380+BR383+465.61</f>
        <v>1803.7003629999999</v>
      </c>
      <c r="BS392" s="503">
        <f>BS364+BS380+BS383+588.91</f>
        <v>1927.0003630000001</v>
      </c>
      <c r="BT392" s="276"/>
      <c r="BU392" s="40">
        <f t="shared" si="258"/>
        <v>0</v>
      </c>
      <c r="BV392" s="40">
        <f t="shared" si="268"/>
        <v>0</v>
      </c>
      <c r="BW392" s="40">
        <f t="shared" si="268"/>
        <v>0</v>
      </c>
      <c r="BX392" s="40">
        <f t="shared" si="268"/>
        <v>0</v>
      </c>
      <c r="BY392" s="40">
        <f t="shared" si="268"/>
        <v>0</v>
      </c>
      <c r="BZ392" s="40">
        <f t="shared" si="268"/>
        <v>0</v>
      </c>
      <c r="CA392" s="40">
        <f t="shared" si="268"/>
        <v>0</v>
      </c>
      <c r="CB392" s="40">
        <f t="shared" si="268"/>
        <v>0</v>
      </c>
      <c r="CC392" s="40">
        <f t="shared" si="268"/>
        <v>0</v>
      </c>
      <c r="CD392" s="40">
        <f t="shared" si="268"/>
        <v>0</v>
      </c>
      <c r="CE392" s="503"/>
      <c r="CF392" s="503"/>
      <c r="CG392" s="503"/>
      <c r="CM392" s="503">
        <f>CM364+CM380+CM383+356.290987</f>
        <v>1496.7000000000003</v>
      </c>
    </row>
    <row r="393" spans="2:91" s="25" customFormat="1">
      <c r="B393" s="25" t="s">
        <v>3337</v>
      </c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307"/>
      <c r="AW393" s="307"/>
      <c r="AX393" s="307"/>
      <c r="AY393" s="307"/>
      <c r="AZ393" s="504">
        <f t="shared" ref="AZ393:BF393" si="273">AZ368</f>
        <v>0</v>
      </c>
      <c r="BA393" s="504">
        <f t="shared" si="273"/>
        <v>22732.675999999999</v>
      </c>
      <c r="BB393" s="504">
        <f t="shared" si="273"/>
        <v>25380.812999999998</v>
      </c>
      <c r="BC393" s="504">
        <f t="shared" si="273"/>
        <v>57121.169000000002</v>
      </c>
      <c r="BD393" s="504">
        <f t="shared" si="273"/>
        <v>63.878487999999997</v>
      </c>
      <c r="BE393" s="504">
        <f t="shared" si="273"/>
        <v>78.008418000000006</v>
      </c>
      <c r="BF393" s="504">
        <f t="shared" si="273"/>
        <v>82.182794000000001</v>
      </c>
      <c r="BG393" s="504">
        <f>BG368</f>
        <v>99.776157999999995</v>
      </c>
      <c r="BH393" s="504">
        <f>BH368</f>
        <v>106.68767800000001</v>
      </c>
      <c r="BI393" s="307"/>
      <c r="BJ393" s="720"/>
      <c r="BK393" s="307"/>
      <c r="BL393" s="307"/>
      <c r="BM393" s="307"/>
      <c r="BN393" s="307"/>
      <c r="BO393" s="307"/>
      <c r="BU393" s="40">
        <f t="shared" si="258"/>
        <v>0</v>
      </c>
      <c r="BV393" s="40">
        <f t="shared" si="268"/>
        <v>0</v>
      </c>
      <c r="BW393" s="40">
        <f t="shared" si="268"/>
        <v>0</v>
      </c>
      <c r="BX393" s="40">
        <f t="shared" si="268"/>
        <v>0</v>
      </c>
      <c r="BY393" s="40">
        <f t="shared" si="268"/>
        <v>0</v>
      </c>
      <c r="BZ393" s="40">
        <f t="shared" si="268"/>
        <v>0</v>
      </c>
      <c r="CA393" s="40">
        <f t="shared" si="268"/>
        <v>0</v>
      </c>
      <c r="CB393" s="40">
        <f t="shared" si="268"/>
        <v>0</v>
      </c>
      <c r="CC393" s="40">
        <f t="shared" si="268"/>
        <v>0</v>
      </c>
      <c r="CD393" s="40">
        <f t="shared" si="268"/>
        <v>0</v>
      </c>
      <c r="CE393" s="307"/>
      <c r="CF393" s="307"/>
      <c r="CG393" s="307"/>
      <c r="CM393" s="307"/>
    </row>
    <row r="394" spans="2:91" s="25" customFormat="1">
      <c r="B394" s="25" t="s">
        <v>145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307"/>
      <c r="AW394" s="307"/>
      <c r="AX394" s="307"/>
      <c r="AY394" s="307"/>
      <c r="AZ394" s="504">
        <f t="shared" ref="AZ394:BF394" si="274">AZ371+AZ374+AZ375+AZ376+AZ377+AZ378+AZ379</f>
        <v>0</v>
      </c>
      <c r="BA394" s="504">
        <f t="shared" si="274"/>
        <v>9815.5149999999994</v>
      </c>
      <c r="BB394" s="504">
        <f t="shared" si="274"/>
        <v>16337.638999999999</v>
      </c>
      <c r="BC394" s="504">
        <f t="shared" si="274"/>
        <v>38133.089999999997</v>
      </c>
      <c r="BD394" s="504">
        <f t="shared" si="274"/>
        <v>47.304103999999995</v>
      </c>
      <c r="BE394" s="504">
        <f t="shared" si="274"/>
        <v>54.475427999999994</v>
      </c>
      <c r="BF394" s="504">
        <f t="shared" si="274"/>
        <v>68.952179000000001</v>
      </c>
      <c r="BG394" s="504">
        <f>BG371+BG374+BG375+BG376+BG377+BG378+BG379</f>
        <v>64.729651000000004</v>
      </c>
      <c r="BH394" s="504">
        <f>BH371+BH374+BH375+BH376+BH377+BH378+BH379</f>
        <v>63.485728999999999</v>
      </c>
      <c r="BI394" s="307"/>
      <c r="BJ394" s="307"/>
      <c r="BK394" s="307"/>
      <c r="BL394" s="307"/>
      <c r="BM394" s="307"/>
      <c r="BN394" s="307"/>
      <c r="BO394" s="307"/>
      <c r="BP394" s="307"/>
      <c r="BU394" s="40">
        <f t="shared" si="258"/>
        <v>0</v>
      </c>
      <c r="BV394" s="40">
        <f t="shared" si="268"/>
        <v>0</v>
      </c>
      <c r="BW394" s="40">
        <f t="shared" si="268"/>
        <v>0</v>
      </c>
      <c r="BX394" s="40">
        <f t="shared" si="268"/>
        <v>0</v>
      </c>
      <c r="BY394" s="40">
        <f t="shared" si="268"/>
        <v>0</v>
      </c>
      <c r="BZ394" s="40">
        <f t="shared" si="268"/>
        <v>0</v>
      </c>
      <c r="CA394" s="40">
        <f t="shared" si="268"/>
        <v>0</v>
      </c>
      <c r="CB394" s="40">
        <f t="shared" si="268"/>
        <v>0</v>
      </c>
      <c r="CC394" s="40">
        <f t="shared" si="268"/>
        <v>0</v>
      </c>
      <c r="CD394" s="40">
        <f t="shared" si="268"/>
        <v>0</v>
      </c>
      <c r="CE394" s="307"/>
      <c r="CF394" s="307"/>
      <c r="CG394" s="307"/>
      <c r="CM394" s="307"/>
    </row>
    <row r="395" spans="2:91" s="25" customFormat="1">
      <c r="B395" s="719" t="s">
        <v>1815</v>
      </c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307"/>
      <c r="AW395" s="307"/>
      <c r="AX395" s="307"/>
      <c r="AY395" s="307"/>
      <c r="AZ395" s="504">
        <f t="shared" ref="AZ395:BF395" si="275">AZ392-AZ393-AZ394</f>
        <v>47060951.791081995</v>
      </c>
      <c r="BA395" s="504">
        <f t="shared" si="275"/>
        <v>231767.91299999994</v>
      </c>
      <c r="BB395" s="504">
        <f t="shared" si="275"/>
        <v>234319.83100000006</v>
      </c>
      <c r="BC395" s="504">
        <f t="shared" si="275"/>
        <v>310722.97199999995</v>
      </c>
      <c r="BD395" s="504">
        <f t="shared" si="275"/>
        <v>422.09347400000001</v>
      </c>
      <c r="BE395" s="504">
        <f t="shared" si="275"/>
        <v>538.1652620000001</v>
      </c>
      <c r="BF395" s="504">
        <f t="shared" si="275"/>
        <v>591.76625200000001</v>
      </c>
      <c r="BG395" s="504">
        <f t="shared" ref="BG395:BP395" si="276">BG364+BG380</f>
        <v>767.150217</v>
      </c>
      <c r="BH395" s="504">
        <f t="shared" si="276"/>
        <v>835.55110499999444</v>
      </c>
      <c r="BI395" s="504">
        <f t="shared" si="276"/>
        <v>965.39115399999946</v>
      </c>
      <c r="BJ395" s="504">
        <f t="shared" si="276"/>
        <v>970.60945400000014</v>
      </c>
      <c r="BK395" s="504">
        <f t="shared" si="276"/>
        <v>1340.9801830000001</v>
      </c>
      <c r="BL395" s="504">
        <f t="shared" si="276"/>
        <v>1584.6</v>
      </c>
      <c r="BM395" s="504">
        <f t="shared" si="276"/>
        <v>1299.2770059686727</v>
      </c>
      <c r="BN395" s="504">
        <f t="shared" si="276"/>
        <v>1327.6622199999999</v>
      </c>
      <c r="BO395" s="504">
        <f t="shared" si="276"/>
        <v>1343.872363</v>
      </c>
      <c r="BP395" s="504">
        <f t="shared" si="276"/>
        <v>1337.4343630000001</v>
      </c>
      <c r="BQ395" s="504"/>
      <c r="BR395" s="504"/>
      <c r="BS395" s="504"/>
      <c r="BT395" s="504"/>
      <c r="BU395" s="40">
        <f t="shared" si="258"/>
        <v>0</v>
      </c>
      <c r="BV395" s="40">
        <f t="shared" si="268"/>
        <v>0</v>
      </c>
      <c r="BW395" s="40">
        <f t="shared" si="268"/>
        <v>0</v>
      </c>
      <c r="BX395" s="40">
        <f t="shared" si="268"/>
        <v>0</v>
      </c>
      <c r="BY395" s="40">
        <f t="shared" si="268"/>
        <v>0</v>
      </c>
      <c r="BZ395" s="40">
        <f t="shared" si="268"/>
        <v>0</v>
      </c>
      <c r="CA395" s="40">
        <f t="shared" si="268"/>
        <v>0</v>
      </c>
      <c r="CB395" s="40">
        <f t="shared" si="268"/>
        <v>0</v>
      </c>
      <c r="CC395" s="40">
        <f t="shared" si="268"/>
        <v>0</v>
      </c>
      <c r="CD395" s="40">
        <f t="shared" si="268"/>
        <v>0</v>
      </c>
      <c r="CE395" s="504"/>
      <c r="CF395" s="504"/>
      <c r="CG395" s="504"/>
      <c r="CM395" s="504">
        <f>CM364+CM380</f>
        <v>1140.4090130000002</v>
      </c>
    </row>
    <row r="396" spans="2:91" s="25" customFormat="1">
      <c r="B396" s="238" t="s">
        <v>407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307"/>
      <c r="AW396" s="307"/>
      <c r="AX396" s="307"/>
      <c r="AY396" s="307"/>
      <c r="AZ396" s="504"/>
      <c r="BA396" s="504"/>
      <c r="BB396" s="504"/>
      <c r="BC396" s="504"/>
      <c r="BD396" s="504"/>
      <c r="BE396" s="504"/>
      <c r="BF396" s="504"/>
      <c r="BG396" s="721">
        <v>737.61017600000002</v>
      </c>
      <c r="BH396" s="722">
        <v>754.05663500000003</v>
      </c>
      <c r="BI396" s="307">
        <v>806.88988900000004</v>
      </c>
      <c r="BJ396" s="472">
        <v>889.78319699999997</v>
      </c>
      <c r="BK396" s="472">
        <v>1460.6913669999999</v>
      </c>
      <c r="BL396" s="463">
        <v>1432.1</v>
      </c>
      <c r="BM396" s="307">
        <v>1873.8</v>
      </c>
      <c r="BN396" s="307">
        <v>1877.4</v>
      </c>
      <c r="BO396" s="307">
        <v>2567.6</v>
      </c>
      <c r="BP396" s="307">
        <v>2743.7</v>
      </c>
      <c r="BQ396" s="307">
        <v>2963.6</v>
      </c>
      <c r="BU396" s="40">
        <f t="shared" si="258"/>
        <v>0</v>
      </c>
      <c r="BV396" s="40">
        <f t="shared" si="268"/>
        <v>0</v>
      </c>
      <c r="BW396" s="40">
        <f t="shared" si="268"/>
        <v>0</v>
      </c>
      <c r="BX396" s="40">
        <f t="shared" si="268"/>
        <v>0</v>
      </c>
      <c r="BY396" s="40">
        <f t="shared" si="268"/>
        <v>0</v>
      </c>
      <c r="BZ396" s="40">
        <f t="shared" si="268"/>
        <v>0</v>
      </c>
      <c r="CA396" s="40">
        <f t="shared" si="268"/>
        <v>0</v>
      </c>
      <c r="CB396" s="40">
        <f t="shared" si="268"/>
        <v>0</v>
      </c>
      <c r="CC396" s="40">
        <f t="shared" si="268"/>
        <v>0</v>
      </c>
      <c r="CD396" s="40">
        <f t="shared" si="268"/>
        <v>0</v>
      </c>
      <c r="CE396" s="307"/>
      <c r="CF396" s="307"/>
      <c r="CG396" s="307"/>
    </row>
    <row r="397" spans="2:91" s="25" customFormat="1">
      <c r="B397" s="238" t="s">
        <v>1702</v>
      </c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307"/>
      <c r="AW397" s="307"/>
      <c r="AX397" s="307"/>
      <c r="AY397" s="307"/>
      <c r="AZ397" s="504">
        <f t="shared" ref="AZ397:BE397" si="277">AZ392-AZ394</f>
        <v>47060951.791081995</v>
      </c>
      <c r="BA397" s="504">
        <f t="shared" si="277"/>
        <v>254500.58899999992</v>
      </c>
      <c r="BB397" s="504">
        <f t="shared" si="277"/>
        <v>259700.64400000006</v>
      </c>
      <c r="BC397" s="721">
        <f t="shared" si="277"/>
        <v>367844.14099999995</v>
      </c>
      <c r="BD397" s="504">
        <f t="shared" si="277"/>
        <v>485.97196200000002</v>
      </c>
      <c r="BE397" s="504">
        <f t="shared" si="277"/>
        <v>616.1736800000001</v>
      </c>
      <c r="BF397" s="504">
        <f>BF392-BF394</f>
        <v>673.94904599999995</v>
      </c>
      <c r="BG397" s="504">
        <f>BG392-BG394</f>
        <v>702.42056600000001</v>
      </c>
      <c r="BH397" s="504">
        <f>BH392-BH394</f>
        <v>772.06537599999444</v>
      </c>
      <c r="BI397" s="307"/>
      <c r="BJ397" s="307"/>
      <c r="BK397" s="307"/>
      <c r="BU397" s="40">
        <f t="shared" si="258"/>
        <v>0</v>
      </c>
      <c r="BV397" s="40">
        <f t="shared" si="268"/>
        <v>0</v>
      </c>
      <c r="BW397" s="40">
        <f t="shared" si="268"/>
        <v>0</v>
      </c>
      <c r="BX397" s="40">
        <f t="shared" si="268"/>
        <v>0</v>
      </c>
      <c r="BY397" s="40">
        <f t="shared" si="268"/>
        <v>0</v>
      </c>
      <c r="BZ397" s="40">
        <f t="shared" si="268"/>
        <v>0</v>
      </c>
      <c r="CA397" s="40">
        <f t="shared" si="268"/>
        <v>0</v>
      </c>
      <c r="CB397" s="40">
        <f t="shared" si="268"/>
        <v>0</v>
      </c>
      <c r="CC397" s="40">
        <f t="shared" si="268"/>
        <v>0</v>
      </c>
      <c r="CD397" s="40">
        <f t="shared" si="268"/>
        <v>0</v>
      </c>
      <c r="CE397" s="307"/>
      <c r="CF397" s="307"/>
      <c r="CG397" s="307"/>
    </row>
    <row r="398" spans="2:91" s="25" customFormat="1">
      <c r="B398" s="25" t="s">
        <v>2668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307"/>
      <c r="AW398" s="307"/>
      <c r="AX398" s="307"/>
      <c r="AY398" s="307"/>
      <c r="AZ398" s="307"/>
      <c r="BA398" s="307"/>
      <c r="BB398" s="307"/>
      <c r="BC398" s="307"/>
      <c r="BD398" s="307"/>
      <c r="BE398" s="307"/>
      <c r="BF398" s="307"/>
      <c r="BG398" s="307"/>
      <c r="BH398" s="307"/>
      <c r="BI398" s="307">
        <f>BI396-BI395</f>
        <v>-158.50126499999942</v>
      </c>
      <c r="BJ398" s="307">
        <f>BJ396-BJ395</f>
        <v>-80.826257000000169</v>
      </c>
      <c r="BK398" s="307">
        <f>BK396-BK395</f>
        <v>119.71118399999978</v>
      </c>
      <c r="BL398" s="307">
        <f>BL396-BL395</f>
        <v>-152.5</v>
      </c>
      <c r="BM398" s="307">
        <f>BM396-BM395</f>
        <v>574.52299403132724</v>
      </c>
      <c r="BU398" s="40">
        <f t="shared" si="258"/>
        <v>0</v>
      </c>
      <c r="BV398" s="40">
        <f t="shared" ref="BV398:CD398" si="278">BU398</f>
        <v>0</v>
      </c>
      <c r="BW398" s="40">
        <f t="shared" si="278"/>
        <v>0</v>
      </c>
      <c r="BX398" s="40">
        <f t="shared" si="278"/>
        <v>0</v>
      </c>
      <c r="BY398" s="40">
        <f t="shared" si="278"/>
        <v>0</v>
      </c>
      <c r="BZ398" s="40">
        <f t="shared" si="278"/>
        <v>0</v>
      </c>
      <c r="CA398" s="40">
        <f t="shared" si="278"/>
        <v>0</v>
      </c>
      <c r="CB398" s="40">
        <f t="shared" si="278"/>
        <v>0</v>
      </c>
      <c r="CC398" s="40">
        <f t="shared" si="278"/>
        <v>0</v>
      </c>
      <c r="CD398" s="40">
        <f t="shared" si="278"/>
        <v>0</v>
      </c>
      <c r="CE398" s="307"/>
      <c r="CF398" s="307"/>
      <c r="CG398" s="307"/>
      <c r="CM398" s="307">
        <f>CM396-CM395</f>
        <v>-1140.4090130000002</v>
      </c>
    </row>
    <row r="399" spans="2:91" s="25" customFormat="1">
      <c r="B399" s="703" t="s">
        <v>2764</v>
      </c>
      <c r="C399" s="703"/>
      <c r="D399" s="703"/>
      <c r="E399" s="703"/>
      <c r="F399" s="703"/>
      <c r="G399" s="703"/>
      <c r="H399" s="703"/>
      <c r="I399" s="703"/>
      <c r="J399" s="703"/>
      <c r="K399" s="703"/>
      <c r="L399" s="703"/>
      <c r="M399" s="703"/>
      <c r="N399" s="703"/>
      <c r="O399" s="703"/>
      <c r="P399" s="703"/>
      <c r="Q399" s="703"/>
      <c r="R399" s="703"/>
      <c r="S399" s="703"/>
      <c r="T399" s="703"/>
      <c r="U399" s="703"/>
      <c r="V399" s="703"/>
      <c r="W399" s="703"/>
      <c r="X399" s="703"/>
      <c r="Y399" s="703"/>
      <c r="Z399" s="703"/>
      <c r="AA399" s="703"/>
      <c r="AB399" s="703"/>
      <c r="AC399" s="703"/>
      <c r="AD399" s="703"/>
      <c r="AE399" s="703"/>
      <c r="AF399" s="703"/>
      <c r="AG399" s="703"/>
      <c r="AH399" s="703"/>
      <c r="AI399" s="703"/>
      <c r="AJ399" s="703"/>
      <c r="AK399" s="703"/>
      <c r="AL399" s="703"/>
      <c r="AM399" s="703"/>
      <c r="AN399" s="703"/>
      <c r="AO399" s="703"/>
      <c r="AP399" s="703"/>
      <c r="AQ399" s="703"/>
      <c r="AR399" s="703"/>
      <c r="AS399" s="703"/>
      <c r="AT399" s="703"/>
      <c r="AU399" s="703"/>
      <c r="AV399" s="683"/>
      <c r="AW399" s="683"/>
      <c r="AX399" s="683"/>
      <c r="AY399" s="683"/>
      <c r="AZ399" s="683"/>
      <c r="BA399" s="683">
        <v>2</v>
      </c>
      <c r="BB399" s="683"/>
      <c r="BC399" s="683"/>
      <c r="BD399" s="683"/>
      <c r="BE399" s="461"/>
      <c r="BF399" s="461"/>
      <c r="BG399" s="461"/>
      <c r="BH399" s="307"/>
      <c r="BI399" s="307"/>
      <c r="BJ399" s="307"/>
      <c r="BK399" s="307"/>
      <c r="BU399" s="40">
        <f t="shared" si="258"/>
        <v>0</v>
      </c>
      <c r="BV399" s="40">
        <f t="shared" ref="BV399:CD399" si="279">BU399</f>
        <v>0</v>
      </c>
      <c r="BW399" s="40">
        <f t="shared" si="279"/>
        <v>0</v>
      </c>
      <c r="BX399" s="40">
        <f t="shared" si="279"/>
        <v>0</v>
      </c>
      <c r="BY399" s="40">
        <f t="shared" si="279"/>
        <v>0</v>
      </c>
      <c r="BZ399" s="40">
        <f t="shared" si="279"/>
        <v>0</v>
      </c>
      <c r="CA399" s="40">
        <f t="shared" si="279"/>
        <v>0</v>
      </c>
      <c r="CB399" s="40">
        <f t="shared" si="279"/>
        <v>0</v>
      </c>
      <c r="CC399" s="40">
        <f t="shared" si="279"/>
        <v>0</v>
      </c>
      <c r="CD399" s="40">
        <f t="shared" si="279"/>
        <v>0</v>
      </c>
      <c r="CE399" s="307"/>
      <c r="CF399" s="307"/>
      <c r="CG399" s="307"/>
    </row>
    <row r="400" spans="2:91" s="25" customFormat="1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307"/>
      <c r="AW400" s="307"/>
      <c r="AX400" s="307"/>
      <c r="AY400" s="307"/>
      <c r="AZ400" s="307"/>
      <c r="BA400" s="307"/>
      <c r="BB400" s="307"/>
      <c r="BC400" s="307"/>
      <c r="BD400" s="307"/>
      <c r="BE400" s="307"/>
      <c r="BF400" s="307"/>
      <c r="BG400" s="307"/>
      <c r="BH400" s="307"/>
      <c r="BI400" s="307"/>
      <c r="BJ400" s="307"/>
      <c r="BK400" s="307"/>
      <c r="BU400" s="40">
        <f t="shared" si="258"/>
        <v>0</v>
      </c>
      <c r="BV400" s="40">
        <f t="shared" ref="BV400:CD400" si="280">BU400</f>
        <v>0</v>
      </c>
      <c r="BW400" s="40">
        <f t="shared" si="280"/>
        <v>0</v>
      </c>
      <c r="BX400" s="40">
        <f t="shared" si="280"/>
        <v>0</v>
      </c>
      <c r="BY400" s="40">
        <f t="shared" si="280"/>
        <v>0</v>
      </c>
      <c r="BZ400" s="40">
        <f t="shared" si="280"/>
        <v>0</v>
      </c>
      <c r="CA400" s="40">
        <f t="shared" si="280"/>
        <v>0</v>
      </c>
      <c r="CB400" s="40">
        <f t="shared" si="280"/>
        <v>0</v>
      </c>
      <c r="CC400" s="40">
        <f t="shared" si="280"/>
        <v>0</v>
      </c>
      <c r="CD400" s="40">
        <f t="shared" si="280"/>
        <v>0</v>
      </c>
      <c r="CE400" s="307"/>
      <c r="CF400" s="307"/>
      <c r="CG400" s="307"/>
    </row>
    <row r="401" spans="2:91" s="25" customFormat="1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307"/>
      <c r="AW401" s="307"/>
      <c r="AX401" s="307"/>
      <c r="AY401" s="307"/>
      <c r="AZ401" s="307"/>
      <c r="BA401" s="307"/>
      <c r="BB401" s="307"/>
      <c r="BC401" s="307"/>
      <c r="BD401" s="457">
        <f>SUM(BD410:BD433)-BD412-BD421-BD422-BD423-BD430-BD432-BD433</f>
        <v>369.898079</v>
      </c>
      <c r="BE401" s="457">
        <f>SUM(BE410:BE433)-BE412-BE421-BE422-BE423-BE430-BE432-BE433</f>
        <v>393.34483599999999</v>
      </c>
      <c r="BF401" s="457">
        <f>SUM(BF410:BF433)-BF412-BF421-BF422-BF423-BF430-BF432-BF433</f>
        <v>535.29980500000011</v>
      </c>
      <c r="BG401" s="457">
        <f>SUM(BG410:BG433)-BG412-BG421-BG422-BG423-BG430-BG432-BG433</f>
        <v>655.51467200000013</v>
      </c>
      <c r="BH401" s="307"/>
      <c r="BI401" s="307"/>
      <c r="BJ401" s="307"/>
      <c r="BK401" s="307"/>
      <c r="BL401" s="307">
        <f t="shared" ref="BL401:BS401" si="281">BL402-BL406</f>
        <v>-1434.5100000000004</v>
      </c>
      <c r="BM401" s="888">
        <f t="shared" si="281"/>
        <v>4.9566891220820253E-5</v>
      </c>
      <c r="BN401" s="888">
        <f t="shared" si="281"/>
        <v>0</v>
      </c>
      <c r="BO401" s="1013">
        <f t="shared" si="281"/>
        <v>0</v>
      </c>
      <c r="BP401" s="1013">
        <f t="shared" si="281"/>
        <v>0</v>
      </c>
      <c r="BQ401" s="1013">
        <f t="shared" si="281"/>
        <v>0</v>
      </c>
      <c r="BR401" s="1013">
        <f t="shared" si="281"/>
        <v>0</v>
      </c>
      <c r="BS401" s="1013">
        <f t="shared" si="281"/>
        <v>0</v>
      </c>
      <c r="BU401" s="40">
        <f t="shared" si="258"/>
        <v>0</v>
      </c>
      <c r="BV401" s="40">
        <f t="shared" ref="BV401:CD401" si="282">BU401</f>
        <v>0</v>
      </c>
      <c r="BW401" s="40">
        <f t="shared" si="282"/>
        <v>0</v>
      </c>
      <c r="BX401" s="40">
        <f t="shared" si="282"/>
        <v>0</v>
      </c>
      <c r="BY401" s="40">
        <f t="shared" si="282"/>
        <v>0</v>
      </c>
      <c r="BZ401" s="40">
        <f t="shared" si="282"/>
        <v>0</v>
      </c>
      <c r="CA401" s="40">
        <f t="shared" si="282"/>
        <v>0</v>
      </c>
      <c r="CB401" s="40">
        <f t="shared" si="282"/>
        <v>0</v>
      </c>
      <c r="CC401" s="40">
        <f t="shared" si="282"/>
        <v>0</v>
      </c>
      <c r="CD401" s="40">
        <f t="shared" si="282"/>
        <v>0</v>
      </c>
      <c r="CE401" s="307"/>
      <c r="CF401" s="307"/>
      <c r="CG401" s="307"/>
    </row>
    <row r="402" spans="2:91" s="25" customFormat="1">
      <c r="B402" s="723" t="s">
        <v>3799</v>
      </c>
      <c r="C402" s="723"/>
      <c r="D402" s="723"/>
      <c r="E402" s="723"/>
      <c r="F402" s="723"/>
      <c r="G402" s="723"/>
      <c r="H402" s="723"/>
      <c r="I402" s="723"/>
      <c r="J402" s="723"/>
      <c r="K402" s="723"/>
      <c r="L402" s="723"/>
      <c r="M402" s="723"/>
      <c r="N402" s="723"/>
      <c r="O402" s="723"/>
      <c r="P402" s="723"/>
      <c r="Q402" s="723"/>
      <c r="R402" s="723"/>
      <c r="S402" s="723"/>
      <c r="T402" s="723"/>
      <c r="U402" s="723"/>
      <c r="V402" s="723"/>
      <c r="W402" s="723"/>
      <c r="X402" s="723"/>
      <c r="Y402" s="723"/>
      <c r="Z402" s="723"/>
      <c r="AA402" s="723"/>
      <c r="AB402" s="723"/>
      <c r="AC402" s="723"/>
      <c r="AD402" s="723"/>
      <c r="AE402" s="723"/>
      <c r="AF402" s="723"/>
      <c r="AG402" s="723"/>
      <c r="AH402" s="723"/>
      <c r="AI402" s="723"/>
      <c r="AJ402" s="723"/>
      <c r="AK402" s="723"/>
      <c r="AL402" s="723"/>
      <c r="AM402" s="723"/>
      <c r="AN402" s="723"/>
      <c r="AO402" s="723"/>
      <c r="AP402" s="723"/>
      <c r="AQ402" s="723"/>
      <c r="AR402" s="723"/>
      <c r="AS402" s="723"/>
      <c r="AT402" s="723"/>
      <c r="AU402" s="723"/>
      <c r="AV402" s="644"/>
      <c r="AW402" s="644"/>
      <c r="AX402" s="644"/>
      <c r="AY402" s="644"/>
      <c r="AZ402" s="644"/>
      <c r="BA402" s="643"/>
      <c r="BB402" s="643"/>
      <c r="BC402" s="643"/>
      <c r="BD402" s="643"/>
      <c r="BE402" s="643"/>
      <c r="BF402" s="643"/>
      <c r="BG402" s="643"/>
      <c r="BH402" s="307"/>
      <c r="BI402" s="307"/>
      <c r="BJ402" s="307"/>
      <c r="BK402" s="307"/>
      <c r="BM402" s="307">
        <v>1447.1</v>
      </c>
      <c r="BN402" s="289">
        <v>1409.1</v>
      </c>
      <c r="BO402" s="307">
        <v>1530.2</v>
      </c>
      <c r="BP402" s="307">
        <v>1734.6</v>
      </c>
      <c r="BQ402" s="25">
        <v>1890.5</v>
      </c>
      <c r="BR402" s="25">
        <v>2026.5</v>
      </c>
      <c r="BS402" s="25">
        <v>2173.1999999999998</v>
      </c>
      <c r="BU402" s="40">
        <f t="shared" si="258"/>
        <v>0</v>
      </c>
      <c r="BV402" s="40">
        <f t="shared" ref="BV402:CD402" si="283">BU402</f>
        <v>0</v>
      </c>
      <c r="BW402" s="40">
        <f t="shared" si="283"/>
        <v>0</v>
      </c>
      <c r="BX402" s="40">
        <f t="shared" si="283"/>
        <v>0</v>
      </c>
      <c r="BY402" s="40">
        <f t="shared" si="283"/>
        <v>0</v>
      </c>
      <c r="BZ402" s="40">
        <f t="shared" si="283"/>
        <v>0</v>
      </c>
      <c r="CA402" s="40">
        <f t="shared" si="283"/>
        <v>0</v>
      </c>
      <c r="CB402" s="40">
        <f t="shared" si="283"/>
        <v>0</v>
      </c>
      <c r="CC402" s="40">
        <f t="shared" si="283"/>
        <v>0</v>
      </c>
      <c r="CD402" s="40">
        <f t="shared" si="283"/>
        <v>0</v>
      </c>
      <c r="CE402" s="307"/>
      <c r="CF402" s="307"/>
      <c r="CG402" s="307"/>
    </row>
    <row r="403" spans="2:91" s="25" customFormat="1" ht="24" thickBot="1">
      <c r="B403" s="724" t="s">
        <v>695</v>
      </c>
      <c r="C403" s="725"/>
      <c r="D403" s="725"/>
      <c r="E403" s="725"/>
      <c r="F403" s="725"/>
      <c r="G403" s="725"/>
      <c r="H403" s="725"/>
      <c r="I403" s="725"/>
      <c r="J403" s="725"/>
      <c r="K403" s="725"/>
      <c r="L403" s="725"/>
      <c r="M403" s="725"/>
      <c r="N403" s="725"/>
      <c r="O403" s="725"/>
      <c r="P403" s="725"/>
      <c r="Q403" s="725"/>
      <c r="R403" s="725"/>
      <c r="S403" s="725"/>
      <c r="T403" s="725"/>
      <c r="U403" s="725"/>
      <c r="V403" s="725"/>
      <c r="W403" s="725"/>
      <c r="X403" s="725"/>
      <c r="Y403" s="725"/>
      <c r="Z403" s="725"/>
      <c r="AA403" s="725"/>
      <c r="AB403" s="725"/>
      <c r="AC403" s="725"/>
      <c r="AD403" s="725"/>
      <c r="AE403" s="725"/>
      <c r="AF403" s="725"/>
      <c r="AG403" s="725"/>
      <c r="AH403" s="725"/>
      <c r="AI403" s="725"/>
      <c r="AJ403" s="725"/>
      <c r="AK403" s="725"/>
      <c r="AL403" s="725"/>
      <c r="AM403" s="725"/>
      <c r="AN403" s="725"/>
      <c r="AO403" s="725"/>
      <c r="AP403" s="725"/>
      <c r="AQ403" s="725"/>
      <c r="AR403" s="725"/>
      <c r="AS403" s="725"/>
      <c r="AT403" s="725"/>
      <c r="AU403" s="725"/>
      <c r="AV403" s="643"/>
      <c r="AW403" s="643"/>
      <c r="AX403" s="643"/>
      <c r="AY403" s="643"/>
      <c r="AZ403" s="643"/>
      <c r="BA403" s="643"/>
      <c r="BB403" s="643"/>
      <c r="BC403" s="643"/>
      <c r="BD403" s="643"/>
      <c r="BE403" s="643"/>
      <c r="BF403" s="643"/>
      <c r="BG403" s="643"/>
      <c r="BH403" s="307">
        <f>878.698398-BH406</f>
        <v>21.781676999999945</v>
      </c>
      <c r="BI403" s="307"/>
      <c r="BJ403" s="307"/>
      <c r="BK403" s="307"/>
      <c r="BM403" s="886"/>
      <c r="BU403" s="40">
        <f t="shared" si="258"/>
        <v>0</v>
      </c>
      <c r="BV403" s="40">
        <f t="shared" ref="BV403:CD403" si="284">BU403</f>
        <v>0</v>
      </c>
      <c r="BW403" s="40">
        <f t="shared" si="284"/>
        <v>0</v>
      </c>
      <c r="BX403" s="40">
        <f t="shared" si="284"/>
        <v>0</v>
      </c>
      <c r="BY403" s="40">
        <f t="shared" si="284"/>
        <v>0</v>
      </c>
      <c r="BZ403" s="40">
        <f t="shared" si="284"/>
        <v>0</v>
      </c>
      <c r="CA403" s="40">
        <f t="shared" si="284"/>
        <v>0</v>
      </c>
      <c r="CB403" s="40">
        <f t="shared" si="284"/>
        <v>0</v>
      </c>
      <c r="CC403" s="40">
        <f t="shared" si="284"/>
        <v>0</v>
      </c>
      <c r="CD403" s="40">
        <f t="shared" si="284"/>
        <v>0</v>
      </c>
      <c r="CE403" s="307"/>
      <c r="CF403" s="307"/>
      <c r="CG403" s="307"/>
    </row>
    <row r="404" spans="2:91" s="25" customFormat="1" ht="39" thickBot="1">
      <c r="B404" s="666" t="s">
        <v>3098</v>
      </c>
      <c r="C404" s="666"/>
      <c r="D404" s="666"/>
      <c r="E404" s="666"/>
      <c r="F404" s="666"/>
      <c r="G404" s="666"/>
      <c r="H404" s="666"/>
      <c r="I404" s="666"/>
      <c r="J404" s="666"/>
      <c r="K404" s="666"/>
      <c r="L404" s="666"/>
      <c r="M404" s="666"/>
      <c r="N404" s="666"/>
      <c r="O404" s="666"/>
      <c r="P404" s="666"/>
      <c r="Q404" s="666"/>
      <c r="R404" s="666"/>
      <c r="S404" s="666"/>
      <c r="T404" s="666"/>
      <c r="U404" s="666"/>
      <c r="V404" s="666"/>
      <c r="W404" s="666"/>
      <c r="X404" s="666"/>
      <c r="Y404" s="666"/>
      <c r="Z404" s="666"/>
      <c r="AA404" s="666"/>
      <c r="AB404" s="666"/>
      <c r="AC404" s="666"/>
      <c r="AD404" s="666"/>
      <c r="AE404" s="666"/>
      <c r="AF404" s="666"/>
      <c r="AG404" s="666"/>
      <c r="AH404" s="666"/>
      <c r="AI404" s="666"/>
      <c r="AJ404" s="666"/>
      <c r="AK404" s="666"/>
      <c r="AL404" s="666"/>
      <c r="AM404" s="666"/>
      <c r="AN404" s="666"/>
      <c r="AO404" s="666"/>
      <c r="AP404" s="666"/>
      <c r="AQ404" s="666"/>
      <c r="AR404" s="666"/>
      <c r="AS404" s="666"/>
      <c r="AT404" s="666"/>
      <c r="AU404" s="666"/>
      <c r="AV404" s="667"/>
      <c r="AW404" s="667"/>
      <c r="AX404" s="667"/>
      <c r="AY404" s="667"/>
      <c r="AZ404" s="667"/>
      <c r="BA404" s="668" t="s">
        <v>3099</v>
      </c>
      <c r="BB404" s="668" t="s">
        <v>3605</v>
      </c>
      <c r="BC404" s="668" t="s">
        <v>3606</v>
      </c>
      <c r="BD404" s="668" t="s">
        <v>3607</v>
      </c>
      <c r="BE404" s="668" t="s">
        <v>2490</v>
      </c>
      <c r="BF404" s="668" t="s">
        <v>2491</v>
      </c>
      <c r="BG404" s="668" t="s">
        <v>3229</v>
      </c>
      <c r="BH404" s="307"/>
      <c r="BI404" s="307"/>
      <c r="BJ404" s="720"/>
      <c r="BK404" s="307">
        <f>BK410+BK411+BK413+BK414+BK417+BK418+BK419+BK420+BK424+BK426+BK416+BK427</f>
        <v>1481.7114140000001</v>
      </c>
      <c r="BL404" s="307">
        <f t="shared" ref="BL404:BR404" si="285">BL410+BL411+BL413+BL414+BL417+BL418+BL419+BL420+BL424+BL426+BL416+BL427</f>
        <v>1628.04</v>
      </c>
      <c r="BM404" s="307">
        <f t="shared" si="285"/>
        <v>1750.5964504331089</v>
      </c>
      <c r="BN404" s="307">
        <f>BN410+BN411+BN413+BN414+BN417+BN418+BN419+BN420+BN424+BN426+BN416+BN427</f>
        <v>2025.99</v>
      </c>
      <c r="BO404" s="307">
        <f t="shared" si="285"/>
        <v>2288.7200000000003</v>
      </c>
      <c r="BP404" s="307">
        <f t="shared" si="285"/>
        <v>2590.6019999999999</v>
      </c>
      <c r="BQ404" s="307">
        <f t="shared" si="285"/>
        <v>2942.2280000000001</v>
      </c>
      <c r="BR404" s="307">
        <f t="shared" si="285"/>
        <v>2942.2280000000001</v>
      </c>
      <c r="BU404" s="40">
        <f t="shared" si="258"/>
        <v>0</v>
      </c>
      <c r="BV404" s="40">
        <f t="shared" ref="BV404:CD404" si="286">BU404</f>
        <v>0</v>
      </c>
      <c r="BW404" s="40">
        <f t="shared" si="286"/>
        <v>0</v>
      </c>
      <c r="BX404" s="40">
        <f t="shared" si="286"/>
        <v>0</v>
      </c>
      <c r="BY404" s="40">
        <f t="shared" si="286"/>
        <v>0</v>
      </c>
      <c r="BZ404" s="40">
        <f t="shared" si="286"/>
        <v>0</v>
      </c>
      <c r="CA404" s="40">
        <f t="shared" si="286"/>
        <v>0</v>
      </c>
      <c r="CB404" s="40">
        <f t="shared" si="286"/>
        <v>0</v>
      </c>
      <c r="CC404" s="40">
        <f t="shared" si="286"/>
        <v>0</v>
      </c>
      <c r="CD404" s="40">
        <f t="shared" si="286"/>
        <v>0</v>
      </c>
      <c r="CE404" s="307"/>
      <c r="CF404" s="307"/>
      <c r="CG404" s="307"/>
      <c r="CM404" s="307">
        <f>CM410+CM411+CM413+CM414+CM417+CM418+CM419+CM420+CM424+CM426+CM416+CM427</f>
        <v>1401.654</v>
      </c>
    </row>
    <row r="405" spans="2:91" s="25" customFormat="1">
      <c r="B405" s="681" t="s">
        <v>696</v>
      </c>
      <c r="C405" s="670"/>
      <c r="D405" s="670"/>
      <c r="E405" s="670"/>
      <c r="F405" s="670"/>
      <c r="G405" s="670"/>
      <c r="H405" s="670"/>
      <c r="I405" s="670"/>
      <c r="J405" s="670"/>
      <c r="K405" s="670"/>
      <c r="L405" s="670"/>
      <c r="M405" s="670"/>
      <c r="N405" s="670"/>
      <c r="O405" s="670"/>
      <c r="P405" s="670"/>
      <c r="Q405" s="670"/>
      <c r="R405" s="670"/>
      <c r="S405" s="670"/>
      <c r="T405" s="670"/>
      <c r="U405" s="670"/>
      <c r="V405" s="670"/>
      <c r="W405" s="670"/>
      <c r="X405" s="670"/>
      <c r="Y405" s="670"/>
      <c r="Z405" s="670"/>
      <c r="AA405" s="670"/>
      <c r="AB405" s="670"/>
      <c r="AC405" s="670"/>
      <c r="AD405" s="670"/>
      <c r="AE405" s="670"/>
      <c r="AF405" s="670"/>
      <c r="AG405" s="670"/>
      <c r="AH405" s="670"/>
      <c r="AI405" s="670"/>
      <c r="AJ405" s="670"/>
      <c r="AK405" s="670"/>
      <c r="AL405" s="670"/>
      <c r="AM405" s="670"/>
      <c r="AN405" s="670"/>
      <c r="AO405" s="670"/>
      <c r="AP405" s="670"/>
      <c r="AQ405" s="670"/>
      <c r="AR405" s="670"/>
      <c r="AS405" s="670"/>
      <c r="AT405" s="670"/>
      <c r="AU405" s="670"/>
      <c r="AV405" s="671"/>
      <c r="AW405" s="671"/>
      <c r="AX405" s="671"/>
      <c r="AY405" s="671"/>
      <c r="AZ405" s="671"/>
      <c r="BA405" s="671">
        <v>241319.12100000001</v>
      </c>
      <c r="BB405" s="671">
        <v>282832.68900000001</v>
      </c>
      <c r="BC405" s="671">
        <v>414033.17300000001</v>
      </c>
      <c r="BD405" s="671">
        <v>446.76900799999999</v>
      </c>
      <c r="BE405" s="671">
        <v>463.43782199999998</v>
      </c>
      <c r="BF405" s="644">
        <v>615.70000000000005</v>
      </c>
      <c r="BG405" s="726">
        <v>754</v>
      </c>
      <c r="BH405" s="694">
        <v>847.6</v>
      </c>
      <c r="BI405" s="694">
        <v>867.5</v>
      </c>
      <c r="BJ405" s="694">
        <v>907.9</v>
      </c>
      <c r="BK405" s="472">
        <v>1326.8</v>
      </c>
      <c r="BL405" s="508">
        <v>1434.5</v>
      </c>
      <c r="BM405" s="25">
        <v>1461.3773389999999</v>
      </c>
      <c r="BU405" s="40">
        <f t="shared" si="258"/>
        <v>0</v>
      </c>
      <c r="BV405" s="40">
        <f t="shared" ref="BV405:CD405" si="287">BU405</f>
        <v>0</v>
      </c>
      <c r="BW405" s="40">
        <f t="shared" si="287"/>
        <v>0</v>
      </c>
      <c r="BX405" s="40">
        <f t="shared" si="287"/>
        <v>0</v>
      </c>
      <c r="BY405" s="40">
        <f t="shared" si="287"/>
        <v>0</v>
      </c>
      <c r="BZ405" s="40">
        <f t="shared" si="287"/>
        <v>0</v>
      </c>
      <c r="CA405" s="40">
        <f t="shared" si="287"/>
        <v>0</v>
      </c>
      <c r="CB405" s="40">
        <f t="shared" si="287"/>
        <v>0</v>
      </c>
      <c r="CC405" s="40">
        <f t="shared" si="287"/>
        <v>0</v>
      </c>
      <c r="CD405" s="40">
        <f t="shared" si="287"/>
        <v>0</v>
      </c>
      <c r="CE405" s="307"/>
      <c r="CF405" s="307"/>
      <c r="CG405" s="307"/>
    </row>
    <row r="406" spans="2:91" s="25" customFormat="1">
      <c r="B406" s="681" t="s">
        <v>3458</v>
      </c>
      <c r="C406" s="681"/>
      <c r="D406" s="681"/>
      <c r="E406" s="681"/>
      <c r="F406" s="681"/>
      <c r="G406" s="681"/>
      <c r="H406" s="681"/>
      <c r="I406" s="681"/>
      <c r="J406" s="681"/>
      <c r="K406" s="681"/>
      <c r="L406" s="681"/>
      <c r="M406" s="681"/>
      <c r="N406" s="681"/>
      <c r="O406" s="681"/>
      <c r="P406" s="681"/>
      <c r="Q406" s="681"/>
      <c r="R406" s="681"/>
      <c r="S406" s="681"/>
      <c r="T406" s="681"/>
      <c r="U406" s="681"/>
      <c r="V406" s="681"/>
      <c r="W406" s="681"/>
      <c r="X406" s="681"/>
      <c r="Y406" s="681"/>
      <c r="Z406" s="681"/>
      <c r="AA406" s="681"/>
      <c r="AB406" s="681"/>
      <c r="AC406" s="681"/>
      <c r="AD406" s="681"/>
      <c r="AE406" s="681"/>
      <c r="AF406" s="681"/>
      <c r="AG406" s="681"/>
      <c r="AH406" s="681"/>
      <c r="AI406" s="681"/>
      <c r="AJ406" s="681"/>
      <c r="AK406" s="681"/>
      <c r="AL406" s="681"/>
      <c r="AM406" s="681"/>
      <c r="AN406" s="681"/>
      <c r="AO406" s="681"/>
      <c r="AP406" s="681"/>
      <c r="AQ406" s="681"/>
      <c r="AR406" s="681"/>
      <c r="AS406" s="681"/>
      <c r="AT406" s="681"/>
      <c r="AU406" s="681"/>
      <c r="AV406" s="727"/>
      <c r="AW406" s="727"/>
      <c r="AX406" s="727"/>
      <c r="AY406" s="727"/>
      <c r="AZ406" s="727"/>
      <c r="BA406" s="727"/>
      <c r="BB406" s="727"/>
      <c r="BC406" s="727"/>
      <c r="BD406" s="727">
        <v>443.101722</v>
      </c>
      <c r="BE406" s="727">
        <v>487.17624999999998</v>
      </c>
      <c r="BF406" s="644">
        <v>620.43311100000005</v>
      </c>
      <c r="BG406" s="644">
        <v>758.85036000000002</v>
      </c>
      <c r="BH406" s="423">
        <f>SUM(BH410:BH435)-BH429+84.906</f>
        <v>856.91672100000005</v>
      </c>
      <c r="BI406" s="722">
        <f>SUM(BI410:BI435)-BI429</f>
        <v>788.60795300000018</v>
      </c>
      <c r="BJ406" s="722">
        <f>SUM(BJ410:BJ435)-BJ429</f>
        <v>1242.9022280000002</v>
      </c>
      <c r="BK406" s="722">
        <f>SUM(BK410:BK435)-BK429-BK425</f>
        <v>1481.7114140000001</v>
      </c>
      <c r="BL406" s="722">
        <f>SUM(BL410:BL435)-BL425-BL435-BL427-BL429</f>
        <v>1434.5100000000004</v>
      </c>
      <c r="BM406" s="722">
        <f>SUM(BM410:BM435)-BM429-BM425-BM412-BM415-BM422-BM430-BM435-306.4965</f>
        <v>1447.0999504331087</v>
      </c>
      <c r="BN406" s="722">
        <f>SUM(BN410:BN435)-BN429-BN425-BN412-BN415-BN422-BN430-BN435-620.04</f>
        <v>1409.1</v>
      </c>
      <c r="BO406" s="722">
        <f>SUM(BO410:BO435)-BO429-BO425-BO412-BO415-BO422-BO430-BO435-761.828</f>
        <v>1530.1999999999998</v>
      </c>
      <c r="BP406" s="722">
        <f>SUM(BP410:BP435)-BP429-BP425-BP412-BP415-BP422-BP430-BP435-859.475</f>
        <v>1734.6000000000004</v>
      </c>
      <c r="BQ406" s="722">
        <f>SUM(BQ410:BQ435)-BQ429-BQ425-BQ412-BQ415-BQ422-BQ430-BQ435-1055.375</f>
        <v>1890.5000000000005</v>
      </c>
      <c r="BR406" s="722">
        <f>SUM(BR410:BR435)-BR429-BR425-BR412-BR415-BR422-BR430-BR435-919.375</f>
        <v>2026.5000000000005</v>
      </c>
      <c r="BS406" s="722">
        <f>SUM(BS410:BS435)-BS429-BS425-BS412-BS415-BS422-BS430-BS435-772.675</f>
        <v>2173.2000000000007</v>
      </c>
      <c r="BT406" s="722">
        <f>SUM(BT410:BT435)-BT429-BT425-BT412-BT415-BT422-BT430-BT435</f>
        <v>2945.8750000000005</v>
      </c>
      <c r="BU406" s="40">
        <f t="shared" si="258"/>
        <v>2945.8750000000005</v>
      </c>
      <c r="BV406" s="40">
        <f t="shared" ref="BV406:CD406" si="288">BU406</f>
        <v>2945.8750000000005</v>
      </c>
      <c r="BW406" s="40">
        <f t="shared" si="288"/>
        <v>2945.8750000000005</v>
      </c>
      <c r="BX406" s="40">
        <f t="shared" si="288"/>
        <v>2945.8750000000005</v>
      </c>
      <c r="BY406" s="40">
        <f t="shared" si="288"/>
        <v>2945.8750000000005</v>
      </c>
      <c r="BZ406" s="40">
        <f t="shared" si="288"/>
        <v>2945.8750000000005</v>
      </c>
      <c r="CA406" s="40">
        <f t="shared" si="288"/>
        <v>2945.8750000000005</v>
      </c>
      <c r="CB406" s="40">
        <f t="shared" si="288"/>
        <v>2945.8750000000005</v>
      </c>
      <c r="CC406" s="40">
        <f t="shared" si="288"/>
        <v>2945.8750000000005</v>
      </c>
      <c r="CD406" s="40">
        <f t="shared" si="288"/>
        <v>2945.8750000000005</v>
      </c>
      <c r="CE406" s="722"/>
      <c r="CF406" s="722"/>
      <c r="CG406" s="722"/>
      <c r="CM406" s="722">
        <f>SUM(CM410:CM435)-CM429-CM425-CM412-CM415-CM422-CM430-CM435</f>
        <v>1404.0540000000003</v>
      </c>
    </row>
    <row r="407" spans="2:91" s="25" customFormat="1">
      <c r="B407" s="679" t="s">
        <v>3019</v>
      </c>
      <c r="C407" s="681"/>
      <c r="D407" s="681"/>
      <c r="E407" s="681"/>
      <c r="F407" s="681"/>
      <c r="G407" s="681"/>
      <c r="H407" s="681"/>
      <c r="I407" s="681"/>
      <c r="J407" s="681"/>
      <c r="K407" s="681"/>
      <c r="L407" s="681"/>
      <c r="M407" s="681"/>
      <c r="N407" s="681"/>
      <c r="O407" s="681"/>
      <c r="P407" s="681"/>
      <c r="Q407" s="681"/>
      <c r="R407" s="681"/>
      <c r="S407" s="681"/>
      <c r="T407" s="681"/>
      <c r="U407" s="681"/>
      <c r="V407" s="681"/>
      <c r="W407" s="681"/>
      <c r="X407" s="681"/>
      <c r="Y407" s="681"/>
      <c r="Z407" s="681"/>
      <c r="AA407" s="681"/>
      <c r="AB407" s="681"/>
      <c r="AC407" s="681"/>
      <c r="AD407" s="681"/>
      <c r="AE407" s="681"/>
      <c r="AF407" s="681"/>
      <c r="AG407" s="681"/>
      <c r="AH407" s="681"/>
      <c r="AI407" s="681"/>
      <c r="AJ407" s="681"/>
      <c r="AK407" s="681"/>
      <c r="AL407" s="681"/>
      <c r="AM407" s="681"/>
      <c r="AN407" s="681"/>
      <c r="AO407" s="681"/>
      <c r="AP407" s="681"/>
      <c r="AQ407" s="681"/>
      <c r="AR407" s="681"/>
      <c r="AS407" s="681"/>
      <c r="AT407" s="681"/>
      <c r="AU407" s="681"/>
      <c r="AV407" s="727"/>
      <c r="AW407" s="727"/>
      <c r="AX407" s="727"/>
      <c r="AY407" s="727"/>
      <c r="AZ407" s="727"/>
      <c r="BA407" s="727"/>
      <c r="BB407" s="727"/>
      <c r="BC407" s="727"/>
      <c r="BD407" s="727">
        <v>4.6319400000000002</v>
      </c>
      <c r="BE407" s="727">
        <v>14.967161000000001</v>
      </c>
      <c r="BF407" s="644">
        <v>13.616472</v>
      </c>
      <c r="BG407" s="644">
        <v>11.418611</v>
      </c>
      <c r="BH407" s="307"/>
      <c r="BI407" s="307"/>
      <c r="BJ407" s="307"/>
      <c r="BK407" s="307"/>
      <c r="BU407" s="40">
        <f t="shared" si="258"/>
        <v>0</v>
      </c>
      <c r="BV407" s="40">
        <f t="shared" ref="BV407:CD407" si="289">BU407</f>
        <v>0</v>
      </c>
      <c r="BW407" s="40">
        <f t="shared" si="289"/>
        <v>0</v>
      </c>
      <c r="BX407" s="40">
        <f t="shared" si="289"/>
        <v>0</v>
      </c>
      <c r="BY407" s="40">
        <f t="shared" si="289"/>
        <v>0</v>
      </c>
      <c r="BZ407" s="40">
        <f t="shared" si="289"/>
        <v>0</v>
      </c>
      <c r="CA407" s="40">
        <f t="shared" si="289"/>
        <v>0</v>
      </c>
      <c r="CB407" s="40">
        <f t="shared" si="289"/>
        <v>0</v>
      </c>
      <c r="CC407" s="40">
        <f t="shared" si="289"/>
        <v>0</v>
      </c>
      <c r="CD407" s="40">
        <f t="shared" si="289"/>
        <v>0</v>
      </c>
      <c r="CE407" s="307"/>
      <c r="CF407" s="307"/>
      <c r="CG407" s="307"/>
    </row>
    <row r="408" spans="2:91" s="25" customFormat="1">
      <c r="B408" s="681" t="s">
        <v>2918</v>
      </c>
      <c r="C408" s="728"/>
      <c r="D408" s="728"/>
      <c r="E408" s="728"/>
      <c r="F408" s="728"/>
      <c r="G408" s="728"/>
      <c r="H408" s="728"/>
      <c r="I408" s="728"/>
      <c r="J408" s="728"/>
      <c r="K408" s="728"/>
      <c r="L408" s="728"/>
      <c r="M408" s="728"/>
      <c r="N408" s="728"/>
      <c r="O408" s="728"/>
      <c r="P408" s="728"/>
      <c r="Q408" s="728"/>
      <c r="R408" s="728"/>
      <c r="S408" s="728"/>
      <c r="T408" s="728"/>
      <c r="U408" s="728"/>
      <c r="V408" s="728"/>
      <c r="W408" s="728"/>
      <c r="X408" s="728"/>
      <c r="Y408" s="728"/>
      <c r="Z408" s="728"/>
      <c r="AA408" s="728"/>
      <c r="AB408" s="728"/>
      <c r="AC408" s="728"/>
      <c r="AD408" s="728"/>
      <c r="AE408" s="728"/>
      <c r="AF408" s="728"/>
      <c r="AG408" s="728"/>
      <c r="AH408" s="728"/>
      <c r="AI408" s="728"/>
      <c r="AJ408" s="728"/>
      <c r="AK408" s="728"/>
      <c r="AL408" s="728"/>
      <c r="AM408" s="728"/>
      <c r="AN408" s="728"/>
      <c r="AO408" s="728"/>
      <c r="AP408" s="728"/>
      <c r="AQ408" s="728"/>
      <c r="AR408" s="728"/>
      <c r="AS408" s="728"/>
      <c r="AT408" s="728"/>
      <c r="AU408" s="728"/>
      <c r="AV408" s="727">
        <f t="shared" ref="AV408:BC408" si="290">AV405-AV407</f>
        <v>0</v>
      </c>
      <c r="AW408" s="727">
        <f t="shared" si="290"/>
        <v>0</v>
      </c>
      <c r="AX408" s="727">
        <f t="shared" si="290"/>
        <v>0</v>
      </c>
      <c r="AY408" s="727">
        <f t="shared" si="290"/>
        <v>0</v>
      </c>
      <c r="AZ408" s="727">
        <f t="shared" si="290"/>
        <v>0</v>
      </c>
      <c r="BA408" s="727">
        <f t="shared" si="290"/>
        <v>241319.12100000001</v>
      </c>
      <c r="BB408" s="727">
        <f t="shared" si="290"/>
        <v>282832.68900000001</v>
      </c>
      <c r="BC408" s="727">
        <f t="shared" si="290"/>
        <v>414033.17300000001</v>
      </c>
      <c r="BD408" s="727">
        <f>BD405-BD407</f>
        <v>442.137068</v>
      </c>
      <c r="BE408" s="727">
        <f>BE405-BE407</f>
        <v>448.47066100000001</v>
      </c>
      <c r="BF408" s="727">
        <f>BF405-BF407</f>
        <v>602.083528</v>
      </c>
      <c r="BG408" s="727">
        <f>BG405-BG407</f>
        <v>742.58138899999994</v>
      </c>
      <c r="BH408" s="307"/>
      <c r="BJ408" s="727">
        <f>BJ405-BJ407</f>
        <v>907.9</v>
      </c>
      <c r="BU408" s="40">
        <f t="shared" si="258"/>
        <v>0</v>
      </c>
      <c r="BV408" s="40">
        <f t="shared" ref="BV408:CD408" si="291">BU408</f>
        <v>0</v>
      </c>
      <c r="BW408" s="40">
        <f t="shared" si="291"/>
        <v>0</v>
      </c>
      <c r="BX408" s="40">
        <f t="shared" si="291"/>
        <v>0</v>
      </c>
      <c r="BY408" s="40">
        <f t="shared" si="291"/>
        <v>0</v>
      </c>
      <c r="BZ408" s="40">
        <f t="shared" si="291"/>
        <v>0</v>
      </c>
      <c r="CA408" s="40">
        <f t="shared" si="291"/>
        <v>0</v>
      </c>
      <c r="CB408" s="40">
        <f t="shared" si="291"/>
        <v>0</v>
      </c>
      <c r="CC408" s="40">
        <f t="shared" si="291"/>
        <v>0</v>
      </c>
      <c r="CD408" s="40">
        <f t="shared" si="291"/>
        <v>0</v>
      </c>
    </row>
    <row r="409" spans="2:91" s="25" customFormat="1">
      <c r="B409" s="679" t="s">
        <v>2257</v>
      </c>
      <c r="C409" s="681"/>
      <c r="D409" s="681"/>
      <c r="E409" s="681"/>
      <c r="F409" s="681"/>
      <c r="G409" s="681"/>
      <c r="H409" s="681"/>
      <c r="I409" s="681"/>
      <c r="J409" s="681"/>
      <c r="K409" s="681"/>
      <c r="L409" s="681"/>
      <c r="M409" s="681"/>
      <c r="N409" s="681"/>
      <c r="O409" s="681"/>
      <c r="P409" s="681"/>
      <c r="Q409" s="681"/>
      <c r="R409" s="681"/>
      <c r="S409" s="681"/>
      <c r="T409" s="681"/>
      <c r="U409" s="681"/>
      <c r="V409" s="681"/>
      <c r="W409" s="681"/>
      <c r="X409" s="681"/>
      <c r="Y409" s="681"/>
      <c r="Z409" s="681"/>
      <c r="AA409" s="681"/>
      <c r="AB409" s="681"/>
      <c r="AC409" s="681"/>
      <c r="AD409" s="681"/>
      <c r="AE409" s="681"/>
      <c r="AF409" s="681"/>
      <c r="AG409" s="681"/>
      <c r="AH409" s="681"/>
      <c r="AI409" s="681"/>
      <c r="AJ409" s="681"/>
      <c r="AK409" s="681"/>
      <c r="AL409" s="681"/>
      <c r="AM409" s="681"/>
      <c r="AN409" s="681"/>
      <c r="AO409" s="681"/>
      <c r="AP409" s="681"/>
      <c r="AQ409" s="681"/>
      <c r="AR409" s="681"/>
      <c r="AS409" s="681"/>
      <c r="AT409" s="681"/>
      <c r="AU409" s="681"/>
      <c r="AV409" s="307"/>
      <c r="AW409" s="307"/>
      <c r="AX409" s="307"/>
      <c r="AY409" s="307"/>
      <c r="AZ409" s="307"/>
      <c r="BA409" s="727"/>
      <c r="BB409" s="727"/>
      <c r="BC409" s="727"/>
      <c r="BD409" s="727"/>
      <c r="BE409" s="727"/>
      <c r="BF409" s="643"/>
      <c r="BG409" s="643"/>
      <c r="BH409" s="307"/>
      <c r="BI409" s="307">
        <f>BI405-BI406</f>
        <v>78.89204699999982</v>
      </c>
      <c r="BJ409" s="307"/>
      <c r="BK409" s="307"/>
      <c r="BU409" s="40">
        <f t="shared" si="258"/>
        <v>0</v>
      </c>
      <c r="BV409" s="40">
        <f t="shared" ref="BV409:CD409" si="292">BU409</f>
        <v>0</v>
      </c>
      <c r="BW409" s="40">
        <f t="shared" si="292"/>
        <v>0</v>
      </c>
      <c r="BX409" s="40">
        <f t="shared" si="292"/>
        <v>0</v>
      </c>
      <c r="BY409" s="40">
        <f t="shared" si="292"/>
        <v>0</v>
      </c>
      <c r="BZ409" s="40">
        <f t="shared" si="292"/>
        <v>0</v>
      </c>
      <c r="CA409" s="40">
        <f t="shared" si="292"/>
        <v>0</v>
      </c>
      <c r="CB409" s="40">
        <f t="shared" si="292"/>
        <v>0</v>
      </c>
      <c r="CC409" s="40">
        <f t="shared" si="292"/>
        <v>0</v>
      </c>
      <c r="CD409" s="40">
        <f t="shared" si="292"/>
        <v>0</v>
      </c>
      <c r="CE409" s="307"/>
      <c r="CF409" s="307"/>
      <c r="CG409" s="307"/>
    </row>
    <row r="410" spans="2:91" s="25" customFormat="1">
      <c r="B410" s="679" t="s">
        <v>2353</v>
      </c>
      <c r="C410" s="680"/>
      <c r="D410" s="680"/>
      <c r="E410" s="680"/>
      <c r="F410" s="680"/>
      <c r="G410" s="680"/>
      <c r="H410" s="680"/>
      <c r="I410" s="680"/>
      <c r="J410" s="680"/>
      <c r="K410" s="680"/>
      <c r="L410" s="680"/>
      <c r="M410" s="680"/>
      <c r="N410" s="680"/>
      <c r="O410" s="680"/>
      <c r="P410" s="680"/>
      <c r="Q410" s="680"/>
      <c r="R410" s="680"/>
      <c r="S410" s="680"/>
      <c r="T410" s="680"/>
      <c r="U410" s="680"/>
      <c r="V410" s="680"/>
      <c r="W410" s="680"/>
      <c r="X410" s="680"/>
      <c r="Y410" s="680"/>
      <c r="Z410" s="680"/>
      <c r="AA410" s="680"/>
      <c r="AB410" s="680"/>
      <c r="AC410" s="680"/>
      <c r="AD410" s="680"/>
      <c r="AE410" s="680"/>
      <c r="AF410" s="680"/>
      <c r="AG410" s="680"/>
      <c r="AH410" s="680"/>
      <c r="AI410" s="680"/>
      <c r="AJ410" s="680"/>
      <c r="AK410" s="680"/>
      <c r="AL410" s="680"/>
      <c r="AM410" s="680"/>
      <c r="AN410" s="680"/>
      <c r="AO410" s="680"/>
      <c r="AP410" s="680"/>
      <c r="AQ410" s="680"/>
      <c r="AR410" s="680"/>
      <c r="AS410" s="680"/>
      <c r="AT410" s="680"/>
      <c r="AU410" s="680"/>
      <c r="AV410" s="672"/>
      <c r="AW410" s="672"/>
      <c r="AX410" s="672"/>
      <c r="AY410" s="672"/>
      <c r="AZ410" s="672"/>
      <c r="BA410" s="672">
        <v>91058.154999999999</v>
      </c>
      <c r="BB410" s="672">
        <v>107160.20299999999</v>
      </c>
      <c r="BC410" s="672">
        <v>118723.622</v>
      </c>
      <c r="BD410" s="672">
        <v>146.37892299999999</v>
      </c>
      <c r="BE410" s="698">
        <v>170.541293</v>
      </c>
      <c r="BF410" s="698">
        <v>160.05986200000001</v>
      </c>
      <c r="BG410" s="643">
        <v>184.797573</v>
      </c>
      <c r="BH410" s="650">
        <v>221.90648400000001</v>
      </c>
      <c r="BI410" s="688">
        <v>211.80702700000001</v>
      </c>
      <c r="BJ410" s="472">
        <v>220.68122600000001</v>
      </c>
      <c r="BK410" s="472">
        <v>297.33182900000003</v>
      </c>
      <c r="BL410" s="463">
        <v>316.55</v>
      </c>
      <c r="BM410" s="239">
        <f>BL410*1102/1039</f>
        <v>335.74408084696825</v>
      </c>
      <c r="BN410" s="509">
        <v>372.9</v>
      </c>
      <c r="BO410" s="509">
        <v>410.19</v>
      </c>
      <c r="BP410" s="509">
        <v>451.209</v>
      </c>
      <c r="BQ410" s="509">
        <v>496.33</v>
      </c>
      <c r="BR410" s="509">
        <v>496.33</v>
      </c>
      <c r="BS410" s="509">
        <v>496.33</v>
      </c>
      <c r="BT410" s="509">
        <v>496.33</v>
      </c>
      <c r="BU410" s="40">
        <f t="shared" si="258"/>
        <v>496.33</v>
      </c>
      <c r="BV410" s="40">
        <f t="shared" ref="BV410:CD410" si="293">BU410</f>
        <v>496.33</v>
      </c>
      <c r="BW410" s="40">
        <f t="shared" si="293"/>
        <v>496.33</v>
      </c>
      <c r="BX410" s="40">
        <f t="shared" si="293"/>
        <v>496.33</v>
      </c>
      <c r="BY410" s="40">
        <f t="shared" si="293"/>
        <v>496.33</v>
      </c>
      <c r="BZ410" s="40">
        <f t="shared" si="293"/>
        <v>496.33</v>
      </c>
      <c r="CA410" s="40">
        <f t="shared" si="293"/>
        <v>496.33</v>
      </c>
      <c r="CB410" s="40">
        <f t="shared" si="293"/>
        <v>496.33</v>
      </c>
      <c r="CC410" s="40">
        <f t="shared" si="293"/>
        <v>496.33</v>
      </c>
      <c r="CD410" s="40">
        <f t="shared" si="293"/>
        <v>496.33</v>
      </c>
      <c r="CE410" s="348"/>
      <c r="CF410" s="348"/>
      <c r="CG410" s="348"/>
      <c r="CM410" s="509">
        <v>330.4</v>
      </c>
    </row>
    <row r="411" spans="2:91" s="25" customFormat="1">
      <c r="B411" s="679" t="s">
        <v>2899</v>
      </c>
      <c r="C411" s="680"/>
      <c r="D411" s="680"/>
      <c r="E411" s="680"/>
      <c r="F411" s="680"/>
      <c r="G411" s="680"/>
      <c r="H411" s="680"/>
      <c r="I411" s="680"/>
      <c r="J411" s="680"/>
      <c r="K411" s="680"/>
      <c r="L411" s="680"/>
      <c r="M411" s="680"/>
      <c r="N411" s="680"/>
      <c r="O411" s="680"/>
      <c r="P411" s="680"/>
      <c r="Q411" s="680"/>
      <c r="R411" s="680"/>
      <c r="S411" s="680"/>
      <c r="T411" s="680"/>
      <c r="U411" s="680"/>
      <c r="V411" s="680"/>
      <c r="W411" s="680"/>
      <c r="X411" s="680"/>
      <c r="Y411" s="680"/>
      <c r="Z411" s="680"/>
      <c r="AA411" s="680"/>
      <c r="AB411" s="680"/>
      <c r="AC411" s="680"/>
      <c r="AD411" s="680"/>
      <c r="AE411" s="680"/>
      <c r="AF411" s="680"/>
      <c r="AG411" s="680"/>
      <c r="AH411" s="680"/>
      <c r="AI411" s="680"/>
      <c r="AJ411" s="680"/>
      <c r="AK411" s="680"/>
      <c r="AL411" s="680"/>
      <c r="AM411" s="680"/>
      <c r="AN411" s="680"/>
      <c r="AO411" s="680"/>
      <c r="AP411" s="680"/>
      <c r="AQ411" s="680"/>
      <c r="AR411" s="680"/>
      <c r="AS411" s="680"/>
      <c r="AT411" s="680"/>
      <c r="AU411" s="680"/>
      <c r="AV411" s="672"/>
      <c r="AW411" s="672"/>
      <c r="AX411" s="672"/>
      <c r="AY411" s="672"/>
      <c r="AZ411" s="672"/>
      <c r="BA411" s="672">
        <v>11647.838</v>
      </c>
      <c r="BB411" s="672">
        <v>15102.197</v>
      </c>
      <c r="BC411" s="672">
        <v>15260.811</v>
      </c>
      <c r="BD411" s="672">
        <v>18.891355999999998</v>
      </c>
      <c r="BE411" s="698">
        <v>22.081545999999999</v>
      </c>
      <c r="BF411" s="698">
        <v>28.83549</v>
      </c>
      <c r="BG411" s="643">
        <v>30.193055000000001</v>
      </c>
      <c r="BH411" s="507">
        <v>36.249322999999997</v>
      </c>
      <c r="BI411" s="463">
        <v>19.168098000000001</v>
      </c>
      <c r="BJ411" s="472">
        <v>14.899148</v>
      </c>
      <c r="BK411" s="472">
        <v>18.630773999999999</v>
      </c>
      <c r="BL411" s="463">
        <v>19.899999999999999</v>
      </c>
      <c r="BM411" s="509">
        <v>22.908000000000001</v>
      </c>
      <c r="BN411" s="509">
        <v>22.05</v>
      </c>
      <c r="BO411" s="509">
        <v>23.152999999999999</v>
      </c>
      <c r="BP411" s="509">
        <v>24.31</v>
      </c>
      <c r="BQ411" s="509">
        <v>25.526</v>
      </c>
      <c r="BR411" s="509">
        <v>25.526</v>
      </c>
      <c r="BS411" s="509">
        <v>25.526</v>
      </c>
      <c r="BT411" s="509">
        <v>25.526</v>
      </c>
      <c r="BU411" s="40">
        <f t="shared" si="258"/>
        <v>25.526</v>
      </c>
      <c r="BV411" s="40">
        <f t="shared" ref="BV411:CD411" si="294">BU411</f>
        <v>25.526</v>
      </c>
      <c r="BW411" s="40">
        <f t="shared" si="294"/>
        <v>25.526</v>
      </c>
      <c r="BX411" s="40">
        <f t="shared" si="294"/>
        <v>25.526</v>
      </c>
      <c r="BY411" s="40">
        <f t="shared" si="294"/>
        <v>25.526</v>
      </c>
      <c r="BZ411" s="40">
        <f t="shared" si="294"/>
        <v>25.526</v>
      </c>
      <c r="CA411" s="40">
        <f t="shared" si="294"/>
        <v>25.526</v>
      </c>
      <c r="CB411" s="40">
        <f t="shared" si="294"/>
        <v>25.526</v>
      </c>
      <c r="CC411" s="40">
        <f t="shared" si="294"/>
        <v>25.526</v>
      </c>
      <c r="CD411" s="40">
        <f t="shared" si="294"/>
        <v>25.526</v>
      </c>
      <c r="CE411" s="348"/>
      <c r="CF411" s="348"/>
      <c r="CG411" s="348"/>
      <c r="CM411" s="509">
        <v>19.920000000000002</v>
      </c>
    </row>
    <row r="412" spans="2:91" s="25" customFormat="1">
      <c r="B412" s="729" t="s">
        <v>479</v>
      </c>
      <c r="C412" s="679"/>
      <c r="D412" s="728"/>
      <c r="E412" s="728"/>
      <c r="F412" s="728"/>
      <c r="G412" s="728"/>
      <c r="H412" s="728"/>
      <c r="I412" s="728"/>
      <c r="J412" s="728"/>
      <c r="K412" s="728"/>
      <c r="L412" s="728"/>
      <c r="M412" s="728"/>
      <c r="N412" s="728"/>
      <c r="O412" s="728"/>
      <c r="P412" s="728"/>
      <c r="Q412" s="728"/>
      <c r="R412" s="728"/>
      <c r="S412" s="728"/>
      <c r="T412" s="728"/>
      <c r="U412" s="728"/>
      <c r="V412" s="728"/>
      <c r="W412" s="728"/>
      <c r="X412" s="728"/>
      <c r="Y412" s="728"/>
      <c r="Z412" s="728"/>
      <c r="AA412" s="728"/>
      <c r="AB412" s="728"/>
      <c r="AC412" s="728"/>
      <c r="AD412" s="728"/>
      <c r="AE412" s="728"/>
      <c r="AF412" s="728"/>
      <c r="AG412" s="728"/>
      <c r="AH412" s="728"/>
      <c r="AI412" s="728"/>
      <c r="AJ412" s="728"/>
      <c r="AK412" s="728"/>
      <c r="AL412" s="728"/>
      <c r="AM412" s="728"/>
      <c r="AN412" s="728"/>
      <c r="AO412" s="728"/>
      <c r="AP412" s="728"/>
      <c r="AQ412" s="728"/>
      <c r="AR412" s="728"/>
      <c r="AS412" s="728"/>
      <c r="AT412" s="728"/>
      <c r="AU412" s="728"/>
      <c r="AV412" s="730"/>
      <c r="AW412" s="730"/>
      <c r="AX412" s="730"/>
      <c r="AY412" s="730"/>
      <c r="AZ412" s="730"/>
      <c r="BA412" s="698">
        <v>13478.371999999999</v>
      </c>
      <c r="BB412" s="731">
        <v>13553.032999999999</v>
      </c>
      <c r="BC412" s="731">
        <v>18733.186000000002</v>
      </c>
      <c r="BD412" s="698">
        <v>22.632487000000001</v>
      </c>
      <c r="BE412" s="672">
        <v>27.917439000000002</v>
      </c>
      <c r="BF412" s="698">
        <v>29.517706</v>
      </c>
      <c r="BG412" s="643">
        <v>23.911518000000001</v>
      </c>
      <c r="BH412" s="507">
        <v>25.068947999999999</v>
      </c>
      <c r="BI412" s="507">
        <v>21.926599</v>
      </c>
      <c r="BJ412" s="307"/>
      <c r="BK412" s="307"/>
      <c r="BM412" s="25">
        <v>38</v>
      </c>
      <c r="BN412" s="25">
        <v>41.42</v>
      </c>
      <c r="BO412" s="25">
        <v>45.148000000000003</v>
      </c>
      <c r="BP412" s="276">
        <v>49.210999999999999</v>
      </c>
      <c r="BQ412" s="276">
        <v>53.64</v>
      </c>
      <c r="BR412" s="276">
        <v>53.64</v>
      </c>
      <c r="BS412" s="276">
        <v>53.64</v>
      </c>
      <c r="BT412" s="276">
        <v>53.64</v>
      </c>
      <c r="BU412" s="40">
        <f t="shared" si="258"/>
        <v>53.64</v>
      </c>
      <c r="BV412" s="40">
        <f t="shared" ref="BV412:CD412" si="295">BU412</f>
        <v>53.64</v>
      </c>
      <c r="BW412" s="40">
        <f t="shared" si="295"/>
        <v>53.64</v>
      </c>
      <c r="BX412" s="40">
        <f t="shared" si="295"/>
        <v>53.64</v>
      </c>
      <c r="BY412" s="40">
        <f t="shared" si="295"/>
        <v>53.64</v>
      </c>
      <c r="BZ412" s="40">
        <f t="shared" si="295"/>
        <v>53.64</v>
      </c>
      <c r="CA412" s="40">
        <f t="shared" si="295"/>
        <v>53.64</v>
      </c>
      <c r="CB412" s="40">
        <f t="shared" si="295"/>
        <v>53.64</v>
      </c>
      <c r="CC412" s="40">
        <f t="shared" si="295"/>
        <v>53.64</v>
      </c>
      <c r="CD412" s="40">
        <f t="shared" si="295"/>
        <v>53.64</v>
      </c>
      <c r="CE412" s="307"/>
      <c r="CF412" s="307"/>
      <c r="CG412" s="307"/>
      <c r="CM412" s="25">
        <v>34.86</v>
      </c>
    </row>
    <row r="413" spans="2:91" s="25" customFormat="1">
      <c r="B413" s="679" t="s">
        <v>2900</v>
      </c>
      <c r="C413" s="680"/>
      <c r="D413" s="680"/>
      <c r="E413" s="680"/>
      <c r="F413" s="680"/>
      <c r="G413" s="680"/>
      <c r="H413" s="680"/>
      <c r="I413" s="680"/>
      <c r="J413" s="680"/>
      <c r="K413" s="680"/>
      <c r="L413" s="680"/>
      <c r="M413" s="680"/>
      <c r="N413" s="680"/>
      <c r="O413" s="680"/>
      <c r="P413" s="680"/>
      <c r="Q413" s="680"/>
      <c r="R413" s="680"/>
      <c r="S413" s="680"/>
      <c r="T413" s="680"/>
      <c r="U413" s="680"/>
      <c r="V413" s="680"/>
      <c r="W413" s="680"/>
      <c r="X413" s="680"/>
      <c r="Y413" s="680"/>
      <c r="Z413" s="680"/>
      <c r="AA413" s="680"/>
      <c r="AB413" s="680"/>
      <c r="AC413" s="680"/>
      <c r="AD413" s="680"/>
      <c r="AE413" s="680"/>
      <c r="AF413" s="680"/>
      <c r="AG413" s="680"/>
      <c r="AH413" s="680"/>
      <c r="AI413" s="680"/>
      <c r="AJ413" s="680"/>
      <c r="AK413" s="680"/>
      <c r="AL413" s="680"/>
      <c r="AM413" s="680"/>
      <c r="AN413" s="680"/>
      <c r="AO413" s="680"/>
      <c r="AP413" s="680"/>
      <c r="AQ413" s="680"/>
      <c r="AR413" s="680"/>
      <c r="AS413" s="680"/>
      <c r="AT413" s="680"/>
      <c r="AU413" s="680"/>
      <c r="AV413" s="672"/>
      <c r="AW413" s="672"/>
      <c r="AX413" s="672"/>
      <c r="AY413" s="672"/>
      <c r="AZ413" s="672"/>
      <c r="BA413" s="672">
        <v>4222.99</v>
      </c>
      <c r="BB413" s="672">
        <v>5456.3909999999996</v>
      </c>
      <c r="BC413" s="672">
        <v>5457.9480000000003</v>
      </c>
      <c r="BD413" s="672">
        <v>9.05776</v>
      </c>
      <c r="BE413" s="672">
        <v>9.2716019999999997</v>
      </c>
      <c r="BF413" s="732">
        <v>12.813734999999999</v>
      </c>
      <c r="BG413" s="643">
        <v>14.397541</v>
      </c>
      <c r="BH413" s="507">
        <v>14.869598</v>
      </c>
      <c r="BI413" s="463">
        <v>17.205743999999999</v>
      </c>
      <c r="BJ413" s="472">
        <v>17.597622000000001</v>
      </c>
      <c r="BK413" s="472">
        <v>22.794740000000001</v>
      </c>
      <c r="BL413" s="463">
        <v>22.14</v>
      </c>
      <c r="BM413" s="509">
        <v>10</v>
      </c>
      <c r="BN413" s="509">
        <v>8.5</v>
      </c>
      <c r="BO413" s="509">
        <v>7.2249999999999996</v>
      </c>
      <c r="BP413" s="509">
        <v>6.141</v>
      </c>
      <c r="BQ413" s="509">
        <v>5.22</v>
      </c>
      <c r="BR413" s="509">
        <v>5.22</v>
      </c>
      <c r="BS413" s="509">
        <v>5.22</v>
      </c>
      <c r="BT413" s="509">
        <v>5.22</v>
      </c>
      <c r="BU413" s="40">
        <f t="shared" si="258"/>
        <v>5.22</v>
      </c>
      <c r="BV413" s="40">
        <f t="shared" ref="BV413:CD413" si="296">BU413</f>
        <v>5.22</v>
      </c>
      <c r="BW413" s="40">
        <f t="shared" si="296"/>
        <v>5.22</v>
      </c>
      <c r="BX413" s="40">
        <f t="shared" si="296"/>
        <v>5.22</v>
      </c>
      <c r="BY413" s="40">
        <f t="shared" si="296"/>
        <v>5.22</v>
      </c>
      <c r="BZ413" s="40">
        <f t="shared" si="296"/>
        <v>5.22</v>
      </c>
      <c r="CA413" s="40">
        <f t="shared" si="296"/>
        <v>5.22</v>
      </c>
      <c r="CB413" s="40">
        <f t="shared" si="296"/>
        <v>5.22</v>
      </c>
      <c r="CC413" s="40">
        <f t="shared" si="296"/>
        <v>5.22</v>
      </c>
      <c r="CD413" s="40">
        <f t="shared" si="296"/>
        <v>5.22</v>
      </c>
      <c r="CE413" s="348"/>
      <c r="CF413" s="348"/>
      <c r="CG413" s="348"/>
      <c r="CM413" s="509">
        <v>19.36</v>
      </c>
    </row>
    <row r="414" spans="2:91" s="25" customFormat="1">
      <c r="B414" s="679" t="s">
        <v>2901</v>
      </c>
      <c r="C414" s="680"/>
      <c r="D414" s="680"/>
      <c r="E414" s="680"/>
      <c r="F414" s="680"/>
      <c r="G414" s="680"/>
      <c r="H414" s="680"/>
      <c r="I414" s="680"/>
      <c r="J414" s="680"/>
      <c r="K414" s="680"/>
      <c r="L414" s="680"/>
      <c r="M414" s="680"/>
      <c r="N414" s="680"/>
      <c r="O414" s="680"/>
      <c r="P414" s="680"/>
      <c r="Q414" s="680"/>
      <c r="R414" s="680"/>
      <c r="S414" s="680"/>
      <c r="T414" s="680"/>
      <c r="U414" s="680"/>
      <c r="V414" s="680"/>
      <c r="W414" s="680"/>
      <c r="X414" s="680"/>
      <c r="Y414" s="680"/>
      <c r="Z414" s="680"/>
      <c r="AA414" s="680"/>
      <c r="AB414" s="680"/>
      <c r="AC414" s="680"/>
      <c r="AD414" s="680"/>
      <c r="AE414" s="680"/>
      <c r="AF414" s="680"/>
      <c r="AG414" s="680"/>
      <c r="AH414" s="680"/>
      <c r="AI414" s="680"/>
      <c r="AJ414" s="680"/>
      <c r="AK414" s="680"/>
      <c r="AL414" s="680"/>
      <c r="AM414" s="680"/>
      <c r="AN414" s="680"/>
      <c r="AO414" s="680"/>
      <c r="AP414" s="680"/>
      <c r="AQ414" s="680"/>
      <c r="AR414" s="680"/>
      <c r="AS414" s="680"/>
      <c r="AT414" s="680"/>
      <c r="AU414" s="680"/>
      <c r="AV414" s="672"/>
      <c r="AW414" s="672"/>
      <c r="AX414" s="672"/>
      <c r="AY414" s="672"/>
      <c r="AZ414" s="672"/>
      <c r="BA414" s="672">
        <v>618.01499999999999</v>
      </c>
      <c r="BB414" s="672">
        <v>334.35599999999999</v>
      </c>
      <c r="BC414" s="672">
        <v>265.09899999999999</v>
      </c>
      <c r="BD414" s="672">
        <v>0.297958</v>
      </c>
      <c r="BE414" s="698">
        <v>0.57170600000000005</v>
      </c>
      <c r="BF414" s="732">
        <v>1.2469190000000001</v>
      </c>
      <c r="BG414" s="643">
        <v>0.87043599999999999</v>
      </c>
      <c r="BH414" s="507">
        <v>1.3268</v>
      </c>
      <c r="BI414" s="463">
        <v>2.072584</v>
      </c>
      <c r="BJ414" s="472">
        <v>3.1437949999999999</v>
      </c>
      <c r="BK414" s="472">
        <v>7.2978839999999998</v>
      </c>
      <c r="BL414" s="463">
        <v>6.88</v>
      </c>
      <c r="BM414" s="509">
        <v>9</v>
      </c>
      <c r="BN414" s="509">
        <v>9.99</v>
      </c>
      <c r="BO414" s="509">
        <v>11.089</v>
      </c>
      <c r="BP414" s="509">
        <v>12.308999999999999</v>
      </c>
      <c r="BQ414" s="509">
        <v>13.663</v>
      </c>
      <c r="BR414" s="509">
        <v>13.663</v>
      </c>
      <c r="BS414" s="509">
        <v>13.663</v>
      </c>
      <c r="BT414" s="509">
        <v>13.663</v>
      </c>
      <c r="BU414" s="40">
        <f t="shared" si="258"/>
        <v>13.663</v>
      </c>
      <c r="BV414" s="40">
        <f t="shared" ref="BV414:CD414" si="297">BU414</f>
        <v>13.663</v>
      </c>
      <c r="BW414" s="40">
        <f t="shared" si="297"/>
        <v>13.663</v>
      </c>
      <c r="BX414" s="40">
        <f t="shared" si="297"/>
        <v>13.663</v>
      </c>
      <c r="BY414" s="40">
        <f t="shared" si="297"/>
        <v>13.663</v>
      </c>
      <c r="BZ414" s="40">
        <f t="shared" si="297"/>
        <v>13.663</v>
      </c>
      <c r="CA414" s="40">
        <f t="shared" si="297"/>
        <v>13.663</v>
      </c>
      <c r="CB414" s="40">
        <f t="shared" si="297"/>
        <v>13.663</v>
      </c>
      <c r="CC414" s="40">
        <f t="shared" si="297"/>
        <v>13.663</v>
      </c>
      <c r="CD414" s="40">
        <f t="shared" si="297"/>
        <v>13.663</v>
      </c>
      <c r="CE414" s="348"/>
      <c r="CF414" s="348"/>
      <c r="CG414" s="348"/>
      <c r="CM414" s="509">
        <v>8.1120000000000001</v>
      </c>
    </row>
    <row r="415" spans="2:91" s="25" customFormat="1">
      <c r="B415" s="729" t="s">
        <v>2902</v>
      </c>
      <c r="C415" s="680"/>
      <c r="D415" s="680"/>
      <c r="E415" s="680"/>
      <c r="F415" s="680"/>
      <c r="G415" s="680"/>
      <c r="H415" s="680"/>
      <c r="I415" s="680"/>
      <c r="J415" s="680"/>
      <c r="K415" s="680"/>
      <c r="L415" s="680"/>
      <c r="M415" s="680"/>
      <c r="N415" s="680"/>
      <c r="O415" s="680"/>
      <c r="P415" s="680"/>
      <c r="Q415" s="680"/>
      <c r="R415" s="680"/>
      <c r="S415" s="680"/>
      <c r="T415" s="680"/>
      <c r="U415" s="680"/>
      <c r="V415" s="680"/>
      <c r="W415" s="680"/>
      <c r="X415" s="680"/>
      <c r="Y415" s="680"/>
      <c r="Z415" s="680"/>
      <c r="AA415" s="680"/>
      <c r="AB415" s="680"/>
      <c r="AC415" s="680"/>
      <c r="AD415" s="680"/>
      <c r="AE415" s="680"/>
      <c r="AF415" s="680"/>
      <c r="AG415" s="680"/>
      <c r="AH415" s="680"/>
      <c r="AI415" s="680"/>
      <c r="AJ415" s="680"/>
      <c r="AK415" s="680"/>
      <c r="AL415" s="680"/>
      <c r="AM415" s="680"/>
      <c r="AN415" s="680"/>
      <c r="AO415" s="680"/>
      <c r="AP415" s="680"/>
      <c r="AQ415" s="680"/>
      <c r="AR415" s="680"/>
      <c r="AS415" s="680"/>
      <c r="AT415" s="680"/>
      <c r="AU415" s="680"/>
      <c r="AV415" s="672"/>
      <c r="AW415" s="672"/>
      <c r="AX415" s="672"/>
      <c r="AY415" s="672"/>
      <c r="AZ415" s="672"/>
      <c r="BA415" s="672">
        <v>380.52199999999999</v>
      </c>
      <c r="BB415" s="672">
        <v>357.26</v>
      </c>
      <c r="BC415" s="672">
        <v>514.21699999999998</v>
      </c>
      <c r="BD415" s="672">
        <v>1.578719</v>
      </c>
      <c r="BE415" s="698">
        <v>1.890695</v>
      </c>
      <c r="BF415" s="732">
        <v>1.7867980000000001</v>
      </c>
      <c r="BG415" s="643">
        <v>1.3128979999999999</v>
      </c>
      <c r="BH415" s="507">
        <v>1.365612</v>
      </c>
      <c r="BI415" s="507">
        <v>1.807294</v>
      </c>
      <c r="BJ415" s="307"/>
      <c r="BK415" s="307"/>
      <c r="BM415" s="25">
        <v>2.2790840000000001</v>
      </c>
      <c r="BN415" s="25">
        <v>2.4343119999999998</v>
      </c>
      <c r="BO415" s="25">
        <v>2.630201</v>
      </c>
      <c r="BP415" s="276">
        <f>BO415</f>
        <v>2.630201</v>
      </c>
      <c r="BQ415" s="276"/>
      <c r="BR415" s="276"/>
      <c r="BS415" s="276"/>
      <c r="BT415" s="276"/>
      <c r="BU415" s="40">
        <f t="shared" si="258"/>
        <v>0</v>
      </c>
      <c r="BV415" s="40">
        <f t="shared" ref="BV415:CD415" si="298">BU415</f>
        <v>0</v>
      </c>
      <c r="BW415" s="40">
        <f t="shared" si="298"/>
        <v>0</v>
      </c>
      <c r="BX415" s="40">
        <f t="shared" si="298"/>
        <v>0</v>
      </c>
      <c r="BY415" s="40">
        <f t="shared" si="298"/>
        <v>0</v>
      </c>
      <c r="BZ415" s="40">
        <f t="shared" si="298"/>
        <v>0</v>
      </c>
      <c r="CA415" s="40">
        <f t="shared" si="298"/>
        <v>0</v>
      </c>
      <c r="CB415" s="40">
        <f t="shared" si="298"/>
        <v>0</v>
      </c>
      <c r="CC415" s="40">
        <f t="shared" si="298"/>
        <v>0</v>
      </c>
      <c r="CD415" s="40">
        <f t="shared" si="298"/>
        <v>0</v>
      </c>
      <c r="CE415" s="307"/>
      <c r="CF415" s="307"/>
      <c r="CG415" s="307"/>
      <c r="CM415" s="25">
        <v>2.1337540000000002</v>
      </c>
    </row>
    <row r="416" spans="2:91" s="25" customFormat="1">
      <c r="B416" s="729" t="s">
        <v>2903</v>
      </c>
      <c r="C416" s="680"/>
      <c r="D416" s="680"/>
      <c r="E416" s="680"/>
      <c r="F416" s="680"/>
      <c r="G416" s="680"/>
      <c r="H416" s="680"/>
      <c r="I416" s="680"/>
      <c r="J416" s="680"/>
      <c r="K416" s="680"/>
      <c r="L416" s="680"/>
      <c r="M416" s="680"/>
      <c r="N416" s="680"/>
      <c r="O416" s="680"/>
      <c r="P416" s="680"/>
      <c r="Q416" s="680"/>
      <c r="R416" s="680"/>
      <c r="S416" s="680"/>
      <c r="T416" s="680"/>
      <c r="U416" s="680"/>
      <c r="V416" s="680"/>
      <c r="W416" s="680"/>
      <c r="X416" s="680"/>
      <c r="Y416" s="680"/>
      <c r="Z416" s="680"/>
      <c r="AA416" s="680"/>
      <c r="AB416" s="680"/>
      <c r="AC416" s="680"/>
      <c r="AD416" s="680"/>
      <c r="AE416" s="680"/>
      <c r="AF416" s="680"/>
      <c r="AG416" s="680"/>
      <c r="AH416" s="680"/>
      <c r="AI416" s="680"/>
      <c r="AJ416" s="680"/>
      <c r="AK416" s="680"/>
      <c r="AL416" s="680"/>
      <c r="AM416" s="680"/>
      <c r="AN416" s="680"/>
      <c r="AO416" s="680"/>
      <c r="AP416" s="680"/>
      <c r="AQ416" s="680"/>
      <c r="AR416" s="680"/>
      <c r="AS416" s="680"/>
      <c r="AT416" s="680"/>
      <c r="AU416" s="680"/>
      <c r="AV416" s="672"/>
      <c r="AW416" s="672"/>
      <c r="AX416" s="672"/>
      <c r="AY416" s="672"/>
      <c r="AZ416" s="672"/>
      <c r="BA416" s="672">
        <v>0.443</v>
      </c>
      <c r="BB416" s="672">
        <v>0</v>
      </c>
      <c r="BC416" s="672"/>
      <c r="BD416" s="672"/>
      <c r="BE416" s="672">
        <v>0</v>
      </c>
      <c r="BF416" s="732">
        <v>0</v>
      </c>
      <c r="BG416" s="643">
        <v>0</v>
      </c>
      <c r="BH416" s="507"/>
      <c r="BI416" s="507">
        <v>0</v>
      </c>
      <c r="BJ416" s="307"/>
      <c r="BK416" s="307"/>
      <c r="BL416" s="307"/>
      <c r="BM416" s="509">
        <v>30</v>
      </c>
      <c r="BN416" s="509">
        <v>45</v>
      </c>
      <c r="BO416" s="509">
        <v>67.5</v>
      </c>
      <c r="BP416" s="509">
        <v>101.25</v>
      </c>
      <c r="BQ416" s="509">
        <v>151.875</v>
      </c>
      <c r="BR416" s="509">
        <v>151.875</v>
      </c>
      <c r="BS416" s="509">
        <v>151.875</v>
      </c>
      <c r="BT416" s="509">
        <v>151.875</v>
      </c>
      <c r="BU416" s="40">
        <f t="shared" si="258"/>
        <v>151.875</v>
      </c>
      <c r="BV416" s="40">
        <f t="shared" ref="BV416:CD416" si="299">BU416</f>
        <v>151.875</v>
      </c>
      <c r="BW416" s="40">
        <f t="shared" si="299"/>
        <v>151.875</v>
      </c>
      <c r="BX416" s="40">
        <f t="shared" si="299"/>
        <v>151.875</v>
      </c>
      <c r="BY416" s="40">
        <f t="shared" si="299"/>
        <v>151.875</v>
      </c>
      <c r="BZ416" s="40">
        <f t="shared" si="299"/>
        <v>151.875</v>
      </c>
      <c r="CA416" s="40">
        <f t="shared" si="299"/>
        <v>151.875</v>
      </c>
      <c r="CB416" s="40">
        <f t="shared" si="299"/>
        <v>151.875</v>
      </c>
      <c r="CC416" s="40">
        <f t="shared" si="299"/>
        <v>151.875</v>
      </c>
      <c r="CD416" s="40">
        <f t="shared" si="299"/>
        <v>151.875</v>
      </c>
      <c r="CE416" s="307"/>
      <c r="CF416" s="307"/>
      <c r="CG416" s="307"/>
      <c r="CI416" s="423">
        <f>0+19.687305</f>
        <v>19.687304999999999</v>
      </c>
      <c r="CM416" s="509">
        <v>30</v>
      </c>
    </row>
    <row r="417" spans="2:91" s="25" customFormat="1">
      <c r="B417" s="679" t="s">
        <v>2904</v>
      </c>
      <c r="C417" s="680"/>
      <c r="D417" s="680"/>
      <c r="E417" s="680"/>
      <c r="F417" s="680"/>
      <c r="G417" s="680"/>
      <c r="H417" s="680"/>
      <c r="I417" s="680"/>
      <c r="J417" s="680"/>
      <c r="K417" s="680"/>
      <c r="L417" s="680"/>
      <c r="M417" s="680"/>
      <c r="N417" s="680"/>
      <c r="O417" s="680"/>
      <c r="P417" s="680"/>
      <c r="Q417" s="680"/>
      <c r="R417" s="680"/>
      <c r="S417" s="680"/>
      <c r="T417" s="680"/>
      <c r="U417" s="680"/>
      <c r="V417" s="680"/>
      <c r="W417" s="680"/>
      <c r="X417" s="680"/>
      <c r="Y417" s="680"/>
      <c r="Z417" s="680"/>
      <c r="AA417" s="680"/>
      <c r="AB417" s="680"/>
      <c r="AC417" s="680"/>
      <c r="AD417" s="680"/>
      <c r="AE417" s="680"/>
      <c r="AF417" s="680"/>
      <c r="AG417" s="680"/>
      <c r="AH417" s="680"/>
      <c r="AI417" s="680"/>
      <c r="AJ417" s="680"/>
      <c r="AK417" s="680"/>
      <c r="AL417" s="680"/>
      <c r="AM417" s="680"/>
      <c r="AN417" s="680"/>
      <c r="AO417" s="680"/>
      <c r="AP417" s="680"/>
      <c r="AQ417" s="680"/>
      <c r="AR417" s="680"/>
      <c r="AS417" s="680"/>
      <c r="AT417" s="680"/>
      <c r="AU417" s="680"/>
      <c r="AV417" s="672"/>
      <c r="AW417" s="672"/>
      <c r="AX417" s="672"/>
      <c r="AY417" s="672"/>
      <c r="AZ417" s="672"/>
      <c r="BA417" s="672">
        <v>5005.8019999999997</v>
      </c>
      <c r="BB417" s="672">
        <v>5402.8549999999996</v>
      </c>
      <c r="BC417" s="672">
        <v>5952.12</v>
      </c>
      <c r="BD417" s="672">
        <v>5.4420539999999997</v>
      </c>
      <c r="BE417" s="672">
        <v>6.8734590000000004</v>
      </c>
      <c r="BF417" s="732">
        <v>6.1775359999999999</v>
      </c>
      <c r="BG417" s="643">
        <v>7.1283310000000002</v>
      </c>
      <c r="BH417" s="507">
        <v>7.3364130000000003</v>
      </c>
      <c r="BI417" s="463">
        <v>11.102081</v>
      </c>
      <c r="BJ417" s="472">
        <v>12.132885</v>
      </c>
      <c r="BK417" s="472">
        <v>14.811626</v>
      </c>
      <c r="BL417" s="508">
        <v>15.41</v>
      </c>
      <c r="BM417" s="509">
        <v>20</v>
      </c>
      <c r="BN417" s="509">
        <v>17.600000000000001</v>
      </c>
      <c r="BO417" s="509">
        <v>19.36</v>
      </c>
      <c r="BP417" s="509">
        <v>21.295999999999999</v>
      </c>
      <c r="BQ417" s="509">
        <v>23.425999999999998</v>
      </c>
      <c r="BR417" s="509">
        <v>23.425999999999998</v>
      </c>
      <c r="BS417" s="509">
        <v>23.425999999999998</v>
      </c>
      <c r="BT417" s="509">
        <v>23.425999999999998</v>
      </c>
      <c r="BU417" s="40">
        <f t="shared" si="258"/>
        <v>23.425999999999998</v>
      </c>
      <c r="BV417" s="40">
        <f t="shared" ref="BV417:CD417" si="300">BU417</f>
        <v>23.425999999999998</v>
      </c>
      <c r="BW417" s="40">
        <f t="shared" si="300"/>
        <v>23.425999999999998</v>
      </c>
      <c r="BX417" s="40">
        <f t="shared" si="300"/>
        <v>23.425999999999998</v>
      </c>
      <c r="BY417" s="40">
        <f t="shared" si="300"/>
        <v>23.425999999999998</v>
      </c>
      <c r="BZ417" s="40">
        <f t="shared" si="300"/>
        <v>23.425999999999998</v>
      </c>
      <c r="CA417" s="40">
        <f t="shared" si="300"/>
        <v>23.425999999999998</v>
      </c>
      <c r="CB417" s="40">
        <f t="shared" si="300"/>
        <v>23.425999999999998</v>
      </c>
      <c r="CC417" s="40">
        <f t="shared" si="300"/>
        <v>23.425999999999998</v>
      </c>
      <c r="CD417" s="40">
        <f t="shared" si="300"/>
        <v>23.425999999999998</v>
      </c>
      <c r="CE417" s="348"/>
      <c r="CF417" s="348"/>
      <c r="CG417" s="348"/>
      <c r="CI417" s="423">
        <f>12.652847+6.22449452</f>
        <v>18.877341520000002</v>
      </c>
      <c r="CM417" s="509">
        <v>18.52</v>
      </c>
    </row>
    <row r="418" spans="2:91" s="25" customFormat="1">
      <c r="B418" s="679" t="s">
        <v>2905</v>
      </c>
      <c r="C418" s="680"/>
      <c r="D418" s="680"/>
      <c r="E418" s="680"/>
      <c r="F418" s="680"/>
      <c r="G418" s="680"/>
      <c r="H418" s="680"/>
      <c r="I418" s="680"/>
      <c r="J418" s="680"/>
      <c r="K418" s="680"/>
      <c r="L418" s="680"/>
      <c r="M418" s="680"/>
      <c r="N418" s="680"/>
      <c r="O418" s="680"/>
      <c r="P418" s="680"/>
      <c r="Q418" s="680"/>
      <c r="R418" s="680"/>
      <c r="S418" s="680"/>
      <c r="T418" s="680"/>
      <c r="U418" s="680"/>
      <c r="V418" s="680"/>
      <c r="W418" s="680"/>
      <c r="X418" s="680"/>
      <c r="Y418" s="680"/>
      <c r="Z418" s="680"/>
      <c r="AA418" s="680"/>
      <c r="AB418" s="680"/>
      <c r="AC418" s="680"/>
      <c r="AD418" s="680"/>
      <c r="AE418" s="680"/>
      <c r="AF418" s="680"/>
      <c r="AG418" s="680"/>
      <c r="AH418" s="680"/>
      <c r="AI418" s="680"/>
      <c r="AJ418" s="680"/>
      <c r="AK418" s="680"/>
      <c r="AL418" s="680"/>
      <c r="AM418" s="680"/>
      <c r="AN418" s="680"/>
      <c r="AO418" s="680"/>
      <c r="AP418" s="680"/>
      <c r="AQ418" s="680"/>
      <c r="AR418" s="680"/>
      <c r="AS418" s="680"/>
      <c r="AT418" s="680"/>
      <c r="AU418" s="680"/>
      <c r="AV418" s="672"/>
      <c r="AW418" s="672"/>
      <c r="AX418" s="672"/>
      <c r="AY418" s="672"/>
      <c r="AZ418" s="672"/>
      <c r="BA418" s="672">
        <v>28.324999999999999</v>
      </c>
      <c r="BB418" s="672">
        <v>894.29</v>
      </c>
      <c r="BC418" s="672">
        <v>1339.693</v>
      </c>
      <c r="BD418" s="672">
        <v>1.593143</v>
      </c>
      <c r="BE418" s="672">
        <v>0.88123700000000005</v>
      </c>
      <c r="BF418" s="732">
        <v>1.7844</v>
      </c>
      <c r="BG418" s="643">
        <v>0.60023400000000005</v>
      </c>
      <c r="BH418" s="507">
        <v>4.081518</v>
      </c>
      <c r="BI418" s="463">
        <v>3.7186319999999999</v>
      </c>
      <c r="BJ418" s="472">
        <v>3.9566400000000002</v>
      </c>
      <c r="BK418" s="472">
        <v>5.0794560000000004</v>
      </c>
      <c r="BL418" s="463">
        <v>4.7</v>
      </c>
      <c r="BM418" s="509">
        <v>5</v>
      </c>
      <c r="BN418" s="509">
        <v>5.75</v>
      </c>
      <c r="BO418" s="509">
        <v>6.6130000000000004</v>
      </c>
      <c r="BP418" s="509">
        <v>7.6040000000000001</v>
      </c>
      <c r="BQ418" s="509">
        <v>8.7449999999999992</v>
      </c>
      <c r="BR418" s="509">
        <v>8.7449999999999992</v>
      </c>
      <c r="BS418" s="509">
        <v>8.7449999999999992</v>
      </c>
      <c r="BT418" s="509">
        <v>8.7449999999999992</v>
      </c>
      <c r="BU418" s="40">
        <f t="shared" si="258"/>
        <v>8.7449999999999992</v>
      </c>
      <c r="BV418" s="40">
        <f t="shared" ref="BV418:CD418" si="301">BU418</f>
        <v>8.7449999999999992</v>
      </c>
      <c r="BW418" s="40">
        <f t="shared" si="301"/>
        <v>8.7449999999999992</v>
      </c>
      <c r="BX418" s="40">
        <f t="shared" si="301"/>
        <v>8.7449999999999992</v>
      </c>
      <c r="BY418" s="40">
        <f t="shared" si="301"/>
        <v>8.7449999999999992</v>
      </c>
      <c r="BZ418" s="40">
        <f t="shared" si="301"/>
        <v>8.7449999999999992</v>
      </c>
      <c r="CA418" s="40">
        <f t="shared" si="301"/>
        <v>8.7449999999999992</v>
      </c>
      <c r="CB418" s="40">
        <f t="shared" si="301"/>
        <v>8.7449999999999992</v>
      </c>
      <c r="CC418" s="40">
        <f t="shared" si="301"/>
        <v>8.7449999999999992</v>
      </c>
      <c r="CD418" s="40">
        <f t="shared" si="301"/>
        <v>8.7449999999999992</v>
      </c>
      <c r="CE418" s="348"/>
      <c r="CF418" s="348"/>
      <c r="CG418" s="348"/>
      <c r="CI418" s="307">
        <v>4.2380599999999999</v>
      </c>
      <c r="CM418" s="509">
        <v>6.6719999999999997</v>
      </c>
    </row>
    <row r="419" spans="2:91" s="25" customFormat="1">
      <c r="B419" s="679" t="s">
        <v>390</v>
      </c>
      <c r="C419" s="680"/>
      <c r="D419" s="680"/>
      <c r="E419" s="680"/>
      <c r="F419" s="680"/>
      <c r="G419" s="680"/>
      <c r="H419" s="680"/>
      <c r="I419" s="680"/>
      <c r="J419" s="680"/>
      <c r="K419" s="680"/>
      <c r="L419" s="680"/>
      <c r="M419" s="680"/>
      <c r="N419" s="680"/>
      <c r="O419" s="680"/>
      <c r="P419" s="680"/>
      <c r="Q419" s="680"/>
      <c r="R419" s="680"/>
      <c r="S419" s="680"/>
      <c r="T419" s="680"/>
      <c r="U419" s="680"/>
      <c r="V419" s="680"/>
      <c r="W419" s="680"/>
      <c r="X419" s="680"/>
      <c r="Y419" s="680"/>
      <c r="Z419" s="680"/>
      <c r="AA419" s="680"/>
      <c r="AB419" s="680"/>
      <c r="AC419" s="680"/>
      <c r="AD419" s="680"/>
      <c r="AE419" s="680"/>
      <c r="AF419" s="680"/>
      <c r="AG419" s="680"/>
      <c r="AH419" s="680"/>
      <c r="AI419" s="680"/>
      <c r="AJ419" s="680"/>
      <c r="AK419" s="680"/>
      <c r="AL419" s="680"/>
      <c r="AM419" s="680"/>
      <c r="AN419" s="680"/>
      <c r="AO419" s="680"/>
      <c r="AP419" s="680"/>
      <c r="AQ419" s="680"/>
      <c r="AR419" s="680"/>
      <c r="AS419" s="680"/>
      <c r="AT419" s="680"/>
      <c r="AU419" s="680"/>
      <c r="AV419" s="672"/>
      <c r="AW419" s="672"/>
      <c r="AX419" s="672"/>
      <c r="AY419" s="672"/>
      <c r="AZ419" s="672"/>
      <c r="BA419" s="672">
        <v>5485.7240000000002</v>
      </c>
      <c r="BB419" s="672">
        <v>5677.4979999999996</v>
      </c>
      <c r="BC419" s="672">
        <v>9592.0249999999996</v>
      </c>
      <c r="BD419" s="672">
        <v>9.8212779999999995</v>
      </c>
      <c r="BE419" s="672">
        <v>11.622291000000001</v>
      </c>
      <c r="BF419" s="643">
        <v>13.038408</v>
      </c>
      <c r="BG419" s="643">
        <v>14.415407</v>
      </c>
      <c r="BH419" s="507">
        <v>12.779289</v>
      </c>
      <c r="BI419" s="463">
        <v>15.780481</v>
      </c>
      <c r="BJ419" s="472">
        <v>16.154340999999999</v>
      </c>
      <c r="BK419" s="472">
        <v>21.995892000000001</v>
      </c>
      <c r="BL419" s="463">
        <v>22.28</v>
      </c>
      <c r="BM419" s="509">
        <v>26</v>
      </c>
      <c r="BN419" s="509">
        <v>31.2</v>
      </c>
      <c r="BO419" s="509">
        <v>37.44</v>
      </c>
      <c r="BP419" s="509">
        <v>44.927999999999997</v>
      </c>
      <c r="BQ419" s="509">
        <v>53.914000000000001</v>
      </c>
      <c r="BR419" s="509">
        <v>53.914000000000001</v>
      </c>
      <c r="BS419" s="509">
        <v>53.914000000000001</v>
      </c>
      <c r="BT419" s="509">
        <v>53.914000000000001</v>
      </c>
      <c r="BU419" s="40">
        <f t="shared" ref="BU419:BU482" si="302">BT419</f>
        <v>53.914000000000001</v>
      </c>
      <c r="BV419" s="40">
        <f>BU419</f>
        <v>53.914000000000001</v>
      </c>
      <c r="BW419" s="40">
        <f>BV419</f>
        <v>53.914000000000001</v>
      </c>
      <c r="BX419" s="40">
        <f t="shared" ref="BV419:CD434" si="303">BW419</f>
        <v>53.914000000000001</v>
      </c>
      <c r="BY419" s="40">
        <f t="shared" si="303"/>
        <v>53.914000000000001</v>
      </c>
      <c r="BZ419" s="40">
        <f t="shared" si="303"/>
        <v>53.914000000000001</v>
      </c>
      <c r="CA419" s="40">
        <f t="shared" si="303"/>
        <v>53.914000000000001</v>
      </c>
      <c r="CB419" s="40">
        <f t="shared" si="303"/>
        <v>53.914000000000001</v>
      </c>
      <c r="CC419" s="40">
        <f t="shared" si="303"/>
        <v>53.914000000000001</v>
      </c>
      <c r="CD419" s="40">
        <f t="shared" si="303"/>
        <v>53.914000000000001</v>
      </c>
      <c r="CE419" s="348"/>
      <c r="CF419" s="348"/>
      <c r="CG419" s="348"/>
      <c r="CI419" s="423">
        <f>17.984736+7.8924019</f>
        <v>25.877137900000001</v>
      </c>
      <c r="CM419" s="509">
        <v>23.37</v>
      </c>
    </row>
    <row r="420" spans="2:91" s="25" customFormat="1">
      <c r="B420" s="679" t="s">
        <v>391</v>
      </c>
      <c r="C420" s="680"/>
      <c r="D420" s="680"/>
      <c r="E420" s="680"/>
      <c r="F420" s="680"/>
      <c r="G420" s="680"/>
      <c r="H420" s="680"/>
      <c r="I420" s="680"/>
      <c r="J420" s="680"/>
      <c r="K420" s="680"/>
      <c r="L420" s="680"/>
      <c r="M420" s="680"/>
      <c r="N420" s="680"/>
      <c r="O420" s="680"/>
      <c r="P420" s="680"/>
      <c r="Q420" s="680"/>
      <c r="R420" s="680"/>
      <c r="S420" s="680"/>
      <c r="T420" s="680"/>
      <c r="U420" s="680"/>
      <c r="V420" s="680"/>
      <c r="W420" s="680"/>
      <c r="X420" s="680"/>
      <c r="Y420" s="680"/>
      <c r="Z420" s="680"/>
      <c r="AA420" s="680"/>
      <c r="AB420" s="680"/>
      <c r="AC420" s="680"/>
      <c r="AD420" s="680"/>
      <c r="AE420" s="680"/>
      <c r="AF420" s="680"/>
      <c r="AG420" s="680"/>
      <c r="AH420" s="680"/>
      <c r="AI420" s="680"/>
      <c r="AJ420" s="680"/>
      <c r="AK420" s="680"/>
      <c r="AL420" s="680"/>
      <c r="AM420" s="680"/>
      <c r="AN420" s="680"/>
      <c r="AO420" s="680"/>
      <c r="AP420" s="680"/>
      <c r="AQ420" s="680"/>
      <c r="AR420" s="680"/>
      <c r="AS420" s="680"/>
      <c r="AT420" s="680"/>
      <c r="AU420" s="680"/>
      <c r="AV420" s="672"/>
      <c r="AW420" s="672"/>
      <c r="AX420" s="672"/>
      <c r="AY420" s="672"/>
      <c r="AZ420" s="672"/>
      <c r="BA420" s="672">
        <v>10479.877</v>
      </c>
      <c r="BB420" s="672">
        <v>10852.195</v>
      </c>
      <c r="BC420" s="672">
        <v>12932.089</v>
      </c>
      <c r="BD420" s="672">
        <v>13.744806000000001</v>
      </c>
      <c r="BE420" s="672">
        <v>14.521682</v>
      </c>
      <c r="BF420" s="732">
        <v>29.055519</v>
      </c>
      <c r="BG420" s="643">
        <v>63.274061000000003</v>
      </c>
      <c r="BH420" s="650">
        <v>65.758116999999999</v>
      </c>
      <c r="BI420" s="688">
        <v>69.857325000000003</v>
      </c>
      <c r="BJ420" s="472">
        <v>74.625439</v>
      </c>
      <c r="BK420" s="472">
        <v>88.759595000000004</v>
      </c>
      <c r="BL420" s="463">
        <v>95.79</v>
      </c>
      <c r="BM420" s="509">
        <v>125</v>
      </c>
      <c r="BN420" s="509">
        <v>137.5</v>
      </c>
      <c r="BO420" s="509">
        <v>151.25</v>
      </c>
      <c r="BP420" s="509">
        <v>166.375</v>
      </c>
      <c r="BQ420" s="509">
        <v>183.01300000000001</v>
      </c>
      <c r="BR420" s="509">
        <v>183.01300000000001</v>
      </c>
      <c r="BS420" s="509">
        <v>183.01300000000001</v>
      </c>
      <c r="BT420" s="509">
        <v>183.01300000000001</v>
      </c>
      <c r="BU420" s="40">
        <f t="shared" si="302"/>
        <v>183.01300000000001</v>
      </c>
      <c r="BV420" s="40">
        <f t="shared" si="303"/>
        <v>183.01300000000001</v>
      </c>
      <c r="BW420" s="40">
        <f t="shared" si="303"/>
        <v>183.01300000000001</v>
      </c>
      <c r="BX420" s="40">
        <f t="shared" si="303"/>
        <v>183.01300000000001</v>
      </c>
      <c r="BY420" s="40">
        <f t="shared" si="303"/>
        <v>183.01300000000001</v>
      </c>
      <c r="BZ420" s="40">
        <f t="shared" si="303"/>
        <v>183.01300000000001</v>
      </c>
      <c r="CA420" s="40">
        <f t="shared" si="303"/>
        <v>183.01300000000001</v>
      </c>
      <c r="CB420" s="40">
        <f t="shared" si="303"/>
        <v>183.01300000000001</v>
      </c>
      <c r="CC420" s="40">
        <f t="shared" si="303"/>
        <v>183.01300000000001</v>
      </c>
      <c r="CD420" s="40">
        <f t="shared" si="303"/>
        <v>183.01300000000001</v>
      </c>
      <c r="CE420" s="348"/>
      <c r="CF420" s="348"/>
      <c r="CG420" s="348"/>
      <c r="CI420" s="423">
        <f>79.615166+34.92866243</f>
        <v>114.54382843</v>
      </c>
      <c r="CM420" s="509">
        <v>119.04</v>
      </c>
    </row>
    <row r="421" spans="2:91" s="25" customFormat="1">
      <c r="B421" s="729" t="s">
        <v>480</v>
      </c>
      <c r="C421" s="728"/>
      <c r="D421" s="728"/>
      <c r="E421" s="728"/>
      <c r="F421" s="728"/>
      <c r="G421" s="728"/>
      <c r="H421" s="728"/>
      <c r="I421" s="728"/>
      <c r="J421" s="728"/>
      <c r="K421" s="728"/>
      <c r="L421" s="728"/>
      <c r="M421" s="728"/>
      <c r="N421" s="728"/>
      <c r="O421" s="728"/>
      <c r="P421" s="728"/>
      <c r="Q421" s="728"/>
      <c r="R421" s="728"/>
      <c r="S421" s="728"/>
      <c r="T421" s="728"/>
      <c r="U421" s="728"/>
      <c r="V421" s="728"/>
      <c r="W421" s="728"/>
      <c r="X421" s="728"/>
      <c r="Y421" s="728"/>
      <c r="Z421" s="728"/>
      <c r="AA421" s="728"/>
      <c r="AB421" s="728"/>
      <c r="AC421" s="728"/>
      <c r="AD421" s="728"/>
      <c r="AE421" s="728"/>
      <c r="AF421" s="728"/>
      <c r="AG421" s="728"/>
      <c r="AH421" s="728"/>
      <c r="AI421" s="728"/>
      <c r="AJ421" s="728"/>
      <c r="AK421" s="728"/>
      <c r="AL421" s="728"/>
      <c r="AM421" s="728"/>
      <c r="AN421" s="728"/>
      <c r="AO421" s="728"/>
      <c r="AP421" s="728"/>
      <c r="AQ421" s="728"/>
      <c r="AR421" s="728"/>
      <c r="AS421" s="728"/>
      <c r="AT421" s="728"/>
      <c r="AU421" s="728"/>
      <c r="AV421" s="730"/>
      <c r="AW421" s="730"/>
      <c r="AX421" s="730"/>
      <c r="AY421" s="730"/>
      <c r="AZ421" s="730"/>
      <c r="BA421" s="698">
        <v>0</v>
      </c>
      <c r="BB421" s="698">
        <v>0</v>
      </c>
      <c r="BC421" s="698"/>
      <c r="BD421" s="698"/>
      <c r="BE421" s="672">
        <v>0</v>
      </c>
      <c r="BF421" s="732">
        <v>0</v>
      </c>
      <c r="BG421" s="643">
        <v>0</v>
      </c>
      <c r="BH421" s="507">
        <v>0.32394400000000001</v>
      </c>
      <c r="BI421" s="307"/>
      <c r="BJ421" s="307"/>
      <c r="BK421" s="307"/>
      <c r="BM421" s="25">
        <v>3</v>
      </c>
      <c r="BN421" s="25">
        <v>3.15</v>
      </c>
      <c r="BO421" s="25">
        <v>3.3079999999999998</v>
      </c>
      <c r="BP421" s="276">
        <v>3.4729999999999999</v>
      </c>
      <c r="BQ421" s="276">
        <v>3.6469999999999998</v>
      </c>
      <c r="BR421" s="276">
        <v>3.6469999999999998</v>
      </c>
      <c r="BS421" s="276">
        <v>3.6469999999999998</v>
      </c>
      <c r="BT421" s="276">
        <v>3.6469999999999998</v>
      </c>
      <c r="BU421" s="40">
        <f t="shared" si="302"/>
        <v>3.6469999999999998</v>
      </c>
      <c r="BV421" s="40">
        <f t="shared" si="303"/>
        <v>3.6469999999999998</v>
      </c>
      <c r="BW421" s="40">
        <f t="shared" si="303"/>
        <v>3.6469999999999998</v>
      </c>
      <c r="BX421" s="40">
        <f t="shared" si="303"/>
        <v>3.6469999999999998</v>
      </c>
      <c r="BY421" s="40">
        <f t="shared" si="303"/>
        <v>3.6469999999999998</v>
      </c>
      <c r="BZ421" s="40">
        <f t="shared" si="303"/>
        <v>3.6469999999999998</v>
      </c>
      <c r="CA421" s="40">
        <f t="shared" si="303"/>
        <v>3.6469999999999998</v>
      </c>
      <c r="CB421" s="40">
        <f t="shared" si="303"/>
        <v>3.6469999999999998</v>
      </c>
      <c r="CC421" s="40">
        <f t="shared" si="303"/>
        <v>3.6469999999999998</v>
      </c>
      <c r="CD421" s="40">
        <f t="shared" si="303"/>
        <v>3.6469999999999998</v>
      </c>
      <c r="CE421" s="307"/>
      <c r="CF421" s="307"/>
      <c r="CG421" s="307"/>
      <c r="CI421" s="307"/>
      <c r="CM421" s="25">
        <v>2.4</v>
      </c>
    </row>
    <row r="422" spans="2:91" s="25" customFormat="1">
      <c r="B422" s="729" t="s">
        <v>481</v>
      </c>
      <c r="C422" s="728"/>
      <c r="D422" s="728"/>
      <c r="E422" s="728"/>
      <c r="F422" s="728"/>
      <c r="G422" s="728"/>
      <c r="H422" s="728"/>
      <c r="I422" s="728"/>
      <c r="J422" s="728"/>
      <c r="K422" s="728"/>
      <c r="L422" s="728"/>
      <c r="M422" s="728"/>
      <c r="N422" s="728"/>
      <c r="O422" s="728"/>
      <c r="P422" s="728"/>
      <c r="Q422" s="728"/>
      <c r="R422" s="728"/>
      <c r="S422" s="728"/>
      <c r="T422" s="728"/>
      <c r="U422" s="728"/>
      <c r="V422" s="728"/>
      <c r="W422" s="728"/>
      <c r="X422" s="728"/>
      <c r="Y422" s="728"/>
      <c r="Z422" s="728"/>
      <c r="AA422" s="728"/>
      <c r="AB422" s="728"/>
      <c r="AC422" s="728"/>
      <c r="AD422" s="728"/>
      <c r="AE422" s="728"/>
      <c r="AF422" s="728"/>
      <c r="AG422" s="728"/>
      <c r="AH422" s="728"/>
      <c r="AI422" s="728"/>
      <c r="AJ422" s="728"/>
      <c r="AK422" s="728"/>
      <c r="AL422" s="728"/>
      <c r="AM422" s="728"/>
      <c r="AN422" s="728"/>
      <c r="AO422" s="728"/>
      <c r="AP422" s="728"/>
      <c r="AQ422" s="728"/>
      <c r="AR422" s="728"/>
      <c r="AS422" s="728"/>
      <c r="AT422" s="728"/>
      <c r="AU422" s="728"/>
      <c r="AV422" s="730"/>
      <c r="AW422" s="730"/>
      <c r="AX422" s="730"/>
      <c r="AY422" s="730"/>
      <c r="AZ422" s="730"/>
      <c r="BA422" s="698">
        <v>1340.5940000000001</v>
      </c>
      <c r="BB422" s="698">
        <v>4595.8450000000003</v>
      </c>
      <c r="BC422" s="698">
        <v>2739.451</v>
      </c>
      <c r="BD422" s="698">
        <v>3.799588</v>
      </c>
      <c r="BE422" s="672">
        <v>3.0766770000000001</v>
      </c>
      <c r="BF422" s="732">
        <v>3.81046</v>
      </c>
      <c r="BG422" s="643">
        <v>3.9061050000000002</v>
      </c>
      <c r="BH422" s="507">
        <v>3.5912860000000002</v>
      </c>
      <c r="BI422" s="307">
        <v>2.198032</v>
      </c>
      <c r="BJ422" s="307"/>
      <c r="BK422" s="307"/>
      <c r="BM422" s="25">
        <v>2.841383</v>
      </c>
      <c r="BN422" s="25">
        <v>3.0349089999999999</v>
      </c>
      <c r="BO422" s="25">
        <v>3.279128</v>
      </c>
      <c r="BP422" s="276"/>
      <c r="BQ422" s="276"/>
      <c r="BR422" s="276"/>
      <c r="BS422" s="276"/>
      <c r="BT422" s="276"/>
      <c r="BU422" s="40">
        <f t="shared" si="302"/>
        <v>0</v>
      </c>
      <c r="BV422" s="40">
        <f t="shared" si="303"/>
        <v>0</v>
      </c>
      <c r="BW422" s="40">
        <f t="shared" si="303"/>
        <v>0</v>
      </c>
      <c r="BX422" s="40">
        <f t="shared" si="303"/>
        <v>0</v>
      </c>
      <c r="BY422" s="40">
        <f t="shared" si="303"/>
        <v>0</v>
      </c>
      <c r="BZ422" s="40">
        <f t="shared" si="303"/>
        <v>0</v>
      </c>
      <c r="CA422" s="40">
        <f t="shared" si="303"/>
        <v>0</v>
      </c>
      <c r="CB422" s="40">
        <f t="shared" si="303"/>
        <v>0</v>
      </c>
      <c r="CC422" s="40">
        <f t="shared" si="303"/>
        <v>0</v>
      </c>
      <c r="CD422" s="40">
        <f t="shared" si="303"/>
        <v>0</v>
      </c>
      <c r="CE422" s="307"/>
      <c r="CF422" s="307"/>
      <c r="CG422" s="307"/>
      <c r="CI422" s="307">
        <v>2.505058</v>
      </c>
      <c r="CM422" s="25">
        <v>2.6601970000000001</v>
      </c>
    </row>
    <row r="423" spans="2:91" s="25" customFormat="1">
      <c r="B423" s="729" t="s">
        <v>3800</v>
      </c>
      <c r="C423" s="728"/>
      <c r="D423" s="728"/>
      <c r="E423" s="728"/>
      <c r="F423" s="728"/>
      <c r="G423" s="728"/>
      <c r="H423" s="728"/>
      <c r="I423" s="728"/>
      <c r="J423" s="728"/>
      <c r="K423" s="728"/>
      <c r="L423" s="728"/>
      <c r="M423" s="728"/>
      <c r="N423" s="728"/>
      <c r="O423" s="728"/>
      <c r="P423" s="728"/>
      <c r="Q423" s="728"/>
      <c r="R423" s="728"/>
      <c r="S423" s="728"/>
      <c r="T423" s="728"/>
      <c r="U423" s="728"/>
      <c r="V423" s="728"/>
      <c r="W423" s="728"/>
      <c r="X423" s="728"/>
      <c r="Y423" s="728"/>
      <c r="Z423" s="728"/>
      <c r="AA423" s="728"/>
      <c r="AB423" s="728"/>
      <c r="AC423" s="728"/>
      <c r="AD423" s="728"/>
      <c r="AE423" s="728"/>
      <c r="AF423" s="728"/>
      <c r="AG423" s="728"/>
      <c r="AH423" s="728"/>
      <c r="AI423" s="728"/>
      <c r="AJ423" s="728"/>
      <c r="AK423" s="728"/>
      <c r="AL423" s="728"/>
      <c r="AM423" s="728"/>
      <c r="AN423" s="728"/>
      <c r="AO423" s="728"/>
      <c r="AP423" s="728"/>
      <c r="AQ423" s="728"/>
      <c r="AR423" s="728"/>
      <c r="AS423" s="728"/>
      <c r="AT423" s="728"/>
      <c r="AU423" s="728"/>
      <c r="AV423" s="730"/>
      <c r="AW423" s="730"/>
      <c r="AX423" s="730"/>
      <c r="AY423" s="730"/>
      <c r="AZ423" s="730"/>
      <c r="BA423" s="698">
        <v>1.9950000000000001</v>
      </c>
      <c r="BB423" s="698">
        <v>4.2910000000000004</v>
      </c>
      <c r="BC423" s="698">
        <v>7.9180000000000001</v>
      </c>
      <c r="BD423" s="698">
        <v>5.587E-3</v>
      </c>
      <c r="BE423" s="672">
        <v>2.4190000000000001E-3</v>
      </c>
      <c r="BF423" s="732">
        <v>1.9040000000000001E-3</v>
      </c>
      <c r="BG423" s="643">
        <v>2.7E-4</v>
      </c>
      <c r="BH423" s="507">
        <v>2.1699999999999999E-4</v>
      </c>
      <c r="BI423" s="507">
        <v>2.9300000000000002E-4</v>
      </c>
      <c r="BJ423" s="307"/>
      <c r="BK423" s="307"/>
      <c r="BP423" s="276"/>
      <c r="BQ423" s="276"/>
      <c r="BR423" s="276"/>
      <c r="BS423" s="276"/>
      <c r="BT423" s="276"/>
      <c r="BU423" s="40">
        <f t="shared" si="302"/>
        <v>0</v>
      </c>
      <c r="BV423" s="40">
        <f t="shared" si="303"/>
        <v>0</v>
      </c>
      <c r="BW423" s="40">
        <f t="shared" si="303"/>
        <v>0</v>
      </c>
      <c r="BX423" s="40">
        <f t="shared" si="303"/>
        <v>0</v>
      </c>
      <c r="BY423" s="40">
        <f t="shared" si="303"/>
        <v>0</v>
      </c>
      <c r="BZ423" s="40">
        <f t="shared" si="303"/>
        <v>0</v>
      </c>
      <c r="CA423" s="40">
        <f t="shared" si="303"/>
        <v>0</v>
      </c>
      <c r="CB423" s="40">
        <f t="shared" si="303"/>
        <v>0</v>
      </c>
      <c r="CC423" s="40">
        <f t="shared" si="303"/>
        <v>0</v>
      </c>
      <c r="CD423" s="40">
        <f t="shared" si="303"/>
        <v>0</v>
      </c>
      <c r="CE423" s="307"/>
      <c r="CF423" s="307"/>
      <c r="CG423" s="307"/>
      <c r="CI423" s="307"/>
    </row>
    <row r="424" spans="2:91" s="25" customFormat="1">
      <c r="B424" s="679" t="s">
        <v>3797</v>
      </c>
      <c r="C424" s="680"/>
      <c r="D424" s="680"/>
      <c r="E424" s="680"/>
      <c r="F424" s="680"/>
      <c r="G424" s="680"/>
      <c r="H424" s="680"/>
      <c r="I424" s="680"/>
      <c r="J424" s="680"/>
      <c r="K424" s="680"/>
      <c r="L424" s="680"/>
      <c r="M424" s="680"/>
      <c r="N424" s="680"/>
      <c r="O424" s="680"/>
      <c r="P424" s="680"/>
      <c r="Q424" s="680"/>
      <c r="R424" s="680"/>
      <c r="S424" s="680"/>
      <c r="T424" s="680"/>
      <c r="U424" s="680"/>
      <c r="V424" s="680"/>
      <c r="W424" s="680"/>
      <c r="X424" s="680"/>
      <c r="Y424" s="680"/>
      <c r="Z424" s="680"/>
      <c r="AA424" s="680"/>
      <c r="AB424" s="680"/>
      <c r="AC424" s="680"/>
      <c r="AD424" s="680"/>
      <c r="AE424" s="680"/>
      <c r="AF424" s="680"/>
      <c r="AG424" s="680"/>
      <c r="AH424" s="680"/>
      <c r="AI424" s="680"/>
      <c r="AJ424" s="680"/>
      <c r="AK424" s="680"/>
      <c r="AL424" s="680"/>
      <c r="AM424" s="680"/>
      <c r="AN424" s="680"/>
      <c r="AO424" s="680"/>
      <c r="AP424" s="680"/>
      <c r="AQ424" s="680"/>
      <c r="AR424" s="680"/>
      <c r="AS424" s="680"/>
      <c r="AT424" s="680"/>
      <c r="AU424" s="680"/>
      <c r="AV424" s="672"/>
      <c r="AW424" s="672"/>
      <c r="AX424" s="672"/>
      <c r="AY424" s="672"/>
      <c r="AZ424" s="672"/>
      <c r="BA424" s="672">
        <v>44203.713000000003</v>
      </c>
      <c r="BB424" s="672">
        <v>55899.057999999997</v>
      </c>
      <c r="BC424" s="672">
        <v>77237.694000000003</v>
      </c>
      <c r="BD424" s="672">
        <v>46.462569999999999</v>
      </c>
      <c r="BE424" s="672">
        <v>15.438442</v>
      </c>
      <c r="BF424" s="732">
        <v>133.56262000000001</v>
      </c>
      <c r="BG424" s="643">
        <v>168.75989200000001</v>
      </c>
      <c r="BH424" s="650">
        <v>171.222858</v>
      </c>
      <c r="BI424" s="463">
        <v>200.12360200000001</v>
      </c>
      <c r="BJ424" s="472">
        <v>209.79286200000001</v>
      </c>
      <c r="BK424" s="472">
        <v>404.522784</v>
      </c>
      <c r="BL424" s="463">
        <v>434.29</v>
      </c>
      <c r="BM424" s="509">
        <v>435</v>
      </c>
      <c r="BN424" s="509">
        <v>522</v>
      </c>
      <c r="BO424" s="509">
        <v>626.4</v>
      </c>
      <c r="BP424" s="509">
        <v>751.68</v>
      </c>
      <c r="BQ424" s="509">
        <v>902.01599999999996</v>
      </c>
      <c r="BR424" s="509">
        <v>902.01599999999996</v>
      </c>
      <c r="BS424" s="509">
        <v>902.01599999999996</v>
      </c>
      <c r="BT424" s="509">
        <v>902.01599999999996</v>
      </c>
      <c r="BU424" s="40">
        <f t="shared" si="302"/>
        <v>902.01599999999996</v>
      </c>
      <c r="BV424" s="40">
        <f t="shared" si="303"/>
        <v>902.01599999999996</v>
      </c>
      <c r="BW424" s="40">
        <f t="shared" si="303"/>
        <v>902.01599999999996</v>
      </c>
      <c r="BX424" s="40">
        <f t="shared" si="303"/>
        <v>902.01599999999996</v>
      </c>
      <c r="BY424" s="40">
        <f t="shared" si="303"/>
        <v>902.01599999999996</v>
      </c>
      <c r="BZ424" s="40">
        <f t="shared" si="303"/>
        <v>902.01599999999996</v>
      </c>
      <c r="CA424" s="40">
        <f t="shared" si="303"/>
        <v>902.01599999999996</v>
      </c>
      <c r="CB424" s="40">
        <f t="shared" si="303"/>
        <v>902.01599999999996</v>
      </c>
      <c r="CC424" s="40">
        <f t="shared" si="303"/>
        <v>902.01599999999996</v>
      </c>
      <c r="CD424" s="40">
        <f t="shared" si="303"/>
        <v>902.01599999999996</v>
      </c>
      <c r="CE424" s="348"/>
      <c r="CF424" s="348"/>
      <c r="CG424" s="348"/>
      <c r="CI424" s="307">
        <v>228.07735400000001</v>
      </c>
      <c r="CM424" s="509">
        <v>396.26</v>
      </c>
    </row>
    <row r="425" spans="2:91" s="25" customFormat="1">
      <c r="B425" s="679" t="s">
        <v>3755</v>
      </c>
      <c r="C425" s="680"/>
      <c r="D425" s="680"/>
      <c r="E425" s="680"/>
      <c r="F425" s="680"/>
      <c r="G425" s="680"/>
      <c r="H425" s="680"/>
      <c r="I425" s="680"/>
      <c r="J425" s="680"/>
      <c r="K425" s="680"/>
      <c r="L425" s="680"/>
      <c r="M425" s="680"/>
      <c r="N425" s="680"/>
      <c r="O425" s="680"/>
      <c r="P425" s="680"/>
      <c r="Q425" s="680"/>
      <c r="R425" s="680"/>
      <c r="S425" s="680"/>
      <c r="T425" s="680"/>
      <c r="U425" s="680"/>
      <c r="V425" s="680"/>
      <c r="W425" s="680"/>
      <c r="X425" s="680"/>
      <c r="Y425" s="680"/>
      <c r="Z425" s="680"/>
      <c r="AA425" s="680"/>
      <c r="AB425" s="680"/>
      <c r="AC425" s="680"/>
      <c r="AD425" s="680"/>
      <c r="AE425" s="680"/>
      <c r="AF425" s="680"/>
      <c r="AG425" s="680"/>
      <c r="AH425" s="680"/>
      <c r="AI425" s="680"/>
      <c r="AJ425" s="680"/>
      <c r="AK425" s="680"/>
      <c r="AL425" s="680"/>
      <c r="AM425" s="680"/>
      <c r="AN425" s="680"/>
      <c r="AO425" s="680"/>
      <c r="AP425" s="680"/>
      <c r="AQ425" s="680"/>
      <c r="AR425" s="680"/>
      <c r="AS425" s="680"/>
      <c r="AT425" s="680"/>
      <c r="AU425" s="680"/>
      <c r="AV425" s="672"/>
      <c r="AW425" s="672"/>
      <c r="AX425" s="672"/>
      <c r="AY425" s="672"/>
      <c r="AZ425" s="672"/>
      <c r="BA425" s="672"/>
      <c r="BB425" s="672"/>
      <c r="BC425" s="672"/>
      <c r="BD425" s="672"/>
      <c r="BE425" s="672"/>
      <c r="BF425" s="732"/>
      <c r="BG425" s="643"/>
      <c r="BH425" s="650"/>
      <c r="BI425" s="463"/>
      <c r="BJ425" s="472">
        <f t="shared" ref="BJ425:BQ425" si="304">BJ426+BJ427</f>
        <v>334.959135</v>
      </c>
      <c r="BK425" s="307">
        <f t="shared" si="304"/>
        <v>600.48683400000004</v>
      </c>
      <c r="BL425" s="307">
        <f t="shared" si="304"/>
        <v>690.1</v>
      </c>
      <c r="BM425" s="307">
        <f t="shared" si="304"/>
        <v>731.94436958614051</v>
      </c>
      <c r="BN425" s="307">
        <f t="shared" si="304"/>
        <v>853.5</v>
      </c>
      <c r="BO425" s="307">
        <f t="shared" si="304"/>
        <v>928.5</v>
      </c>
      <c r="BP425" s="307">
        <f t="shared" si="304"/>
        <v>1003.5</v>
      </c>
      <c r="BQ425" s="307">
        <f t="shared" si="304"/>
        <v>1078.5</v>
      </c>
      <c r="BR425" s="307">
        <f>BR426+BR427</f>
        <v>1078.5</v>
      </c>
      <c r="BS425" s="307">
        <f>BS426+BS427</f>
        <v>1078.5</v>
      </c>
      <c r="BT425" s="307">
        <f>BT426+BT427</f>
        <v>1078.5</v>
      </c>
      <c r="BU425" s="40">
        <f t="shared" si="302"/>
        <v>1078.5</v>
      </c>
      <c r="BV425" s="40">
        <f t="shared" si="303"/>
        <v>1078.5</v>
      </c>
      <c r="BW425" s="40">
        <f t="shared" si="303"/>
        <v>1078.5</v>
      </c>
      <c r="BX425" s="40">
        <f t="shared" si="303"/>
        <v>1078.5</v>
      </c>
      <c r="BY425" s="40">
        <f t="shared" si="303"/>
        <v>1078.5</v>
      </c>
      <c r="BZ425" s="40">
        <f t="shared" si="303"/>
        <v>1078.5</v>
      </c>
      <c r="CA425" s="40">
        <f t="shared" si="303"/>
        <v>1078.5</v>
      </c>
      <c r="CB425" s="40">
        <f t="shared" si="303"/>
        <v>1078.5</v>
      </c>
      <c r="CC425" s="40">
        <f t="shared" si="303"/>
        <v>1078.5</v>
      </c>
      <c r="CD425" s="40">
        <f t="shared" si="303"/>
        <v>1078.5</v>
      </c>
      <c r="CE425" s="348"/>
      <c r="CF425" s="348"/>
      <c r="CG425" s="348"/>
      <c r="CI425" s="307"/>
      <c r="CM425" s="307">
        <f>CM426+CM427</f>
        <v>430</v>
      </c>
    </row>
    <row r="426" spans="2:91" s="25" customFormat="1">
      <c r="B426" s="99" t="s">
        <v>4608</v>
      </c>
      <c r="C426" s="679"/>
      <c r="D426" s="679"/>
      <c r="E426" s="679"/>
      <c r="F426" s="679"/>
      <c r="G426" s="679"/>
      <c r="H426" s="679"/>
      <c r="I426" s="679"/>
      <c r="J426" s="679"/>
      <c r="K426" s="679"/>
      <c r="L426" s="679"/>
      <c r="M426" s="679"/>
      <c r="N426" s="679"/>
      <c r="O426" s="679"/>
      <c r="P426" s="679"/>
      <c r="Q426" s="679"/>
      <c r="R426" s="679"/>
      <c r="S426" s="679"/>
      <c r="T426" s="679"/>
      <c r="U426" s="679"/>
      <c r="V426" s="679"/>
      <c r="W426" s="679"/>
      <c r="X426" s="679"/>
      <c r="Y426" s="679"/>
      <c r="Z426" s="679"/>
      <c r="AA426" s="679"/>
      <c r="AB426" s="679"/>
      <c r="AC426" s="679"/>
      <c r="AD426" s="679"/>
      <c r="AE426" s="679"/>
      <c r="AF426" s="679"/>
      <c r="AG426" s="679"/>
      <c r="AH426" s="679"/>
      <c r="AI426" s="679"/>
      <c r="AJ426" s="679"/>
      <c r="AK426" s="679"/>
      <c r="AL426" s="679"/>
      <c r="AM426" s="679"/>
      <c r="AN426" s="679"/>
      <c r="AO426" s="679"/>
      <c r="AP426" s="679"/>
      <c r="AQ426" s="679"/>
      <c r="AR426" s="679"/>
      <c r="AS426" s="679"/>
      <c r="AT426" s="679"/>
      <c r="AU426" s="679"/>
      <c r="AV426" s="698">
        <f t="shared" ref="AV426:BC426" si="305">AV453</f>
        <v>0</v>
      </c>
      <c r="AW426" s="698">
        <f t="shared" si="305"/>
        <v>0</v>
      </c>
      <c r="AX426" s="698">
        <f t="shared" si="305"/>
        <v>0</v>
      </c>
      <c r="AY426" s="698">
        <f t="shared" si="305"/>
        <v>0</v>
      </c>
      <c r="AZ426" s="698">
        <f t="shared" si="305"/>
        <v>0</v>
      </c>
      <c r="BA426" s="698">
        <f t="shared" si="305"/>
        <v>50989.488999999994</v>
      </c>
      <c r="BB426" s="698">
        <f t="shared" si="305"/>
        <v>57648.77</v>
      </c>
      <c r="BC426" s="698">
        <f t="shared" si="305"/>
        <v>97717.900999999998</v>
      </c>
      <c r="BD426" s="698">
        <f>BD453</f>
        <v>116.62951200000001</v>
      </c>
      <c r="BE426" s="698">
        <f>BE453</f>
        <v>139.65088299999999</v>
      </c>
      <c r="BF426" s="698">
        <f>BF453</f>
        <v>146.93851799999999</v>
      </c>
      <c r="BG426" s="698">
        <v>169.765244</v>
      </c>
      <c r="BH426" s="733">
        <v>205.35852399999999</v>
      </c>
      <c r="BI426" s="423">
        <v>210.665637</v>
      </c>
      <c r="BJ426" s="472">
        <v>215.86030877000002</v>
      </c>
      <c r="BK426" s="475">
        <v>445.56142399999999</v>
      </c>
      <c r="BL426" s="508">
        <v>496.57</v>
      </c>
      <c r="BM426" s="239">
        <f>BL426*1102/1039</f>
        <v>526.67963426371512</v>
      </c>
      <c r="BN426" s="509">
        <v>0</v>
      </c>
      <c r="BO426" s="509">
        <v>0</v>
      </c>
      <c r="BP426" s="509">
        <v>0</v>
      </c>
      <c r="BQ426" s="509">
        <v>0</v>
      </c>
      <c r="BR426" s="509">
        <v>0</v>
      </c>
      <c r="BS426" s="509">
        <v>0</v>
      </c>
      <c r="BT426" s="509">
        <v>0</v>
      </c>
      <c r="BU426" s="40">
        <f t="shared" si="302"/>
        <v>0</v>
      </c>
      <c r="BV426" s="40">
        <f t="shared" si="303"/>
        <v>0</v>
      </c>
      <c r="BW426" s="40">
        <f t="shared" si="303"/>
        <v>0</v>
      </c>
      <c r="BX426" s="40">
        <f t="shared" si="303"/>
        <v>0</v>
      </c>
      <c r="BY426" s="40">
        <f t="shared" si="303"/>
        <v>0</v>
      </c>
      <c r="BZ426" s="40">
        <f t="shared" si="303"/>
        <v>0</v>
      </c>
      <c r="CA426" s="40">
        <f t="shared" si="303"/>
        <v>0</v>
      </c>
      <c r="CB426" s="40">
        <f t="shared" si="303"/>
        <v>0</v>
      </c>
      <c r="CC426" s="40">
        <f t="shared" si="303"/>
        <v>0</v>
      </c>
      <c r="CD426" s="40">
        <f t="shared" si="303"/>
        <v>0</v>
      </c>
      <c r="CE426" s="348"/>
      <c r="CF426" s="348"/>
      <c r="CG426" s="348"/>
      <c r="CI426" s="423">
        <f>CI453</f>
        <v>104.18499850000001</v>
      </c>
      <c r="CM426" s="509">
        <v>430</v>
      </c>
    </row>
    <row r="427" spans="2:91" s="25" customFormat="1">
      <c r="B427" s="99" t="s">
        <v>536</v>
      </c>
      <c r="C427" s="679"/>
      <c r="D427" s="679"/>
      <c r="E427" s="679"/>
      <c r="F427" s="679"/>
      <c r="G427" s="679"/>
      <c r="H427" s="679"/>
      <c r="I427" s="679"/>
      <c r="J427" s="679"/>
      <c r="K427" s="679"/>
      <c r="L427" s="679"/>
      <c r="M427" s="679"/>
      <c r="N427" s="679"/>
      <c r="O427" s="679"/>
      <c r="P427" s="679"/>
      <c r="Q427" s="679"/>
      <c r="R427" s="679"/>
      <c r="S427" s="679"/>
      <c r="T427" s="679"/>
      <c r="U427" s="679"/>
      <c r="V427" s="679"/>
      <c r="W427" s="679"/>
      <c r="X427" s="679"/>
      <c r="Y427" s="679"/>
      <c r="Z427" s="679"/>
      <c r="AA427" s="679"/>
      <c r="AB427" s="679"/>
      <c r="AC427" s="679"/>
      <c r="AD427" s="679"/>
      <c r="AE427" s="679"/>
      <c r="AF427" s="679"/>
      <c r="AG427" s="679"/>
      <c r="AH427" s="679"/>
      <c r="AI427" s="679"/>
      <c r="AJ427" s="679"/>
      <c r="AK427" s="679"/>
      <c r="AL427" s="679"/>
      <c r="AM427" s="679"/>
      <c r="AN427" s="679"/>
      <c r="AO427" s="679"/>
      <c r="AP427" s="679"/>
      <c r="AQ427" s="679"/>
      <c r="AR427" s="679"/>
      <c r="AS427" s="679"/>
      <c r="AT427" s="679"/>
      <c r="AU427" s="679"/>
      <c r="AV427" s="698"/>
      <c r="AW427" s="698"/>
      <c r="AX427" s="698"/>
      <c r="AY427" s="698"/>
      <c r="AZ427" s="698"/>
      <c r="BA427" s="698"/>
      <c r="BB427" s="698"/>
      <c r="BC427" s="698"/>
      <c r="BD427" s="698"/>
      <c r="BE427" s="698"/>
      <c r="BF427" s="462"/>
      <c r="BG427" s="462"/>
      <c r="BH427" s="734"/>
      <c r="BI427" s="507"/>
      <c r="BJ427" s="472">
        <v>119.09882623</v>
      </c>
      <c r="BK427" s="510">
        <f>BK368</f>
        <v>154.92541</v>
      </c>
      <c r="BL427" s="510">
        <f>BL368</f>
        <v>193.53</v>
      </c>
      <c r="BM427" s="239">
        <f>BL427*1102/1039</f>
        <v>205.26473532242539</v>
      </c>
      <c r="BN427" s="509">
        <v>853.5</v>
      </c>
      <c r="BO427" s="509">
        <v>928.5</v>
      </c>
      <c r="BP427" s="509">
        <v>1003.5</v>
      </c>
      <c r="BQ427" s="509">
        <v>1078.5</v>
      </c>
      <c r="BR427" s="509">
        <v>1078.5</v>
      </c>
      <c r="BS427" s="509">
        <v>1078.5</v>
      </c>
      <c r="BT427" s="509">
        <v>1078.5</v>
      </c>
      <c r="BU427" s="40">
        <f t="shared" si="302"/>
        <v>1078.5</v>
      </c>
      <c r="BV427" s="40">
        <f t="shared" si="303"/>
        <v>1078.5</v>
      </c>
      <c r="BW427" s="40">
        <f t="shared" si="303"/>
        <v>1078.5</v>
      </c>
      <c r="BX427" s="40">
        <f t="shared" si="303"/>
        <v>1078.5</v>
      </c>
      <c r="BY427" s="40">
        <f t="shared" si="303"/>
        <v>1078.5</v>
      </c>
      <c r="BZ427" s="40">
        <f t="shared" si="303"/>
        <v>1078.5</v>
      </c>
      <c r="CA427" s="40">
        <f t="shared" si="303"/>
        <v>1078.5</v>
      </c>
      <c r="CB427" s="40">
        <f t="shared" si="303"/>
        <v>1078.5</v>
      </c>
      <c r="CC427" s="40">
        <f t="shared" si="303"/>
        <v>1078.5</v>
      </c>
      <c r="CD427" s="40">
        <f t="shared" si="303"/>
        <v>1078.5</v>
      </c>
      <c r="CE427" s="348"/>
      <c r="CF427" s="348"/>
      <c r="CG427" s="348"/>
      <c r="CI427" s="423"/>
    </row>
    <row r="428" spans="2:91" s="25" customFormat="1">
      <c r="B428" s="679" t="s">
        <v>3798</v>
      </c>
      <c r="C428" s="679"/>
      <c r="D428" s="679"/>
      <c r="E428" s="679"/>
      <c r="F428" s="679"/>
      <c r="G428" s="679"/>
      <c r="H428" s="679"/>
      <c r="I428" s="679"/>
      <c r="J428" s="679"/>
      <c r="K428" s="679"/>
      <c r="L428" s="679"/>
      <c r="M428" s="679"/>
      <c r="N428" s="679"/>
      <c r="O428" s="679"/>
      <c r="P428" s="679"/>
      <c r="Q428" s="679"/>
      <c r="R428" s="679"/>
      <c r="S428" s="679"/>
      <c r="T428" s="679"/>
      <c r="U428" s="679"/>
      <c r="V428" s="679"/>
      <c r="W428" s="679"/>
      <c r="X428" s="679"/>
      <c r="Y428" s="679"/>
      <c r="Z428" s="679"/>
      <c r="AA428" s="679"/>
      <c r="AB428" s="679"/>
      <c r="AC428" s="679"/>
      <c r="AD428" s="679"/>
      <c r="AE428" s="679"/>
      <c r="AF428" s="679"/>
      <c r="AG428" s="679"/>
      <c r="AH428" s="679"/>
      <c r="AI428" s="679"/>
      <c r="AJ428" s="679"/>
      <c r="AK428" s="679"/>
      <c r="AL428" s="679"/>
      <c r="AM428" s="679"/>
      <c r="AN428" s="679"/>
      <c r="AO428" s="679"/>
      <c r="AP428" s="679"/>
      <c r="AQ428" s="679"/>
      <c r="AR428" s="679"/>
      <c r="AS428" s="679"/>
      <c r="AT428" s="679"/>
      <c r="AU428" s="679"/>
      <c r="AV428" s="698"/>
      <c r="AW428" s="698"/>
      <c r="AX428" s="698"/>
      <c r="AY428" s="698"/>
      <c r="AZ428" s="698"/>
      <c r="BA428" s="698"/>
      <c r="BB428" s="698"/>
      <c r="BC428" s="698"/>
      <c r="BD428" s="698"/>
      <c r="BE428" s="698"/>
      <c r="BF428" s="462"/>
      <c r="BG428" s="462"/>
      <c r="BH428" s="734"/>
      <c r="BI428" s="507"/>
      <c r="BJ428" s="423"/>
      <c r="BK428" s="423"/>
      <c r="BP428" s="276"/>
      <c r="BQ428" s="276"/>
      <c r="BR428" s="276"/>
      <c r="BS428" s="276"/>
      <c r="BT428" s="276"/>
      <c r="BU428" s="40">
        <f t="shared" si="302"/>
        <v>0</v>
      </c>
      <c r="BV428" s="40">
        <f t="shared" si="303"/>
        <v>0</v>
      </c>
      <c r="BW428" s="40">
        <f t="shared" si="303"/>
        <v>0</v>
      </c>
      <c r="BX428" s="40">
        <f t="shared" si="303"/>
        <v>0</v>
      </c>
      <c r="BY428" s="40">
        <f t="shared" si="303"/>
        <v>0</v>
      </c>
      <c r="BZ428" s="40">
        <f t="shared" si="303"/>
        <v>0</v>
      </c>
      <c r="CA428" s="40">
        <f t="shared" si="303"/>
        <v>0</v>
      </c>
      <c r="CB428" s="40">
        <f t="shared" si="303"/>
        <v>0</v>
      </c>
      <c r="CC428" s="40">
        <f t="shared" si="303"/>
        <v>0</v>
      </c>
      <c r="CD428" s="40">
        <f t="shared" si="303"/>
        <v>0</v>
      </c>
      <c r="CE428" s="348"/>
      <c r="CF428" s="348"/>
      <c r="CG428" s="348"/>
      <c r="CI428" s="423"/>
    </row>
    <row r="429" spans="2:91" s="25" customFormat="1">
      <c r="B429" s="735" t="s">
        <v>3822</v>
      </c>
      <c r="C429" s="714"/>
      <c r="D429" s="714"/>
      <c r="E429" s="714"/>
      <c r="F429" s="714"/>
      <c r="G429" s="714"/>
      <c r="H429" s="714"/>
      <c r="I429" s="714"/>
      <c r="J429" s="714"/>
      <c r="K429" s="714"/>
      <c r="L429" s="714"/>
      <c r="M429" s="714"/>
      <c r="N429" s="714"/>
      <c r="O429" s="714"/>
      <c r="P429" s="714"/>
      <c r="Q429" s="714"/>
      <c r="R429" s="714"/>
      <c r="S429" s="714"/>
      <c r="T429" s="714"/>
      <c r="U429" s="714"/>
      <c r="V429" s="714"/>
      <c r="W429" s="714"/>
      <c r="X429" s="714"/>
      <c r="Y429" s="714"/>
      <c r="Z429" s="714"/>
      <c r="AA429" s="714"/>
      <c r="AB429" s="714"/>
      <c r="AC429" s="714"/>
      <c r="AD429" s="714"/>
      <c r="AE429" s="714"/>
      <c r="AF429" s="714"/>
      <c r="AG429" s="714"/>
      <c r="AH429" s="714"/>
      <c r="AI429" s="714"/>
      <c r="AJ429" s="714"/>
      <c r="AK429" s="714"/>
      <c r="AL429" s="714"/>
      <c r="AM429" s="714"/>
      <c r="AN429" s="714"/>
      <c r="AO429" s="714"/>
      <c r="AP429" s="714"/>
      <c r="AQ429" s="714"/>
      <c r="AR429" s="714"/>
      <c r="AS429" s="714"/>
      <c r="AT429" s="714"/>
      <c r="AU429" s="714"/>
      <c r="AV429" s="715"/>
      <c r="AW429" s="715"/>
      <c r="AX429" s="715"/>
      <c r="AY429" s="715"/>
      <c r="AZ429" s="715"/>
      <c r="BA429" s="715"/>
      <c r="BB429" s="672"/>
      <c r="BC429" s="698"/>
      <c r="BD429" s="698"/>
      <c r="BE429" s="698"/>
      <c r="BF429" s="461"/>
      <c r="BG429" s="461"/>
      <c r="BH429" s="507"/>
      <c r="BI429" s="507"/>
      <c r="BJ429" s="736"/>
      <c r="BK429" s="307">
        <v>11.326670999999999</v>
      </c>
      <c r="BL429" s="463">
        <f>BL373</f>
        <v>2.73</v>
      </c>
      <c r="BM429" s="307"/>
      <c r="BN429" s="307"/>
      <c r="BO429" s="307"/>
      <c r="BP429" s="307"/>
      <c r="BQ429" s="307"/>
      <c r="BR429" s="307"/>
      <c r="BS429" s="307"/>
      <c r="BT429" s="307"/>
      <c r="BU429" s="40">
        <f t="shared" si="302"/>
        <v>0</v>
      </c>
      <c r="BV429" s="40">
        <f t="shared" si="303"/>
        <v>0</v>
      </c>
      <c r="BW429" s="40">
        <f t="shared" si="303"/>
        <v>0</v>
      </c>
      <c r="BX429" s="40">
        <f t="shared" si="303"/>
        <v>0</v>
      </c>
      <c r="BY429" s="40">
        <f t="shared" si="303"/>
        <v>0</v>
      </c>
      <c r="BZ429" s="40">
        <f t="shared" si="303"/>
        <v>0</v>
      </c>
      <c r="CA429" s="40">
        <f t="shared" si="303"/>
        <v>0</v>
      </c>
      <c r="CB429" s="40">
        <f t="shared" si="303"/>
        <v>0</v>
      </c>
      <c r="CC429" s="40">
        <f t="shared" si="303"/>
        <v>0</v>
      </c>
      <c r="CD429" s="40">
        <f t="shared" si="303"/>
        <v>0</v>
      </c>
      <c r="CE429" s="307"/>
      <c r="CF429" s="307"/>
      <c r="CG429" s="307"/>
      <c r="CM429" s="307"/>
    </row>
    <row r="430" spans="2:91" s="25" customFormat="1">
      <c r="B430" s="729" t="s">
        <v>3185</v>
      </c>
      <c r="C430" s="728"/>
      <c r="D430" s="728"/>
      <c r="E430" s="728"/>
      <c r="F430" s="728"/>
      <c r="G430" s="728"/>
      <c r="H430" s="728"/>
      <c r="I430" s="728"/>
      <c r="J430" s="728"/>
      <c r="K430" s="728"/>
      <c r="L430" s="728"/>
      <c r="M430" s="728"/>
      <c r="N430" s="728"/>
      <c r="O430" s="728"/>
      <c r="P430" s="728"/>
      <c r="Q430" s="728"/>
      <c r="R430" s="728"/>
      <c r="S430" s="728"/>
      <c r="T430" s="728"/>
      <c r="U430" s="728"/>
      <c r="V430" s="728"/>
      <c r="W430" s="728"/>
      <c r="X430" s="728"/>
      <c r="Y430" s="728"/>
      <c r="Z430" s="728"/>
      <c r="AA430" s="728"/>
      <c r="AB430" s="728"/>
      <c r="AC430" s="728"/>
      <c r="AD430" s="728"/>
      <c r="AE430" s="728"/>
      <c r="AF430" s="728"/>
      <c r="AG430" s="728"/>
      <c r="AH430" s="728"/>
      <c r="AI430" s="728"/>
      <c r="AJ430" s="728"/>
      <c r="AK430" s="728"/>
      <c r="AL430" s="728"/>
      <c r="AM430" s="728"/>
      <c r="AN430" s="728"/>
      <c r="AO430" s="728"/>
      <c r="AP430" s="728"/>
      <c r="AQ430" s="728"/>
      <c r="AR430" s="728"/>
      <c r="AS430" s="728"/>
      <c r="AT430" s="728"/>
      <c r="AU430" s="728"/>
      <c r="AV430" s="730"/>
      <c r="AW430" s="730"/>
      <c r="AX430" s="730"/>
      <c r="AY430" s="730"/>
      <c r="AZ430" s="730"/>
      <c r="BA430" s="698">
        <v>387.548</v>
      </c>
      <c r="BB430" s="698">
        <v>129.24100000000001</v>
      </c>
      <c r="BC430" s="698">
        <v>269.30200000000002</v>
      </c>
      <c r="BD430" s="698">
        <v>1.1817310000000001</v>
      </c>
      <c r="BE430" s="672">
        <v>0.876857</v>
      </c>
      <c r="BF430" s="732">
        <v>0.49778699999999998</v>
      </c>
      <c r="BG430" s="643">
        <v>0.37668400000000002</v>
      </c>
      <c r="BH430" s="507">
        <v>0.64421499999999998</v>
      </c>
      <c r="BI430" s="507">
        <v>1.1662410000000001</v>
      </c>
      <c r="BJ430" s="307"/>
      <c r="BK430" s="307"/>
      <c r="BM430" s="25">
        <v>1.4</v>
      </c>
      <c r="BN430" s="25">
        <v>1.6659999999999999</v>
      </c>
      <c r="BO430" s="276">
        <v>2.016</v>
      </c>
      <c r="BP430" s="276">
        <v>2.48</v>
      </c>
      <c r="BQ430" s="276">
        <v>3.0990000000000002</v>
      </c>
      <c r="BR430" s="276">
        <v>3.0990000000000002</v>
      </c>
      <c r="BS430" s="276">
        <v>3.0990000000000002</v>
      </c>
      <c r="BT430" s="276">
        <v>3.0990000000000002</v>
      </c>
      <c r="BU430" s="40">
        <f t="shared" si="302"/>
        <v>3.0990000000000002</v>
      </c>
      <c r="BV430" s="40">
        <f t="shared" si="303"/>
        <v>3.0990000000000002</v>
      </c>
      <c r="BW430" s="40">
        <f t="shared" si="303"/>
        <v>3.0990000000000002</v>
      </c>
      <c r="BX430" s="40">
        <f t="shared" si="303"/>
        <v>3.0990000000000002</v>
      </c>
      <c r="BY430" s="40">
        <f t="shared" si="303"/>
        <v>3.0990000000000002</v>
      </c>
      <c r="BZ430" s="40">
        <f t="shared" si="303"/>
        <v>3.0990000000000002</v>
      </c>
      <c r="CA430" s="40">
        <f t="shared" si="303"/>
        <v>3.0990000000000002</v>
      </c>
      <c r="CB430" s="40">
        <f t="shared" si="303"/>
        <v>3.0990000000000002</v>
      </c>
      <c r="CC430" s="40">
        <f t="shared" si="303"/>
        <v>3.0990000000000002</v>
      </c>
      <c r="CD430" s="40">
        <f t="shared" si="303"/>
        <v>3.0990000000000002</v>
      </c>
      <c r="CE430" s="307"/>
      <c r="CF430" s="307"/>
      <c r="CG430" s="307"/>
      <c r="CM430" s="25">
        <v>1.2</v>
      </c>
    </row>
    <row r="431" spans="2:91" s="25" customFormat="1">
      <c r="B431" s="729" t="s">
        <v>3553</v>
      </c>
      <c r="C431" s="681"/>
      <c r="D431" s="681"/>
      <c r="E431" s="681"/>
      <c r="F431" s="681"/>
      <c r="G431" s="681"/>
      <c r="H431" s="681"/>
      <c r="I431" s="681"/>
      <c r="J431" s="681"/>
      <c r="K431" s="681"/>
      <c r="L431" s="681"/>
      <c r="M431" s="681"/>
      <c r="N431" s="681"/>
      <c r="O431" s="681"/>
      <c r="P431" s="681"/>
      <c r="Q431" s="681"/>
      <c r="R431" s="681"/>
      <c r="S431" s="681"/>
      <c r="T431" s="681"/>
      <c r="U431" s="681"/>
      <c r="V431" s="681"/>
      <c r="W431" s="681"/>
      <c r="X431" s="681"/>
      <c r="Y431" s="681"/>
      <c r="Z431" s="681"/>
      <c r="AA431" s="681"/>
      <c r="AB431" s="681"/>
      <c r="AC431" s="681"/>
      <c r="AD431" s="681"/>
      <c r="AE431" s="681"/>
      <c r="AF431" s="681"/>
      <c r="AG431" s="681"/>
      <c r="AH431" s="681"/>
      <c r="AI431" s="681"/>
      <c r="AJ431" s="681"/>
      <c r="AK431" s="681"/>
      <c r="AL431" s="681"/>
      <c r="AM431" s="681"/>
      <c r="AN431" s="681"/>
      <c r="AO431" s="681"/>
      <c r="AP431" s="681"/>
      <c r="AQ431" s="681"/>
      <c r="AR431" s="681"/>
      <c r="AS431" s="681"/>
      <c r="AT431" s="681"/>
      <c r="AU431" s="681"/>
      <c r="AV431" s="307"/>
      <c r="AW431" s="307"/>
      <c r="AX431" s="307"/>
      <c r="AY431" s="307"/>
      <c r="AZ431" s="307"/>
      <c r="BA431" s="727">
        <v>0</v>
      </c>
      <c r="BB431" s="727">
        <v>0</v>
      </c>
      <c r="BC431" s="727"/>
      <c r="BD431" s="727"/>
      <c r="BE431" s="698">
        <v>0</v>
      </c>
      <c r="BF431" s="643">
        <v>0</v>
      </c>
      <c r="BG431" s="644">
        <v>0</v>
      </c>
      <c r="BH431" s="507"/>
      <c r="BI431" s="507">
        <v>0</v>
      </c>
      <c r="BJ431" s="307"/>
      <c r="BK431" s="307"/>
      <c r="BU431" s="40">
        <f t="shared" si="302"/>
        <v>0</v>
      </c>
      <c r="BV431" s="40">
        <f t="shared" si="303"/>
        <v>0</v>
      </c>
      <c r="BW431" s="40">
        <f t="shared" si="303"/>
        <v>0</v>
      </c>
      <c r="BX431" s="40">
        <f t="shared" si="303"/>
        <v>0</v>
      </c>
      <c r="BY431" s="40">
        <f t="shared" si="303"/>
        <v>0</v>
      </c>
      <c r="BZ431" s="40">
        <f t="shared" si="303"/>
        <v>0</v>
      </c>
      <c r="CA431" s="40">
        <f t="shared" si="303"/>
        <v>0</v>
      </c>
      <c r="CB431" s="40">
        <f t="shared" si="303"/>
        <v>0</v>
      </c>
      <c r="CC431" s="40">
        <f t="shared" si="303"/>
        <v>0</v>
      </c>
      <c r="CD431" s="40">
        <f t="shared" si="303"/>
        <v>0</v>
      </c>
      <c r="CE431" s="307"/>
      <c r="CF431" s="307"/>
      <c r="CG431" s="307"/>
    </row>
    <row r="432" spans="2:91" s="25" customFormat="1">
      <c r="B432" s="729" t="s">
        <v>584</v>
      </c>
      <c r="C432" s="728"/>
      <c r="D432" s="728"/>
      <c r="E432" s="728"/>
      <c r="F432" s="728"/>
      <c r="G432" s="728"/>
      <c r="H432" s="728"/>
      <c r="I432" s="728"/>
      <c r="J432" s="728"/>
      <c r="K432" s="728"/>
      <c r="L432" s="728"/>
      <c r="M432" s="728"/>
      <c r="N432" s="728"/>
      <c r="O432" s="728"/>
      <c r="P432" s="728"/>
      <c r="Q432" s="728"/>
      <c r="R432" s="728"/>
      <c r="S432" s="728"/>
      <c r="T432" s="728"/>
      <c r="U432" s="728"/>
      <c r="V432" s="728"/>
      <c r="W432" s="728"/>
      <c r="X432" s="728"/>
      <c r="Y432" s="728"/>
      <c r="Z432" s="728"/>
      <c r="AA432" s="728"/>
      <c r="AB432" s="728"/>
      <c r="AC432" s="728"/>
      <c r="AD432" s="728"/>
      <c r="AE432" s="728"/>
      <c r="AF432" s="728"/>
      <c r="AG432" s="728"/>
      <c r="AH432" s="728"/>
      <c r="AI432" s="728"/>
      <c r="AJ432" s="728"/>
      <c r="AK432" s="728"/>
      <c r="AL432" s="728"/>
      <c r="AM432" s="728"/>
      <c r="AN432" s="728"/>
      <c r="AO432" s="728"/>
      <c r="AP432" s="728"/>
      <c r="AQ432" s="728"/>
      <c r="AR432" s="728"/>
      <c r="AS432" s="728"/>
      <c r="AT432" s="728"/>
      <c r="AU432" s="728"/>
      <c r="AV432" s="730"/>
      <c r="AW432" s="730"/>
      <c r="AX432" s="730"/>
      <c r="AY432" s="730"/>
      <c r="AZ432" s="730"/>
      <c r="BA432" s="698">
        <v>1E-3</v>
      </c>
      <c r="BB432" s="698">
        <v>0</v>
      </c>
      <c r="BC432" s="698">
        <v>0.317</v>
      </c>
      <c r="BD432" s="698">
        <v>3.0000000000000001E-3</v>
      </c>
      <c r="BE432" s="672">
        <v>4.2750000000000002E-3</v>
      </c>
      <c r="BF432" s="698">
        <v>7.3350000000000004E-3</v>
      </c>
      <c r="BG432" s="643">
        <v>2.715E-3</v>
      </c>
      <c r="BH432" s="507">
        <v>2.4750000000000002E-3</v>
      </c>
      <c r="BI432" s="507">
        <v>2.1299999999999999E-3</v>
      </c>
      <c r="BJ432" s="307"/>
      <c r="BK432" s="307"/>
      <c r="BU432" s="40">
        <f t="shared" si="302"/>
        <v>0</v>
      </c>
      <c r="BV432" s="40">
        <f t="shared" si="303"/>
        <v>0</v>
      </c>
      <c r="BW432" s="40">
        <f t="shared" si="303"/>
        <v>0</v>
      </c>
      <c r="BX432" s="40">
        <f t="shared" si="303"/>
        <v>0</v>
      </c>
      <c r="BY432" s="40">
        <f t="shared" si="303"/>
        <v>0</v>
      </c>
      <c r="BZ432" s="40">
        <f t="shared" si="303"/>
        <v>0</v>
      </c>
      <c r="CA432" s="40">
        <f t="shared" si="303"/>
        <v>0</v>
      </c>
      <c r="CB432" s="40">
        <f t="shared" si="303"/>
        <v>0</v>
      </c>
      <c r="CC432" s="40">
        <f t="shared" si="303"/>
        <v>0</v>
      </c>
      <c r="CD432" s="40">
        <f t="shared" si="303"/>
        <v>0</v>
      </c>
      <c r="CE432" s="307"/>
      <c r="CF432" s="307"/>
      <c r="CG432" s="307"/>
    </row>
    <row r="433" spans="2:91" s="25" customFormat="1" ht="16.5" thickBot="1">
      <c r="B433" s="737" t="s">
        <v>2286</v>
      </c>
      <c r="C433" s="738"/>
      <c r="D433" s="738"/>
      <c r="E433" s="738"/>
      <c r="F433" s="738"/>
      <c r="G433" s="738"/>
      <c r="H433" s="738"/>
      <c r="I433" s="738"/>
      <c r="J433" s="738"/>
      <c r="K433" s="738"/>
      <c r="L433" s="738"/>
      <c r="M433" s="738"/>
      <c r="N433" s="738"/>
      <c r="O433" s="738"/>
      <c r="P433" s="738"/>
      <c r="Q433" s="738"/>
      <c r="R433" s="738"/>
      <c r="S433" s="738"/>
      <c r="T433" s="738"/>
      <c r="U433" s="738"/>
      <c r="V433" s="738"/>
      <c r="W433" s="738"/>
      <c r="X433" s="738"/>
      <c r="Y433" s="738"/>
      <c r="Z433" s="738"/>
      <c r="AA433" s="738"/>
      <c r="AB433" s="738"/>
      <c r="AC433" s="738"/>
      <c r="AD433" s="738"/>
      <c r="AE433" s="738"/>
      <c r="AF433" s="738"/>
      <c r="AG433" s="738"/>
      <c r="AH433" s="738"/>
      <c r="AI433" s="738"/>
      <c r="AJ433" s="738"/>
      <c r="AK433" s="738"/>
      <c r="AL433" s="738"/>
      <c r="AM433" s="738"/>
      <c r="AN433" s="738"/>
      <c r="AO433" s="738"/>
      <c r="AP433" s="738"/>
      <c r="AQ433" s="738"/>
      <c r="AR433" s="738"/>
      <c r="AS433" s="738"/>
      <c r="AT433" s="738"/>
      <c r="AU433" s="738"/>
      <c r="AV433" s="739"/>
      <c r="AW433" s="739"/>
      <c r="AX433" s="739"/>
      <c r="AY433" s="739"/>
      <c r="AZ433" s="739"/>
      <c r="BA433" s="740">
        <v>5.3639999999999999</v>
      </c>
      <c r="BB433" s="740">
        <v>3.536</v>
      </c>
      <c r="BC433" s="740">
        <v>5.7629999999999999</v>
      </c>
      <c r="BD433" s="740">
        <v>4.7699999999999999E-3</v>
      </c>
      <c r="BE433" s="672">
        <v>3.761E-3</v>
      </c>
      <c r="BF433" s="698">
        <v>4.4270000000000004E-3</v>
      </c>
      <c r="BG433" s="643">
        <v>4.1409999999999997E-3</v>
      </c>
      <c r="BH433" s="507">
        <v>4.7099999999999998E-3</v>
      </c>
      <c r="BI433" s="507">
        <v>5.4450000000000002E-3</v>
      </c>
      <c r="BJ433" s="307"/>
      <c r="BK433" s="307"/>
      <c r="BU433" s="40">
        <f t="shared" si="302"/>
        <v>0</v>
      </c>
      <c r="BV433" s="40">
        <f t="shared" si="303"/>
        <v>0</v>
      </c>
      <c r="BW433" s="40">
        <f t="shared" si="303"/>
        <v>0</v>
      </c>
      <c r="BX433" s="40">
        <f t="shared" si="303"/>
        <v>0</v>
      </c>
      <c r="BY433" s="40">
        <f t="shared" si="303"/>
        <v>0</v>
      </c>
      <c r="BZ433" s="40">
        <f t="shared" si="303"/>
        <v>0</v>
      </c>
      <c r="CA433" s="40">
        <f t="shared" si="303"/>
        <v>0</v>
      </c>
      <c r="CB433" s="40">
        <f t="shared" si="303"/>
        <v>0</v>
      </c>
      <c r="CC433" s="40">
        <f t="shared" si="303"/>
        <v>0</v>
      </c>
      <c r="CD433" s="40">
        <f t="shared" si="303"/>
        <v>0</v>
      </c>
      <c r="CE433" s="307"/>
      <c r="CF433" s="307"/>
      <c r="CG433" s="307"/>
    </row>
    <row r="434" spans="2:91" s="25" customFormat="1" ht="16.5" thickBot="1">
      <c r="B434" s="741" t="s">
        <v>4</v>
      </c>
      <c r="C434" s="738"/>
      <c r="D434" s="738"/>
      <c r="E434" s="738"/>
      <c r="F434" s="738"/>
      <c r="G434" s="738"/>
      <c r="H434" s="738"/>
      <c r="I434" s="738"/>
      <c r="J434" s="738"/>
      <c r="K434" s="738"/>
      <c r="L434" s="738"/>
      <c r="M434" s="738"/>
      <c r="N434" s="738"/>
      <c r="O434" s="738"/>
      <c r="P434" s="738"/>
      <c r="Q434" s="738"/>
      <c r="R434" s="738"/>
      <c r="S434" s="738"/>
      <c r="T434" s="738"/>
      <c r="U434" s="738"/>
      <c r="V434" s="738"/>
      <c r="W434" s="738"/>
      <c r="X434" s="738"/>
      <c r="Y434" s="738"/>
      <c r="Z434" s="738"/>
      <c r="AA434" s="738"/>
      <c r="AB434" s="738"/>
      <c r="AC434" s="738"/>
      <c r="AD434" s="738"/>
      <c r="AE434" s="738"/>
      <c r="AF434" s="738"/>
      <c r="AG434" s="738"/>
      <c r="AH434" s="738"/>
      <c r="AI434" s="738"/>
      <c r="AJ434" s="738"/>
      <c r="AK434" s="738"/>
      <c r="AL434" s="738"/>
      <c r="AM434" s="738"/>
      <c r="AN434" s="738"/>
      <c r="AO434" s="738"/>
      <c r="AP434" s="738"/>
      <c r="AQ434" s="738"/>
      <c r="AR434" s="738"/>
      <c r="AS434" s="738"/>
      <c r="AT434" s="738"/>
      <c r="AU434" s="738"/>
      <c r="AV434" s="739"/>
      <c r="AW434" s="739"/>
      <c r="AX434" s="739"/>
      <c r="AY434" s="739"/>
      <c r="AZ434" s="739"/>
      <c r="BA434" s="740"/>
      <c r="BB434" s="740"/>
      <c r="BC434" s="740"/>
      <c r="BD434" s="672">
        <v>2.2045119999999998</v>
      </c>
      <c r="BE434" s="672">
        <v>4.8712960000000001</v>
      </c>
      <c r="BF434" s="643">
        <v>2.4371999999999998</v>
      </c>
      <c r="BG434" s="643">
        <v>3.1713849999999999</v>
      </c>
      <c r="BH434" s="507">
        <v>0.113413</v>
      </c>
      <c r="BI434" s="507"/>
      <c r="BJ434" s="307"/>
      <c r="BK434" s="307"/>
      <c r="BU434" s="40">
        <f t="shared" si="302"/>
        <v>0</v>
      </c>
      <c r="BV434" s="40">
        <f t="shared" si="303"/>
        <v>0</v>
      </c>
      <c r="BW434" s="40">
        <f t="shared" si="303"/>
        <v>0</v>
      </c>
      <c r="BX434" s="40">
        <f t="shared" si="303"/>
        <v>0</v>
      </c>
      <c r="BY434" s="40">
        <f t="shared" si="303"/>
        <v>0</v>
      </c>
      <c r="BZ434" s="40">
        <f t="shared" si="303"/>
        <v>0</v>
      </c>
      <c r="CA434" s="40">
        <f t="shared" si="303"/>
        <v>0</v>
      </c>
      <c r="CB434" s="40">
        <f t="shared" si="303"/>
        <v>0</v>
      </c>
      <c r="CC434" s="40">
        <f t="shared" si="303"/>
        <v>0</v>
      </c>
      <c r="CD434" s="40">
        <f t="shared" si="303"/>
        <v>0</v>
      </c>
      <c r="CE434" s="307"/>
      <c r="CF434" s="307"/>
      <c r="CG434" s="307"/>
    </row>
    <row r="435" spans="2:91" s="25" customFormat="1" ht="16.5" thickBot="1">
      <c r="B435" s="729" t="s">
        <v>834</v>
      </c>
      <c r="C435" s="699"/>
      <c r="D435" s="699"/>
      <c r="E435" s="699"/>
      <c r="F435" s="699"/>
      <c r="G435" s="699"/>
      <c r="H435" s="699"/>
      <c r="I435" s="699"/>
      <c r="J435" s="699"/>
      <c r="K435" s="699"/>
      <c r="L435" s="699"/>
      <c r="M435" s="699"/>
      <c r="N435" s="699"/>
      <c r="O435" s="699"/>
      <c r="P435" s="699"/>
      <c r="Q435" s="699"/>
      <c r="R435" s="699"/>
      <c r="S435" s="699"/>
      <c r="T435" s="699"/>
      <c r="U435" s="699"/>
      <c r="V435" s="699"/>
      <c r="W435" s="699"/>
      <c r="X435" s="699"/>
      <c r="Y435" s="699"/>
      <c r="Z435" s="699"/>
      <c r="AA435" s="699"/>
      <c r="AB435" s="699"/>
      <c r="AC435" s="699"/>
      <c r="AD435" s="699"/>
      <c r="AE435" s="699"/>
      <c r="AF435" s="699"/>
      <c r="AG435" s="699"/>
      <c r="AH435" s="699"/>
      <c r="AI435" s="699"/>
      <c r="AJ435" s="699"/>
      <c r="AK435" s="699"/>
      <c r="AL435" s="699"/>
      <c r="AM435" s="699"/>
      <c r="AN435" s="699"/>
      <c r="AO435" s="699"/>
      <c r="AP435" s="699"/>
      <c r="AQ435" s="699"/>
      <c r="AR435" s="699"/>
      <c r="AS435" s="699"/>
      <c r="AT435" s="699"/>
      <c r="AU435" s="699"/>
      <c r="AV435" s="700"/>
      <c r="AW435" s="700"/>
      <c r="AX435" s="700"/>
      <c r="AY435" s="700"/>
      <c r="AZ435" s="700"/>
      <c r="BA435" s="700">
        <v>0</v>
      </c>
      <c r="BB435" s="700">
        <v>0.45</v>
      </c>
      <c r="BC435" s="700">
        <v>24.891999999999999</v>
      </c>
      <c r="BD435" s="700">
        <v>1.7357000000000001E-2</v>
      </c>
      <c r="BE435" s="740">
        <v>2.3340000000000001E-3</v>
      </c>
      <c r="BF435" s="698">
        <v>1.8600000000000001E-3</v>
      </c>
      <c r="BG435" s="643">
        <v>4.3350000000000003E-3</v>
      </c>
      <c r="BH435" s="507">
        <v>6.9769999999999997E-3</v>
      </c>
      <c r="BI435" s="507">
        <v>7.0799999999999997E-4</v>
      </c>
      <c r="BJ435" s="736"/>
      <c r="BK435" s="307"/>
      <c r="BM435" s="25">
        <v>1.5186789999999999</v>
      </c>
      <c r="BN435" s="25">
        <v>1.6221159999999999</v>
      </c>
      <c r="BO435" s="25">
        <v>1.752648</v>
      </c>
      <c r="BP435" s="25">
        <v>1.752648</v>
      </c>
      <c r="BU435" s="40">
        <f t="shared" si="302"/>
        <v>0</v>
      </c>
      <c r="BV435" s="40">
        <f t="shared" ref="BV435:CD450" si="306">BU435</f>
        <v>0</v>
      </c>
      <c r="BW435" s="40">
        <f t="shared" si="306"/>
        <v>0</v>
      </c>
      <c r="BX435" s="40">
        <f t="shared" si="306"/>
        <v>0</v>
      </c>
      <c r="BY435" s="40">
        <f t="shared" si="306"/>
        <v>0</v>
      </c>
      <c r="BZ435" s="40">
        <f t="shared" si="306"/>
        <v>0</v>
      </c>
      <c r="CA435" s="40">
        <f t="shared" si="306"/>
        <v>0</v>
      </c>
      <c r="CB435" s="40">
        <f t="shared" si="306"/>
        <v>0</v>
      </c>
      <c r="CC435" s="40">
        <f t="shared" si="306"/>
        <v>0</v>
      </c>
      <c r="CD435" s="40">
        <f t="shared" si="306"/>
        <v>0</v>
      </c>
      <c r="CE435" s="307"/>
      <c r="CF435" s="307"/>
      <c r="CG435" s="307"/>
      <c r="CM435" s="25">
        <v>1.4218379999999999</v>
      </c>
    </row>
    <row r="436" spans="2:91" s="25" customFormat="1">
      <c r="B436" s="742" t="s">
        <v>680</v>
      </c>
      <c r="C436" s="743"/>
      <c r="D436" s="743"/>
      <c r="E436" s="743"/>
      <c r="F436" s="743"/>
      <c r="G436" s="743"/>
      <c r="H436" s="743"/>
      <c r="I436" s="743"/>
      <c r="J436" s="743"/>
      <c r="K436" s="743"/>
      <c r="L436" s="743"/>
      <c r="M436" s="743"/>
      <c r="N436" s="743"/>
      <c r="O436" s="743"/>
      <c r="P436" s="743"/>
      <c r="Q436" s="743"/>
      <c r="R436" s="743"/>
      <c r="S436" s="743"/>
      <c r="T436" s="743"/>
      <c r="U436" s="743"/>
      <c r="V436" s="743"/>
      <c r="W436" s="743"/>
      <c r="X436" s="743"/>
      <c r="Y436" s="743"/>
      <c r="Z436" s="743"/>
      <c r="AA436" s="743"/>
      <c r="AB436" s="743"/>
      <c r="AC436" s="743"/>
      <c r="AD436" s="743"/>
      <c r="AE436" s="743"/>
      <c r="AF436" s="743"/>
      <c r="AG436" s="743"/>
      <c r="AH436" s="743"/>
      <c r="AI436" s="743"/>
      <c r="AJ436" s="743"/>
      <c r="AK436" s="743"/>
      <c r="AL436" s="743"/>
      <c r="AM436" s="743"/>
      <c r="AN436" s="743"/>
      <c r="AO436" s="743"/>
      <c r="AP436" s="743"/>
      <c r="AQ436" s="743"/>
      <c r="AR436" s="743"/>
      <c r="AS436" s="743"/>
      <c r="AT436" s="743"/>
      <c r="AU436" s="743"/>
      <c r="AV436" s="744"/>
      <c r="AW436" s="744"/>
      <c r="AX436" s="744"/>
      <c r="AY436" s="744"/>
      <c r="AZ436" s="745">
        <f t="shared" ref="AZ436:BF436" si="307">SUM(AZ410:AZ435)</f>
        <v>0</v>
      </c>
      <c r="BA436" s="745">
        <f t="shared" si="307"/>
        <v>239334.76699999999</v>
      </c>
      <c r="BB436" s="745">
        <f t="shared" si="307"/>
        <v>283071.46900000004</v>
      </c>
      <c r="BC436" s="745">
        <f t="shared" si="307"/>
        <v>366774.04800000001</v>
      </c>
      <c r="BD436" s="745">
        <f t="shared" si="307"/>
        <v>399.74711100000002</v>
      </c>
      <c r="BE436" s="745">
        <f t="shared" si="307"/>
        <v>430.09989399999995</v>
      </c>
      <c r="BF436" s="745">
        <f t="shared" si="307"/>
        <v>571.578484</v>
      </c>
      <c r="BG436" s="745">
        <f>SUM(BG410:BG435)</f>
        <v>686.89182500000004</v>
      </c>
      <c r="BH436" s="745">
        <f>SUM(BH410:BH435)</f>
        <v>772.0107210000001</v>
      </c>
      <c r="BI436" s="745">
        <f>SUM(BI410:BI435)</f>
        <v>788.60795300000018</v>
      </c>
      <c r="BJ436" s="745">
        <f>SUM(BJ410:BJ435)</f>
        <v>1242.9022280000002</v>
      </c>
      <c r="BK436" s="307"/>
      <c r="BU436" s="40">
        <f t="shared" si="302"/>
        <v>0</v>
      </c>
      <c r="BV436" s="40">
        <f t="shared" si="306"/>
        <v>0</v>
      </c>
      <c r="BW436" s="40">
        <f t="shared" si="306"/>
        <v>0</v>
      </c>
      <c r="BX436" s="40">
        <f t="shared" si="306"/>
        <v>0</v>
      </c>
      <c r="BY436" s="40">
        <f t="shared" si="306"/>
        <v>0</v>
      </c>
      <c r="BZ436" s="40">
        <f t="shared" si="306"/>
        <v>0</v>
      </c>
      <c r="CA436" s="40">
        <f t="shared" si="306"/>
        <v>0</v>
      </c>
      <c r="CB436" s="40">
        <f t="shared" si="306"/>
        <v>0</v>
      </c>
      <c r="CC436" s="40">
        <f t="shared" si="306"/>
        <v>0</v>
      </c>
      <c r="CD436" s="40">
        <f t="shared" si="306"/>
        <v>0</v>
      </c>
      <c r="CE436" s="307"/>
      <c r="CF436" s="307"/>
      <c r="CG436" s="307"/>
    </row>
    <row r="437" spans="2:91" s="25" customFormat="1">
      <c r="B437" s="746" t="s">
        <v>3483</v>
      </c>
      <c r="C437" s="743"/>
      <c r="D437" s="743"/>
      <c r="E437" s="743"/>
      <c r="F437" s="743"/>
      <c r="G437" s="743"/>
      <c r="H437" s="743"/>
      <c r="I437" s="743"/>
      <c r="J437" s="743"/>
      <c r="K437" s="743"/>
      <c r="L437" s="743"/>
      <c r="M437" s="743"/>
      <c r="N437" s="743"/>
      <c r="O437" s="743"/>
      <c r="P437" s="743"/>
      <c r="Q437" s="743"/>
      <c r="R437" s="743"/>
      <c r="S437" s="743"/>
      <c r="T437" s="743"/>
      <c r="U437" s="743"/>
      <c r="V437" s="743"/>
      <c r="W437" s="743"/>
      <c r="X437" s="743"/>
      <c r="Y437" s="743"/>
      <c r="Z437" s="743"/>
      <c r="AA437" s="743"/>
      <c r="AB437" s="743"/>
      <c r="AC437" s="743"/>
      <c r="AD437" s="743"/>
      <c r="AE437" s="743"/>
      <c r="AF437" s="743"/>
      <c r="AG437" s="743"/>
      <c r="AH437" s="743"/>
      <c r="AI437" s="743"/>
      <c r="AJ437" s="743"/>
      <c r="AK437" s="743"/>
      <c r="AL437" s="743"/>
      <c r="AM437" s="743"/>
      <c r="AN437" s="743"/>
      <c r="AO437" s="743"/>
      <c r="AP437" s="743"/>
      <c r="AQ437" s="743"/>
      <c r="AR437" s="743"/>
      <c r="AS437" s="743"/>
      <c r="AT437" s="743"/>
      <c r="AU437" s="743"/>
      <c r="AV437" s="744"/>
      <c r="AW437" s="744"/>
      <c r="AX437" s="744"/>
      <c r="AY437" s="744"/>
      <c r="AZ437" s="745"/>
      <c r="BA437" s="745"/>
      <c r="BB437" s="745"/>
      <c r="BC437" s="745"/>
      <c r="BD437" s="745"/>
      <c r="BE437" s="745"/>
      <c r="BF437" s="745"/>
      <c r="BG437" s="745"/>
      <c r="BH437" s="745"/>
      <c r="BI437" s="745">
        <v>105.98401337</v>
      </c>
      <c r="BJ437" s="307">
        <v>119.09882623</v>
      </c>
      <c r="BK437" s="423">
        <v>154.92541</v>
      </c>
      <c r="BL437" s="423">
        <v>150.83502766391524</v>
      </c>
      <c r="BM437" s="467">
        <v>164.82422606215539</v>
      </c>
      <c r="BN437" s="467">
        <v>167.81398406596526</v>
      </c>
      <c r="BO437" s="467">
        <v>177.89837070590457</v>
      </c>
      <c r="BP437" s="467">
        <v>188.97129515074241</v>
      </c>
      <c r="BU437" s="40">
        <f t="shared" si="302"/>
        <v>0</v>
      </c>
      <c r="BV437" s="40">
        <f t="shared" si="306"/>
        <v>0</v>
      </c>
      <c r="BW437" s="40">
        <f t="shared" si="306"/>
        <v>0</v>
      </c>
      <c r="BX437" s="40">
        <f t="shared" si="306"/>
        <v>0</v>
      </c>
      <c r="BY437" s="40">
        <f t="shared" si="306"/>
        <v>0</v>
      </c>
      <c r="BZ437" s="40">
        <f t="shared" si="306"/>
        <v>0</v>
      </c>
      <c r="CA437" s="40">
        <f t="shared" si="306"/>
        <v>0</v>
      </c>
      <c r="CB437" s="40">
        <f t="shared" si="306"/>
        <v>0</v>
      </c>
      <c r="CC437" s="40">
        <f t="shared" si="306"/>
        <v>0</v>
      </c>
      <c r="CD437" s="40">
        <f t="shared" si="306"/>
        <v>0</v>
      </c>
      <c r="CE437" s="307"/>
      <c r="CF437" s="307"/>
      <c r="CG437" s="307"/>
      <c r="CM437" s="467">
        <v>150.83502766391524</v>
      </c>
    </row>
    <row r="438" spans="2:91" s="25" customFormat="1">
      <c r="B438" s="742" t="s">
        <v>2357</v>
      </c>
      <c r="C438" s="743"/>
      <c r="D438" s="743"/>
      <c r="E438" s="743"/>
      <c r="F438" s="743"/>
      <c r="G438" s="743"/>
      <c r="H438" s="743"/>
      <c r="I438" s="743"/>
      <c r="J438" s="743"/>
      <c r="K438" s="743"/>
      <c r="L438" s="743"/>
      <c r="M438" s="743"/>
      <c r="N438" s="743"/>
      <c r="O438" s="743"/>
      <c r="P438" s="743"/>
      <c r="Q438" s="743"/>
      <c r="R438" s="743"/>
      <c r="S438" s="743"/>
      <c r="T438" s="743"/>
      <c r="U438" s="743"/>
      <c r="V438" s="743"/>
      <c r="W438" s="743"/>
      <c r="X438" s="743"/>
      <c r="Y438" s="743"/>
      <c r="Z438" s="743"/>
      <c r="AA438" s="743"/>
      <c r="AB438" s="743"/>
      <c r="AC438" s="743"/>
      <c r="AD438" s="743"/>
      <c r="AE438" s="743"/>
      <c r="AF438" s="743"/>
      <c r="AG438" s="743"/>
      <c r="AH438" s="743"/>
      <c r="AI438" s="743"/>
      <c r="AJ438" s="743"/>
      <c r="AK438" s="743"/>
      <c r="AL438" s="743"/>
      <c r="AM438" s="743"/>
      <c r="AN438" s="743"/>
      <c r="AO438" s="743"/>
      <c r="AP438" s="743"/>
      <c r="AQ438" s="743"/>
      <c r="AR438" s="743"/>
      <c r="AS438" s="743"/>
      <c r="AT438" s="743"/>
      <c r="AU438" s="743"/>
      <c r="AV438" s="744"/>
      <c r="AW438" s="744"/>
      <c r="AX438" s="744"/>
      <c r="AY438" s="744"/>
      <c r="AZ438" s="745">
        <f t="shared" ref="AZ438:BF438" si="308">AZ436+AZ368</f>
        <v>0</v>
      </c>
      <c r="BA438" s="745">
        <f t="shared" si="308"/>
        <v>262067.443</v>
      </c>
      <c r="BB438" s="745">
        <f t="shared" si="308"/>
        <v>308452.28200000006</v>
      </c>
      <c r="BC438" s="745">
        <f t="shared" si="308"/>
        <v>423895.217</v>
      </c>
      <c r="BD438" s="745">
        <f t="shared" si="308"/>
        <v>463.62559900000002</v>
      </c>
      <c r="BE438" s="745">
        <f t="shared" si="308"/>
        <v>508.10831199999996</v>
      </c>
      <c r="BF438" s="745">
        <f t="shared" si="308"/>
        <v>653.76127799999995</v>
      </c>
      <c r="BG438" s="745">
        <f>BG436-(BG412+BG415+BG416+BG421+BG422+BG423+BG430+BG431+BG432+BG433+BG434+BG435)</f>
        <v>654.201774</v>
      </c>
      <c r="BH438" s="745">
        <f>BH436-(BH412+BH415+BH416+BH421+BH422+BH423+BH430+BH431+BH432+BH433+BH434+BH435)</f>
        <v>740.88892400000009</v>
      </c>
      <c r="BI438" s="745">
        <f>BI436-(BI412+BI415+BI416+BI421+BI422+BI423+BI430+BI431+BI432+BI433+BI434+BI435)+BI437</f>
        <v>867.48522437000008</v>
      </c>
      <c r="BJ438" s="745">
        <f>BJ436-(BJ412+BJ415+BJ416+BJ421+BJ422+BJ423+BJ430+BJ431+BJ432+BJ433+BJ434+BJ435)+BJ437</f>
        <v>1362.0010542300001</v>
      </c>
      <c r="BK438" s="307"/>
      <c r="BU438" s="40">
        <f t="shared" si="302"/>
        <v>0</v>
      </c>
      <c r="BV438" s="40">
        <f t="shared" si="306"/>
        <v>0</v>
      </c>
      <c r="BW438" s="40">
        <f t="shared" si="306"/>
        <v>0</v>
      </c>
      <c r="BX438" s="40">
        <f t="shared" si="306"/>
        <v>0</v>
      </c>
      <c r="BY438" s="40">
        <f t="shared" si="306"/>
        <v>0</v>
      </c>
      <c r="BZ438" s="40">
        <f t="shared" si="306"/>
        <v>0</v>
      </c>
      <c r="CA438" s="40">
        <f t="shared" si="306"/>
        <v>0</v>
      </c>
      <c r="CB438" s="40">
        <f t="shared" si="306"/>
        <v>0</v>
      </c>
      <c r="CC438" s="40">
        <f t="shared" si="306"/>
        <v>0</v>
      </c>
      <c r="CD438" s="40">
        <f t="shared" si="306"/>
        <v>0</v>
      </c>
      <c r="CE438" s="307"/>
      <c r="CF438" s="307"/>
      <c r="CG438" s="307"/>
    </row>
    <row r="439" spans="2:91" s="25" customFormat="1">
      <c r="B439" s="728"/>
      <c r="C439" s="743"/>
      <c r="D439" s="743"/>
      <c r="E439" s="743"/>
      <c r="F439" s="743"/>
      <c r="G439" s="743"/>
      <c r="H439" s="743"/>
      <c r="I439" s="743"/>
      <c r="J439" s="743"/>
      <c r="K439" s="743"/>
      <c r="L439" s="743"/>
      <c r="M439" s="743"/>
      <c r="N439" s="743"/>
      <c r="O439" s="743"/>
      <c r="P439" s="743"/>
      <c r="Q439" s="743"/>
      <c r="R439" s="743"/>
      <c r="S439" s="743"/>
      <c r="T439" s="743"/>
      <c r="U439" s="743"/>
      <c r="V439" s="743"/>
      <c r="W439" s="743"/>
      <c r="X439" s="743"/>
      <c r="Y439" s="743"/>
      <c r="Z439" s="743"/>
      <c r="AA439" s="743"/>
      <c r="AB439" s="743"/>
      <c r="AC439" s="743"/>
      <c r="AD439" s="743"/>
      <c r="AE439" s="743"/>
      <c r="AF439" s="743"/>
      <c r="AG439" s="743"/>
      <c r="AH439" s="743"/>
      <c r="AI439" s="743"/>
      <c r="AJ439" s="743"/>
      <c r="AK439" s="743"/>
      <c r="AL439" s="743"/>
      <c r="AM439" s="743"/>
      <c r="AN439" s="743"/>
      <c r="AO439" s="743"/>
      <c r="AP439" s="743"/>
      <c r="AQ439" s="743"/>
      <c r="AR439" s="743"/>
      <c r="AS439" s="743"/>
      <c r="AT439" s="743"/>
      <c r="AU439" s="743"/>
      <c r="AV439" s="744"/>
      <c r="AW439" s="744"/>
      <c r="AX439" s="744"/>
      <c r="AY439" s="744"/>
      <c r="AZ439" s="744"/>
      <c r="BA439" s="744"/>
      <c r="BB439" s="744"/>
      <c r="BC439" s="744"/>
      <c r="BD439" s="744"/>
      <c r="BE439" s="698"/>
      <c r="BF439" s="643"/>
      <c r="BG439" s="745"/>
      <c r="BH439" s="745"/>
      <c r="BI439" s="307">
        <f>BI410+BI411+BI413+BI414+BI417+BI418+BI419+BI420+BI424+BI426+BI429</f>
        <v>761.50121100000001</v>
      </c>
      <c r="BJ439" s="307">
        <v>215.86030908000001</v>
      </c>
      <c r="BK439" s="307"/>
      <c r="BU439" s="40">
        <f t="shared" si="302"/>
        <v>0</v>
      </c>
      <c r="BV439" s="40">
        <f t="shared" si="306"/>
        <v>0</v>
      </c>
      <c r="BW439" s="40">
        <f t="shared" si="306"/>
        <v>0</v>
      </c>
      <c r="BX439" s="40">
        <f t="shared" si="306"/>
        <v>0</v>
      </c>
      <c r="BY439" s="40">
        <f t="shared" si="306"/>
        <v>0</v>
      </c>
      <c r="BZ439" s="40">
        <f t="shared" si="306"/>
        <v>0</v>
      </c>
      <c r="CA439" s="40">
        <f t="shared" si="306"/>
        <v>0</v>
      </c>
      <c r="CB439" s="40">
        <f t="shared" si="306"/>
        <v>0</v>
      </c>
      <c r="CC439" s="40">
        <f t="shared" si="306"/>
        <v>0</v>
      </c>
      <c r="CD439" s="40">
        <f t="shared" si="306"/>
        <v>0</v>
      </c>
      <c r="CE439" s="307"/>
      <c r="CF439" s="307"/>
      <c r="CG439" s="307"/>
    </row>
    <row r="440" spans="2:91" s="25" customFormat="1">
      <c r="B440" s="681" t="s">
        <v>4027</v>
      </c>
      <c r="C440" s="728"/>
      <c r="D440" s="728"/>
      <c r="E440" s="728"/>
      <c r="F440" s="728"/>
      <c r="G440" s="728"/>
      <c r="H440" s="728"/>
      <c r="I440" s="728"/>
      <c r="J440" s="728"/>
      <c r="K440" s="728"/>
      <c r="L440" s="728"/>
      <c r="M440" s="728"/>
      <c r="N440" s="728"/>
      <c r="O440" s="728"/>
      <c r="P440" s="728"/>
      <c r="Q440" s="728"/>
      <c r="R440" s="728"/>
      <c r="S440" s="728"/>
      <c r="T440" s="728"/>
      <c r="U440" s="728"/>
      <c r="V440" s="728"/>
      <c r="W440" s="728"/>
      <c r="X440" s="728"/>
      <c r="Y440" s="728"/>
      <c r="Z440" s="728"/>
      <c r="AA440" s="728"/>
      <c r="AB440" s="728"/>
      <c r="AC440" s="728"/>
      <c r="AD440" s="728"/>
      <c r="AE440" s="728"/>
      <c r="AF440" s="728"/>
      <c r="AG440" s="728"/>
      <c r="AH440" s="728"/>
      <c r="AI440" s="728"/>
      <c r="AJ440" s="728"/>
      <c r="AK440" s="728"/>
      <c r="AL440" s="728"/>
      <c r="AM440" s="728"/>
      <c r="AN440" s="728"/>
      <c r="AO440" s="728"/>
      <c r="AP440" s="728"/>
      <c r="AQ440" s="728"/>
      <c r="AR440" s="728"/>
      <c r="AS440" s="728"/>
      <c r="AT440" s="728"/>
      <c r="AU440" s="728"/>
      <c r="AV440" s="730"/>
      <c r="AW440" s="730"/>
      <c r="AX440" s="730"/>
      <c r="AY440" s="730"/>
      <c r="AZ440" s="730"/>
      <c r="BA440" s="698"/>
      <c r="BB440" s="698"/>
      <c r="BC440" s="698"/>
      <c r="BD440" s="698">
        <v>-964654</v>
      </c>
      <c r="BE440" s="727">
        <f t="shared" ref="BE440:BL440" si="309">BE408-BE406</f>
        <v>-38.705588999999975</v>
      </c>
      <c r="BF440" s="727">
        <f t="shared" si="309"/>
        <v>-18.349583000000052</v>
      </c>
      <c r="BG440" s="727">
        <f t="shared" si="309"/>
        <v>-16.268971000000079</v>
      </c>
      <c r="BH440" s="727">
        <f t="shared" si="309"/>
        <v>-856.91672100000005</v>
      </c>
      <c r="BI440" s="727">
        <f t="shared" si="309"/>
        <v>-788.60795300000018</v>
      </c>
      <c r="BJ440" s="727">
        <f t="shared" si="309"/>
        <v>-335.00222800000017</v>
      </c>
      <c r="BK440" s="727">
        <f t="shared" si="309"/>
        <v>-1481.7114140000001</v>
      </c>
      <c r="BL440" s="727">
        <f t="shared" si="309"/>
        <v>-1434.5100000000004</v>
      </c>
      <c r="BU440" s="40">
        <f t="shared" si="302"/>
        <v>0</v>
      </c>
      <c r="BV440" s="40">
        <f t="shared" si="306"/>
        <v>0</v>
      </c>
      <c r="BW440" s="40">
        <f t="shared" si="306"/>
        <v>0</v>
      </c>
      <c r="BX440" s="40">
        <f t="shared" si="306"/>
        <v>0</v>
      </c>
      <c r="BY440" s="40">
        <f t="shared" si="306"/>
        <v>0</v>
      </c>
      <c r="BZ440" s="40">
        <f t="shared" si="306"/>
        <v>0</v>
      </c>
      <c r="CA440" s="40">
        <f t="shared" si="306"/>
        <v>0</v>
      </c>
      <c r="CB440" s="40">
        <f t="shared" si="306"/>
        <v>0</v>
      </c>
      <c r="CC440" s="40">
        <f t="shared" si="306"/>
        <v>0</v>
      </c>
      <c r="CD440" s="40">
        <f t="shared" si="306"/>
        <v>0</v>
      </c>
      <c r="CE440" s="307"/>
      <c r="CF440" s="307"/>
      <c r="CG440" s="307"/>
      <c r="CM440" s="727">
        <f>CM408-CM406</f>
        <v>-1404.0540000000003</v>
      </c>
    </row>
    <row r="441" spans="2:91" s="25" customFormat="1">
      <c r="B441" s="728"/>
      <c r="C441" s="728"/>
      <c r="D441" s="728"/>
      <c r="E441" s="728"/>
      <c r="F441" s="728"/>
      <c r="G441" s="728"/>
      <c r="H441" s="728"/>
      <c r="I441" s="728"/>
      <c r="J441" s="728"/>
      <c r="K441" s="728"/>
      <c r="L441" s="728"/>
      <c r="M441" s="728"/>
      <c r="N441" s="728"/>
      <c r="O441" s="728"/>
      <c r="P441" s="728"/>
      <c r="Q441" s="728"/>
      <c r="R441" s="728"/>
      <c r="S441" s="728"/>
      <c r="T441" s="728"/>
      <c r="U441" s="728"/>
      <c r="V441" s="728"/>
      <c r="W441" s="728"/>
      <c r="X441" s="728"/>
      <c r="Y441" s="728"/>
      <c r="Z441" s="728"/>
      <c r="AA441" s="728"/>
      <c r="AB441" s="728"/>
      <c r="AC441" s="728"/>
      <c r="AD441" s="728"/>
      <c r="AE441" s="728"/>
      <c r="AF441" s="728"/>
      <c r="AG441" s="728"/>
      <c r="AH441" s="728"/>
      <c r="AI441" s="728"/>
      <c r="AJ441" s="728"/>
      <c r="AK441" s="728"/>
      <c r="AL441" s="728"/>
      <c r="AM441" s="728"/>
      <c r="AN441" s="728"/>
      <c r="AO441" s="728"/>
      <c r="AP441" s="728"/>
      <c r="AQ441" s="728"/>
      <c r="AR441" s="728"/>
      <c r="AS441" s="728"/>
      <c r="AT441" s="728"/>
      <c r="AU441" s="728"/>
      <c r="AV441" s="730"/>
      <c r="AW441" s="730"/>
      <c r="AX441" s="730"/>
      <c r="AY441" s="730"/>
      <c r="AZ441" s="730"/>
      <c r="BA441" s="698"/>
      <c r="BB441" s="698"/>
      <c r="BC441" s="698"/>
      <c r="BD441" s="698"/>
      <c r="BE441" s="698"/>
      <c r="BF441" s="643"/>
      <c r="BG441" s="643"/>
      <c r="BH441" s="307"/>
      <c r="BI441" s="307"/>
      <c r="BJ441" s="307"/>
      <c r="BK441" s="307"/>
      <c r="BU441" s="40">
        <f t="shared" si="302"/>
        <v>0</v>
      </c>
      <c r="BV441" s="40">
        <f t="shared" si="306"/>
        <v>0</v>
      </c>
      <c r="BW441" s="40">
        <f t="shared" si="306"/>
        <v>0</v>
      </c>
      <c r="BX441" s="40">
        <f t="shared" si="306"/>
        <v>0</v>
      </c>
      <c r="BY441" s="40">
        <f t="shared" si="306"/>
        <v>0</v>
      </c>
      <c r="BZ441" s="40">
        <f t="shared" si="306"/>
        <v>0</v>
      </c>
      <c r="CA441" s="40">
        <f t="shared" si="306"/>
        <v>0</v>
      </c>
      <c r="CB441" s="40">
        <f t="shared" si="306"/>
        <v>0</v>
      </c>
      <c r="CC441" s="40">
        <f t="shared" si="306"/>
        <v>0</v>
      </c>
      <c r="CD441" s="40">
        <f t="shared" si="306"/>
        <v>0</v>
      </c>
      <c r="CE441" s="307"/>
      <c r="CF441" s="307"/>
      <c r="CG441" s="307"/>
    </row>
    <row r="442" spans="2:91" s="25" customFormat="1">
      <c r="B442" s="728"/>
      <c r="C442" s="728"/>
      <c r="D442" s="728"/>
      <c r="E442" s="728"/>
      <c r="F442" s="728"/>
      <c r="G442" s="728"/>
      <c r="H442" s="728"/>
      <c r="I442" s="728"/>
      <c r="J442" s="728"/>
      <c r="K442" s="728"/>
      <c r="L442" s="728"/>
      <c r="M442" s="728"/>
      <c r="N442" s="728"/>
      <c r="O442" s="728"/>
      <c r="P442" s="728"/>
      <c r="Q442" s="728"/>
      <c r="R442" s="728"/>
      <c r="S442" s="728"/>
      <c r="T442" s="728"/>
      <c r="U442" s="728"/>
      <c r="V442" s="728"/>
      <c r="W442" s="728"/>
      <c r="X442" s="728"/>
      <c r="Y442" s="728"/>
      <c r="Z442" s="728"/>
      <c r="AA442" s="728"/>
      <c r="AB442" s="728"/>
      <c r="AC442" s="728"/>
      <c r="AD442" s="728"/>
      <c r="AE442" s="728"/>
      <c r="AF442" s="728"/>
      <c r="AG442" s="728"/>
      <c r="AH442" s="728"/>
      <c r="AI442" s="728"/>
      <c r="AJ442" s="728"/>
      <c r="AK442" s="728"/>
      <c r="AL442" s="728"/>
      <c r="AM442" s="728"/>
      <c r="AN442" s="728"/>
      <c r="AO442" s="728"/>
      <c r="AP442" s="728"/>
      <c r="AQ442" s="728"/>
      <c r="AR442" s="728"/>
      <c r="AS442" s="728"/>
      <c r="AT442" s="728"/>
      <c r="AU442" s="728"/>
      <c r="AV442" s="730"/>
      <c r="AW442" s="730"/>
      <c r="AX442" s="730"/>
      <c r="AY442" s="730"/>
      <c r="AZ442" s="730"/>
      <c r="BA442" s="698"/>
      <c r="BB442" s="698"/>
      <c r="BC442" s="698"/>
      <c r="BD442" s="698"/>
      <c r="BE442" s="698"/>
      <c r="BF442" s="643"/>
      <c r="BG442" s="643"/>
      <c r="BH442" s="307"/>
      <c r="BI442" s="307"/>
      <c r="BJ442" s="307"/>
      <c r="BK442" s="307"/>
      <c r="BU442" s="40">
        <f t="shared" si="302"/>
        <v>0</v>
      </c>
      <c r="BV442" s="40">
        <f t="shared" si="306"/>
        <v>0</v>
      </c>
      <c r="BW442" s="40">
        <f t="shared" si="306"/>
        <v>0</v>
      </c>
      <c r="BX442" s="40">
        <f t="shared" si="306"/>
        <v>0</v>
      </c>
      <c r="BY442" s="40">
        <f t="shared" si="306"/>
        <v>0</v>
      </c>
      <c r="BZ442" s="40">
        <f t="shared" si="306"/>
        <v>0</v>
      </c>
      <c r="CA442" s="40">
        <f t="shared" si="306"/>
        <v>0</v>
      </c>
      <c r="CB442" s="40">
        <f t="shared" si="306"/>
        <v>0</v>
      </c>
      <c r="CC442" s="40">
        <f t="shared" si="306"/>
        <v>0</v>
      </c>
      <c r="CD442" s="40">
        <f t="shared" si="306"/>
        <v>0</v>
      </c>
      <c r="CE442" s="307"/>
      <c r="CF442" s="307"/>
      <c r="CG442" s="307"/>
    </row>
    <row r="443" spans="2:91" s="25" customFormat="1">
      <c r="B443" s="728"/>
      <c r="C443" s="728"/>
      <c r="D443" s="728"/>
      <c r="E443" s="728"/>
      <c r="F443" s="728"/>
      <c r="G443" s="728"/>
      <c r="H443" s="728"/>
      <c r="I443" s="728"/>
      <c r="J443" s="728"/>
      <c r="K443" s="728"/>
      <c r="L443" s="728"/>
      <c r="M443" s="728"/>
      <c r="N443" s="728"/>
      <c r="O443" s="728"/>
      <c r="P443" s="728"/>
      <c r="Q443" s="728"/>
      <c r="R443" s="728"/>
      <c r="S443" s="728"/>
      <c r="T443" s="728"/>
      <c r="U443" s="728"/>
      <c r="V443" s="728"/>
      <c r="W443" s="728"/>
      <c r="X443" s="728"/>
      <c r="Y443" s="728"/>
      <c r="Z443" s="728"/>
      <c r="AA443" s="728"/>
      <c r="AB443" s="728"/>
      <c r="AC443" s="728"/>
      <c r="AD443" s="728"/>
      <c r="AE443" s="728"/>
      <c r="AF443" s="728"/>
      <c r="AG443" s="728"/>
      <c r="AH443" s="728"/>
      <c r="AI443" s="728"/>
      <c r="AJ443" s="728"/>
      <c r="AK443" s="728"/>
      <c r="AL443" s="728"/>
      <c r="AM443" s="728"/>
      <c r="AN443" s="728"/>
      <c r="AO443" s="728"/>
      <c r="AP443" s="728"/>
      <c r="AQ443" s="728"/>
      <c r="AR443" s="728"/>
      <c r="AS443" s="728"/>
      <c r="AT443" s="728"/>
      <c r="AU443" s="728"/>
      <c r="AV443" s="730"/>
      <c r="AW443" s="730"/>
      <c r="AX443" s="730"/>
      <c r="AY443" s="730"/>
      <c r="AZ443" s="730"/>
      <c r="BA443" s="698"/>
      <c r="BB443" s="698"/>
      <c r="BC443" s="698"/>
      <c r="BD443" s="698"/>
      <c r="BE443" s="698"/>
      <c r="BF443" s="643"/>
      <c r="BG443" s="307"/>
      <c r="BH443" s="307"/>
      <c r="BI443" s="307"/>
      <c r="BJ443" s="307"/>
      <c r="BK443" s="307"/>
      <c r="BU443" s="40">
        <f t="shared" si="302"/>
        <v>0</v>
      </c>
      <c r="BV443" s="40">
        <f t="shared" si="306"/>
        <v>0</v>
      </c>
      <c r="BW443" s="40">
        <f t="shared" si="306"/>
        <v>0</v>
      </c>
      <c r="BX443" s="40">
        <f t="shared" si="306"/>
        <v>0</v>
      </c>
      <c r="BY443" s="40">
        <f t="shared" si="306"/>
        <v>0</v>
      </c>
      <c r="BZ443" s="40">
        <f t="shared" si="306"/>
        <v>0</v>
      </c>
      <c r="CA443" s="40">
        <f t="shared" si="306"/>
        <v>0</v>
      </c>
      <c r="CB443" s="40">
        <f t="shared" si="306"/>
        <v>0</v>
      </c>
      <c r="CC443" s="40">
        <f t="shared" si="306"/>
        <v>0</v>
      </c>
      <c r="CD443" s="40">
        <f t="shared" si="306"/>
        <v>0</v>
      </c>
      <c r="CE443" s="307"/>
      <c r="CF443" s="307"/>
      <c r="CG443" s="307"/>
    </row>
    <row r="444" spans="2:91" s="25" customFormat="1">
      <c r="B444" s="728"/>
      <c r="C444" s="728"/>
      <c r="D444" s="728"/>
      <c r="E444" s="728"/>
      <c r="F444" s="728"/>
      <c r="G444" s="728"/>
      <c r="H444" s="728"/>
      <c r="I444" s="728"/>
      <c r="J444" s="728"/>
      <c r="K444" s="728"/>
      <c r="L444" s="728"/>
      <c r="M444" s="728"/>
      <c r="N444" s="728"/>
      <c r="O444" s="728"/>
      <c r="P444" s="728"/>
      <c r="Q444" s="728"/>
      <c r="R444" s="728"/>
      <c r="S444" s="728"/>
      <c r="T444" s="728"/>
      <c r="U444" s="728"/>
      <c r="V444" s="728"/>
      <c r="W444" s="728"/>
      <c r="X444" s="728"/>
      <c r="Y444" s="728"/>
      <c r="Z444" s="728"/>
      <c r="AA444" s="728"/>
      <c r="AB444" s="728"/>
      <c r="AC444" s="728"/>
      <c r="AD444" s="728"/>
      <c r="AE444" s="728"/>
      <c r="AF444" s="728"/>
      <c r="AG444" s="728"/>
      <c r="AH444" s="728"/>
      <c r="AI444" s="728"/>
      <c r="AJ444" s="728"/>
      <c r="AK444" s="728"/>
      <c r="AL444" s="728"/>
      <c r="AM444" s="728"/>
      <c r="AN444" s="728"/>
      <c r="AO444" s="728"/>
      <c r="AP444" s="728"/>
      <c r="AQ444" s="728"/>
      <c r="AR444" s="728"/>
      <c r="AS444" s="728"/>
      <c r="AT444" s="728"/>
      <c r="AU444" s="728"/>
      <c r="AV444" s="730"/>
      <c r="AW444" s="730"/>
      <c r="AX444" s="730"/>
      <c r="AY444" s="730"/>
      <c r="AZ444" s="730"/>
      <c r="BA444" s="698"/>
      <c r="BB444" s="698"/>
      <c r="BC444" s="698"/>
      <c r="BD444" s="698"/>
      <c r="BE444" s="698"/>
      <c r="BF444" s="643"/>
      <c r="BG444" s="643"/>
      <c r="BH444" s="307"/>
      <c r="BI444" s="307"/>
      <c r="BJ444" s="307"/>
      <c r="BK444" s="307"/>
      <c r="BU444" s="40">
        <f t="shared" si="302"/>
        <v>0</v>
      </c>
      <c r="BV444" s="40">
        <f t="shared" si="306"/>
        <v>0</v>
      </c>
      <c r="BW444" s="40">
        <f t="shared" si="306"/>
        <v>0</v>
      </c>
      <c r="BX444" s="40">
        <f t="shared" si="306"/>
        <v>0</v>
      </c>
      <c r="BY444" s="40">
        <f t="shared" si="306"/>
        <v>0</v>
      </c>
      <c r="BZ444" s="40">
        <f t="shared" si="306"/>
        <v>0</v>
      </c>
      <c r="CA444" s="40">
        <f t="shared" si="306"/>
        <v>0</v>
      </c>
      <c r="CB444" s="40">
        <f t="shared" si="306"/>
        <v>0</v>
      </c>
      <c r="CC444" s="40">
        <f t="shared" si="306"/>
        <v>0</v>
      </c>
      <c r="CD444" s="40">
        <f t="shared" si="306"/>
        <v>0</v>
      </c>
      <c r="CE444" s="307"/>
      <c r="CF444" s="307"/>
      <c r="CG444" s="307"/>
    </row>
    <row r="445" spans="2:91" s="25" customFormat="1" ht="16.5" thickBot="1">
      <c r="B445" s="738"/>
      <c r="C445" s="738"/>
      <c r="D445" s="738"/>
      <c r="E445" s="738"/>
      <c r="F445" s="738"/>
      <c r="G445" s="738"/>
      <c r="H445" s="738"/>
      <c r="I445" s="738"/>
      <c r="J445" s="738"/>
      <c r="K445" s="738"/>
      <c r="L445" s="738"/>
      <c r="M445" s="738"/>
      <c r="N445" s="738"/>
      <c r="O445" s="738"/>
      <c r="P445" s="738"/>
      <c r="Q445" s="738"/>
      <c r="R445" s="738"/>
      <c r="S445" s="738"/>
      <c r="T445" s="738"/>
      <c r="U445" s="738"/>
      <c r="V445" s="738"/>
      <c r="W445" s="738"/>
      <c r="X445" s="738"/>
      <c r="Y445" s="738"/>
      <c r="Z445" s="738"/>
      <c r="AA445" s="738"/>
      <c r="AB445" s="738"/>
      <c r="AC445" s="738"/>
      <c r="AD445" s="738"/>
      <c r="AE445" s="738"/>
      <c r="AF445" s="738"/>
      <c r="AG445" s="738"/>
      <c r="AH445" s="738"/>
      <c r="AI445" s="738"/>
      <c r="AJ445" s="738"/>
      <c r="AK445" s="738"/>
      <c r="AL445" s="738"/>
      <c r="AM445" s="738"/>
      <c r="AN445" s="738"/>
      <c r="AO445" s="738"/>
      <c r="AP445" s="738"/>
      <c r="AQ445" s="738"/>
      <c r="AR445" s="738"/>
      <c r="AS445" s="738"/>
      <c r="AT445" s="738"/>
      <c r="AU445" s="738"/>
      <c r="AV445" s="739"/>
      <c r="AW445" s="739"/>
      <c r="AX445" s="739"/>
      <c r="AY445" s="739"/>
      <c r="AZ445" s="739"/>
      <c r="BA445" s="740"/>
      <c r="BB445" s="740"/>
      <c r="BC445" s="740"/>
      <c r="BD445" s="740"/>
      <c r="BE445" s="698"/>
      <c r="BF445" s="643"/>
      <c r="BG445" s="643"/>
      <c r="BH445" s="307"/>
      <c r="BI445" s="307"/>
      <c r="BJ445" s="307"/>
      <c r="BK445" s="307"/>
      <c r="BU445" s="40">
        <f t="shared" si="302"/>
        <v>0</v>
      </c>
      <c r="BV445" s="40">
        <f t="shared" si="306"/>
        <v>0</v>
      </c>
      <c r="BW445" s="40">
        <f t="shared" si="306"/>
        <v>0</v>
      </c>
      <c r="BX445" s="40">
        <f t="shared" si="306"/>
        <v>0</v>
      </c>
      <c r="BY445" s="40">
        <f t="shared" si="306"/>
        <v>0</v>
      </c>
      <c r="BZ445" s="40">
        <f t="shared" si="306"/>
        <v>0</v>
      </c>
      <c r="CA445" s="40">
        <f t="shared" si="306"/>
        <v>0</v>
      </c>
      <c r="CB445" s="40">
        <f t="shared" si="306"/>
        <v>0</v>
      </c>
      <c r="CC445" s="40">
        <f t="shared" si="306"/>
        <v>0</v>
      </c>
      <c r="CD445" s="40">
        <f t="shared" si="306"/>
        <v>0</v>
      </c>
      <c r="CE445" s="307"/>
      <c r="CF445" s="307"/>
      <c r="CG445" s="307"/>
    </row>
    <row r="446" spans="2:91" s="25" customFormat="1">
      <c r="B446" s="725"/>
      <c r="C446" s="725"/>
      <c r="D446" s="725"/>
      <c r="E446" s="725"/>
      <c r="F446" s="725"/>
      <c r="G446" s="725"/>
      <c r="H446" s="725"/>
      <c r="I446" s="725"/>
      <c r="J446" s="725"/>
      <c r="K446" s="725"/>
      <c r="L446" s="725"/>
      <c r="M446" s="725"/>
      <c r="N446" s="725"/>
      <c r="O446" s="725"/>
      <c r="P446" s="725"/>
      <c r="Q446" s="725"/>
      <c r="R446" s="725"/>
      <c r="S446" s="725"/>
      <c r="T446" s="725"/>
      <c r="U446" s="725"/>
      <c r="V446" s="725"/>
      <c r="W446" s="725"/>
      <c r="X446" s="725"/>
      <c r="Y446" s="725"/>
      <c r="Z446" s="725"/>
      <c r="AA446" s="725"/>
      <c r="AB446" s="725"/>
      <c r="AC446" s="725"/>
      <c r="AD446" s="725"/>
      <c r="AE446" s="725"/>
      <c r="AF446" s="725"/>
      <c r="AG446" s="725"/>
      <c r="AH446" s="725"/>
      <c r="AI446" s="725"/>
      <c r="AJ446" s="725"/>
      <c r="AK446" s="725"/>
      <c r="AL446" s="725"/>
      <c r="AM446" s="725"/>
      <c r="AN446" s="725"/>
      <c r="AO446" s="725"/>
      <c r="AP446" s="725"/>
      <c r="AQ446" s="725"/>
      <c r="AR446" s="725"/>
      <c r="AS446" s="725"/>
      <c r="AT446" s="725"/>
      <c r="AU446" s="725"/>
      <c r="AV446" s="643"/>
      <c r="AW446" s="643"/>
      <c r="AX446" s="643"/>
      <c r="AY446" s="643"/>
      <c r="AZ446" s="643"/>
      <c r="BA446" s="643"/>
      <c r="BB446" s="643"/>
      <c r="BC446" s="643"/>
      <c r="BD446" s="643"/>
      <c r="BE446" s="643"/>
      <c r="BF446" s="643"/>
      <c r="BG446" s="643"/>
      <c r="BH446" s="307"/>
      <c r="BI446" s="307"/>
      <c r="BJ446" s="307"/>
      <c r="BK446" s="307"/>
      <c r="BU446" s="40">
        <f t="shared" si="302"/>
        <v>0</v>
      </c>
      <c r="BV446" s="40">
        <f t="shared" si="306"/>
        <v>0</v>
      </c>
      <c r="BW446" s="40">
        <f t="shared" si="306"/>
        <v>0</v>
      </c>
      <c r="BX446" s="40">
        <f t="shared" si="306"/>
        <v>0</v>
      </c>
      <c r="BY446" s="40">
        <f t="shared" si="306"/>
        <v>0</v>
      </c>
      <c r="BZ446" s="40">
        <f t="shared" si="306"/>
        <v>0</v>
      </c>
      <c r="CA446" s="40">
        <f t="shared" si="306"/>
        <v>0</v>
      </c>
      <c r="CB446" s="40">
        <f t="shared" si="306"/>
        <v>0</v>
      </c>
      <c r="CC446" s="40">
        <f t="shared" si="306"/>
        <v>0</v>
      </c>
      <c r="CD446" s="40">
        <f t="shared" si="306"/>
        <v>0</v>
      </c>
      <c r="CE446" s="307"/>
      <c r="CF446" s="307"/>
      <c r="CG446" s="307"/>
    </row>
    <row r="447" spans="2:91" s="25" customFormat="1">
      <c r="B447" s="725"/>
      <c r="C447" s="725"/>
      <c r="D447" s="725"/>
      <c r="E447" s="725"/>
      <c r="F447" s="725"/>
      <c r="G447" s="725"/>
      <c r="H447" s="725"/>
      <c r="I447" s="725"/>
      <c r="J447" s="725"/>
      <c r="K447" s="725"/>
      <c r="L447" s="725"/>
      <c r="M447" s="725"/>
      <c r="N447" s="725"/>
      <c r="O447" s="725"/>
      <c r="P447" s="725"/>
      <c r="Q447" s="725"/>
      <c r="R447" s="725"/>
      <c r="S447" s="725"/>
      <c r="T447" s="725"/>
      <c r="U447" s="725"/>
      <c r="V447" s="725"/>
      <c r="W447" s="725"/>
      <c r="X447" s="725"/>
      <c r="Y447" s="725"/>
      <c r="Z447" s="725"/>
      <c r="AA447" s="725"/>
      <c r="AB447" s="725"/>
      <c r="AC447" s="725"/>
      <c r="AD447" s="725"/>
      <c r="AE447" s="725"/>
      <c r="AF447" s="725"/>
      <c r="AG447" s="725"/>
      <c r="AH447" s="725"/>
      <c r="AI447" s="725"/>
      <c r="AJ447" s="725"/>
      <c r="AK447" s="725"/>
      <c r="AL447" s="725"/>
      <c r="AM447" s="725"/>
      <c r="AN447" s="725"/>
      <c r="AO447" s="725"/>
      <c r="AP447" s="725"/>
      <c r="AQ447" s="725"/>
      <c r="AR447" s="725"/>
      <c r="AS447" s="725"/>
      <c r="AT447" s="725"/>
      <c r="AU447" s="725"/>
      <c r="AV447" s="643"/>
      <c r="AW447" s="643"/>
      <c r="AX447" s="643"/>
      <c r="AY447" s="643"/>
      <c r="AZ447" s="643"/>
      <c r="BA447" s="643"/>
      <c r="BB447" s="643"/>
      <c r="BC447" s="643"/>
      <c r="BD447" s="643"/>
      <c r="BE447" s="643"/>
      <c r="BF447" s="643"/>
      <c r="BG447" s="643"/>
      <c r="BH447" s="643">
        <v>280.323058</v>
      </c>
      <c r="BI447" s="307">
        <v>288.73275000000001</v>
      </c>
      <c r="BJ447" s="307"/>
      <c r="BK447" s="307"/>
      <c r="BU447" s="40">
        <f t="shared" si="302"/>
        <v>0</v>
      </c>
      <c r="BV447" s="40">
        <f t="shared" si="306"/>
        <v>0</v>
      </c>
      <c r="BW447" s="40">
        <f t="shared" si="306"/>
        <v>0</v>
      </c>
      <c r="BX447" s="40">
        <f t="shared" si="306"/>
        <v>0</v>
      </c>
      <c r="BY447" s="40">
        <f t="shared" si="306"/>
        <v>0</v>
      </c>
      <c r="BZ447" s="40">
        <f t="shared" si="306"/>
        <v>0</v>
      </c>
      <c r="CA447" s="40">
        <f t="shared" si="306"/>
        <v>0</v>
      </c>
      <c r="CB447" s="40">
        <f t="shared" si="306"/>
        <v>0</v>
      </c>
      <c r="CC447" s="40">
        <f t="shared" si="306"/>
        <v>0</v>
      </c>
      <c r="CD447" s="40">
        <f t="shared" si="306"/>
        <v>0</v>
      </c>
      <c r="CE447" s="307"/>
      <c r="CF447" s="307"/>
      <c r="CG447" s="307"/>
    </row>
    <row r="448" spans="2:91" s="25" customFormat="1">
      <c r="B448" s="747"/>
      <c r="C448" s="747"/>
      <c r="D448" s="747"/>
      <c r="E448" s="747"/>
      <c r="F448" s="747"/>
      <c r="G448" s="747"/>
      <c r="H448" s="747"/>
      <c r="I448" s="747"/>
      <c r="J448" s="747"/>
      <c r="K448" s="747"/>
      <c r="L448" s="747"/>
      <c r="M448" s="747"/>
      <c r="N448" s="747"/>
      <c r="O448" s="747"/>
      <c r="P448" s="747"/>
      <c r="Q448" s="747"/>
      <c r="R448" s="747"/>
      <c r="S448" s="747"/>
      <c r="T448" s="747"/>
      <c r="U448" s="747"/>
      <c r="V448" s="747"/>
      <c r="W448" s="747"/>
      <c r="X448" s="747"/>
      <c r="Y448" s="747"/>
      <c r="Z448" s="747"/>
      <c r="AA448" s="747"/>
      <c r="AB448" s="747"/>
      <c r="AC448" s="747"/>
      <c r="AD448" s="747"/>
      <c r="AE448" s="747"/>
      <c r="AF448" s="747"/>
      <c r="AG448" s="747"/>
      <c r="AH448" s="747"/>
      <c r="AI448" s="747"/>
      <c r="AJ448" s="747"/>
      <c r="AK448" s="747"/>
      <c r="AL448" s="747"/>
      <c r="AM448" s="747"/>
      <c r="AN448" s="747"/>
      <c r="AO448" s="747"/>
      <c r="AP448" s="747"/>
      <c r="AQ448" s="747"/>
      <c r="AR448" s="747"/>
      <c r="AS448" s="747"/>
      <c r="AT448" s="747"/>
      <c r="AU448" s="747"/>
      <c r="AV448" s="682"/>
      <c r="AW448" s="682"/>
      <c r="AX448" s="682"/>
      <c r="AY448" s="682"/>
      <c r="AZ448" s="682"/>
      <c r="BA448" s="682"/>
      <c r="BB448" s="682"/>
      <c r="BC448" s="682"/>
      <c r="BD448" s="682"/>
      <c r="BE448" s="748"/>
      <c r="BF448" s="674"/>
      <c r="BG448" s="674"/>
      <c r="BH448" s="307"/>
      <c r="BI448" s="307"/>
      <c r="BJ448" s="307"/>
      <c r="BK448" s="307"/>
      <c r="BU448" s="40">
        <f t="shared" si="302"/>
        <v>0</v>
      </c>
      <c r="BV448" s="40">
        <f t="shared" si="306"/>
        <v>0</v>
      </c>
      <c r="BW448" s="40">
        <f t="shared" si="306"/>
        <v>0</v>
      </c>
      <c r="BX448" s="40">
        <f t="shared" si="306"/>
        <v>0</v>
      </c>
      <c r="BY448" s="40">
        <f t="shared" si="306"/>
        <v>0</v>
      </c>
      <c r="BZ448" s="40">
        <f t="shared" si="306"/>
        <v>0</v>
      </c>
      <c r="CA448" s="40">
        <f t="shared" si="306"/>
        <v>0</v>
      </c>
      <c r="CB448" s="40">
        <f t="shared" si="306"/>
        <v>0</v>
      </c>
      <c r="CC448" s="40">
        <f t="shared" si="306"/>
        <v>0</v>
      </c>
      <c r="CD448" s="40">
        <f t="shared" si="306"/>
        <v>0</v>
      </c>
      <c r="CE448" s="307"/>
      <c r="CF448" s="307"/>
      <c r="CG448" s="307"/>
    </row>
    <row r="449" spans="2:91" s="25" customFormat="1">
      <c r="B449" s="747" t="s">
        <v>3265</v>
      </c>
      <c r="C449" s="747"/>
      <c r="D449" s="747"/>
      <c r="E449" s="747"/>
      <c r="F449" s="747"/>
      <c r="G449" s="747"/>
      <c r="H449" s="747"/>
      <c r="I449" s="747"/>
      <c r="J449" s="747"/>
      <c r="K449" s="747"/>
      <c r="L449" s="747"/>
      <c r="M449" s="747"/>
      <c r="N449" s="747"/>
      <c r="O449" s="747"/>
      <c r="P449" s="747"/>
      <c r="Q449" s="747"/>
      <c r="R449" s="747"/>
      <c r="S449" s="747"/>
      <c r="T449" s="747"/>
      <c r="U449" s="747"/>
      <c r="V449" s="747"/>
      <c r="W449" s="747"/>
      <c r="X449" s="747"/>
      <c r="Y449" s="747"/>
      <c r="Z449" s="747"/>
      <c r="AA449" s="747"/>
      <c r="AB449" s="747"/>
      <c r="AC449" s="747"/>
      <c r="AD449" s="747"/>
      <c r="AE449" s="747"/>
      <c r="AF449" s="747"/>
      <c r="AG449" s="747"/>
      <c r="AH449" s="747"/>
      <c r="AI449" s="747"/>
      <c r="AJ449" s="747"/>
      <c r="AK449" s="747"/>
      <c r="AL449" s="747"/>
      <c r="AM449" s="747"/>
      <c r="AN449" s="747"/>
      <c r="AO449" s="747"/>
      <c r="AP449" s="747"/>
      <c r="AQ449" s="747"/>
      <c r="AR449" s="747"/>
      <c r="AS449" s="747"/>
      <c r="AT449" s="747"/>
      <c r="AU449" s="747"/>
      <c r="AV449" s="494">
        <f t="shared" ref="AV449:BK449" si="310">AV453+AV458+AV460+AV462</f>
        <v>33.597454522</v>
      </c>
      <c r="AW449" s="494">
        <f t="shared" si="310"/>
        <v>23.858137741</v>
      </c>
      <c r="AX449" s="494">
        <f t="shared" si="310"/>
        <v>39.651000000000003</v>
      </c>
      <c r="AY449" s="494">
        <f t="shared" si="310"/>
        <v>53.699999999999996</v>
      </c>
      <c r="AZ449" s="494">
        <f t="shared" si="310"/>
        <v>74.239000000000004</v>
      </c>
      <c r="BA449" s="682">
        <f t="shared" si="310"/>
        <v>224120.89300000004</v>
      </c>
      <c r="BB449" s="682">
        <f t="shared" si="310"/>
        <v>264785.52299999999</v>
      </c>
      <c r="BC449" s="682">
        <f t="shared" si="310"/>
        <v>345018.11099999998</v>
      </c>
      <c r="BD449" s="682">
        <f t="shared" si="310"/>
        <v>369.915436</v>
      </c>
      <c r="BE449" s="682">
        <f t="shared" si="310"/>
        <v>393.34717000000001</v>
      </c>
      <c r="BF449" s="682">
        <f t="shared" si="310"/>
        <v>535.30166499999996</v>
      </c>
      <c r="BG449" s="682">
        <f t="shared" si="310"/>
        <v>602.45012599999995</v>
      </c>
      <c r="BH449" s="682">
        <f t="shared" si="310"/>
        <v>557.70462800000007</v>
      </c>
      <c r="BI449" s="682">
        <f t="shared" si="310"/>
        <v>636.51080737000007</v>
      </c>
      <c r="BJ449" s="682">
        <f t="shared" si="310"/>
        <v>672.36271899999997</v>
      </c>
      <c r="BK449" s="682">
        <f t="shared" si="310"/>
        <v>1053.8720814000001</v>
      </c>
      <c r="BU449" s="40">
        <f t="shared" si="302"/>
        <v>0</v>
      </c>
      <c r="BV449" s="40">
        <f t="shared" si="306"/>
        <v>0</v>
      </c>
      <c r="BW449" s="40">
        <f t="shared" si="306"/>
        <v>0</v>
      </c>
      <c r="BX449" s="40">
        <f t="shared" si="306"/>
        <v>0</v>
      </c>
      <c r="BY449" s="40">
        <f t="shared" si="306"/>
        <v>0</v>
      </c>
      <c r="BZ449" s="40">
        <f t="shared" si="306"/>
        <v>0</v>
      </c>
      <c r="CA449" s="40">
        <f t="shared" si="306"/>
        <v>0</v>
      </c>
      <c r="CB449" s="40">
        <f t="shared" si="306"/>
        <v>0</v>
      </c>
      <c r="CC449" s="40">
        <f t="shared" si="306"/>
        <v>0</v>
      </c>
      <c r="CD449" s="40">
        <f t="shared" si="306"/>
        <v>0</v>
      </c>
      <c r="CE449" s="682"/>
      <c r="CF449" s="682"/>
      <c r="CG449" s="682"/>
    </row>
    <row r="450" spans="2:91" s="25" customFormat="1">
      <c r="B450" s="747"/>
      <c r="C450" s="747"/>
      <c r="D450" s="747"/>
      <c r="E450" s="747"/>
      <c r="F450" s="747"/>
      <c r="G450" s="747"/>
      <c r="H450" s="747"/>
      <c r="I450" s="747"/>
      <c r="J450" s="747"/>
      <c r="K450" s="747"/>
      <c r="L450" s="747"/>
      <c r="M450" s="747"/>
      <c r="N450" s="747"/>
      <c r="O450" s="747"/>
      <c r="P450" s="747"/>
      <c r="Q450" s="747"/>
      <c r="R450" s="747"/>
      <c r="S450" s="747"/>
      <c r="T450" s="747"/>
      <c r="U450" s="747"/>
      <c r="V450" s="747"/>
      <c r="W450" s="747"/>
      <c r="X450" s="747"/>
      <c r="Y450" s="747"/>
      <c r="Z450" s="747"/>
      <c r="AA450" s="747"/>
      <c r="AB450" s="747"/>
      <c r="AC450" s="747"/>
      <c r="AD450" s="747"/>
      <c r="AE450" s="747"/>
      <c r="AF450" s="747"/>
      <c r="AG450" s="747"/>
      <c r="AH450" s="747"/>
      <c r="AI450" s="747"/>
      <c r="AJ450" s="747"/>
      <c r="AK450" s="747"/>
      <c r="AL450" s="747"/>
      <c r="AM450" s="747"/>
      <c r="AN450" s="747"/>
      <c r="AO450" s="747"/>
      <c r="AP450" s="747"/>
      <c r="AQ450" s="747"/>
      <c r="AR450" s="747"/>
      <c r="AS450" s="747"/>
      <c r="AT450" s="747"/>
      <c r="AU450" s="747"/>
      <c r="AV450" s="682"/>
      <c r="AW450" s="682"/>
      <c r="AX450" s="682"/>
      <c r="AY450" s="682"/>
      <c r="AZ450" s="682"/>
      <c r="BA450" s="682"/>
      <c r="BB450" s="682"/>
      <c r="BC450" s="682"/>
      <c r="BD450" s="682">
        <v>116.62951200000001</v>
      </c>
      <c r="BE450" s="748">
        <v>139.62088299999999</v>
      </c>
      <c r="BF450" s="674"/>
      <c r="BG450" s="674"/>
      <c r="BH450" s="307"/>
      <c r="BI450" s="307"/>
      <c r="BJ450" s="307"/>
      <c r="BK450" s="307"/>
      <c r="BU450" s="40">
        <f t="shared" si="302"/>
        <v>0</v>
      </c>
      <c r="BV450" s="40">
        <f t="shared" si="306"/>
        <v>0</v>
      </c>
      <c r="BW450" s="40">
        <f t="shared" si="306"/>
        <v>0</v>
      </c>
      <c r="BX450" s="40">
        <f t="shared" si="306"/>
        <v>0</v>
      </c>
      <c r="BY450" s="40">
        <f t="shared" si="306"/>
        <v>0</v>
      </c>
      <c r="BZ450" s="40">
        <f t="shared" si="306"/>
        <v>0</v>
      </c>
      <c r="CA450" s="40">
        <f t="shared" si="306"/>
        <v>0</v>
      </c>
      <c r="CB450" s="40">
        <f t="shared" si="306"/>
        <v>0</v>
      </c>
      <c r="CC450" s="40">
        <f t="shared" si="306"/>
        <v>0</v>
      </c>
      <c r="CD450" s="40">
        <f t="shared" si="306"/>
        <v>0</v>
      </c>
      <c r="CE450" s="307"/>
      <c r="CF450" s="307"/>
      <c r="CG450" s="307"/>
    </row>
    <row r="451" spans="2:91" s="25" customFormat="1">
      <c r="B451" s="747"/>
      <c r="C451" s="747"/>
      <c r="D451" s="747"/>
      <c r="E451" s="747"/>
      <c r="F451" s="747"/>
      <c r="G451" s="747"/>
      <c r="H451" s="747"/>
      <c r="I451" s="747"/>
      <c r="J451" s="747"/>
      <c r="K451" s="747"/>
      <c r="L451" s="747"/>
      <c r="M451" s="747"/>
      <c r="N451" s="747"/>
      <c r="O451" s="747"/>
      <c r="P451" s="747"/>
      <c r="Q451" s="747"/>
      <c r="R451" s="747"/>
      <c r="S451" s="747"/>
      <c r="T451" s="747"/>
      <c r="U451" s="747"/>
      <c r="V451" s="747"/>
      <c r="W451" s="747"/>
      <c r="X451" s="747"/>
      <c r="Y451" s="747"/>
      <c r="Z451" s="747"/>
      <c r="AA451" s="747"/>
      <c r="AB451" s="747"/>
      <c r="AC451" s="747"/>
      <c r="AD451" s="747"/>
      <c r="AE451" s="747"/>
      <c r="AF451" s="747"/>
      <c r="AG451" s="747"/>
      <c r="AH451" s="747"/>
      <c r="AI451" s="747"/>
      <c r="AJ451" s="747"/>
      <c r="AK451" s="747"/>
      <c r="AL451" s="747"/>
      <c r="AM451" s="747"/>
      <c r="AN451" s="747"/>
      <c r="AO451" s="747"/>
      <c r="AP451" s="747"/>
      <c r="AQ451" s="747"/>
      <c r="AR451" s="747"/>
      <c r="AS451" s="747"/>
      <c r="AT451" s="747"/>
      <c r="AU451" s="747"/>
      <c r="AV451" s="682"/>
      <c r="AW451" s="682"/>
      <c r="AX451" s="682"/>
      <c r="AY451" s="682"/>
      <c r="AZ451" s="682"/>
      <c r="BA451" s="748">
        <v>0.6916439445314716</v>
      </c>
      <c r="BB451" s="748">
        <v>0.69431377247793713</v>
      </c>
      <c r="BC451" s="748">
        <v>0.63109330868494617</v>
      </c>
      <c r="BD451" s="748">
        <v>0.64611824210626811</v>
      </c>
      <c r="BE451" s="748">
        <v>0.65817116264166242</v>
      </c>
      <c r="BF451" s="748">
        <v>0.64131318347199406</v>
      </c>
      <c r="BG451" s="748">
        <v>0.64131318347199406</v>
      </c>
      <c r="BH451" s="307"/>
      <c r="BI451" s="307"/>
      <c r="BJ451" s="307"/>
      <c r="BK451" s="307"/>
      <c r="BU451" s="40">
        <f t="shared" si="302"/>
        <v>0</v>
      </c>
      <c r="BV451" s="40">
        <f t="shared" ref="BV451:CD461" si="311">BU451</f>
        <v>0</v>
      </c>
      <c r="BW451" s="40">
        <f t="shared" si="311"/>
        <v>0</v>
      </c>
      <c r="BX451" s="40">
        <f t="shared" si="311"/>
        <v>0</v>
      </c>
      <c r="BY451" s="40">
        <f t="shared" si="311"/>
        <v>0</v>
      </c>
      <c r="BZ451" s="40">
        <f t="shared" si="311"/>
        <v>0</v>
      </c>
      <c r="CA451" s="40">
        <f t="shared" si="311"/>
        <v>0</v>
      </c>
      <c r="CB451" s="40">
        <f t="shared" si="311"/>
        <v>0</v>
      </c>
      <c r="CC451" s="40">
        <f t="shared" si="311"/>
        <v>0</v>
      </c>
      <c r="CD451" s="40">
        <f t="shared" si="311"/>
        <v>0</v>
      </c>
      <c r="CE451" s="307"/>
      <c r="CF451" s="307"/>
      <c r="CG451" s="307"/>
    </row>
    <row r="452" spans="2:91" s="25" customFormat="1">
      <c r="B452" s="749"/>
      <c r="C452" s="749"/>
      <c r="D452" s="749"/>
      <c r="E452" s="749"/>
      <c r="F452" s="749"/>
      <c r="G452" s="749"/>
      <c r="H452" s="749"/>
      <c r="I452" s="749"/>
      <c r="J452" s="749"/>
      <c r="K452" s="749"/>
      <c r="L452" s="749"/>
      <c r="M452" s="749"/>
      <c r="N452" s="749"/>
      <c r="O452" s="749"/>
      <c r="P452" s="749"/>
      <c r="Q452" s="749"/>
      <c r="R452" s="749"/>
      <c r="S452" s="749"/>
      <c r="T452" s="749"/>
      <c r="U452" s="749"/>
      <c r="V452" s="749"/>
      <c r="W452" s="749"/>
      <c r="X452" s="749"/>
      <c r="Y452" s="749"/>
      <c r="Z452" s="749"/>
      <c r="AA452" s="749"/>
      <c r="AB452" s="749"/>
      <c r="AC452" s="749"/>
      <c r="AD452" s="749"/>
      <c r="AE452" s="749"/>
      <c r="AF452" s="749"/>
      <c r="AG452" s="749"/>
      <c r="AH452" s="749"/>
      <c r="AI452" s="749"/>
      <c r="AJ452" s="749"/>
      <c r="AK452" s="749"/>
      <c r="AL452" s="749"/>
      <c r="AM452" s="749"/>
      <c r="AN452" s="749"/>
      <c r="AO452" s="749"/>
      <c r="AP452" s="749"/>
      <c r="AQ452" s="749"/>
      <c r="AR452" s="749"/>
      <c r="AS452" s="749"/>
      <c r="AT452" s="749"/>
      <c r="AU452" s="749"/>
      <c r="AV452" s="462"/>
      <c r="AW452" s="462"/>
      <c r="AX452" s="462"/>
      <c r="AY452" s="462"/>
      <c r="AZ452" s="462"/>
      <c r="BA452" s="643">
        <v>0.30835605546852835</v>
      </c>
      <c r="BB452" s="643">
        <v>0.30568622752206281</v>
      </c>
      <c r="BC452" s="643">
        <v>0.36890669131505377</v>
      </c>
      <c r="BD452" s="643">
        <v>0.35388175789373194</v>
      </c>
      <c r="BE452" s="643">
        <v>0.34182883735833763</v>
      </c>
      <c r="BF452" s="643">
        <v>0.35868681652800594</v>
      </c>
      <c r="BG452" s="643">
        <v>0.35868681652800594</v>
      </c>
      <c r="BH452" s="307">
        <v>256.12407000000002</v>
      </c>
      <c r="BI452" s="307"/>
      <c r="BJ452" s="307"/>
      <c r="BK452" s="307"/>
      <c r="BU452" s="40">
        <f t="shared" si="302"/>
        <v>0</v>
      </c>
      <c r="BV452" s="40">
        <f t="shared" si="311"/>
        <v>0</v>
      </c>
      <c r="BW452" s="40">
        <f t="shared" si="311"/>
        <v>0</v>
      </c>
      <c r="BX452" s="40">
        <f t="shared" si="311"/>
        <v>0</v>
      </c>
      <c r="BY452" s="40">
        <f t="shared" si="311"/>
        <v>0</v>
      </c>
      <c r="BZ452" s="40">
        <f t="shared" si="311"/>
        <v>0</v>
      </c>
      <c r="CA452" s="40">
        <f t="shared" si="311"/>
        <v>0</v>
      </c>
      <c r="CB452" s="40">
        <f t="shared" si="311"/>
        <v>0</v>
      </c>
      <c r="CC452" s="40">
        <f t="shared" si="311"/>
        <v>0</v>
      </c>
      <c r="CD452" s="40">
        <f t="shared" si="311"/>
        <v>0</v>
      </c>
      <c r="CE452" s="307"/>
      <c r="CF452" s="307"/>
      <c r="CG452" s="307"/>
    </row>
    <row r="453" spans="2:91" s="25" customFormat="1">
      <c r="B453" s="681" t="s">
        <v>1872</v>
      </c>
      <c r="C453" s="681"/>
      <c r="D453" s="681"/>
      <c r="E453" s="681"/>
      <c r="F453" s="681"/>
      <c r="G453" s="681"/>
      <c r="H453" s="681"/>
      <c r="I453" s="681"/>
      <c r="J453" s="681"/>
      <c r="K453" s="681"/>
      <c r="L453" s="681"/>
      <c r="M453" s="681"/>
      <c r="N453" s="681"/>
      <c r="O453" s="681"/>
      <c r="P453" s="681"/>
      <c r="Q453" s="681"/>
      <c r="R453" s="681"/>
      <c r="S453" s="681"/>
      <c r="T453" s="681"/>
      <c r="U453" s="681"/>
      <c r="V453" s="681"/>
      <c r="W453" s="681"/>
      <c r="X453" s="681"/>
      <c r="Y453" s="681"/>
      <c r="Z453" s="681"/>
      <c r="AA453" s="681"/>
      <c r="AB453" s="681"/>
      <c r="AC453" s="681"/>
      <c r="AD453" s="681"/>
      <c r="AE453" s="681"/>
      <c r="AF453" s="681"/>
      <c r="AG453" s="681"/>
      <c r="AH453" s="681"/>
      <c r="AI453" s="681"/>
      <c r="AJ453" s="681"/>
      <c r="AK453" s="681"/>
      <c r="AL453" s="681"/>
      <c r="AM453" s="681"/>
      <c r="AN453" s="681"/>
      <c r="AO453" s="681"/>
      <c r="AP453" s="681"/>
      <c r="AQ453" s="681"/>
      <c r="AR453" s="681"/>
      <c r="AS453" s="681"/>
      <c r="AT453" s="681"/>
      <c r="AU453" s="681"/>
      <c r="AV453" s="727"/>
      <c r="AW453" s="727"/>
      <c r="AX453" s="727"/>
      <c r="AY453" s="727"/>
      <c r="AZ453" s="727"/>
      <c r="BA453" s="727">
        <f t="shared" ref="BA453:BK453" si="312">BA454+BA455</f>
        <v>50989.488999999994</v>
      </c>
      <c r="BB453" s="727">
        <f t="shared" si="312"/>
        <v>57648.77</v>
      </c>
      <c r="BC453" s="727">
        <f t="shared" si="312"/>
        <v>97717.900999999998</v>
      </c>
      <c r="BD453" s="727">
        <f t="shared" si="312"/>
        <v>116.62951200000001</v>
      </c>
      <c r="BE453" s="727">
        <f t="shared" si="312"/>
        <v>139.65088299999999</v>
      </c>
      <c r="BF453" s="727">
        <f t="shared" si="312"/>
        <v>146.93851799999999</v>
      </c>
      <c r="BG453" s="727">
        <f t="shared" si="312"/>
        <v>269.54140200000001</v>
      </c>
      <c r="BH453" s="727">
        <f t="shared" si="312"/>
        <v>280.323058</v>
      </c>
      <c r="BI453" s="750">
        <f>BI426+BI437</f>
        <v>316.64965037000002</v>
      </c>
      <c r="BJ453" s="750">
        <f>BJ426+BJ437</f>
        <v>334.959135</v>
      </c>
      <c r="BK453" s="727">
        <f t="shared" si="312"/>
        <v>481.58131739999999</v>
      </c>
      <c r="BU453" s="40">
        <f t="shared" si="302"/>
        <v>0</v>
      </c>
      <c r="BV453" s="40">
        <f t="shared" si="311"/>
        <v>0</v>
      </c>
      <c r="BW453" s="40">
        <f t="shared" si="311"/>
        <v>0</v>
      </c>
      <c r="BX453" s="40">
        <f t="shared" si="311"/>
        <v>0</v>
      </c>
      <c r="BY453" s="40">
        <f t="shared" si="311"/>
        <v>0</v>
      </c>
      <c r="BZ453" s="40">
        <f t="shared" si="311"/>
        <v>0</v>
      </c>
      <c r="CA453" s="40">
        <f t="shared" si="311"/>
        <v>0</v>
      </c>
      <c r="CB453" s="40">
        <f t="shared" si="311"/>
        <v>0</v>
      </c>
      <c r="CC453" s="40">
        <f t="shared" si="311"/>
        <v>0</v>
      </c>
      <c r="CD453" s="40">
        <f t="shared" si="311"/>
        <v>0</v>
      </c>
      <c r="CE453" s="494"/>
      <c r="CF453" s="494"/>
      <c r="CG453" s="494"/>
      <c r="CI453" s="727">
        <f>CI454+CI455</f>
        <v>104.18499850000001</v>
      </c>
    </row>
    <row r="454" spans="2:91" s="25" customFormat="1">
      <c r="B454" s="689" t="s">
        <v>1779</v>
      </c>
      <c r="C454" s="679"/>
      <c r="D454" s="679"/>
      <c r="E454" s="679"/>
      <c r="F454" s="679"/>
      <c r="G454" s="679"/>
      <c r="H454" s="679"/>
      <c r="I454" s="679"/>
      <c r="J454" s="679"/>
      <c r="K454" s="679"/>
      <c r="L454" s="679"/>
      <c r="M454" s="679"/>
      <c r="N454" s="679"/>
      <c r="O454" s="679"/>
      <c r="P454" s="679"/>
      <c r="Q454" s="679"/>
      <c r="R454" s="679"/>
      <c r="S454" s="679"/>
      <c r="T454" s="679"/>
      <c r="U454" s="679"/>
      <c r="V454" s="679"/>
      <c r="W454" s="679"/>
      <c r="X454" s="679"/>
      <c r="Y454" s="679"/>
      <c r="Z454" s="679"/>
      <c r="AA454" s="679"/>
      <c r="AB454" s="679"/>
      <c r="AC454" s="679"/>
      <c r="AD454" s="679"/>
      <c r="AE454" s="679"/>
      <c r="AF454" s="679"/>
      <c r="AG454" s="679"/>
      <c r="AH454" s="679"/>
      <c r="AI454" s="679"/>
      <c r="AJ454" s="679"/>
      <c r="AK454" s="679"/>
      <c r="AL454" s="679"/>
      <c r="AM454" s="679"/>
      <c r="AN454" s="679"/>
      <c r="AO454" s="679"/>
      <c r="AP454" s="679"/>
      <c r="AQ454" s="679"/>
      <c r="AR454" s="679"/>
      <c r="AS454" s="679"/>
      <c r="AT454" s="679"/>
      <c r="AU454" s="679"/>
      <c r="AV454" s="464">
        <v>0</v>
      </c>
      <c r="AW454" s="464">
        <v>0</v>
      </c>
      <c r="AX454" s="464">
        <f>9173/1000</f>
        <v>9.173</v>
      </c>
      <c r="AY454" s="464">
        <f>21978/1000</f>
        <v>21.978000000000002</v>
      </c>
      <c r="AZ454" s="464">
        <f>27532/1000</f>
        <v>27.532</v>
      </c>
      <c r="BA454" s="690">
        <f>0.69*50989.489</f>
        <v>35182.747409999996</v>
      </c>
      <c r="BB454" s="751">
        <f>0.69*57648.77</f>
        <v>39777.651299999998</v>
      </c>
      <c r="BC454" s="690">
        <f>0.63*97717.901</f>
        <v>61562.277629999997</v>
      </c>
      <c r="BD454" s="690">
        <f>0.65*116.629512</f>
        <v>75.809182800000002</v>
      </c>
      <c r="BE454" s="690">
        <f>0.66*139.650883</f>
        <v>92.169582779999999</v>
      </c>
      <c r="BF454" s="691">
        <f>0.36*146.938518</f>
        <v>52.89786647999999</v>
      </c>
      <c r="BG454" s="648">
        <f>0.64*269.541402</f>
        <v>172.50649728000002</v>
      </c>
      <c r="BH454" s="752">
        <f>0.64*280.323058</f>
        <v>179.40675712000001</v>
      </c>
      <c r="BI454" s="752">
        <f>0.64*301.347287</f>
        <v>192.86226368000001</v>
      </c>
      <c r="BJ454" s="307">
        <f>0.64*335.281315</f>
        <v>214.58004160000002</v>
      </c>
      <c r="BK454" s="423">
        <v>360.880044</v>
      </c>
      <c r="BU454" s="40">
        <f t="shared" si="302"/>
        <v>0</v>
      </c>
      <c r="BV454" s="40">
        <f t="shared" si="311"/>
        <v>0</v>
      </c>
      <c r="BW454" s="40">
        <f t="shared" si="311"/>
        <v>0</v>
      </c>
      <c r="BX454" s="40">
        <f t="shared" si="311"/>
        <v>0</v>
      </c>
      <c r="BY454" s="40">
        <f t="shared" si="311"/>
        <v>0</v>
      </c>
      <c r="BZ454" s="40">
        <f t="shared" si="311"/>
        <v>0</v>
      </c>
      <c r="CA454" s="40">
        <f t="shared" si="311"/>
        <v>0</v>
      </c>
      <c r="CB454" s="40">
        <f t="shared" si="311"/>
        <v>0</v>
      </c>
      <c r="CC454" s="40">
        <f t="shared" si="311"/>
        <v>0</v>
      </c>
      <c r="CD454" s="40">
        <f t="shared" si="311"/>
        <v>0</v>
      </c>
      <c r="CE454" s="423"/>
      <c r="CF454" s="423"/>
      <c r="CG454" s="423"/>
      <c r="CI454" s="423">
        <f>CH454+60</f>
        <v>60</v>
      </c>
    </row>
    <row r="455" spans="2:91" s="25" customFormat="1">
      <c r="B455" s="689" t="s">
        <v>1873</v>
      </c>
      <c r="C455" s="679"/>
      <c r="D455" s="679"/>
      <c r="E455" s="679"/>
      <c r="F455" s="679"/>
      <c r="G455" s="679"/>
      <c r="H455" s="679"/>
      <c r="I455" s="679"/>
      <c r="J455" s="679"/>
      <c r="K455" s="679"/>
      <c r="L455" s="679"/>
      <c r="M455" s="679"/>
      <c r="N455" s="679"/>
      <c r="O455" s="679"/>
      <c r="P455" s="679"/>
      <c r="Q455" s="679"/>
      <c r="R455" s="679"/>
      <c r="S455" s="679"/>
      <c r="T455" s="679"/>
      <c r="U455" s="679"/>
      <c r="V455" s="679"/>
      <c r="W455" s="679"/>
      <c r="X455" s="679"/>
      <c r="Y455" s="679"/>
      <c r="Z455" s="679"/>
      <c r="AA455" s="679"/>
      <c r="AB455" s="679"/>
      <c r="AC455" s="679"/>
      <c r="AD455" s="679"/>
      <c r="AE455" s="679"/>
      <c r="AF455" s="679"/>
      <c r="AG455" s="679"/>
      <c r="AH455" s="679"/>
      <c r="AI455" s="679"/>
      <c r="AJ455" s="679"/>
      <c r="AK455" s="679"/>
      <c r="AL455" s="679"/>
      <c r="AM455" s="679"/>
      <c r="AN455" s="679"/>
      <c r="AO455" s="679"/>
      <c r="AP455" s="679"/>
      <c r="AQ455" s="679"/>
      <c r="AR455" s="679"/>
      <c r="AS455" s="679"/>
      <c r="AT455" s="679"/>
      <c r="AU455" s="679"/>
      <c r="AV455" s="464">
        <v>0</v>
      </c>
      <c r="AW455" s="464">
        <v>0</v>
      </c>
      <c r="AX455" s="464">
        <f>3641/1000</f>
        <v>3.641</v>
      </c>
      <c r="AY455" s="464">
        <f>10594/1000</f>
        <v>10.593999999999999</v>
      </c>
      <c r="AZ455" s="464">
        <f>14355/1000</f>
        <v>14.355</v>
      </c>
      <c r="BA455" s="690">
        <f>0.31*50989.489</f>
        <v>15806.74159</v>
      </c>
      <c r="BB455" s="751">
        <f>0.31*57648.77</f>
        <v>17871.118699999999</v>
      </c>
      <c r="BC455" s="690">
        <f>0.37*97717.901</f>
        <v>36155.623370000001</v>
      </c>
      <c r="BD455" s="690">
        <f>0.35*116.629512</f>
        <v>40.820329199999996</v>
      </c>
      <c r="BE455" s="690">
        <f>0.34*139.650883</f>
        <v>47.481300220000001</v>
      </c>
      <c r="BF455" s="691">
        <f>0.64*146.938518</f>
        <v>94.040651519999997</v>
      </c>
      <c r="BG455" s="648">
        <f>0.36*269.541402</f>
        <v>97.03490472</v>
      </c>
      <c r="BH455" s="752">
        <f>0.36*280.323058</f>
        <v>100.91630087999999</v>
      </c>
      <c r="BI455" s="752">
        <f>0.36*301.347287</f>
        <v>108.48502332</v>
      </c>
      <c r="BJ455" s="307">
        <f>0.36*335.281315</f>
        <v>120.70127339999999</v>
      </c>
      <c r="BK455" s="423">
        <f>BJ455+0</f>
        <v>120.70127339999999</v>
      </c>
      <c r="BU455" s="40">
        <f t="shared" si="302"/>
        <v>0</v>
      </c>
      <c r="BV455" s="40">
        <f t="shared" si="311"/>
        <v>0</v>
      </c>
      <c r="BW455" s="40">
        <f t="shared" si="311"/>
        <v>0</v>
      </c>
      <c r="BX455" s="40">
        <f t="shared" si="311"/>
        <v>0</v>
      </c>
      <c r="BY455" s="40">
        <f t="shared" si="311"/>
        <v>0</v>
      </c>
      <c r="BZ455" s="40">
        <f t="shared" si="311"/>
        <v>0</v>
      </c>
      <c r="CA455" s="40">
        <f t="shared" si="311"/>
        <v>0</v>
      </c>
      <c r="CB455" s="40">
        <f t="shared" si="311"/>
        <v>0</v>
      </c>
      <c r="CC455" s="40">
        <f t="shared" si="311"/>
        <v>0</v>
      </c>
      <c r="CD455" s="40">
        <f t="shared" si="311"/>
        <v>0</v>
      </c>
      <c r="CE455" s="423"/>
      <c r="CF455" s="423"/>
      <c r="CG455" s="423"/>
      <c r="CI455" s="423">
        <f>CH455+44.1849985</f>
        <v>44.184998499999999</v>
      </c>
    </row>
    <row r="456" spans="2:91" s="25" customFormat="1">
      <c r="B456" s="703"/>
      <c r="C456" s="703"/>
      <c r="D456" s="703"/>
      <c r="E456" s="703"/>
      <c r="F456" s="703"/>
      <c r="G456" s="703"/>
      <c r="H456" s="703"/>
      <c r="I456" s="703"/>
      <c r="J456" s="703"/>
      <c r="K456" s="703"/>
      <c r="L456" s="703"/>
      <c r="M456" s="703"/>
      <c r="N456" s="703"/>
      <c r="O456" s="703"/>
      <c r="P456" s="703"/>
      <c r="Q456" s="703"/>
      <c r="R456" s="703"/>
      <c r="S456" s="703"/>
      <c r="T456" s="703"/>
      <c r="U456" s="703"/>
      <c r="V456" s="703"/>
      <c r="W456" s="703"/>
      <c r="X456" s="703"/>
      <c r="Y456" s="703"/>
      <c r="Z456" s="703"/>
      <c r="AA456" s="703"/>
      <c r="AB456" s="703"/>
      <c r="AC456" s="703"/>
      <c r="AD456" s="703"/>
      <c r="AE456" s="703"/>
      <c r="AF456" s="703"/>
      <c r="AG456" s="703"/>
      <c r="AH456" s="703"/>
      <c r="AI456" s="703"/>
      <c r="AJ456" s="703"/>
      <c r="AK456" s="703"/>
      <c r="AL456" s="703"/>
      <c r="AM456" s="703"/>
      <c r="AN456" s="703"/>
      <c r="AO456" s="703"/>
      <c r="AP456" s="703"/>
      <c r="AQ456" s="703"/>
      <c r="AR456" s="703"/>
      <c r="AS456" s="703"/>
      <c r="AT456" s="703"/>
      <c r="AU456" s="703"/>
      <c r="AV456" s="683"/>
      <c r="AW456" s="683"/>
      <c r="AX456" s="683"/>
      <c r="AY456" s="683"/>
      <c r="AZ456" s="683"/>
      <c r="BA456" s="683"/>
      <c r="BB456" s="683"/>
      <c r="BC456" s="683"/>
      <c r="BD456" s="683"/>
      <c r="BE456" s="461"/>
      <c r="BF456" s="461"/>
      <c r="BG456" s="643"/>
      <c r="BH456" s="307"/>
      <c r="BI456" s="307"/>
      <c r="BJ456" s="307"/>
      <c r="BK456" s="307"/>
      <c r="BU456" s="40">
        <f t="shared" si="302"/>
        <v>0</v>
      </c>
      <c r="BV456" s="40">
        <f t="shared" si="311"/>
        <v>0</v>
      </c>
      <c r="BW456" s="40">
        <f t="shared" si="311"/>
        <v>0</v>
      </c>
      <c r="BX456" s="40">
        <f t="shared" si="311"/>
        <v>0</v>
      </c>
      <c r="BY456" s="40">
        <f t="shared" si="311"/>
        <v>0</v>
      </c>
      <c r="BZ456" s="40">
        <f t="shared" si="311"/>
        <v>0</v>
      </c>
      <c r="CA456" s="40">
        <f t="shared" si="311"/>
        <v>0</v>
      </c>
      <c r="CB456" s="40">
        <f t="shared" si="311"/>
        <v>0</v>
      </c>
      <c r="CC456" s="40">
        <f t="shared" si="311"/>
        <v>0</v>
      </c>
      <c r="CD456" s="40">
        <f t="shared" si="311"/>
        <v>0</v>
      </c>
      <c r="CE456" s="307"/>
      <c r="CF456" s="307"/>
      <c r="CG456" s="307"/>
    </row>
    <row r="457" spans="2:91" s="25" customFormat="1">
      <c r="B457" s="703"/>
      <c r="C457" s="703"/>
      <c r="D457" s="703"/>
      <c r="E457" s="703"/>
      <c r="F457" s="703"/>
      <c r="G457" s="703"/>
      <c r="H457" s="703"/>
      <c r="I457" s="703"/>
      <c r="J457" s="703"/>
      <c r="K457" s="703"/>
      <c r="L457" s="703"/>
      <c r="M457" s="703"/>
      <c r="N457" s="703"/>
      <c r="O457" s="703"/>
      <c r="P457" s="703"/>
      <c r="Q457" s="703"/>
      <c r="R457" s="703"/>
      <c r="S457" s="703"/>
      <c r="T457" s="703"/>
      <c r="U457" s="703"/>
      <c r="V457" s="703"/>
      <c r="W457" s="703"/>
      <c r="X457" s="703"/>
      <c r="Y457" s="703"/>
      <c r="Z457" s="703"/>
      <c r="AA457" s="703"/>
      <c r="AB457" s="703"/>
      <c r="AC457" s="703"/>
      <c r="AD457" s="703"/>
      <c r="AE457" s="703"/>
      <c r="AF457" s="703"/>
      <c r="AG457" s="703"/>
      <c r="AH457" s="703"/>
      <c r="AI457" s="703"/>
      <c r="AJ457" s="703"/>
      <c r="AK457" s="703"/>
      <c r="AL457" s="703"/>
      <c r="AM457" s="703"/>
      <c r="AN457" s="703"/>
      <c r="AO457" s="703"/>
      <c r="AP457" s="703"/>
      <c r="AQ457" s="703"/>
      <c r="AR457" s="703"/>
      <c r="AS457" s="703"/>
      <c r="AT457" s="703"/>
      <c r="AU457" s="703"/>
      <c r="AV457" s="683"/>
      <c r="AW457" s="683"/>
      <c r="AX457" s="683"/>
      <c r="AY457" s="683"/>
      <c r="AZ457" s="683"/>
      <c r="BA457" s="683"/>
      <c r="BB457" s="683"/>
      <c r="BC457" s="683"/>
      <c r="BD457" s="683"/>
      <c r="BE457" s="461"/>
      <c r="BF457" s="461"/>
      <c r="BG457" s="643"/>
      <c r="BH457" s="307"/>
      <c r="BI457" s="307"/>
      <c r="BJ457" s="307"/>
      <c r="BK457" s="307"/>
      <c r="BU457" s="40">
        <f t="shared" si="302"/>
        <v>0</v>
      </c>
      <c r="BV457" s="40">
        <f t="shared" si="311"/>
        <v>0</v>
      </c>
      <c r="BW457" s="40">
        <f t="shared" si="311"/>
        <v>0</v>
      </c>
      <c r="BX457" s="40">
        <f t="shared" si="311"/>
        <v>0</v>
      </c>
      <c r="BY457" s="40">
        <f t="shared" si="311"/>
        <v>0</v>
      </c>
      <c r="BZ457" s="40">
        <f t="shared" si="311"/>
        <v>0</v>
      </c>
      <c r="CA457" s="40">
        <f t="shared" si="311"/>
        <v>0</v>
      </c>
      <c r="CB457" s="40">
        <f t="shared" si="311"/>
        <v>0</v>
      </c>
      <c r="CC457" s="40">
        <f t="shared" si="311"/>
        <v>0</v>
      </c>
      <c r="CD457" s="40">
        <f t="shared" si="311"/>
        <v>0</v>
      </c>
      <c r="CE457" s="307"/>
      <c r="CF457" s="307"/>
      <c r="CG457" s="307"/>
    </row>
    <row r="458" spans="2:91" s="25" customFormat="1">
      <c r="B458" s="753" t="s">
        <v>3399</v>
      </c>
      <c r="C458" s="703"/>
      <c r="D458" s="703"/>
      <c r="E458" s="703"/>
      <c r="F458" s="703"/>
      <c r="G458" s="703"/>
      <c r="H458" s="703"/>
      <c r="I458" s="703"/>
      <c r="J458" s="703"/>
      <c r="K458" s="703"/>
      <c r="L458" s="703"/>
      <c r="M458" s="703"/>
      <c r="N458" s="703"/>
      <c r="O458" s="703"/>
      <c r="P458" s="703"/>
      <c r="Q458" s="703"/>
      <c r="R458" s="703"/>
      <c r="S458" s="703"/>
      <c r="T458" s="703"/>
      <c r="U458" s="703"/>
      <c r="V458" s="703"/>
      <c r="W458" s="703"/>
      <c r="X458" s="703"/>
      <c r="Y458" s="703"/>
      <c r="Z458" s="703"/>
      <c r="AA458" s="703"/>
      <c r="AB458" s="703"/>
      <c r="AC458" s="703"/>
      <c r="AD458" s="703"/>
      <c r="AE458" s="703"/>
      <c r="AF458" s="703"/>
      <c r="AG458" s="703"/>
      <c r="AH458" s="703"/>
      <c r="AI458" s="703"/>
      <c r="AJ458" s="703"/>
      <c r="AK458" s="703"/>
      <c r="AL458" s="703"/>
      <c r="AM458" s="703"/>
      <c r="AN458" s="703"/>
      <c r="AO458" s="703"/>
      <c r="AP458" s="703"/>
      <c r="AQ458" s="703"/>
      <c r="AR458" s="703"/>
      <c r="AS458" s="703"/>
      <c r="AT458" s="703"/>
      <c r="AU458" s="703"/>
      <c r="AV458" s="683">
        <v>9.8208174909999997</v>
      </c>
      <c r="AW458" s="683">
        <v>3.644384955</v>
      </c>
      <c r="AX458" s="683">
        <v>15.794</v>
      </c>
      <c r="AY458" s="683">
        <v>14.504</v>
      </c>
      <c r="AZ458" s="683">
        <v>9.77</v>
      </c>
      <c r="BA458" s="683">
        <f t="shared" ref="BA458:BF458" si="313">BA413+BA416+BA417+BA418+BA419+BA420+BA424+BA429</f>
        <v>69426.874000000011</v>
      </c>
      <c r="BB458" s="683">
        <f t="shared" si="313"/>
        <v>84182.286999999997</v>
      </c>
      <c r="BC458" s="683">
        <f t="shared" si="313"/>
        <v>112511.569</v>
      </c>
      <c r="BD458" s="683">
        <f t="shared" si="313"/>
        <v>86.121611000000001</v>
      </c>
      <c r="BE458" s="683">
        <f t="shared" si="313"/>
        <v>58.608713000000002</v>
      </c>
      <c r="BF458" s="683">
        <f t="shared" si="313"/>
        <v>196.43221800000001</v>
      </c>
      <c r="BG458" s="643">
        <f>BG420+BG424+100</f>
        <v>332.033953</v>
      </c>
      <c r="BH458" s="462">
        <f>BH413+BH416+BH417+BH418+BH419+BH420+BH424+BH429</f>
        <v>276.04779300000001</v>
      </c>
      <c r="BI458" s="462">
        <f>BI413+BI416+BI417+BI418+BI419+BI420+BI424+BI429</f>
        <v>317.78786500000001</v>
      </c>
      <c r="BJ458" s="462">
        <f>BJ413+BJ416+BJ417+BJ418+BJ419+BJ420+BJ424+BJ429</f>
        <v>334.25978900000001</v>
      </c>
      <c r="BK458" s="462">
        <f>BK413+BK416+BK417+BK418+BK419+BK420+BK424+BK429</f>
        <v>569.29076400000008</v>
      </c>
      <c r="BU458" s="40">
        <f t="shared" si="302"/>
        <v>0</v>
      </c>
      <c r="BV458" s="40">
        <f t="shared" si="311"/>
        <v>0</v>
      </c>
      <c r="BW458" s="40">
        <f t="shared" si="311"/>
        <v>0</v>
      </c>
      <c r="BX458" s="40">
        <f t="shared" si="311"/>
        <v>0</v>
      </c>
      <c r="BY458" s="40">
        <f t="shared" si="311"/>
        <v>0</v>
      </c>
      <c r="BZ458" s="40">
        <f t="shared" si="311"/>
        <v>0</v>
      </c>
      <c r="CA458" s="40">
        <f t="shared" si="311"/>
        <v>0</v>
      </c>
      <c r="CB458" s="40">
        <f t="shared" si="311"/>
        <v>0</v>
      </c>
      <c r="CC458" s="40">
        <f t="shared" si="311"/>
        <v>0</v>
      </c>
      <c r="CD458" s="40">
        <f t="shared" si="311"/>
        <v>0</v>
      </c>
      <c r="CE458" s="462"/>
      <c r="CF458" s="462"/>
      <c r="CG458" s="462"/>
    </row>
    <row r="459" spans="2:91" s="25" customFormat="1">
      <c r="B459" s="703"/>
      <c r="C459" s="703"/>
      <c r="D459" s="703"/>
      <c r="E459" s="703"/>
      <c r="F459" s="703"/>
      <c r="G459" s="703"/>
      <c r="H459" s="703"/>
      <c r="I459" s="703"/>
      <c r="J459" s="703"/>
      <c r="K459" s="703"/>
      <c r="L459" s="703"/>
      <c r="M459" s="703"/>
      <c r="N459" s="703"/>
      <c r="O459" s="703"/>
      <c r="P459" s="703"/>
      <c r="Q459" s="703"/>
      <c r="R459" s="703"/>
      <c r="S459" s="703"/>
      <c r="T459" s="703"/>
      <c r="U459" s="703"/>
      <c r="V459" s="703"/>
      <c r="W459" s="703"/>
      <c r="X459" s="703"/>
      <c r="Y459" s="703"/>
      <c r="Z459" s="703"/>
      <c r="AA459" s="703"/>
      <c r="AB459" s="703"/>
      <c r="AC459" s="703"/>
      <c r="AD459" s="703"/>
      <c r="AE459" s="703"/>
      <c r="AF459" s="703"/>
      <c r="AG459" s="703"/>
      <c r="AH459" s="703"/>
      <c r="AI459" s="703"/>
      <c r="AJ459" s="703"/>
      <c r="AK459" s="703"/>
      <c r="AL459" s="703"/>
      <c r="AM459" s="703"/>
      <c r="AN459" s="703"/>
      <c r="AO459" s="703"/>
      <c r="AP459" s="703"/>
      <c r="AQ459" s="703"/>
      <c r="AR459" s="703"/>
      <c r="AS459" s="703"/>
      <c r="AT459" s="703"/>
      <c r="AU459" s="703"/>
      <c r="AV459" s="683"/>
      <c r="AW459" s="683"/>
      <c r="AX459" s="683"/>
      <c r="AY459" s="683"/>
      <c r="AZ459" s="683"/>
      <c r="BA459" s="683"/>
      <c r="BB459" s="683"/>
      <c r="BC459" s="683"/>
      <c r="BD459" s="683"/>
      <c r="BE459" s="461"/>
      <c r="BF459" s="461"/>
      <c r="BG459" s="461"/>
      <c r="BH459" s="307"/>
      <c r="BI459" s="307"/>
      <c r="BJ459" s="307"/>
      <c r="BK459" s="307"/>
      <c r="BU459" s="40">
        <f t="shared" si="302"/>
        <v>0</v>
      </c>
      <c r="BV459" s="40">
        <f t="shared" si="311"/>
        <v>0</v>
      </c>
      <c r="BW459" s="40">
        <f t="shared" si="311"/>
        <v>0</v>
      </c>
      <c r="BX459" s="40">
        <f t="shared" si="311"/>
        <v>0</v>
      </c>
      <c r="BY459" s="40">
        <f t="shared" si="311"/>
        <v>0</v>
      </c>
      <c r="BZ459" s="40">
        <f t="shared" si="311"/>
        <v>0</v>
      </c>
      <c r="CA459" s="40">
        <f t="shared" si="311"/>
        <v>0</v>
      </c>
      <c r="CB459" s="40">
        <f t="shared" si="311"/>
        <v>0</v>
      </c>
      <c r="CC459" s="40">
        <f t="shared" si="311"/>
        <v>0</v>
      </c>
      <c r="CD459" s="40">
        <f t="shared" si="311"/>
        <v>0</v>
      </c>
      <c r="CE459" s="307"/>
      <c r="CF459" s="307"/>
      <c r="CG459" s="307"/>
    </row>
    <row r="460" spans="2:91" s="307" customFormat="1">
      <c r="B460" s="754" t="s">
        <v>1044</v>
      </c>
      <c r="C460" s="683"/>
      <c r="D460" s="683"/>
      <c r="E460" s="683"/>
      <c r="F460" s="683"/>
      <c r="G460" s="683"/>
      <c r="H460" s="683"/>
      <c r="I460" s="683"/>
      <c r="J460" s="683"/>
      <c r="K460" s="683"/>
      <c r="L460" s="683"/>
      <c r="M460" s="683"/>
      <c r="N460" s="683"/>
      <c r="O460" s="683"/>
      <c r="P460" s="683"/>
      <c r="Q460" s="683"/>
      <c r="R460" s="683"/>
      <c r="S460" s="683"/>
      <c r="T460" s="683"/>
      <c r="U460" s="683"/>
      <c r="V460" s="683"/>
      <c r="W460" s="683"/>
      <c r="X460" s="683"/>
      <c r="Y460" s="683"/>
      <c r="Z460" s="683"/>
      <c r="AA460" s="683"/>
      <c r="AB460" s="683"/>
      <c r="AC460" s="683"/>
      <c r="AD460" s="683"/>
      <c r="AE460" s="683"/>
      <c r="AF460" s="683"/>
      <c r="AG460" s="683"/>
      <c r="AH460" s="683"/>
      <c r="AI460" s="683"/>
      <c r="AJ460" s="683"/>
      <c r="AK460" s="683"/>
      <c r="AL460" s="683"/>
      <c r="AM460" s="683"/>
      <c r="AN460" s="683"/>
      <c r="AO460" s="683"/>
      <c r="AP460" s="683"/>
      <c r="AQ460" s="683"/>
      <c r="AR460" s="683"/>
      <c r="AS460" s="683"/>
      <c r="AT460" s="683"/>
      <c r="AU460" s="683"/>
      <c r="AV460" s="683">
        <v>23.713202074000002</v>
      </c>
      <c r="AW460" s="683">
        <v>20.106794970999999</v>
      </c>
      <c r="AX460" s="683">
        <v>23.428000000000001</v>
      </c>
      <c r="AY460" s="683">
        <v>38.521000000000001</v>
      </c>
      <c r="AZ460" s="683">
        <v>63.414000000000001</v>
      </c>
      <c r="BA460" s="683">
        <f t="shared" ref="BA460:BF460" si="314">BA410+BA411+BA415</f>
        <v>103086.515</v>
      </c>
      <c r="BB460" s="683">
        <f t="shared" si="314"/>
        <v>122619.65999999999</v>
      </c>
      <c r="BC460" s="683">
        <f t="shared" si="314"/>
        <v>134498.65</v>
      </c>
      <c r="BD460" s="683">
        <f t="shared" si="314"/>
        <v>166.84899799999999</v>
      </c>
      <c r="BE460" s="683">
        <f t="shared" si="314"/>
        <v>194.51353399999999</v>
      </c>
      <c r="BF460" s="683">
        <f t="shared" si="314"/>
        <v>190.68215000000001</v>
      </c>
      <c r="BG460" s="461"/>
      <c r="BU460" s="40">
        <f t="shared" si="302"/>
        <v>0</v>
      </c>
      <c r="BV460" s="40">
        <f t="shared" si="311"/>
        <v>0</v>
      </c>
      <c r="BW460" s="40">
        <f t="shared" si="311"/>
        <v>0</v>
      </c>
      <c r="BX460" s="40">
        <f t="shared" si="311"/>
        <v>0</v>
      </c>
      <c r="BY460" s="40">
        <f t="shared" si="311"/>
        <v>0</v>
      </c>
      <c r="BZ460" s="40">
        <f t="shared" si="311"/>
        <v>0</v>
      </c>
      <c r="CA460" s="40">
        <f t="shared" si="311"/>
        <v>0</v>
      </c>
      <c r="CB460" s="40">
        <f t="shared" si="311"/>
        <v>0</v>
      </c>
      <c r="CC460" s="40">
        <f t="shared" si="311"/>
        <v>0</v>
      </c>
      <c r="CD460" s="40">
        <f t="shared" si="311"/>
        <v>0</v>
      </c>
    </row>
    <row r="461" spans="2:91" s="25" customFormat="1">
      <c r="B461" s="703"/>
      <c r="C461" s="703"/>
      <c r="D461" s="703"/>
      <c r="E461" s="703"/>
      <c r="F461" s="703"/>
      <c r="G461" s="703"/>
      <c r="H461" s="703"/>
      <c r="I461" s="703"/>
      <c r="J461" s="703"/>
      <c r="K461" s="703"/>
      <c r="L461" s="703"/>
      <c r="M461" s="703"/>
      <c r="N461" s="703"/>
      <c r="O461" s="703"/>
      <c r="P461" s="703"/>
      <c r="Q461" s="703"/>
      <c r="R461" s="703"/>
      <c r="S461" s="703"/>
      <c r="T461" s="703"/>
      <c r="U461" s="703"/>
      <c r="V461" s="703"/>
      <c r="W461" s="703"/>
      <c r="X461" s="703"/>
      <c r="Y461" s="703"/>
      <c r="Z461" s="703"/>
      <c r="AA461" s="703"/>
      <c r="AB461" s="703"/>
      <c r="AC461" s="703"/>
      <c r="AD461" s="703"/>
      <c r="AE461" s="703"/>
      <c r="AF461" s="703"/>
      <c r="AG461" s="703"/>
      <c r="AH461" s="703"/>
      <c r="AI461" s="703"/>
      <c r="AJ461" s="703"/>
      <c r="AK461" s="703"/>
      <c r="AL461" s="703"/>
      <c r="AM461" s="703"/>
      <c r="AN461" s="703"/>
      <c r="AO461" s="703"/>
      <c r="AP461" s="703"/>
      <c r="AQ461" s="703"/>
      <c r="AR461" s="703"/>
      <c r="AS461" s="703"/>
      <c r="AT461" s="703"/>
      <c r="AU461" s="703"/>
      <c r="AV461" s="683"/>
      <c r="AW461" s="683"/>
      <c r="AX461" s="683"/>
      <c r="AY461" s="683"/>
      <c r="AZ461" s="683"/>
      <c r="BA461" s="683"/>
      <c r="BB461" s="683"/>
      <c r="BC461" s="683"/>
      <c r="BD461" s="683"/>
      <c r="BE461" s="461"/>
      <c r="BF461" s="461"/>
      <c r="BG461" s="461"/>
      <c r="BH461" s="307"/>
      <c r="BI461" s="307"/>
      <c r="BJ461" s="307"/>
      <c r="BK461" s="307"/>
      <c r="BU461" s="40">
        <f t="shared" si="302"/>
        <v>0</v>
      </c>
      <c r="BV461" s="40">
        <f t="shared" si="311"/>
        <v>0</v>
      </c>
      <c r="BW461" s="40">
        <f t="shared" si="311"/>
        <v>0</v>
      </c>
      <c r="BX461" s="40">
        <f t="shared" si="311"/>
        <v>0</v>
      </c>
      <c r="BY461" s="40">
        <f t="shared" si="311"/>
        <v>0</v>
      </c>
      <c r="BZ461" s="40">
        <f t="shared" si="311"/>
        <v>0</v>
      </c>
      <c r="CA461" s="40">
        <f t="shared" si="311"/>
        <v>0</v>
      </c>
      <c r="CB461" s="40">
        <f t="shared" si="311"/>
        <v>0</v>
      </c>
      <c r="CC461" s="40">
        <f t="shared" si="311"/>
        <v>0</v>
      </c>
      <c r="CD461" s="40">
        <f t="shared" si="311"/>
        <v>0</v>
      </c>
      <c r="CE461" s="307"/>
      <c r="CF461" s="307"/>
      <c r="CG461" s="307"/>
    </row>
    <row r="462" spans="2:91" s="25" customFormat="1">
      <c r="B462" s="754" t="s">
        <v>833</v>
      </c>
      <c r="C462" s="703"/>
      <c r="D462" s="703"/>
      <c r="E462" s="703"/>
      <c r="F462" s="703"/>
      <c r="G462" s="703"/>
      <c r="H462" s="703"/>
      <c r="I462" s="703"/>
      <c r="J462" s="703"/>
      <c r="K462" s="703"/>
      <c r="L462" s="703"/>
      <c r="M462" s="703"/>
      <c r="N462" s="703"/>
      <c r="O462" s="703"/>
      <c r="P462" s="703"/>
      <c r="Q462" s="703"/>
      <c r="R462" s="703"/>
      <c r="S462" s="703"/>
      <c r="T462" s="703"/>
      <c r="U462" s="703"/>
      <c r="V462" s="703"/>
      <c r="W462" s="703"/>
      <c r="X462" s="703"/>
      <c r="Y462" s="703"/>
      <c r="Z462" s="703"/>
      <c r="AA462" s="703"/>
      <c r="AB462" s="703"/>
      <c r="AC462" s="703"/>
      <c r="AD462" s="703"/>
      <c r="AE462" s="703"/>
      <c r="AF462" s="703"/>
      <c r="AG462" s="703"/>
      <c r="AH462" s="703"/>
      <c r="AI462" s="703"/>
      <c r="AJ462" s="703"/>
      <c r="AK462" s="703"/>
      <c r="AL462" s="703"/>
      <c r="AM462" s="703"/>
      <c r="AN462" s="703"/>
      <c r="AO462" s="703"/>
      <c r="AP462" s="703"/>
      <c r="AQ462" s="703"/>
      <c r="AR462" s="703"/>
      <c r="AS462" s="703"/>
      <c r="AT462" s="703"/>
      <c r="AU462" s="703"/>
      <c r="AV462" s="683">
        <v>6.3434957E-2</v>
      </c>
      <c r="AW462" s="683">
        <v>0.106957815</v>
      </c>
      <c r="AX462" s="683">
        <v>0.42899999999999999</v>
      </c>
      <c r="AY462" s="683">
        <v>0.67500000000000004</v>
      </c>
      <c r="AZ462" s="683">
        <v>1.0549999999999999</v>
      </c>
      <c r="BA462" s="683">
        <f t="shared" ref="BA462:BJ462" si="315">BA414+BA435</f>
        <v>618.01499999999999</v>
      </c>
      <c r="BB462" s="683">
        <f t="shared" si="315"/>
        <v>334.80599999999998</v>
      </c>
      <c r="BC462" s="683">
        <f t="shared" si="315"/>
        <v>289.99099999999999</v>
      </c>
      <c r="BD462" s="683">
        <f t="shared" si="315"/>
        <v>0.31531500000000001</v>
      </c>
      <c r="BE462" s="683">
        <f t="shared" si="315"/>
        <v>0.57403999999999999</v>
      </c>
      <c r="BF462" s="683">
        <f t="shared" si="315"/>
        <v>1.2487790000000001</v>
      </c>
      <c r="BG462" s="683">
        <f t="shared" si="315"/>
        <v>0.87477099999999997</v>
      </c>
      <c r="BH462" s="683">
        <f t="shared" si="315"/>
        <v>1.333777</v>
      </c>
      <c r="BI462" s="683">
        <f t="shared" si="315"/>
        <v>2.0732919999999999</v>
      </c>
      <c r="BJ462" s="683">
        <f t="shared" si="315"/>
        <v>3.1437949999999999</v>
      </c>
      <c r="BK462" s="423">
        <v>3</v>
      </c>
      <c r="BL462" s="467">
        <v>3.3491154536092629</v>
      </c>
      <c r="BM462" s="239">
        <f>BL462*1102/1039</f>
        <v>3.5521898266385059</v>
      </c>
      <c r="BN462" s="467">
        <v>3.569257995733941</v>
      </c>
      <c r="BO462" s="467">
        <v>4.089433972310756</v>
      </c>
      <c r="BP462" s="467">
        <v>4.4048137112053105</v>
      </c>
      <c r="BU462" s="40">
        <f t="shared" si="302"/>
        <v>0</v>
      </c>
      <c r="BV462" s="40">
        <f t="shared" ref="BV462:CD462" si="316">BU462</f>
        <v>0</v>
      </c>
      <c r="BW462" s="40">
        <f t="shared" si="316"/>
        <v>0</v>
      </c>
      <c r="BX462" s="40">
        <f t="shared" si="316"/>
        <v>0</v>
      </c>
      <c r="BY462" s="40">
        <f t="shared" si="316"/>
        <v>0</v>
      </c>
      <c r="BZ462" s="40">
        <f t="shared" si="316"/>
        <v>0</v>
      </c>
      <c r="CA462" s="40">
        <f t="shared" si="316"/>
        <v>0</v>
      </c>
      <c r="CB462" s="40">
        <f t="shared" si="316"/>
        <v>0</v>
      </c>
      <c r="CC462" s="40">
        <f t="shared" si="316"/>
        <v>0</v>
      </c>
      <c r="CD462" s="40">
        <f t="shared" si="316"/>
        <v>0</v>
      </c>
      <c r="CE462" s="307"/>
      <c r="CF462" s="307"/>
      <c r="CG462" s="307"/>
      <c r="CM462" s="467">
        <v>3.3491154536092629</v>
      </c>
    </row>
    <row r="463" spans="2:91" s="25" customFormat="1">
      <c r="B463" s="703"/>
      <c r="C463" s="703"/>
      <c r="D463" s="703"/>
      <c r="E463" s="703"/>
      <c r="F463" s="703"/>
      <c r="G463" s="703"/>
      <c r="H463" s="703"/>
      <c r="I463" s="703"/>
      <c r="J463" s="703"/>
      <c r="K463" s="703"/>
      <c r="L463" s="703"/>
      <c r="M463" s="703"/>
      <c r="N463" s="703"/>
      <c r="O463" s="703"/>
      <c r="P463" s="703"/>
      <c r="Q463" s="703"/>
      <c r="R463" s="703"/>
      <c r="S463" s="703"/>
      <c r="T463" s="703"/>
      <c r="U463" s="703"/>
      <c r="V463" s="703"/>
      <c r="W463" s="703"/>
      <c r="X463" s="703"/>
      <c r="Y463" s="703"/>
      <c r="Z463" s="703"/>
      <c r="AA463" s="703"/>
      <c r="AB463" s="703"/>
      <c r="AC463" s="703"/>
      <c r="AD463" s="703"/>
      <c r="AE463" s="703"/>
      <c r="AF463" s="703"/>
      <c r="AG463" s="703"/>
      <c r="AH463" s="703"/>
      <c r="AI463" s="703"/>
      <c r="AJ463" s="703"/>
      <c r="AK463" s="703"/>
      <c r="AL463" s="703"/>
      <c r="AM463" s="703"/>
      <c r="AN463" s="703"/>
      <c r="AO463" s="703"/>
      <c r="AP463" s="703"/>
      <c r="AQ463" s="703"/>
      <c r="AR463" s="703"/>
      <c r="AS463" s="703"/>
      <c r="AT463" s="703"/>
      <c r="AU463" s="703"/>
      <c r="AV463" s="683"/>
      <c r="AW463" s="683"/>
      <c r="AX463" s="683"/>
      <c r="AY463" s="683"/>
      <c r="AZ463" s="683"/>
      <c r="BA463" s="683"/>
      <c r="BB463" s="683"/>
      <c r="BC463" s="683"/>
      <c r="BD463" s="683"/>
      <c r="BE463" s="461"/>
      <c r="BF463" s="461"/>
      <c r="BG463" s="461"/>
      <c r="BH463" s="307"/>
      <c r="BI463" s="307"/>
      <c r="BJ463" s="307"/>
      <c r="BK463" s="307"/>
      <c r="BU463" s="40">
        <f t="shared" si="302"/>
        <v>0</v>
      </c>
      <c r="BV463" s="40">
        <f t="shared" ref="BV463:CD463" si="317">BU463</f>
        <v>0</v>
      </c>
      <c r="BW463" s="40">
        <f t="shared" si="317"/>
        <v>0</v>
      </c>
      <c r="BX463" s="40">
        <f t="shared" si="317"/>
        <v>0</v>
      </c>
      <c r="BY463" s="40">
        <f t="shared" si="317"/>
        <v>0</v>
      </c>
      <c r="BZ463" s="40">
        <f t="shared" si="317"/>
        <v>0</v>
      </c>
      <c r="CA463" s="40">
        <f t="shared" si="317"/>
        <v>0</v>
      </c>
      <c r="CB463" s="40">
        <f t="shared" si="317"/>
        <v>0</v>
      </c>
      <c r="CC463" s="40">
        <f t="shared" si="317"/>
        <v>0</v>
      </c>
      <c r="CD463" s="40">
        <f t="shared" si="317"/>
        <v>0</v>
      </c>
      <c r="CE463" s="307"/>
      <c r="CF463" s="307"/>
      <c r="CG463" s="307"/>
    </row>
    <row r="464" spans="2:91" s="25" customFormat="1">
      <c r="B464" s="755" t="s">
        <v>1369</v>
      </c>
      <c r="C464" s="703"/>
      <c r="D464" s="703"/>
      <c r="E464" s="703"/>
      <c r="F464" s="703"/>
      <c r="G464" s="703"/>
      <c r="H464" s="703"/>
      <c r="I464" s="703"/>
      <c r="J464" s="703"/>
      <c r="K464" s="703"/>
      <c r="L464" s="703"/>
      <c r="M464" s="703"/>
      <c r="N464" s="703"/>
      <c r="O464" s="703"/>
      <c r="P464" s="703"/>
      <c r="Q464" s="703"/>
      <c r="R464" s="703"/>
      <c r="S464" s="703"/>
      <c r="T464" s="703"/>
      <c r="U464" s="703"/>
      <c r="V464" s="703"/>
      <c r="W464" s="703"/>
      <c r="X464" s="703"/>
      <c r="Y464" s="703"/>
      <c r="Z464" s="703"/>
      <c r="AA464" s="703"/>
      <c r="AB464" s="703"/>
      <c r="AC464" s="703"/>
      <c r="AD464" s="703"/>
      <c r="AE464" s="703"/>
      <c r="AF464" s="703"/>
      <c r="AG464" s="703"/>
      <c r="AH464" s="703"/>
      <c r="AI464" s="703"/>
      <c r="AJ464" s="703"/>
      <c r="AK464" s="703"/>
      <c r="AL464" s="703"/>
      <c r="AM464" s="703"/>
      <c r="AN464" s="703"/>
      <c r="AO464" s="703"/>
      <c r="AP464" s="703"/>
      <c r="AQ464" s="703"/>
      <c r="AR464" s="703"/>
      <c r="AS464" s="703"/>
      <c r="AT464" s="703"/>
      <c r="AU464" s="703"/>
      <c r="AV464" s="461">
        <f t="shared" ref="AV464:BD464" si="318">AV405-(AV454+AV455+AV458+AV460+AV462)</f>
        <v>-33.597454522</v>
      </c>
      <c r="AW464" s="461">
        <f t="shared" si="318"/>
        <v>-23.858137741</v>
      </c>
      <c r="AX464" s="461">
        <f t="shared" si="318"/>
        <v>-52.465000000000003</v>
      </c>
      <c r="AY464" s="461">
        <f t="shared" si="318"/>
        <v>-86.272000000000006</v>
      </c>
      <c r="AZ464" s="461">
        <f t="shared" si="318"/>
        <v>-116.126</v>
      </c>
      <c r="BA464" s="461">
        <f t="shared" si="318"/>
        <v>17198.227999999974</v>
      </c>
      <c r="BB464" s="461">
        <f t="shared" si="318"/>
        <v>18047.166000000027</v>
      </c>
      <c r="BC464" s="461">
        <f t="shared" si="318"/>
        <v>69015.062000000034</v>
      </c>
      <c r="BD464" s="461">
        <f t="shared" si="318"/>
        <v>76.853571999999986</v>
      </c>
      <c r="BE464" s="461">
        <f>BE408-(BE454+BE455+BE458+BE460+BE462)</f>
        <v>55.123491000000001</v>
      </c>
      <c r="BF464" s="461">
        <f>BF405-(BF454+BF455+BF458+BF460+BF462)</f>
        <v>80.398335000000088</v>
      </c>
      <c r="BG464" s="461"/>
      <c r="BH464" s="307"/>
      <c r="BI464" s="307"/>
      <c r="BJ464" s="307"/>
      <c r="BK464" s="307"/>
      <c r="BU464" s="40">
        <f t="shared" si="302"/>
        <v>0</v>
      </c>
      <c r="BV464" s="40">
        <f t="shared" ref="BV464:CD464" si="319">BU464</f>
        <v>0</v>
      </c>
      <c r="BW464" s="40">
        <f t="shared" si="319"/>
        <v>0</v>
      </c>
      <c r="BX464" s="40">
        <f t="shared" si="319"/>
        <v>0</v>
      </c>
      <c r="BY464" s="40">
        <f t="shared" si="319"/>
        <v>0</v>
      </c>
      <c r="BZ464" s="40">
        <f t="shared" si="319"/>
        <v>0</v>
      </c>
      <c r="CA464" s="40">
        <f t="shared" si="319"/>
        <v>0</v>
      </c>
      <c r="CB464" s="40">
        <f t="shared" si="319"/>
        <v>0</v>
      </c>
      <c r="CC464" s="40">
        <f t="shared" si="319"/>
        <v>0</v>
      </c>
      <c r="CD464" s="40">
        <f t="shared" si="319"/>
        <v>0</v>
      </c>
      <c r="CE464" s="307"/>
      <c r="CF464" s="307"/>
      <c r="CG464" s="307"/>
    </row>
    <row r="465" spans="2:85" s="25" customFormat="1">
      <c r="B465" s="499"/>
      <c r="C465" s="499"/>
      <c r="D465" s="499"/>
      <c r="E465" s="499"/>
      <c r="F465" s="499"/>
      <c r="G465" s="499"/>
      <c r="H465" s="499"/>
      <c r="I465" s="499"/>
      <c r="J465" s="499"/>
      <c r="K465" s="499"/>
      <c r="L465" s="499"/>
      <c r="M465" s="499"/>
      <c r="N465" s="499"/>
      <c r="O465" s="499"/>
      <c r="P465" s="499"/>
      <c r="Q465" s="499"/>
      <c r="R465" s="499"/>
      <c r="S465" s="499"/>
      <c r="T465" s="499"/>
      <c r="U465" s="499"/>
      <c r="V465" s="499"/>
      <c r="W465" s="499"/>
      <c r="X465" s="499"/>
      <c r="Y465" s="499"/>
      <c r="Z465" s="499"/>
      <c r="AA465" s="499"/>
      <c r="AB465" s="499"/>
      <c r="AC465" s="499"/>
      <c r="AD465" s="499"/>
      <c r="AE465" s="499"/>
      <c r="AF465" s="499"/>
      <c r="AG465" s="499"/>
      <c r="AH465" s="499"/>
      <c r="AI465" s="499"/>
      <c r="AJ465" s="499"/>
      <c r="AK465" s="499"/>
      <c r="AL465" s="499"/>
      <c r="AM465" s="499"/>
      <c r="AN465" s="499"/>
      <c r="AO465" s="499"/>
      <c r="AP465" s="499"/>
      <c r="AQ465" s="499"/>
      <c r="AR465" s="499"/>
      <c r="AS465" s="499"/>
      <c r="AT465" s="499"/>
      <c r="AU465" s="499"/>
      <c r="AV465" s="461"/>
      <c r="AW465" s="461"/>
      <c r="AX465" s="461"/>
      <c r="AY465" s="461"/>
      <c r="AZ465" s="461"/>
      <c r="BA465" s="461"/>
      <c r="BB465" s="461"/>
      <c r="BC465" s="461"/>
      <c r="BD465" s="461"/>
      <c r="BE465" s="461"/>
      <c r="BF465" s="461"/>
      <c r="BG465" s="461"/>
      <c r="BH465" s="307"/>
      <c r="BI465" s="307"/>
      <c r="BJ465" s="307"/>
      <c r="BK465" s="307"/>
      <c r="BU465" s="40">
        <f t="shared" si="302"/>
        <v>0</v>
      </c>
      <c r="BV465" s="40">
        <f t="shared" ref="BV465:CD465" si="320">BU465</f>
        <v>0</v>
      </c>
      <c r="BW465" s="40">
        <f t="shared" si="320"/>
        <v>0</v>
      </c>
      <c r="BX465" s="40">
        <f t="shared" si="320"/>
        <v>0</v>
      </c>
      <c r="BY465" s="40">
        <f t="shared" si="320"/>
        <v>0</v>
      </c>
      <c r="BZ465" s="40">
        <f t="shared" si="320"/>
        <v>0</v>
      </c>
      <c r="CA465" s="40">
        <f t="shared" si="320"/>
        <v>0</v>
      </c>
      <c r="CB465" s="40">
        <f t="shared" si="320"/>
        <v>0</v>
      </c>
      <c r="CC465" s="40">
        <f t="shared" si="320"/>
        <v>0</v>
      </c>
      <c r="CD465" s="40">
        <f t="shared" si="320"/>
        <v>0</v>
      </c>
      <c r="CE465" s="307"/>
      <c r="CF465" s="307"/>
      <c r="CG465" s="307"/>
    </row>
    <row r="466" spans="2:85" s="25" customFormat="1">
      <c r="B466" s="25" t="s">
        <v>1984</v>
      </c>
      <c r="C466" s="703"/>
      <c r="D466" s="703"/>
      <c r="E466" s="703"/>
      <c r="F466" s="703"/>
      <c r="G466" s="703"/>
      <c r="H466" s="703"/>
      <c r="I466" s="703"/>
      <c r="J466" s="703"/>
      <c r="K466" s="703"/>
      <c r="L466" s="703"/>
      <c r="M466" s="703"/>
      <c r="N466" s="703"/>
      <c r="O466" s="703"/>
      <c r="P466" s="703"/>
      <c r="Q466" s="703"/>
      <c r="R466" s="703"/>
      <c r="S466" s="703"/>
      <c r="T466" s="703"/>
      <c r="U466" s="703"/>
      <c r="V466" s="703"/>
      <c r="W466" s="703"/>
      <c r="X466" s="703"/>
      <c r="Y466" s="703"/>
      <c r="Z466" s="703"/>
      <c r="AA466" s="703"/>
      <c r="AB466" s="703"/>
      <c r="AC466" s="703"/>
      <c r="AD466" s="703"/>
      <c r="AE466" s="703"/>
      <c r="AF466" s="703"/>
      <c r="AG466" s="703"/>
      <c r="AH466" s="703"/>
      <c r="AI466" s="703"/>
      <c r="AJ466" s="703"/>
      <c r="AK466" s="703"/>
      <c r="AL466" s="703"/>
      <c r="AM466" s="703"/>
      <c r="AN466" s="703"/>
      <c r="AO466" s="703"/>
      <c r="AP466" s="703"/>
      <c r="AQ466" s="703"/>
      <c r="AR466" s="703"/>
      <c r="AS466" s="703"/>
      <c r="AT466" s="703"/>
      <c r="AU466" s="703"/>
      <c r="AV466" s="683"/>
      <c r="AW466" s="683"/>
      <c r="AX466" s="683"/>
      <c r="AY466" s="683"/>
      <c r="AZ466" s="683"/>
      <c r="BA466" s="683">
        <v>4</v>
      </c>
      <c r="BB466" s="683"/>
      <c r="BC466" s="461"/>
      <c r="BD466" s="461"/>
      <c r="BE466" s="461"/>
      <c r="BF466" s="461"/>
      <c r="BG466" s="461"/>
      <c r="BH466" s="307"/>
      <c r="BI466" s="307"/>
      <c r="BJ466" s="307"/>
      <c r="BK466" s="307"/>
      <c r="BU466" s="40">
        <f t="shared" si="302"/>
        <v>0</v>
      </c>
      <c r="BV466" s="40">
        <f t="shared" ref="BV466:CD466" si="321">BU466</f>
        <v>0</v>
      </c>
      <c r="BW466" s="40">
        <f t="shared" si="321"/>
        <v>0</v>
      </c>
      <c r="BX466" s="40">
        <f t="shared" si="321"/>
        <v>0</v>
      </c>
      <c r="BY466" s="40">
        <f t="shared" si="321"/>
        <v>0</v>
      </c>
      <c r="BZ466" s="40">
        <f t="shared" si="321"/>
        <v>0</v>
      </c>
      <c r="CA466" s="40">
        <f t="shared" si="321"/>
        <v>0</v>
      </c>
      <c r="CB466" s="40">
        <f t="shared" si="321"/>
        <v>0</v>
      </c>
      <c r="CC466" s="40">
        <f t="shared" si="321"/>
        <v>0</v>
      </c>
      <c r="CD466" s="40">
        <f t="shared" si="321"/>
        <v>0</v>
      </c>
      <c r="CE466" s="307"/>
      <c r="CF466" s="307"/>
      <c r="CG466" s="307"/>
    </row>
    <row r="467" spans="2:85" s="25" customFormat="1" ht="24" thickBot="1">
      <c r="B467" s="664" t="s">
        <v>1557</v>
      </c>
      <c r="C467" s="499"/>
      <c r="D467" s="499"/>
      <c r="E467" s="499"/>
      <c r="F467" s="499"/>
      <c r="G467" s="499"/>
      <c r="H467" s="499"/>
      <c r="I467" s="499"/>
      <c r="J467" s="499"/>
      <c r="K467" s="499"/>
      <c r="L467" s="499"/>
      <c r="M467" s="499"/>
      <c r="N467" s="499"/>
      <c r="O467" s="499"/>
      <c r="P467" s="499"/>
      <c r="Q467" s="499"/>
      <c r="R467" s="499"/>
      <c r="S467" s="499"/>
      <c r="T467" s="499"/>
      <c r="U467" s="499"/>
      <c r="V467" s="499"/>
      <c r="W467" s="499"/>
      <c r="X467" s="499"/>
      <c r="Y467" s="499"/>
      <c r="Z467" s="499"/>
      <c r="AA467" s="499"/>
      <c r="AB467" s="499"/>
      <c r="AC467" s="499"/>
      <c r="AD467" s="499"/>
      <c r="AE467" s="499"/>
      <c r="AF467" s="499"/>
      <c r="AG467" s="499"/>
      <c r="AH467" s="499"/>
      <c r="AI467" s="499"/>
      <c r="AJ467" s="499"/>
      <c r="AK467" s="499"/>
      <c r="AL467" s="499"/>
      <c r="AM467" s="499"/>
      <c r="AN467" s="499"/>
      <c r="AO467" s="499"/>
      <c r="AP467" s="499"/>
      <c r="AQ467" s="499"/>
      <c r="AR467" s="499"/>
      <c r="AS467" s="499"/>
      <c r="AT467" s="499"/>
      <c r="AU467" s="499"/>
      <c r="AV467" s="461"/>
      <c r="AW467" s="461"/>
      <c r="AX467" s="461"/>
      <c r="AY467" s="461"/>
      <c r="AZ467" s="461"/>
      <c r="BA467" s="461"/>
      <c r="BB467" s="461"/>
      <c r="BC467" s="461"/>
      <c r="BD467" s="461"/>
      <c r="BE467" s="461"/>
      <c r="BF467" s="461"/>
      <c r="BG467" s="461"/>
      <c r="BH467" s="307"/>
      <c r="BI467" s="307"/>
      <c r="BJ467" s="307"/>
      <c r="BK467" s="307"/>
      <c r="BU467" s="40">
        <f t="shared" si="302"/>
        <v>0</v>
      </c>
      <c r="BV467" s="40">
        <f t="shared" ref="BV467:CD467" si="322">BU467</f>
        <v>0</v>
      </c>
      <c r="BW467" s="40">
        <f t="shared" si="322"/>
        <v>0</v>
      </c>
      <c r="BX467" s="40">
        <f t="shared" si="322"/>
        <v>0</v>
      </c>
      <c r="BY467" s="40">
        <f t="shared" si="322"/>
        <v>0</v>
      </c>
      <c r="BZ467" s="40">
        <f t="shared" si="322"/>
        <v>0</v>
      </c>
      <c r="CA467" s="40">
        <f t="shared" si="322"/>
        <v>0</v>
      </c>
      <c r="CB467" s="40">
        <f t="shared" si="322"/>
        <v>0</v>
      </c>
      <c r="CC467" s="40">
        <f t="shared" si="322"/>
        <v>0</v>
      </c>
      <c r="CD467" s="40">
        <f t="shared" si="322"/>
        <v>0</v>
      </c>
      <c r="CE467" s="307"/>
      <c r="CF467" s="307"/>
      <c r="CG467" s="307"/>
    </row>
    <row r="468" spans="2:85" s="25" customFormat="1" ht="39" thickBot="1">
      <c r="B468" s="666" t="s">
        <v>3098</v>
      </c>
      <c r="C468" s="666"/>
      <c r="D468" s="666"/>
      <c r="E468" s="666"/>
      <c r="F468" s="666"/>
      <c r="G468" s="666"/>
      <c r="H468" s="666"/>
      <c r="I468" s="666"/>
      <c r="J468" s="666"/>
      <c r="K468" s="666"/>
      <c r="L468" s="666"/>
      <c r="M468" s="666"/>
      <c r="N468" s="666"/>
      <c r="O468" s="666"/>
      <c r="P468" s="666"/>
      <c r="Q468" s="666"/>
      <c r="R468" s="666"/>
      <c r="S468" s="666"/>
      <c r="T468" s="666"/>
      <c r="U468" s="666"/>
      <c r="V468" s="666"/>
      <c r="W468" s="666"/>
      <c r="X468" s="666"/>
      <c r="Y468" s="666"/>
      <c r="Z468" s="666"/>
      <c r="AA468" s="666"/>
      <c r="AB468" s="666"/>
      <c r="AC468" s="666"/>
      <c r="AD468" s="666"/>
      <c r="AE468" s="666"/>
      <c r="AF468" s="666"/>
      <c r="AG468" s="666"/>
      <c r="AH468" s="666"/>
      <c r="AI468" s="666"/>
      <c r="AJ468" s="666"/>
      <c r="AK468" s="666"/>
      <c r="AL468" s="666"/>
      <c r="AM468" s="666"/>
      <c r="AN468" s="666"/>
      <c r="AO468" s="666"/>
      <c r="AP468" s="666"/>
      <c r="AQ468" s="666"/>
      <c r="AR468" s="666"/>
      <c r="AS468" s="666"/>
      <c r="AT468" s="666"/>
      <c r="AU468" s="666"/>
      <c r="AV468" s="667"/>
      <c r="AW468" s="667"/>
      <c r="AX468" s="667"/>
      <c r="AY468" s="667"/>
      <c r="AZ468" s="667"/>
      <c r="BA468" s="668" t="s">
        <v>3099</v>
      </c>
      <c r="BB468" s="668" t="s">
        <v>3605</v>
      </c>
      <c r="BC468" s="668" t="s">
        <v>3606</v>
      </c>
      <c r="BD468" s="668" t="s">
        <v>3607</v>
      </c>
      <c r="BE468" s="668" t="s">
        <v>2490</v>
      </c>
      <c r="BF468" s="668" t="s">
        <v>2491</v>
      </c>
      <c r="BG468" s="668" t="s">
        <v>3229</v>
      </c>
      <c r="BH468" s="307"/>
      <c r="BI468" s="307"/>
      <c r="BJ468" s="307"/>
      <c r="BK468" s="307"/>
      <c r="BU468" s="40">
        <f t="shared" si="302"/>
        <v>0</v>
      </c>
      <c r="BV468" s="40">
        <f t="shared" ref="BV468:CD468" si="323">BU468</f>
        <v>0</v>
      </c>
      <c r="BW468" s="40">
        <f t="shared" si="323"/>
        <v>0</v>
      </c>
      <c r="BX468" s="40">
        <f t="shared" si="323"/>
        <v>0</v>
      </c>
      <c r="BY468" s="40">
        <f t="shared" si="323"/>
        <v>0</v>
      </c>
      <c r="BZ468" s="40">
        <f t="shared" si="323"/>
        <v>0</v>
      </c>
      <c r="CA468" s="40">
        <f t="shared" si="323"/>
        <v>0</v>
      </c>
      <c r="CB468" s="40">
        <f t="shared" si="323"/>
        <v>0</v>
      </c>
      <c r="CC468" s="40">
        <f t="shared" si="323"/>
        <v>0</v>
      </c>
      <c r="CD468" s="40">
        <f t="shared" si="323"/>
        <v>0</v>
      </c>
      <c r="CE468" s="307"/>
      <c r="CF468" s="307"/>
      <c r="CG468" s="307"/>
    </row>
    <row r="469" spans="2:85" s="25" customFormat="1">
      <c r="B469" s="756"/>
      <c r="C469" s="756"/>
      <c r="D469" s="756"/>
      <c r="E469" s="756"/>
      <c r="F469" s="756"/>
      <c r="G469" s="756"/>
      <c r="H469" s="756"/>
      <c r="I469" s="756"/>
      <c r="J469" s="756"/>
      <c r="K469" s="756"/>
      <c r="L469" s="756"/>
      <c r="M469" s="756"/>
      <c r="N469" s="756"/>
      <c r="O469" s="756"/>
      <c r="P469" s="756"/>
      <c r="Q469" s="756"/>
      <c r="R469" s="756"/>
      <c r="S469" s="756"/>
      <c r="T469" s="756"/>
      <c r="U469" s="756"/>
      <c r="V469" s="756"/>
      <c r="W469" s="756"/>
      <c r="X469" s="756"/>
      <c r="Y469" s="756"/>
      <c r="Z469" s="756"/>
      <c r="AA469" s="756"/>
      <c r="AB469" s="756"/>
      <c r="AC469" s="756"/>
      <c r="AD469" s="756"/>
      <c r="AE469" s="756"/>
      <c r="AF469" s="756"/>
      <c r="AG469" s="756"/>
      <c r="AH469" s="756"/>
      <c r="AI469" s="756"/>
      <c r="AJ469" s="756"/>
      <c r="AK469" s="756"/>
      <c r="AL469" s="756"/>
      <c r="AM469" s="756"/>
      <c r="AN469" s="756"/>
      <c r="AO469" s="756"/>
      <c r="AP469" s="756"/>
      <c r="AQ469" s="756"/>
      <c r="AR469" s="756"/>
      <c r="AS469" s="756"/>
      <c r="AT469" s="756"/>
      <c r="AU469" s="756"/>
      <c r="AV469" s="757"/>
      <c r="AW469" s="757"/>
      <c r="AX469" s="757"/>
      <c r="AY469" s="757"/>
      <c r="AZ469" s="757"/>
      <c r="BA469" s="758"/>
      <c r="BB469" s="758"/>
      <c r="BC469" s="758"/>
      <c r="BD469" s="758"/>
      <c r="BE469" s="461"/>
      <c r="BF469" s="461"/>
      <c r="BG469" s="461"/>
      <c r="BH469" s="307"/>
      <c r="BI469" s="307"/>
      <c r="BJ469" s="307"/>
      <c r="BK469" s="307"/>
      <c r="BU469" s="40">
        <f t="shared" si="302"/>
        <v>0</v>
      </c>
      <c r="BV469" s="40">
        <f t="shared" ref="BV469:CD469" si="324">BU469</f>
        <v>0</v>
      </c>
      <c r="BW469" s="40">
        <f t="shared" si="324"/>
        <v>0</v>
      </c>
      <c r="BX469" s="40">
        <f t="shared" si="324"/>
        <v>0</v>
      </c>
      <c r="BY469" s="40">
        <f t="shared" si="324"/>
        <v>0</v>
      </c>
      <c r="BZ469" s="40">
        <f t="shared" si="324"/>
        <v>0</v>
      </c>
      <c r="CA469" s="40">
        <f t="shared" si="324"/>
        <v>0</v>
      </c>
      <c r="CB469" s="40">
        <f t="shared" si="324"/>
        <v>0</v>
      </c>
      <c r="CC469" s="40">
        <f t="shared" si="324"/>
        <v>0</v>
      </c>
      <c r="CD469" s="40">
        <f t="shared" si="324"/>
        <v>0</v>
      </c>
      <c r="CE469" s="307"/>
      <c r="CF469" s="307"/>
      <c r="CG469" s="307"/>
    </row>
    <row r="470" spans="2:85" s="25" customFormat="1">
      <c r="B470" s="759" t="s">
        <v>1558</v>
      </c>
      <c r="C470" s="756"/>
      <c r="D470" s="756"/>
      <c r="E470" s="756"/>
      <c r="F470" s="756"/>
      <c r="G470" s="756"/>
      <c r="H470" s="756"/>
      <c r="I470" s="756"/>
      <c r="J470" s="756"/>
      <c r="K470" s="756"/>
      <c r="L470" s="756"/>
      <c r="M470" s="756"/>
      <c r="N470" s="756"/>
      <c r="O470" s="756"/>
      <c r="P470" s="756"/>
      <c r="Q470" s="756"/>
      <c r="R470" s="756"/>
      <c r="S470" s="756"/>
      <c r="T470" s="756"/>
      <c r="U470" s="756"/>
      <c r="V470" s="756"/>
      <c r="W470" s="756"/>
      <c r="X470" s="756"/>
      <c r="Y470" s="756"/>
      <c r="Z470" s="756"/>
      <c r="AA470" s="756"/>
      <c r="AB470" s="756"/>
      <c r="AC470" s="756"/>
      <c r="AD470" s="756"/>
      <c r="AE470" s="756"/>
      <c r="AF470" s="756"/>
      <c r="AG470" s="756"/>
      <c r="AH470" s="756"/>
      <c r="AI470" s="756"/>
      <c r="AJ470" s="756"/>
      <c r="AK470" s="756"/>
      <c r="AL470" s="756"/>
      <c r="AM470" s="756"/>
      <c r="AN470" s="756"/>
      <c r="AO470" s="756"/>
      <c r="AP470" s="756"/>
      <c r="AQ470" s="756"/>
      <c r="AR470" s="756"/>
      <c r="AS470" s="756"/>
      <c r="AT470" s="756"/>
      <c r="AU470" s="756"/>
      <c r="AV470" s="757"/>
      <c r="AW470" s="757"/>
      <c r="AX470" s="757"/>
      <c r="AY470" s="757"/>
      <c r="AZ470" s="757"/>
      <c r="BA470" s="758"/>
      <c r="BB470" s="758"/>
      <c r="BC470" s="758"/>
      <c r="BD470" s="461">
        <v>167.315584</v>
      </c>
      <c r="BE470" s="461">
        <f>BE472+BE477+BE483+BE501+BE505+BE509+BE511+BE513</f>
        <v>121.655941</v>
      </c>
      <c r="BF470" s="461">
        <f>BF472+BF477+BF483+BF501+BF505+BF509+BF511+BF513</f>
        <v>230.19072199999999</v>
      </c>
      <c r="BG470" s="461">
        <f>BG472+BG477+BG483+BG501+BG505+BG509+BG511+BG513</f>
        <v>156.45745299999999</v>
      </c>
      <c r="BH470" s="461">
        <f>BH472+BH477+BH483+BH501+BH505+BH509+BH511+BH513</f>
        <v>225.637438</v>
      </c>
      <c r="BI470" s="307"/>
      <c r="BJ470" s="307"/>
      <c r="BK470" s="307"/>
      <c r="BU470" s="40">
        <f t="shared" si="302"/>
        <v>0</v>
      </c>
      <c r="BV470" s="40">
        <f t="shared" ref="BV470:CD470" si="325">BU470</f>
        <v>0</v>
      </c>
      <c r="BW470" s="40">
        <f t="shared" si="325"/>
        <v>0</v>
      </c>
      <c r="BX470" s="40">
        <f t="shared" si="325"/>
        <v>0</v>
      </c>
      <c r="BY470" s="40">
        <f t="shared" si="325"/>
        <v>0</v>
      </c>
      <c r="BZ470" s="40">
        <f t="shared" si="325"/>
        <v>0</v>
      </c>
      <c r="CA470" s="40">
        <f t="shared" si="325"/>
        <v>0</v>
      </c>
      <c r="CB470" s="40">
        <f t="shared" si="325"/>
        <v>0</v>
      </c>
      <c r="CC470" s="40">
        <f t="shared" si="325"/>
        <v>0</v>
      </c>
      <c r="CD470" s="40">
        <f t="shared" si="325"/>
        <v>0</v>
      </c>
      <c r="CE470" s="307"/>
      <c r="CF470" s="307"/>
      <c r="CG470" s="307"/>
    </row>
    <row r="471" spans="2:85" s="25" customFormat="1">
      <c r="B471" s="760"/>
      <c r="C471" s="756"/>
      <c r="D471" s="756"/>
      <c r="E471" s="756"/>
      <c r="F471" s="756"/>
      <c r="G471" s="756"/>
      <c r="H471" s="756"/>
      <c r="I471" s="756"/>
      <c r="J471" s="756"/>
      <c r="K471" s="756"/>
      <c r="L471" s="756"/>
      <c r="M471" s="756"/>
      <c r="N471" s="756"/>
      <c r="O471" s="756"/>
      <c r="P471" s="756"/>
      <c r="Q471" s="756"/>
      <c r="R471" s="756"/>
      <c r="S471" s="756"/>
      <c r="T471" s="756"/>
      <c r="U471" s="756"/>
      <c r="V471" s="756"/>
      <c r="W471" s="756"/>
      <c r="X471" s="756"/>
      <c r="Y471" s="756"/>
      <c r="Z471" s="756"/>
      <c r="AA471" s="756"/>
      <c r="AB471" s="756"/>
      <c r="AC471" s="756"/>
      <c r="AD471" s="756"/>
      <c r="AE471" s="756"/>
      <c r="AF471" s="756"/>
      <c r="AG471" s="756"/>
      <c r="AH471" s="756"/>
      <c r="AI471" s="756"/>
      <c r="AJ471" s="756"/>
      <c r="AK471" s="756"/>
      <c r="AL471" s="756"/>
      <c r="AM471" s="756"/>
      <c r="AN471" s="756"/>
      <c r="AO471" s="756"/>
      <c r="AP471" s="756"/>
      <c r="AQ471" s="756"/>
      <c r="AR471" s="756"/>
      <c r="AS471" s="756"/>
      <c r="AT471" s="756"/>
      <c r="AU471" s="756"/>
      <c r="AV471" s="757"/>
      <c r="AW471" s="757"/>
      <c r="AX471" s="757"/>
      <c r="AY471" s="757"/>
      <c r="AZ471" s="757"/>
      <c r="BA471" s="758"/>
      <c r="BB471" s="758"/>
      <c r="BC471" s="758"/>
      <c r="BD471" s="758"/>
      <c r="BE471" s="461"/>
      <c r="BF471" s="461"/>
      <c r="BG471" s="461"/>
      <c r="BH471" s="307"/>
      <c r="BI471" s="307"/>
      <c r="BJ471" s="307"/>
      <c r="BK471" s="307"/>
      <c r="BU471" s="40">
        <f t="shared" si="302"/>
        <v>0</v>
      </c>
      <c r="BV471" s="40">
        <f t="shared" ref="BV471:CD471" si="326">BU471</f>
        <v>0</v>
      </c>
      <c r="BW471" s="40">
        <f t="shared" si="326"/>
        <v>0</v>
      </c>
      <c r="BX471" s="40">
        <f t="shared" si="326"/>
        <v>0</v>
      </c>
      <c r="BY471" s="40">
        <f t="shared" si="326"/>
        <v>0</v>
      </c>
      <c r="BZ471" s="40">
        <f t="shared" si="326"/>
        <v>0</v>
      </c>
      <c r="CA471" s="40">
        <f t="shared" si="326"/>
        <v>0</v>
      </c>
      <c r="CB471" s="40">
        <f t="shared" si="326"/>
        <v>0</v>
      </c>
      <c r="CC471" s="40">
        <f t="shared" si="326"/>
        <v>0</v>
      </c>
      <c r="CD471" s="40">
        <f t="shared" si="326"/>
        <v>0</v>
      </c>
      <c r="CE471" s="307"/>
      <c r="CF471" s="307"/>
      <c r="CG471" s="307"/>
    </row>
    <row r="472" spans="2:85" s="25" customFormat="1">
      <c r="B472" s="759" t="s">
        <v>1559</v>
      </c>
      <c r="C472" s="756"/>
      <c r="D472" s="756"/>
      <c r="E472" s="756"/>
      <c r="F472" s="756"/>
      <c r="G472" s="756"/>
      <c r="H472" s="756"/>
      <c r="I472" s="756"/>
      <c r="J472" s="756"/>
      <c r="K472" s="756"/>
      <c r="L472" s="756"/>
      <c r="M472" s="756"/>
      <c r="N472" s="756"/>
      <c r="O472" s="756"/>
      <c r="P472" s="756"/>
      <c r="Q472" s="756"/>
      <c r="R472" s="756"/>
      <c r="S472" s="756"/>
      <c r="T472" s="756"/>
      <c r="U472" s="756"/>
      <c r="V472" s="756"/>
      <c r="W472" s="756"/>
      <c r="X472" s="756"/>
      <c r="Y472" s="756"/>
      <c r="Z472" s="756"/>
      <c r="AA472" s="756"/>
      <c r="AB472" s="756"/>
      <c r="AC472" s="756"/>
      <c r="AD472" s="756"/>
      <c r="AE472" s="756"/>
      <c r="AF472" s="756"/>
      <c r="AG472" s="756"/>
      <c r="AH472" s="756"/>
      <c r="AI472" s="756"/>
      <c r="AJ472" s="756"/>
      <c r="AK472" s="756"/>
      <c r="AL472" s="756"/>
      <c r="AM472" s="756"/>
      <c r="AN472" s="756"/>
      <c r="AO472" s="756"/>
      <c r="AP472" s="756"/>
      <c r="AQ472" s="756"/>
      <c r="AR472" s="756"/>
      <c r="AS472" s="756"/>
      <c r="AT472" s="756"/>
      <c r="AU472" s="756"/>
      <c r="AV472" s="672"/>
      <c r="AW472" s="672"/>
      <c r="AX472" s="672"/>
      <c r="AY472" s="672"/>
      <c r="AZ472" s="672"/>
      <c r="BA472" s="672">
        <v>176.37</v>
      </c>
      <c r="BB472" s="761">
        <v>443.029</v>
      </c>
      <c r="BC472" s="761">
        <v>7813.0919999999996</v>
      </c>
      <c r="BD472" s="761">
        <v>4.1639910000000002</v>
      </c>
      <c r="BE472" s="461">
        <v>0</v>
      </c>
      <c r="BF472" s="461">
        <v>0.51419400000000004</v>
      </c>
      <c r="BG472" s="461">
        <v>0.70639600000000002</v>
      </c>
      <c r="BH472" s="307">
        <v>11.748607</v>
      </c>
      <c r="BI472" s="307">
        <v>1.752329</v>
      </c>
      <c r="BJ472" s="307"/>
      <c r="BK472" s="307"/>
      <c r="BU472" s="40">
        <f t="shared" si="302"/>
        <v>0</v>
      </c>
      <c r="BV472" s="40">
        <f t="shared" ref="BV472:CD472" si="327">BU472</f>
        <v>0</v>
      </c>
      <c r="BW472" s="40">
        <f t="shared" si="327"/>
        <v>0</v>
      </c>
      <c r="BX472" s="40">
        <f t="shared" si="327"/>
        <v>0</v>
      </c>
      <c r="BY472" s="40">
        <f t="shared" si="327"/>
        <v>0</v>
      </c>
      <c r="BZ472" s="40">
        <f t="shared" si="327"/>
        <v>0</v>
      </c>
      <c r="CA472" s="40">
        <f t="shared" si="327"/>
        <v>0</v>
      </c>
      <c r="CB472" s="40">
        <f t="shared" si="327"/>
        <v>0</v>
      </c>
      <c r="CC472" s="40">
        <f t="shared" si="327"/>
        <v>0</v>
      </c>
      <c r="CD472" s="40">
        <f t="shared" si="327"/>
        <v>0</v>
      </c>
      <c r="CE472" s="307"/>
      <c r="CF472" s="307"/>
      <c r="CG472" s="307"/>
    </row>
    <row r="473" spans="2:85" s="25" customFormat="1">
      <c r="B473" s="680" t="s">
        <v>4367</v>
      </c>
      <c r="C473" s="680"/>
      <c r="D473" s="680"/>
      <c r="E473" s="680"/>
      <c r="F473" s="680"/>
      <c r="G473" s="680"/>
      <c r="H473" s="680"/>
      <c r="I473" s="680"/>
      <c r="J473" s="680"/>
      <c r="K473" s="680"/>
      <c r="L473" s="680"/>
      <c r="M473" s="680"/>
      <c r="N473" s="680"/>
      <c r="O473" s="680"/>
      <c r="P473" s="680"/>
      <c r="Q473" s="680"/>
      <c r="R473" s="680"/>
      <c r="S473" s="680"/>
      <c r="T473" s="680"/>
      <c r="U473" s="680"/>
      <c r="V473" s="680"/>
      <c r="W473" s="680"/>
      <c r="X473" s="680"/>
      <c r="Y473" s="680"/>
      <c r="Z473" s="680"/>
      <c r="AA473" s="680"/>
      <c r="AB473" s="680"/>
      <c r="AC473" s="680"/>
      <c r="AD473" s="680"/>
      <c r="AE473" s="680"/>
      <c r="AF473" s="680"/>
      <c r="AG473" s="680"/>
      <c r="AH473" s="680"/>
      <c r="AI473" s="680"/>
      <c r="AJ473" s="680"/>
      <c r="AK473" s="680"/>
      <c r="AL473" s="680"/>
      <c r="AM473" s="680"/>
      <c r="AN473" s="680"/>
      <c r="AO473" s="680"/>
      <c r="AP473" s="680"/>
      <c r="AQ473" s="680"/>
      <c r="AR473" s="680"/>
      <c r="AS473" s="680"/>
      <c r="AT473" s="680"/>
      <c r="AU473" s="680"/>
      <c r="AV473" s="672"/>
      <c r="AW473" s="672"/>
      <c r="AX473" s="672"/>
      <c r="AY473" s="672"/>
      <c r="AZ473" s="672"/>
      <c r="BA473" s="672">
        <v>140.6</v>
      </c>
      <c r="BB473" s="761">
        <v>354.52800000000002</v>
      </c>
      <c r="BC473" s="761">
        <v>320.78699999999998</v>
      </c>
      <c r="BD473" s="761">
        <v>0.26312600000000003</v>
      </c>
      <c r="BE473" s="461"/>
      <c r="BF473" s="461"/>
      <c r="BG473" s="461"/>
      <c r="BH473" s="307"/>
      <c r="BI473" s="307"/>
      <c r="BJ473" s="307"/>
      <c r="BK473" s="307"/>
      <c r="BU473" s="40">
        <f t="shared" si="302"/>
        <v>0</v>
      </c>
      <c r="BV473" s="40">
        <f t="shared" ref="BV473:CD473" si="328">BU473</f>
        <v>0</v>
      </c>
      <c r="BW473" s="40">
        <f t="shared" si="328"/>
        <v>0</v>
      </c>
      <c r="BX473" s="40">
        <f t="shared" si="328"/>
        <v>0</v>
      </c>
      <c r="BY473" s="40">
        <f t="shared" si="328"/>
        <v>0</v>
      </c>
      <c r="BZ473" s="40">
        <f t="shared" si="328"/>
        <v>0</v>
      </c>
      <c r="CA473" s="40">
        <f t="shared" si="328"/>
        <v>0</v>
      </c>
      <c r="CB473" s="40">
        <f t="shared" si="328"/>
        <v>0</v>
      </c>
      <c r="CC473" s="40">
        <f t="shared" si="328"/>
        <v>0</v>
      </c>
      <c r="CD473" s="40">
        <f t="shared" si="328"/>
        <v>0</v>
      </c>
      <c r="CE473" s="307"/>
      <c r="CF473" s="307"/>
      <c r="CG473" s="307"/>
    </row>
    <row r="474" spans="2:85" s="25" customFormat="1" ht="63.75">
      <c r="B474" s="762" t="s">
        <v>1206</v>
      </c>
      <c r="C474" s="762"/>
      <c r="D474" s="762"/>
      <c r="E474" s="762"/>
      <c r="F474" s="762"/>
      <c r="G474" s="762"/>
      <c r="H474" s="762"/>
      <c r="I474" s="762"/>
      <c r="J474" s="762"/>
      <c r="K474" s="762"/>
      <c r="L474" s="762"/>
      <c r="M474" s="762"/>
      <c r="N474" s="762"/>
      <c r="O474" s="762"/>
      <c r="P474" s="762"/>
      <c r="Q474" s="762"/>
      <c r="R474" s="762"/>
      <c r="S474" s="762"/>
      <c r="T474" s="762"/>
      <c r="U474" s="762"/>
      <c r="V474" s="762"/>
      <c r="W474" s="762"/>
      <c r="X474" s="762"/>
      <c r="Y474" s="762"/>
      <c r="Z474" s="762"/>
      <c r="AA474" s="762"/>
      <c r="AB474" s="762"/>
      <c r="AC474" s="762"/>
      <c r="AD474" s="762"/>
      <c r="AE474" s="762"/>
      <c r="AF474" s="762"/>
      <c r="AG474" s="762"/>
      <c r="AH474" s="762"/>
      <c r="AI474" s="762"/>
      <c r="AJ474" s="762"/>
      <c r="AK474" s="762"/>
      <c r="AL474" s="762"/>
      <c r="AM474" s="762"/>
      <c r="AN474" s="762"/>
      <c r="AO474" s="762"/>
      <c r="AP474" s="762"/>
      <c r="AQ474" s="762"/>
      <c r="AR474" s="762"/>
      <c r="AS474" s="762"/>
      <c r="AT474" s="762"/>
      <c r="AU474" s="762"/>
      <c r="AV474" s="763"/>
      <c r="AW474" s="763"/>
      <c r="AX474" s="763"/>
      <c r="AY474" s="763"/>
      <c r="AZ474" s="763"/>
      <c r="BA474" s="672">
        <v>23.943000000000001</v>
      </c>
      <c r="BB474" s="761"/>
      <c r="BC474" s="761">
        <v>98.483000000000004</v>
      </c>
      <c r="BD474" s="761">
        <v>9.9523E-2</v>
      </c>
      <c r="BE474" s="461"/>
      <c r="BF474" s="461"/>
      <c r="BG474" s="461"/>
      <c r="BH474" s="307"/>
      <c r="BI474" s="307"/>
      <c r="BJ474" s="307"/>
      <c r="BK474" s="307"/>
      <c r="BU474" s="40">
        <f t="shared" si="302"/>
        <v>0</v>
      </c>
      <c r="BV474" s="40">
        <f t="shared" ref="BV474:CD474" si="329">BU474</f>
        <v>0</v>
      </c>
      <c r="BW474" s="40">
        <f t="shared" si="329"/>
        <v>0</v>
      </c>
      <c r="BX474" s="40">
        <f t="shared" si="329"/>
        <v>0</v>
      </c>
      <c r="BY474" s="40">
        <f t="shared" si="329"/>
        <v>0</v>
      </c>
      <c r="BZ474" s="40">
        <f t="shared" si="329"/>
        <v>0</v>
      </c>
      <c r="CA474" s="40">
        <f t="shared" si="329"/>
        <v>0</v>
      </c>
      <c r="CB474" s="40">
        <f t="shared" si="329"/>
        <v>0</v>
      </c>
      <c r="CC474" s="40">
        <f t="shared" si="329"/>
        <v>0</v>
      </c>
      <c r="CD474" s="40">
        <f t="shared" si="329"/>
        <v>0</v>
      </c>
      <c r="CE474" s="307"/>
      <c r="CF474" s="307"/>
      <c r="CG474" s="307"/>
    </row>
    <row r="475" spans="2:85" s="25" customFormat="1">
      <c r="B475" s="680" t="s">
        <v>617</v>
      </c>
      <c r="C475" s="680"/>
      <c r="D475" s="680"/>
      <c r="E475" s="680"/>
      <c r="F475" s="680"/>
      <c r="G475" s="680"/>
      <c r="H475" s="680"/>
      <c r="I475" s="680"/>
      <c r="J475" s="680"/>
      <c r="K475" s="680"/>
      <c r="L475" s="680"/>
      <c r="M475" s="680"/>
      <c r="N475" s="680"/>
      <c r="O475" s="680"/>
      <c r="P475" s="680"/>
      <c r="Q475" s="680"/>
      <c r="R475" s="680"/>
      <c r="S475" s="680"/>
      <c r="T475" s="680"/>
      <c r="U475" s="680"/>
      <c r="V475" s="680"/>
      <c r="W475" s="680"/>
      <c r="X475" s="680"/>
      <c r="Y475" s="680"/>
      <c r="Z475" s="680"/>
      <c r="AA475" s="680"/>
      <c r="AB475" s="680"/>
      <c r="AC475" s="680"/>
      <c r="AD475" s="680"/>
      <c r="AE475" s="680"/>
      <c r="AF475" s="680"/>
      <c r="AG475" s="680"/>
      <c r="AH475" s="680"/>
      <c r="AI475" s="680"/>
      <c r="AJ475" s="680"/>
      <c r="AK475" s="680"/>
      <c r="AL475" s="680"/>
      <c r="AM475" s="680"/>
      <c r="AN475" s="680"/>
      <c r="AO475" s="680"/>
      <c r="AP475" s="680"/>
      <c r="AQ475" s="680"/>
      <c r="AR475" s="680"/>
      <c r="AS475" s="680"/>
      <c r="AT475" s="680"/>
      <c r="AU475" s="680"/>
      <c r="AV475" s="672"/>
      <c r="AW475" s="672"/>
      <c r="AX475" s="672"/>
      <c r="AY475" s="672"/>
      <c r="AZ475" s="672"/>
      <c r="BA475" s="672">
        <f>BA472-(BA473+BA474)</f>
        <v>11.826999999999998</v>
      </c>
      <c r="BB475" s="672">
        <f>BB472-(BB473+BB474)</f>
        <v>88.500999999999976</v>
      </c>
      <c r="BC475" s="672">
        <f>BC472-(BC473+BC474)</f>
        <v>7393.8220000000001</v>
      </c>
      <c r="BD475" s="672">
        <f>BD472-(BD473+BD474)</f>
        <v>3.801342</v>
      </c>
      <c r="BE475" s="461"/>
      <c r="BF475" s="461"/>
      <c r="BG475" s="461"/>
      <c r="BH475" s="307"/>
      <c r="BI475" s="307"/>
      <c r="BJ475" s="307"/>
      <c r="BK475" s="307"/>
      <c r="BU475" s="40">
        <f t="shared" si="302"/>
        <v>0</v>
      </c>
      <c r="BV475" s="40">
        <f t="shared" ref="BV475:CD475" si="330">BU475</f>
        <v>0</v>
      </c>
      <c r="BW475" s="40">
        <f t="shared" si="330"/>
        <v>0</v>
      </c>
      <c r="BX475" s="40">
        <f t="shared" si="330"/>
        <v>0</v>
      </c>
      <c r="BY475" s="40">
        <f t="shared" si="330"/>
        <v>0</v>
      </c>
      <c r="BZ475" s="40">
        <f t="shared" si="330"/>
        <v>0</v>
      </c>
      <c r="CA475" s="40">
        <f t="shared" si="330"/>
        <v>0</v>
      </c>
      <c r="CB475" s="40">
        <f t="shared" si="330"/>
        <v>0</v>
      </c>
      <c r="CC475" s="40">
        <f t="shared" si="330"/>
        <v>0</v>
      </c>
      <c r="CD475" s="40">
        <f t="shared" si="330"/>
        <v>0</v>
      </c>
      <c r="CE475" s="307"/>
      <c r="CF475" s="307"/>
      <c r="CG475" s="307"/>
    </row>
    <row r="476" spans="2:85" s="25" customFormat="1">
      <c r="B476" s="679"/>
      <c r="C476" s="670"/>
      <c r="D476" s="670"/>
      <c r="E476" s="670"/>
      <c r="F476" s="670"/>
      <c r="G476" s="670"/>
      <c r="H476" s="670"/>
      <c r="I476" s="670"/>
      <c r="J476" s="670"/>
      <c r="K476" s="670"/>
      <c r="L476" s="670"/>
      <c r="M476" s="670"/>
      <c r="N476" s="670"/>
      <c r="O476" s="670"/>
      <c r="P476" s="670"/>
      <c r="Q476" s="670"/>
      <c r="R476" s="670"/>
      <c r="S476" s="670"/>
      <c r="T476" s="670"/>
      <c r="U476" s="670"/>
      <c r="V476" s="670"/>
      <c r="W476" s="670"/>
      <c r="X476" s="670"/>
      <c r="Y476" s="670"/>
      <c r="Z476" s="670"/>
      <c r="AA476" s="670"/>
      <c r="AB476" s="670"/>
      <c r="AC476" s="670"/>
      <c r="AD476" s="670"/>
      <c r="AE476" s="670"/>
      <c r="AF476" s="670"/>
      <c r="AG476" s="670"/>
      <c r="AH476" s="670"/>
      <c r="AI476" s="670"/>
      <c r="AJ476" s="670"/>
      <c r="AK476" s="670"/>
      <c r="AL476" s="670"/>
      <c r="AM476" s="670"/>
      <c r="AN476" s="670"/>
      <c r="AO476" s="670"/>
      <c r="AP476" s="670"/>
      <c r="AQ476" s="670"/>
      <c r="AR476" s="670"/>
      <c r="AS476" s="670"/>
      <c r="AT476" s="670"/>
      <c r="AU476" s="670"/>
      <c r="AV476" s="671"/>
      <c r="AW476" s="671"/>
      <c r="AX476" s="671"/>
      <c r="AY476" s="671"/>
      <c r="AZ476" s="671"/>
      <c r="BA476" s="672"/>
      <c r="BB476" s="761"/>
      <c r="BC476" s="761"/>
      <c r="BD476" s="761"/>
      <c r="BE476" s="461"/>
      <c r="BF476" s="461"/>
      <c r="BG476" s="461"/>
      <c r="BH476" s="307"/>
      <c r="BI476" s="307"/>
      <c r="BJ476" s="307"/>
      <c r="BK476" s="307"/>
      <c r="BU476" s="40">
        <f t="shared" si="302"/>
        <v>0</v>
      </c>
      <c r="BV476" s="40">
        <f t="shared" ref="BV476:CD476" si="331">BU476</f>
        <v>0</v>
      </c>
      <c r="BW476" s="40">
        <f t="shared" si="331"/>
        <v>0</v>
      </c>
      <c r="BX476" s="40">
        <f t="shared" si="331"/>
        <v>0</v>
      </c>
      <c r="BY476" s="40">
        <f t="shared" si="331"/>
        <v>0</v>
      </c>
      <c r="BZ476" s="40">
        <f t="shared" si="331"/>
        <v>0</v>
      </c>
      <c r="CA476" s="40">
        <f t="shared" si="331"/>
        <v>0</v>
      </c>
      <c r="CB476" s="40">
        <f t="shared" si="331"/>
        <v>0</v>
      </c>
      <c r="CC476" s="40">
        <f t="shared" si="331"/>
        <v>0</v>
      </c>
      <c r="CD476" s="40">
        <f t="shared" si="331"/>
        <v>0</v>
      </c>
      <c r="CE476" s="307"/>
      <c r="CF476" s="307"/>
      <c r="CG476" s="307"/>
    </row>
    <row r="477" spans="2:85" s="25" customFormat="1">
      <c r="B477" s="681" t="s">
        <v>1020</v>
      </c>
      <c r="C477" s="680"/>
      <c r="D477" s="680"/>
      <c r="E477" s="680"/>
      <c r="F477" s="680"/>
      <c r="G477" s="680"/>
      <c r="H477" s="680"/>
      <c r="I477" s="680"/>
      <c r="J477" s="680"/>
      <c r="K477" s="680"/>
      <c r="L477" s="680"/>
      <c r="M477" s="680"/>
      <c r="N477" s="680"/>
      <c r="O477" s="680"/>
      <c r="P477" s="680"/>
      <c r="Q477" s="680"/>
      <c r="R477" s="680"/>
      <c r="S477" s="680"/>
      <c r="T477" s="680"/>
      <c r="U477" s="680"/>
      <c r="V477" s="680"/>
      <c r="W477" s="680"/>
      <c r="X477" s="680"/>
      <c r="Y477" s="680"/>
      <c r="Z477" s="680"/>
      <c r="AA477" s="680"/>
      <c r="AB477" s="680"/>
      <c r="AC477" s="680"/>
      <c r="AD477" s="680"/>
      <c r="AE477" s="680"/>
      <c r="AF477" s="680"/>
      <c r="AG477" s="680"/>
      <c r="AH477" s="680"/>
      <c r="AI477" s="680"/>
      <c r="AJ477" s="680"/>
      <c r="AK477" s="680"/>
      <c r="AL477" s="680"/>
      <c r="AM477" s="680"/>
      <c r="AN477" s="680"/>
      <c r="AO477" s="680"/>
      <c r="AP477" s="680"/>
      <c r="AQ477" s="680"/>
      <c r="AR477" s="680"/>
      <c r="AS477" s="680"/>
      <c r="AT477" s="680"/>
      <c r="AU477" s="680"/>
      <c r="AV477" s="672"/>
      <c r="AW477" s="672"/>
      <c r="AX477" s="672"/>
      <c r="AY477" s="672"/>
      <c r="AZ477" s="672"/>
      <c r="BA477" s="671">
        <v>8833.4409999999989</v>
      </c>
      <c r="BB477" s="671">
        <v>11894.732</v>
      </c>
      <c r="BC477" s="671">
        <v>11150.673000000001</v>
      </c>
      <c r="BD477" s="671">
        <v>4.8173139999999997</v>
      </c>
      <c r="BE477" s="461">
        <v>11.570665999999999</v>
      </c>
      <c r="BF477" s="461">
        <v>5.5086519999999997</v>
      </c>
      <c r="BG477" s="461">
        <v>27.028711000000001</v>
      </c>
      <c r="BH477" s="307">
        <v>40.919485000000002</v>
      </c>
      <c r="BI477" s="307">
        <v>42.965459000000003</v>
      </c>
      <c r="BJ477" s="307">
        <v>45.113731999999999</v>
      </c>
      <c r="BK477" s="307"/>
      <c r="BU477" s="40">
        <f t="shared" si="302"/>
        <v>0</v>
      </c>
      <c r="BV477" s="40">
        <f t="shared" ref="BV477:CD477" si="332">BU477</f>
        <v>0</v>
      </c>
      <c r="BW477" s="40">
        <f t="shared" si="332"/>
        <v>0</v>
      </c>
      <c r="BX477" s="40">
        <f t="shared" si="332"/>
        <v>0</v>
      </c>
      <c r="BY477" s="40">
        <f t="shared" si="332"/>
        <v>0</v>
      </c>
      <c r="BZ477" s="40">
        <f t="shared" si="332"/>
        <v>0</v>
      </c>
      <c r="CA477" s="40">
        <f t="shared" si="332"/>
        <v>0</v>
      </c>
      <c r="CB477" s="40">
        <f t="shared" si="332"/>
        <v>0</v>
      </c>
      <c r="CC477" s="40">
        <f t="shared" si="332"/>
        <v>0</v>
      </c>
      <c r="CD477" s="40">
        <f t="shared" si="332"/>
        <v>0</v>
      </c>
      <c r="CE477" s="307"/>
      <c r="CF477" s="307"/>
      <c r="CG477" s="307"/>
    </row>
    <row r="478" spans="2:85" s="25" customFormat="1">
      <c r="B478" s="764" t="s">
        <v>719</v>
      </c>
      <c r="C478" s="680"/>
      <c r="D478" s="680"/>
      <c r="E478" s="680"/>
      <c r="F478" s="680"/>
      <c r="G478" s="680"/>
      <c r="H478" s="680"/>
      <c r="I478" s="680"/>
      <c r="J478" s="680"/>
      <c r="K478" s="680"/>
      <c r="L478" s="680"/>
      <c r="M478" s="680"/>
      <c r="N478" s="680"/>
      <c r="O478" s="680"/>
      <c r="P478" s="680"/>
      <c r="Q478" s="680"/>
      <c r="R478" s="680"/>
      <c r="S478" s="680"/>
      <c r="T478" s="680"/>
      <c r="U478" s="680"/>
      <c r="V478" s="680"/>
      <c r="W478" s="680"/>
      <c r="X478" s="680"/>
      <c r="Y478" s="680"/>
      <c r="Z478" s="680"/>
      <c r="AA478" s="680"/>
      <c r="AB478" s="680"/>
      <c r="AC478" s="680"/>
      <c r="AD478" s="680"/>
      <c r="AE478" s="680"/>
      <c r="AF478" s="680"/>
      <c r="AG478" s="680"/>
      <c r="AH478" s="680"/>
      <c r="AI478" s="680"/>
      <c r="AJ478" s="680"/>
      <c r="AK478" s="680"/>
      <c r="AL478" s="680"/>
      <c r="AM478" s="680"/>
      <c r="AN478" s="680"/>
      <c r="AO478" s="680"/>
      <c r="AP478" s="680"/>
      <c r="AQ478" s="680"/>
      <c r="AR478" s="680"/>
      <c r="AS478" s="680"/>
      <c r="AT478" s="680"/>
      <c r="AU478" s="680"/>
      <c r="AV478" s="672"/>
      <c r="AW478" s="672"/>
      <c r="AX478" s="672"/>
      <c r="AY478" s="672"/>
      <c r="AZ478" s="672"/>
      <c r="BA478" s="672">
        <v>2099.6149999999998</v>
      </c>
      <c r="BB478" s="761">
        <v>2417.41</v>
      </c>
      <c r="BC478" s="761">
        <v>2526.6480000000001</v>
      </c>
      <c r="BD478" s="761">
        <v>2.888601</v>
      </c>
      <c r="BE478" s="461"/>
      <c r="BF478" s="461"/>
      <c r="BG478" s="461"/>
      <c r="BH478" s="307"/>
      <c r="BI478" s="307"/>
      <c r="BJ478" s="307"/>
      <c r="BK478" s="307"/>
      <c r="BU478" s="40">
        <f t="shared" si="302"/>
        <v>0</v>
      </c>
      <c r="BV478" s="40">
        <f t="shared" ref="BV478:CD478" si="333">BU478</f>
        <v>0</v>
      </c>
      <c r="BW478" s="40">
        <f t="shared" si="333"/>
        <v>0</v>
      </c>
      <c r="BX478" s="40">
        <f t="shared" si="333"/>
        <v>0</v>
      </c>
      <c r="BY478" s="40">
        <f t="shared" si="333"/>
        <v>0</v>
      </c>
      <c r="BZ478" s="40">
        <f t="shared" si="333"/>
        <v>0</v>
      </c>
      <c r="CA478" s="40">
        <f t="shared" si="333"/>
        <v>0</v>
      </c>
      <c r="CB478" s="40">
        <f t="shared" si="333"/>
        <v>0</v>
      </c>
      <c r="CC478" s="40">
        <f t="shared" si="333"/>
        <v>0</v>
      </c>
      <c r="CD478" s="40">
        <f t="shared" si="333"/>
        <v>0</v>
      </c>
      <c r="CE478" s="307"/>
      <c r="CF478" s="307"/>
      <c r="CG478" s="307"/>
    </row>
    <row r="479" spans="2:85" s="25" customFormat="1">
      <c r="B479" s="764" t="s">
        <v>1199</v>
      </c>
      <c r="C479" s="680"/>
      <c r="D479" s="680"/>
      <c r="E479" s="680"/>
      <c r="F479" s="680"/>
      <c r="G479" s="680"/>
      <c r="H479" s="680"/>
      <c r="I479" s="680"/>
      <c r="J479" s="680"/>
      <c r="K479" s="680"/>
      <c r="L479" s="680"/>
      <c r="M479" s="680"/>
      <c r="N479" s="680"/>
      <c r="O479" s="680"/>
      <c r="P479" s="680"/>
      <c r="Q479" s="680"/>
      <c r="R479" s="680"/>
      <c r="S479" s="680"/>
      <c r="T479" s="680"/>
      <c r="U479" s="680"/>
      <c r="V479" s="680"/>
      <c r="W479" s="680"/>
      <c r="X479" s="680"/>
      <c r="Y479" s="680"/>
      <c r="Z479" s="680"/>
      <c r="AA479" s="680"/>
      <c r="AB479" s="680"/>
      <c r="AC479" s="680"/>
      <c r="AD479" s="680"/>
      <c r="AE479" s="680"/>
      <c r="AF479" s="680"/>
      <c r="AG479" s="680"/>
      <c r="AH479" s="680"/>
      <c r="AI479" s="680"/>
      <c r="AJ479" s="680"/>
      <c r="AK479" s="680"/>
      <c r="AL479" s="680"/>
      <c r="AM479" s="680"/>
      <c r="AN479" s="680"/>
      <c r="AO479" s="680"/>
      <c r="AP479" s="680"/>
      <c r="AQ479" s="680"/>
      <c r="AR479" s="680"/>
      <c r="AS479" s="680"/>
      <c r="AT479" s="680"/>
      <c r="AU479" s="680"/>
      <c r="AV479" s="672"/>
      <c r="AW479" s="672"/>
      <c r="AX479" s="672"/>
      <c r="AY479" s="672"/>
      <c r="AZ479" s="672"/>
      <c r="BA479" s="672">
        <v>141.86799999999999</v>
      </c>
      <c r="BB479" s="761">
        <v>169.66499999999999</v>
      </c>
      <c r="BC479" s="761">
        <v>186.40600000000001</v>
      </c>
      <c r="BD479" s="761">
        <v>0.21934999999999999</v>
      </c>
      <c r="BE479" s="461"/>
      <c r="BF479" s="461"/>
      <c r="BG479" s="461"/>
      <c r="BH479" s="307"/>
      <c r="BI479" s="307"/>
      <c r="BJ479" s="307"/>
      <c r="BK479" s="307"/>
      <c r="BU479" s="40">
        <f t="shared" si="302"/>
        <v>0</v>
      </c>
      <c r="BV479" s="40">
        <f t="shared" ref="BV479:CD479" si="334">BU479</f>
        <v>0</v>
      </c>
      <c r="BW479" s="40">
        <f t="shared" si="334"/>
        <v>0</v>
      </c>
      <c r="BX479" s="40">
        <f t="shared" si="334"/>
        <v>0</v>
      </c>
      <c r="BY479" s="40">
        <f t="shared" si="334"/>
        <v>0</v>
      </c>
      <c r="BZ479" s="40">
        <f t="shared" si="334"/>
        <v>0</v>
      </c>
      <c r="CA479" s="40">
        <f t="shared" si="334"/>
        <v>0</v>
      </c>
      <c r="CB479" s="40">
        <f t="shared" si="334"/>
        <v>0</v>
      </c>
      <c r="CC479" s="40">
        <f t="shared" si="334"/>
        <v>0</v>
      </c>
      <c r="CD479" s="40">
        <f t="shared" si="334"/>
        <v>0</v>
      </c>
      <c r="CE479" s="307"/>
      <c r="CF479" s="307"/>
      <c r="CG479" s="307"/>
    </row>
    <row r="480" spans="2:85" s="25" customFormat="1">
      <c r="B480" s="764" t="s">
        <v>1092</v>
      </c>
      <c r="C480" s="680"/>
      <c r="D480" s="680"/>
      <c r="E480" s="680"/>
      <c r="F480" s="680"/>
      <c r="G480" s="680"/>
      <c r="H480" s="680"/>
      <c r="I480" s="680"/>
      <c r="J480" s="680"/>
      <c r="K480" s="680"/>
      <c r="L480" s="680"/>
      <c r="M480" s="680"/>
      <c r="N480" s="680"/>
      <c r="O480" s="680"/>
      <c r="P480" s="680"/>
      <c r="Q480" s="680"/>
      <c r="R480" s="680"/>
      <c r="S480" s="680"/>
      <c r="T480" s="680"/>
      <c r="U480" s="680"/>
      <c r="V480" s="680"/>
      <c r="W480" s="680"/>
      <c r="X480" s="680"/>
      <c r="Y480" s="680"/>
      <c r="Z480" s="680"/>
      <c r="AA480" s="680"/>
      <c r="AB480" s="680"/>
      <c r="AC480" s="680"/>
      <c r="AD480" s="680"/>
      <c r="AE480" s="680"/>
      <c r="AF480" s="680"/>
      <c r="AG480" s="680"/>
      <c r="AH480" s="680"/>
      <c r="AI480" s="680"/>
      <c r="AJ480" s="680"/>
      <c r="AK480" s="680"/>
      <c r="AL480" s="680"/>
      <c r="AM480" s="680"/>
      <c r="AN480" s="680"/>
      <c r="AO480" s="680"/>
      <c r="AP480" s="680"/>
      <c r="AQ480" s="680"/>
      <c r="AR480" s="680"/>
      <c r="AS480" s="680"/>
      <c r="AT480" s="680"/>
      <c r="AU480" s="680"/>
      <c r="AV480" s="672"/>
      <c r="AW480" s="672"/>
      <c r="AX480" s="672"/>
      <c r="AY480" s="672"/>
      <c r="AZ480" s="672"/>
      <c r="BA480" s="672">
        <v>6454.4669999999996</v>
      </c>
      <c r="BB480" s="761">
        <v>8820.9089999999997</v>
      </c>
      <c r="BC480" s="761">
        <v>7003.1</v>
      </c>
      <c r="BD480" s="761">
        <v>9.2034000000000005E-2</v>
      </c>
      <c r="BE480" s="461"/>
      <c r="BF480" s="461"/>
      <c r="BG480" s="461"/>
      <c r="BH480" s="307"/>
      <c r="BI480" s="307"/>
      <c r="BJ480" s="307"/>
      <c r="BK480" s="307"/>
      <c r="BU480" s="40">
        <f t="shared" si="302"/>
        <v>0</v>
      </c>
      <c r="BV480" s="40">
        <f t="shared" ref="BV480:CD480" si="335">BU480</f>
        <v>0</v>
      </c>
      <c r="BW480" s="40">
        <f t="shared" si="335"/>
        <v>0</v>
      </c>
      <c r="BX480" s="40">
        <f t="shared" si="335"/>
        <v>0</v>
      </c>
      <c r="BY480" s="40">
        <f t="shared" si="335"/>
        <v>0</v>
      </c>
      <c r="BZ480" s="40">
        <f t="shared" si="335"/>
        <v>0</v>
      </c>
      <c r="CA480" s="40">
        <f t="shared" si="335"/>
        <v>0</v>
      </c>
      <c r="CB480" s="40">
        <f t="shared" si="335"/>
        <v>0</v>
      </c>
      <c r="CC480" s="40">
        <f t="shared" si="335"/>
        <v>0</v>
      </c>
      <c r="CD480" s="40">
        <f t="shared" si="335"/>
        <v>0</v>
      </c>
      <c r="CE480" s="307"/>
      <c r="CF480" s="307"/>
      <c r="CG480" s="307"/>
    </row>
    <row r="481" spans="2:85" s="25" customFormat="1">
      <c r="B481" s="764" t="s">
        <v>4376</v>
      </c>
      <c r="C481" s="680"/>
      <c r="D481" s="680"/>
      <c r="E481" s="680"/>
      <c r="F481" s="680"/>
      <c r="G481" s="680"/>
      <c r="H481" s="680"/>
      <c r="I481" s="680"/>
      <c r="J481" s="680"/>
      <c r="K481" s="680"/>
      <c r="L481" s="680"/>
      <c r="M481" s="680"/>
      <c r="N481" s="680"/>
      <c r="O481" s="680"/>
      <c r="P481" s="680"/>
      <c r="Q481" s="680"/>
      <c r="R481" s="680"/>
      <c r="S481" s="680"/>
      <c r="T481" s="680"/>
      <c r="U481" s="680"/>
      <c r="V481" s="680"/>
      <c r="W481" s="680"/>
      <c r="X481" s="680"/>
      <c r="Y481" s="680"/>
      <c r="Z481" s="680"/>
      <c r="AA481" s="680"/>
      <c r="AB481" s="680"/>
      <c r="AC481" s="680"/>
      <c r="AD481" s="680"/>
      <c r="AE481" s="680"/>
      <c r="AF481" s="680"/>
      <c r="AG481" s="680"/>
      <c r="AH481" s="680"/>
      <c r="AI481" s="680"/>
      <c r="AJ481" s="680"/>
      <c r="AK481" s="680"/>
      <c r="AL481" s="680"/>
      <c r="AM481" s="680"/>
      <c r="AN481" s="680"/>
      <c r="AO481" s="680"/>
      <c r="AP481" s="680"/>
      <c r="AQ481" s="680"/>
      <c r="AR481" s="680"/>
      <c r="AS481" s="680"/>
      <c r="AT481" s="680"/>
      <c r="AU481" s="680"/>
      <c r="AV481" s="672"/>
      <c r="AW481" s="672"/>
      <c r="AX481" s="672"/>
      <c r="AY481" s="672"/>
      <c r="AZ481" s="672"/>
      <c r="BA481" s="672">
        <f t="shared" ref="BA481:BF481" si="336">BA477-(BA478+BA479+BA480)</f>
        <v>137.49099999999999</v>
      </c>
      <c r="BB481" s="672">
        <f t="shared" si="336"/>
        <v>486.74799999999959</v>
      </c>
      <c r="BC481" s="672">
        <f t="shared" si="336"/>
        <v>1434.5190000000002</v>
      </c>
      <c r="BD481" s="672">
        <f t="shared" si="336"/>
        <v>1.6173289999999998</v>
      </c>
      <c r="BE481" s="672">
        <f t="shared" si="336"/>
        <v>11.570665999999999</v>
      </c>
      <c r="BF481" s="672">
        <f t="shared" si="336"/>
        <v>5.5086519999999997</v>
      </c>
      <c r="BG481" s="461"/>
      <c r="BH481" s="307"/>
      <c r="BI481" s="307"/>
      <c r="BJ481" s="307"/>
      <c r="BK481" s="307"/>
      <c r="BU481" s="40">
        <f t="shared" si="302"/>
        <v>0</v>
      </c>
      <c r="BV481" s="40">
        <f t="shared" ref="BV481:CD481" si="337">BU481</f>
        <v>0</v>
      </c>
      <c r="BW481" s="40">
        <f t="shared" si="337"/>
        <v>0</v>
      </c>
      <c r="BX481" s="40">
        <f t="shared" si="337"/>
        <v>0</v>
      </c>
      <c r="BY481" s="40">
        <f t="shared" si="337"/>
        <v>0</v>
      </c>
      <c r="BZ481" s="40">
        <f t="shared" si="337"/>
        <v>0</v>
      </c>
      <c r="CA481" s="40">
        <f t="shared" si="337"/>
        <v>0</v>
      </c>
      <c r="CB481" s="40">
        <f t="shared" si="337"/>
        <v>0</v>
      </c>
      <c r="CC481" s="40">
        <f t="shared" si="337"/>
        <v>0</v>
      </c>
      <c r="CD481" s="40">
        <f t="shared" si="337"/>
        <v>0</v>
      </c>
      <c r="CE481" s="307"/>
      <c r="CF481" s="307"/>
      <c r="CG481" s="307"/>
    </row>
    <row r="482" spans="2:85" s="25" customFormat="1">
      <c r="B482" s="765"/>
      <c r="C482" s="762"/>
      <c r="D482" s="762"/>
      <c r="E482" s="762"/>
      <c r="F482" s="762"/>
      <c r="G482" s="762"/>
      <c r="H482" s="762"/>
      <c r="I482" s="762"/>
      <c r="J482" s="762"/>
      <c r="K482" s="762"/>
      <c r="L482" s="762"/>
      <c r="M482" s="762"/>
      <c r="N482" s="762"/>
      <c r="O482" s="762"/>
      <c r="P482" s="762"/>
      <c r="Q482" s="762"/>
      <c r="R482" s="762"/>
      <c r="S482" s="762"/>
      <c r="T482" s="762"/>
      <c r="U482" s="762"/>
      <c r="V482" s="762"/>
      <c r="W482" s="762"/>
      <c r="X482" s="762"/>
      <c r="Y482" s="762"/>
      <c r="Z482" s="762"/>
      <c r="AA482" s="762"/>
      <c r="AB482" s="762"/>
      <c r="AC482" s="762"/>
      <c r="AD482" s="762"/>
      <c r="AE482" s="762"/>
      <c r="AF482" s="762"/>
      <c r="AG482" s="762"/>
      <c r="AH482" s="762"/>
      <c r="AI482" s="762"/>
      <c r="AJ482" s="762"/>
      <c r="AK482" s="762"/>
      <c r="AL482" s="762"/>
      <c r="AM482" s="762"/>
      <c r="AN482" s="762"/>
      <c r="AO482" s="762"/>
      <c r="AP482" s="762"/>
      <c r="AQ482" s="762"/>
      <c r="AR482" s="762"/>
      <c r="AS482" s="762"/>
      <c r="AT482" s="762"/>
      <c r="AU482" s="762"/>
      <c r="AV482" s="763"/>
      <c r="AW482" s="763"/>
      <c r="AX482" s="763"/>
      <c r="AY482" s="763"/>
      <c r="AZ482" s="763"/>
      <c r="BA482" s="672"/>
      <c r="BB482" s="672"/>
      <c r="BC482" s="672"/>
      <c r="BD482" s="672"/>
      <c r="BE482" s="461"/>
      <c r="BF482" s="461"/>
      <c r="BG482" s="461"/>
      <c r="BH482" s="307"/>
      <c r="BI482" s="307"/>
      <c r="BJ482" s="307"/>
      <c r="BK482" s="307"/>
      <c r="BU482" s="40">
        <f t="shared" si="302"/>
        <v>0</v>
      </c>
      <c r="BV482" s="40">
        <f t="shared" ref="BV482:CD482" si="338">BU482</f>
        <v>0</v>
      </c>
      <c r="BW482" s="40">
        <f t="shared" si="338"/>
        <v>0</v>
      </c>
      <c r="BX482" s="40">
        <f t="shared" si="338"/>
        <v>0</v>
      </c>
      <c r="BY482" s="40">
        <f t="shared" si="338"/>
        <v>0</v>
      </c>
      <c r="BZ482" s="40">
        <f t="shared" si="338"/>
        <v>0</v>
      </c>
      <c r="CA482" s="40">
        <f t="shared" si="338"/>
        <v>0</v>
      </c>
      <c r="CB482" s="40">
        <f t="shared" si="338"/>
        <v>0</v>
      </c>
      <c r="CC482" s="40">
        <f t="shared" si="338"/>
        <v>0</v>
      </c>
      <c r="CD482" s="40">
        <f t="shared" si="338"/>
        <v>0</v>
      </c>
      <c r="CE482" s="307"/>
      <c r="CF482" s="307"/>
      <c r="CG482" s="307"/>
    </row>
    <row r="483" spans="2:85" s="25" customFormat="1" ht="26.25">
      <c r="B483" s="766" t="s">
        <v>1560</v>
      </c>
      <c r="C483" s="767"/>
      <c r="D483" s="767"/>
      <c r="E483" s="767"/>
      <c r="F483" s="767"/>
      <c r="G483" s="767"/>
      <c r="H483" s="767"/>
      <c r="I483" s="767"/>
      <c r="J483" s="767"/>
      <c r="K483" s="767"/>
      <c r="L483" s="767"/>
      <c r="M483" s="767"/>
      <c r="N483" s="767"/>
      <c r="O483" s="767"/>
      <c r="P483" s="767"/>
      <c r="Q483" s="767"/>
      <c r="R483" s="767"/>
      <c r="S483" s="767"/>
      <c r="T483" s="767"/>
      <c r="U483" s="767"/>
      <c r="V483" s="767"/>
      <c r="W483" s="767"/>
      <c r="X483" s="767"/>
      <c r="Y483" s="767"/>
      <c r="Z483" s="767"/>
      <c r="AA483" s="767"/>
      <c r="AB483" s="767"/>
      <c r="AC483" s="767"/>
      <c r="AD483" s="767"/>
      <c r="AE483" s="767"/>
      <c r="AF483" s="767"/>
      <c r="AG483" s="767"/>
      <c r="AH483" s="767"/>
      <c r="AI483" s="767"/>
      <c r="AJ483" s="767"/>
      <c r="AK483" s="767"/>
      <c r="AL483" s="767"/>
      <c r="AM483" s="767"/>
      <c r="AN483" s="767"/>
      <c r="AO483" s="767"/>
      <c r="AP483" s="767"/>
      <c r="AQ483" s="767"/>
      <c r="AR483" s="767"/>
      <c r="AS483" s="767"/>
      <c r="AT483" s="767"/>
      <c r="AU483" s="767"/>
      <c r="AV483" s="768"/>
      <c r="AW483" s="768"/>
      <c r="AX483" s="768"/>
      <c r="AY483" s="768"/>
      <c r="AZ483" s="768"/>
      <c r="BA483" s="672">
        <f>SUM(BA484+BA488)</f>
        <v>41301.743999999999</v>
      </c>
      <c r="BB483" s="672">
        <f>SUM(BB484+BB488)</f>
        <v>57147.79</v>
      </c>
      <c r="BC483" s="672">
        <f>SUM(BC484+BC488)</f>
        <v>61716.445000000007</v>
      </c>
      <c r="BD483" s="672">
        <f>SUM(BD484+BD488)</f>
        <v>87.345390999999992</v>
      </c>
      <c r="BE483" s="769">
        <v>9.8450810000000004</v>
      </c>
      <c r="BF483" s="461">
        <v>61.210971999999998</v>
      </c>
      <c r="BG483" s="461">
        <v>36.141965999999996</v>
      </c>
      <c r="BH483" s="307"/>
      <c r="BI483" s="307"/>
      <c r="BJ483" s="307"/>
      <c r="BK483" s="307"/>
      <c r="BU483" s="40">
        <f t="shared" ref="BU483:BU546" si="339">BT483</f>
        <v>0</v>
      </c>
      <c r="BV483" s="40">
        <f>BU483</f>
        <v>0</v>
      </c>
      <c r="BW483" s="40">
        <f>BV483</f>
        <v>0</v>
      </c>
      <c r="BX483" s="40">
        <f t="shared" ref="BV483:CD498" si="340">BW483</f>
        <v>0</v>
      </c>
      <c r="BY483" s="40">
        <f t="shared" si="340"/>
        <v>0</v>
      </c>
      <c r="BZ483" s="40">
        <f t="shared" si="340"/>
        <v>0</v>
      </c>
      <c r="CA483" s="40">
        <f t="shared" si="340"/>
        <v>0</v>
      </c>
      <c r="CB483" s="40">
        <f t="shared" si="340"/>
        <v>0</v>
      </c>
      <c r="CC483" s="40">
        <f t="shared" si="340"/>
        <v>0</v>
      </c>
      <c r="CD483" s="40">
        <f t="shared" si="340"/>
        <v>0</v>
      </c>
      <c r="CE483" s="307"/>
      <c r="CF483" s="307"/>
      <c r="CG483" s="307"/>
    </row>
    <row r="484" spans="2:85" s="25" customFormat="1" ht="16.5" thickBot="1">
      <c r="B484" s="770" t="s">
        <v>1193</v>
      </c>
      <c r="C484" s="767"/>
      <c r="D484" s="767"/>
      <c r="E484" s="767"/>
      <c r="F484" s="767"/>
      <c r="G484" s="767"/>
      <c r="H484" s="767"/>
      <c r="I484" s="767"/>
      <c r="J484" s="767"/>
      <c r="K484" s="767"/>
      <c r="L484" s="767"/>
      <c r="M484" s="767"/>
      <c r="N484" s="767"/>
      <c r="O484" s="767"/>
      <c r="P484" s="767"/>
      <c r="Q484" s="767"/>
      <c r="R484" s="767"/>
      <c r="S484" s="767"/>
      <c r="T484" s="767"/>
      <c r="U484" s="767"/>
      <c r="V484" s="767"/>
      <c r="W484" s="767"/>
      <c r="X484" s="767"/>
      <c r="Y484" s="767"/>
      <c r="Z484" s="767"/>
      <c r="AA484" s="767"/>
      <c r="AB484" s="767"/>
      <c r="AC484" s="767"/>
      <c r="AD484" s="767"/>
      <c r="AE484" s="767"/>
      <c r="AF484" s="767"/>
      <c r="AG484" s="767"/>
      <c r="AH484" s="767"/>
      <c r="AI484" s="767"/>
      <c r="AJ484" s="767"/>
      <c r="AK484" s="767"/>
      <c r="AL484" s="767"/>
      <c r="AM484" s="767"/>
      <c r="AN484" s="767"/>
      <c r="AO484" s="767"/>
      <c r="AP484" s="767"/>
      <c r="AQ484" s="767"/>
      <c r="AR484" s="767"/>
      <c r="AS484" s="767"/>
      <c r="AT484" s="767"/>
      <c r="AU484" s="767"/>
      <c r="AV484" s="768"/>
      <c r="AW484" s="768"/>
      <c r="AX484" s="768"/>
      <c r="AY484" s="768"/>
      <c r="AZ484" s="768"/>
      <c r="BA484" s="700">
        <f>2955.503</f>
        <v>2955.5030000000002</v>
      </c>
      <c r="BB484" s="771">
        <v>3507.63</v>
      </c>
      <c r="BC484" s="771">
        <v>5289.02</v>
      </c>
      <c r="BD484" s="771">
        <v>23.294771000000001</v>
      </c>
      <c r="BE484" s="461"/>
      <c r="BF484" s="461"/>
      <c r="BG484" s="461"/>
      <c r="BH484" s="307"/>
      <c r="BI484" s="307"/>
      <c r="BJ484" s="307"/>
      <c r="BK484" s="307"/>
      <c r="BU484" s="40">
        <f t="shared" si="339"/>
        <v>0</v>
      </c>
      <c r="BV484" s="40">
        <f t="shared" si="340"/>
        <v>0</v>
      </c>
      <c r="BW484" s="40">
        <f t="shared" si="340"/>
        <v>0</v>
      </c>
      <c r="BX484" s="40">
        <f t="shared" si="340"/>
        <v>0</v>
      </c>
      <c r="BY484" s="40">
        <f t="shared" si="340"/>
        <v>0</v>
      </c>
      <c r="BZ484" s="40">
        <f t="shared" si="340"/>
        <v>0</v>
      </c>
      <c r="CA484" s="40">
        <f t="shared" si="340"/>
        <v>0</v>
      </c>
      <c r="CB484" s="40">
        <f t="shared" si="340"/>
        <v>0</v>
      </c>
      <c r="CC484" s="40">
        <f t="shared" si="340"/>
        <v>0</v>
      </c>
      <c r="CD484" s="40">
        <f t="shared" si="340"/>
        <v>0</v>
      </c>
      <c r="CE484" s="307"/>
      <c r="CF484" s="307"/>
      <c r="CG484" s="307"/>
    </row>
    <row r="485" spans="2:85" s="25" customFormat="1" ht="26.25">
      <c r="B485" s="772" t="s">
        <v>1786</v>
      </c>
      <c r="C485" s="767"/>
      <c r="D485" s="767"/>
      <c r="E485" s="767"/>
      <c r="F485" s="767"/>
      <c r="G485" s="767"/>
      <c r="H485" s="767"/>
      <c r="I485" s="767"/>
      <c r="J485" s="767"/>
      <c r="K485" s="767"/>
      <c r="L485" s="767"/>
      <c r="M485" s="767"/>
      <c r="N485" s="767"/>
      <c r="O485" s="767"/>
      <c r="P485" s="767"/>
      <c r="Q485" s="767"/>
      <c r="R485" s="767"/>
      <c r="S485" s="767"/>
      <c r="T485" s="767"/>
      <c r="U485" s="767"/>
      <c r="V485" s="767"/>
      <c r="W485" s="767"/>
      <c r="X485" s="767"/>
      <c r="Y485" s="767"/>
      <c r="Z485" s="767"/>
      <c r="AA485" s="767"/>
      <c r="AB485" s="767"/>
      <c r="AC485" s="767"/>
      <c r="AD485" s="767"/>
      <c r="AE485" s="767"/>
      <c r="AF485" s="767"/>
      <c r="AG485" s="767"/>
      <c r="AH485" s="767"/>
      <c r="AI485" s="767"/>
      <c r="AJ485" s="767"/>
      <c r="AK485" s="767"/>
      <c r="AL485" s="767"/>
      <c r="AM485" s="767"/>
      <c r="AN485" s="767"/>
      <c r="AO485" s="767"/>
      <c r="AP485" s="767"/>
      <c r="AQ485" s="767"/>
      <c r="AR485" s="767"/>
      <c r="AS485" s="767"/>
      <c r="AT485" s="767"/>
      <c r="AU485" s="767"/>
      <c r="AV485" s="768"/>
      <c r="AW485" s="768"/>
      <c r="AX485" s="768"/>
      <c r="AY485" s="768"/>
      <c r="AZ485" s="768"/>
      <c r="BA485" s="672">
        <v>1773.184</v>
      </c>
      <c r="BB485" s="761">
        <v>2024.499</v>
      </c>
      <c r="BC485" s="761">
        <v>2893.8960000000002</v>
      </c>
      <c r="BD485" s="761">
        <v>16.523508</v>
      </c>
      <c r="BE485" s="461"/>
      <c r="BF485" s="461"/>
      <c r="BG485" s="461"/>
      <c r="BH485" s="307"/>
      <c r="BI485" s="307"/>
      <c r="BJ485" s="307"/>
      <c r="BK485" s="307"/>
      <c r="BU485" s="40">
        <f t="shared" si="339"/>
        <v>0</v>
      </c>
      <c r="BV485" s="40">
        <f t="shared" si="340"/>
        <v>0</v>
      </c>
      <c r="BW485" s="40">
        <f t="shared" si="340"/>
        <v>0</v>
      </c>
      <c r="BX485" s="40">
        <f t="shared" si="340"/>
        <v>0</v>
      </c>
      <c r="BY485" s="40">
        <f t="shared" si="340"/>
        <v>0</v>
      </c>
      <c r="BZ485" s="40">
        <f t="shared" si="340"/>
        <v>0</v>
      </c>
      <c r="CA485" s="40">
        <f t="shared" si="340"/>
        <v>0</v>
      </c>
      <c r="CB485" s="40">
        <f t="shared" si="340"/>
        <v>0</v>
      </c>
      <c r="CC485" s="40">
        <f t="shared" si="340"/>
        <v>0</v>
      </c>
      <c r="CD485" s="40">
        <f t="shared" si="340"/>
        <v>0</v>
      </c>
      <c r="CE485" s="307"/>
      <c r="CF485" s="307"/>
      <c r="CG485" s="307"/>
    </row>
    <row r="486" spans="2:85" s="25" customFormat="1" ht="16.5" thickBot="1">
      <c r="B486" s="772" t="s">
        <v>4421</v>
      </c>
      <c r="C486" s="767"/>
      <c r="D486" s="767"/>
      <c r="E486" s="767"/>
      <c r="F486" s="767"/>
      <c r="G486" s="767"/>
      <c r="H486" s="767"/>
      <c r="I486" s="767"/>
      <c r="J486" s="767"/>
      <c r="K486" s="767"/>
      <c r="L486" s="767"/>
      <c r="M486" s="767"/>
      <c r="N486" s="767"/>
      <c r="O486" s="767"/>
      <c r="P486" s="767"/>
      <c r="Q486" s="767"/>
      <c r="R486" s="767"/>
      <c r="S486" s="767"/>
      <c r="T486" s="767"/>
      <c r="U486" s="767"/>
      <c r="V486" s="767"/>
      <c r="W486" s="767"/>
      <c r="X486" s="767"/>
      <c r="Y486" s="767"/>
      <c r="Z486" s="767"/>
      <c r="AA486" s="767"/>
      <c r="AB486" s="767"/>
      <c r="AC486" s="767"/>
      <c r="AD486" s="767"/>
      <c r="AE486" s="767"/>
      <c r="AF486" s="767"/>
      <c r="AG486" s="767"/>
      <c r="AH486" s="767"/>
      <c r="AI486" s="767"/>
      <c r="AJ486" s="767"/>
      <c r="AK486" s="767"/>
      <c r="AL486" s="767"/>
      <c r="AM486" s="767"/>
      <c r="AN486" s="767"/>
      <c r="AO486" s="767"/>
      <c r="AP486" s="767"/>
      <c r="AQ486" s="767"/>
      <c r="AR486" s="767"/>
      <c r="AS486" s="767"/>
      <c r="AT486" s="767"/>
      <c r="AU486" s="767"/>
      <c r="AV486" s="768"/>
      <c r="AW486" s="768"/>
      <c r="AX486" s="768"/>
      <c r="AY486" s="768"/>
      <c r="AZ486" s="768"/>
      <c r="BA486" s="700">
        <f>BA484-BA485</f>
        <v>1182.3190000000002</v>
      </c>
      <c r="BB486" s="700">
        <f>BB484-BB485</f>
        <v>1483.1310000000001</v>
      </c>
      <c r="BC486" s="700">
        <f>BC484-BC485</f>
        <v>2395.1240000000003</v>
      </c>
      <c r="BD486" s="700">
        <f>BD484-BD485</f>
        <v>6.7712630000000011</v>
      </c>
      <c r="BE486" s="461"/>
      <c r="BF486" s="461"/>
      <c r="BG486" s="461"/>
      <c r="BH486" s="307"/>
      <c r="BI486" s="307"/>
      <c r="BJ486" s="307"/>
      <c r="BK486" s="307"/>
      <c r="BU486" s="40">
        <f t="shared" si="339"/>
        <v>0</v>
      </c>
      <c r="BV486" s="40">
        <f t="shared" si="340"/>
        <v>0</v>
      </c>
      <c r="BW486" s="40">
        <f t="shared" si="340"/>
        <v>0</v>
      </c>
      <c r="BX486" s="40">
        <f t="shared" si="340"/>
        <v>0</v>
      </c>
      <c r="BY486" s="40">
        <f t="shared" si="340"/>
        <v>0</v>
      </c>
      <c r="BZ486" s="40">
        <f t="shared" si="340"/>
        <v>0</v>
      </c>
      <c r="CA486" s="40">
        <f t="shared" si="340"/>
        <v>0</v>
      </c>
      <c r="CB486" s="40">
        <f t="shared" si="340"/>
        <v>0</v>
      </c>
      <c r="CC486" s="40">
        <f t="shared" si="340"/>
        <v>0</v>
      </c>
      <c r="CD486" s="40">
        <f t="shared" si="340"/>
        <v>0</v>
      </c>
      <c r="CE486" s="307"/>
      <c r="CF486" s="307"/>
      <c r="CG486" s="307"/>
    </row>
    <row r="487" spans="2:85" s="25" customFormat="1">
      <c r="B487" s="770"/>
      <c r="C487" s="767"/>
      <c r="D487" s="767"/>
      <c r="E487" s="767"/>
      <c r="F487" s="767"/>
      <c r="G487" s="767"/>
      <c r="H487" s="767"/>
      <c r="I487" s="767"/>
      <c r="J487" s="767"/>
      <c r="K487" s="767"/>
      <c r="L487" s="767"/>
      <c r="M487" s="767"/>
      <c r="N487" s="767"/>
      <c r="O487" s="767"/>
      <c r="P487" s="767"/>
      <c r="Q487" s="767"/>
      <c r="R487" s="767"/>
      <c r="S487" s="767"/>
      <c r="T487" s="767"/>
      <c r="U487" s="767"/>
      <c r="V487" s="767"/>
      <c r="W487" s="767"/>
      <c r="X487" s="767"/>
      <c r="Y487" s="767"/>
      <c r="Z487" s="767"/>
      <c r="AA487" s="767"/>
      <c r="AB487" s="767"/>
      <c r="AC487" s="767"/>
      <c r="AD487" s="767"/>
      <c r="AE487" s="767"/>
      <c r="AF487" s="767"/>
      <c r="AG487" s="767"/>
      <c r="AH487" s="767"/>
      <c r="AI487" s="767"/>
      <c r="AJ487" s="767"/>
      <c r="AK487" s="767"/>
      <c r="AL487" s="767"/>
      <c r="AM487" s="767"/>
      <c r="AN487" s="767"/>
      <c r="AO487" s="767"/>
      <c r="AP487" s="767"/>
      <c r="AQ487" s="767"/>
      <c r="AR487" s="767"/>
      <c r="AS487" s="767"/>
      <c r="AT487" s="767"/>
      <c r="AU487" s="767"/>
      <c r="AV487" s="768"/>
      <c r="AW487" s="768"/>
      <c r="AX487" s="768"/>
      <c r="AY487" s="768"/>
      <c r="AZ487" s="768"/>
      <c r="BA487" s="672"/>
      <c r="BB487" s="761"/>
      <c r="BC487" s="761"/>
      <c r="BD487" s="761"/>
      <c r="BE487" s="461"/>
      <c r="BF487" s="461"/>
      <c r="BG487" s="461"/>
      <c r="BH487" s="307"/>
      <c r="BI487" s="307"/>
      <c r="BJ487" s="307"/>
      <c r="BK487" s="307"/>
      <c r="BU487" s="40">
        <f t="shared" si="339"/>
        <v>0</v>
      </c>
      <c r="BV487" s="40">
        <f t="shared" si="340"/>
        <v>0</v>
      </c>
      <c r="BW487" s="40">
        <f t="shared" si="340"/>
        <v>0</v>
      </c>
      <c r="BX487" s="40">
        <f t="shared" si="340"/>
        <v>0</v>
      </c>
      <c r="BY487" s="40">
        <f t="shared" si="340"/>
        <v>0</v>
      </c>
      <c r="BZ487" s="40">
        <f t="shared" si="340"/>
        <v>0</v>
      </c>
      <c r="CA487" s="40">
        <f t="shared" si="340"/>
        <v>0</v>
      </c>
      <c r="CB487" s="40">
        <f t="shared" si="340"/>
        <v>0</v>
      </c>
      <c r="CC487" s="40">
        <f t="shared" si="340"/>
        <v>0</v>
      </c>
      <c r="CD487" s="40">
        <f t="shared" si="340"/>
        <v>0</v>
      </c>
      <c r="CE487" s="307"/>
      <c r="CF487" s="307"/>
      <c r="CG487" s="307"/>
    </row>
    <row r="488" spans="2:85" s="25" customFormat="1">
      <c r="B488" s="770" t="s">
        <v>2583</v>
      </c>
      <c r="C488" s="767"/>
      <c r="D488" s="767"/>
      <c r="E488" s="767"/>
      <c r="F488" s="767"/>
      <c r="G488" s="767"/>
      <c r="H488" s="767"/>
      <c r="I488" s="767"/>
      <c r="J488" s="767"/>
      <c r="K488" s="767"/>
      <c r="L488" s="767"/>
      <c r="M488" s="767"/>
      <c r="N488" s="767"/>
      <c r="O488" s="767"/>
      <c r="P488" s="767"/>
      <c r="Q488" s="767"/>
      <c r="R488" s="767"/>
      <c r="S488" s="767"/>
      <c r="T488" s="767"/>
      <c r="U488" s="767"/>
      <c r="V488" s="767"/>
      <c r="W488" s="767"/>
      <c r="X488" s="767"/>
      <c r="Y488" s="767"/>
      <c r="Z488" s="767"/>
      <c r="AA488" s="767"/>
      <c r="AB488" s="767"/>
      <c r="AC488" s="767"/>
      <c r="AD488" s="767"/>
      <c r="AE488" s="767"/>
      <c r="AF488" s="767"/>
      <c r="AG488" s="767"/>
      <c r="AH488" s="767"/>
      <c r="AI488" s="767"/>
      <c r="AJ488" s="767"/>
      <c r="AK488" s="767"/>
      <c r="AL488" s="767"/>
      <c r="AM488" s="767"/>
      <c r="AN488" s="767"/>
      <c r="AO488" s="767"/>
      <c r="AP488" s="767"/>
      <c r="AQ488" s="767"/>
      <c r="AR488" s="767"/>
      <c r="AS488" s="767"/>
      <c r="AT488" s="767"/>
      <c r="AU488" s="767"/>
      <c r="AV488" s="768"/>
      <c r="AW488" s="768"/>
      <c r="AX488" s="768"/>
      <c r="AY488" s="768"/>
      <c r="AZ488" s="768"/>
      <c r="BA488" s="672">
        <v>38346.241000000002</v>
      </c>
      <c r="BB488" s="761">
        <v>53640.160000000003</v>
      </c>
      <c r="BC488" s="761">
        <v>56427.425000000003</v>
      </c>
      <c r="BD488" s="761">
        <v>64.050619999999995</v>
      </c>
      <c r="BE488" s="461"/>
      <c r="BF488" s="461"/>
      <c r="BG488" s="461"/>
      <c r="BH488" s="307">
        <v>194.904561</v>
      </c>
      <c r="BI488" s="307">
        <v>492.09767799999997</v>
      </c>
      <c r="BJ488" s="307">
        <v>172.45723799999999</v>
      </c>
      <c r="BK488" s="307"/>
      <c r="BU488" s="40">
        <f t="shared" si="339"/>
        <v>0</v>
      </c>
      <c r="BV488" s="40">
        <f t="shared" si="340"/>
        <v>0</v>
      </c>
      <c r="BW488" s="40">
        <f t="shared" si="340"/>
        <v>0</v>
      </c>
      <c r="BX488" s="40">
        <f t="shared" si="340"/>
        <v>0</v>
      </c>
      <c r="BY488" s="40">
        <f t="shared" si="340"/>
        <v>0</v>
      </c>
      <c r="BZ488" s="40">
        <f t="shared" si="340"/>
        <v>0</v>
      </c>
      <c r="CA488" s="40">
        <f t="shared" si="340"/>
        <v>0</v>
      </c>
      <c r="CB488" s="40">
        <f t="shared" si="340"/>
        <v>0</v>
      </c>
      <c r="CC488" s="40">
        <f t="shared" si="340"/>
        <v>0</v>
      </c>
      <c r="CD488" s="40">
        <f t="shared" si="340"/>
        <v>0</v>
      </c>
      <c r="CE488" s="307"/>
      <c r="CF488" s="307"/>
      <c r="CG488" s="307"/>
    </row>
    <row r="489" spans="2:85" s="25" customFormat="1">
      <c r="B489" s="770" t="s">
        <v>1474</v>
      </c>
      <c r="C489" s="767"/>
      <c r="D489" s="767"/>
      <c r="E489" s="767"/>
      <c r="F489" s="767"/>
      <c r="G489" s="767"/>
      <c r="H489" s="767"/>
      <c r="I489" s="767"/>
      <c r="J489" s="767"/>
      <c r="K489" s="767"/>
      <c r="L489" s="767"/>
      <c r="M489" s="767"/>
      <c r="N489" s="767"/>
      <c r="O489" s="767"/>
      <c r="P489" s="767"/>
      <c r="Q489" s="767"/>
      <c r="R489" s="767"/>
      <c r="S489" s="767"/>
      <c r="T489" s="767"/>
      <c r="U489" s="767"/>
      <c r="V489" s="767"/>
      <c r="W489" s="767"/>
      <c r="X489" s="767"/>
      <c r="Y489" s="767"/>
      <c r="Z489" s="767"/>
      <c r="AA489" s="767"/>
      <c r="AB489" s="767"/>
      <c r="AC489" s="767"/>
      <c r="AD489" s="767"/>
      <c r="AE489" s="767"/>
      <c r="AF489" s="767"/>
      <c r="AG489" s="767"/>
      <c r="AH489" s="767"/>
      <c r="AI489" s="767"/>
      <c r="AJ489" s="767"/>
      <c r="AK489" s="767"/>
      <c r="AL489" s="767"/>
      <c r="AM489" s="767"/>
      <c r="AN489" s="767"/>
      <c r="AO489" s="767"/>
      <c r="AP489" s="767"/>
      <c r="AQ489" s="767"/>
      <c r="AR489" s="767"/>
      <c r="AS489" s="767"/>
      <c r="AT489" s="767"/>
      <c r="AU489" s="767"/>
      <c r="AV489" s="768"/>
      <c r="AW489" s="768"/>
      <c r="AX489" s="768"/>
      <c r="AY489" s="768"/>
      <c r="AZ489" s="672"/>
      <c r="BA489" s="672">
        <v>5.4089999999999998</v>
      </c>
      <c r="BB489" s="761"/>
      <c r="BC489" s="761"/>
      <c r="BD489" s="761">
        <v>0</v>
      </c>
      <c r="BE489" s="461"/>
      <c r="BF489" s="461"/>
      <c r="BG489" s="461"/>
      <c r="BH489" s="307"/>
      <c r="BI489" s="307"/>
      <c r="BJ489" s="307"/>
      <c r="BK489" s="307"/>
      <c r="BU489" s="40">
        <f t="shared" si="339"/>
        <v>0</v>
      </c>
      <c r="BV489" s="40">
        <f t="shared" si="340"/>
        <v>0</v>
      </c>
      <c r="BW489" s="40">
        <f t="shared" si="340"/>
        <v>0</v>
      </c>
      <c r="BX489" s="40">
        <f t="shared" si="340"/>
        <v>0</v>
      </c>
      <c r="BY489" s="40">
        <f t="shared" si="340"/>
        <v>0</v>
      </c>
      <c r="BZ489" s="40">
        <f t="shared" si="340"/>
        <v>0</v>
      </c>
      <c r="CA489" s="40">
        <f t="shared" si="340"/>
        <v>0</v>
      </c>
      <c r="CB489" s="40">
        <f t="shared" si="340"/>
        <v>0</v>
      </c>
      <c r="CC489" s="40">
        <f t="shared" si="340"/>
        <v>0</v>
      </c>
      <c r="CD489" s="40">
        <f t="shared" si="340"/>
        <v>0</v>
      </c>
      <c r="CE489" s="307"/>
      <c r="CF489" s="307"/>
      <c r="CG489" s="307"/>
    </row>
    <row r="490" spans="2:85" s="25" customFormat="1" ht="26.25">
      <c r="B490" s="770" t="s">
        <v>179</v>
      </c>
      <c r="C490" s="767"/>
      <c r="D490" s="767"/>
      <c r="E490" s="767"/>
      <c r="F490" s="767"/>
      <c r="G490" s="767"/>
      <c r="H490" s="767"/>
      <c r="I490" s="767"/>
      <c r="J490" s="767"/>
      <c r="K490" s="767"/>
      <c r="L490" s="767"/>
      <c r="M490" s="767"/>
      <c r="N490" s="767"/>
      <c r="O490" s="767"/>
      <c r="P490" s="767"/>
      <c r="Q490" s="767"/>
      <c r="R490" s="767"/>
      <c r="S490" s="767"/>
      <c r="T490" s="767"/>
      <c r="U490" s="767"/>
      <c r="V490" s="767"/>
      <c r="W490" s="767"/>
      <c r="X490" s="767"/>
      <c r="Y490" s="767"/>
      <c r="Z490" s="767"/>
      <c r="AA490" s="767"/>
      <c r="AB490" s="767"/>
      <c r="AC490" s="767"/>
      <c r="AD490" s="767"/>
      <c r="AE490" s="767"/>
      <c r="AF490" s="767"/>
      <c r="AG490" s="767"/>
      <c r="AH490" s="767"/>
      <c r="AI490" s="767"/>
      <c r="AJ490" s="767"/>
      <c r="AK490" s="767"/>
      <c r="AL490" s="767"/>
      <c r="AM490" s="767"/>
      <c r="AN490" s="767"/>
      <c r="AO490" s="767"/>
      <c r="AP490" s="767"/>
      <c r="AQ490" s="767"/>
      <c r="AR490" s="767"/>
      <c r="AS490" s="767"/>
      <c r="AT490" s="767"/>
      <c r="AU490" s="767"/>
      <c r="AV490" s="768"/>
      <c r="AW490" s="768"/>
      <c r="AX490" s="768"/>
      <c r="AY490" s="768"/>
      <c r="AZ490" s="672"/>
      <c r="BA490" s="672">
        <v>22214.893</v>
      </c>
      <c r="BB490" s="761">
        <v>11544.231</v>
      </c>
      <c r="BC490" s="761">
        <v>38182.061999999998</v>
      </c>
      <c r="BD490" s="761">
        <v>47.647993999999997</v>
      </c>
      <c r="BE490" s="461"/>
      <c r="BF490" s="461"/>
      <c r="BG490" s="461"/>
      <c r="BH490" s="307"/>
      <c r="BI490" s="307"/>
      <c r="BJ490" s="307"/>
      <c r="BK490" s="307"/>
      <c r="BU490" s="40">
        <f t="shared" si="339"/>
        <v>0</v>
      </c>
      <c r="BV490" s="40">
        <f t="shared" si="340"/>
        <v>0</v>
      </c>
      <c r="BW490" s="40">
        <f t="shared" si="340"/>
        <v>0</v>
      </c>
      <c r="BX490" s="40">
        <f t="shared" si="340"/>
        <v>0</v>
      </c>
      <c r="BY490" s="40">
        <f t="shared" si="340"/>
        <v>0</v>
      </c>
      <c r="BZ490" s="40">
        <f t="shared" si="340"/>
        <v>0</v>
      </c>
      <c r="CA490" s="40">
        <f t="shared" si="340"/>
        <v>0</v>
      </c>
      <c r="CB490" s="40">
        <f t="shared" si="340"/>
        <v>0</v>
      </c>
      <c r="CC490" s="40">
        <f t="shared" si="340"/>
        <v>0</v>
      </c>
      <c r="CD490" s="40">
        <f t="shared" si="340"/>
        <v>0</v>
      </c>
      <c r="CE490" s="307"/>
      <c r="CF490" s="307"/>
      <c r="CG490" s="307"/>
    </row>
    <row r="491" spans="2:85" s="25" customFormat="1">
      <c r="B491" s="680" t="s">
        <v>3431</v>
      </c>
      <c r="C491" s="680"/>
      <c r="D491" s="680"/>
      <c r="E491" s="680"/>
      <c r="F491" s="680"/>
      <c r="G491" s="680"/>
      <c r="H491" s="680"/>
      <c r="I491" s="680"/>
      <c r="J491" s="680"/>
      <c r="K491" s="680"/>
      <c r="L491" s="680"/>
      <c r="M491" s="680"/>
      <c r="N491" s="680"/>
      <c r="O491" s="680"/>
      <c r="P491" s="680"/>
      <c r="Q491" s="680"/>
      <c r="R491" s="680"/>
      <c r="S491" s="680"/>
      <c r="T491" s="680"/>
      <c r="U491" s="680"/>
      <c r="V491" s="680"/>
      <c r="W491" s="680"/>
      <c r="X491" s="680"/>
      <c r="Y491" s="680"/>
      <c r="Z491" s="680"/>
      <c r="AA491" s="680"/>
      <c r="AB491" s="680"/>
      <c r="AC491" s="680"/>
      <c r="AD491" s="680"/>
      <c r="AE491" s="680"/>
      <c r="AF491" s="680"/>
      <c r="AG491" s="680"/>
      <c r="AH491" s="680"/>
      <c r="AI491" s="680"/>
      <c r="AJ491" s="680"/>
      <c r="AK491" s="680"/>
      <c r="AL491" s="680"/>
      <c r="AM491" s="680"/>
      <c r="AN491" s="680"/>
      <c r="AO491" s="680"/>
      <c r="AP491" s="680"/>
      <c r="AQ491" s="680"/>
      <c r="AR491" s="680"/>
      <c r="AS491" s="680"/>
      <c r="AT491" s="680"/>
      <c r="AU491" s="680"/>
      <c r="AV491" s="672"/>
      <c r="AW491" s="672"/>
      <c r="AX491" s="672"/>
      <c r="AY491" s="672"/>
      <c r="AZ491" s="672"/>
      <c r="BA491" s="672"/>
      <c r="BB491" s="761">
        <v>9244.8709999999992</v>
      </c>
      <c r="BC491" s="761"/>
      <c r="BD491" s="761"/>
      <c r="BE491" s="461"/>
      <c r="BF491" s="461"/>
      <c r="BG491" s="461"/>
      <c r="BH491" s="307"/>
      <c r="BI491" s="307"/>
      <c r="BJ491" s="307"/>
      <c r="BK491" s="307"/>
      <c r="BU491" s="40">
        <f t="shared" si="339"/>
        <v>0</v>
      </c>
      <c r="BV491" s="40">
        <f t="shared" si="340"/>
        <v>0</v>
      </c>
      <c r="BW491" s="40">
        <f t="shared" si="340"/>
        <v>0</v>
      </c>
      <c r="BX491" s="40">
        <f t="shared" si="340"/>
        <v>0</v>
      </c>
      <c r="BY491" s="40">
        <f t="shared" si="340"/>
        <v>0</v>
      </c>
      <c r="BZ491" s="40">
        <f t="shared" si="340"/>
        <v>0</v>
      </c>
      <c r="CA491" s="40">
        <f t="shared" si="340"/>
        <v>0</v>
      </c>
      <c r="CB491" s="40">
        <f t="shared" si="340"/>
        <v>0</v>
      </c>
      <c r="CC491" s="40">
        <f t="shared" si="340"/>
        <v>0</v>
      </c>
      <c r="CD491" s="40">
        <f t="shared" si="340"/>
        <v>0</v>
      </c>
      <c r="CE491" s="307"/>
      <c r="CF491" s="307"/>
      <c r="CG491" s="307"/>
    </row>
    <row r="492" spans="2:85" s="25" customFormat="1">
      <c r="B492" s="679" t="s">
        <v>1751</v>
      </c>
      <c r="C492" s="680"/>
      <c r="D492" s="680"/>
      <c r="E492" s="680"/>
      <c r="F492" s="680"/>
      <c r="G492" s="680"/>
      <c r="H492" s="680"/>
      <c r="I492" s="680"/>
      <c r="J492" s="680"/>
      <c r="K492" s="680"/>
      <c r="L492" s="680"/>
      <c r="M492" s="680"/>
      <c r="N492" s="680"/>
      <c r="O492" s="680"/>
      <c r="P492" s="680"/>
      <c r="Q492" s="680"/>
      <c r="R492" s="680"/>
      <c r="S492" s="680"/>
      <c r="T492" s="680"/>
      <c r="U492" s="680"/>
      <c r="V492" s="680"/>
      <c r="W492" s="680"/>
      <c r="X492" s="680"/>
      <c r="Y492" s="680"/>
      <c r="Z492" s="680"/>
      <c r="AA492" s="680"/>
      <c r="AB492" s="680"/>
      <c r="AC492" s="680"/>
      <c r="AD492" s="680"/>
      <c r="AE492" s="680"/>
      <c r="AF492" s="680"/>
      <c r="AG492" s="680"/>
      <c r="AH492" s="680"/>
      <c r="AI492" s="680"/>
      <c r="AJ492" s="680"/>
      <c r="AK492" s="680"/>
      <c r="AL492" s="680"/>
      <c r="AM492" s="680"/>
      <c r="AN492" s="680"/>
      <c r="AO492" s="680"/>
      <c r="AP492" s="680"/>
      <c r="AQ492" s="680"/>
      <c r="AR492" s="680"/>
      <c r="AS492" s="680"/>
      <c r="AT492" s="680"/>
      <c r="AU492" s="680"/>
      <c r="AV492" s="672"/>
      <c r="AW492" s="672"/>
      <c r="AX492" s="672"/>
      <c r="AY492" s="672"/>
      <c r="AZ492" s="672"/>
      <c r="BA492" s="672">
        <v>9605.0239999999994</v>
      </c>
      <c r="BB492" s="761">
        <v>8600.0889999999999</v>
      </c>
      <c r="BC492" s="761">
        <v>0</v>
      </c>
      <c r="BD492" s="761"/>
      <c r="BE492" s="461"/>
      <c r="BF492" s="461"/>
      <c r="BG492" s="461"/>
      <c r="BH492" s="307">
        <v>7.9</v>
      </c>
      <c r="BI492" s="307">
        <v>9</v>
      </c>
      <c r="BJ492" s="307">
        <v>9</v>
      </c>
      <c r="BK492" s="307"/>
      <c r="BU492" s="40">
        <f t="shared" si="339"/>
        <v>0</v>
      </c>
      <c r="BV492" s="40">
        <f t="shared" si="340"/>
        <v>0</v>
      </c>
      <c r="BW492" s="40">
        <f t="shared" si="340"/>
        <v>0</v>
      </c>
      <c r="BX492" s="40">
        <f t="shared" si="340"/>
        <v>0</v>
      </c>
      <c r="BY492" s="40">
        <f t="shared" si="340"/>
        <v>0</v>
      </c>
      <c r="BZ492" s="40">
        <f t="shared" si="340"/>
        <v>0</v>
      </c>
      <c r="CA492" s="40">
        <f t="shared" si="340"/>
        <v>0</v>
      </c>
      <c r="CB492" s="40">
        <f t="shared" si="340"/>
        <v>0</v>
      </c>
      <c r="CC492" s="40">
        <f t="shared" si="340"/>
        <v>0</v>
      </c>
      <c r="CD492" s="40">
        <f t="shared" si="340"/>
        <v>0</v>
      </c>
      <c r="CE492" s="307"/>
      <c r="CF492" s="307"/>
      <c r="CG492" s="307"/>
    </row>
    <row r="493" spans="2:85" s="25" customFormat="1">
      <c r="B493" s="772" t="s">
        <v>778</v>
      </c>
      <c r="C493" s="767"/>
      <c r="D493" s="767"/>
      <c r="E493" s="767"/>
      <c r="F493" s="767"/>
      <c r="G493" s="767"/>
      <c r="H493" s="767"/>
      <c r="I493" s="767"/>
      <c r="J493" s="767"/>
      <c r="K493" s="767"/>
      <c r="L493" s="767"/>
      <c r="M493" s="767"/>
      <c r="N493" s="767"/>
      <c r="O493" s="767"/>
      <c r="P493" s="767"/>
      <c r="Q493" s="767"/>
      <c r="R493" s="767"/>
      <c r="S493" s="767"/>
      <c r="T493" s="767"/>
      <c r="U493" s="767"/>
      <c r="V493" s="767"/>
      <c r="W493" s="767"/>
      <c r="X493" s="767"/>
      <c r="Y493" s="767"/>
      <c r="Z493" s="767"/>
      <c r="AA493" s="767"/>
      <c r="AB493" s="767"/>
      <c r="AC493" s="767"/>
      <c r="AD493" s="767"/>
      <c r="AE493" s="767"/>
      <c r="AF493" s="767"/>
      <c r="AG493" s="767"/>
      <c r="AH493" s="767"/>
      <c r="AI493" s="767"/>
      <c r="AJ493" s="767"/>
      <c r="AK493" s="767"/>
      <c r="AL493" s="767"/>
      <c r="AM493" s="767"/>
      <c r="AN493" s="767"/>
      <c r="AO493" s="767"/>
      <c r="AP493" s="767"/>
      <c r="AQ493" s="767"/>
      <c r="AR493" s="767"/>
      <c r="AS493" s="767"/>
      <c r="AT493" s="767"/>
      <c r="AU493" s="767"/>
      <c r="AV493" s="768"/>
      <c r="AW493" s="768"/>
      <c r="AX493" s="768"/>
      <c r="AY493" s="768"/>
      <c r="AZ493" s="768"/>
      <c r="BA493" s="672">
        <f t="shared" ref="BA493:BF493" si="341">BA488-(BA489+BA490+BA491+BA492)</f>
        <v>6520.9150000000009</v>
      </c>
      <c r="BB493" s="672">
        <f t="shared" si="341"/>
        <v>24250.969000000005</v>
      </c>
      <c r="BC493" s="672">
        <f t="shared" si="341"/>
        <v>18245.363000000005</v>
      </c>
      <c r="BD493" s="672">
        <f t="shared" si="341"/>
        <v>16.402625999999998</v>
      </c>
      <c r="BE493" s="672">
        <f t="shared" si="341"/>
        <v>0</v>
      </c>
      <c r="BF493" s="672">
        <f t="shared" si="341"/>
        <v>0</v>
      </c>
      <c r="BG493" s="461"/>
      <c r="BH493" s="307">
        <v>180</v>
      </c>
      <c r="BI493" s="307"/>
      <c r="BJ493" s="307"/>
      <c r="BK493" s="307"/>
      <c r="BU493" s="40">
        <f t="shared" si="339"/>
        <v>0</v>
      </c>
      <c r="BV493" s="40">
        <f t="shared" si="340"/>
        <v>0</v>
      </c>
      <c r="BW493" s="40">
        <f t="shared" si="340"/>
        <v>0</v>
      </c>
      <c r="BX493" s="40">
        <f t="shared" si="340"/>
        <v>0</v>
      </c>
      <c r="BY493" s="40">
        <f t="shared" si="340"/>
        <v>0</v>
      </c>
      <c r="BZ493" s="40">
        <f t="shared" si="340"/>
        <v>0</v>
      </c>
      <c r="CA493" s="40">
        <f t="shared" si="340"/>
        <v>0</v>
      </c>
      <c r="CB493" s="40">
        <f t="shared" si="340"/>
        <v>0</v>
      </c>
      <c r="CC493" s="40">
        <f t="shared" si="340"/>
        <v>0</v>
      </c>
      <c r="CD493" s="40">
        <f t="shared" si="340"/>
        <v>0</v>
      </c>
      <c r="CE493" s="307"/>
      <c r="CF493" s="307"/>
      <c r="CG493" s="307"/>
    </row>
    <row r="494" spans="2:85" s="25" customFormat="1">
      <c r="B494" s="770"/>
      <c r="C494" s="767"/>
      <c r="D494" s="767"/>
      <c r="E494" s="767"/>
      <c r="F494" s="767"/>
      <c r="G494" s="767"/>
      <c r="H494" s="767"/>
      <c r="I494" s="767"/>
      <c r="J494" s="767"/>
      <c r="K494" s="767"/>
      <c r="L494" s="767"/>
      <c r="M494" s="767"/>
      <c r="N494" s="767"/>
      <c r="O494" s="767"/>
      <c r="P494" s="767"/>
      <c r="Q494" s="767"/>
      <c r="R494" s="767"/>
      <c r="S494" s="767"/>
      <c r="T494" s="767"/>
      <c r="U494" s="767"/>
      <c r="V494" s="767"/>
      <c r="W494" s="767"/>
      <c r="X494" s="767"/>
      <c r="Y494" s="767"/>
      <c r="Z494" s="767"/>
      <c r="AA494" s="767"/>
      <c r="AB494" s="767"/>
      <c r="AC494" s="767"/>
      <c r="AD494" s="767"/>
      <c r="AE494" s="767"/>
      <c r="AF494" s="767"/>
      <c r="AG494" s="767"/>
      <c r="AH494" s="767"/>
      <c r="AI494" s="767"/>
      <c r="AJ494" s="767"/>
      <c r="AK494" s="767"/>
      <c r="AL494" s="767"/>
      <c r="AM494" s="767"/>
      <c r="AN494" s="767"/>
      <c r="AO494" s="767"/>
      <c r="AP494" s="767"/>
      <c r="AQ494" s="767"/>
      <c r="AR494" s="767"/>
      <c r="AS494" s="767"/>
      <c r="AT494" s="767"/>
      <c r="AU494" s="767"/>
      <c r="AV494" s="768"/>
      <c r="AW494" s="768"/>
      <c r="AX494" s="768"/>
      <c r="AY494" s="768"/>
      <c r="AZ494" s="768"/>
      <c r="BA494" s="715"/>
      <c r="BB494" s="761"/>
      <c r="BC494" s="761"/>
      <c r="BD494" s="761"/>
      <c r="BE494" s="461"/>
      <c r="BF494" s="461"/>
      <c r="BG494" s="461"/>
      <c r="BH494" s="307"/>
      <c r="BI494" s="307"/>
      <c r="BJ494" s="307"/>
      <c r="BK494" s="307"/>
      <c r="BU494" s="40">
        <f t="shared" si="339"/>
        <v>0</v>
      </c>
      <c r="BV494" s="40">
        <f t="shared" si="340"/>
        <v>0</v>
      </c>
      <c r="BW494" s="40">
        <f t="shared" si="340"/>
        <v>0</v>
      </c>
      <c r="BX494" s="40">
        <f t="shared" si="340"/>
        <v>0</v>
      </c>
      <c r="BY494" s="40">
        <f t="shared" si="340"/>
        <v>0</v>
      </c>
      <c r="BZ494" s="40">
        <f t="shared" si="340"/>
        <v>0</v>
      </c>
      <c r="CA494" s="40">
        <f t="shared" si="340"/>
        <v>0</v>
      </c>
      <c r="CB494" s="40">
        <f t="shared" si="340"/>
        <v>0</v>
      </c>
      <c r="CC494" s="40">
        <f t="shared" si="340"/>
        <v>0</v>
      </c>
      <c r="CD494" s="40">
        <f t="shared" si="340"/>
        <v>0</v>
      </c>
      <c r="CE494" s="307"/>
      <c r="CF494" s="307"/>
      <c r="CG494" s="307"/>
    </row>
    <row r="495" spans="2:85" s="25" customFormat="1">
      <c r="B495" s="714" t="s">
        <v>1475</v>
      </c>
      <c r="C495" s="714"/>
      <c r="D495" s="714"/>
      <c r="E495" s="714"/>
      <c r="F495" s="714"/>
      <c r="G495" s="714"/>
      <c r="H495" s="714"/>
      <c r="I495" s="714"/>
      <c r="J495" s="714"/>
      <c r="K495" s="714"/>
      <c r="L495" s="714"/>
      <c r="M495" s="714"/>
      <c r="N495" s="714"/>
      <c r="O495" s="714"/>
      <c r="P495" s="714"/>
      <c r="Q495" s="714"/>
      <c r="R495" s="714"/>
      <c r="S495" s="714"/>
      <c r="T495" s="714"/>
      <c r="U495" s="714"/>
      <c r="V495" s="714"/>
      <c r="W495" s="714"/>
      <c r="X495" s="714"/>
      <c r="Y495" s="714"/>
      <c r="Z495" s="714"/>
      <c r="AA495" s="714"/>
      <c r="AB495" s="714"/>
      <c r="AC495" s="714"/>
      <c r="AD495" s="714"/>
      <c r="AE495" s="714"/>
      <c r="AF495" s="714"/>
      <c r="AG495" s="714"/>
      <c r="AH495" s="714"/>
      <c r="AI495" s="714"/>
      <c r="AJ495" s="714"/>
      <c r="AK495" s="714"/>
      <c r="AL495" s="714"/>
      <c r="AM495" s="714"/>
      <c r="AN495" s="714"/>
      <c r="AO495" s="714"/>
      <c r="AP495" s="714"/>
      <c r="AQ495" s="714"/>
      <c r="AR495" s="714"/>
      <c r="AS495" s="714"/>
      <c r="AT495" s="714"/>
      <c r="AU495" s="714"/>
      <c r="AV495" s="715"/>
      <c r="AW495" s="715"/>
      <c r="AX495" s="715"/>
      <c r="AY495" s="715"/>
      <c r="AZ495" s="715"/>
      <c r="BA495" s="715">
        <f t="shared" ref="BA495:BF495" si="342">BA423</f>
        <v>1.9950000000000001</v>
      </c>
      <c r="BB495" s="715">
        <f t="shared" si="342"/>
        <v>4.2910000000000004</v>
      </c>
      <c r="BC495" s="715">
        <f t="shared" si="342"/>
        <v>7.9180000000000001</v>
      </c>
      <c r="BD495" s="715">
        <f t="shared" si="342"/>
        <v>5.587E-3</v>
      </c>
      <c r="BE495" s="715">
        <f t="shared" si="342"/>
        <v>2.4190000000000001E-3</v>
      </c>
      <c r="BF495" s="715">
        <f t="shared" si="342"/>
        <v>1.9040000000000001E-3</v>
      </c>
      <c r="BG495" s="657"/>
      <c r="BH495" s="307"/>
      <c r="BI495" s="307"/>
      <c r="BJ495" s="307"/>
      <c r="BK495" s="307"/>
      <c r="BU495" s="40">
        <f t="shared" si="339"/>
        <v>0</v>
      </c>
      <c r="BV495" s="40">
        <f t="shared" si="340"/>
        <v>0</v>
      </c>
      <c r="BW495" s="40">
        <f t="shared" si="340"/>
        <v>0</v>
      </c>
      <c r="BX495" s="40">
        <f t="shared" si="340"/>
        <v>0</v>
      </c>
      <c r="BY495" s="40">
        <f t="shared" si="340"/>
        <v>0</v>
      </c>
      <c r="BZ495" s="40">
        <f t="shared" si="340"/>
        <v>0</v>
      </c>
      <c r="CA495" s="40">
        <f t="shared" si="340"/>
        <v>0</v>
      </c>
      <c r="CB495" s="40">
        <f t="shared" si="340"/>
        <v>0</v>
      </c>
      <c r="CC495" s="40">
        <f t="shared" si="340"/>
        <v>0</v>
      </c>
      <c r="CD495" s="40">
        <f t="shared" si="340"/>
        <v>0</v>
      </c>
      <c r="CE495" s="307"/>
      <c r="CF495" s="307"/>
      <c r="CG495" s="307"/>
    </row>
    <row r="496" spans="2:85" s="25" customFormat="1">
      <c r="B496" s="714" t="s">
        <v>1476</v>
      </c>
      <c r="C496" s="714"/>
      <c r="D496" s="714"/>
      <c r="E496" s="714"/>
      <c r="F496" s="714"/>
      <c r="G496" s="714"/>
      <c r="H496" s="714"/>
      <c r="I496" s="714"/>
      <c r="J496" s="714"/>
      <c r="K496" s="714"/>
      <c r="L496" s="714"/>
      <c r="M496" s="714"/>
      <c r="N496" s="714"/>
      <c r="O496" s="714"/>
      <c r="P496" s="714"/>
      <c r="Q496" s="714"/>
      <c r="R496" s="714"/>
      <c r="S496" s="714"/>
      <c r="T496" s="714"/>
      <c r="U496" s="714"/>
      <c r="V496" s="714"/>
      <c r="W496" s="714"/>
      <c r="X496" s="714"/>
      <c r="Y496" s="714"/>
      <c r="Z496" s="714"/>
      <c r="AA496" s="714"/>
      <c r="AB496" s="714"/>
      <c r="AC496" s="714"/>
      <c r="AD496" s="714"/>
      <c r="AE496" s="714"/>
      <c r="AF496" s="714"/>
      <c r="AG496" s="714"/>
      <c r="AH496" s="714"/>
      <c r="AI496" s="714"/>
      <c r="AJ496" s="714"/>
      <c r="AK496" s="714"/>
      <c r="AL496" s="714"/>
      <c r="AM496" s="714"/>
      <c r="AN496" s="714"/>
      <c r="AO496" s="714"/>
      <c r="AP496" s="714"/>
      <c r="AQ496" s="714"/>
      <c r="AR496" s="714"/>
      <c r="AS496" s="714"/>
      <c r="AT496" s="714"/>
      <c r="AU496" s="714"/>
      <c r="AV496" s="715"/>
      <c r="AW496" s="715"/>
      <c r="AX496" s="715"/>
      <c r="AY496" s="715"/>
      <c r="AZ496" s="715"/>
      <c r="BA496" s="715">
        <f t="shared" ref="BA496:BF496" si="343">BA374</f>
        <v>8.3000000000000004E-2</v>
      </c>
      <c r="BB496" s="715">
        <f t="shared" si="343"/>
        <v>268.10399999999998</v>
      </c>
      <c r="BC496" s="715">
        <f t="shared" si="343"/>
        <v>54.728999999999999</v>
      </c>
      <c r="BD496" s="715">
        <f t="shared" si="343"/>
        <v>5.0569999999999997E-2</v>
      </c>
      <c r="BE496" s="715">
        <f t="shared" si="343"/>
        <v>4.7199999999999999E-2</v>
      </c>
      <c r="BF496" s="715">
        <f t="shared" si="343"/>
        <v>4.3799999999999999E-2</v>
      </c>
      <c r="BG496" s="657"/>
      <c r="BH496" s="307"/>
      <c r="BI496" s="307"/>
      <c r="BJ496" s="307"/>
      <c r="BK496" s="307"/>
      <c r="BU496" s="40">
        <f t="shared" si="339"/>
        <v>0</v>
      </c>
      <c r="BV496" s="40">
        <f t="shared" si="340"/>
        <v>0</v>
      </c>
      <c r="BW496" s="40">
        <f t="shared" si="340"/>
        <v>0</v>
      </c>
      <c r="BX496" s="40">
        <f t="shared" si="340"/>
        <v>0</v>
      </c>
      <c r="BY496" s="40">
        <f t="shared" si="340"/>
        <v>0</v>
      </c>
      <c r="BZ496" s="40">
        <f t="shared" si="340"/>
        <v>0</v>
      </c>
      <c r="CA496" s="40">
        <f t="shared" si="340"/>
        <v>0</v>
      </c>
      <c r="CB496" s="40">
        <f t="shared" si="340"/>
        <v>0</v>
      </c>
      <c r="CC496" s="40">
        <f t="shared" si="340"/>
        <v>0</v>
      </c>
      <c r="CD496" s="40">
        <f t="shared" si="340"/>
        <v>0</v>
      </c>
      <c r="CE496" s="307"/>
      <c r="CF496" s="307"/>
      <c r="CG496" s="307"/>
    </row>
    <row r="497" spans="2:91" s="25" customFormat="1">
      <c r="B497" s="714" t="s">
        <v>1743</v>
      </c>
      <c r="C497" s="714"/>
      <c r="D497" s="714"/>
      <c r="E497" s="714"/>
      <c r="F497" s="714"/>
      <c r="G497" s="714"/>
      <c r="H497" s="714"/>
      <c r="I497" s="714"/>
      <c r="J497" s="714"/>
      <c r="K497" s="714"/>
      <c r="L497" s="714"/>
      <c r="M497" s="714"/>
      <c r="N497" s="714"/>
      <c r="O497" s="714"/>
      <c r="P497" s="714"/>
      <c r="Q497" s="714"/>
      <c r="R497" s="714"/>
      <c r="S497" s="714"/>
      <c r="T497" s="714"/>
      <c r="U497" s="714"/>
      <c r="V497" s="714"/>
      <c r="W497" s="714"/>
      <c r="X497" s="714"/>
      <c r="Y497" s="714"/>
      <c r="Z497" s="714"/>
      <c r="AA497" s="714"/>
      <c r="AB497" s="714"/>
      <c r="AC497" s="714"/>
      <c r="AD497" s="714"/>
      <c r="AE497" s="714"/>
      <c r="AF497" s="714"/>
      <c r="AG497" s="714"/>
      <c r="AH497" s="714"/>
      <c r="AI497" s="714"/>
      <c r="AJ497" s="714"/>
      <c r="AK497" s="714"/>
      <c r="AL497" s="714"/>
      <c r="AM497" s="714"/>
      <c r="AN497" s="714"/>
      <c r="AO497" s="714"/>
      <c r="AP497" s="714"/>
      <c r="AQ497" s="714"/>
      <c r="AR497" s="714"/>
      <c r="AS497" s="714"/>
      <c r="AT497" s="714"/>
      <c r="AU497" s="714"/>
      <c r="AV497" s="715"/>
      <c r="AW497" s="715"/>
      <c r="AX497" s="715"/>
      <c r="AY497" s="715"/>
      <c r="AZ497" s="715"/>
      <c r="BA497" s="715">
        <f>BA431</f>
        <v>0</v>
      </c>
      <c r="BB497" s="773"/>
      <c r="BC497" s="715">
        <f t="shared" ref="BC497:BF499" si="344">BC431</f>
        <v>0</v>
      </c>
      <c r="BD497" s="715">
        <f t="shared" si="344"/>
        <v>0</v>
      </c>
      <c r="BE497" s="715">
        <f t="shared" si="344"/>
        <v>0</v>
      </c>
      <c r="BF497" s="715">
        <f t="shared" si="344"/>
        <v>0</v>
      </c>
      <c r="BG497" s="657"/>
      <c r="BH497" s="307"/>
      <c r="BI497" s="307"/>
      <c r="BJ497" s="307"/>
      <c r="BK497" s="307"/>
      <c r="BU497" s="40">
        <f t="shared" si="339"/>
        <v>0</v>
      </c>
      <c r="BV497" s="40">
        <f t="shared" si="340"/>
        <v>0</v>
      </c>
      <c r="BW497" s="40">
        <f t="shared" si="340"/>
        <v>0</v>
      </c>
      <c r="BX497" s="40">
        <f t="shared" si="340"/>
        <v>0</v>
      </c>
      <c r="BY497" s="40">
        <f t="shared" si="340"/>
        <v>0</v>
      </c>
      <c r="BZ497" s="40">
        <f t="shared" si="340"/>
        <v>0</v>
      </c>
      <c r="CA497" s="40">
        <f t="shared" si="340"/>
        <v>0</v>
      </c>
      <c r="CB497" s="40">
        <f t="shared" si="340"/>
        <v>0</v>
      </c>
      <c r="CC497" s="40">
        <f t="shared" si="340"/>
        <v>0</v>
      </c>
      <c r="CD497" s="40">
        <f t="shared" si="340"/>
        <v>0</v>
      </c>
      <c r="CE497" s="307"/>
      <c r="CF497" s="307"/>
      <c r="CG497" s="307"/>
    </row>
    <row r="498" spans="2:91" s="25" customFormat="1">
      <c r="B498" s="714" t="s">
        <v>2374</v>
      </c>
      <c r="C498" s="714"/>
      <c r="D498" s="714"/>
      <c r="E498" s="714"/>
      <c r="F498" s="714"/>
      <c r="G498" s="714"/>
      <c r="H498" s="714"/>
      <c r="I498" s="714"/>
      <c r="J498" s="714"/>
      <c r="K498" s="714"/>
      <c r="L498" s="714"/>
      <c r="M498" s="714"/>
      <c r="N498" s="714"/>
      <c r="O498" s="714"/>
      <c r="P498" s="714"/>
      <c r="Q498" s="714"/>
      <c r="R498" s="714"/>
      <c r="S498" s="714"/>
      <c r="T498" s="714"/>
      <c r="U498" s="714"/>
      <c r="V498" s="714"/>
      <c r="W498" s="714"/>
      <c r="X498" s="714"/>
      <c r="Y498" s="714"/>
      <c r="Z498" s="714"/>
      <c r="AA498" s="714"/>
      <c r="AB498" s="714"/>
      <c r="AC498" s="714"/>
      <c r="AD498" s="714"/>
      <c r="AE498" s="714"/>
      <c r="AF498" s="714"/>
      <c r="AG498" s="714"/>
      <c r="AH498" s="714"/>
      <c r="AI498" s="714"/>
      <c r="AJ498" s="714"/>
      <c r="AK498" s="714"/>
      <c r="AL498" s="714"/>
      <c r="AM498" s="714"/>
      <c r="AN498" s="714"/>
      <c r="AO498" s="714"/>
      <c r="AP498" s="714"/>
      <c r="AQ498" s="714"/>
      <c r="AR498" s="714"/>
      <c r="AS498" s="714"/>
      <c r="AT498" s="714"/>
      <c r="AU498" s="714"/>
      <c r="AV498" s="715"/>
      <c r="AW498" s="715"/>
      <c r="AX498" s="715"/>
      <c r="AY498" s="715"/>
      <c r="AZ498" s="715"/>
      <c r="BA498" s="715">
        <f>BA432</f>
        <v>1E-3</v>
      </c>
      <c r="BB498" s="773"/>
      <c r="BC498" s="715">
        <f t="shared" si="344"/>
        <v>0.317</v>
      </c>
      <c r="BD498" s="715">
        <f t="shared" si="344"/>
        <v>3.0000000000000001E-3</v>
      </c>
      <c r="BE498" s="715">
        <f t="shared" si="344"/>
        <v>4.2750000000000002E-3</v>
      </c>
      <c r="BF498" s="715">
        <f t="shared" si="344"/>
        <v>7.3350000000000004E-3</v>
      </c>
      <c r="BG498" s="657"/>
      <c r="BH498" s="307"/>
      <c r="BI498" s="307"/>
      <c r="BJ498" s="307"/>
      <c r="BK498" s="307"/>
      <c r="BU498" s="40">
        <f t="shared" si="339"/>
        <v>0</v>
      </c>
      <c r="BV498" s="40">
        <f t="shared" si="340"/>
        <v>0</v>
      </c>
      <c r="BW498" s="40">
        <f t="shared" si="340"/>
        <v>0</v>
      </c>
      <c r="BX498" s="40">
        <f t="shared" si="340"/>
        <v>0</v>
      </c>
      <c r="BY498" s="40">
        <f t="shared" si="340"/>
        <v>0</v>
      </c>
      <c r="BZ498" s="40">
        <f t="shared" si="340"/>
        <v>0</v>
      </c>
      <c r="CA498" s="40">
        <f t="shared" si="340"/>
        <v>0</v>
      </c>
      <c r="CB498" s="40">
        <f t="shared" si="340"/>
        <v>0</v>
      </c>
      <c r="CC498" s="40">
        <f t="shared" si="340"/>
        <v>0</v>
      </c>
      <c r="CD498" s="40">
        <f t="shared" si="340"/>
        <v>0</v>
      </c>
      <c r="CE498" s="307"/>
      <c r="CF498" s="307"/>
      <c r="CG498" s="307"/>
    </row>
    <row r="499" spans="2:91" s="25" customFormat="1">
      <c r="B499" s="714" t="s">
        <v>3299</v>
      </c>
      <c r="C499" s="714"/>
      <c r="D499" s="714"/>
      <c r="E499" s="714"/>
      <c r="F499" s="714"/>
      <c r="G499" s="714"/>
      <c r="H499" s="714"/>
      <c r="I499" s="714"/>
      <c r="J499" s="714"/>
      <c r="K499" s="714"/>
      <c r="L499" s="714"/>
      <c r="M499" s="714"/>
      <c r="N499" s="714"/>
      <c r="O499" s="714"/>
      <c r="P499" s="714"/>
      <c r="Q499" s="714"/>
      <c r="R499" s="714"/>
      <c r="S499" s="714"/>
      <c r="T499" s="714"/>
      <c r="U499" s="714"/>
      <c r="V499" s="714"/>
      <c r="W499" s="714"/>
      <c r="X499" s="714"/>
      <c r="Y499" s="714"/>
      <c r="Z499" s="714"/>
      <c r="AA499" s="714"/>
      <c r="AB499" s="714"/>
      <c r="AC499" s="714"/>
      <c r="AD499" s="714"/>
      <c r="AE499" s="714"/>
      <c r="AF499" s="714"/>
      <c r="AG499" s="714"/>
      <c r="AH499" s="714"/>
      <c r="AI499" s="714"/>
      <c r="AJ499" s="714"/>
      <c r="AK499" s="714"/>
      <c r="AL499" s="714"/>
      <c r="AM499" s="714"/>
      <c r="AN499" s="714"/>
      <c r="AO499" s="714"/>
      <c r="AP499" s="714"/>
      <c r="AQ499" s="714"/>
      <c r="AR499" s="714"/>
      <c r="AS499" s="714"/>
      <c r="AT499" s="714"/>
      <c r="AU499" s="714"/>
      <c r="AV499" s="715"/>
      <c r="AW499" s="715"/>
      <c r="AX499" s="715"/>
      <c r="AY499" s="715"/>
      <c r="AZ499" s="715"/>
      <c r="BA499" s="715">
        <f>BA433</f>
        <v>5.3639999999999999</v>
      </c>
      <c r="BB499" s="715">
        <f>BB433</f>
        <v>3.536</v>
      </c>
      <c r="BC499" s="715">
        <f t="shared" si="344"/>
        <v>5.7629999999999999</v>
      </c>
      <c r="BD499" s="715">
        <f t="shared" si="344"/>
        <v>4.7699999999999999E-3</v>
      </c>
      <c r="BE499" s="715">
        <f t="shared" si="344"/>
        <v>3.761E-3</v>
      </c>
      <c r="BF499" s="715">
        <f t="shared" si="344"/>
        <v>4.4270000000000004E-3</v>
      </c>
      <c r="BG499" s="657"/>
      <c r="BH499" s="307"/>
      <c r="BI499" s="307"/>
      <c r="BJ499" s="307"/>
      <c r="BK499" s="307"/>
      <c r="BU499" s="40">
        <f t="shared" si="339"/>
        <v>0</v>
      </c>
      <c r="BV499" s="40">
        <f t="shared" ref="BV499:CD514" si="345">BU499</f>
        <v>0</v>
      </c>
      <c r="BW499" s="40">
        <f t="shared" si="345"/>
        <v>0</v>
      </c>
      <c r="BX499" s="40">
        <f t="shared" si="345"/>
        <v>0</v>
      </c>
      <c r="BY499" s="40">
        <f t="shared" si="345"/>
        <v>0</v>
      </c>
      <c r="BZ499" s="40">
        <f t="shared" si="345"/>
        <v>0</v>
      </c>
      <c r="CA499" s="40">
        <f t="shared" si="345"/>
        <v>0</v>
      </c>
      <c r="CB499" s="40">
        <f t="shared" si="345"/>
        <v>0</v>
      </c>
      <c r="CC499" s="40">
        <f t="shared" si="345"/>
        <v>0</v>
      </c>
      <c r="CD499" s="40">
        <f t="shared" si="345"/>
        <v>0</v>
      </c>
      <c r="CE499" s="307"/>
      <c r="CF499" s="307"/>
      <c r="CG499" s="307"/>
    </row>
    <row r="500" spans="2:91" s="25" customFormat="1">
      <c r="B500" s="680"/>
      <c r="C500" s="680"/>
      <c r="D500" s="680"/>
      <c r="E500" s="680"/>
      <c r="F500" s="680"/>
      <c r="G500" s="680"/>
      <c r="H500" s="680"/>
      <c r="I500" s="680"/>
      <c r="J500" s="680"/>
      <c r="K500" s="680"/>
      <c r="L500" s="680"/>
      <c r="M500" s="680"/>
      <c r="N500" s="680"/>
      <c r="O500" s="680"/>
      <c r="P500" s="680"/>
      <c r="Q500" s="680"/>
      <c r="R500" s="680"/>
      <c r="S500" s="680"/>
      <c r="T500" s="680"/>
      <c r="U500" s="680"/>
      <c r="V500" s="680"/>
      <c r="W500" s="680"/>
      <c r="X500" s="680"/>
      <c r="Y500" s="680"/>
      <c r="Z500" s="680"/>
      <c r="AA500" s="680"/>
      <c r="AB500" s="680"/>
      <c r="AC500" s="680"/>
      <c r="AD500" s="680"/>
      <c r="AE500" s="680"/>
      <c r="AF500" s="680"/>
      <c r="AG500" s="680"/>
      <c r="AH500" s="680"/>
      <c r="AI500" s="680"/>
      <c r="AJ500" s="680"/>
      <c r="AK500" s="680"/>
      <c r="AL500" s="680"/>
      <c r="AM500" s="680"/>
      <c r="AN500" s="680"/>
      <c r="AO500" s="680"/>
      <c r="AP500" s="680"/>
      <c r="AQ500" s="680"/>
      <c r="AR500" s="680"/>
      <c r="AS500" s="680"/>
      <c r="AT500" s="680"/>
      <c r="AU500" s="680"/>
      <c r="AV500" s="672"/>
      <c r="AW500" s="672"/>
      <c r="AX500" s="672"/>
      <c r="AY500" s="672"/>
      <c r="AZ500" s="672"/>
      <c r="BA500" s="672"/>
      <c r="BB500" s="761"/>
      <c r="BC500" s="761"/>
      <c r="BD500" s="761"/>
      <c r="BE500" s="461"/>
      <c r="BF500" s="461"/>
      <c r="BG500" s="461"/>
      <c r="BH500" s="307"/>
      <c r="BI500" s="307"/>
      <c r="BJ500" s="307"/>
      <c r="BK500" s="307"/>
      <c r="BU500" s="40">
        <f t="shared" si="339"/>
        <v>0</v>
      </c>
      <c r="BV500" s="40">
        <f t="shared" si="345"/>
        <v>0</v>
      </c>
      <c r="BW500" s="40">
        <f t="shared" si="345"/>
        <v>0</v>
      </c>
      <c r="BX500" s="40">
        <f t="shared" si="345"/>
        <v>0</v>
      </c>
      <c r="BY500" s="40">
        <f t="shared" si="345"/>
        <v>0</v>
      </c>
      <c r="BZ500" s="40">
        <f t="shared" si="345"/>
        <v>0</v>
      </c>
      <c r="CA500" s="40">
        <f t="shared" si="345"/>
        <v>0</v>
      </c>
      <c r="CB500" s="40">
        <f t="shared" si="345"/>
        <v>0</v>
      </c>
      <c r="CC500" s="40">
        <f t="shared" si="345"/>
        <v>0</v>
      </c>
      <c r="CD500" s="40">
        <f t="shared" si="345"/>
        <v>0</v>
      </c>
      <c r="CE500" s="307"/>
      <c r="CF500" s="307"/>
      <c r="CG500" s="307"/>
    </row>
    <row r="501" spans="2:91" s="25" customFormat="1" ht="26.25">
      <c r="B501" s="766" t="s">
        <v>1207</v>
      </c>
      <c r="C501" s="767"/>
      <c r="D501" s="767"/>
      <c r="E501" s="767"/>
      <c r="F501" s="767"/>
      <c r="G501" s="767"/>
      <c r="H501" s="767"/>
      <c r="I501" s="767"/>
      <c r="J501" s="767"/>
      <c r="K501" s="767"/>
      <c r="L501" s="767"/>
      <c r="M501" s="767"/>
      <c r="N501" s="767"/>
      <c r="O501" s="767"/>
      <c r="P501" s="767"/>
      <c r="Q501" s="767"/>
      <c r="R501" s="767"/>
      <c r="S501" s="767"/>
      <c r="T501" s="767"/>
      <c r="U501" s="767"/>
      <c r="V501" s="767"/>
      <c r="W501" s="767"/>
      <c r="X501" s="767"/>
      <c r="Y501" s="767"/>
      <c r="Z501" s="767"/>
      <c r="AA501" s="767"/>
      <c r="AB501" s="767"/>
      <c r="AC501" s="767"/>
      <c r="AD501" s="767"/>
      <c r="AE501" s="767"/>
      <c r="AF501" s="767"/>
      <c r="AG501" s="767"/>
      <c r="AH501" s="767"/>
      <c r="AI501" s="767"/>
      <c r="AJ501" s="767"/>
      <c r="AK501" s="767"/>
      <c r="AL501" s="767"/>
      <c r="AM501" s="767"/>
      <c r="AN501" s="767"/>
      <c r="AO501" s="767"/>
      <c r="AP501" s="767"/>
      <c r="AQ501" s="767"/>
      <c r="AR501" s="767"/>
      <c r="AS501" s="767"/>
      <c r="AT501" s="767"/>
      <c r="AU501" s="767"/>
      <c r="AV501" s="768"/>
      <c r="AW501" s="768"/>
      <c r="AX501" s="768"/>
      <c r="AY501" s="768"/>
      <c r="AZ501" s="672"/>
      <c r="BA501" s="672">
        <v>2122.6</v>
      </c>
      <c r="BB501" s="761">
        <v>3383.3339999999998</v>
      </c>
      <c r="BC501" s="761">
        <v>1876.192</v>
      </c>
      <c r="BD501" s="761">
        <v>5.4985400000000002</v>
      </c>
      <c r="BE501" s="461">
        <v>3.469204</v>
      </c>
      <c r="BF501" s="461">
        <v>79.961155000000005</v>
      </c>
      <c r="BG501" s="461">
        <v>10.650195999999999</v>
      </c>
      <c r="BH501" s="307"/>
      <c r="BI501" s="307"/>
      <c r="BJ501" s="307"/>
      <c r="BK501" s="307"/>
      <c r="BU501" s="40">
        <f t="shared" si="339"/>
        <v>0</v>
      </c>
      <c r="BV501" s="40">
        <f t="shared" si="345"/>
        <v>0</v>
      </c>
      <c r="BW501" s="40">
        <f t="shared" si="345"/>
        <v>0</v>
      </c>
      <c r="BX501" s="40">
        <f t="shared" si="345"/>
        <v>0</v>
      </c>
      <c r="BY501" s="40">
        <f t="shared" si="345"/>
        <v>0</v>
      </c>
      <c r="BZ501" s="40">
        <f t="shared" si="345"/>
        <v>0</v>
      </c>
      <c r="CA501" s="40">
        <f t="shared" si="345"/>
        <v>0</v>
      </c>
      <c r="CB501" s="40">
        <f t="shared" si="345"/>
        <v>0</v>
      </c>
      <c r="CC501" s="40">
        <f t="shared" si="345"/>
        <v>0</v>
      </c>
      <c r="CD501" s="40">
        <f t="shared" si="345"/>
        <v>0</v>
      </c>
      <c r="CE501" s="307"/>
      <c r="CF501" s="307"/>
      <c r="CG501" s="307"/>
    </row>
    <row r="502" spans="2:91" s="25" customFormat="1">
      <c r="B502" s="680" t="s">
        <v>4377</v>
      </c>
      <c r="C502" s="680"/>
      <c r="D502" s="680"/>
      <c r="E502" s="680"/>
      <c r="F502" s="680"/>
      <c r="G502" s="680"/>
      <c r="H502" s="680"/>
      <c r="I502" s="680"/>
      <c r="J502" s="680"/>
      <c r="K502" s="680"/>
      <c r="L502" s="680"/>
      <c r="M502" s="680"/>
      <c r="N502" s="680"/>
      <c r="O502" s="680"/>
      <c r="P502" s="680"/>
      <c r="Q502" s="680"/>
      <c r="R502" s="680"/>
      <c r="S502" s="680"/>
      <c r="T502" s="680"/>
      <c r="U502" s="680"/>
      <c r="V502" s="680"/>
      <c r="W502" s="680"/>
      <c r="X502" s="680"/>
      <c r="Y502" s="680"/>
      <c r="Z502" s="680"/>
      <c r="AA502" s="680"/>
      <c r="AB502" s="680"/>
      <c r="AC502" s="680"/>
      <c r="AD502" s="680"/>
      <c r="AE502" s="680"/>
      <c r="AF502" s="680"/>
      <c r="AG502" s="680"/>
      <c r="AH502" s="680"/>
      <c r="AI502" s="680"/>
      <c r="AJ502" s="680"/>
      <c r="AK502" s="680"/>
      <c r="AL502" s="680"/>
      <c r="AM502" s="680"/>
      <c r="AN502" s="680"/>
      <c r="AO502" s="680"/>
      <c r="AP502" s="680"/>
      <c r="AQ502" s="680"/>
      <c r="AR502" s="680"/>
      <c r="AS502" s="680"/>
      <c r="AT502" s="680"/>
      <c r="AU502" s="680"/>
      <c r="AV502" s="672"/>
      <c r="AW502" s="672"/>
      <c r="AX502" s="672"/>
      <c r="AY502" s="672"/>
      <c r="AZ502" s="672"/>
      <c r="BA502" s="672">
        <v>178.352</v>
      </c>
      <c r="BB502" s="761">
        <v>98.454999999999998</v>
      </c>
      <c r="BC502" s="761">
        <v>99.263999999999996</v>
      </c>
      <c r="BD502" s="761">
        <v>0.30732700000000002</v>
      </c>
      <c r="BE502" s="461"/>
      <c r="BF502" s="461"/>
      <c r="BG502" s="461"/>
      <c r="BH502" s="307"/>
      <c r="BI502" s="307"/>
      <c r="BJ502" s="307"/>
      <c r="BK502" s="307"/>
      <c r="BU502" s="40">
        <f t="shared" si="339"/>
        <v>0</v>
      </c>
      <c r="BV502" s="40">
        <f t="shared" si="345"/>
        <v>0</v>
      </c>
      <c r="BW502" s="40">
        <f t="shared" si="345"/>
        <v>0</v>
      </c>
      <c r="BX502" s="40">
        <f t="shared" si="345"/>
        <v>0</v>
      </c>
      <c r="BY502" s="40">
        <f t="shared" si="345"/>
        <v>0</v>
      </c>
      <c r="BZ502" s="40">
        <f t="shared" si="345"/>
        <v>0</v>
      </c>
      <c r="CA502" s="40">
        <f t="shared" si="345"/>
        <v>0</v>
      </c>
      <c r="CB502" s="40">
        <f t="shared" si="345"/>
        <v>0</v>
      </c>
      <c r="CC502" s="40">
        <f t="shared" si="345"/>
        <v>0</v>
      </c>
      <c r="CD502" s="40">
        <f t="shared" si="345"/>
        <v>0</v>
      </c>
      <c r="CE502" s="307"/>
      <c r="CF502" s="307"/>
      <c r="CG502" s="307"/>
    </row>
    <row r="503" spans="2:91" s="25" customFormat="1">
      <c r="B503" s="679" t="s">
        <v>1408</v>
      </c>
      <c r="C503" s="680"/>
      <c r="D503" s="680"/>
      <c r="E503" s="680"/>
      <c r="F503" s="680"/>
      <c r="G503" s="680"/>
      <c r="H503" s="680"/>
      <c r="I503" s="680"/>
      <c r="J503" s="680"/>
      <c r="K503" s="680"/>
      <c r="L503" s="680"/>
      <c r="M503" s="680"/>
      <c r="N503" s="680"/>
      <c r="O503" s="680"/>
      <c r="P503" s="680"/>
      <c r="Q503" s="680"/>
      <c r="R503" s="680"/>
      <c r="S503" s="680"/>
      <c r="T503" s="680"/>
      <c r="U503" s="680"/>
      <c r="V503" s="680"/>
      <c r="W503" s="680"/>
      <c r="X503" s="680"/>
      <c r="Y503" s="680"/>
      <c r="Z503" s="680"/>
      <c r="AA503" s="680"/>
      <c r="AB503" s="680"/>
      <c r="AC503" s="680"/>
      <c r="AD503" s="680"/>
      <c r="AE503" s="680"/>
      <c r="AF503" s="680"/>
      <c r="AG503" s="680"/>
      <c r="AH503" s="680"/>
      <c r="AI503" s="680"/>
      <c r="AJ503" s="680"/>
      <c r="AK503" s="680"/>
      <c r="AL503" s="680"/>
      <c r="AM503" s="680"/>
      <c r="AN503" s="680"/>
      <c r="AO503" s="680"/>
      <c r="AP503" s="680"/>
      <c r="AQ503" s="680"/>
      <c r="AR503" s="680"/>
      <c r="AS503" s="680"/>
      <c r="AT503" s="680"/>
      <c r="AU503" s="680"/>
      <c r="AV503" s="672"/>
      <c r="AW503" s="672"/>
      <c r="AX503" s="672"/>
      <c r="AY503" s="672"/>
      <c r="AZ503" s="672"/>
      <c r="BA503" s="672">
        <f>BA501-BA502</f>
        <v>1944.2479999999998</v>
      </c>
      <c r="BB503" s="672">
        <f>BB501-BB502</f>
        <v>3284.8789999999999</v>
      </c>
      <c r="BC503" s="672">
        <f>BC501-BC502</f>
        <v>1776.9280000000001</v>
      </c>
      <c r="BD503" s="672">
        <f>BD501-BD502</f>
        <v>5.1912130000000003</v>
      </c>
      <c r="BE503" s="461"/>
      <c r="BF503" s="461"/>
      <c r="BG503" s="461"/>
      <c r="BH503" s="307"/>
      <c r="BI503" s="307"/>
      <c r="BJ503" s="307"/>
      <c r="BK503" s="307"/>
      <c r="BU503" s="40">
        <f t="shared" si="339"/>
        <v>0</v>
      </c>
      <c r="BV503" s="40">
        <f t="shared" si="345"/>
        <v>0</v>
      </c>
      <c r="BW503" s="40">
        <f t="shared" si="345"/>
        <v>0</v>
      </c>
      <c r="BX503" s="40">
        <f t="shared" si="345"/>
        <v>0</v>
      </c>
      <c r="BY503" s="40">
        <f t="shared" si="345"/>
        <v>0</v>
      </c>
      <c r="BZ503" s="40">
        <f t="shared" si="345"/>
        <v>0</v>
      </c>
      <c r="CA503" s="40">
        <f t="shared" si="345"/>
        <v>0</v>
      </c>
      <c r="CB503" s="40">
        <f t="shared" si="345"/>
        <v>0</v>
      </c>
      <c r="CC503" s="40">
        <f t="shared" si="345"/>
        <v>0</v>
      </c>
      <c r="CD503" s="40">
        <f t="shared" si="345"/>
        <v>0</v>
      </c>
      <c r="CE503" s="307"/>
      <c r="CF503" s="307"/>
      <c r="CG503" s="307"/>
    </row>
    <row r="504" spans="2:91" s="25" customFormat="1">
      <c r="B504" s="766"/>
      <c r="C504" s="767"/>
      <c r="D504" s="767"/>
      <c r="E504" s="767"/>
      <c r="F504" s="767"/>
      <c r="G504" s="767"/>
      <c r="H504" s="767"/>
      <c r="I504" s="767"/>
      <c r="J504" s="767"/>
      <c r="K504" s="767"/>
      <c r="L504" s="767"/>
      <c r="M504" s="767"/>
      <c r="N504" s="767"/>
      <c r="O504" s="767"/>
      <c r="P504" s="767"/>
      <c r="Q504" s="767"/>
      <c r="R504" s="767"/>
      <c r="S504" s="767"/>
      <c r="T504" s="767"/>
      <c r="U504" s="767"/>
      <c r="V504" s="767"/>
      <c r="W504" s="767"/>
      <c r="X504" s="767"/>
      <c r="Y504" s="767"/>
      <c r="Z504" s="767"/>
      <c r="AA504" s="767"/>
      <c r="AB504" s="767"/>
      <c r="AC504" s="767"/>
      <c r="AD504" s="767"/>
      <c r="AE504" s="767"/>
      <c r="AF504" s="767"/>
      <c r="AG504" s="767"/>
      <c r="AH504" s="767"/>
      <c r="AI504" s="767"/>
      <c r="AJ504" s="767"/>
      <c r="AK504" s="767"/>
      <c r="AL504" s="767"/>
      <c r="AM504" s="767"/>
      <c r="AN504" s="767"/>
      <c r="AO504" s="767"/>
      <c r="AP504" s="767"/>
      <c r="AQ504" s="767"/>
      <c r="AR504" s="767"/>
      <c r="AS504" s="767"/>
      <c r="AT504" s="767"/>
      <c r="AU504" s="767"/>
      <c r="AV504" s="768"/>
      <c r="AW504" s="768"/>
      <c r="AX504" s="768"/>
      <c r="AY504" s="768"/>
      <c r="AZ504" s="672"/>
      <c r="BA504" s="672"/>
      <c r="BB504" s="761"/>
      <c r="BC504" s="761"/>
      <c r="BD504" s="761"/>
      <c r="BE504" s="461"/>
      <c r="BF504" s="461"/>
      <c r="BG504" s="461"/>
      <c r="BH504" s="307"/>
      <c r="BI504" s="307"/>
      <c r="BJ504" s="307"/>
      <c r="BK504" s="307"/>
      <c r="BU504" s="40">
        <f t="shared" si="339"/>
        <v>0</v>
      </c>
      <c r="BV504" s="40">
        <f t="shared" si="345"/>
        <v>0</v>
      </c>
      <c r="BW504" s="40">
        <f t="shared" si="345"/>
        <v>0</v>
      </c>
      <c r="BX504" s="40">
        <f t="shared" si="345"/>
        <v>0</v>
      </c>
      <c r="BY504" s="40">
        <f t="shared" si="345"/>
        <v>0</v>
      </c>
      <c r="BZ504" s="40">
        <f t="shared" si="345"/>
        <v>0</v>
      </c>
      <c r="CA504" s="40">
        <f t="shared" si="345"/>
        <v>0</v>
      </c>
      <c r="CB504" s="40">
        <f t="shared" si="345"/>
        <v>0</v>
      </c>
      <c r="CC504" s="40">
        <f t="shared" si="345"/>
        <v>0</v>
      </c>
      <c r="CD504" s="40">
        <f t="shared" si="345"/>
        <v>0</v>
      </c>
      <c r="CE504" s="307"/>
      <c r="CF504" s="307"/>
      <c r="CG504" s="307"/>
    </row>
    <row r="505" spans="2:91" s="25" customFormat="1">
      <c r="B505" s="681" t="s">
        <v>1208</v>
      </c>
      <c r="C505" s="680"/>
      <c r="D505" s="680"/>
      <c r="E505" s="680"/>
      <c r="F505" s="680"/>
      <c r="G505" s="680"/>
      <c r="H505" s="680"/>
      <c r="I505" s="680"/>
      <c r="J505" s="680"/>
      <c r="K505" s="680"/>
      <c r="L505" s="680"/>
      <c r="M505" s="680"/>
      <c r="N505" s="680"/>
      <c r="O505" s="680"/>
      <c r="P505" s="680"/>
      <c r="Q505" s="680"/>
      <c r="R505" s="680"/>
      <c r="S505" s="680"/>
      <c r="T505" s="680"/>
      <c r="U505" s="680"/>
      <c r="V505" s="680"/>
      <c r="W505" s="680"/>
      <c r="X505" s="680"/>
      <c r="Y505" s="680"/>
      <c r="Z505" s="680"/>
      <c r="AA505" s="680"/>
      <c r="AB505" s="680"/>
      <c r="AC505" s="680"/>
      <c r="AD505" s="680"/>
      <c r="AE505" s="680"/>
      <c r="AF505" s="680"/>
      <c r="AG505" s="680"/>
      <c r="AH505" s="680"/>
      <c r="AI505" s="680"/>
      <c r="AJ505" s="680"/>
      <c r="AK505" s="680"/>
      <c r="AL505" s="680"/>
      <c r="AM505" s="680"/>
      <c r="AN505" s="680"/>
      <c r="AO505" s="680"/>
      <c r="AP505" s="680"/>
      <c r="AQ505" s="680"/>
      <c r="AR505" s="680"/>
      <c r="AS505" s="680"/>
      <c r="AT505" s="680"/>
      <c r="AU505" s="680"/>
      <c r="AV505" s="672"/>
      <c r="AW505" s="672"/>
      <c r="AX505" s="672"/>
      <c r="AY505" s="672"/>
      <c r="AZ505" s="672"/>
      <c r="BA505" s="672">
        <f>SUM(BA506:BA507)</f>
        <v>389.536</v>
      </c>
      <c r="BB505" s="672">
        <f>SUM(BB506:BB507)</f>
        <v>181.42200000000003</v>
      </c>
      <c r="BC505" s="672">
        <f>SUM(BC506:BC507)</f>
        <v>312.209</v>
      </c>
      <c r="BD505" s="672">
        <f>SUM(BD506:BD507)</f>
        <v>1.2015450000000001</v>
      </c>
      <c r="BE505" s="672">
        <v>0.56207300000000004</v>
      </c>
      <c r="BF505" s="461">
        <v>0.45800299999999999</v>
      </c>
      <c r="BG505" s="461">
        <v>1.5102100000000001</v>
      </c>
      <c r="BH505" s="307">
        <v>86.678343999999996</v>
      </c>
      <c r="BI505" s="307">
        <v>229.63092700000001</v>
      </c>
      <c r="BJ505" s="307">
        <v>241.11247299999999</v>
      </c>
      <c r="BK505" s="307"/>
      <c r="BU505" s="40">
        <f t="shared" si="339"/>
        <v>0</v>
      </c>
      <c r="BV505" s="40">
        <f t="shared" si="345"/>
        <v>0</v>
      </c>
      <c r="BW505" s="40">
        <f t="shared" si="345"/>
        <v>0</v>
      </c>
      <c r="BX505" s="40">
        <f t="shared" si="345"/>
        <v>0</v>
      </c>
      <c r="BY505" s="40">
        <f t="shared" si="345"/>
        <v>0</v>
      </c>
      <c r="BZ505" s="40">
        <f t="shared" si="345"/>
        <v>0</v>
      </c>
      <c r="CA505" s="40">
        <f t="shared" si="345"/>
        <v>0</v>
      </c>
      <c r="CB505" s="40">
        <f t="shared" si="345"/>
        <v>0</v>
      </c>
      <c r="CC505" s="40">
        <f t="shared" si="345"/>
        <v>0</v>
      </c>
      <c r="CD505" s="40">
        <f t="shared" si="345"/>
        <v>0</v>
      </c>
      <c r="CE505" s="307"/>
      <c r="CF505" s="307"/>
      <c r="CG505" s="307"/>
    </row>
    <row r="506" spans="2:91" s="25" customFormat="1">
      <c r="B506" s="714" t="s">
        <v>623</v>
      </c>
      <c r="C506" s="714"/>
      <c r="D506" s="714"/>
      <c r="E506" s="714"/>
      <c r="F506" s="714"/>
      <c r="G506" s="714"/>
      <c r="H506" s="714"/>
      <c r="I506" s="714"/>
      <c r="J506" s="714"/>
      <c r="K506" s="714"/>
      <c r="L506" s="714"/>
      <c r="M506" s="714"/>
      <c r="N506" s="714"/>
      <c r="O506" s="714"/>
      <c r="P506" s="714"/>
      <c r="Q506" s="714"/>
      <c r="R506" s="714"/>
      <c r="S506" s="714"/>
      <c r="T506" s="714"/>
      <c r="U506" s="714"/>
      <c r="V506" s="714"/>
      <c r="W506" s="714"/>
      <c r="X506" s="714"/>
      <c r="Y506" s="714"/>
      <c r="Z506" s="714"/>
      <c r="AA506" s="714"/>
      <c r="AB506" s="714"/>
      <c r="AC506" s="714"/>
      <c r="AD506" s="714"/>
      <c r="AE506" s="714"/>
      <c r="AF506" s="714"/>
      <c r="AG506" s="714"/>
      <c r="AH506" s="714"/>
      <c r="AI506" s="714"/>
      <c r="AJ506" s="714"/>
      <c r="AK506" s="714"/>
      <c r="AL506" s="714"/>
      <c r="AM506" s="714"/>
      <c r="AN506" s="714"/>
      <c r="AO506" s="714"/>
      <c r="AP506" s="714"/>
      <c r="AQ506" s="714"/>
      <c r="AR506" s="714"/>
      <c r="AS506" s="714"/>
      <c r="AT506" s="714"/>
      <c r="AU506" s="714"/>
      <c r="AV506" s="715"/>
      <c r="AW506" s="715"/>
      <c r="AX506" s="715"/>
      <c r="AY506" s="715"/>
      <c r="AZ506" s="715">
        <f t="shared" ref="AZ506:BE506" si="346">AZ378</f>
        <v>0</v>
      </c>
      <c r="BA506" s="715">
        <f t="shared" si="346"/>
        <v>1.988</v>
      </c>
      <c r="BB506" s="715">
        <f t="shared" si="346"/>
        <v>52.180999999999997</v>
      </c>
      <c r="BC506" s="715">
        <f t="shared" si="346"/>
        <v>42.906999999999996</v>
      </c>
      <c r="BD506" s="715">
        <f t="shared" si="346"/>
        <v>1.9813999999999998E-2</v>
      </c>
      <c r="BE506" s="715">
        <f t="shared" si="346"/>
        <v>6.8170000000000001E-3</v>
      </c>
      <c r="BF506" s="657"/>
      <c r="BG506" s="657"/>
      <c r="BH506" s="307"/>
      <c r="BI506" s="307"/>
      <c r="BJ506" s="307"/>
      <c r="BK506" s="307"/>
      <c r="BU506" s="40">
        <f t="shared" si="339"/>
        <v>0</v>
      </c>
      <c r="BV506" s="40">
        <f t="shared" si="345"/>
        <v>0</v>
      </c>
      <c r="BW506" s="40">
        <f t="shared" si="345"/>
        <v>0</v>
      </c>
      <c r="BX506" s="40">
        <f t="shared" si="345"/>
        <v>0</v>
      </c>
      <c r="BY506" s="40">
        <f t="shared" si="345"/>
        <v>0</v>
      </c>
      <c r="BZ506" s="40">
        <f t="shared" si="345"/>
        <v>0</v>
      </c>
      <c r="CA506" s="40">
        <f t="shared" si="345"/>
        <v>0</v>
      </c>
      <c r="CB506" s="40">
        <f t="shared" si="345"/>
        <v>0</v>
      </c>
      <c r="CC506" s="40">
        <f t="shared" si="345"/>
        <v>0</v>
      </c>
      <c r="CD506" s="40">
        <f t="shared" si="345"/>
        <v>0</v>
      </c>
      <c r="CE506" s="307"/>
      <c r="CF506" s="307"/>
      <c r="CG506" s="307"/>
    </row>
    <row r="507" spans="2:91" s="25" customFormat="1">
      <c r="B507" s="714" t="s">
        <v>663</v>
      </c>
      <c r="C507" s="714"/>
      <c r="D507" s="714"/>
      <c r="E507" s="714"/>
      <c r="F507" s="714"/>
      <c r="G507" s="714"/>
      <c r="H507" s="714"/>
      <c r="I507" s="714"/>
      <c r="J507" s="714"/>
      <c r="K507" s="714"/>
      <c r="L507" s="714"/>
      <c r="M507" s="714"/>
      <c r="N507" s="714"/>
      <c r="O507" s="714"/>
      <c r="P507" s="714"/>
      <c r="Q507" s="714"/>
      <c r="R507" s="714"/>
      <c r="S507" s="714"/>
      <c r="T507" s="714"/>
      <c r="U507" s="714"/>
      <c r="V507" s="714"/>
      <c r="W507" s="714"/>
      <c r="X507" s="714"/>
      <c r="Y507" s="714"/>
      <c r="Z507" s="714"/>
      <c r="AA507" s="714"/>
      <c r="AB507" s="714"/>
      <c r="AC507" s="714"/>
      <c r="AD507" s="714"/>
      <c r="AE507" s="714"/>
      <c r="AF507" s="714"/>
      <c r="AG507" s="714"/>
      <c r="AH507" s="714"/>
      <c r="AI507" s="714"/>
      <c r="AJ507" s="714"/>
      <c r="AK507" s="714"/>
      <c r="AL507" s="714"/>
      <c r="AM507" s="714"/>
      <c r="AN507" s="714"/>
      <c r="AO507" s="714"/>
      <c r="AP507" s="714"/>
      <c r="AQ507" s="714"/>
      <c r="AR507" s="714"/>
      <c r="AS507" s="714"/>
      <c r="AT507" s="714"/>
      <c r="AU507" s="714"/>
      <c r="AV507" s="715"/>
      <c r="AW507" s="715"/>
      <c r="AX507" s="715"/>
      <c r="AY507" s="715"/>
      <c r="AZ507" s="715"/>
      <c r="BA507" s="715">
        <f>BA430</f>
        <v>387.548</v>
      </c>
      <c r="BB507" s="715">
        <f>BB430</f>
        <v>129.24100000000001</v>
      </c>
      <c r="BC507" s="715">
        <f>BC430</f>
        <v>269.30200000000002</v>
      </c>
      <c r="BD507" s="715">
        <f>BD430</f>
        <v>1.1817310000000001</v>
      </c>
      <c r="BE507" s="715">
        <f>BE430</f>
        <v>0.876857</v>
      </c>
      <c r="BF507" s="657"/>
      <c r="BG507" s="657"/>
      <c r="BH507" s="307"/>
      <c r="BI507" s="307"/>
      <c r="BJ507" s="307"/>
      <c r="BK507" s="307">
        <v>1.07</v>
      </c>
      <c r="BL507" s="25">
        <v>1.2</v>
      </c>
      <c r="BM507" s="25">
        <v>1.4</v>
      </c>
      <c r="BN507" s="25">
        <v>1.6659999999999999</v>
      </c>
      <c r="BO507" s="25">
        <v>2.016</v>
      </c>
      <c r="BP507" s="25">
        <v>2.48</v>
      </c>
      <c r="BQ507" s="25">
        <v>3.0990000000000002</v>
      </c>
      <c r="BU507" s="40">
        <f t="shared" si="339"/>
        <v>0</v>
      </c>
      <c r="BV507" s="40">
        <f t="shared" si="345"/>
        <v>0</v>
      </c>
      <c r="BW507" s="40">
        <f t="shared" si="345"/>
        <v>0</v>
      </c>
      <c r="BX507" s="40">
        <f t="shared" si="345"/>
        <v>0</v>
      </c>
      <c r="BY507" s="40">
        <f t="shared" si="345"/>
        <v>0</v>
      </c>
      <c r="BZ507" s="40">
        <f t="shared" si="345"/>
        <v>0</v>
      </c>
      <c r="CA507" s="40">
        <f t="shared" si="345"/>
        <v>0</v>
      </c>
      <c r="CB507" s="40">
        <f t="shared" si="345"/>
        <v>0</v>
      </c>
      <c r="CC507" s="40">
        <f t="shared" si="345"/>
        <v>0</v>
      </c>
      <c r="CD507" s="40">
        <f t="shared" si="345"/>
        <v>0</v>
      </c>
      <c r="CE507" s="307"/>
      <c r="CF507" s="307"/>
      <c r="CG507" s="307"/>
      <c r="CM507" s="25">
        <v>1.2</v>
      </c>
    </row>
    <row r="508" spans="2:91" s="25" customFormat="1">
      <c r="B508" s="681"/>
      <c r="C508" s="680"/>
      <c r="D508" s="680"/>
      <c r="E508" s="680"/>
      <c r="F508" s="680"/>
      <c r="G508" s="680"/>
      <c r="H508" s="680"/>
      <c r="I508" s="680"/>
      <c r="J508" s="680"/>
      <c r="K508" s="680"/>
      <c r="L508" s="680"/>
      <c r="M508" s="680"/>
      <c r="N508" s="680"/>
      <c r="O508" s="680"/>
      <c r="P508" s="680"/>
      <c r="Q508" s="680"/>
      <c r="R508" s="680"/>
      <c r="S508" s="680"/>
      <c r="T508" s="680"/>
      <c r="U508" s="680"/>
      <c r="V508" s="680"/>
      <c r="W508" s="680"/>
      <c r="X508" s="680"/>
      <c r="Y508" s="680"/>
      <c r="Z508" s="680"/>
      <c r="AA508" s="680"/>
      <c r="AB508" s="680"/>
      <c r="AC508" s="680"/>
      <c r="AD508" s="680"/>
      <c r="AE508" s="680"/>
      <c r="AF508" s="680"/>
      <c r="AG508" s="680"/>
      <c r="AH508" s="680"/>
      <c r="AI508" s="680"/>
      <c r="AJ508" s="680"/>
      <c r="AK508" s="680"/>
      <c r="AL508" s="680"/>
      <c r="AM508" s="680"/>
      <c r="AN508" s="680"/>
      <c r="AO508" s="680"/>
      <c r="AP508" s="680"/>
      <c r="AQ508" s="680"/>
      <c r="AR508" s="680"/>
      <c r="AS508" s="680"/>
      <c r="AT508" s="680"/>
      <c r="AU508" s="680"/>
      <c r="AV508" s="672"/>
      <c r="AW508" s="672"/>
      <c r="AX508" s="672"/>
      <c r="AY508" s="672"/>
      <c r="AZ508" s="672"/>
      <c r="BA508" s="672"/>
      <c r="BB508" s="761"/>
      <c r="BC508" s="761"/>
      <c r="BD508" s="761"/>
      <c r="BE508" s="461"/>
      <c r="BF508" s="461"/>
      <c r="BG508" s="461"/>
      <c r="BH508" s="307"/>
      <c r="BI508" s="307"/>
      <c r="BJ508" s="307"/>
      <c r="BK508" s="307"/>
      <c r="BU508" s="40">
        <f t="shared" si="339"/>
        <v>0</v>
      </c>
      <c r="BV508" s="40">
        <f t="shared" si="345"/>
        <v>0</v>
      </c>
      <c r="BW508" s="40">
        <f t="shared" si="345"/>
        <v>0</v>
      </c>
      <c r="BX508" s="40">
        <f t="shared" si="345"/>
        <v>0</v>
      </c>
      <c r="BY508" s="40">
        <f t="shared" si="345"/>
        <v>0</v>
      </c>
      <c r="BZ508" s="40">
        <f t="shared" si="345"/>
        <v>0</v>
      </c>
      <c r="CA508" s="40">
        <f t="shared" si="345"/>
        <v>0</v>
      </c>
      <c r="CB508" s="40">
        <f t="shared" si="345"/>
        <v>0</v>
      </c>
      <c r="CC508" s="40">
        <f t="shared" si="345"/>
        <v>0</v>
      </c>
      <c r="CD508" s="40">
        <f t="shared" si="345"/>
        <v>0</v>
      </c>
      <c r="CE508" s="307"/>
      <c r="CF508" s="307"/>
      <c r="CG508" s="307"/>
    </row>
    <row r="509" spans="2:91" s="25" customFormat="1">
      <c r="B509" s="681" t="s">
        <v>699</v>
      </c>
      <c r="C509" s="680"/>
      <c r="D509" s="680"/>
      <c r="E509" s="680"/>
      <c r="F509" s="680"/>
      <c r="G509" s="680"/>
      <c r="H509" s="680"/>
      <c r="I509" s="680"/>
      <c r="J509" s="680"/>
      <c r="K509" s="680"/>
      <c r="L509" s="680"/>
      <c r="M509" s="680"/>
      <c r="N509" s="680"/>
      <c r="O509" s="680"/>
      <c r="P509" s="680"/>
      <c r="Q509" s="680"/>
      <c r="R509" s="680"/>
      <c r="S509" s="680"/>
      <c r="T509" s="680"/>
      <c r="U509" s="680"/>
      <c r="V509" s="680"/>
      <c r="W509" s="680"/>
      <c r="X509" s="680"/>
      <c r="Y509" s="680"/>
      <c r="Z509" s="680"/>
      <c r="AA509" s="680"/>
      <c r="AB509" s="680"/>
      <c r="AC509" s="680"/>
      <c r="AD509" s="680"/>
      <c r="AE509" s="680"/>
      <c r="AF509" s="680"/>
      <c r="AG509" s="680"/>
      <c r="AH509" s="680"/>
      <c r="AI509" s="680"/>
      <c r="AJ509" s="680"/>
      <c r="AK509" s="680"/>
      <c r="AL509" s="680"/>
      <c r="AM509" s="680"/>
      <c r="AN509" s="680"/>
      <c r="AO509" s="680"/>
      <c r="AP509" s="680"/>
      <c r="AQ509" s="680"/>
      <c r="AR509" s="680"/>
      <c r="AS509" s="680"/>
      <c r="AT509" s="680"/>
      <c r="AU509" s="680"/>
      <c r="AV509" s="672"/>
      <c r="AW509" s="672"/>
      <c r="AX509" s="672"/>
      <c r="AY509" s="672"/>
      <c r="AZ509" s="672"/>
      <c r="BA509" s="715">
        <f>BA371</f>
        <v>7796.3140000000003</v>
      </c>
      <c r="BB509" s="672">
        <v>12812.887000000001</v>
      </c>
      <c r="BC509" s="672">
        <v>34601.912000000004</v>
      </c>
      <c r="BD509" s="672">
        <v>39.058273999999997</v>
      </c>
      <c r="BE509" s="672">
        <v>44.726630999999998</v>
      </c>
      <c r="BF509" s="461">
        <v>49.209578999999998</v>
      </c>
      <c r="BG509" s="461">
        <v>52.602350999999999</v>
      </c>
      <c r="BH509" s="348">
        <v>61.222054</v>
      </c>
      <c r="BI509" s="307"/>
      <c r="BJ509" s="307"/>
      <c r="BK509" s="307">
        <v>97.104516000000004</v>
      </c>
      <c r="BL509" s="25">
        <v>97</v>
      </c>
      <c r="BM509" s="25">
        <v>118</v>
      </c>
      <c r="BN509" s="25">
        <v>129.80000000000001</v>
      </c>
      <c r="BO509" s="25">
        <v>142.78</v>
      </c>
      <c r="BP509" s="25">
        <v>157.05799999999999</v>
      </c>
      <c r="BQ509" s="25">
        <v>172.76400000000001</v>
      </c>
      <c r="BU509" s="40">
        <f t="shared" si="339"/>
        <v>0</v>
      </c>
      <c r="BV509" s="40">
        <f t="shared" si="345"/>
        <v>0</v>
      </c>
      <c r="BW509" s="40">
        <f t="shared" si="345"/>
        <v>0</v>
      </c>
      <c r="BX509" s="40">
        <f t="shared" si="345"/>
        <v>0</v>
      </c>
      <c r="BY509" s="40">
        <f t="shared" si="345"/>
        <v>0</v>
      </c>
      <c r="BZ509" s="40">
        <f t="shared" si="345"/>
        <v>0</v>
      </c>
      <c r="CA509" s="40">
        <f t="shared" si="345"/>
        <v>0</v>
      </c>
      <c r="CB509" s="40">
        <f t="shared" si="345"/>
        <v>0</v>
      </c>
      <c r="CC509" s="40">
        <f t="shared" si="345"/>
        <v>0</v>
      </c>
      <c r="CD509" s="40">
        <f t="shared" si="345"/>
        <v>0</v>
      </c>
      <c r="CE509" s="307"/>
      <c r="CF509" s="307"/>
      <c r="CG509" s="307"/>
      <c r="CM509" s="25">
        <v>97</v>
      </c>
    </row>
    <row r="510" spans="2:91" s="25" customFormat="1">
      <c r="B510" s="679"/>
      <c r="C510" s="680"/>
      <c r="D510" s="680"/>
      <c r="E510" s="680"/>
      <c r="F510" s="680"/>
      <c r="G510" s="680"/>
      <c r="H510" s="680"/>
      <c r="I510" s="680"/>
      <c r="J510" s="680"/>
      <c r="K510" s="680"/>
      <c r="L510" s="680"/>
      <c r="M510" s="680"/>
      <c r="N510" s="680"/>
      <c r="O510" s="680"/>
      <c r="P510" s="680"/>
      <c r="Q510" s="680"/>
      <c r="R510" s="680"/>
      <c r="S510" s="680"/>
      <c r="T510" s="680"/>
      <c r="U510" s="680"/>
      <c r="V510" s="680"/>
      <c r="W510" s="680"/>
      <c r="X510" s="680"/>
      <c r="Y510" s="680"/>
      <c r="Z510" s="680"/>
      <c r="AA510" s="680"/>
      <c r="AB510" s="680"/>
      <c r="AC510" s="680"/>
      <c r="AD510" s="680"/>
      <c r="AE510" s="680"/>
      <c r="AF510" s="680"/>
      <c r="AG510" s="680"/>
      <c r="AH510" s="680"/>
      <c r="AI510" s="680"/>
      <c r="AJ510" s="680"/>
      <c r="AK510" s="680"/>
      <c r="AL510" s="680"/>
      <c r="AM510" s="680"/>
      <c r="AN510" s="680"/>
      <c r="AO510" s="680"/>
      <c r="AP510" s="680"/>
      <c r="AQ510" s="680"/>
      <c r="AR510" s="680"/>
      <c r="AS510" s="680"/>
      <c r="AT510" s="680"/>
      <c r="AU510" s="680"/>
      <c r="AV510" s="672"/>
      <c r="AW510" s="672"/>
      <c r="AX510" s="672"/>
      <c r="AY510" s="672"/>
      <c r="AZ510" s="672"/>
      <c r="BA510" s="672"/>
      <c r="BB510" s="761"/>
      <c r="BC510" s="761"/>
      <c r="BD510" s="761"/>
      <c r="BE510" s="461"/>
      <c r="BF510" s="461"/>
      <c r="BG510" s="461"/>
      <c r="BH510" s="307"/>
      <c r="BI510" s="307"/>
      <c r="BJ510" s="307"/>
      <c r="BK510" s="307"/>
      <c r="BU510" s="40">
        <f t="shared" si="339"/>
        <v>0</v>
      </c>
      <c r="BV510" s="40">
        <f t="shared" si="345"/>
        <v>0</v>
      </c>
      <c r="BW510" s="40">
        <f t="shared" si="345"/>
        <v>0</v>
      </c>
      <c r="BX510" s="40">
        <f t="shared" si="345"/>
        <v>0</v>
      </c>
      <c r="BY510" s="40">
        <f t="shared" si="345"/>
        <v>0</v>
      </c>
      <c r="BZ510" s="40">
        <f t="shared" si="345"/>
        <v>0</v>
      </c>
      <c r="CA510" s="40">
        <f t="shared" si="345"/>
        <v>0</v>
      </c>
      <c r="CB510" s="40">
        <f t="shared" si="345"/>
        <v>0</v>
      </c>
      <c r="CC510" s="40">
        <f t="shared" si="345"/>
        <v>0</v>
      </c>
      <c r="CD510" s="40">
        <f t="shared" si="345"/>
        <v>0</v>
      </c>
      <c r="CE510" s="307"/>
      <c r="CF510" s="307"/>
      <c r="CG510" s="307"/>
    </row>
    <row r="511" spans="2:91" s="25" customFormat="1">
      <c r="B511" s="681" t="s">
        <v>664</v>
      </c>
      <c r="C511" s="680"/>
      <c r="D511" s="680"/>
      <c r="E511" s="680"/>
      <c r="F511" s="680"/>
      <c r="G511" s="680"/>
      <c r="H511" s="680"/>
      <c r="I511" s="680"/>
      <c r="J511" s="680"/>
      <c r="K511" s="680"/>
      <c r="L511" s="680"/>
      <c r="M511" s="680"/>
      <c r="N511" s="680"/>
      <c r="O511" s="680"/>
      <c r="P511" s="680"/>
      <c r="Q511" s="680"/>
      <c r="R511" s="680"/>
      <c r="S511" s="680"/>
      <c r="T511" s="680"/>
      <c r="U511" s="680"/>
      <c r="V511" s="680"/>
      <c r="W511" s="680"/>
      <c r="X511" s="680"/>
      <c r="Y511" s="680"/>
      <c r="Z511" s="680"/>
      <c r="AA511" s="680"/>
      <c r="AB511" s="680"/>
      <c r="AC511" s="680"/>
      <c r="AD511" s="680"/>
      <c r="AE511" s="680"/>
      <c r="AF511" s="680"/>
      <c r="AG511" s="680"/>
      <c r="AH511" s="680"/>
      <c r="AI511" s="680"/>
      <c r="AJ511" s="680"/>
      <c r="AK511" s="680"/>
      <c r="AL511" s="680"/>
      <c r="AM511" s="680"/>
      <c r="AN511" s="680"/>
      <c r="AO511" s="680"/>
      <c r="AP511" s="680"/>
      <c r="AQ511" s="680"/>
      <c r="AR511" s="680"/>
      <c r="AS511" s="680"/>
      <c r="AT511" s="680"/>
      <c r="AU511" s="680"/>
      <c r="AV511" s="672"/>
      <c r="AW511" s="672"/>
      <c r="AX511" s="672"/>
      <c r="AY511" s="672"/>
      <c r="AZ511" s="672"/>
      <c r="BA511" s="773">
        <f>BA412</f>
        <v>13478.371999999999</v>
      </c>
      <c r="BB511" s="761">
        <v>13553.032999999999</v>
      </c>
      <c r="BC511" s="761">
        <v>19636.347000000002</v>
      </c>
      <c r="BD511" s="773">
        <f>BD412</f>
        <v>22.632487000000001</v>
      </c>
      <c r="BE511" s="769">
        <v>51.482286000000002</v>
      </c>
      <c r="BF511" s="461">
        <v>29.517706</v>
      </c>
      <c r="BG511" s="643">
        <v>23.911518000000001</v>
      </c>
      <c r="BH511" s="774">
        <v>25.068947999999999</v>
      </c>
      <c r="BI511" s="307">
        <v>24.232500999999999</v>
      </c>
      <c r="BJ511" s="307">
        <v>21.014626</v>
      </c>
      <c r="BK511" s="307">
        <v>30.882999999999999</v>
      </c>
      <c r="BL511" s="25">
        <v>34.86</v>
      </c>
      <c r="BM511" s="25">
        <v>38</v>
      </c>
      <c r="BN511" s="25">
        <v>41.42</v>
      </c>
      <c r="BO511" s="25">
        <v>45.148000000000003</v>
      </c>
      <c r="BP511" s="25">
        <v>49.210999999999999</v>
      </c>
      <c r="BQ511" s="25">
        <v>53.64</v>
      </c>
      <c r="BU511" s="40">
        <f t="shared" si="339"/>
        <v>0</v>
      </c>
      <c r="BV511" s="40">
        <f t="shared" si="345"/>
        <v>0</v>
      </c>
      <c r="BW511" s="40">
        <f t="shared" si="345"/>
        <v>0</v>
      </c>
      <c r="BX511" s="40">
        <f t="shared" si="345"/>
        <v>0</v>
      </c>
      <c r="BY511" s="40">
        <f t="shared" si="345"/>
        <v>0</v>
      </c>
      <c r="BZ511" s="40">
        <f t="shared" si="345"/>
        <v>0</v>
      </c>
      <c r="CA511" s="40">
        <f t="shared" si="345"/>
        <v>0</v>
      </c>
      <c r="CB511" s="40">
        <f t="shared" si="345"/>
        <v>0</v>
      </c>
      <c r="CC511" s="40">
        <f t="shared" si="345"/>
        <v>0</v>
      </c>
      <c r="CD511" s="40">
        <f t="shared" si="345"/>
        <v>0</v>
      </c>
      <c r="CE511" s="307"/>
      <c r="CF511" s="307"/>
      <c r="CG511" s="307"/>
      <c r="CM511" s="25">
        <v>34.86</v>
      </c>
    </row>
    <row r="512" spans="2:91" s="25" customFormat="1">
      <c r="B512" s="714"/>
      <c r="C512" s="714"/>
      <c r="D512" s="714"/>
      <c r="E512" s="714"/>
      <c r="F512" s="714"/>
      <c r="G512" s="714"/>
      <c r="H512" s="714"/>
      <c r="I512" s="714"/>
      <c r="J512" s="714"/>
      <c r="K512" s="714"/>
      <c r="L512" s="714"/>
      <c r="M512" s="714"/>
      <c r="N512" s="714"/>
      <c r="O512" s="714"/>
      <c r="P512" s="714"/>
      <c r="Q512" s="714"/>
      <c r="R512" s="714"/>
      <c r="S512" s="714"/>
      <c r="T512" s="714"/>
      <c r="U512" s="714"/>
      <c r="V512" s="714"/>
      <c r="W512" s="714"/>
      <c r="X512" s="714"/>
      <c r="Y512" s="714"/>
      <c r="Z512" s="714"/>
      <c r="AA512" s="714"/>
      <c r="AB512" s="714"/>
      <c r="AC512" s="714"/>
      <c r="AD512" s="714"/>
      <c r="AE512" s="714"/>
      <c r="AF512" s="714"/>
      <c r="AG512" s="714"/>
      <c r="AH512" s="714"/>
      <c r="AI512" s="714"/>
      <c r="AJ512" s="714"/>
      <c r="AK512" s="714"/>
      <c r="AL512" s="714"/>
      <c r="AM512" s="714"/>
      <c r="AN512" s="714"/>
      <c r="AO512" s="714"/>
      <c r="AP512" s="714"/>
      <c r="AQ512" s="714"/>
      <c r="AR512" s="714"/>
      <c r="AS512" s="714"/>
      <c r="AT512" s="714"/>
      <c r="AU512" s="714"/>
      <c r="AV512" s="715"/>
      <c r="AW512" s="715"/>
      <c r="AX512" s="715"/>
      <c r="AY512" s="715"/>
      <c r="AZ512" s="715"/>
      <c r="BA512" s="715"/>
      <c r="BB512" s="761"/>
      <c r="BC512" s="761"/>
      <c r="BD512" s="761"/>
      <c r="BE512" s="775"/>
      <c r="BF512" s="657"/>
      <c r="BG512" s="657"/>
      <c r="BH512" s="307"/>
      <c r="BI512" s="307"/>
      <c r="BJ512" s="307"/>
      <c r="BK512" s="307"/>
      <c r="BU512" s="40">
        <f t="shared" si="339"/>
        <v>0</v>
      </c>
      <c r="BV512" s="40">
        <f t="shared" si="345"/>
        <v>0</v>
      </c>
      <c r="BW512" s="40">
        <f t="shared" si="345"/>
        <v>0</v>
      </c>
      <c r="BX512" s="40">
        <f t="shared" si="345"/>
        <v>0</v>
      </c>
      <c r="BY512" s="40">
        <f t="shared" si="345"/>
        <v>0</v>
      </c>
      <c r="BZ512" s="40">
        <f t="shared" si="345"/>
        <v>0</v>
      </c>
      <c r="CA512" s="40">
        <f t="shared" si="345"/>
        <v>0</v>
      </c>
      <c r="CB512" s="40">
        <f t="shared" si="345"/>
        <v>0</v>
      </c>
      <c r="CC512" s="40">
        <f t="shared" si="345"/>
        <v>0</v>
      </c>
      <c r="CD512" s="40">
        <f t="shared" si="345"/>
        <v>0</v>
      </c>
      <c r="CE512" s="307"/>
      <c r="CF512" s="307"/>
      <c r="CG512" s="307"/>
    </row>
    <row r="513" spans="2:91" s="25" customFormat="1">
      <c r="B513" s="681" t="s">
        <v>1250</v>
      </c>
      <c r="C513" s="680"/>
      <c r="D513" s="680"/>
      <c r="E513" s="680"/>
      <c r="F513" s="680"/>
      <c r="G513" s="680"/>
      <c r="H513" s="680"/>
      <c r="I513" s="680"/>
      <c r="J513" s="680"/>
      <c r="K513" s="680"/>
      <c r="L513" s="680"/>
      <c r="M513" s="680"/>
      <c r="N513" s="680"/>
      <c r="O513" s="680"/>
      <c r="P513" s="680"/>
      <c r="Q513" s="680"/>
      <c r="R513" s="680"/>
      <c r="S513" s="680"/>
      <c r="T513" s="680"/>
      <c r="U513" s="680"/>
      <c r="V513" s="680"/>
      <c r="W513" s="680"/>
      <c r="X513" s="680"/>
      <c r="Y513" s="680"/>
      <c r="Z513" s="680"/>
      <c r="AA513" s="680"/>
      <c r="AB513" s="680"/>
      <c r="AC513" s="680"/>
      <c r="AD513" s="680"/>
      <c r="AE513" s="680"/>
      <c r="AF513" s="680"/>
      <c r="AG513" s="680"/>
      <c r="AH513" s="680"/>
      <c r="AI513" s="680"/>
      <c r="AJ513" s="680"/>
      <c r="AK513" s="680"/>
      <c r="AL513" s="680"/>
      <c r="AM513" s="680"/>
      <c r="AN513" s="680"/>
      <c r="AO513" s="680"/>
      <c r="AP513" s="680"/>
      <c r="AQ513" s="680"/>
      <c r="AR513" s="680"/>
      <c r="AS513" s="680"/>
      <c r="AT513" s="680"/>
      <c r="AU513" s="680"/>
      <c r="AV513" s="672">
        <f t="shared" ref="AV513:BD513" si="347">SUM(AV514:AV515)</f>
        <v>0</v>
      </c>
      <c r="AW513" s="672">
        <f t="shared" si="347"/>
        <v>0</v>
      </c>
      <c r="AX513" s="672">
        <f t="shared" si="347"/>
        <v>0</v>
      </c>
      <c r="AY513" s="672">
        <f t="shared" si="347"/>
        <v>0</v>
      </c>
      <c r="AZ513" s="672">
        <f t="shared" si="347"/>
        <v>0</v>
      </c>
      <c r="BA513" s="672">
        <f t="shared" si="347"/>
        <v>1340.5940000000001</v>
      </c>
      <c r="BB513" s="672">
        <f t="shared" si="347"/>
        <v>4595.8450000000003</v>
      </c>
      <c r="BC513" s="672">
        <f t="shared" si="347"/>
        <v>2739.451</v>
      </c>
      <c r="BD513" s="672">
        <f t="shared" si="347"/>
        <v>3.799588</v>
      </c>
      <c r="BE513" s="461"/>
      <c r="BF513" s="461">
        <v>3.8104610000000001</v>
      </c>
      <c r="BG513" s="461">
        <v>3.9061050000000002</v>
      </c>
      <c r="BH513" s="307"/>
      <c r="BI513" s="307"/>
      <c r="BJ513" s="307"/>
      <c r="BK513" s="307"/>
      <c r="BU513" s="40">
        <f t="shared" si="339"/>
        <v>0</v>
      </c>
      <c r="BV513" s="40">
        <f t="shared" si="345"/>
        <v>0</v>
      </c>
      <c r="BW513" s="40">
        <f t="shared" si="345"/>
        <v>0</v>
      </c>
      <c r="BX513" s="40">
        <f t="shared" si="345"/>
        <v>0</v>
      </c>
      <c r="BY513" s="40">
        <f t="shared" si="345"/>
        <v>0</v>
      </c>
      <c r="BZ513" s="40">
        <f t="shared" si="345"/>
        <v>0</v>
      </c>
      <c r="CA513" s="40">
        <f t="shared" si="345"/>
        <v>0</v>
      </c>
      <c r="CB513" s="40">
        <f t="shared" si="345"/>
        <v>0</v>
      </c>
      <c r="CC513" s="40">
        <f t="shared" si="345"/>
        <v>0</v>
      </c>
      <c r="CD513" s="40">
        <f t="shared" si="345"/>
        <v>0</v>
      </c>
      <c r="CE513" s="307"/>
      <c r="CF513" s="307"/>
      <c r="CG513" s="307"/>
    </row>
    <row r="514" spans="2:91" s="458" customFormat="1">
      <c r="B514" s="776" t="s">
        <v>1191</v>
      </c>
      <c r="C514" s="777"/>
      <c r="D514" s="777"/>
      <c r="E514" s="777"/>
      <c r="F514" s="777"/>
      <c r="G514" s="777"/>
      <c r="H514" s="777"/>
      <c r="I514" s="777"/>
      <c r="J514" s="777"/>
      <c r="K514" s="777"/>
      <c r="L514" s="777"/>
      <c r="M514" s="777"/>
      <c r="N514" s="777"/>
      <c r="O514" s="777"/>
      <c r="P514" s="777"/>
      <c r="Q514" s="777"/>
      <c r="R514" s="777"/>
      <c r="S514" s="777"/>
      <c r="T514" s="777"/>
      <c r="U514" s="777"/>
      <c r="V514" s="777"/>
      <c r="W514" s="777"/>
      <c r="X514" s="777"/>
      <c r="Y514" s="777"/>
      <c r="Z514" s="777"/>
      <c r="AA514" s="777"/>
      <c r="AB514" s="777"/>
      <c r="AC514" s="777"/>
      <c r="AD514" s="777"/>
      <c r="AE514" s="777"/>
      <c r="AF514" s="777"/>
      <c r="AG514" s="777"/>
      <c r="AH514" s="777"/>
      <c r="AI514" s="777"/>
      <c r="AJ514" s="777"/>
      <c r="AK514" s="777"/>
      <c r="AL514" s="777"/>
      <c r="AM514" s="777"/>
      <c r="AN514" s="777"/>
      <c r="AO514" s="777"/>
      <c r="AP514" s="777"/>
      <c r="AQ514" s="777"/>
      <c r="AR514" s="777"/>
      <c r="AS514" s="777"/>
      <c r="AT514" s="777"/>
      <c r="AU514" s="777"/>
      <c r="AV514" s="778"/>
      <c r="AW514" s="778"/>
      <c r="AX514" s="778"/>
      <c r="AY514" s="778"/>
      <c r="AZ514" s="778"/>
      <c r="BA514" s="779">
        <f>BA422</f>
        <v>1340.5940000000001</v>
      </c>
      <c r="BB514" s="780">
        <v>4595.8450000000003</v>
      </c>
      <c r="BC514" s="780">
        <v>2739.451</v>
      </c>
      <c r="BD514" s="779">
        <f>BD422</f>
        <v>3.799588</v>
      </c>
      <c r="BE514" s="781"/>
      <c r="BF514" s="646"/>
      <c r="BG514" s="646"/>
      <c r="BH514" s="457"/>
      <c r="BI514" s="457"/>
      <c r="BJ514" s="457"/>
      <c r="BK514" s="457"/>
      <c r="BU514" s="40">
        <f t="shared" si="339"/>
        <v>0</v>
      </c>
      <c r="BV514" s="40">
        <f t="shared" si="345"/>
        <v>0</v>
      </c>
      <c r="BW514" s="40">
        <f t="shared" si="345"/>
        <v>0</v>
      </c>
      <c r="BX514" s="40">
        <f t="shared" si="345"/>
        <v>0</v>
      </c>
      <c r="BY514" s="40">
        <f t="shared" si="345"/>
        <v>0</v>
      </c>
      <c r="BZ514" s="40">
        <f t="shared" si="345"/>
        <v>0</v>
      </c>
      <c r="CA514" s="40">
        <f t="shared" si="345"/>
        <v>0</v>
      </c>
      <c r="CB514" s="40">
        <f t="shared" si="345"/>
        <v>0</v>
      </c>
      <c r="CC514" s="40">
        <f t="shared" si="345"/>
        <v>0</v>
      </c>
      <c r="CD514" s="40">
        <f t="shared" si="345"/>
        <v>0</v>
      </c>
      <c r="CE514" s="457"/>
      <c r="CF514" s="457"/>
      <c r="CG514" s="457"/>
    </row>
    <row r="515" spans="2:91" s="458" customFormat="1">
      <c r="B515" s="776" t="s">
        <v>1192</v>
      </c>
      <c r="C515" s="777"/>
      <c r="D515" s="777"/>
      <c r="E515" s="777"/>
      <c r="F515" s="777"/>
      <c r="G515" s="777"/>
      <c r="H515" s="777"/>
      <c r="I515" s="777"/>
      <c r="J515" s="777"/>
      <c r="K515" s="777"/>
      <c r="L515" s="777"/>
      <c r="M515" s="777"/>
      <c r="N515" s="777"/>
      <c r="O515" s="777"/>
      <c r="P515" s="777"/>
      <c r="Q515" s="777"/>
      <c r="R515" s="777"/>
      <c r="S515" s="777"/>
      <c r="T515" s="777"/>
      <c r="U515" s="777"/>
      <c r="V515" s="777"/>
      <c r="W515" s="777"/>
      <c r="X515" s="777"/>
      <c r="Y515" s="777"/>
      <c r="Z515" s="777"/>
      <c r="AA515" s="777"/>
      <c r="AB515" s="777"/>
      <c r="AC515" s="777"/>
      <c r="AD515" s="777"/>
      <c r="AE515" s="777"/>
      <c r="AF515" s="777"/>
      <c r="AG515" s="777"/>
      <c r="AH515" s="777"/>
      <c r="AI515" s="777"/>
      <c r="AJ515" s="777"/>
      <c r="AK515" s="777"/>
      <c r="AL515" s="777"/>
      <c r="AM515" s="777"/>
      <c r="AN515" s="777"/>
      <c r="AO515" s="777"/>
      <c r="AP515" s="777"/>
      <c r="AQ515" s="777"/>
      <c r="AR515" s="777"/>
      <c r="AS515" s="777"/>
      <c r="AT515" s="777"/>
      <c r="AU515" s="777"/>
      <c r="AV515" s="778"/>
      <c r="AW515" s="778"/>
      <c r="AX515" s="778"/>
      <c r="AY515" s="778"/>
      <c r="AZ515" s="778"/>
      <c r="BA515" s="779">
        <f>BA421</f>
        <v>0</v>
      </c>
      <c r="BB515" s="782">
        <v>0</v>
      </c>
      <c r="BC515" s="782">
        <v>0</v>
      </c>
      <c r="BD515" s="779">
        <f>BD421</f>
        <v>0</v>
      </c>
      <c r="BE515" s="646"/>
      <c r="BF515" s="646"/>
      <c r="BG515" s="646"/>
      <c r="BH515" s="457">
        <v>3.9152300000000002</v>
      </c>
      <c r="BI515" s="457">
        <v>3.1321840000000001</v>
      </c>
      <c r="BJ515" s="457">
        <v>2.7406609999999998</v>
      </c>
      <c r="BK515" s="457">
        <v>2.6328559999999999</v>
      </c>
      <c r="BL515" s="458">
        <v>2.4</v>
      </c>
      <c r="BM515" s="458">
        <v>3</v>
      </c>
      <c r="BN515" s="458">
        <v>3.15</v>
      </c>
      <c r="BO515" s="458">
        <v>3.3079999999999998</v>
      </c>
      <c r="BP515" s="458">
        <v>3.4729999999999999</v>
      </c>
      <c r="BQ515" s="458">
        <v>3.6469999999999998</v>
      </c>
      <c r="BU515" s="40">
        <f t="shared" si="339"/>
        <v>0</v>
      </c>
      <c r="BV515" s="40">
        <f t="shared" ref="BV515:CD525" si="348">BU515</f>
        <v>0</v>
      </c>
      <c r="BW515" s="40">
        <f t="shared" si="348"/>
        <v>0</v>
      </c>
      <c r="BX515" s="40">
        <f t="shared" si="348"/>
        <v>0</v>
      </c>
      <c r="BY515" s="40">
        <f t="shared" si="348"/>
        <v>0</v>
      </c>
      <c r="BZ515" s="40">
        <f t="shared" si="348"/>
        <v>0</v>
      </c>
      <c r="CA515" s="40">
        <f t="shared" si="348"/>
        <v>0</v>
      </c>
      <c r="CB515" s="40">
        <f t="shared" si="348"/>
        <v>0</v>
      </c>
      <c r="CC515" s="40">
        <f t="shared" si="348"/>
        <v>0</v>
      </c>
      <c r="CD515" s="40">
        <f t="shared" si="348"/>
        <v>0</v>
      </c>
      <c r="CE515" s="457"/>
      <c r="CF515" s="457"/>
      <c r="CG515" s="457"/>
      <c r="CM515" s="458">
        <v>2.4</v>
      </c>
    </row>
    <row r="516" spans="2:91" s="25" customFormat="1">
      <c r="B516" s="767"/>
      <c r="C516" s="767"/>
      <c r="D516" s="767"/>
      <c r="E516" s="767"/>
      <c r="F516" s="767"/>
      <c r="G516" s="767"/>
      <c r="H516" s="767"/>
      <c r="I516" s="767"/>
      <c r="J516" s="767"/>
      <c r="K516" s="767"/>
      <c r="L516" s="767"/>
      <c r="M516" s="767"/>
      <c r="N516" s="767"/>
      <c r="O516" s="767"/>
      <c r="P516" s="767"/>
      <c r="Q516" s="767"/>
      <c r="R516" s="767"/>
      <c r="S516" s="767"/>
      <c r="T516" s="767"/>
      <c r="U516" s="767"/>
      <c r="V516" s="767"/>
      <c r="W516" s="767"/>
      <c r="X516" s="767"/>
      <c r="Y516" s="767"/>
      <c r="Z516" s="767"/>
      <c r="AA516" s="767"/>
      <c r="AB516" s="767"/>
      <c r="AC516" s="767"/>
      <c r="AD516" s="767"/>
      <c r="AE516" s="767"/>
      <c r="AF516" s="767"/>
      <c r="AG516" s="767"/>
      <c r="AH516" s="767"/>
      <c r="AI516" s="767"/>
      <c r="AJ516" s="767"/>
      <c r="AK516" s="767"/>
      <c r="AL516" s="767"/>
      <c r="AM516" s="767"/>
      <c r="AN516" s="767"/>
      <c r="AO516" s="767"/>
      <c r="AP516" s="767"/>
      <c r="AQ516" s="767"/>
      <c r="AR516" s="767"/>
      <c r="AS516" s="767"/>
      <c r="AT516" s="767"/>
      <c r="AU516" s="767"/>
      <c r="AV516" s="768"/>
      <c r="AW516" s="768"/>
      <c r="AX516" s="768"/>
      <c r="AY516" s="768"/>
      <c r="AZ516" s="768"/>
      <c r="BA516" s="715"/>
      <c r="BB516" s="761"/>
      <c r="BC516" s="761"/>
      <c r="BD516" s="773"/>
      <c r="BE516" s="461"/>
      <c r="BF516" s="461"/>
      <c r="BG516" s="461"/>
      <c r="BH516" s="307"/>
      <c r="BI516" s="307"/>
      <c r="BJ516" s="307"/>
      <c r="BK516" s="307"/>
      <c r="BU516" s="40">
        <f t="shared" si="339"/>
        <v>0</v>
      </c>
      <c r="BV516" s="40">
        <f t="shared" si="348"/>
        <v>0</v>
      </c>
      <c r="BW516" s="40">
        <f t="shared" si="348"/>
        <v>0</v>
      </c>
      <c r="BX516" s="40">
        <f t="shared" si="348"/>
        <v>0</v>
      </c>
      <c r="BY516" s="40">
        <f t="shared" si="348"/>
        <v>0</v>
      </c>
      <c r="BZ516" s="40">
        <f t="shared" si="348"/>
        <v>0</v>
      </c>
      <c r="CA516" s="40">
        <f t="shared" si="348"/>
        <v>0</v>
      </c>
      <c r="CB516" s="40">
        <f t="shared" si="348"/>
        <v>0</v>
      </c>
      <c r="CC516" s="40">
        <f t="shared" si="348"/>
        <v>0</v>
      </c>
      <c r="CD516" s="40">
        <f t="shared" si="348"/>
        <v>0</v>
      </c>
      <c r="CE516" s="307"/>
      <c r="CF516" s="307"/>
      <c r="CG516" s="307"/>
    </row>
    <row r="517" spans="2:91" s="25" customFormat="1">
      <c r="B517" s="753" t="s">
        <v>1251</v>
      </c>
      <c r="C517" s="689"/>
      <c r="D517" s="689"/>
      <c r="E517" s="689"/>
      <c r="F517" s="689"/>
      <c r="G517" s="689"/>
      <c r="H517" s="689"/>
      <c r="I517" s="689"/>
      <c r="J517" s="689"/>
      <c r="K517" s="689"/>
      <c r="L517" s="689"/>
      <c r="M517" s="689"/>
      <c r="N517" s="689"/>
      <c r="O517" s="689"/>
      <c r="P517" s="689"/>
      <c r="Q517" s="689"/>
      <c r="R517" s="689"/>
      <c r="S517" s="689"/>
      <c r="T517" s="689"/>
      <c r="U517" s="689"/>
      <c r="V517" s="689"/>
      <c r="W517" s="689"/>
      <c r="X517" s="689"/>
      <c r="Y517" s="689"/>
      <c r="Z517" s="689"/>
      <c r="AA517" s="689"/>
      <c r="AB517" s="689"/>
      <c r="AC517" s="689"/>
      <c r="AD517" s="689"/>
      <c r="AE517" s="689"/>
      <c r="AF517" s="689"/>
      <c r="AG517" s="689"/>
      <c r="AH517" s="689"/>
      <c r="AI517" s="689"/>
      <c r="AJ517" s="689"/>
      <c r="AK517" s="689"/>
      <c r="AL517" s="689"/>
      <c r="AM517" s="689"/>
      <c r="AN517" s="689"/>
      <c r="AO517" s="689"/>
      <c r="AP517" s="689"/>
      <c r="AQ517" s="689"/>
      <c r="AR517" s="689"/>
      <c r="AS517" s="689"/>
      <c r="AT517" s="689"/>
      <c r="AU517" s="689"/>
      <c r="AV517" s="690"/>
      <c r="AW517" s="690"/>
      <c r="AX517" s="690"/>
      <c r="AY517" s="690"/>
      <c r="AZ517" s="690"/>
      <c r="BA517" s="698">
        <v>63476.247000000003</v>
      </c>
      <c r="BB517" s="731">
        <v>129790.40399999999</v>
      </c>
      <c r="BC517" s="731">
        <v>178408.20499999999</v>
      </c>
      <c r="BD517" s="731">
        <v>212.08306200000001</v>
      </c>
      <c r="BE517" s="643">
        <v>398.52646499999997</v>
      </c>
      <c r="BF517" s="643">
        <v>348.62757099999999</v>
      </c>
      <c r="BG517" s="648">
        <f>359.085331+31.80419</f>
        <v>390.889521</v>
      </c>
      <c r="BH517" s="307">
        <v>424.45722899999998</v>
      </c>
      <c r="BI517" s="307">
        <v>717.30624</v>
      </c>
      <c r="BJ517" s="307">
        <v>403.61499600000002</v>
      </c>
      <c r="BK517" s="307"/>
      <c r="BU517" s="40">
        <f t="shared" si="339"/>
        <v>0</v>
      </c>
      <c r="BV517" s="40">
        <f t="shared" si="348"/>
        <v>0</v>
      </c>
      <c r="BW517" s="40">
        <f t="shared" si="348"/>
        <v>0</v>
      </c>
      <c r="BX517" s="40">
        <f t="shared" si="348"/>
        <v>0</v>
      </c>
      <c r="BY517" s="40">
        <f t="shared" si="348"/>
        <v>0</v>
      </c>
      <c r="BZ517" s="40">
        <f t="shared" si="348"/>
        <v>0</v>
      </c>
      <c r="CA517" s="40">
        <f t="shared" si="348"/>
        <v>0</v>
      </c>
      <c r="CB517" s="40">
        <f t="shared" si="348"/>
        <v>0</v>
      </c>
      <c r="CC517" s="40">
        <f t="shared" si="348"/>
        <v>0</v>
      </c>
      <c r="CD517" s="40">
        <f t="shared" si="348"/>
        <v>0</v>
      </c>
      <c r="CE517" s="307"/>
      <c r="CF517" s="307"/>
      <c r="CG517" s="307"/>
    </row>
    <row r="518" spans="2:91" s="25" customFormat="1">
      <c r="B518" s="679"/>
      <c r="C518" s="680"/>
      <c r="D518" s="680"/>
      <c r="E518" s="680"/>
      <c r="F518" s="680"/>
      <c r="G518" s="680"/>
      <c r="H518" s="680"/>
      <c r="I518" s="680"/>
      <c r="J518" s="680"/>
      <c r="K518" s="680"/>
      <c r="L518" s="680"/>
      <c r="M518" s="680"/>
      <c r="N518" s="680"/>
      <c r="O518" s="680"/>
      <c r="P518" s="680"/>
      <c r="Q518" s="680"/>
      <c r="R518" s="680"/>
      <c r="S518" s="680"/>
      <c r="T518" s="680"/>
      <c r="U518" s="680"/>
      <c r="V518" s="680"/>
      <c r="W518" s="680"/>
      <c r="X518" s="680"/>
      <c r="Y518" s="680"/>
      <c r="Z518" s="680"/>
      <c r="AA518" s="680"/>
      <c r="AB518" s="680"/>
      <c r="AC518" s="680"/>
      <c r="AD518" s="680"/>
      <c r="AE518" s="680"/>
      <c r="AF518" s="680"/>
      <c r="AG518" s="680"/>
      <c r="AH518" s="680"/>
      <c r="AI518" s="680"/>
      <c r="AJ518" s="680"/>
      <c r="AK518" s="680"/>
      <c r="AL518" s="680"/>
      <c r="AM518" s="680"/>
      <c r="AN518" s="680"/>
      <c r="AO518" s="680"/>
      <c r="AP518" s="680"/>
      <c r="AQ518" s="680"/>
      <c r="AR518" s="680"/>
      <c r="AS518" s="680"/>
      <c r="AT518" s="680"/>
      <c r="AU518" s="680"/>
      <c r="AV518" s="672"/>
      <c r="AW518" s="672"/>
      <c r="AX518" s="672"/>
      <c r="AY518" s="672"/>
      <c r="AZ518" s="672"/>
      <c r="BA518" s="672"/>
      <c r="BB518" s="761"/>
      <c r="BC518" s="761"/>
      <c r="BD518" s="761"/>
      <c r="BE518" s="461"/>
      <c r="BF518" s="461"/>
      <c r="BG518" s="461"/>
      <c r="BH518" s="307"/>
      <c r="BI518" s="307"/>
      <c r="BJ518" s="307"/>
      <c r="BK518" s="307"/>
      <c r="BU518" s="40">
        <f t="shared" si="339"/>
        <v>0</v>
      </c>
      <c r="BV518" s="40">
        <f t="shared" si="348"/>
        <v>0</v>
      </c>
      <c r="BW518" s="40">
        <f t="shared" si="348"/>
        <v>0</v>
      </c>
      <c r="BX518" s="40">
        <f t="shared" si="348"/>
        <v>0</v>
      </c>
      <c r="BY518" s="40">
        <f t="shared" si="348"/>
        <v>0</v>
      </c>
      <c r="BZ518" s="40">
        <f t="shared" si="348"/>
        <v>0</v>
      </c>
      <c r="CA518" s="40">
        <f t="shared" si="348"/>
        <v>0</v>
      </c>
      <c r="CB518" s="40">
        <f t="shared" si="348"/>
        <v>0</v>
      </c>
      <c r="CC518" s="40">
        <f t="shared" si="348"/>
        <v>0</v>
      </c>
      <c r="CD518" s="40">
        <f t="shared" si="348"/>
        <v>0</v>
      </c>
      <c r="CE518" s="307"/>
      <c r="CF518" s="307"/>
      <c r="CG518" s="307"/>
    </row>
    <row r="519" spans="2:91" s="25" customFormat="1">
      <c r="B519" s="681" t="s">
        <v>4027</v>
      </c>
      <c r="C519" s="670"/>
      <c r="D519" s="670"/>
      <c r="E519" s="670"/>
      <c r="F519" s="670"/>
      <c r="G519" s="670"/>
      <c r="H519" s="670"/>
      <c r="I519" s="670"/>
      <c r="J519" s="670"/>
      <c r="K519" s="670"/>
      <c r="L519" s="670"/>
      <c r="M519" s="670"/>
      <c r="N519" s="670"/>
      <c r="O519" s="670"/>
      <c r="P519" s="670"/>
      <c r="Q519" s="670"/>
      <c r="R519" s="670"/>
      <c r="S519" s="670"/>
      <c r="T519" s="670"/>
      <c r="U519" s="670"/>
      <c r="V519" s="670"/>
      <c r="W519" s="670"/>
      <c r="X519" s="670"/>
      <c r="Y519" s="670"/>
      <c r="Z519" s="670"/>
      <c r="AA519" s="670"/>
      <c r="AB519" s="670"/>
      <c r="AC519" s="670"/>
      <c r="AD519" s="670"/>
      <c r="AE519" s="670"/>
      <c r="AF519" s="670"/>
      <c r="AG519" s="670"/>
      <c r="AH519" s="670"/>
      <c r="AI519" s="670"/>
      <c r="AJ519" s="670"/>
      <c r="AK519" s="670"/>
      <c r="AL519" s="670"/>
      <c r="AM519" s="670"/>
      <c r="AN519" s="670"/>
      <c r="AO519" s="670"/>
      <c r="AP519" s="670"/>
      <c r="AQ519" s="670"/>
      <c r="AR519" s="670"/>
      <c r="AS519" s="670"/>
      <c r="AT519" s="670"/>
      <c r="AU519" s="670"/>
      <c r="AV519" s="671">
        <f t="shared" ref="AV519:BC519" si="349">AV470-AV517</f>
        <v>0</v>
      </c>
      <c r="AW519" s="671">
        <f t="shared" si="349"/>
        <v>0</v>
      </c>
      <c r="AX519" s="671">
        <f t="shared" si="349"/>
        <v>0</v>
      </c>
      <c r="AY519" s="671">
        <f t="shared" si="349"/>
        <v>0</v>
      </c>
      <c r="AZ519" s="671">
        <f t="shared" si="349"/>
        <v>0</v>
      </c>
      <c r="BA519" s="671">
        <f t="shared" si="349"/>
        <v>-63476.247000000003</v>
      </c>
      <c r="BB519" s="671">
        <f t="shared" si="349"/>
        <v>-129790.40399999999</v>
      </c>
      <c r="BC519" s="671">
        <f t="shared" si="349"/>
        <v>-178408.20499999999</v>
      </c>
      <c r="BD519" s="671">
        <f>BD470-BD517</f>
        <v>-44.767478000000011</v>
      </c>
      <c r="BE519" s="671">
        <f>BE470-BE517</f>
        <v>-276.87052399999999</v>
      </c>
      <c r="BF519" s="671">
        <f>BF470-BF517</f>
        <v>-118.436849</v>
      </c>
      <c r="BG519" s="671">
        <f>BG470-BG517</f>
        <v>-234.43206800000002</v>
      </c>
      <c r="BH519" s="307"/>
      <c r="BI519" s="307"/>
      <c r="BJ519" s="307"/>
      <c r="BK519" s="307"/>
      <c r="BU519" s="40">
        <f t="shared" si="339"/>
        <v>0</v>
      </c>
      <c r="BV519" s="40">
        <f t="shared" si="348"/>
        <v>0</v>
      </c>
      <c r="BW519" s="40">
        <f t="shared" si="348"/>
        <v>0</v>
      </c>
      <c r="BX519" s="40">
        <f t="shared" si="348"/>
        <v>0</v>
      </c>
      <c r="BY519" s="40">
        <f t="shared" si="348"/>
        <v>0</v>
      </c>
      <c r="BZ519" s="40">
        <f t="shared" si="348"/>
        <v>0</v>
      </c>
      <c r="CA519" s="40">
        <f t="shared" si="348"/>
        <v>0</v>
      </c>
      <c r="CB519" s="40">
        <f t="shared" si="348"/>
        <v>0</v>
      </c>
      <c r="CC519" s="40">
        <f t="shared" si="348"/>
        <v>0</v>
      </c>
      <c r="CD519" s="40">
        <f t="shared" si="348"/>
        <v>0</v>
      </c>
      <c r="CE519" s="307"/>
      <c r="CF519" s="307"/>
      <c r="CG519" s="307"/>
    </row>
    <row r="520" spans="2:91" s="25" customFormat="1">
      <c r="B520" s="679"/>
      <c r="C520" s="680"/>
      <c r="D520" s="680"/>
      <c r="E520" s="680"/>
      <c r="F520" s="680"/>
      <c r="G520" s="680"/>
      <c r="H520" s="680"/>
      <c r="I520" s="680"/>
      <c r="J520" s="680"/>
      <c r="K520" s="680"/>
      <c r="L520" s="680"/>
      <c r="M520" s="680"/>
      <c r="N520" s="680"/>
      <c r="O520" s="680"/>
      <c r="P520" s="680"/>
      <c r="Q520" s="680"/>
      <c r="R520" s="680"/>
      <c r="S520" s="680"/>
      <c r="T520" s="680"/>
      <c r="U520" s="680"/>
      <c r="V520" s="680"/>
      <c r="W520" s="680"/>
      <c r="X520" s="680"/>
      <c r="Y520" s="680"/>
      <c r="Z520" s="680"/>
      <c r="AA520" s="680"/>
      <c r="AB520" s="680"/>
      <c r="AC520" s="680"/>
      <c r="AD520" s="680"/>
      <c r="AE520" s="680"/>
      <c r="AF520" s="680"/>
      <c r="AG520" s="680"/>
      <c r="AH520" s="680"/>
      <c r="AI520" s="680"/>
      <c r="AJ520" s="680"/>
      <c r="AK520" s="680"/>
      <c r="AL520" s="680"/>
      <c r="AM520" s="680"/>
      <c r="AN520" s="680"/>
      <c r="AO520" s="680"/>
      <c r="AP520" s="680"/>
      <c r="AQ520" s="680"/>
      <c r="AR520" s="680"/>
      <c r="AS520" s="680"/>
      <c r="AT520" s="680"/>
      <c r="AU520" s="680"/>
      <c r="AV520" s="672"/>
      <c r="AW520" s="672"/>
      <c r="AX520" s="672"/>
      <c r="AY520" s="672"/>
      <c r="AZ520" s="672"/>
      <c r="BA520" s="672"/>
      <c r="BB520" s="761"/>
      <c r="BC520" s="761"/>
      <c r="BD520" s="761"/>
      <c r="BE520" s="461"/>
      <c r="BF520" s="461"/>
      <c r="BG520" s="461"/>
      <c r="BH520" s="307"/>
      <c r="BI520" s="307"/>
      <c r="BJ520" s="307"/>
      <c r="BK520" s="307"/>
      <c r="BU520" s="40">
        <f t="shared" si="339"/>
        <v>0</v>
      </c>
      <c r="BV520" s="40">
        <f t="shared" si="348"/>
        <v>0</v>
      </c>
      <c r="BW520" s="40">
        <f t="shared" si="348"/>
        <v>0</v>
      </c>
      <c r="BX520" s="40">
        <f t="shared" si="348"/>
        <v>0</v>
      </c>
      <c r="BY520" s="40">
        <f t="shared" si="348"/>
        <v>0</v>
      </c>
      <c r="BZ520" s="40">
        <f t="shared" si="348"/>
        <v>0</v>
      </c>
      <c r="CA520" s="40">
        <f t="shared" si="348"/>
        <v>0</v>
      </c>
      <c r="CB520" s="40">
        <f t="shared" si="348"/>
        <v>0</v>
      </c>
      <c r="CC520" s="40">
        <f t="shared" si="348"/>
        <v>0</v>
      </c>
      <c r="CD520" s="40">
        <f t="shared" si="348"/>
        <v>0</v>
      </c>
      <c r="CE520" s="307"/>
      <c r="CF520" s="307"/>
      <c r="CG520" s="307"/>
    </row>
    <row r="521" spans="2:91" s="25" customFormat="1">
      <c r="B521" s="679"/>
      <c r="C521" s="680"/>
      <c r="D521" s="680"/>
      <c r="E521" s="680"/>
      <c r="F521" s="680"/>
      <c r="G521" s="680"/>
      <c r="H521" s="680"/>
      <c r="I521" s="680"/>
      <c r="J521" s="680"/>
      <c r="K521" s="680"/>
      <c r="L521" s="680"/>
      <c r="M521" s="680"/>
      <c r="N521" s="680"/>
      <c r="O521" s="680"/>
      <c r="P521" s="680"/>
      <c r="Q521" s="680"/>
      <c r="R521" s="680"/>
      <c r="S521" s="680"/>
      <c r="T521" s="680"/>
      <c r="U521" s="680"/>
      <c r="V521" s="680"/>
      <c r="W521" s="680"/>
      <c r="X521" s="680"/>
      <c r="Y521" s="680"/>
      <c r="Z521" s="680"/>
      <c r="AA521" s="680"/>
      <c r="AB521" s="680"/>
      <c r="AC521" s="680"/>
      <c r="AD521" s="680"/>
      <c r="AE521" s="680"/>
      <c r="AF521" s="680"/>
      <c r="AG521" s="680"/>
      <c r="AH521" s="680"/>
      <c r="AI521" s="680"/>
      <c r="AJ521" s="680"/>
      <c r="AK521" s="680"/>
      <c r="AL521" s="680"/>
      <c r="AM521" s="680"/>
      <c r="AN521" s="680"/>
      <c r="AO521" s="680"/>
      <c r="AP521" s="680"/>
      <c r="AQ521" s="680"/>
      <c r="AR521" s="680"/>
      <c r="AS521" s="680"/>
      <c r="AT521" s="680"/>
      <c r="AU521" s="680"/>
      <c r="AV521" s="672"/>
      <c r="AW521" s="672"/>
      <c r="AX521" s="672"/>
      <c r="AY521" s="672"/>
      <c r="AZ521" s="672"/>
      <c r="BA521" s="672"/>
      <c r="BB521" s="761"/>
      <c r="BC521" s="761"/>
      <c r="BD521" s="761"/>
      <c r="BE521" s="769"/>
      <c r="BF521" s="461"/>
      <c r="BG521" s="461"/>
      <c r="BH521" s="307"/>
      <c r="BI521" s="307"/>
      <c r="BJ521" s="307"/>
      <c r="BK521" s="307"/>
      <c r="BU521" s="40">
        <f t="shared" si="339"/>
        <v>0</v>
      </c>
      <c r="BV521" s="40">
        <f t="shared" si="348"/>
        <v>0</v>
      </c>
      <c r="BW521" s="40">
        <f t="shared" si="348"/>
        <v>0</v>
      </c>
      <c r="BX521" s="40">
        <f t="shared" si="348"/>
        <v>0</v>
      </c>
      <c r="BY521" s="40">
        <f t="shared" si="348"/>
        <v>0</v>
      </c>
      <c r="BZ521" s="40">
        <f t="shared" si="348"/>
        <v>0</v>
      </c>
      <c r="CA521" s="40">
        <f t="shared" si="348"/>
        <v>0</v>
      </c>
      <c r="CB521" s="40">
        <f t="shared" si="348"/>
        <v>0</v>
      </c>
      <c r="CC521" s="40">
        <f t="shared" si="348"/>
        <v>0</v>
      </c>
      <c r="CD521" s="40">
        <f t="shared" si="348"/>
        <v>0</v>
      </c>
      <c r="CE521" s="307"/>
      <c r="CF521" s="307"/>
      <c r="CG521" s="307"/>
    </row>
    <row r="522" spans="2:91" s="238" customFormat="1">
      <c r="B522" s="753" t="s">
        <v>3790</v>
      </c>
      <c r="C522" s="753"/>
      <c r="D522" s="753"/>
      <c r="E522" s="753"/>
      <c r="F522" s="753"/>
      <c r="G522" s="753"/>
      <c r="H522" s="753"/>
      <c r="I522" s="753"/>
      <c r="J522" s="753"/>
      <c r="K522" s="753"/>
      <c r="L522" s="753"/>
      <c r="M522" s="753"/>
      <c r="N522" s="753"/>
      <c r="O522" s="753"/>
      <c r="P522" s="753"/>
      <c r="Q522" s="753"/>
      <c r="R522" s="753"/>
      <c r="S522" s="753"/>
      <c r="T522" s="753"/>
      <c r="U522" s="753"/>
      <c r="V522" s="753"/>
      <c r="W522" s="753"/>
      <c r="X522" s="753"/>
      <c r="Y522" s="753"/>
      <c r="Z522" s="753"/>
      <c r="AA522" s="753"/>
      <c r="AB522" s="753"/>
      <c r="AC522" s="753"/>
      <c r="AD522" s="753"/>
      <c r="AE522" s="753"/>
      <c r="AF522" s="753"/>
      <c r="AG522" s="753"/>
      <c r="AH522" s="753"/>
      <c r="AI522" s="753"/>
      <c r="AJ522" s="753"/>
      <c r="AK522" s="753"/>
      <c r="AL522" s="753"/>
      <c r="AM522" s="753"/>
      <c r="AN522" s="753"/>
      <c r="AO522" s="753"/>
      <c r="AP522" s="753"/>
      <c r="AQ522" s="753"/>
      <c r="AR522" s="753"/>
      <c r="AS522" s="753"/>
      <c r="AT522" s="753"/>
      <c r="AU522" s="753"/>
      <c r="AV522" s="307">
        <f>1200/1000</f>
        <v>1.2</v>
      </c>
      <c r="AW522" s="307">
        <f>1200/1000</f>
        <v>1.2</v>
      </c>
      <c r="AX522" s="307">
        <f>1900/1000</f>
        <v>1.9</v>
      </c>
      <c r="AY522" s="307">
        <f>26100/1000</f>
        <v>26.1</v>
      </c>
      <c r="AZ522" s="307">
        <f>42700/1000</f>
        <v>42.7</v>
      </c>
      <c r="BA522" s="727">
        <f t="shared" ref="BA522:BF522" si="350">BA472-BA473+BA478+BA479+BA495+BA511+BA513</f>
        <v>17098.214</v>
      </c>
      <c r="BB522" s="727">
        <f t="shared" si="350"/>
        <v>20828.744999999999</v>
      </c>
      <c r="BC522" s="727">
        <f t="shared" si="350"/>
        <v>32589.075000000004</v>
      </c>
      <c r="BD522" s="727">
        <f t="shared" si="350"/>
        <v>33.446477999999999</v>
      </c>
      <c r="BE522" s="727">
        <f t="shared" si="350"/>
        <v>51.484705000000005</v>
      </c>
      <c r="BF522" s="727">
        <f t="shared" si="350"/>
        <v>33.844265</v>
      </c>
      <c r="BG522" s="727">
        <f>BG472-BG473+BG478+BG479+BG495+BG511+BG513</f>
        <v>28.524019000000003</v>
      </c>
      <c r="BH522" s="727">
        <f>BH472-BH473+BH478+BH479+BH495+BH511+BH513</f>
        <v>36.817554999999999</v>
      </c>
      <c r="BI522" s="727">
        <f>BI472-BI473+BI478+BI479+BI495+BI511+BI513</f>
        <v>25.984829999999999</v>
      </c>
      <c r="BJ522" s="727">
        <f>BJ472-BJ473+BJ478+BJ479+BJ495+BJ511+BJ513</f>
        <v>21.014626</v>
      </c>
      <c r="BK522" s="459"/>
      <c r="BU522" s="40">
        <f t="shared" si="339"/>
        <v>0</v>
      </c>
      <c r="BV522" s="40">
        <f t="shared" si="348"/>
        <v>0</v>
      </c>
      <c r="BW522" s="40">
        <f t="shared" si="348"/>
        <v>0</v>
      </c>
      <c r="BX522" s="40">
        <f t="shared" si="348"/>
        <v>0</v>
      </c>
      <c r="BY522" s="40">
        <f t="shared" si="348"/>
        <v>0</v>
      </c>
      <c r="BZ522" s="40">
        <f t="shared" si="348"/>
        <v>0</v>
      </c>
      <c r="CA522" s="40">
        <f t="shared" si="348"/>
        <v>0</v>
      </c>
      <c r="CB522" s="40">
        <f t="shared" si="348"/>
        <v>0</v>
      </c>
      <c r="CC522" s="40">
        <f t="shared" si="348"/>
        <v>0</v>
      </c>
      <c r="CD522" s="40">
        <f t="shared" si="348"/>
        <v>0</v>
      </c>
      <c r="CE522" s="459"/>
      <c r="CF522" s="459"/>
      <c r="CG522" s="459"/>
    </row>
    <row r="523" spans="2:91" s="238" customFormat="1">
      <c r="B523" s="753" t="s">
        <v>3791</v>
      </c>
      <c r="C523" s="753"/>
      <c r="D523" s="753"/>
      <c r="E523" s="753"/>
      <c r="F523" s="753"/>
      <c r="G523" s="753"/>
      <c r="H523" s="753"/>
      <c r="I523" s="753"/>
      <c r="J523" s="753"/>
      <c r="K523" s="753"/>
      <c r="L523" s="753"/>
      <c r="M523" s="753"/>
      <c r="N523" s="753"/>
      <c r="O523" s="753"/>
      <c r="P523" s="753"/>
      <c r="Q523" s="753"/>
      <c r="R523" s="753"/>
      <c r="S523" s="753"/>
      <c r="T523" s="753"/>
      <c r="U523" s="753"/>
      <c r="V523" s="753"/>
      <c r="W523" s="753"/>
      <c r="X523" s="753"/>
      <c r="Y523" s="753"/>
      <c r="Z523" s="753"/>
      <c r="AA523" s="753"/>
      <c r="AB523" s="753"/>
      <c r="AC523" s="753"/>
      <c r="AD523" s="753"/>
      <c r="AE523" s="753"/>
      <c r="AF523" s="753"/>
      <c r="AG523" s="753"/>
      <c r="AH523" s="753"/>
      <c r="AI523" s="753"/>
      <c r="AJ523" s="753"/>
      <c r="AK523" s="753"/>
      <c r="AL523" s="753"/>
      <c r="AM523" s="753"/>
      <c r="AN523" s="753"/>
      <c r="AO523" s="753"/>
      <c r="AP523" s="753"/>
      <c r="AQ523" s="753"/>
      <c r="AR523" s="753"/>
      <c r="AS523" s="753"/>
      <c r="AT523" s="753"/>
      <c r="AU523" s="753"/>
      <c r="AV523" s="307">
        <f>4100/1000</f>
        <v>4.0999999999999996</v>
      </c>
      <c r="AW523" s="307">
        <f>4200/1000</f>
        <v>4.2</v>
      </c>
      <c r="AX523" s="307">
        <f>1100/1000</f>
        <v>1.1000000000000001</v>
      </c>
      <c r="AY523" s="307">
        <f>1400/1000</f>
        <v>1.4</v>
      </c>
      <c r="AZ523" s="307">
        <f>2300/1000</f>
        <v>2.2999999999999998</v>
      </c>
      <c r="BA523" s="727">
        <f t="shared" ref="BA523:BK523" si="351">BA473+BA480+BA481+BA484+(BA493+BA503)+BA496+BA497+BA498+BA499+BA502</f>
        <v>18337.024000000001</v>
      </c>
      <c r="BB523" s="727">
        <f t="shared" si="351"/>
        <v>41075.758000000002</v>
      </c>
      <c r="BC523" s="727">
        <f t="shared" si="351"/>
        <v>34229.790000000008</v>
      </c>
      <c r="BD523" s="727">
        <f t="shared" si="351"/>
        <v>47.226765999999998</v>
      </c>
      <c r="BE523" s="727">
        <f t="shared" si="351"/>
        <v>11.625902</v>
      </c>
      <c r="BF523" s="727">
        <f t="shared" si="351"/>
        <v>5.5642139999999998</v>
      </c>
      <c r="BG523" s="727">
        <f t="shared" si="351"/>
        <v>0</v>
      </c>
      <c r="BH523" s="727">
        <f t="shared" si="351"/>
        <v>180</v>
      </c>
      <c r="BI523" s="727">
        <f t="shared" si="351"/>
        <v>0</v>
      </c>
      <c r="BJ523" s="727">
        <f t="shared" si="351"/>
        <v>0</v>
      </c>
      <c r="BK523" s="727">
        <f t="shared" si="351"/>
        <v>0</v>
      </c>
      <c r="BU523" s="40">
        <f t="shared" si="339"/>
        <v>0</v>
      </c>
      <c r="BV523" s="40">
        <f t="shared" si="348"/>
        <v>0</v>
      </c>
      <c r="BW523" s="40">
        <f t="shared" si="348"/>
        <v>0</v>
      </c>
      <c r="BX523" s="40">
        <f t="shared" si="348"/>
        <v>0</v>
      </c>
      <c r="BY523" s="40">
        <f t="shared" si="348"/>
        <v>0</v>
      </c>
      <c r="BZ523" s="40">
        <f t="shared" si="348"/>
        <v>0</v>
      </c>
      <c r="CA523" s="40">
        <f t="shared" si="348"/>
        <v>0</v>
      </c>
      <c r="CB523" s="40">
        <f t="shared" si="348"/>
        <v>0</v>
      </c>
      <c r="CC523" s="40">
        <f t="shared" si="348"/>
        <v>0</v>
      </c>
      <c r="CD523" s="40">
        <f t="shared" si="348"/>
        <v>0</v>
      </c>
      <c r="CE523" s="459"/>
      <c r="CF523" s="459"/>
      <c r="CG523" s="459"/>
    </row>
    <row r="524" spans="2:91" s="238" customFormat="1">
      <c r="B524" s="783" t="s">
        <v>3792</v>
      </c>
      <c r="C524" s="753"/>
      <c r="D524" s="753"/>
      <c r="E524" s="753"/>
      <c r="F524" s="753"/>
      <c r="G524" s="753"/>
      <c r="H524" s="753"/>
      <c r="I524" s="753"/>
      <c r="J524" s="753"/>
      <c r="K524" s="753"/>
      <c r="L524" s="753"/>
      <c r="M524" s="753"/>
      <c r="N524" s="753"/>
      <c r="O524" s="753"/>
      <c r="P524" s="753"/>
      <c r="Q524" s="753"/>
      <c r="R524" s="753"/>
      <c r="S524" s="753"/>
      <c r="T524" s="753"/>
      <c r="U524" s="753"/>
      <c r="V524" s="753"/>
      <c r="W524" s="753"/>
      <c r="X524" s="753"/>
      <c r="Y524" s="753"/>
      <c r="Z524" s="753"/>
      <c r="AA524" s="753"/>
      <c r="AB524" s="753"/>
      <c r="AC524" s="753"/>
      <c r="AD524" s="753"/>
      <c r="AE524" s="753"/>
      <c r="AF524" s="753"/>
      <c r="AG524" s="753"/>
      <c r="AH524" s="753"/>
      <c r="AI524" s="753"/>
      <c r="AJ524" s="753"/>
      <c r="AK524" s="753"/>
      <c r="AL524" s="753"/>
      <c r="AM524" s="753"/>
      <c r="AN524" s="753"/>
      <c r="AO524" s="753"/>
      <c r="AP524" s="753"/>
      <c r="AQ524" s="753"/>
      <c r="AR524" s="753"/>
      <c r="AS524" s="753"/>
      <c r="AT524" s="753"/>
      <c r="AU524" s="753"/>
      <c r="AV524" s="698">
        <v>0</v>
      </c>
      <c r="AW524" s="698">
        <v>2.1</v>
      </c>
      <c r="AX524" s="698">
        <v>13.8</v>
      </c>
      <c r="AY524" s="698">
        <v>47.6</v>
      </c>
      <c r="AZ524" s="698">
        <v>5</v>
      </c>
      <c r="BA524" s="671">
        <f t="shared" ref="BA524:BF524" si="352">BA489+BA490+BA492</f>
        <v>31825.326000000001</v>
      </c>
      <c r="BB524" s="671">
        <f t="shared" si="352"/>
        <v>20144.32</v>
      </c>
      <c r="BC524" s="671">
        <f t="shared" si="352"/>
        <v>38182.061999999998</v>
      </c>
      <c r="BD524" s="671">
        <f t="shared" si="352"/>
        <v>47.647993999999997</v>
      </c>
      <c r="BE524" s="671">
        <f t="shared" si="352"/>
        <v>0</v>
      </c>
      <c r="BF524" s="671">
        <f t="shared" si="352"/>
        <v>0</v>
      </c>
      <c r="BG524" s="671">
        <f>BG489+BG490+BG492</f>
        <v>0</v>
      </c>
      <c r="BH524" s="459"/>
      <c r="BI524" s="459"/>
      <c r="BJ524" s="459"/>
      <c r="BK524" s="459"/>
      <c r="BU524" s="40">
        <f t="shared" si="339"/>
        <v>0</v>
      </c>
      <c r="BV524" s="40">
        <f t="shared" si="348"/>
        <v>0</v>
      </c>
      <c r="BW524" s="40">
        <f t="shared" si="348"/>
        <v>0</v>
      </c>
      <c r="BX524" s="40">
        <f t="shared" si="348"/>
        <v>0</v>
      </c>
      <c r="BY524" s="40">
        <f t="shared" si="348"/>
        <v>0</v>
      </c>
      <c r="BZ524" s="40">
        <f t="shared" si="348"/>
        <v>0</v>
      </c>
      <c r="CA524" s="40">
        <f t="shared" si="348"/>
        <v>0</v>
      </c>
      <c r="CB524" s="40">
        <f t="shared" si="348"/>
        <v>0</v>
      </c>
      <c r="CC524" s="40">
        <f t="shared" si="348"/>
        <v>0</v>
      </c>
      <c r="CD524" s="40">
        <f t="shared" si="348"/>
        <v>0</v>
      </c>
      <c r="CE524" s="459"/>
      <c r="CF524" s="459"/>
      <c r="CG524" s="459"/>
    </row>
    <row r="525" spans="2:91" s="238" customFormat="1">
      <c r="B525" s="753" t="s">
        <v>3793</v>
      </c>
      <c r="C525" s="753"/>
      <c r="D525" s="753"/>
      <c r="E525" s="753"/>
      <c r="F525" s="753"/>
      <c r="G525" s="753"/>
      <c r="H525" s="753"/>
      <c r="I525" s="753"/>
      <c r="J525" s="753"/>
      <c r="K525" s="753"/>
      <c r="L525" s="753"/>
      <c r="M525" s="753"/>
      <c r="N525" s="753"/>
      <c r="O525" s="753"/>
      <c r="P525" s="753"/>
      <c r="Q525" s="753"/>
      <c r="R525" s="753"/>
      <c r="S525" s="753"/>
      <c r="T525" s="753"/>
      <c r="U525" s="753"/>
      <c r="V525" s="753"/>
      <c r="W525" s="753"/>
      <c r="X525" s="753"/>
      <c r="Y525" s="753"/>
      <c r="Z525" s="753"/>
      <c r="AA525" s="753"/>
      <c r="AB525" s="753"/>
      <c r="AC525" s="753"/>
      <c r="AD525" s="753"/>
      <c r="AE525" s="753"/>
      <c r="AF525" s="753"/>
      <c r="AG525" s="753"/>
      <c r="AH525" s="753"/>
      <c r="AI525" s="753"/>
      <c r="AJ525" s="753"/>
      <c r="AK525" s="753"/>
      <c r="AL525" s="753"/>
      <c r="AM525" s="753"/>
      <c r="AN525" s="753"/>
      <c r="AO525" s="753"/>
      <c r="AP525" s="753"/>
      <c r="AQ525" s="753"/>
      <c r="AR525" s="753"/>
      <c r="AS525" s="753"/>
      <c r="AT525" s="753"/>
      <c r="AU525" s="753"/>
      <c r="AV525" s="307">
        <f>200/1000</f>
        <v>0.2</v>
      </c>
      <c r="AW525" s="307">
        <f>5400/1000</f>
        <v>5.4</v>
      </c>
      <c r="AX525" s="307">
        <f>9200/1000</f>
        <v>9.1999999999999993</v>
      </c>
      <c r="AY525" s="307">
        <f>14100/1000</f>
        <v>14.1</v>
      </c>
      <c r="AZ525" s="307">
        <f>16800/1000</f>
        <v>16.8</v>
      </c>
      <c r="BA525" s="727">
        <f t="shared" ref="BA525:BF525" si="353">BA505+BA509+BA491</f>
        <v>8185.85</v>
      </c>
      <c r="BB525" s="727">
        <f t="shared" si="353"/>
        <v>22239.18</v>
      </c>
      <c r="BC525" s="727">
        <f t="shared" si="353"/>
        <v>34914.121000000006</v>
      </c>
      <c r="BD525" s="727">
        <f t="shared" si="353"/>
        <v>40.259819</v>
      </c>
      <c r="BE525" s="727">
        <f t="shared" si="353"/>
        <v>45.288703999999996</v>
      </c>
      <c r="BF525" s="727">
        <f t="shared" si="353"/>
        <v>49.667581999999996</v>
      </c>
      <c r="BG525" s="727">
        <f>BG505+BG509+BG491</f>
        <v>54.112560999999999</v>
      </c>
      <c r="BH525" s="727">
        <f>BH505+BH509+BH491</f>
        <v>147.900398</v>
      </c>
      <c r="BI525" s="727">
        <f>BI505+BI509+BI491</f>
        <v>229.63092700000001</v>
      </c>
      <c r="BJ525" s="727">
        <f>BJ505+BJ509+BJ491</f>
        <v>241.11247299999999</v>
      </c>
      <c r="BK525" s="423">
        <v>266</v>
      </c>
      <c r="BL525" s="718">
        <v>298.78251078074356</v>
      </c>
      <c r="BM525" s="239">
        <f>BL525*634/806</f>
        <v>235.02247125929458</v>
      </c>
      <c r="BN525" s="718">
        <v>363.2457719832999</v>
      </c>
      <c r="BO525" s="718">
        <v>400.64896727775692</v>
      </c>
      <c r="BP525" s="718">
        <v>436.39312933009865</v>
      </c>
      <c r="BQ525" s="238">
        <f>BP525</f>
        <v>436.39312933009865</v>
      </c>
      <c r="BR525" s="238">
        <f>BQ525</f>
        <v>436.39312933009865</v>
      </c>
      <c r="BS525" s="238">
        <f>BR525</f>
        <v>436.39312933009865</v>
      </c>
      <c r="BT525" s="238">
        <f>BS525</f>
        <v>436.39312933009865</v>
      </c>
      <c r="BU525" s="40">
        <f t="shared" si="339"/>
        <v>436.39312933009865</v>
      </c>
      <c r="BV525" s="40">
        <f t="shared" si="348"/>
        <v>436.39312933009865</v>
      </c>
      <c r="BW525" s="40">
        <f t="shared" si="348"/>
        <v>436.39312933009865</v>
      </c>
      <c r="BX525" s="40">
        <f t="shared" si="348"/>
        <v>436.39312933009865</v>
      </c>
      <c r="BY525" s="40">
        <f t="shared" si="348"/>
        <v>436.39312933009865</v>
      </c>
      <c r="BZ525" s="40">
        <f t="shared" si="348"/>
        <v>436.39312933009865</v>
      </c>
      <c r="CA525" s="40">
        <f t="shared" si="348"/>
        <v>436.39312933009865</v>
      </c>
      <c r="CB525" s="40">
        <f t="shared" si="348"/>
        <v>436.39312933009865</v>
      </c>
      <c r="CC525" s="40">
        <f t="shared" si="348"/>
        <v>436.39312933009865</v>
      </c>
      <c r="CD525" s="40">
        <f t="shared" si="348"/>
        <v>436.39312933009865</v>
      </c>
      <c r="CE525" s="459"/>
      <c r="CF525" s="459"/>
      <c r="CG525" s="459"/>
      <c r="CM525" s="718">
        <v>298.78251078074356</v>
      </c>
    </row>
    <row r="526" spans="2:91" s="25" customFormat="1">
      <c r="B526" s="679"/>
      <c r="C526" s="714"/>
      <c r="D526" s="714"/>
      <c r="E526" s="714"/>
      <c r="F526" s="714"/>
      <c r="G526" s="714"/>
      <c r="H526" s="714"/>
      <c r="I526" s="714"/>
      <c r="J526" s="714"/>
      <c r="K526" s="714"/>
      <c r="L526" s="714"/>
      <c r="M526" s="714"/>
      <c r="N526" s="714"/>
      <c r="O526" s="714"/>
      <c r="P526" s="714"/>
      <c r="Q526" s="714"/>
      <c r="R526" s="714"/>
      <c r="S526" s="714"/>
      <c r="T526" s="714"/>
      <c r="U526" s="714"/>
      <c r="V526" s="714"/>
      <c r="W526" s="714"/>
      <c r="X526" s="714"/>
      <c r="Y526" s="714"/>
      <c r="Z526" s="714"/>
      <c r="AA526" s="714"/>
      <c r="AB526" s="714"/>
      <c r="AC526" s="714"/>
      <c r="AD526" s="714"/>
      <c r="AE526" s="714"/>
      <c r="AF526" s="714"/>
      <c r="AG526" s="714"/>
      <c r="AH526" s="714"/>
      <c r="AI526" s="714"/>
      <c r="AJ526" s="714"/>
      <c r="AK526" s="714"/>
      <c r="AL526" s="714"/>
      <c r="AM526" s="714"/>
      <c r="AN526" s="714"/>
      <c r="AO526" s="714"/>
      <c r="AP526" s="714"/>
      <c r="AQ526" s="714"/>
      <c r="AR526" s="714"/>
      <c r="AS526" s="714"/>
      <c r="AT526" s="714"/>
      <c r="AU526" s="714"/>
      <c r="AV526" s="715"/>
      <c r="AW526" s="715"/>
      <c r="AX526" s="715"/>
      <c r="AY526" s="715"/>
      <c r="AZ526" s="715"/>
      <c r="BA526" s="715"/>
      <c r="BB526" s="773"/>
      <c r="BC526" s="773"/>
      <c r="BD526" s="773"/>
      <c r="BE526" s="657"/>
      <c r="BF526" s="657"/>
      <c r="BG526" s="657"/>
      <c r="BH526" s="307"/>
      <c r="BI526" s="307"/>
      <c r="BJ526" s="307"/>
      <c r="BK526" s="307"/>
      <c r="BU526" s="40">
        <f t="shared" si="339"/>
        <v>0</v>
      </c>
      <c r="BV526" s="40">
        <f t="shared" ref="BV526:CD526" si="354">BU526</f>
        <v>0</v>
      </c>
      <c r="BW526" s="40">
        <f t="shared" si="354"/>
        <v>0</v>
      </c>
      <c r="BX526" s="40">
        <f t="shared" si="354"/>
        <v>0</v>
      </c>
      <c r="BY526" s="40">
        <f t="shared" si="354"/>
        <v>0</v>
      </c>
      <c r="BZ526" s="40">
        <f t="shared" si="354"/>
        <v>0</v>
      </c>
      <c r="CA526" s="40">
        <f t="shared" si="354"/>
        <v>0</v>
      </c>
      <c r="CB526" s="40">
        <f t="shared" si="354"/>
        <v>0</v>
      </c>
      <c r="CC526" s="40">
        <f t="shared" si="354"/>
        <v>0</v>
      </c>
      <c r="CD526" s="40">
        <f t="shared" si="354"/>
        <v>0</v>
      </c>
      <c r="CE526" s="307"/>
      <c r="CF526" s="307"/>
      <c r="CG526" s="307"/>
    </row>
    <row r="527" spans="2:91" s="25" customFormat="1">
      <c r="B527" s="499"/>
      <c r="C527" s="499"/>
      <c r="D527" s="499"/>
      <c r="E527" s="499"/>
      <c r="F527" s="499"/>
      <c r="G527" s="499"/>
      <c r="H527" s="499"/>
      <c r="I527" s="499"/>
      <c r="J527" s="499"/>
      <c r="K527" s="499"/>
      <c r="L527" s="499"/>
      <c r="M527" s="499"/>
      <c r="N527" s="499"/>
      <c r="O527" s="499"/>
      <c r="P527" s="499"/>
      <c r="Q527" s="499"/>
      <c r="R527" s="499"/>
      <c r="S527" s="499"/>
      <c r="T527" s="499"/>
      <c r="U527" s="499"/>
      <c r="V527" s="499"/>
      <c r="W527" s="499"/>
      <c r="X527" s="499"/>
      <c r="Y527" s="499"/>
      <c r="Z527" s="499"/>
      <c r="AA527" s="499"/>
      <c r="AB527" s="499"/>
      <c r="AC527" s="499"/>
      <c r="AD527" s="499"/>
      <c r="AE527" s="499"/>
      <c r="AF527" s="499"/>
      <c r="AG527" s="499"/>
      <c r="AH527" s="499"/>
      <c r="AI527" s="499"/>
      <c r="AJ527" s="499"/>
      <c r="AK527" s="499"/>
      <c r="AL527" s="499"/>
      <c r="AM527" s="499"/>
      <c r="AN527" s="499"/>
      <c r="AO527" s="499"/>
      <c r="AP527" s="499"/>
      <c r="AQ527" s="499"/>
      <c r="AR527" s="499"/>
      <c r="AS527" s="499"/>
      <c r="AT527" s="499"/>
      <c r="AU527" s="499"/>
      <c r="AV527" s="461"/>
      <c r="AW527" s="461"/>
      <c r="AX527" s="461"/>
      <c r="AY527" s="461"/>
      <c r="AZ527" s="461"/>
      <c r="BA527" s="461"/>
      <c r="BB527" s="461"/>
      <c r="BC527" s="461"/>
      <c r="BD527" s="461"/>
      <c r="BE527" s="461"/>
      <c r="BF527" s="461"/>
      <c r="BG527" s="461"/>
      <c r="BH527" s="307"/>
      <c r="BI527" s="307"/>
      <c r="BJ527" s="307"/>
      <c r="BK527" s="307"/>
      <c r="BU527" s="40">
        <f t="shared" si="339"/>
        <v>0</v>
      </c>
      <c r="BV527" s="40">
        <f t="shared" ref="BV527:CD527" si="355">BU527</f>
        <v>0</v>
      </c>
      <c r="BW527" s="40">
        <f t="shared" si="355"/>
        <v>0</v>
      </c>
      <c r="BX527" s="40">
        <f t="shared" si="355"/>
        <v>0</v>
      </c>
      <c r="BY527" s="40">
        <f t="shared" si="355"/>
        <v>0</v>
      </c>
      <c r="BZ527" s="40">
        <f t="shared" si="355"/>
        <v>0</v>
      </c>
      <c r="CA527" s="40">
        <f t="shared" si="355"/>
        <v>0</v>
      </c>
      <c r="CB527" s="40">
        <f t="shared" si="355"/>
        <v>0</v>
      </c>
      <c r="CC527" s="40">
        <f t="shared" si="355"/>
        <v>0</v>
      </c>
      <c r="CD527" s="40">
        <f t="shared" si="355"/>
        <v>0</v>
      </c>
      <c r="CE527" s="307"/>
      <c r="CF527" s="307"/>
      <c r="CG527" s="307"/>
    </row>
    <row r="528" spans="2:91" s="25" customFormat="1">
      <c r="B528" s="784" t="s">
        <v>1493</v>
      </c>
      <c r="C528" s="499"/>
      <c r="D528" s="499"/>
      <c r="E528" s="499"/>
      <c r="F528" s="499"/>
      <c r="G528" s="499"/>
      <c r="H528" s="499"/>
      <c r="I528" s="499"/>
      <c r="J528" s="499"/>
      <c r="K528" s="499"/>
      <c r="L528" s="499"/>
      <c r="M528" s="499"/>
      <c r="N528" s="499"/>
      <c r="O528" s="499"/>
      <c r="P528" s="499"/>
      <c r="Q528" s="499"/>
      <c r="R528" s="499"/>
      <c r="S528" s="499"/>
      <c r="T528" s="499"/>
      <c r="U528" s="499"/>
      <c r="V528" s="499"/>
      <c r="W528" s="499"/>
      <c r="X528" s="499"/>
      <c r="Y528" s="499"/>
      <c r="Z528" s="499"/>
      <c r="AA528" s="499"/>
      <c r="AB528" s="499"/>
      <c r="AC528" s="499"/>
      <c r="AD528" s="499"/>
      <c r="AE528" s="499"/>
      <c r="AF528" s="499"/>
      <c r="AG528" s="499"/>
      <c r="AH528" s="499"/>
      <c r="AI528" s="499"/>
      <c r="AJ528" s="499"/>
      <c r="AK528" s="499"/>
      <c r="AL528" s="499"/>
      <c r="AM528" s="499"/>
      <c r="AN528" s="499"/>
      <c r="AO528" s="499"/>
      <c r="AP528" s="499"/>
      <c r="AQ528" s="499"/>
      <c r="AR528" s="499"/>
      <c r="AS528" s="499"/>
      <c r="AT528" s="499"/>
      <c r="AU528" s="499"/>
      <c r="AV528" s="461"/>
      <c r="AW528" s="461"/>
      <c r="AX528" s="461"/>
      <c r="AY528" s="461"/>
      <c r="AZ528" s="461"/>
      <c r="BA528" s="461"/>
      <c r="BB528" s="461"/>
      <c r="BC528" s="461"/>
      <c r="BD528" s="461"/>
      <c r="BE528" s="461"/>
      <c r="BF528" s="461"/>
      <c r="BG528" s="461"/>
      <c r="BH528" s="307"/>
      <c r="BI528" s="307"/>
      <c r="BJ528" s="307"/>
      <c r="BK528" s="307"/>
      <c r="BU528" s="40">
        <f t="shared" si="339"/>
        <v>0</v>
      </c>
      <c r="BV528" s="40">
        <f t="shared" ref="BV528:CD528" si="356">BU528</f>
        <v>0</v>
      </c>
      <c r="BW528" s="40">
        <f t="shared" si="356"/>
        <v>0</v>
      </c>
      <c r="BX528" s="40">
        <f t="shared" si="356"/>
        <v>0</v>
      </c>
      <c r="BY528" s="40">
        <f t="shared" si="356"/>
        <v>0</v>
      </c>
      <c r="BZ528" s="40">
        <f t="shared" si="356"/>
        <v>0</v>
      </c>
      <c r="CA528" s="40">
        <f t="shared" si="356"/>
        <v>0</v>
      </c>
      <c r="CB528" s="40">
        <f t="shared" si="356"/>
        <v>0</v>
      </c>
      <c r="CC528" s="40">
        <f t="shared" si="356"/>
        <v>0</v>
      </c>
      <c r="CD528" s="40">
        <f t="shared" si="356"/>
        <v>0</v>
      </c>
      <c r="CE528" s="307"/>
      <c r="CF528" s="307"/>
      <c r="CG528" s="307"/>
    </row>
    <row r="529" spans="2:91" s="25" customFormat="1">
      <c r="B529" s="749" t="s">
        <v>4073</v>
      </c>
      <c r="C529" s="499"/>
      <c r="D529" s="499"/>
      <c r="E529" s="499"/>
      <c r="F529" s="499"/>
      <c r="G529" s="499"/>
      <c r="H529" s="499"/>
      <c r="I529" s="499"/>
      <c r="J529" s="499"/>
      <c r="K529" s="499"/>
      <c r="L529" s="499"/>
      <c r="M529" s="499"/>
      <c r="N529" s="499"/>
      <c r="O529" s="499"/>
      <c r="P529" s="499"/>
      <c r="Q529" s="499"/>
      <c r="R529" s="499"/>
      <c r="S529" s="499"/>
      <c r="T529" s="499"/>
      <c r="U529" s="499"/>
      <c r="V529" s="499"/>
      <c r="W529" s="499"/>
      <c r="X529" s="499"/>
      <c r="Y529" s="499"/>
      <c r="Z529" s="499"/>
      <c r="AA529" s="499"/>
      <c r="AB529" s="499"/>
      <c r="AC529" s="499"/>
      <c r="AD529" s="499"/>
      <c r="AE529" s="499"/>
      <c r="AF529" s="499"/>
      <c r="AG529" s="499"/>
      <c r="AH529" s="499"/>
      <c r="AI529" s="499"/>
      <c r="AJ529" s="499"/>
      <c r="AK529" s="499"/>
      <c r="AL529" s="499"/>
      <c r="AM529" s="499"/>
      <c r="AN529" s="499"/>
      <c r="AO529" s="499"/>
      <c r="AP529" s="499"/>
      <c r="AQ529" s="499"/>
      <c r="AR529" s="499"/>
      <c r="AS529" s="499"/>
      <c r="AT529" s="499"/>
      <c r="AU529" s="499"/>
      <c r="AV529" s="461"/>
      <c r="AW529" s="461"/>
      <c r="AX529" s="461"/>
      <c r="AY529" s="461"/>
      <c r="AZ529" s="461"/>
      <c r="BA529" s="461">
        <v>963808.397</v>
      </c>
      <c r="BB529" s="461">
        <v>926621.73</v>
      </c>
      <c r="BC529" s="461">
        <v>1140462.6429999999</v>
      </c>
      <c r="BD529" s="461">
        <v>1411.2455769999999</v>
      </c>
      <c r="BE529" s="461">
        <v>1624.0029259999999</v>
      </c>
      <c r="BF529" s="461">
        <v>1948.0249240000001</v>
      </c>
      <c r="BG529" s="461">
        <v>2262.3541610000002</v>
      </c>
      <c r="BH529" s="307">
        <v>2299.2416779999999</v>
      </c>
      <c r="BI529" s="307">
        <v>3311.8121160000001</v>
      </c>
      <c r="BJ529" s="307"/>
      <c r="BK529" s="307"/>
      <c r="BU529" s="40">
        <f t="shared" si="339"/>
        <v>0</v>
      </c>
      <c r="BV529" s="40">
        <f t="shared" ref="BV529:CD529" si="357">BU529</f>
        <v>0</v>
      </c>
      <c r="BW529" s="40">
        <f t="shared" si="357"/>
        <v>0</v>
      </c>
      <c r="BX529" s="40">
        <f t="shared" si="357"/>
        <v>0</v>
      </c>
      <c r="BY529" s="40">
        <f t="shared" si="357"/>
        <v>0</v>
      </c>
      <c r="BZ529" s="40">
        <f t="shared" si="357"/>
        <v>0</v>
      </c>
      <c r="CA529" s="40">
        <f t="shared" si="357"/>
        <v>0</v>
      </c>
      <c r="CB529" s="40">
        <f t="shared" si="357"/>
        <v>0</v>
      </c>
      <c r="CC529" s="40">
        <f t="shared" si="357"/>
        <v>0</v>
      </c>
      <c r="CD529" s="40">
        <f t="shared" si="357"/>
        <v>0</v>
      </c>
      <c r="CE529" s="307"/>
      <c r="CF529" s="307"/>
      <c r="CG529" s="307"/>
    </row>
    <row r="530" spans="2:91" s="25" customFormat="1">
      <c r="B530" s="749" t="s">
        <v>4074</v>
      </c>
      <c r="C530" s="499"/>
      <c r="D530" s="499"/>
      <c r="E530" s="499"/>
      <c r="F530" s="499"/>
      <c r="G530" s="499"/>
      <c r="H530" s="499"/>
      <c r="I530" s="499"/>
      <c r="J530" s="499"/>
      <c r="K530" s="499"/>
      <c r="L530" s="499"/>
      <c r="M530" s="499"/>
      <c r="N530" s="499"/>
      <c r="O530" s="499"/>
      <c r="P530" s="499"/>
      <c r="Q530" s="499"/>
      <c r="R530" s="499"/>
      <c r="S530" s="499"/>
      <c r="T530" s="499"/>
      <c r="U530" s="499"/>
      <c r="V530" s="499"/>
      <c r="W530" s="499"/>
      <c r="X530" s="499"/>
      <c r="Y530" s="499"/>
      <c r="Z530" s="499"/>
      <c r="AA530" s="499"/>
      <c r="AB530" s="499"/>
      <c r="AC530" s="499"/>
      <c r="AD530" s="499"/>
      <c r="AE530" s="499"/>
      <c r="AF530" s="499"/>
      <c r="AG530" s="499"/>
      <c r="AH530" s="499"/>
      <c r="AI530" s="499"/>
      <c r="AJ530" s="499"/>
      <c r="AK530" s="499"/>
      <c r="AL530" s="499"/>
      <c r="AM530" s="499"/>
      <c r="AN530" s="499"/>
      <c r="AO530" s="499"/>
      <c r="AP530" s="499"/>
      <c r="AQ530" s="499"/>
      <c r="AR530" s="499"/>
      <c r="AS530" s="499"/>
      <c r="AT530" s="499"/>
      <c r="AU530" s="499"/>
      <c r="AV530" s="461"/>
      <c r="AW530" s="461"/>
      <c r="AX530" s="461"/>
      <c r="AY530" s="461"/>
      <c r="AZ530" s="461"/>
      <c r="BA530" s="461">
        <v>233521.076</v>
      </c>
      <c r="BB530" s="461">
        <v>238322.13</v>
      </c>
      <c r="BC530" s="461">
        <v>377556.12599999999</v>
      </c>
      <c r="BD530" s="461">
        <v>484.22381200000001</v>
      </c>
      <c r="BE530" s="461">
        <v>561.436059</v>
      </c>
      <c r="BF530" s="461">
        <v>685.25501899999995</v>
      </c>
      <c r="BG530" s="461">
        <v>872.38640499999997</v>
      </c>
      <c r="BH530" s="307">
        <v>975.44501400000001</v>
      </c>
      <c r="BI530" s="307">
        <v>949.01711499999999</v>
      </c>
      <c r="BJ530" s="307"/>
      <c r="BK530" s="307"/>
      <c r="BU530" s="40">
        <f t="shared" si="339"/>
        <v>0</v>
      </c>
      <c r="BV530" s="40">
        <f t="shared" ref="BV530:CD530" si="358">BU530</f>
        <v>0</v>
      </c>
      <c r="BW530" s="40">
        <f t="shared" si="358"/>
        <v>0</v>
      </c>
      <c r="BX530" s="40">
        <f t="shared" si="358"/>
        <v>0</v>
      </c>
      <c r="BY530" s="40">
        <f t="shared" si="358"/>
        <v>0</v>
      </c>
      <c r="BZ530" s="40">
        <f t="shared" si="358"/>
        <v>0</v>
      </c>
      <c r="CA530" s="40">
        <f t="shared" si="358"/>
        <v>0</v>
      </c>
      <c r="CB530" s="40">
        <f t="shared" si="358"/>
        <v>0</v>
      </c>
      <c r="CC530" s="40">
        <f t="shared" si="358"/>
        <v>0</v>
      </c>
      <c r="CD530" s="40">
        <f t="shared" si="358"/>
        <v>0</v>
      </c>
      <c r="CE530" s="307"/>
      <c r="CF530" s="307"/>
      <c r="CG530" s="307"/>
    </row>
    <row r="531" spans="2:91" s="25" customFormat="1">
      <c r="B531" s="749" t="s">
        <v>4075</v>
      </c>
      <c r="C531" s="499"/>
      <c r="D531" s="499"/>
      <c r="E531" s="499"/>
      <c r="F531" s="499"/>
      <c r="G531" s="499"/>
      <c r="H531" s="499"/>
      <c r="I531" s="499"/>
      <c r="J531" s="499"/>
      <c r="K531" s="499"/>
      <c r="L531" s="499"/>
      <c r="M531" s="499"/>
      <c r="N531" s="499"/>
      <c r="O531" s="499"/>
      <c r="P531" s="499"/>
      <c r="Q531" s="499"/>
      <c r="R531" s="499"/>
      <c r="S531" s="499"/>
      <c r="T531" s="499"/>
      <c r="U531" s="499"/>
      <c r="V531" s="499"/>
      <c r="W531" s="499"/>
      <c r="X531" s="499"/>
      <c r="Y531" s="499"/>
      <c r="Z531" s="499"/>
      <c r="AA531" s="499"/>
      <c r="AB531" s="499"/>
      <c r="AC531" s="499"/>
      <c r="AD531" s="499"/>
      <c r="AE531" s="499"/>
      <c r="AF531" s="499"/>
      <c r="AG531" s="499"/>
      <c r="AH531" s="499"/>
      <c r="AI531" s="499"/>
      <c r="AJ531" s="499"/>
      <c r="AK531" s="499"/>
      <c r="AL531" s="499"/>
      <c r="AM531" s="499"/>
      <c r="AN531" s="499"/>
      <c r="AO531" s="499"/>
      <c r="AP531" s="499"/>
      <c r="AQ531" s="499"/>
      <c r="AR531" s="499"/>
      <c r="AS531" s="499"/>
      <c r="AT531" s="499"/>
      <c r="AU531" s="499"/>
      <c r="AV531" s="461"/>
      <c r="AW531" s="461"/>
      <c r="AX531" s="461"/>
      <c r="AY531" s="461"/>
      <c r="AZ531" s="461"/>
      <c r="BA531" s="461">
        <v>241319.12100000001</v>
      </c>
      <c r="BB531" s="461">
        <v>270109.94799999997</v>
      </c>
      <c r="BC531" s="461">
        <v>372440.79300000001</v>
      </c>
      <c r="BD531" s="461">
        <v>401.33885400000003</v>
      </c>
      <c r="BE531" s="461">
        <v>412.70747899999998</v>
      </c>
      <c r="BF531" s="461">
        <v>573.85743500000001</v>
      </c>
      <c r="BG531" s="461">
        <v>688.99081899999999</v>
      </c>
      <c r="BH531" s="307">
        <v>760.06034799999998</v>
      </c>
      <c r="BI531" s="307">
        <v>768.92643099999998</v>
      </c>
      <c r="BJ531" s="307"/>
      <c r="BK531" s="307"/>
      <c r="BU531" s="40">
        <f t="shared" si="339"/>
        <v>0</v>
      </c>
      <c r="BV531" s="40">
        <f t="shared" ref="BV531:CD531" si="359">BU531</f>
        <v>0</v>
      </c>
      <c r="BW531" s="40">
        <f t="shared" si="359"/>
        <v>0</v>
      </c>
      <c r="BX531" s="40">
        <f t="shared" si="359"/>
        <v>0</v>
      </c>
      <c r="BY531" s="40">
        <f t="shared" si="359"/>
        <v>0</v>
      </c>
      <c r="BZ531" s="40">
        <f t="shared" si="359"/>
        <v>0</v>
      </c>
      <c r="CA531" s="40">
        <f t="shared" si="359"/>
        <v>0</v>
      </c>
      <c r="CB531" s="40">
        <f t="shared" si="359"/>
        <v>0</v>
      </c>
      <c r="CC531" s="40">
        <f t="shared" si="359"/>
        <v>0</v>
      </c>
      <c r="CD531" s="40">
        <f t="shared" si="359"/>
        <v>0</v>
      </c>
      <c r="CE531" s="307"/>
      <c r="CF531" s="307"/>
      <c r="CG531" s="307"/>
    </row>
    <row r="532" spans="2:91" s="25" customFormat="1">
      <c r="B532" s="749" t="s">
        <v>2073</v>
      </c>
      <c r="C532" s="499"/>
      <c r="D532" s="499"/>
      <c r="E532" s="499"/>
      <c r="F532" s="499"/>
      <c r="G532" s="499"/>
      <c r="H532" s="499"/>
      <c r="I532" s="499"/>
      <c r="J532" s="499"/>
      <c r="K532" s="499"/>
      <c r="L532" s="499"/>
      <c r="M532" s="499"/>
      <c r="N532" s="499"/>
      <c r="O532" s="499"/>
      <c r="P532" s="499"/>
      <c r="Q532" s="499"/>
      <c r="R532" s="499"/>
      <c r="S532" s="499"/>
      <c r="T532" s="499"/>
      <c r="U532" s="499"/>
      <c r="V532" s="499"/>
      <c r="W532" s="499"/>
      <c r="X532" s="499"/>
      <c r="Y532" s="499"/>
      <c r="Z532" s="499"/>
      <c r="AA532" s="499"/>
      <c r="AB532" s="499"/>
      <c r="AC532" s="499"/>
      <c r="AD532" s="499"/>
      <c r="AE532" s="499"/>
      <c r="AF532" s="499"/>
      <c r="AG532" s="499"/>
      <c r="AH532" s="499"/>
      <c r="AI532" s="499"/>
      <c r="AJ532" s="499"/>
      <c r="AK532" s="499"/>
      <c r="AL532" s="499"/>
      <c r="AM532" s="499"/>
      <c r="AN532" s="499"/>
      <c r="AO532" s="499"/>
      <c r="AP532" s="499"/>
      <c r="AQ532" s="499"/>
      <c r="AR532" s="499"/>
      <c r="AS532" s="499"/>
      <c r="AT532" s="499"/>
      <c r="AU532" s="499"/>
      <c r="AV532" s="461"/>
      <c r="AW532" s="461"/>
      <c r="AX532" s="461"/>
      <c r="AY532" s="461"/>
      <c r="AZ532" s="461"/>
      <c r="BA532" s="461">
        <v>333586.07199999999</v>
      </c>
      <c r="BB532" s="461">
        <v>303673.679</v>
      </c>
      <c r="BC532" s="461">
        <v>219619.98199999999</v>
      </c>
      <c r="BD532" s="461">
        <v>283.32072899999997</v>
      </c>
      <c r="BE532" s="461">
        <v>336.96959800000002</v>
      </c>
      <c r="BF532" s="461">
        <v>423.12302299999999</v>
      </c>
      <c r="BG532" s="461">
        <v>347.72191099999998</v>
      </c>
      <c r="BH532" s="307">
        <v>230.36402200000001</v>
      </c>
      <c r="BI532" s="307">
        <v>442.46770800000002</v>
      </c>
      <c r="BJ532" s="307"/>
      <c r="BK532" s="307"/>
      <c r="BU532" s="40">
        <f t="shared" si="339"/>
        <v>0</v>
      </c>
      <c r="BV532" s="40">
        <f t="shared" ref="BV532:CD532" si="360">BU532</f>
        <v>0</v>
      </c>
      <c r="BW532" s="40">
        <f t="shared" si="360"/>
        <v>0</v>
      </c>
      <c r="BX532" s="40">
        <f t="shared" si="360"/>
        <v>0</v>
      </c>
      <c r="BY532" s="40">
        <f t="shared" si="360"/>
        <v>0</v>
      </c>
      <c r="BZ532" s="40">
        <f t="shared" si="360"/>
        <v>0</v>
      </c>
      <c r="CA532" s="40">
        <f t="shared" si="360"/>
        <v>0</v>
      </c>
      <c r="CB532" s="40">
        <f t="shared" si="360"/>
        <v>0</v>
      </c>
      <c r="CC532" s="40">
        <f t="shared" si="360"/>
        <v>0</v>
      </c>
      <c r="CD532" s="40">
        <f t="shared" si="360"/>
        <v>0</v>
      </c>
      <c r="CE532" s="307"/>
      <c r="CF532" s="307"/>
      <c r="CG532" s="307"/>
    </row>
    <row r="533" spans="2:91" s="25" customFormat="1">
      <c r="B533" s="749" t="s">
        <v>803</v>
      </c>
      <c r="C533" s="499"/>
      <c r="D533" s="499"/>
      <c r="E533" s="499"/>
      <c r="F533" s="499"/>
      <c r="G533" s="499"/>
      <c r="H533" s="499"/>
      <c r="I533" s="499"/>
      <c r="J533" s="499"/>
      <c r="K533" s="499"/>
      <c r="L533" s="499"/>
      <c r="M533" s="499"/>
      <c r="N533" s="499"/>
      <c r="O533" s="499"/>
      <c r="P533" s="499"/>
      <c r="Q533" s="499"/>
      <c r="R533" s="499"/>
      <c r="S533" s="499"/>
      <c r="T533" s="499"/>
      <c r="U533" s="499"/>
      <c r="V533" s="499"/>
      <c r="W533" s="499"/>
      <c r="X533" s="499"/>
      <c r="Y533" s="499"/>
      <c r="Z533" s="499"/>
      <c r="AA533" s="499"/>
      <c r="AB533" s="499"/>
      <c r="AC533" s="499"/>
      <c r="AD533" s="499"/>
      <c r="AE533" s="499"/>
      <c r="AF533" s="499"/>
      <c r="AG533" s="499"/>
      <c r="AH533" s="499"/>
      <c r="AI533" s="499"/>
      <c r="AJ533" s="499"/>
      <c r="AK533" s="499"/>
      <c r="AL533" s="499"/>
      <c r="AM533" s="499"/>
      <c r="AN533" s="499"/>
      <c r="AO533" s="499"/>
      <c r="AP533" s="499"/>
      <c r="AQ533" s="499"/>
      <c r="AR533" s="499"/>
      <c r="AS533" s="499"/>
      <c r="AT533" s="499"/>
      <c r="AU533" s="499"/>
      <c r="AV533" s="461"/>
      <c r="AW533" s="461"/>
      <c r="AX533" s="461"/>
      <c r="AY533" s="461"/>
      <c r="AZ533" s="461"/>
      <c r="BA533" s="461">
        <v>91905.881999999998</v>
      </c>
      <c r="BB533" s="461">
        <v>15687.333000000001</v>
      </c>
      <c r="BC533" s="461">
        <v>68627.130999999994</v>
      </c>
      <c r="BD533" s="461">
        <v>95.769481999999996</v>
      </c>
      <c r="BE533" s="461">
        <v>98.633219999999994</v>
      </c>
      <c r="BF533" s="461">
        <v>0</v>
      </c>
      <c r="BG533" s="461">
        <v>27.095155999999999</v>
      </c>
      <c r="BH533" s="307">
        <v>0</v>
      </c>
      <c r="BI533" s="307">
        <v>500.635874</v>
      </c>
      <c r="BJ533" s="307"/>
      <c r="BK533" s="307"/>
      <c r="BU533" s="40">
        <f t="shared" si="339"/>
        <v>0</v>
      </c>
      <c r="BV533" s="40">
        <f t="shared" ref="BV533:CD533" si="361">BU533</f>
        <v>0</v>
      </c>
      <c r="BW533" s="40">
        <f t="shared" si="361"/>
        <v>0</v>
      </c>
      <c r="BX533" s="40">
        <f t="shared" si="361"/>
        <v>0</v>
      </c>
      <c r="BY533" s="40">
        <f t="shared" si="361"/>
        <v>0</v>
      </c>
      <c r="BZ533" s="40">
        <f t="shared" si="361"/>
        <v>0</v>
      </c>
      <c r="CA533" s="40">
        <f t="shared" si="361"/>
        <v>0</v>
      </c>
      <c r="CB533" s="40">
        <f t="shared" si="361"/>
        <v>0</v>
      </c>
      <c r="CC533" s="40">
        <f t="shared" si="361"/>
        <v>0</v>
      </c>
      <c r="CD533" s="40">
        <f t="shared" si="361"/>
        <v>0</v>
      </c>
      <c r="CE533" s="307"/>
      <c r="CF533" s="307"/>
      <c r="CG533" s="307"/>
    </row>
    <row r="534" spans="2:91" s="25" customFormat="1">
      <c r="B534" s="785" t="s">
        <v>2358</v>
      </c>
      <c r="C534" s="499"/>
      <c r="D534" s="499"/>
      <c r="E534" s="499"/>
      <c r="F534" s="499"/>
      <c r="G534" s="499"/>
      <c r="H534" s="499"/>
      <c r="I534" s="499"/>
      <c r="J534" s="499"/>
      <c r="K534" s="499"/>
      <c r="L534" s="499"/>
      <c r="M534" s="499"/>
      <c r="N534" s="499"/>
      <c r="O534" s="499"/>
      <c r="P534" s="499"/>
      <c r="Q534" s="499"/>
      <c r="R534" s="499"/>
      <c r="S534" s="499"/>
      <c r="T534" s="499"/>
      <c r="U534" s="499"/>
      <c r="V534" s="499"/>
      <c r="W534" s="499"/>
      <c r="X534" s="499"/>
      <c r="Y534" s="499"/>
      <c r="Z534" s="499"/>
      <c r="AA534" s="499"/>
      <c r="AB534" s="499"/>
      <c r="AC534" s="499"/>
      <c r="AD534" s="499"/>
      <c r="AE534" s="499"/>
      <c r="AF534" s="499"/>
      <c r="AG534" s="499"/>
      <c r="AH534" s="499"/>
      <c r="AI534" s="499"/>
      <c r="AJ534" s="499"/>
      <c r="AK534" s="499"/>
      <c r="AL534" s="499"/>
      <c r="AM534" s="499"/>
      <c r="AN534" s="499"/>
      <c r="AO534" s="499"/>
      <c r="AP534" s="499"/>
      <c r="AQ534" s="499"/>
      <c r="AR534" s="499"/>
      <c r="AS534" s="499"/>
      <c r="AT534" s="499"/>
      <c r="AU534" s="499"/>
      <c r="AV534" s="461"/>
      <c r="AW534" s="461"/>
      <c r="AX534" s="461"/>
      <c r="AY534" s="461"/>
      <c r="AZ534" s="456">
        <f t="shared" ref="AZ534:BE534" si="362">AZ371+AZ374+AZ375+AZ376+AZ377+AZ378+AZ379</f>
        <v>0</v>
      </c>
      <c r="BA534" s="493">
        <f t="shared" si="362"/>
        <v>9815.5149999999994</v>
      </c>
      <c r="BB534" s="493">
        <f>BB371+BB375+BB377+BB378+BB379</f>
        <v>16069.535</v>
      </c>
      <c r="BC534" s="493">
        <f t="shared" si="362"/>
        <v>38133.089999999997</v>
      </c>
      <c r="BD534" s="493">
        <f t="shared" si="362"/>
        <v>47.304103999999995</v>
      </c>
      <c r="BE534" s="493">
        <f t="shared" si="362"/>
        <v>54.475427999999994</v>
      </c>
      <c r="BF534" s="493">
        <f>BF371+BF374+BF375+BF376+BF377+BF378+BF379</f>
        <v>68.952179000000001</v>
      </c>
      <c r="BG534" s="456">
        <f>BG371+SUM(BG374:BG379)+BG412+BG415+BG416+BG421+BG422+BG423+SUM(BG430:BG435)</f>
        <v>97.419702000000001</v>
      </c>
      <c r="BH534" s="456">
        <f>BH371+SUM(BH374:BH379)+BH412+BH415+BH416+BH421+BH422+BH423+SUM(BH430:BH435)</f>
        <v>94.607525999999993</v>
      </c>
      <c r="BI534" s="456">
        <f>BI371+SUM(BI374:BI379)+BI412+BI415+BI416+BI421+BI422+BI423+SUM(BI430:BI435)</f>
        <v>106.93075</v>
      </c>
      <c r="BJ534" s="307"/>
      <c r="BK534" s="307"/>
      <c r="BU534" s="40">
        <f t="shared" si="339"/>
        <v>0</v>
      </c>
      <c r="BV534" s="40">
        <f t="shared" ref="BV534:CD534" si="363">BU534</f>
        <v>0</v>
      </c>
      <c r="BW534" s="40">
        <f t="shared" si="363"/>
        <v>0</v>
      </c>
      <c r="BX534" s="40">
        <f t="shared" si="363"/>
        <v>0</v>
      </c>
      <c r="BY534" s="40">
        <f t="shared" si="363"/>
        <v>0</v>
      </c>
      <c r="BZ534" s="40">
        <f t="shared" si="363"/>
        <v>0</v>
      </c>
      <c r="CA534" s="40">
        <f t="shared" si="363"/>
        <v>0</v>
      </c>
      <c r="CB534" s="40">
        <f t="shared" si="363"/>
        <v>0</v>
      </c>
      <c r="CC534" s="40">
        <f t="shared" si="363"/>
        <v>0</v>
      </c>
      <c r="CD534" s="40">
        <f t="shared" si="363"/>
        <v>0</v>
      </c>
      <c r="CE534" s="307"/>
      <c r="CF534" s="307"/>
      <c r="CG534" s="307"/>
    </row>
    <row r="535" spans="2:91" s="25" customFormat="1">
      <c r="B535" s="499"/>
      <c r="C535" s="499"/>
      <c r="D535" s="499"/>
      <c r="E535" s="499"/>
      <c r="F535" s="499"/>
      <c r="G535" s="499"/>
      <c r="H535" s="499"/>
      <c r="I535" s="499"/>
      <c r="J535" s="499"/>
      <c r="K535" s="499"/>
      <c r="L535" s="499"/>
      <c r="M535" s="499"/>
      <c r="N535" s="499"/>
      <c r="O535" s="499"/>
      <c r="P535" s="499"/>
      <c r="Q535" s="499"/>
      <c r="R535" s="499"/>
      <c r="S535" s="499"/>
      <c r="T535" s="499"/>
      <c r="U535" s="499"/>
      <c r="V535" s="499"/>
      <c r="W535" s="499"/>
      <c r="X535" s="499"/>
      <c r="Y535" s="499"/>
      <c r="Z535" s="499"/>
      <c r="AA535" s="499"/>
      <c r="AB535" s="499"/>
      <c r="AC535" s="499"/>
      <c r="AD535" s="499"/>
      <c r="AE535" s="499"/>
      <c r="AF535" s="499"/>
      <c r="AG535" s="499"/>
      <c r="AH535" s="499"/>
      <c r="AI535" s="499"/>
      <c r="AJ535" s="499"/>
      <c r="AK535" s="499"/>
      <c r="AL535" s="499"/>
      <c r="AM535" s="499"/>
      <c r="AN535" s="499"/>
      <c r="AO535" s="499"/>
      <c r="AP535" s="499"/>
      <c r="AQ535" s="499"/>
      <c r="AR535" s="499"/>
      <c r="AS535" s="499"/>
      <c r="AT535" s="499"/>
      <c r="AU535" s="499"/>
      <c r="AV535" s="461"/>
      <c r="AW535" s="461"/>
      <c r="AX535" s="461"/>
      <c r="AY535" s="461"/>
      <c r="AZ535" s="461"/>
      <c r="BA535" s="461"/>
      <c r="BB535" s="461"/>
      <c r="BC535" s="461"/>
      <c r="BD535" s="461"/>
      <c r="BE535" s="461"/>
      <c r="BF535" s="461"/>
      <c r="BG535" s="461"/>
      <c r="BH535" s="307"/>
      <c r="BI535" s="307"/>
      <c r="BJ535" s="307"/>
      <c r="BK535" s="307"/>
      <c r="BU535" s="40">
        <f t="shared" si="339"/>
        <v>0</v>
      </c>
      <c r="BV535" s="40">
        <f t="shared" ref="BV535:CD535" si="364">BU535</f>
        <v>0</v>
      </c>
      <c r="BW535" s="40">
        <f t="shared" si="364"/>
        <v>0</v>
      </c>
      <c r="BX535" s="40">
        <f t="shared" si="364"/>
        <v>0</v>
      </c>
      <c r="BY535" s="40">
        <f t="shared" si="364"/>
        <v>0</v>
      </c>
      <c r="BZ535" s="40">
        <f t="shared" si="364"/>
        <v>0</v>
      </c>
      <c r="CA535" s="40">
        <f t="shared" si="364"/>
        <v>0</v>
      </c>
      <c r="CB535" s="40">
        <f t="shared" si="364"/>
        <v>0</v>
      </c>
      <c r="CC535" s="40">
        <f t="shared" si="364"/>
        <v>0</v>
      </c>
      <c r="CD535" s="40">
        <f t="shared" si="364"/>
        <v>0</v>
      </c>
      <c r="CE535" s="307"/>
      <c r="CF535" s="307"/>
      <c r="CG535" s="307"/>
    </row>
    <row r="536" spans="2:91" s="25" customFormat="1">
      <c r="B536" s="647" t="s">
        <v>1490</v>
      </c>
      <c r="C536" s="499"/>
      <c r="D536" s="499"/>
      <c r="E536" s="499"/>
      <c r="F536" s="499"/>
      <c r="G536" s="499"/>
      <c r="H536" s="499"/>
      <c r="I536" s="499"/>
      <c r="J536" s="499"/>
      <c r="K536" s="499"/>
      <c r="L536" s="499"/>
      <c r="M536" s="499"/>
      <c r="N536" s="499"/>
      <c r="O536" s="499"/>
      <c r="P536" s="499"/>
      <c r="Q536" s="499"/>
      <c r="R536" s="499"/>
      <c r="S536" s="499"/>
      <c r="T536" s="499"/>
      <c r="U536" s="499"/>
      <c r="V536" s="499"/>
      <c r="W536" s="499"/>
      <c r="X536" s="499"/>
      <c r="Y536" s="499"/>
      <c r="Z536" s="499"/>
      <c r="AA536" s="499"/>
      <c r="AB536" s="499"/>
      <c r="AC536" s="499"/>
      <c r="AD536" s="499"/>
      <c r="AE536" s="499"/>
      <c r="AF536" s="499"/>
      <c r="AG536" s="499"/>
      <c r="AH536" s="499"/>
      <c r="AI536" s="499"/>
      <c r="AJ536" s="499"/>
      <c r="AK536" s="499"/>
      <c r="AL536" s="499"/>
      <c r="AM536" s="499"/>
      <c r="AN536" s="499"/>
      <c r="AO536" s="499"/>
      <c r="AP536" s="499"/>
      <c r="AQ536" s="499"/>
      <c r="AR536" s="499"/>
      <c r="AS536" s="499"/>
      <c r="AT536" s="499"/>
      <c r="AU536" s="499"/>
      <c r="AV536" s="461"/>
      <c r="AW536" s="461"/>
      <c r="AX536" s="461"/>
      <c r="AY536" s="461"/>
      <c r="AZ536" s="456">
        <f t="shared" ref="AZ536:BE536" si="365">AZ529-(AZ530+AZ531+AZ532+AZ533)</f>
        <v>0</v>
      </c>
      <c r="BA536" s="493">
        <f t="shared" si="365"/>
        <v>63476.245999999926</v>
      </c>
      <c r="BB536" s="493">
        <f t="shared" si="365"/>
        <v>98828.640000000014</v>
      </c>
      <c r="BC536" s="493">
        <f t="shared" si="365"/>
        <v>102218.61100000003</v>
      </c>
      <c r="BD536" s="493">
        <f t="shared" si="365"/>
        <v>146.59269999999992</v>
      </c>
      <c r="BE536" s="493">
        <f t="shared" si="365"/>
        <v>214.25657000000001</v>
      </c>
      <c r="BF536" s="493">
        <f>BF529-(BF530+BF531+BF532+BF533)</f>
        <v>265.78944699999988</v>
      </c>
      <c r="BG536" s="456">
        <f>BG529-(BG530+BG531+BG532+BG533)</f>
        <v>326.15987000000018</v>
      </c>
      <c r="BH536" s="456">
        <f>BH529-(BH530+BH531+BH532+BH533)</f>
        <v>333.37229400000001</v>
      </c>
      <c r="BI536" s="456">
        <f>BI529-(BI530+BI531+BI532+BI533)</f>
        <v>650.7649879999999</v>
      </c>
      <c r="BJ536" s="307"/>
      <c r="BK536" s="307"/>
      <c r="BU536" s="40">
        <f t="shared" si="339"/>
        <v>0</v>
      </c>
      <c r="BV536" s="40">
        <f t="shared" ref="BV536:CD536" si="366">BU536</f>
        <v>0</v>
      </c>
      <c r="BW536" s="40">
        <f t="shared" si="366"/>
        <v>0</v>
      </c>
      <c r="BX536" s="40">
        <f t="shared" si="366"/>
        <v>0</v>
      </c>
      <c r="BY536" s="40">
        <f t="shared" si="366"/>
        <v>0</v>
      </c>
      <c r="BZ536" s="40">
        <f t="shared" si="366"/>
        <v>0</v>
      </c>
      <c r="CA536" s="40">
        <f t="shared" si="366"/>
        <v>0</v>
      </c>
      <c r="CB536" s="40">
        <f t="shared" si="366"/>
        <v>0</v>
      </c>
      <c r="CC536" s="40">
        <f t="shared" si="366"/>
        <v>0</v>
      </c>
      <c r="CD536" s="40">
        <f t="shared" si="366"/>
        <v>0</v>
      </c>
      <c r="CE536" s="307"/>
      <c r="CF536" s="307"/>
      <c r="CG536" s="307"/>
    </row>
    <row r="537" spans="2:91" s="25" customFormat="1">
      <c r="B537" s="499" t="s">
        <v>1491</v>
      </c>
      <c r="C537" s="499"/>
      <c r="D537" s="499"/>
      <c r="E537" s="499"/>
      <c r="F537" s="499"/>
      <c r="G537" s="499"/>
      <c r="H537" s="499"/>
      <c r="I537" s="499"/>
      <c r="J537" s="499"/>
      <c r="K537" s="499"/>
      <c r="L537" s="499"/>
      <c r="M537" s="499"/>
      <c r="N537" s="499"/>
      <c r="O537" s="499"/>
      <c r="P537" s="499"/>
      <c r="Q537" s="499"/>
      <c r="R537" s="499"/>
      <c r="S537" s="499"/>
      <c r="T537" s="499"/>
      <c r="U537" s="499"/>
      <c r="V537" s="499"/>
      <c r="W537" s="499"/>
      <c r="X537" s="499"/>
      <c r="Y537" s="499"/>
      <c r="Z537" s="499"/>
      <c r="AA537" s="499"/>
      <c r="AB537" s="499"/>
      <c r="AC537" s="499"/>
      <c r="AD537" s="499"/>
      <c r="AE537" s="499"/>
      <c r="AF537" s="499"/>
      <c r="AG537" s="499"/>
      <c r="AH537" s="499"/>
      <c r="AI537" s="499"/>
      <c r="AJ537" s="499"/>
      <c r="AK537" s="499"/>
      <c r="AL537" s="499"/>
      <c r="AM537" s="499"/>
      <c r="AN537" s="499"/>
      <c r="AO537" s="499"/>
      <c r="AP537" s="499"/>
      <c r="AQ537" s="499"/>
      <c r="AR537" s="499"/>
      <c r="AS537" s="499"/>
      <c r="AT537" s="499"/>
      <c r="AU537" s="499"/>
      <c r="AV537" s="461"/>
      <c r="AW537" s="461"/>
      <c r="AX537" s="461"/>
      <c r="AY537" s="461"/>
      <c r="AZ537" s="461"/>
      <c r="BA537" s="461"/>
      <c r="BB537" s="461"/>
      <c r="BC537" s="461"/>
      <c r="BD537" s="461"/>
      <c r="BE537" s="461"/>
      <c r="BF537" s="461"/>
      <c r="BG537" s="461"/>
      <c r="BH537" s="307"/>
      <c r="BI537" s="307"/>
      <c r="BJ537" s="307"/>
      <c r="BK537" s="307"/>
      <c r="BU537" s="40">
        <f t="shared" si="339"/>
        <v>0</v>
      </c>
      <c r="BV537" s="40">
        <f t="shared" ref="BV537:CD537" si="367">BU537</f>
        <v>0</v>
      </c>
      <c r="BW537" s="40">
        <f t="shared" si="367"/>
        <v>0</v>
      </c>
      <c r="BX537" s="40">
        <f t="shared" si="367"/>
        <v>0</v>
      </c>
      <c r="BY537" s="40">
        <f t="shared" si="367"/>
        <v>0</v>
      </c>
      <c r="BZ537" s="40">
        <f t="shared" si="367"/>
        <v>0</v>
      </c>
      <c r="CA537" s="40">
        <f t="shared" si="367"/>
        <v>0</v>
      </c>
      <c r="CB537" s="40">
        <f t="shared" si="367"/>
        <v>0</v>
      </c>
      <c r="CC537" s="40">
        <f t="shared" si="367"/>
        <v>0</v>
      </c>
      <c r="CD537" s="40">
        <f t="shared" si="367"/>
        <v>0</v>
      </c>
      <c r="CE537" s="307"/>
      <c r="CF537" s="307"/>
      <c r="CG537" s="307"/>
    </row>
    <row r="538" spans="2:91" s="25" customFormat="1">
      <c r="B538" s="499" t="s">
        <v>1492</v>
      </c>
      <c r="C538" s="499"/>
      <c r="D538" s="499"/>
      <c r="E538" s="499"/>
      <c r="F538" s="499"/>
      <c r="G538" s="499"/>
      <c r="H538" s="499"/>
      <c r="I538" s="499"/>
      <c r="J538" s="499"/>
      <c r="K538" s="499"/>
      <c r="L538" s="499"/>
      <c r="M538" s="499"/>
      <c r="N538" s="499"/>
      <c r="O538" s="499"/>
      <c r="P538" s="499"/>
      <c r="Q538" s="499"/>
      <c r="R538" s="499"/>
      <c r="S538" s="499"/>
      <c r="T538" s="499"/>
      <c r="U538" s="499"/>
      <c r="V538" s="499"/>
      <c r="W538" s="499"/>
      <c r="X538" s="499"/>
      <c r="Y538" s="499"/>
      <c r="Z538" s="499"/>
      <c r="AA538" s="499"/>
      <c r="AB538" s="499"/>
      <c r="AC538" s="499"/>
      <c r="AD538" s="499"/>
      <c r="AE538" s="499"/>
      <c r="AF538" s="499"/>
      <c r="AG538" s="499"/>
      <c r="AH538" s="499"/>
      <c r="AI538" s="499"/>
      <c r="AJ538" s="499"/>
      <c r="AK538" s="499"/>
      <c r="AL538" s="499"/>
      <c r="AM538" s="499"/>
      <c r="AN538" s="499"/>
      <c r="AO538" s="499"/>
      <c r="AP538" s="499"/>
      <c r="AQ538" s="499"/>
      <c r="AR538" s="499"/>
      <c r="AS538" s="499"/>
      <c r="AT538" s="499"/>
      <c r="AU538" s="499"/>
      <c r="AV538" s="461"/>
      <c r="AW538" s="461"/>
      <c r="AX538" s="461"/>
      <c r="AY538" s="461"/>
      <c r="AZ538" s="461"/>
      <c r="BA538" s="461"/>
      <c r="BB538" s="461"/>
      <c r="BC538" s="461"/>
      <c r="BD538" s="461"/>
      <c r="BE538" s="461"/>
      <c r="BF538" s="461"/>
      <c r="BG538" s="461"/>
      <c r="BH538" s="307"/>
      <c r="BI538" s="307"/>
      <c r="BJ538" s="307"/>
      <c r="BK538" s="307"/>
      <c r="BL538" s="307"/>
      <c r="BM538" s="307"/>
      <c r="BN538" s="307"/>
      <c r="BO538" s="307"/>
      <c r="BU538" s="40">
        <f t="shared" si="339"/>
        <v>0</v>
      </c>
      <c r="BV538" s="40">
        <f t="shared" ref="BV538:CD538" si="368">BU538</f>
        <v>0</v>
      </c>
      <c r="BW538" s="40">
        <f t="shared" si="368"/>
        <v>0</v>
      </c>
      <c r="BX538" s="40">
        <f t="shared" si="368"/>
        <v>0</v>
      </c>
      <c r="BY538" s="40">
        <f t="shared" si="368"/>
        <v>0</v>
      </c>
      <c r="BZ538" s="40">
        <f t="shared" si="368"/>
        <v>0</v>
      </c>
      <c r="CA538" s="40">
        <f t="shared" si="368"/>
        <v>0</v>
      </c>
      <c r="CB538" s="40">
        <f t="shared" si="368"/>
        <v>0</v>
      </c>
      <c r="CC538" s="40">
        <f t="shared" si="368"/>
        <v>0</v>
      </c>
      <c r="CD538" s="40">
        <f t="shared" si="368"/>
        <v>0</v>
      </c>
      <c r="CE538" s="307"/>
      <c r="CF538" s="307"/>
      <c r="CG538" s="307"/>
      <c r="CM538" s="307"/>
    </row>
    <row r="539" spans="2:91" s="25" customFormat="1">
      <c r="B539" s="25" t="s">
        <v>2401</v>
      </c>
      <c r="C539" s="499"/>
      <c r="D539" s="499"/>
      <c r="E539" s="499"/>
      <c r="F539" s="499"/>
      <c r="G539" s="499"/>
      <c r="H539" s="499"/>
      <c r="I539" s="499"/>
      <c r="J539" s="499"/>
      <c r="K539" s="499"/>
      <c r="L539" s="499"/>
      <c r="M539" s="499"/>
      <c r="N539" s="499"/>
      <c r="O539" s="499"/>
      <c r="P539" s="499"/>
      <c r="Q539" s="499"/>
      <c r="R539" s="499"/>
      <c r="S539" s="499"/>
      <c r="T539" s="499"/>
      <c r="U539" s="499"/>
      <c r="V539" s="499"/>
      <c r="W539" s="499"/>
      <c r="X539" s="499"/>
      <c r="Y539" s="499"/>
      <c r="Z539" s="499"/>
      <c r="AA539" s="499"/>
      <c r="AB539" s="499"/>
      <c r="AC539" s="499"/>
      <c r="AD539" s="499"/>
      <c r="AE539" s="499"/>
      <c r="AF539" s="499"/>
      <c r="AG539" s="499"/>
      <c r="AH539" s="499"/>
      <c r="AI539" s="499"/>
      <c r="AJ539" s="499"/>
      <c r="AK539" s="499"/>
      <c r="AL539" s="499"/>
      <c r="AM539" s="499"/>
      <c r="AN539" s="499"/>
      <c r="AO539" s="499"/>
      <c r="AP539" s="499"/>
      <c r="AQ539" s="499"/>
      <c r="AR539" s="499"/>
      <c r="AS539" s="499"/>
      <c r="AT539" s="499"/>
      <c r="AU539" s="499"/>
      <c r="AV539" s="461"/>
      <c r="AW539" s="461"/>
      <c r="AX539" s="461"/>
      <c r="AY539" s="461"/>
      <c r="AZ539" s="461"/>
      <c r="BA539" s="461"/>
      <c r="BB539" s="461"/>
      <c r="BC539" s="461"/>
      <c r="BD539" s="461"/>
      <c r="BE539" s="461"/>
      <c r="BF539" s="461">
        <v>38.930844999999998</v>
      </c>
      <c r="BG539" s="461">
        <v>423.22534200000001</v>
      </c>
      <c r="BH539" s="307">
        <v>243.58499699999999</v>
      </c>
      <c r="BI539" s="307">
        <v>354.07048700000001</v>
      </c>
      <c r="BJ539" s="307"/>
      <c r="BK539" s="475">
        <f>BK547+BK548+BK550+BK551+BK552+BK564+BK567</f>
        <v>134.61837199999999</v>
      </c>
      <c r="BL539" s="475">
        <f t="shared" ref="BL539:BS539" si="369">BL547+BL548+BL550+BL551+BL552+BL564+BL567</f>
        <v>144.98000000000002</v>
      </c>
      <c r="BM539" s="475">
        <f t="shared" si="369"/>
        <v>179.304</v>
      </c>
      <c r="BN539" s="475">
        <f t="shared" si="369"/>
        <v>195.14000000000001</v>
      </c>
      <c r="BO539" s="475">
        <f t="shared" si="369"/>
        <v>212.59599999999998</v>
      </c>
      <c r="BP539" s="475">
        <f t="shared" si="369"/>
        <v>231.85400000000001</v>
      </c>
      <c r="BQ539" s="475">
        <f t="shared" si="369"/>
        <v>253.12799999999999</v>
      </c>
      <c r="BR539" s="475">
        <f t="shared" si="369"/>
        <v>253.12799999999999</v>
      </c>
      <c r="BS539" s="475">
        <f t="shared" si="369"/>
        <v>253.12799999999999</v>
      </c>
      <c r="BU539" s="40">
        <f t="shared" si="339"/>
        <v>0</v>
      </c>
      <c r="BV539" s="40">
        <f t="shared" ref="BV539:CD539" si="370">BU539</f>
        <v>0</v>
      </c>
      <c r="BW539" s="40">
        <f t="shared" si="370"/>
        <v>0</v>
      </c>
      <c r="BX539" s="40">
        <f t="shared" si="370"/>
        <v>0</v>
      </c>
      <c r="BY539" s="40">
        <f t="shared" si="370"/>
        <v>0</v>
      </c>
      <c r="BZ539" s="40">
        <f t="shared" si="370"/>
        <v>0</v>
      </c>
      <c r="CA539" s="40">
        <f t="shared" si="370"/>
        <v>0</v>
      </c>
      <c r="CB539" s="40">
        <f t="shared" si="370"/>
        <v>0</v>
      </c>
      <c r="CC539" s="40">
        <f t="shared" si="370"/>
        <v>0</v>
      </c>
      <c r="CD539" s="40">
        <f t="shared" si="370"/>
        <v>0</v>
      </c>
      <c r="CE539" s="307"/>
      <c r="CF539" s="307"/>
      <c r="CG539" s="307"/>
      <c r="CM539" s="475">
        <f>CM547+CM548+CM550+CM551+CM552+CM564+CM567</f>
        <v>139.30000000000001</v>
      </c>
    </row>
    <row r="540" spans="2:91" s="25" customFormat="1">
      <c r="B540" s="499"/>
      <c r="C540" s="499"/>
      <c r="D540" s="499"/>
      <c r="E540" s="499"/>
      <c r="F540" s="499"/>
      <c r="G540" s="499"/>
      <c r="H540" s="499"/>
      <c r="I540" s="499"/>
      <c r="J540" s="499"/>
      <c r="K540" s="499"/>
      <c r="L540" s="499"/>
      <c r="M540" s="499"/>
      <c r="N540" s="499"/>
      <c r="O540" s="499"/>
      <c r="P540" s="499"/>
      <c r="Q540" s="499"/>
      <c r="R540" s="499"/>
      <c r="S540" s="499"/>
      <c r="T540" s="499"/>
      <c r="U540" s="499"/>
      <c r="V540" s="499"/>
      <c r="W540" s="499"/>
      <c r="X540" s="499"/>
      <c r="Y540" s="499"/>
      <c r="Z540" s="499"/>
      <c r="AA540" s="499"/>
      <c r="AB540" s="499"/>
      <c r="AC540" s="499"/>
      <c r="AD540" s="499"/>
      <c r="AE540" s="499"/>
      <c r="AF540" s="499"/>
      <c r="AG540" s="499"/>
      <c r="AH540" s="499"/>
      <c r="AI540" s="499"/>
      <c r="AJ540" s="499"/>
      <c r="AK540" s="499"/>
      <c r="AL540" s="499"/>
      <c r="AM540" s="499"/>
      <c r="AN540" s="499"/>
      <c r="AO540" s="499"/>
      <c r="AP540" s="499"/>
      <c r="AQ540" s="499"/>
      <c r="AR540" s="499"/>
      <c r="AS540" s="499"/>
      <c r="AT540" s="499"/>
      <c r="AU540" s="499"/>
      <c r="AV540" s="461"/>
      <c r="AW540" s="461"/>
      <c r="AX540" s="461"/>
      <c r="AY540" s="461"/>
      <c r="AZ540" s="461"/>
      <c r="BA540" s="461"/>
      <c r="BB540" s="461"/>
      <c r="BC540" s="461"/>
      <c r="BD540" s="461"/>
      <c r="BE540" s="461"/>
      <c r="BF540" s="461"/>
      <c r="BG540" s="461"/>
      <c r="BH540" s="307"/>
      <c r="BJ540" s="307"/>
      <c r="BK540" s="307">
        <f t="shared" ref="BK540:BS540" si="371">BK541-BK545</f>
        <v>91.19295899999986</v>
      </c>
      <c r="BL540" s="307">
        <f t="shared" si="371"/>
        <v>282.99</v>
      </c>
      <c r="BM540" s="888">
        <f t="shared" si="371"/>
        <v>1.9999999949504854E-5</v>
      </c>
      <c r="BN540" s="888">
        <f t="shared" si="371"/>
        <v>1.0999999858540832E-5</v>
      </c>
      <c r="BO540" s="1013">
        <f t="shared" si="371"/>
        <v>3.6699999998290878E-4</v>
      </c>
      <c r="BP540" s="1013">
        <f t="shared" si="371"/>
        <v>3.6700000009659561E-4</v>
      </c>
      <c r="BQ540" s="1013">
        <f t="shared" si="371"/>
        <v>1.5099999995982216E-4</v>
      </c>
      <c r="BR540" s="1013">
        <f t="shared" si="371"/>
        <v>1.5099999995982216E-4</v>
      </c>
      <c r="BS540" s="1013">
        <f t="shared" si="371"/>
        <v>1.5099999995982216E-4</v>
      </c>
      <c r="BU540" s="40">
        <f t="shared" si="339"/>
        <v>0</v>
      </c>
      <c r="BV540" s="40">
        <f t="shared" ref="BV540:CD540" si="372">BU540</f>
        <v>0</v>
      </c>
      <c r="BW540" s="40">
        <f t="shared" si="372"/>
        <v>0</v>
      </c>
      <c r="BX540" s="40">
        <f t="shared" si="372"/>
        <v>0</v>
      </c>
      <c r="BY540" s="40">
        <f t="shared" si="372"/>
        <v>0</v>
      </c>
      <c r="BZ540" s="40">
        <f t="shared" si="372"/>
        <v>0</v>
      </c>
      <c r="CA540" s="40">
        <f t="shared" si="372"/>
        <v>0</v>
      </c>
      <c r="CB540" s="40">
        <f t="shared" si="372"/>
        <v>0</v>
      </c>
      <c r="CC540" s="40">
        <f t="shared" si="372"/>
        <v>0</v>
      </c>
      <c r="CD540" s="40">
        <f t="shared" si="372"/>
        <v>0</v>
      </c>
      <c r="CE540" s="307"/>
      <c r="CF540" s="307"/>
      <c r="CG540" s="307"/>
      <c r="CM540" s="25">
        <f>CM541-CM545</f>
        <v>-31.969584000000168</v>
      </c>
    </row>
    <row r="541" spans="2:91" s="25" customFormat="1">
      <c r="B541" s="786" t="s">
        <v>1493</v>
      </c>
      <c r="C541" s="499"/>
      <c r="D541" s="499"/>
      <c r="E541" s="499"/>
      <c r="F541" s="499"/>
      <c r="G541" s="499"/>
      <c r="H541" s="499"/>
      <c r="I541" s="499"/>
      <c r="J541" s="499"/>
      <c r="K541" s="499"/>
      <c r="L541" s="499"/>
      <c r="M541" s="499"/>
      <c r="N541" s="499"/>
      <c r="O541" s="499"/>
      <c r="P541" s="499"/>
      <c r="Q541" s="499"/>
      <c r="R541" s="499"/>
      <c r="S541" s="499"/>
      <c r="T541" s="499"/>
      <c r="U541" s="499"/>
      <c r="V541" s="499"/>
      <c r="W541" s="499"/>
      <c r="X541" s="499"/>
      <c r="Y541" s="499"/>
      <c r="Z541" s="499"/>
      <c r="AA541" s="499"/>
      <c r="AB541" s="499"/>
      <c r="AC541" s="499"/>
      <c r="AD541" s="499"/>
      <c r="AE541" s="499"/>
      <c r="AF541" s="499"/>
      <c r="AG541" s="499"/>
      <c r="AH541" s="499"/>
      <c r="AI541" s="499"/>
      <c r="AJ541" s="499"/>
      <c r="AK541" s="499"/>
      <c r="AL541" s="499"/>
      <c r="AM541" s="499"/>
      <c r="AN541" s="499"/>
      <c r="AO541" s="499"/>
      <c r="AP541" s="499"/>
      <c r="AQ541" s="499"/>
      <c r="AR541" s="499"/>
      <c r="AS541" s="499"/>
      <c r="AT541" s="499"/>
      <c r="AU541" s="499"/>
      <c r="AV541" s="461"/>
      <c r="AW541" s="461"/>
      <c r="AX541" s="461"/>
      <c r="AY541" s="461"/>
      <c r="AZ541" s="461"/>
      <c r="BA541" s="461"/>
      <c r="BB541" s="461"/>
      <c r="BC541" s="461"/>
      <c r="BD541" s="461"/>
      <c r="BE541" s="461"/>
      <c r="BF541" s="461"/>
      <c r="BG541" s="459">
        <f>BG534+BG536</f>
        <v>423.57957200000021</v>
      </c>
      <c r="BH541" s="459">
        <f>BH534+BH536</f>
        <v>427.97982000000002</v>
      </c>
      <c r="BI541" s="459">
        <f>BI534+BI536</f>
        <v>757.69573799999989</v>
      </c>
      <c r="BJ541" s="307"/>
      <c r="BK541" s="307">
        <v>771.5</v>
      </c>
      <c r="BL541" s="25">
        <v>829.6</v>
      </c>
      <c r="BM541" s="25">
        <v>826.6</v>
      </c>
      <c r="BN541">
        <v>891.8</v>
      </c>
      <c r="BO541" s="238">
        <v>672.1</v>
      </c>
      <c r="BP541" s="307">
        <v>1115.4000000000001</v>
      </c>
      <c r="BQ541" s="307">
        <v>1379.6</v>
      </c>
      <c r="BR541" s="25">
        <v>1517.3</v>
      </c>
      <c r="BS541" s="25">
        <v>1619.5</v>
      </c>
      <c r="BU541" s="40">
        <f t="shared" si="339"/>
        <v>0</v>
      </c>
      <c r="BV541" s="40">
        <f t="shared" ref="BV541:CD541" si="373">BU541</f>
        <v>0</v>
      </c>
      <c r="BW541" s="40">
        <f t="shared" si="373"/>
        <v>0</v>
      </c>
      <c r="BX541" s="40">
        <f t="shared" si="373"/>
        <v>0</v>
      </c>
      <c r="BY541" s="40">
        <f t="shared" si="373"/>
        <v>0</v>
      </c>
      <c r="BZ541" s="40">
        <f t="shared" si="373"/>
        <v>0</v>
      </c>
      <c r="CA541" s="40">
        <f t="shared" si="373"/>
        <v>0</v>
      </c>
      <c r="CB541" s="40">
        <f t="shared" si="373"/>
        <v>0</v>
      </c>
      <c r="CC541" s="40">
        <f t="shared" si="373"/>
        <v>0</v>
      </c>
      <c r="CD541" s="40">
        <f t="shared" si="373"/>
        <v>0</v>
      </c>
      <c r="CE541" s="307"/>
      <c r="CF541" s="307"/>
      <c r="CG541" s="307"/>
      <c r="CM541" s="25">
        <v>1037</v>
      </c>
    </row>
    <row r="542" spans="2:91" s="25" customFormat="1" hidden="1">
      <c r="B542" s="499" t="s">
        <v>3821</v>
      </c>
      <c r="C542" s="499"/>
      <c r="D542" s="499"/>
      <c r="E542" s="499"/>
      <c r="F542" s="499"/>
      <c r="G542" s="499"/>
      <c r="H542" s="499"/>
      <c r="I542" s="499"/>
      <c r="J542" s="499"/>
      <c r="K542" s="499"/>
      <c r="L542" s="499"/>
      <c r="M542" s="499"/>
      <c r="N542" s="499"/>
      <c r="O542" s="499"/>
      <c r="P542" s="499"/>
      <c r="Q542" s="499"/>
      <c r="R542" s="499"/>
      <c r="S542" s="499"/>
      <c r="T542" s="499"/>
      <c r="U542" s="499"/>
      <c r="V542" s="499"/>
      <c r="W542" s="499"/>
      <c r="X542" s="499"/>
      <c r="Y542" s="499"/>
      <c r="Z542" s="499"/>
      <c r="AA542" s="499"/>
      <c r="AB542" s="499"/>
      <c r="AC542" s="499"/>
      <c r="AD542" s="499"/>
      <c r="AE542" s="499"/>
      <c r="AF542" s="499"/>
      <c r="AG542" s="499"/>
      <c r="AH542" s="499"/>
      <c r="AI542" s="499"/>
      <c r="AJ542" s="499"/>
      <c r="AK542" s="499"/>
      <c r="AL542" s="499"/>
      <c r="AM542" s="499"/>
      <c r="AN542" s="499"/>
      <c r="AO542" s="499"/>
      <c r="AP542" s="499"/>
      <c r="AQ542" s="499"/>
      <c r="AR542" s="499"/>
      <c r="AS542" s="499"/>
      <c r="AT542" s="499"/>
      <c r="AU542" s="499"/>
      <c r="AV542" s="461"/>
      <c r="AW542" s="461"/>
      <c r="AX542" s="461"/>
      <c r="AY542" s="461"/>
      <c r="AZ542" s="461"/>
      <c r="BA542" s="461"/>
      <c r="BB542" s="461"/>
      <c r="BC542" s="461"/>
      <c r="BD542" s="461"/>
      <c r="BE542" s="461"/>
      <c r="BF542" s="461"/>
      <c r="BG542" s="461"/>
      <c r="BH542" s="307">
        <v>68383</v>
      </c>
      <c r="BI542" s="307"/>
      <c r="BJ542" s="307"/>
      <c r="BK542" s="307"/>
      <c r="BU542" s="40">
        <f t="shared" si="339"/>
        <v>0</v>
      </c>
      <c r="BV542" s="40">
        <f t="shared" ref="BV542:CD542" si="374">BU542</f>
        <v>0</v>
      </c>
      <c r="BW542" s="40">
        <f t="shared" si="374"/>
        <v>0</v>
      </c>
      <c r="BX542" s="40">
        <f t="shared" si="374"/>
        <v>0</v>
      </c>
      <c r="BY542" s="40">
        <f t="shared" si="374"/>
        <v>0</v>
      </c>
      <c r="BZ542" s="40">
        <f t="shared" si="374"/>
        <v>0</v>
      </c>
      <c r="CA542" s="40">
        <f t="shared" si="374"/>
        <v>0</v>
      </c>
      <c r="CB542" s="40">
        <f t="shared" si="374"/>
        <v>0</v>
      </c>
      <c r="CC542" s="40">
        <f t="shared" si="374"/>
        <v>0</v>
      </c>
      <c r="CD542" s="40">
        <f t="shared" si="374"/>
        <v>0</v>
      </c>
      <c r="CE542" s="307"/>
      <c r="CF542" s="307"/>
      <c r="CG542" s="307"/>
    </row>
    <row r="543" spans="2:91" s="25" customFormat="1" hidden="1">
      <c r="B543" s="499" t="s">
        <v>88</v>
      </c>
      <c r="C543" s="499"/>
      <c r="D543" s="499"/>
      <c r="E543" s="499"/>
      <c r="F543" s="499"/>
      <c r="G543" s="499"/>
      <c r="H543" s="499"/>
      <c r="I543" s="499"/>
      <c r="J543" s="499"/>
      <c r="K543" s="499"/>
      <c r="L543" s="499"/>
      <c r="M543" s="499"/>
      <c r="N543" s="499"/>
      <c r="O543" s="499"/>
      <c r="P543" s="499"/>
      <c r="Q543" s="499"/>
      <c r="R543" s="499"/>
      <c r="S543" s="499"/>
      <c r="T543" s="499"/>
      <c r="U543" s="499"/>
      <c r="V543" s="499"/>
      <c r="W543" s="499"/>
      <c r="X543" s="499"/>
      <c r="Y543" s="499"/>
      <c r="Z543" s="499"/>
      <c r="AA543" s="499"/>
      <c r="AB543" s="499"/>
      <c r="AC543" s="499"/>
      <c r="AD543" s="499"/>
      <c r="AE543" s="499"/>
      <c r="AF543" s="499"/>
      <c r="AG543" s="499"/>
      <c r="AH543" s="499"/>
      <c r="AI543" s="499"/>
      <c r="AJ543" s="499"/>
      <c r="AK543" s="499"/>
      <c r="AL543" s="499"/>
      <c r="AM543" s="499"/>
      <c r="AN543" s="499"/>
      <c r="AO543" s="499"/>
      <c r="AP543" s="499"/>
      <c r="AQ543" s="499"/>
      <c r="AR543" s="499"/>
      <c r="AS543" s="499"/>
      <c r="AT543" s="499"/>
      <c r="AU543" s="499"/>
      <c r="AV543" s="461"/>
      <c r="AW543" s="461"/>
      <c r="AX543" s="461"/>
      <c r="AY543" s="461"/>
      <c r="AZ543" s="461"/>
      <c r="BA543" s="461"/>
      <c r="BB543" s="461"/>
      <c r="BC543" s="461"/>
      <c r="BD543" s="461"/>
      <c r="BE543" s="461"/>
      <c r="BF543" s="461"/>
      <c r="BG543" s="461"/>
      <c r="BH543" s="307"/>
      <c r="BI543" s="307"/>
      <c r="BJ543" s="307"/>
      <c r="BK543" s="307"/>
      <c r="BU543" s="40">
        <f t="shared" si="339"/>
        <v>0</v>
      </c>
      <c r="BV543" s="40">
        <f t="shared" ref="BV543:CD543" si="375">BU543</f>
        <v>0</v>
      </c>
      <c r="BW543" s="40">
        <f t="shared" si="375"/>
        <v>0</v>
      </c>
      <c r="BX543" s="40">
        <f t="shared" si="375"/>
        <v>0</v>
      </c>
      <c r="BY543" s="40">
        <f t="shared" si="375"/>
        <v>0</v>
      </c>
      <c r="BZ543" s="40">
        <f t="shared" si="375"/>
        <v>0</v>
      </c>
      <c r="CA543" s="40">
        <f t="shared" si="375"/>
        <v>0</v>
      </c>
      <c r="CB543" s="40">
        <f t="shared" si="375"/>
        <v>0</v>
      </c>
      <c r="CC543" s="40">
        <f t="shared" si="375"/>
        <v>0</v>
      </c>
      <c r="CD543" s="40">
        <f t="shared" si="375"/>
        <v>0</v>
      </c>
      <c r="CE543" s="307"/>
      <c r="CF543" s="307"/>
      <c r="CG543" s="307"/>
    </row>
    <row r="544" spans="2:91" s="25" customFormat="1" hidden="1">
      <c r="B544" s="499" t="s">
        <v>89</v>
      </c>
      <c r="C544" s="499"/>
      <c r="D544" s="499"/>
      <c r="E544" s="499"/>
      <c r="F544" s="499"/>
      <c r="G544" s="499"/>
      <c r="H544" s="499"/>
      <c r="I544" s="499"/>
      <c r="J544" s="499"/>
      <c r="K544" s="499"/>
      <c r="L544" s="499"/>
      <c r="M544" s="499"/>
      <c r="N544" s="499"/>
      <c r="O544" s="499"/>
      <c r="P544" s="499"/>
      <c r="Q544" s="499"/>
      <c r="R544" s="499"/>
      <c r="S544" s="499"/>
      <c r="T544" s="499"/>
      <c r="U544" s="499"/>
      <c r="V544" s="499"/>
      <c r="W544" s="499"/>
      <c r="X544" s="499"/>
      <c r="Y544" s="499"/>
      <c r="Z544" s="499"/>
      <c r="AA544" s="499"/>
      <c r="AB544" s="499"/>
      <c r="AC544" s="499"/>
      <c r="AD544" s="499"/>
      <c r="AE544" s="499"/>
      <c r="AF544" s="499"/>
      <c r="AG544" s="499"/>
      <c r="AH544" s="499"/>
      <c r="AI544" s="499"/>
      <c r="AJ544" s="499"/>
      <c r="AK544" s="499"/>
      <c r="AL544" s="499"/>
      <c r="AM544" s="499"/>
      <c r="AN544" s="499"/>
      <c r="AO544" s="499"/>
      <c r="AP544" s="499"/>
      <c r="AQ544" s="499"/>
      <c r="AR544" s="499"/>
      <c r="AS544" s="499"/>
      <c r="AT544" s="499"/>
      <c r="AU544" s="499"/>
      <c r="AV544" s="461"/>
      <c r="AW544" s="461"/>
      <c r="AX544" s="461"/>
      <c r="AY544" s="461"/>
      <c r="AZ544" s="461"/>
      <c r="BA544" s="461"/>
      <c r="BB544" s="461"/>
      <c r="BC544" s="461"/>
      <c r="BD544" s="461"/>
      <c r="BE544" s="461"/>
      <c r="BF544" s="461"/>
      <c r="BG544" s="461"/>
      <c r="BH544" s="307"/>
      <c r="BI544" s="307"/>
      <c r="BJ544" s="307"/>
      <c r="BK544" s="307"/>
      <c r="BU544" s="40">
        <f t="shared" si="339"/>
        <v>0</v>
      </c>
      <c r="BV544" s="40">
        <f t="shared" ref="BV544:CD544" si="376">BU544</f>
        <v>0</v>
      </c>
      <c r="BW544" s="40">
        <f t="shared" si="376"/>
        <v>0</v>
      </c>
      <c r="BX544" s="40">
        <f t="shared" si="376"/>
        <v>0</v>
      </c>
      <c r="BY544" s="40">
        <f t="shared" si="376"/>
        <v>0</v>
      </c>
      <c r="BZ544" s="40">
        <f t="shared" si="376"/>
        <v>0</v>
      </c>
      <c r="CA544" s="40">
        <f t="shared" si="376"/>
        <v>0</v>
      </c>
      <c r="CB544" s="40">
        <f t="shared" si="376"/>
        <v>0</v>
      </c>
      <c r="CC544" s="40">
        <f t="shared" si="376"/>
        <v>0</v>
      </c>
      <c r="CD544" s="40">
        <f t="shared" si="376"/>
        <v>0</v>
      </c>
      <c r="CE544" s="307"/>
      <c r="CF544" s="307"/>
      <c r="CG544" s="307"/>
    </row>
    <row r="545" spans="2:91" s="25" customFormat="1">
      <c r="B545" s="642" t="s">
        <v>620</v>
      </c>
      <c r="C545" s="499"/>
      <c r="D545" s="499"/>
      <c r="E545" s="499"/>
      <c r="F545" s="499"/>
      <c r="G545" s="499"/>
      <c r="H545" s="499"/>
      <c r="I545" s="499"/>
      <c r="J545" s="499"/>
      <c r="K545" s="499"/>
      <c r="L545" s="499"/>
      <c r="M545" s="499"/>
      <c r="N545" s="499"/>
      <c r="O545" s="499"/>
      <c r="P545" s="499"/>
      <c r="Q545" s="499"/>
      <c r="R545" s="499"/>
      <c r="S545" s="499"/>
      <c r="T545" s="499"/>
      <c r="U545" s="499"/>
      <c r="V545" s="499"/>
      <c r="W545" s="499"/>
      <c r="X545" s="499"/>
      <c r="Y545" s="499"/>
      <c r="Z545" s="499"/>
      <c r="AA545" s="499"/>
      <c r="AB545" s="499"/>
      <c r="AC545" s="499"/>
      <c r="AD545" s="499"/>
      <c r="AE545" s="499"/>
      <c r="AF545" s="499"/>
      <c r="AG545" s="499"/>
      <c r="AH545" s="499"/>
      <c r="AI545" s="499"/>
      <c r="AJ545" s="499"/>
      <c r="AK545" s="499"/>
      <c r="AL545" s="499"/>
      <c r="AM545" s="499"/>
      <c r="AN545" s="499"/>
      <c r="AO545" s="499"/>
      <c r="AP545" s="499"/>
      <c r="AQ545" s="499"/>
      <c r="AR545" s="499"/>
      <c r="AS545" s="499"/>
      <c r="AT545" s="499"/>
      <c r="AU545" s="499"/>
      <c r="AV545" s="461"/>
      <c r="AW545" s="461"/>
      <c r="AX545" s="461"/>
      <c r="AY545" s="461"/>
      <c r="AZ545" s="461"/>
      <c r="BA545" s="461"/>
      <c r="BB545" s="461"/>
      <c r="BC545" s="461"/>
      <c r="BD545" s="461"/>
      <c r="BE545" s="461"/>
      <c r="BF545" s="461"/>
      <c r="BG545" s="461"/>
      <c r="BH545" s="289">
        <f>SUM(BH547+BH548+BH549+BH550+BH553+BH561+BH562+BH563+BH565)</f>
        <v>366.19281599999999</v>
      </c>
      <c r="BI545" s="787">
        <f>SUM(BI547+BI548+BI549+BI550+BI553+BI561+BI562+BI563+BI564+BI565)+27.106742</f>
        <v>832.97376200000019</v>
      </c>
      <c r="BJ545" s="688">
        <f>SUM(BJ547+BJ548+BJ549+BJ550+BJ553+BJ561+BJ562+BJ563+BJ564+BJ565+BJ566+BJ567)</f>
        <v>415.507835</v>
      </c>
      <c r="BK545" s="688">
        <f>SUM(BK547+BK548+BK549+BK550+BK553+BK561+BK562+BK563+BK564+BK565+BK566+BK567)</f>
        <v>680.30704100000014</v>
      </c>
      <c r="BL545" s="788">
        <f>SUM(BL547+BL548+BL549+BL550+BL553+BL561+BL562+BL563+BL564+BL565+BL566+BL567)</f>
        <v>546.61</v>
      </c>
      <c r="BM545" s="787">
        <f>SUM(BM547+BM548+BM549+BM550+BM553+BM561+BM562+BM563+BM565)+188.663</f>
        <v>826.59998000000007</v>
      </c>
      <c r="BN545" s="787">
        <f>SUM(BN547+BN548+BN549+BN550+BN553+BN561+BN562+BN563+BN565)+61.3644</f>
        <v>891.7999890000001</v>
      </c>
      <c r="BO545" s="787">
        <f>SUM(BO547+BO548+BO549+BO550+BO553+BO561+BO562+BO563+BO565)-152.674</f>
        <v>672.09963300000004</v>
      </c>
      <c r="BP545" s="787">
        <f>SUM(BP547+BP548+BP549+BP550+BP553+BP561+BP562+BP563+BP565)+272.12</f>
        <v>1115.399633</v>
      </c>
      <c r="BQ545" s="787">
        <f>SUM(BQ547+BQ548+BQ549+BQ550+BQ553+BQ561+BQ562+BQ563+BQ565)+781.209</f>
        <v>1379.5998489999999</v>
      </c>
      <c r="BR545" s="787">
        <f>SUM(BR547+BR548+BR549+BR550+BR553+BR561+BR562+BR563+BR565)+918.909</f>
        <v>1517.299849</v>
      </c>
      <c r="BS545" s="787">
        <f>SUM(BS547+BS548+BS549+BS550+BS553+BS561+BS562+BS563+BS565)+1021.109</f>
        <v>1619.499849</v>
      </c>
      <c r="BT545" s="787">
        <f>SUM(BT547+BT548+BT549+BT550+BT553+BT561+BT562+BT563+BT565)+888.573</f>
        <v>1486.963849</v>
      </c>
      <c r="BU545" s="40">
        <f t="shared" si="339"/>
        <v>1486.963849</v>
      </c>
      <c r="BV545" s="40">
        <f t="shared" ref="BV545:CD545" si="377">BU545</f>
        <v>1486.963849</v>
      </c>
      <c r="BW545" s="40">
        <f t="shared" si="377"/>
        <v>1486.963849</v>
      </c>
      <c r="BX545" s="40">
        <f t="shared" si="377"/>
        <v>1486.963849</v>
      </c>
      <c r="BY545" s="40">
        <f t="shared" si="377"/>
        <v>1486.963849</v>
      </c>
      <c r="BZ545" s="40">
        <f t="shared" si="377"/>
        <v>1486.963849</v>
      </c>
      <c r="CA545" s="40">
        <f t="shared" si="377"/>
        <v>1486.963849</v>
      </c>
      <c r="CB545" s="40">
        <f t="shared" si="377"/>
        <v>1486.963849</v>
      </c>
      <c r="CC545" s="40">
        <f t="shared" si="377"/>
        <v>1486.963849</v>
      </c>
      <c r="CD545" s="40">
        <f t="shared" si="377"/>
        <v>1486.963849</v>
      </c>
      <c r="CE545" s="789"/>
      <c r="CF545" s="789"/>
      <c r="CG545" s="789"/>
      <c r="CM545" s="787">
        <f>SUM(CM547+CM548+CM549+CM550+CM553+CM561+CM562+CM563+CM565)+474.04</f>
        <v>1068.9695840000002</v>
      </c>
    </row>
    <row r="546" spans="2:91" s="25" customFormat="1">
      <c r="B546" s="642" t="s">
        <v>3140</v>
      </c>
      <c r="C546" s="499"/>
      <c r="D546" s="499"/>
      <c r="E546" s="499"/>
      <c r="F546" s="499"/>
      <c r="G546" s="499"/>
      <c r="H546" s="499"/>
      <c r="I546" s="499"/>
      <c r="J546" s="499"/>
      <c r="K546" s="499"/>
      <c r="L546" s="499"/>
      <c r="M546" s="499"/>
      <c r="N546" s="499"/>
      <c r="O546" s="499"/>
      <c r="P546" s="499"/>
      <c r="Q546" s="499"/>
      <c r="R546" s="499"/>
      <c r="S546" s="499"/>
      <c r="T546" s="499"/>
      <c r="U546" s="499"/>
      <c r="V546" s="499"/>
      <c r="W546" s="499"/>
      <c r="X546" s="499"/>
      <c r="Y546" s="499"/>
      <c r="Z546" s="499"/>
      <c r="AA546" s="499"/>
      <c r="AB546" s="499"/>
      <c r="AC546" s="499"/>
      <c r="AD546" s="499"/>
      <c r="AE546" s="499"/>
      <c r="AF546" s="499"/>
      <c r="AG546" s="499"/>
      <c r="AH546" s="499"/>
      <c r="AI546" s="499"/>
      <c r="AJ546" s="499"/>
      <c r="AK546" s="499"/>
      <c r="AL546" s="499"/>
      <c r="AM546" s="499"/>
      <c r="AN546" s="499"/>
      <c r="AO546" s="499"/>
      <c r="AP546" s="499"/>
      <c r="AQ546" s="499"/>
      <c r="AR546" s="499"/>
      <c r="AS546" s="499"/>
      <c r="AT546" s="499"/>
      <c r="AU546" s="499"/>
      <c r="AV546" s="461"/>
      <c r="AW546" s="461"/>
      <c r="AX546" s="461"/>
      <c r="AY546" s="461"/>
      <c r="AZ546" s="461"/>
      <c r="BA546" s="461"/>
      <c r="BB546" s="461"/>
      <c r="BC546" s="461"/>
      <c r="BD546" s="461"/>
      <c r="BE546" s="461"/>
      <c r="BF546" s="461">
        <v>372.8</v>
      </c>
      <c r="BG546" s="790">
        <f>BG541</f>
        <v>423.57957200000021</v>
      </c>
      <c r="BH546" s="790">
        <f>BH541</f>
        <v>427.97982000000002</v>
      </c>
      <c r="BI546" s="791">
        <v>757.69573799999989</v>
      </c>
      <c r="BJ546" s="792">
        <v>578.5</v>
      </c>
      <c r="BK546" s="472">
        <v>754.32093199999997</v>
      </c>
      <c r="BL546" s="508">
        <v>1005.4</v>
      </c>
      <c r="BM546" s="25">
        <v>588.19402963660798</v>
      </c>
      <c r="BN546" s="25">
        <v>722.58413723269985</v>
      </c>
      <c r="BO546" s="25">
        <v>759.62691218080874</v>
      </c>
      <c r="BP546" s="276">
        <f>BO546</f>
        <v>759.62691218080874</v>
      </c>
      <c r="BQ546" s="276"/>
      <c r="BR546" s="276"/>
      <c r="BS546" s="276"/>
      <c r="BT546" s="276"/>
      <c r="BU546" s="40">
        <f t="shared" si="339"/>
        <v>0</v>
      </c>
      <c r="BV546" s="40">
        <f t="shared" ref="BV546:CD546" si="378">BU546</f>
        <v>0</v>
      </c>
      <c r="BW546" s="40">
        <f t="shared" si="378"/>
        <v>0</v>
      </c>
      <c r="BX546" s="40">
        <f t="shared" si="378"/>
        <v>0</v>
      </c>
      <c r="BY546" s="40">
        <f t="shared" si="378"/>
        <v>0</v>
      </c>
      <c r="BZ546" s="40">
        <f t="shared" si="378"/>
        <v>0</v>
      </c>
      <c r="CA546" s="40">
        <f t="shared" si="378"/>
        <v>0</v>
      </c>
      <c r="CB546" s="40">
        <f t="shared" si="378"/>
        <v>0</v>
      </c>
      <c r="CC546" s="40">
        <f t="shared" si="378"/>
        <v>0</v>
      </c>
      <c r="CD546" s="40">
        <f t="shared" si="378"/>
        <v>0</v>
      </c>
      <c r="CE546" s="307"/>
      <c r="CF546" s="307"/>
      <c r="CG546" s="307"/>
      <c r="CM546" s="25">
        <v>562.95965721364678</v>
      </c>
    </row>
    <row r="547" spans="2:91" s="25" customFormat="1">
      <c r="B547" s="289" t="s">
        <v>3821</v>
      </c>
      <c r="C547" s="499"/>
      <c r="D547" s="499"/>
      <c r="E547" s="499"/>
      <c r="F547" s="499"/>
      <c r="G547" s="499"/>
      <c r="H547" s="499"/>
      <c r="I547" s="499"/>
      <c r="J547" s="499"/>
      <c r="K547" s="499"/>
      <c r="L547" s="499"/>
      <c r="M547" s="499"/>
      <c r="N547" s="499"/>
      <c r="O547" s="499"/>
      <c r="P547" s="499"/>
      <c r="Q547" s="499"/>
      <c r="R547" s="499"/>
      <c r="S547" s="499"/>
      <c r="T547" s="499"/>
      <c r="U547" s="499"/>
      <c r="V547" s="499"/>
      <c r="W547" s="499"/>
      <c r="X547" s="499"/>
      <c r="Y547" s="499"/>
      <c r="Z547" s="499"/>
      <c r="AA547" s="499"/>
      <c r="AB547" s="499"/>
      <c r="AC547" s="499"/>
      <c r="AD547" s="499"/>
      <c r="AE547" s="499"/>
      <c r="AF547" s="499"/>
      <c r="AG547" s="499"/>
      <c r="AH547" s="499"/>
      <c r="AI547" s="499"/>
      <c r="AJ547" s="499"/>
      <c r="AK547" s="499"/>
      <c r="AL547" s="499"/>
      <c r="AM547" s="499"/>
      <c r="AN547" s="499"/>
      <c r="AO547" s="499"/>
      <c r="AP547" s="499"/>
      <c r="AQ547" s="499"/>
      <c r="AR547" s="499"/>
      <c r="AS547" s="499"/>
      <c r="AT547" s="499"/>
      <c r="AU547" s="499"/>
      <c r="AV547" s="461"/>
      <c r="AW547" s="461"/>
      <c r="AX547" s="461"/>
      <c r="AY547" s="461"/>
      <c r="AZ547" s="461"/>
      <c r="BA547" s="461"/>
      <c r="BB547" s="461"/>
      <c r="BC547" s="461"/>
      <c r="BD547" s="461"/>
      <c r="BE547" s="461"/>
      <c r="BF547" s="461"/>
      <c r="BG547" s="461"/>
      <c r="BH547" s="790">
        <v>60.375264000000001</v>
      </c>
      <c r="BI547" s="791">
        <v>75.932012</v>
      </c>
      <c r="BJ547" s="792">
        <v>83.174226000000004</v>
      </c>
      <c r="BK547" s="472">
        <v>97.104516000000004</v>
      </c>
      <c r="BL547" s="508">
        <v>106.22</v>
      </c>
      <c r="BM547" s="509">
        <v>118</v>
      </c>
      <c r="BN547" s="509">
        <v>129.80000000000001</v>
      </c>
      <c r="BO547" s="509">
        <v>142.78</v>
      </c>
      <c r="BP547" s="509">
        <v>157.05799999999999</v>
      </c>
      <c r="BQ547" s="509">
        <v>172.76400000000001</v>
      </c>
      <c r="BR547" s="509">
        <v>172.76400000000001</v>
      </c>
      <c r="BS547" s="509">
        <v>172.76400000000001</v>
      </c>
      <c r="BT547" s="509">
        <v>172.76400000000001</v>
      </c>
      <c r="BU547" s="40">
        <f t="shared" ref="BU547:BU610" si="379">BT547</f>
        <v>172.76400000000001</v>
      </c>
      <c r="BV547" s="40">
        <f>BU547</f>
        <v>172.76400000000001</v>
      </c>
      <c r="BW547" s="40">
        <f>BV547</f>
        <v>172.76400000000001</v>
      </c>
      <c r="BX547" s="40">
        <f t="shared" ref="BV547:CD562" si="380">BW547</f>
        <v>172.76400000000001</v>
      </c>
      <c r="BY547" s="40">
        <f t="shared" si="380"/>
        <v>172.76400000000001</v>
      </c>
      <c r="BZ547" s="40">
        <f t="shared" si="380"/>
        <v>172.76400000000001</v>
      </c>
      <c r="CA547" s="40">
        <f t="shared" si="380"/>
        <v>172.76400000000001</v>
      </c>
      <c r="CB547" s="40">
        <f t="shared" si="380"/>
        <v>172.76400000000001</v>
      </c>
      <c r="CC547" s="40">
        <f t="shared" si="380"/>
        <v>172.76400000000001</v>
      </c>
      <c r="CD547" s="40">
        <f t="shared" si="380"/>
        <v>172.76400000000001</v>
      </c>
      <c r="CE547" s="348"/>
      <c r="CF547" s="348"/>
      <c r="CG547" s="348"/>
      <c r="CM547" s="509">
        <v>97</v>
      </c>
    </row>
    <row r="548" spans="2:91" s="25" customFormat="1">
      <c r="B548" s="289" t="s">
        <v>267</v>
      </c>
      <c r="C548" s="499"/>
      <c r="D548" s="499"/>
      <c r="E548" s="499"/>
      <c r="F548" s="499"/>
      <c r="G548" s="499"/>
      <c r="H548" s="499"/>
      <c r="I548" s="499"/>
      <c r="J548" s="499"/>
      <c r="K548" s="499"/>
      <c r="L548" s="499"/>
      <c r="M548" s="499"/>
      <c r="N548" s="499"/>
      <c r="O548" s="499"/>
      <c r="P548" s="499"/>
      <c r="Q548" s="499"/>
      <c r="R548" s="499"/>
      <c r="S548" s="499"/>
      <c r="T548" s="499"/>
      <c r="U548" s="499"/>
      <c r="V548" s="499"/>
      <c r="W548" s="499"/>
      <c r="X548" s="499"/>
      <c r="Y548" s="499"/>
      <c r="Z548" s="499"/>
      <c r="AA548" s="499"/>
      <c r="AB548" s="499"/>
      <c r="AC548" s="499"/>
      <c r="AD548" s="499"/>
      <c r="AE548" s="499"/>
      <c r="AF548" s="499"/>
      <c r="AG548" s="499"/>
      <c r="AH548" s="499"/>
      <c r="AI548" s="499"/>
      <c r="AJ548" s="499"/>
      <c r="AK548" s="499"/>
      <c r="AL548" s="499"/>
      <c r="AM548" s="499"/>
      <c r="AN548" s="499"/>
      <c r="AO548" s="499"/>
      <c r="AP548" s="499"/>
      <c r="AQ548" s="499"/>
      <c r="AR548" s="499"/>
      <c r="AS548" s="499"/>
      <c r="AT548" s="499"/>
      <c r="AU548" s="499"/>
      <c r="AV548" s="461"/>
      <c r="AW548" s="461"/>
      <c r="AX548" s="461"/>
      <c r="AY548" s="461"/>
      <c r="AZ548" s="461"/>
      <c r="BA548" s="461"/>
      <c r="BB548" s="461"/>
      <c r="BC548" s="461"/>
      <c r="BD548" s="461"/>
      <c r="BE548" s="461"/>
      <c r="BF548" s="461"/>
      <c r="BG548" s="461"/>
      <c r="BH548" s="790">
        <v>25.068947999999999</v>
      </c>
      <c r="BI548" s="791">
        <v>21.926599</v>
      </c>
      <c r="BJ548" s="792">
        <v>22.591186</v>
      </c>
      <c r="BK548" s="475">
        <v>30.882999999999999</v>
      </c>
      <c r="BL548" s="508">
        <v>32.64</v>
      </c>
      <c r="BM548" s="509">
        <v>38</v>
      </c>
      <c r="BN548" s="509">
        <v>41.42</v>
      </c>
      <c r="BO548" s="509">
        <v>45.148000000000003</v>
      </c>
      <c r="BP548" s="509">
        <v>49.210999999999999</v>
      </c>
      <c r="BQ548" s="509">
        <v>53.64</v>
      </c>
      <c r="BR548" s="509">
        <v>53.64</v>
      </c>
      <c r="BS548" s="509">
        <v>53.64</v>
      </c>
      <c r="BT548" s="509">
        <v>53.64</v>
      </c>
      <c r="BU548" s="40">
        <f t="shared" si="379"/>
        <v>53.64</v>
      </c>
      <c r="BV548" s="40">
        <f t="shared" si="380"/>
        <v>53.64</v>
      </c>
      <c r="BW548" s="40">
        <f t="shared" si="380"/>
        <v>53.64</v>
      </c>
      <c r="BX548" s="40">
        <f t="shared" si="380"/>
        <v>53.64</v>
      </c>
      <c r="BY548" s="40">
        <f t="shared" si="380"/>
        <v>53.64</v>
      </c>
      <c r="BZ548" s="40">
        <f t="shared" si="380"/>
        <v>53.64</v>
      </c>
      <c r="CA548" s="40">
        <f t="shared" si="380"/>
        <v>53.64</v>
      </c>
      <c r="CB548" s="40">
        <f t="shared" si="380"/>
        <v>53.64</v>
      </c>
      <c r="CC548" s="40">
        <f t="shared" si="380"/>
        <v>53.64</v>
      </c>
      <c r="CD548" s="40">
        <f t="shared" si="380"/>
        <v>53.64</v>
      </c>
      <c r="CE548" s="348"/>
      <c r="CF548" s="348"/>
      <c r="CG548" s="348"/>
      <c r="CM548" s="509">
        <v>34.86</v>
      </c>
    </row>
    <row r="549" spans="2:91" s="25" customFormat="1">
      <c r="B549" s="289" t="s">
        <v>89</v>
      </c>
      <c r="C549" s="499"/>
      <c r="D549" s="499"/>
      <c r="E549" s="499"/>
      <c r="F549" s="499"/>
      <c r="G549" s="499"/>
      <c r="H549" s="499"/>
      <c r="I549" s="499"/>
      <c r="J549" s="499"/>
      <c r="K549" s="499"/>
      <c r="L549" s="499"/>
      <c r="M549" s="499"/>
      <c r="N549" s="499"/>
      <c r="O549" s="499"/>
      <c r="P549" s="499"/>
      <c r="Q549" s="499"/>
      <c r="R549" s="499"/>
      <c r="S549" s="499"/>
      <c r="T549" s="499"/>
      <c r="U549" s="499"/>
      <c r="V549" s="499"/>
      <c r="W549" s="499"/>
      <c r="X549" s="499"/>
      <c r="Y549" s="499"/>
      <c r="Z549" s="499"/>
      <c r="AA549" s="499"/>
      <c r="AB549" s="499"/>
      <c r="AC549" s="499"/>
      <c r="AD549" s="499"/>
      <c r="AE549" s="499"/>
      <c r="AF549" s="499"/>
      <c r="AG549" s="499"/>
      <c r="AH549" s="499"/>
      <c r="AI549" s="499"/>
      <c r="AJ549" s="499"/>
      <c r="AK549" s="499"/>
      <c r="AL549" s="499"/>
      <c r="AM549" s="499"/>
      <c r="AN549" s="499"/>
      <c r="AO549" s="499"/>
      <c r="AP549" s="499"/>
      <c r="AQ549" s="499"/>
      <c r="AR549" s="499"/>
      <c r="AS549" s="499"/>
      <c r="AT549" s="499"/>
      <c r="AU549" s="499"/>
      <c r="AV549" s="461"/>
      <c r="AW549" s="461"/>
      <c r="AX549" s="461"/>
      <c r="AY549" s="461"/>
      <c r="AZ549" s="461"/>
      <c r="BA549" s="461"/>
      <c r="BB549" s="461"/>
      <c r="BC549" s="461"/>
      <c r="BD549" s="461"/>
      <c r="BE549" s="461"/>
      <c r="BF549" s="461"/>
      <c r="BG549" s="461"/>
      <c r="BH549" s="790">
        <v>40.919485000000002</v>
      </c>
      <c r="BI549" s="791">
        <v>14.786903000000001</v>
      </c>
      <c r="BJ549" s="792">
        <v>21.095993</v>
      </c>
      <c r="BK549" s="472">
        <v>7.4711759999999998</v>
      </c>
      <c r="BL549" s="463">
        <v>7.84</v>
      </c>
      <c r="BM549" s="25">
        <v>38.550620000000002</v>
      </c>
      <c r="BN549" s="25">
        <v>41.176302999999997</v>
      </c>
      <c r="BO549" s="25">
        <v>44.489759999999997</v>
      </c>
      <c r="BP549" s="276">
        <f>BO549</f>
        <v>44.489759999999997</v>
      </c>
      <c r="BQ549" s="276"/>
      <c r="BR549" s="276"/>
      <c r="BS549" s="276"/>
      <c r="BT549" s="276"/>
      <c r="BU549" s="40">
        <f t="shared" si="379"/>
        <v>0</v>
      </c>
      <c r="BV549" s="40">
        <f t="shared" si="380"/>
        <v>0</v>
      </c>
      <c r="BW549" s="40">
        <f t="shared" si="380"/>
        <v>0</v>
      </c>
      <c r="BX549" s="40">
        <f t="shared" si="380"/>
        <v>0</v>
      </c>
      <c r="BY549" s="40">
        <f t="shared" si="380"/>
        <v>0</v>
      </c>
      <c r="BZ549" s="40">
        <f t="shared" si="380"/>
        <v>0</v>
      </c>
      <c r="CA549" s="40">
        <f t="shared" si="380"/>
        <v>0</v>
      </c>
      <c r="CB549" s="40">
        <f t="shared" si="380"/>
        <v>0</v>
      </c>
      <c r="CC549" s="40">
        <f t="shared" si="380"/>
        <v>0</v>
      </c>
      <c r="CD549" s="40">
        <f t="shared" si="380"/>
        <v>0</v>
      </c>
      <c r="CE549" s="348"/>
      <c r="CF549" s="348"/>
      <c r="CG549" s="348"/>
      <c r="CM549" s="25">
        <v>36.092368999999998</v>
      </c>
    </row>
    <row r="550" spans="2:91" s="25" customFormat="1">
      <c r="B550" s="289" t="s">
        <v>268</v>
      </c>
      <c r="C550" s="499"/>
      <c r="D550" s="499"/>
      <c r="E550" s="499"/>
      <c r="F550" s="499"/>
      <c r="G550" s="499"/>
      <c r="H550" s="499"/>
      <c r="I550" s="499"/>
      <c r="J550" s="499"/>
      <c r="K550" s="499"/>
      <c r="L550" s="499"/>
      <c r="M550" s="499"/>
      <c r="N550" s="499"/>
      <c r="O550" s="499"/>
      <c r="P550" s="499"/>
      <c r="Q550" s="499"/>
      <c r="R550" s="499"/>
      <c r="S550" s="499"/>
      <c r="T550" s="499"/>
      <c r="U550" s="499"/>
      <c r="V550" s="499"/>
      <c r="W550" s="499"/>
      <c r="X550" s="499"/>
      <c r="Y550" s="499"/>
      <c r="Z550" s="499"/>
      <c r="AA550" s="499"/>
      <c r="AB550" s="499"/>
      <c r="AC550" s="499"/>
      <c r="AD550" s="499"/>
      <c r="AE550" s="499"/>
      <c r="AF550" s="499"/>
      <c r="AG550" s="499"/>
      <c r="AH550" s="499"/>
      <c r="AI550" s="499"/>
      <c r="AJ550" s="499"/>
      <c r="AK550" s="499"/>
      <c r="AL550" s="499"/>
      <c r="AM550" s="499"/>
      <c r="AN550" s="499"/>
      <c r="AO550" s="499"/>
      <c r="AP550" s="499"/>
      <c r="AQ550" s="499"/>
      <c r="AR550" s="499"/>
      <c r="AS550" s="499"/>
      <c r="AT550" s="499"/>
      <c r="AU550" s="499"/>
      <c r="AV550" s="461"/>
      <c r="AW550" s="461"/>
      <c r="AX550" s="461"/>
      <c r="AY550" s="461"/>
      <c r="AZ550" s="461"/>
      <c r="BA550" s="461"/>
      <c r="BB550" s="461"/>
      <c r="BC550" s="461"/>
      <c r="BD550" s="461"/>
      <c r="BE550" s="461"/>
      <c r="BF550" s="461"/>
      <c r="BG550" s="461"/>
      <c r="BH550" s="790">
        <v>3.9152300000000002</v>
      </c>
      <c r="BI550" s="791">
        <v>2.198032</v>
      </c>
      <c r="BJ550" s="792">
        <v>4.0179169999999997</v>
      </c>
      <c r="BK550" s="475">
        <v>2.6328559999999999</v>
      </c>
      <c r="BL550" s="508">
        <v>2.2200000000000002</v>
      </c>
      <c r="BM550" s="509">
        <v>3</v>
      </c>
      <c r="BN550" s="509">
        <v>3.15</v>
      </c>
      <c r="BO550" s="509">
        <v>3.3079999999999998</v>
      </c>
      <c r="BP550" s="509">
        <v>3.4729999999999999</v>
      </c>
      <c r="BQ550" s="509">
        <v>3.6469999999999998</v>
      </c>
      <c r="BR550" s="509">
        <v>3.6469999999999998</v>
      </c>
      <c r="BS550" s="509">
        <v>3.6469999999999998</v>
      </c>
      <c r="BT550" s="509">
        <v>3.6469999999999998</v>
      </c>
      <c r="BU550" s="40">
        <f t="shared" si="379"/>
        <v>3.6469999999999998</v>
      </c>
      <c r="BV550" s="40">
        <f t="shared" si="380"/>
        <v>3.6469999999999998</v>
      </c>
      <c r="BW550" s="40">
        <f t="shared" si="380"/>
        <v>3.6469999999999998</v>
      </c>
      <c r="BX550" s="40">
        <f t="shared" si="380"/>
        <v>3.6469999999999998</v>
      </c>
      <c r="BY550" s="40">
        <f t="shared" si="380"/>
        <v>3.6469999999999998</v>
      </c>
      <c r="BZ550" s="40">
        <f t="shared" si="380"/>
        <v>3.6469999999999998</v>
      </c>
      <c r="CA550" s="40">
        <f t="shared" si="380"/>
        <v>3.6469999999999998</v>
      </c>
      <c r="CB550" s="40">
        <f t="shared" si="380"/>
        <v>3.6469999999999998</v>
      </c>
      <c r="CC550" s="40">
        <f t="shared" si="380"/>
        <v>3.6469999999999998</v>
      </c>
      <c r="CD550" s="40">
        <f t="shared" si="380"/>
        <v>3.6469999999999998</v>
      </c>
      <c r="CE550" s="307"/>
      <c r="CF550" s="307"/>
      <c r="CG550" s="307"/>
      <c r="CM550" s="509">
        <v>2.4</v>
      </c>
    </row>
    <row r="551" spans="2:91" s="25" customFormat="1">
      <c r="B551" s="499" t="s">
        <v>2399</v>
      </c>
      <c r="C551" s="793"/>
      <c r="D551" s="499"/>
      <c r="E551" s="499"/>
      <c r="F551" s="499"/>
      <c r="G551" s="499"/>
      <c r="H551" s="499"/>
      <c r="I551" s="499"/>
      <c r="J551" s="499"/>
      <c r="K551" s="499"/>
      <c r="L551" s="499"/>
      <c r="M551" s="499"/>
      <c r="N551" s="499"/>
      <c r="O551" s="499"/>
      <c r="P551" s="499"/>
      <c r="Q551" s="499"/>
      <c r="R551" s="499"/>
      <c r="S551" s="499"/>
      <c r="T551" s="499"/>
      <c r="U551" s="499"/>
      <c r="V551" s="499"/>
      <c r="W551" s="499"/>
      <c r="X551" s="499"/>
      <c r="Y551" s="499"/>
      <c r="Z551" s="499"/>
      <c r="AA551" s="499"/>
      <c r="AB551" s="499"/>
      <c r="AC551" s="499"/>
      <c r="AD551" s="499"/>
      <c r="AE551" s="499"/>
      <c r="AF551" s="499"/>
      <c r="AG551" s="499"/>
      <c r="AH551" s="499"/>
      <c r="AI551" s="499"/>
      <c r="AJ551" s="499"/>
      <c r="AK551" s="499"/>
      <c r="AL551" s="499"/>
      <c r="AM551" s="499"/>
      <c r="AN551" s="499"/>
      <c r="AO551" s="499"/>
      <c r="AP551" s="499"/>
      <c r="AQ551" s="499"/>
      <c r="AR551" s="499"/>
      <c r="AS551" s="499"/>
      <c r="AT551" s="499"/>
      <c r="AU551" s="499"/>
      <c r="AV551" s="461"/>
      <c r="AW551" s="461"/>
      <c r="AX551" s="461"/>
      <c r="AY551" s="461"/>
      <c r="AZ551" s="461"/>
      <c r="BA551" s="461"/>
      <c r="BB551" s="461"/>
      <c r="BC551" s="461"/>
      <c r="BD551" s="461"/>
      <c r="BE551" s="461"/>
      <c r="BF551" s="461"/>
      <c r="BG551" s="461"/>
      <c r="BH551" s="790"/>
      <c r="BI551" s="791"/>
      <c r="BJ551" s="792"/>
      <c r="BK551" s="475">
        <v>2.1120000000000001</v>
      </c>
      <c r="BL551" s="509"/>
      <c r="BM551" s="509">
        <v>3.504</v>
      </c>
      <c r="BN551" s="509">
        <v>3.504</v>
      </c>
      <c r="BO551" s="509">
        <v>3.504</v>
      </c>
      <c r="BP551" s="509">
        <v>3.504</v>
      </c>
      <c r="BQ551" s="509">
        <v>3.504</v>
      </c>
      <c r="BR551" s="509">
        <v>3.504</v>
      </c>
      <c r="BS551" s="509">
        <v>3.504</v>
      </c>
      <c r="BT551" s="509">
        <v>3.504</v>
      </c>
      <c r="BU551" s="40">
        <f t="shared" si="379"/>
        <v>3.504</v>
      </c>
      <c r="BV551" s="40">
        <f t="shared" si="380"/>
        <v>3.504</v>
      </c>
      <c r="BW551" s="40">
        <f t="shared" si="380"/>
        <v>3.504</v>
      </c>
      <c r="BX551" s="40">
        <f t="shared" si="380"/>
        <v>3.504</v>
      </c>
      <c r="BY551" s="40">
        <f t="shared" si="380"/>
        <v>3.504</v>
      </c>
      <c r="BZ551" s="40">
        <f t="shared" si="380"/>
        <v>3.504</v>
      </c>
      <c r="CA551" s="40">
        <f t="shared" si="380"/>
        <v>3.504</v>
      </c>
      <c r="CB551" s="40">
        <f t="shared" si="380"/>
        <v>3.504</v>
      </c>
      <c r="CC551" s="40">
        <f t="shared" si="380"/>
        <v>3.504</v>
      </c>
      <c r="CD551" s="40">
        <f t="shared" si="380"/>
        <v>3.504</v>
      </c>
      <c r="CE551" s="307"/>
      <c r="CF551" s="307"/>
      <c r="CG551" s="307"/>
      <c r="CM551" s="509">
        <v>3.504</v>
      </c>
    </row>
    <row r="552" spans="2:91" s="25" customFormat="1">
      <c r="B552" s="499" t="s">
        <v>2400</v>
      </c>
      <c r="C552" s="793"/>
      <c r="D552" s="499"/>
      <c r="E552" s="499"/>
      <c r="F552" s="499"/>
      <c r="G552" s="499"/>
      <c r="H552" s="499"/>
      <c r="I552" s="499"/>
      <c r="J552" s="499"/>
      <c r="K552" s="499"/>
      <c r="L552" s="499"/>
      <c r="M552" s="499"/>
      <c r="N552" s="499"/>
      <c r="O552" s="499"/>
      <c r="P552" s="499"/>
      <c r="Q552" s="499"/>
      <c r="R552" s="499"/>
      <c r="S552" s="499"/>
      <c r="T552" s="499"/>
      <c r="U552" s="499"/>
      <c r="V552" s="499"/>
      <c r="W552" s="499"/>
      <c r="X552" s="499"/>
      <c r="Y552" s="499"/>
      <c r="Z552" s="499"/>
      <c r="AA552" s="499"/>
      <c r="AB552" s="499"/>
      <c r="AC552" s="499"/>
      <c r="AD552" s="499"/>
      <c r="AE552" s="499"/>
      <c r="AF552" s="499"/>
      <c r="AG552" s="499"/>
      <c r="AH552" s="499"/>
      <c r="AI552" s="499"/>
      <c r="AJ552" s="499"/>
      <c r="AK552" s="499"/>
      <c r="AL552" s="499"/>
      <c r="AM552" s="499"/>
      <c r="AN552" s="499"/>
      <c r="AO552" s="499"/>
      <c r="AP552" s="499"/>
      <c r="AQ552" s="499"/>
      <c r="AR552" s="499"/>
      <c r="AS552" s="499"/>
      <c r="AT552" s="499"/>
      <c r="AU552" s="499"/>
      <c r="AV552" s="461"/>
      <c r="AW552" s="461"/>
      <c r="AX552" s="461"/>
      <c r="AY552" s="461"/>
      <c r="AZ552" s="461"/>
      <c r="BA552" s="461"/>
      <c r="BB552" s="461"/>
      <c r="BC552" s="461"/>
      <c r="BD552" s="461"/>
      <c r="BE552" s="461"/>
      <c r="BF552" s="461"/>
      <c r="BG552" s="461"/>
      <c r="BH552" s="790"/>
      <c r="BI552" s="791"/>
      <c r="BJ552" s="792"/>
      <c r="BK552" s="475">
        <v>1.2E-2</v>
      </c>
      <c r="BL552" s="509"/>
      <c r="BM552" s="509">
        <v>14.4</v>
      </c>
      <c r="BN552" s="509">
        <v>14.4</v>
      </c>
      <c r="BO552" s="509">
        <v>14.4</v>
      </c>
      <c r="BP552" s="509">
        <v>14.4</v>
      </c>
      <c r="BQ552" s="509">
        <v>14.4</v>
      </c>
      <c r="BR552" s="509">
        <v>14.4</v>
      </c>
      <c r="BS552" s="509">
        <v>14.4</v>
      </c>
      <c r="BT552" s="509">
        <v>14.4</v>
      </c>
      <c r="BU552" s="40">
        <f t="shared" si="379"/>
        <v>14.4</v>
      </c>
      <c r="BV552" s="40">
        <f t="shared" si="380"/>
        <v>14.4</v>
      </c>
      <c r="BW552" s="40">
        <f t="shared" si="380"/>
        <v>14.4</v>
      </c>
      <c r="BX552" s="40">
        <f t="shared" si="380"/>
        <v>14.4</v>
      </c>
      <c r="BY552" s="40">
        <f t="shared" si="380"/>
        <v>14.4</v>
      </c>
      <c r="BZ552" s="40">
        <f t="shared" si="380"/>
        <v>14.4</v>
      </c>
      <c r="CA552" s="40">
        <f t="shared" si="380"/>
        <v>14.4</v>
      </c>
      <c r="CB552" s="40">
        <f t="shared" si="380"/>
        <v>14.4</v>
      </c>
      <c r="CC552" s="40">
        <f t="shared" si="380"/>
        <v>14.4</v>
      </c>
      <c r="CD552" s="40">
        <f t="shared" si="380"/>
        <v>14.4</v>
      </c>
      <c r="CE552" s="307"/>
      <c r="CF552" s="307"/>
      <c r="CG552" s="307"/>
      <c r="CM552" s="509">
        <v>0.24</v>
      </c>
    </row>
    <row r="553" spans="2:91" s="25" customFormat="1">
      <c r="B553" s="289" t="s">
        <v>618</v>
      </c>
      <c r="C553" s="499"/>
      <c r="D553" s="499"/>
      <c r="E553" s="499"/>
      <c r="F553" s="499"/>
      <c r="G553" s="499"/>
      <c r="H553" s="499"/>
      <c r="I553" s="499"/>
      <c r="J553" s="499"/>
      <c r="K553" s="499"/>
      <c r="L553" s="499"/>
      <c r="M553" s="499"/>
      <c r="N553" s="499"/>
      <c r="O553" s="499"/>
      <c r="P553" s="499"/>
      <c r="Q553" s="499"/>
      <c r="R553" s="499"/>
      <c r="S553" s="499"/>
      <c r="T553" s="499"/>
      <c r="U553" s="499"/>
      <c r="V553" s="499"/>
      <c r="W553" s="499"/>
      <c r="X553" s="499"/>
      <c r="Y553" s="499"/>
      <c r="Z553" s="499"/>
      <c r="AA553" s="499"/>
      <c r="AB553" s="499"/>
      <c r="AC553" s="499"/>
      <c r="AD553" s="499"/>
      <c r="AE553" s="499"/>
      <c r="AF553" s="499"/>
      <c r="AG553" s="499"/>
      <c r="AH553" s="499"/>
      <c r="AI553" s="499"/>
      <c r="AJ553" s="499"/>
      <c r="AK553" s="499"/>
      <c r="AL553" s="499"/>
      <c r="AM553" s="499"/>
      <c r="AN553" s="499"/>
      <c r="AO553" s="499"/>
      <c r="AP553" s="499"/>
      <c r="AQ553" s="499"/>
      <c r="AR553" s="499"/>
      <c r="AS553" s="499"/>
      <c r="AT553" s="499"/>
      <c r="AU553" s="499"/>
      <c r="AV553" s="461"/>
      <c r="AW553" s="461"/>
      <c r="AX553" s="461"/>
      <c r="AY553" s="461"/>
      <c r="AZ553" s="461"/>
      <c r="BA553" s="461"/>
      <c r="BB553" s="461"/>
      <c r="BC553" s="461"/>
      <c r="BD553" s="461"/>
      <c r="BE553" s="461"/>
      <c r="BF553" s="461"/>
      <c r="BG553" s="461"/>
      <c r="BH553" s="289">
        <f t="shared" ref="BH553:BO553" si="381">SUM(BH554:BH560)</f>
        <v>187.610749</v>
      </c>
      <c r="BI553" s="289">
        <f t="shared" si="381"/>
        <v>501.60794900000002</v>
      </c>
      <c r="BJ553" s="289">
        <f t="shared" si="381"/>
        <v>223.710554</v>
      </c>
      <c r="BK553" s="289">
        <f t="shared" si="381"/>
        <v>443.319548</v>
      </c>
      <c r="BL553" s="289">
        <f t="shared" si="381"/>
        <v>343.78</v>
      </c>
      <c r="BM553" s="289">
        <f>SUM(BM554:BM560)</f>
        <v>228.24869800000002</v>
      </c>
      <c r="BN553" s="289">
        <f t="shared" si="381"/>
        <v>398.508871</v>
      </c>
      <c r="BO553" s="289">
        <f t="shared" si="381"/>
        <v>368.33984900000002</v>
      </c>
      <c r="BP553" s="276">
        <f>BO553</f>
        <v>368.33984900000002</v>
      </c>
      <c r="BQ553" s="276">
        <f>BP553</f>
        <v>368.33984900000002</v>
      </c>
      <c r="BR553" s="276">
        <f>BQ553</f>
        <v>368.33984900000002</v>
      </c>
      <c r="BS553" s="276">
        <f>BR553</f>
        <v>368.33984900000002</v>
      </c>
      <c r="BT553" s="276">
        <f>BS553</f>
        <v>368.33984900000002</v>
      </c>
      <c r="BU553" s="40">
        <f t="shared" si="379"/>
        <v>368.33984900000002</v>
      </c>
      <c r="BV553" s="40">
        <f t="shared" si="380"/>
        <v>368.33984900000002</v>
      </c>
      <c r="BW553" s="40">
        <f t="shared" si="380"/>
        <v>368.33984900000002</v>
      </c>
      <c r="BX553" s="40">
        <f t="shared" si="380"/>
        <v>368.33984900000002</v>
      </c>
      <c r="BY553" s="40">
        <f t="shared" si="380"/>
        <v>368.33984900000002</v>
      </c>
      <c r="BZ553" s="40">
        <f t="shared" si="380"/>
        <v>368.33984900000002</v>
      </c>
      <c r="CA553" s="40">
        <f t="shared" si="380"/>
        <v>368.33984900000002</v>
      </c>
      <c r="CB553" s="40">
        <f t="shared" si="380"/>
        <v>368.33984900000002</v>
      </c>
      <c r="CC553" s="40">
        <f t="shared" si="380"/>
        <v>368.33984900000002</v>
      </c>
      <c r="CD553" s="40">
        <f t="shared" si="380"/>
        <v>368.33984900000002</v>
      </c>
      <c r="CE553" s="289"/>
      <c r="CF553" s="289"/>
      <c r="CG553" s="289"/>
      <c r="CM553" s="289">
        <f>SUM(CM554:CM560)</f>
        <v>216.59911500000001</v>
      </c>
    </row>
    <row r="554" spans="2:91" s="25" customFormat="1">
      <c r="B554" s="289" t="s">
        <v>2161</v>
      </c>
      <c r="C554" s="499"/>
      <c r="D554" s="499"/>
      <c r="E554" s="499"/>
      <c r="F554" s="499"/>
      <c r="G554" s="499"/>
      <c r="H554" s="499"/>
      <c r="I554" s="499"/>
      <c r="J554" s="499"/>
      <c r="K554" s="499"/>
      <c r="L554" s="499"/>
      <c r="M554" s="499"/>
      <c r="N554" s="499"/>
      <c r="O554" s="499"/>
      <c r="P554" s="499"/>
      <c r="Q554" s="499"/>
      <c r="R554" s="499"/>
      <c r="S554" s="499"/>
      <c r="T554" s="499"/>
      <c r="U554" s="499"/>
      <c r="V554" s="499"/>
      <c r="W554" s="499"/>
      <c r="X554" s="499"/>
      <c r="Y554" s="499"/>
      <c r="Z554" s="499"/>
      <c r="AA554" s="499"/>
      <c r="AB554" s="499"/>
      <c r="AC554" s="499"/>
      <c r="AD554" s="499"/>
      <c r="AE554" s="499"/>
      <c r="AF554" s="499"/>
      <c r="AG554" s="499"/>
      <c r="AH554" s="499"/>
      <c r="AI554" s="499"/>
      <c r="AJ554" s="499"/>
      <c r="AK554" s="499"/>
      <c r="AL554" s="499"/>
      <c r="AM554" s="499"/>
      <c r="AN554" s="499"/>
      <c r="AO554" s="499"/>
      <c r="AP554" s="499"/>
      <c r="AQ554" s="499"/>
      <c r="AR554" s="499"/>
      <c r="AS554" s="499"/>
      <c r="AT554" s="499"/>
      <c r="AU554" s="499"/>
      <c r="AV554" s="461"/>
      <c r="AW554" s="461"/>
      <c r="AX554" s="461"/>
      <c r="AY554" s="461"/>
      <c r="AZ554" s="461"/>
      <c r="BA554" s="461"/>
      <c r="BB554" s="461"/>
      <c r="BC554" s="461"/>
      <c r="BD554" s="461"/>
      <c r="BE554" s="461"/>
      <c r="BF554" s="461"/>
      <c r="BG554" s="461"/>
      <c r="BH554" s="790">
        <v>149.66788</v>
      </c>
      <c r="BI554" s="791">
        <v>356.88388099999997</v>
      </c>
      <c r="BJ554" s="792">
        <v>194.90495799999999</v>
      </c>
      <c r="BK554" s="792">
        <v>388.387834</v>
      </c>
      <c r="BL554" s="794">
        <v>202.21</v>
      </c>
      <c r="BM554" s="289">
        <v>161.24</v>
      </c>
      <c r="BN554" s="289">
        <v>280.77999999999997</v>
      </c>
      <c r="BO554" s="289">
        <v>300.24</v>
      </c>
      <c r="BP554" s="276">
        <f>BO554</f>
        <v>300.24</v>
      </c>
      <c r="BQ554" s="276"/>
      <c r="BR554" s="276"/>
      <c r="BS554" s="276"/>
      <c r="BT554" s="276"/>
      <c r="BU554" s="40">
        <f t="shared" si="379"/>
        <v>0</v>
      </c>
      <c r="BV554" s="40">
        <f t="shared" si="380"/>
        <v>0</v>
      </c>
      <c r="BW554" s="40">
        <f t="shared" si="380"/>
        <v>0</v>
      </c>
      <c r="BX554" s="40">
        <f t="shared" si="380"/>
        <v>0</v>
      </c>
      <c r="BY554" s="40">
        <f t="shared" si="380"/>
        <v>0</v>
      </c>
      <c r="BZ554" s="40">
        <f t="shared" si="380"/>
        <v>0</v>
      </c>
      <c r="CA554" s="40">
        <f t="shared" si="380"/>
        <v>0</v>
      </c>
      <c r="CB554" s="40">
        <f t="shared" si="380"/>
        <v>0</v>
      </c>
      <c r="CC554" s="40">
        <f t="shared" si="380"/>
        <v>0</v>
      </c>
      <c r="CD554" s="40">
        <f t="shared" si="380"/>
        <v>0</v>
      </c>
      <c r="CE554" s="289"/>
      <c r="CF554" s="289"/>
      <c r="CG554" s="289"/>
      <c r="CM554" s="289">
        <v>150.12</v>
      </c>
    </row>
    <row r="555" spans="2:91" s="25" customFormat="1">
      <c r="B555" s="289" t="s">
        <v>619</v>
      </c>
      <c r="C555" s="499"/>
      <c r="D555" s="499"/>
      <c r="E555" s="499"/>
      <c r="F555" s="499"/>
      <c r="G555" s="499"/>
      <c r="H555" s="499"/>
      <c r="I555" s="499"/>
      <c r="J555" s="499"/>
      <c r="K555" s="499"/>
      <c r="L555" s="499"/>
      <c r="M555" s="499"/>
      <c r="N555" s="499"/>
      <c r="O555" s="499"/>
      <c r="P555" s="499"/>
      <c r="Q555" s="499"/>
      <c r="R555" s="499"/>
      <c r="S555" s="499"/>
      <c r="T555" s="499"/>
      <c r="U555" s="499"/>
      <c r="V555" s="499"/>
      <c r="W555" s="499"/>
      <c r="X555" s="499"/>
      <c r="Y555" s="499"/>
      <c r="Z555" s="499"/>
      <c r="AA555" s="499"/>
      <c r="AB555" s="499"/>
      <c r="AC555" s="499"/>
      <c r="AD555" s="499"/>
      <c r="AE555" s="499"/>
      <c r="AF555" s="499"/>
      <c r="AG555" s="499"/>
      <c r="AH555" s="499"/>
      <c r="AI555" s="499"/>
      <c r="AJ555" s="499"/>
      <c r="AK555" s="499"/>
      <c r="AL555" s="499"/>
      <c r="AM555" s="499"/>
      <c r="AN555" s="499"/>
      <c r="AO555" s="499"/>
      <c r="AP555" s="499"/>
      <c r="AQ555" s="499"/>
      <c r="AR555" s="499"/>
      <c r="AS555" s="499"/>
      <c r="AT555" s="499"/>
      <c r="AU555" s="499"/>
      <c r="AV555" s="461"/>
      <c r="AW555" s="461"/>
      <c r="AX555" s="461"/>
      <c r="AY555" s="461"/>
      <c r="AZ555" s="461"/>
      <c r="BA555" s="461"/>
      <c r="BB555" s="461"/>
      <c r="BC555" s="461"/>
      <c r="BD555" s="461"/>
      <c r="BE555" s="461"/>
      <c r="BF555" s="461"/>
      <c r="BG555" s="461"/>
      <c r="BH555" s="289"/>
      <c r="BI555" s="794"/>
      <c r="BJ555" s="480"/>
      <c r="BK555" s="307"/>
      <c r="BM555" s="25">
        <v>27.008697999999999</v>
      </c>
      <c r="BN555" s="25">
        <v>27.548870999999998</v>
      </c>
      <c r="BO555" s="25">
        <v>28.099848999999999</v>
      </c>
      <c r="BP555" s="276">
        <f>BO555</f>
        <v>28.099848999999999</v>
      </c>
      <c r="BQ555" s="276"/>
      <c r="BR555" s="276"/>
      <c r="BS555" s="276"/>
      <c r="BT555" s="276"/>
      <c r="BU555" s="40">
        <f t="shared" si="379"/>
        <v>0</v>
      </c>
      <c r="BV555" s="40">
        <f t="shared" si="380"/>
        <v>0</v>
      </c>
      <c r="BW555" s="40">
        <f t="shared" si="380"/>
        <v>0</v>
      </c>
      <c r="BX555" s="40">
        <f t="shared" si="380"/>
        <v>0</v>
      </c>
      <c r="BY555" s="40">
        <f t="shared" si="380"/>
        <v>0</v>
      </c>
      <c r="BZ555" s="40">
        <f t="shared" si="380"/>
        <v>0</v>
      </c>
      <c r="CA555" s="40">
        <f t="shared" si="380"/>
        <v>0</v>
      </c>
      <c r="CB555" s="40">
        <f t="shared" si="380"/>
        <v>0</v>
      </c>
      <c r="CC555" s="40">
        <f t="shared" si="380"/>
        <v>0</v>
      </c>
      <c r="CD555" s="40">
        <f t="shared" si="380"/>
        <v>0</v>
      </c>
      <c r="CE555" s="307"/>
      <c r="CF555" s="307"/>
      <c r="CG555" s="307"/>
      <c r="CM555" s="25">
        <v>26.479115</v>
      </c>
    </row>
    <row r="556" spans="2:91" s="25" customFormat="1">
      <c r="B556" s="289" t="s">
        <v>269</v>
      </c>
      <c r="C556" s="499"/>
      <c r="D556" s="499"/>
      <c r="E556" s="499"/>
      <c r="F556" s="499"/>
      <c r="G556" s="499"/>
      <c r="H556" s="499"/>
      <c r="I556" s="499"/>
      <c r="J556" s="499"/>
      <c r="K556" s="499"/>
      <c r="L556" s="499"/>
      <c r="M556" s="499"/>
      <c r="N556" s="499"/>
      <c r="O556" s="499"/>
      <c r="P556" s="499"/>
      <c r="Q556" s="499"/>
      <c r="R556" s="499"/>
      <c r="S556" s="499"/>
      <c r="T556" s="499"/>
      <c r="U556" s="499"/>
      <c r="V556" s="499"/>
      <c r="W556" s="499"/>
      <c r="X556" s="499"/>
      <c r="Y556" s="499"/>
      <c r="Z556" s="499"/>
      <c r="AA556" s="499"/>
      <c r="AB556" s="499"/>
      <c r="AC556" s="499"/>
      <c r="AD556" s="499"/>
      <c r="AE556" s="499"/>
      <c r="AF556" s="499"/>
      <c r="AG556" s="499"/>
      <c r="AH556" s="499"/>
      <c r="AI556" s="499"/>
      <c r="AJ556" s="499"/>
      <c r="AK556" s="499"/>
      <c r="AL556" s="499"/>
      <c r="AM556" s="499"/>
      <c r="AN556" s="499"/>
      <c r="AO556" s="499"/>
      <c r="AP556" s="499"/>
      <c r="AQ556" s="499"/>
      <c r="AR556" s="499"/>
      <c r="AS556" s="499"/>
      <c r="AT556" s="499"/>
      <c r="AU556" s="499"/>
      <c r="AV556" s="461"/>
      <c r="AW556" s="461"/>
      <c r="AX556" s="461"/>
      <c r="AY556" s="461"/>
      <c r="AZ556" s="461"/>
      <c r="BA556" s="461"/>
      <c r="BB556" s="461"/>
      <c r="BC556" s="461"/>
      <c r="BD556" s="461"/>
      <c r="BE556" s="461"/>
      <c r="BF556" s="461"/>
      <c r="BG556" s="461"/>
      <c r="BH556" s="289"/>
      <c r="BI556" s="791">
        <v>109.731556</v>
      </c>
      <c r="BJ556" s="289"/>
      <c r="BK556" s="792">
        <v>35.131131000000003</v>
      </c>
      <c r="BL556" s="289"/>
      <c r="BM556" s="289">
        <v>40</v>
      </c>
      <c r="BN556" s="289">
        <v>40</v>
      </c>
      <c r="BO556" s="289">
        <v>40</v>
      </c>
      <c r="BP556" s="276">
        <f>BO556</f>
        <v>40</v>
      </c>
      <c r="BQ556" s="276"/>
      <c r="BR556" s="276"/>
      <c r="BS556" s="276"/>
      <c r="BT556" s="276"/>
      <c r="BU556" s="40">
        <f t="shared" si="379"/>
        <v>0</v>
      </c>
      <c r="BV556" s="40">
        <f t="shared" si="380"/>
        <v>0</v>
      </c>
      <c r="BW556" s="40">
        <f t="shared" si="380"/>
        <v>0</v>
      </c>
      <c r="BX556" s="40">
        <f t="shared" si="380"/>
        <v>0</v>
      </c>
      <c r="BY556" s="40">
        <f t="shared" si="380"/>
        <v>0</v>
      </c>
      <c r="BZ556" s="40">
        <f t="shared" si="380"/>
        <v>0</v>
      </c>
      <c r="CA556" s="40">
        <f t="shared" si="380"/>
        <v>0</v>
      </c>
      <c r="CB556" s="40">
        <f t="shared" si="380"/>
        <v>0</v>
      </c>
      <c r="CC556" s="40">
        <f t="shared" si="380"/>
        <v>0</v>
      </c>
      <c r="CD556" s="40">
        <f t="shared" si="380"/>
        <v>0</v>
      </c>
      <c r="CE556" s="289"/>
      <c r="CF556" s="289"/>
      <c r="CG556" s="289"/>
      <c r="CM556" s="289">
        <v>40</v>
      </c>
    </row>
    <row r="557" spans="2:91" s="25" customFormat="1">
      <c r="B557" s="289" t="s">
        <v>270</v>
      </c>
      <c r="C557" s="499"/>
      <c r="D557" s="499"/>
      <c r="E557" s="499"/>
      <c r="F557" s="499"/>
      <c r="G557" s="499"/>
      <c r="H557" s="499"/>
      <c r="I557" s="499"/>
      <c r="J557" s="499"/>
      <c r="K557" s="499"/>
      <c r="L557" s="499"/>
      <c r="M557" s="499"/>
      <c r="N557" s="499"/>
      <c r="O557" s="499"/>
      <c r="P557" s="499"/>
      <c r="Q557" s="499"/>
      <c r="R557" s="499"/>
      <c r="S557" s="499"/>
      <c r="T557" s="499"/>
      <c r="U557" s="499"/>
      <c r="V557" s="499"/>
      <c r="W557" s="499"/>
      <c r="X557" s="499"/>
      <c r="Y557" s="499"/>
      <c r="Z557" s="499"/>
      <c r="AA557" s="499"/>
      <c r="AB557" s="499"/>
      <c r="AC557" s="499"/>
      <c r="AD557" s="499"/>
      <c r="AE557" s="499"/>
      <c r="AF557" s="499"/>
      <c r="AG557" s="499"/>
      <c r="AH557" s="499"/>
      <c r="AI557" s="499"/>
      <c r="AJ557" s="499"/>
      <c r="AK557" s="499"/>
      <c r="AL557" s="499"/>
      <c r="AM557" s="499"/>
      <c r="AN557" s="499"/>
      <c r="AO557" s="499"/>
      <c r="AP557" s="499"/>
      <c r="AQ557" s="499"/>
      <c r="AR557" s="499"/>
      <c r="AS557" s="499"/>
      <c r="AT557" s="499"/>
      <c r="AU557" s="499"/>
      <c r="AV557" s="461"/>
      <c r="AW557" s="461"/>
      <c r="AX557" s="461"/>
      <c r="AY557" s="461"/>
      <c r="AZ557" s="461"/>
      <c r="BA557" s="461"/>
      <c r="BB557" s="461"/>
      <c r="BC557" s="461"/>
      <c r="BD557" s="461"/>
      <c r="BE557" s="461"/>
      <c r="BF557" s="461"/>
      <c r="BG557" s="461"/>
      <c r="BH557" s="289"/>
      <c r="BI557" s="289"/>
      <c r="BJ557" s="289"/>
      <c r="BK557" s="307"/>
      <c r="BU557" s="40">
        <f t="shared" si="379"/>
        <v>0</v>
      </c>
      <c r="BV557" s="40">
        <f t="shared" si="380"/>
        <v>0</v>
      </c>
      <c r="BW557" s="40">
        <f t="shared" si="380"/>
        <v>0</v>
      </c>
      <c r="BX557" s="40">
        <f t="shared" si="380"/>
        <v>0</v>
      </c>
      <c r="BY557" s="40">
        <f t="shared" si="380"/>
        <v>0</v>
      </c>
      <c r="BZ557" s="40">
        <f t="shared" si="380"/>
        <v>0</v>
      </c>
      <c r="CA557" s="40">
        <f t="shared" si="380"/>
        <v>0</v>
      </c>
      <c r="CB557" s="40">
        <f t="shared" si="380"/>
        <v>0</v>
      </c>
      <c r="CC557" s="40">
        <f t="shared" si="380"/>
        <v>0</v>
      </c>
      <c r="CD557" s="40">
        <f t="shared" si="380"/>
        <v>0</v>
      </c>
      <c r="CE557" s="307"/>
      <c r="CF557" s="307"/>
      <c r="CG557" s="307"/>
    </row>
    <row r="558" spans="2:91" s="25" customFormat="1">
      <c r="B558" s="289" t="s">
        <v>766</v>
      </c>
      <c r="C558" s="499"/>
      <c r="D558" s="499"/>
      <c r="E558" s="499"/>
      <c r="F558" s="499"/>
      <c r="G558" s="499"/>
      <c r="H558" s="499"/>
      <c r="I558" s="499"/>
      <c r="J558" s="499"/>
      <c r="K558" s="499"/>
      <c r="L558" s="499"/>
      <c r="M558" s="499"/>
      <c r="N558" s="499"/>
      <c r="O558" s="499"/>
      <c r="P558" s="499"/>
      <c r="Q558" s="499"/>
      <c r="R558" s="499"/>
      <c r="S558" s="499"/>
      <c r="T558" s="499"/>
      <c r="U558" s="499"/>
      <c r="V558" s="499"/>
      <c r="W558" s="499"/>
      <c r="X558" s="499"/>
      <c r="Y558" s="499"/>
      <c r="Z558" s="499"/>
      <c r="AA558" s="499"/>
      <c r="AB558" s="499"/>
      <c r="AC558" s="499"/>
      <c r="AD558" s="499"/>
      <c r="AE558" s="499"/>
      <c r="AF558" s="499"/>
      <c r="AG558" s="499"/>
      <c r="AH558" s="499"/>
      <c r="AI558" s="499"/>
      <c r="AJ558" s="499"/>
      <c r="AK558" s="499"/>
      <c r="AL558" s="499"/>
      <c r="AM558" s="499"/>
      <c r="AN558" s="499"/>
      <c r="AO558" s="499"/>
      <c r="AP558" s="499"/>
      <c r="AQ558" s="499"/>
      <c r="AR558" s="499"/>
      <c r="AS558" s="499"/>
      <c r="AT558" s="499"/>
      <c r="AU558" s="499"/>
      <c r="AV558" s="461"/>
      <c r="AW558" s="461"/>
      <c r="AX558" s="461"/>
      <c r="AY558" s="461"/>
      <c r="AZ558" s="461"/>
      <c r="BA558" s="461"/>
      <c r="BB558" s="461"/>
      <c r="BC558" s="461"/>
      <c r="BD558" s="461"/>
      <c r="BE558" s="461"/>
      <c r="BF558" s="461"/>
      <c r="BG558" s="461"/>
      <c r="BH558" s="289"/>
      <c r="BI558" s="289"/>
      <c r="BJ558" s="289"/>
      <c r="BK558" s="307"/>
      <c r="BU558" s="40">
        <f t="shared" si="379"/>
        <v>0</v>
      </c>
      <c r="BV558" s="40">
        <f t="shared" si="380"/>
        <v>0</v>
      </c>
      <c r="BW558" s="40">
        <f t="shared" si="380"/>
        <v>0</v>
      </c>
      <c r="BX558" s="40">
        <f t="shared" si="380"/>
        <v>0</v>
      </c>
      <c r="BY558" s="40">
        <f t="shared" si="380"/>
        <v>0</v>
      </c>
      <c r="BZ558" s="40">
        <f t="shared" si="380"/>
        <v>0</v>
      </c>
      <c r="CA558" s="40">
        <f t="shared" si="380"/>
        <v>0</v>
      </c>
      <c r="CB558" s="40">
        <f t="shared" si="380"/>
        <v>0</v>
      </c>
      <c r="CC558" s="40">
        <f t="shared" si="380"/>
        <v>0</v>
      </c>
      <c r="CD558" s="40">
        <f t="shared" si="380"/>
        <v>0</v>
      </c>
      <c r="CE558" s="307"/>
      <c r="CF558" s="307"/>
      <c r="CG558" s="307"/>
    </row>
    <row r="559" spans="2:91" s="25" customFormat="1">
      <c r="B559" s="289" t="s">
        <v>271</v>
      </c>
      <c r="C559" s="499"/>
      <c r="D559" s="499"/>
      <c r="E559" s="499"/>
      <c r="F559" s="499"/>
      <c r="G559" s="499"/>
      <c r="H559" s="499"/>
      <c r="I559" s="499"/>
      <c r="J559" s="499"/>
      <c r="K559" s="499"/>
      <c r="L559" s="499"/>
      <c r="M559" s="499"/>
      <c r="N559" s="499"/>
      <c r="O559" s="499"/>
      <c r="P559" s="499"/>
      <c r="Q559" s="499"/>
      <c r="R559" s="499"/>
      <c r="S559" s="499"/>
      <c r="T559" s="499"/>
      <c r="U559" s="499"/>
      <c r="V559" s="499"/>
      <c r="W559" s="499"/>
      <c r="X559" s="499"/>
      <c r="Y559" s="499"/>
      <c r="Z559" s="499"/>
      <c r="AA559" s="499"/>
      <c r="AB559" s="499"/>
      <c r="AC559" s="499"/>
      <c r="AD559" s="499"/>
      <c r="AE559" s="499"/>
      <c r="AF559" s="499"/>
      <c r="AG559" s="499"/>
      <c r="AH559" s="499"/>
      <c r="AI559" s="499"/>
      <c r="AJ559" s="499"/>
      <c r="AK559" s="499"/>
      <c r="AL559" s="499"/>
      <c r="AM559" s="499"/>
      <c r="AN559" s="499"/>
      <c r="AO559" s="499"/>
      <c r="AP559" s="499"/>
      <c r="AQ559" s="499"/>
      <c r="AR559" s="499"/>
      <c r="AS559" s="499"/>
      <c r="AT559" s="499"/>
      <c r="AU559" s="499"/>
      <c r="AV559" s="461"/>
      <c r="AW559" s="461"/>
      <c r="AX559" s="461"/>
      <c r="AY559" s="461"/>
      <c r="AZ559" s="461"/>
      <c r="BA559" s="461"/>
      <c r="BB559" s="461"/>
      <c r="BC559" s="461"/>
      <c r="BD559" s="461"/>
      <c r="BE559" s="461"/>
      <c r="BF559" s="461"/>
      <c r="BG559" s="461"/>
      <c r="BH559" s="289"/>
      <c r="BI559" s="289"/>
      <c r="BJ559" s="289"/>
      <c r="BK559" s="307"/>
      <c r="BU559" s="40">
        <f t="shared" si="379"/>
        <v>0</v>
      </c>
      <c r="BV559" s="40">
        <f t="shared" si="380"/>
        <v>0</v>
      </c>
      <c r="BW559" s="40">
        <f t="shared" si="380"/>
        <v>0</v>
      </c>
      <c r="BX559" s="40">
        <f t="shared" si="380"/>
        <v>0</v>
      </c>
      <c r="BY559" s="40">
        <f t="shared" si="380"/>
        <v>0</v>
      </c>
      <c r="BZ559" s="40">
        <f t="shared" si="380"/>
        <v>0</v>
      </c>
      <c r="CA559" s="40">
        <f t="shared" si="380"/>
        <v>0</v>
      </c>
      <c r="CB559" s="40">
        <f t="shared" si="380"/>
        <v>0</v>
      </c>
      <c r="CC559" s="40">
        <f t="shared" si="380"/>
        <v>0</v>
      </c>
      <c r="CD559" s="40">
        <f t="shared" si="380"/>
        <v>0</v>
      </c>
      <c r="CE559" s="307"/>
      <c r="CF559" s="307"/>
      <c r="CG559" s="307"/>
    </row>
    <row r="560" spans="2:91" s="25" customFormat="1">
      <c r="B560" s="289" t="s">
        <v>272</v>
      </c>
      <c r="C560" s="499"/>
      <c r="D560" s="499"/>
      <c r="E560" s="499"/>
      <c r="F560" s="499"/>
      <c r="G560" s="499"/>
      <c r="H560" s="499"/>
      <c r="I560" s="499"/>
      <c r="J560" s="499"/>
      <c r="K560" s="499"/>
      <c r="L560" s="499"/>
      <c r="M560" s="499"/>
      <c r="N560" s="499"/>
      <c r="O560" s="499"/>
      <c r="P560" s="499"/>
      <c r="Q560" s="499"/>
      <c r="R560" s="499"/>
      <c r="S560" s="499"/>
      <c r="T560" s="499"/>
      <c r="U560" s="499"/>
      <c r="V560" s="499"/>
      <c r="W560" s="499"/>
      <c r="X560" s="499"/>
      <c r="Y560" s="499"/>
      <c r="Z560" s="499"/>
      <c r="AA560" s="499"/>
      <c r="AB560" s="499"/>
      <c r="AC560" s="499"/>
      <c r="AD560" s="499"/>
      <c r="AE560" s="499"/>
      <c r="AF560" s="499"/>
      <c r="AG560" s="499"/>
      <c r="AH560" s="499"/>
      <c r="AI560" s="499"/>
      <c r="AJ560" s="499"/>
      <c r="AK560" s="499"/>
      <c r="AL560" s="499"/>
      <c r="AM560" s="499"/>
      <c r="AN560" s="499"/>
      <c r="AO560" s="499"/>
      <c r="AP560" s="499"/>
      <c r="AQ560" s="499"/>
      <c r="AR560" s="499"/>
      <c r="AS560" s="499"/>
      <c r="AT560" s="499"/>
      <c r="AU560" s="499"/>
      <c r="AV560" s="461"/>
      <c r="AW560" s="461"/>
      <c r="AX560" s="461"/>
      <c r="AY560" s="461"/>
      <c r="AZ560" s="461"/>
      <c r="BA560" s="461"/>
      <c r="BB560" s="461"/>
      <c r="BC560" s="461"/>
      <c r="BD560" s="461"/>
      <c r="BE560" s="461"/>
      <c r="BF560" s="461"/>
      <c r="BG560" s="461"/>
      <c r="BH560" s="790">
        <f>187.610749-BH554</f>
        <v>37.942869000000002</v>
      </c>
      <c r="BI560" s="791">
        <v>34.992512000000033</v>
      </c>
      <c r="BJ560" s="792">
        <f>19.847297+8.958299</f>
        <v>28.805596000000001</v>
      </c>
      <c r="BK560" s="472">
        <f>4.703295+15.097288</f>
        <v>19.800583</v>
      </c>
      <c r="BL560" s="463">
        <f>17.14+124.43</f>
        <v>141.57</v>
      </c>
      <c r="BN560" s="307">
        <f>256.54-BM554-5.12-BM556</f>
        <v>50.180000000000007</v>
      </c>
      <c r="BU560" s="40">
        <f t="shared" si="379"/>
        <v>0</v>
      </c>
      <c r="BV560" s="40">
        <f t="shared" si="380"/>
        <v>0</v>
      </c>
      <c r="BW560" s="40">
        <f t="shared" si="380"/>
        <v>0</v>
      </c>
      <c r="BX560" s="40">
        <f t="shared" si="380"/>
        <v>0</v>
      </c>
      <c r="BY560" s="40">
        <f t="shared" si="380"/>
        <v>0</v>
      </c>
      <c r="BZ560" s="40">
        <f t="shared" si="380"/>
        <v>0</v>
      </c>
      <c r="CA560" s="40">
        <f t="shared" si="380"/>
        <v>0</v>
      </c>
      <c r="CB560" s="40">
        <f t="shared" si="380"/>
        <v>0</v>
      </c>
      <c r="CC560" s="40">
        <f t="shared" si="380"/>
        <v>0</v>
      </c>
      <c r="CD560" s="40">
        <f t="shared" si="380"/>
        <v>0</v>
      </c>
      <c r="CE560" s="307"/>
      <c r="CF560" s="307"/>
      <c r="CG560" s="307"/>
    </row>
    <row r="561" spans="2:91" s="25" customFormat="1">
      <c r="B561" s="289" t="s">
        <v>273</v>
      </c>
      <c r="C561" s="499"/>
      <c r="D561" s="499"/>
      <c r="E561" s="499"/>
      <c r="F561" s="499"/>
      <c r="G561" s="499"/>
      <c r="H561" s="499"/>
      <c r="I561" s="499"/>
      <c r="J561" s="499"/>
      <c r="K561" s="499"/>
      <c r="L561" s="499"/>
      <c r="M561" s="499"/>
      <c r="N561" s="499"/>
      <c r="O561" s="499"/>
      <c r="P561" s="499"/>
      <c r="Q561" s="499"/>
      <c r="R561" s="499"/>
      <c r="S561" s="499"/>
      <c r="T561" s="499"/>
      <c r="U561" s="499"/>
      <c r="V561" s="499"/>
      <c r="W561" s="499"/>
      <c r="X561" s="499"/>
      <c r="Y561" s="499"/>
      <c r="Z561" s="499"/>
      <c r="AA561" s="499"/>
      <c r="AB561" s="499"/>
      <c r="AC561" s="499"/>
      <c r="AD561" s="499"/>
      <c r="AE561" s="499"/>
      <c r="AF561" s="499"/>
      <c r="AG561" s="499"/>
      <c r="AH561" s="499"/>
      <c r="AI561" s="499"/>
      <c r="AJ561" s="499"/>
      <c r="AK561" s="499"/>
      <c r="AL561" s="499"/>
      <c r="AM561" s="499"/>
      <c r="AN561" s="499"/>
      <c r="AO561" s="499"/>
      <c r="AP561" s="499"/>
      <c r="AQ561" s="499"/>
      <c r="AR561" s="499"/>
      <c r="AS561" s="499"/>
      <c r="AT561" s="499"/>
      <c r="AU561" s="499"/>
      <c r="AV561" s="461"/>
      <c r="AW561" s="461"/>
      <c r="AX561" s="461"/>
      <c r="AY561" s="461"/>
      <c r="AZ561" s="461"/>
      <c r="BA561" s="461"/>
      <c r="BB561" s="461"/>
      <c r="BC561" s="461"/>
      <c r="BD561" s="461"/>
      <c r="BE561" s="461"/>
      <c r="BF561" s="461"/>
      <c r="BG561" s="461"/>
      <c r="BH561" s="289"/>
      <c r="BI561" s="289"/>
      <c r="BJ561" s="289"/>
      <c r="BK561" s="307"/>
      <c r="BU561" s="40">
        <f t="shared" si="379"/>
        <v>0</v>
      </c>
      <c r="BV561" s="40">
        <f t="shared" si="380"/>
        <v>0</v>
      </c>
      <c r="BW561" s="40">
        <f t="shared" si="380"/>
        <v>0</v>
      </c>
      <c r="BX561" s="40">
        <f t="shared" si="380"/>
        <v>0</v>
      </c>
      <c r="BY561" s="40">
        <f t="shared" si="380"/>
        <v>0</v>
      </c>
      <c r="BZ561" s="40">
        <f t="shared" si="380"/>
        <v>0</v>
      </c>
      <c r="CA561" s="40">
        <f t="shared" si="380"/>
        <v>0</v>
      </c>
      <c r="CB561" s="40">
        <f t="shared" si="380"/>
        <v>0</v>
      </c>
      <c r="CC561" s="40">
        <f t="shared" si="380"/>
        <v>0</v>
      </c>
      <c r="CD561" s="40">
        <f t="shared" si="380"/>
        <v>0</v>
      </c>
      <c r="CE561" s="307"/>
      <c r="CF561" s="307"/>
      <c r="CG561" s="307"/>
    </row>
    <row r="562" spans="2:91" s="25" customFormat="1">
      <c r="B562" s="289" t="s">
        <v>274</v>
      </c>
      <c r="C562" s="499"/>
      <c r="D562" s="499"/>
      <c r="E562" s="499"/>
      <c r="F562" s="499"/>
      <c r="G562" s="499"/>
      <c r="H562" s="499"/>
      <c r="I562" s="499"/>
      <c r="J562" s="499"/>
      <c r="K562" s="499"/>
      <c r="L562" s="499"/>
      <c r="M562" s="499"/>
      <c r="N562" s="499"/>
      <c r="O562" s="499"/>
      <c r="P562" s="499"/>
      <c r="Q562" s="499"/>
      <c r="R562" s="499"/>
      <c r="S562" s="499"/>
      <c r="T562" s="499"/>
      <c r="U562" s="499"/>
      <c r="V562" s="499"/>
      <c r="W562" s="499"/>
      <c r="X562" s="499"/>
      <c r="Y562" s="499"/>
      <c r="Z562" s="499"/>
      <c r="AA562" s="499"/>
      <c r="AB562" s="499"/>
      <c r="AC562" s="499"/>
      <c r="AD562" s="499"/>
      <c r="AE562" s="499"/>
      <c r="AF562" s="499"/>
      <c r="AG562" s="499"/>
      <c r="AH562" s="499"/>
      <c r="AI562" s="499"/>
      <c r="AJ562" s="499"/>
      <c r="AK562" s="499"/>
      <c r="AL562" s="499"/>
      <c r="AM562" s="499"/>
      <c r="AN562" s="499"/>
      <c r="AO562" s="499"/>
      <c r="AP562" s="499"/>
      <c r="AQ562" s="499"/>
      <c r="AR562" s="499"/>
      <c r="AS562" s="499"/>
      <c r="AT562" s="499"/>
      <c r="AU562" s="499"/>
      <c r="AV562" s="461"/>
      <c r="AW562" s="461"/>
      <c r="AX562" s="461"/>
      <c r="AY562" s="461"/>
      <c r="AZ562" s="461"/>
      <c r="BA562" s="461"/>
      <c r="BB562" s="461"/>
      <c r="BC562" s="461"/>
      <c r="BD562" s="461"/>
      <c r="BE562" s="461"/>
      <c r="BF562" s="461"/>
      <c r="BG562" s="461"/>
      <c r="BH562" s="289"/>
      <c r="BI562" s="289"/>
      <c r="BJ562" s="289"/>
      <c r="BK562" s="307"/>
      <c r="BU562" s="40">
        <f t="shared" si="379"/>
        <v>0</v>
      </c>
      <c r="BV562" s="40">
        <f t="shared" si="380"/>
        <v>0</v>
      </c>
      <c r="BW562" s="40">
        <f t="shared" si="380"/>
        <v>0</v>
      </c>
      <c r="BX562" s="40">
        <f t="shared" si="380"/>
        <v>0</v>
      </c>
      <c r="BY562" s="40">
        <f t="shared" si="380"/>
        <v>0</v>
      </c>
      <c r="BZ562" s="40">
        <f t="shared" si="380"/>
        <v>0</v>
      </c>
      <c r="CA562" s="40">
        <f t="shared" si="380"/>
        <v>0</v>
      </c>
      <c r="CB562" s="40">
        <f t="shared" si="380"/>
        <v>0</v>
      </c>
      <c r="CC562" s="40">
        <f t="shared" si="380"/>
        <v>0</v>
      </c>
      <c r="CD562" s="40">
        <f t="shared" si="380"/>
        <v>0</v>
      </c>
      <c r="CE562" s="307"/>
      <c r="CF562" s="307"/>
      <c r="CG562" s="307"/>
    </row>
    <row r="563" spans="2:91" s="25" customFormat="1">
      <c r="B563" s="289" t="s">
        <v>275</v>
      </c>
      <c r="C563" s="499"/>
      <c r="D563" s="499"/>
      <c r="E563" s="499"/>
      <c r="F563" s="499"/>
      <c r="G563" s="499"/>
      <c r="H563" s="499"/>
      <c r="I563" s="499"/>
      <c r="J563" s="499"/>
      <c r="K563" s="499"/>
      <c r="L563" s="499"/>
      <c r="M563" s="499"/>
      <c r="N563" s="499"/>
      <c r="O563" s="499"/>
      <c r="P563" s="499"/>
      <c r="Q563" s="499"/>
      <c r="R563" s="499"/>
      <c r="S563" s="499"/>
      <c r="T563" s="499"/>
      <c r="U563" s="499"/>
      <c r="V563" s="499"/>
      <c r="W563" s="499"/>
      <c r="X563" s="499"/>
      <c r="Y563" s="499"/>
      <c r="Z563" s="499"/>
      <c r="AA563" s="499"/>
      <c r="AB563" s="499"/>
      <c r="AC563" s="499"/>
      <c r="AD563" s="499"/>
      <c r="AE563" s="499"/>
      <c r="AF563" s="499"/>
      <c r="AG563" s="499"/>
      <c r="AH563" s="499"/>
      <c r="AI563" s="499"/>
      <c r="AJ563" s="499"/>
      <c r="AK563" s="499"/>
      <c r="AL563" s="499"/>
      <c r="AM563" s="499"/>
      <c r="AN563" s="499"/>
      <c r="AO563" s="499"/>
      <c r="AP563" s="499"/>
      <c r="AQ563" s="499"/>
      <c r="AR563" s="499"/>
      <c r="AS563" s="499"/>
      <c r="AT563" s="499"/>
      <c r="AU563" s="499"/>
      <c r="AV563" s="461"/>
      <c r="AW563" s="461"/>
      <c r="AX563" s="461"/>
      <c r="AY563" s="461"/>
      <c r="AZ563" s="461"/>
      <c r="BA563" s="461"/>
      <c r="BB563" s="461"/>
      <c r="BC563" s="461"/>
      <c r="BD563" s="461"/>
      <c r="BE563" s="461"/>
      <c r="BF563" s="461"/>
      <c r="BG563" s="461"/>
      <c r="BH563" s="790">
        <v>11.748607</v>
      </c>
      <c r="BI563" s="791">
        <v>1.752329</v>
      </c>
      <c r="BJ563" s="792">
        <v>14.953058</v>
      </c>
      <c r="BK563" s="472">
        <v>7.1701249999999996</v>
      </c>
      <c r="BL563" s="463">
        <v>11.7</v>
      </c>
      <c r="BU563" s="40">
        <f t="shared" si="379"/>
        <v>0</v>
      </c>
      <c r="BV563" s="40">
        <f t="shared" ref="BV563:CD578" si="382">BU563</f>
        <v>0</v>
      </c>
      <c r="BW563" s="40">
        <f t="shared" si="382"/>
        <v>0</v>
      </c>
      <c r="BX563" s="40">
        <f t="shared" si="382"/>
        <v>0</v>
      </c>
      <c r="BY563" s="40">
        <f t="shared" si="382"/>
        <v>0</v>
      </c>
      <c r="BZ563" s="40">
        <f t="shared" si="382"/>
        <v>0</v>
      </c>
      <c r="CA563" s="40">
        <f t="shared" si="382"/>
        <v>0</v>
      </c>
      <c r="CB563" s="40">
        <f t="shared" si="382"/>
        <v>0</v>
      </c>
      <c r="CC563" s="40">
        <f t="shared" si="382"/>
        <v>0</v>
      </c>
      <c r="CD563" s="40">
        <f t="shared" si="382"/>
        <v>0</v>
      </c>
      <c r="CE563" s="307"/>
      <c r="CF563" s="307"/>
      <c r="CG563" s="307"/>
    </row>
    <row r="564" spans="2:91" s="25" customFormat="1">
      <c r="B564" s="289" t="s">
        <v>3139</v>
      </c>
      <c r="C564" s="499"/>
      <c r="D564" s="499"/>
      <c r="E564" s="499"/>
      <c r="F564" s="499"/>
      <c r="G564" s="499"/>
      <c r="H564" s="499"/>
      <c r="I564" s="499"/>
      <c r="J564" s="499"/>
      <c r="K564" s="499"/>
      <c r="L564" s="499"/>
      <c r="M564" s="499"/>
      <c r="N564" s="499"/>
      <c r="O564" s="499"/>
      <c r="P564" s="499"/>
      <c r="Q564" s="499"/>
      <c r="R564" s="499"/>
      <c r="S564" s="499"/>
      <c r="T564" s="499"/>
      <c r="U564" s="499"/>
      <c r="V564" s="499"/>
      <c r="W564" s="499"/>
      <c r="X564" s="499"/>
      <c r="Y564" s="499"/>
      <c r="Z564" s="499"/>
      <c r="AA564" s="499"/>
      <c r="AB564" s="499"/>
      <c r="AC564" s="499"/>
      <c r="AD564" s="499"/>
      <c r="AE564" s="499"/>
      <c r="AF564" s="499"/>
      <c r="AG564" s="499"/>
      <c r="AH564" s="499"/>
      <c r="AI564" s="499"/>
      <c r="AJ564" s="499"/>
      <c r="AK564" s="499"/>
      <c r="AL564" s="499"/>
      <c r="AM564" s="499"/>
      <c r="AN564" s="499"/>
      <c r="AO564" s="499"/>
      <c r="AP564" s="499"/>
      <c r="AQ564" s="499"/>
      <c r="AR564" s="499"/>
      <c r="AS564" s="499"/>
      <c r="AT564" s="499"/>
      <c r="AU564" s="499"/>
      <c r="AV564" s="461"/>
      <c r="AW564" s="461"/>
      <c r="AX564" s="461"/>
      <c r="AY564" s="461"/>
      <c r="AZ564" s="461"/>
      <c r="BA564" s="461"/>
      <c r="BB564" s="461"/>
      <c r="BC564" s="461"/>
      <c r="BD564" s="461"/>
      <c r="BE564" s="461"/>
      <c r="BF564" s="461"/>
      <c r="BG564" s="461"/>
      <c r="BH564" s="790">
        <v>1.5415509999999999</v>
      </c>
      <c r="BI564" s="791">
        <v>2.6742110000000001</v>
      </c>
      <c r="BJ564" s="792">
        <v>0.44704199999999999</v>
      </c>
      <c r="BK564" s="475">
        <v>1.07</v>
      </c>
      <c r="BL564" s="508">
        <v>0.22</v>
      </c>
      <c r="BM564" s="509">
        <v>1.4</v>
      </c>
      <c r="BN564" s="509">
        <v>1.6659999999999999</v>
      </c>
      <c r="BO564" s="509">
        <v>2.016</v>
      </c>
      <c r="BP564" s="509">
        <v>2.48</v>
      </c>
      <c r="BQ564" s="509">
        <v>3.0990000000000002</v>
      </c>
      <c r="BR564" s="509">
        <v>3.0990000000000002</v>
      </c>
      <c r="BS564" s="509">
        <v>3.0990000000000002</v>
      </c>
      <c r="BT564" s="509">
        <v>3.0990000000000002</v>
      </c>
      <c r="BU564" s="40">
        <f t="shared" si="379"/>
        <v>3.0990000000000002</v>
      </c>
      <c r="BV564" s="40">
        <f t="shared" si="382"/>
        <v>3.0990000000000002</v>
      </c>
      <c r="BW564" s="40">
        <f t="shared" si="382"/>
        <v>3.0990000000000002</v>
      </c>
      <c r="BX564" s="40">
        <f t="shared" si="382"/>
        <v>3.0990000000000002</v>
      </c>
      <c r="BY564" s="40">
        <f t="shared" si="382"/>
        <v>3.0990000000000002</v>
      </c>
      <c r="BZ564" s="40">
        <f t="shared" si="382"/>
        <v>3.0990000000000002</v>
      </c>
      <c r="CA564" s="40">
        <f t="shared" si="382"/>
        <v>3.0990000000000002</v>
      </c>
      <c r="CB564" s="40">
        <f t="shared" si="382"/>
        <v>3.0990000000000002</v>
      </c>
      <c r="CC564" s="40">
        <f t="shared" si="382"/>
        <v>3.0990000000000002</v>
      </c>
      <c r="CD564" s="40">
        <f t="shared" si="382"/>
        <v>3.0990000000000002</v>
      </c>
      <c r="CE564" s="348"/>
      <c r="CF564" s="348"/>
      <c r="CG564" s="348"/>
      <c r="CM564" s="509">
        <v>1.2</v>
      </c>
    </row>
    <row r="565" spans="2:91" s="25" customFormat="1">
      <c r="B565" s="289" t="s">
        <v>276</v>
      </c>
      <c r="C565" s="499"/>
      <c r="D565" s="499"/>
      <c r="E565" s="499"/>
      <c r="F565" s="499"/>
      <c r="G565" s="499"/>
      <c r="H565" s="499"/>
      <c r="I565" s="499"/>
      <c r="J565" s="499"/>
      <c r="K565" s="499"/>
      <c r="L565" s="499"/>
      <c r="M565" s="499"/>
      <c r="N565" s="499"/>
      <c r="O565" s="499"/>
      <c r="P565" s="499"/>
      <c r="Q565" s="499"/>
      <c r="R565" s="499"/>
      <c r="S565" s="499"/>
      <c r="T565" s="499"/>
      <c r="U565" s="499"/>
      <c r="V565" s="499"/>
      <c r="W565" s="499"/>
      <c r="X565" s="499"/>
      <c r="Y565" s="499"/>
      <c r="Z565" s="499"/>
      <c r="AA565" s="499"/>
      <c r="AB565" s="499"/>
      <c r="AC565" s="499"/>
      <c r="AD565" s="499"/>
      <c r="AE565" s="499"/>
      <c r="AF565" s="499"/>
      <c r="AG565" s="499"/>
      <c r="AH565" s="499"/>
      <c r="AI565" s="499"/>
      <c r="AJ565" s="499"/>
      <c r="AK565" s="499"/>
      <c r="AL565" s="499"/>
      <c r="AM565" s="499"/>
      <c r="AN565" s="499"/>
      <c r="AO565" s="499"/>
      <c r="AP565" s="499"/>
      <c r="AQ565" s="499"/>
      <c r="AR565" s="499"/>
      <c r="AS565" s="499"/>
      <c r="AT565" s="499"/>
      <c r="AU565" s="499"/>
      <c r="AV565" s="461"/>
      <c r="AW565" s="461"/>
      <c r="AX565" s="461"/>
      <c r="AY565" s="461"/>
      <c r="AZ565" s="461"/>
      <c r="BA565" s="461"/>
      <c r="BB565" s="461"/>
      <c r="BC565" s="461"/>
      <c r="BD565" s="461"/>
      <c r="BE565" s="461"/>
      <c r="BF565" s="461"/>
      <c r="BG565" s="461"/>
      <c r="BH565" s="790">
        <v>36.554532999999999</v>
      </c>
      <c r="BI565" s="794">
        <v>184.98898500000001</v>
      </c>
      <c r="BJ565" s="792">
        <f>37.703793</f>
        <v>37.703792999999997</v>
      </c>
      <c r="BK565" s="472">
        <v>80.686802999999998</v>
      </c>
      <c r="BL565" s="463">
        <v>32.81</v>
      </c>
      <c r="BM565" s="25">
        <v>212.13766200000001</v>
      </c>
      <c r="BN565" s="25">
        <v>216.380415</v>
      </c>
      <c r="BO565" s="25">
        <v>220.70802399999999</v>
      </c>
      <c r="BP565" s="276">
        <f>BO565</f>
        <v>220.70802399999999</v>
      </c>
      <c r="BQ565" s="276"/>
      <c r="BR565" s="276"/>
      <c r="BS565" s="276"/>
      <c r="BT565" s="276"/>
      <c r="BU565" s="40">
        <f t="shared" si="379"/>
        <v>0</v>
      </c>
      <c r="BV565" s="40">
        <f t="shared" si="382"/>
        <v>0</v>
      </c>
      <c r="BW565" s="40">
        <f t="shared" si="382"/>
        <v>0</v>
      </c>
      <c r="BX565" s="40">
        <f t="shared" si="382"/>
        <v>0</v>
      </c>
      <c r="BY565" s="40">
        <f t="shared" si="382"/>
        <v>0</v>
      </c>
      <c r="BZ565" s="40">
        <f t="shared" si="382"/>
        <v>0</v>
      </c>
      <c r="CA565" s="40">
        <f t="shared" si="382"/>
        <v>0</v>
      </c>
      <c r="CB565" s="40">
        <f t="shared" si="382"/>
        <v>0</v>
      </c>
      <c r="CC565" s="40">
        <f t="shared" si="382"/>
        <v>0</v>
      </c>
      <c r="CD565" s="40">
        <f t="shared" si="382"/>
        <v>0</v>
      </c>
      <c r="CE565" s="307"/>
      <c r="CF565" s="307"/>
      <c r="CG565" s="307"/>
      <c r="CM565" s="25">
        <v>207.97810000000001</v>
      </c>
    </row>
    <row r="566" spans="2:91" s="25" customFormat="1">
      <c r="B566" s="499" t="s">
        <v>550</v>
      </c>
      <c r="C566" s="499"/>
      <c r="D566" s="499"/>
      <c r="E566" s="499"/>
      <c r="F566" s="499"/>
      <c r="G566" s="499"/>
      <c r="H566" s="499"/>
      <c r="I566" s="499"/>
      <c r="J566" s="499"/>
      <c r="K566" s="499"/>
      <c r="L566" s="499"/>
      <c r="M566" s="499"/>
      <c r="N566" s="499"/>
      <c r="O566" s="499"/>
      <c r="P566" s="499"/>
      <c r="Q566" s="499"/>
      <c r="R566" s="499"/>
      <c r="S566" s="499"/>
      <c r="T566" s="499"/>
      <c r="U566" s="499"/>
      <c r="V566" s="499"/>
      <c r="W566" s="499"/>
      <c r="X566" s="499"/>
      <c r="Y566" s="499"/>
      <c r="Z566" s="499"/>
      <c r="AA566" s="499"/>
      <c r="AB566" s="499"/>
      <c r="AC566" s="499"/>
      <c r="AD566" s="499"/>
      <c r="AE566" s="499"/>
      <c r="AF566" s="499"/>
      <c r="AG566" s="499"/>
      <c r="AH566" s="499"/>
      <c r="AI566" s="499"/>
      <c r="AJ566" s="499"/>
      <c r="AK566" s="499"/>
      <c r="AL566" s="499"/>
      <c r="AM566" s="499"/>
      <c r="AN566" s="499"/>
      <c r="AO566" s="499"/>
      <c r="AP566" s="499"/>
      <c r="AQ566" s="499"/>
      <c r="AR566" s="499"/>
      <c r="AS566" s="499"/>
      <c r="AT566" s="499"/>
      <c r="AU566" s="499"/>
      <c r="AV566" s="461"/>
      <c r="AW566" s="461"/>
      <c r="AX566" s="461"/>
      <c r="AY566" s="461"/>
      <c r="AZ566" s="461"/>
      <c r="BA566" s="461"/>
      <c r="BB566" s="461"/>
      <c r="BC566" s="461"/>
      <c r="BD566" s="461"/>
      <c r="BE566" s="461"/>
      <c r="BF566" s="461"/>
      <c r="BG566" s="461"/>
      <c r="BH566" s="307"/>
      <c r="BI566" s="423">
        <v>3.8919959999999998</v>
      </c>
      <c r="BJ566" s="472">
        <v>4.6726270000000003</v>
      </c>
      <c r="BK566" s="472">
        <v>9.1650170000000006</v>
      </c>
      <c r="BL566" s="463">
        <v>5.5</v>
      </c>
      <c r="BU566" s="40">
        <f t="shared" si="379"/>
        <v>0</v>
      </c>
      <c r="BV566" s="40">
        <f t="shared" si="382"/>
        <v>0</v>
      </c>
      <c r="BW566" s="40">
        <f t="shared" si="382"/>
        <v>0</v>
      </c>
      <c r="BX566" s="40">
        <f t="shared" si="382"/>
        <v>0</v>
      </c>
      <c r="BY566" s="40">
        <f t="shared" si="382"/>
        <v>0</v>
      </c>
      <c r="BZ566" s="40">
        <f t="shared" si="382"/>
        <v>0</v>
      </c>
      <c r="CA566" s="40">
        <f t="shared" si="382"/>
        <v>0</v>
      </c>
      <c r="CB566" s="40">
        <f t="shared" si="382"/>
        <v>0</v>
      </c>
      <c r="CC566" s="40">
        <f t="shared" si="382"/>
        <v>0</v>
      </c>
      <c r="CD566" s="40">
        <f t="shared" si="382"/>
        <v>0</v>
      </c>
      <c r="CE566" s="307"/>
      <c r="CF566" s="307"/>
      <c r="CG566" s="307"/>
    </row>
    <row r="567" spans="2:91" s="25" customFormat="1">
      <c r="B567" s="499" t="s">
        <v>551</v>
      </c>
      <c r="C567" s="499"/>
      <c r="D567" s="499"/>
      <c r="E567" s="499"/>
      <c r="F567" s="499"/>
      <c r="G567" s="499"/>
      <c r="H567" s="499"/>
      <c r="I567" s="499"/>
      <c r="J567" s="499"/>
      <c r="K567" s="499"/>
      <c r="L567" s="499"/>
      <c r="M567" s="499"/>
      <c r="N567" s="499"/>
      <c r="O567" s="499"/>
      <c r="P567" s="499"/>
      <c r="Q567" s="499"/>
      <c r="R567" s="499"/>
      <c r="S567" s="499"/>
      <c r="T567" s="499"/>
      <c r="U567" s="499"/>
      <c r="V567" s="499"/>
      <c r="W567" s="499"/>
      <c r="X567" s="499"/>
      <c r="Y567" s="499"/>
      <c r="Z567" s="499"/>
      <c r="AA567" s="499"/>
      <c r="AB567" s="499"/>
      <c r="AC567" s="499"/>
      <c r="AD567" s="499"/>
      <c r="AE567" s="499"/>
      <c r="AF567" s="499"/>
      <c r="AG567" s="499"/>
      <c r="AH567" s="499"/>
      <c r="AI567" s="499"/>
      <c r="AJ567" s="499"/>
      <c r="AK567" s="499"/>
      <c r="AL567" s="499"/>
      <c r="AM567" s="499"/>
      <c r="AN567" s="499"/>
      <c r="AO567" s="499"/>
      <c r="AP567" s="499"/>
      <c r="AQ567" s="499"/>
      <c r="AR567" s="499"/>
      <c r="AS567" s="499"/>
      <c r="AT567" s="499"/>
      <c r="AU567" s="499"/>
      <c r="AV567" s="461"/>
      <c r="AW567" s="461"/>
      <c r="AX567" s="461"/>
      <c r="AY567" s="461"/>
      <c r="AZ567" s="461"/>
      <c r="BA567" s="461"/>
      <c r="BB567" s="461"/>
      <c r="BC567" s="461"/>
      <c r="BD567" s="461"/>
      <c r="BE567" s="461"/>
      <c r="BF567" s="461"/>
      <c r="BG567" s="461"/>
      <c r="BH567" s="307"/>
      <c r="BI567" s="423">
        <v>2.9821110000000002</v>
      </c>
      <c r="BJ567" s="472">
        <v>3.1414390000000001</v>
      </c>
      <c r="BK567" s="475">
        <v>0.80400000000000005</v>
      </c>
      <c r="BL567" s="463">
        <v>3.68</v>
      </c>
      <c r="BM567" s="509">
        <v>1</v>
      </c>
      <c r="BN567" s="509">
        <v>1.2</v>
      </c>
      <c r="BO567" s="509">
        <v>1.44</v>
      </c>
      <c r="BP567" s="509">
        <v>1.728</v>
      </c>
      <c r="BQ567" s="509">
        <v>2.0739999999999998</v>
      </c>
      <c r="BR567" s="509">
        <v>2.0739999999999998</v>
      </c>
      <c r="BS567" s="509">
        <v>2.0739999999999998</v>
      </c>
      <c r="BT567" s="509">
        <v>2.0739999999999998</v>
      </c>
      <c r="BU567" s="40">
        <f t="shared" si="379"/>
        <v>2.0739999999999998</v>
      </c>
      <c r="BV567" s="40">
        <f t="shared" si="382"/>
        <v>2.0739999999999998</v>
      </c>
      <c r="BW567" s="40">
        <f t="shared" si="382"/>
        <v>2.0739999999999998</v>
      </c>
      <c r="BX567" s="40">
        <f t="shared" si="382"/>
        <v>2.0739999999999998</v>
      </c>
      <c r="BY567" s="40">
        <f t="shared" si="382"/>
        <v>2.0739999999999998</v>
      </c>
      <c r="BZ567" s="40">
        <f t="shared" si="382"/>
        <v>2.0739999999999998</v>
      </c>
      <c r="CA567" s="40">
        <f t="shared" si="382"/>
        <v>2.0739999999999998</v>
      </c>
      <c r="CB567" s="40">
        <f t="shared" si="382"/>
        <v>2.0739999999999998</v>
      </c>
      <c r="CC567" s="40">
        <f t="shared" si="382"/>
        <v>2.0739999999999998</v>
      </c>
      <c r="CD567" s="40">
        <f t="shared" si="382"/>
        <v>2.0739999999999998</v>
      </c>
      <c r="CE567" s="307"/>
      <c r="CF567" s="307"/>
      <c r="CG567" s="307"/>
      <c r="CM567" s="509">
        <v>9.6000000000000002E-2</v>
      </c>
    </row>
    <row r="568" spans="2:91" s="25" customFormat="1">
      <c r="B568" s="499" t="s">
        <v>4027</v>
      </c>
      <c r="C568" s="499"/>
      <c r="D568" s="499"/>
      <c r="E568" s="499"/>
      <c r="F568" s="499"/>
      <c r="G568" s="499"/>
      <c r="H568" s="499"/>
      <c r="I568" s="499"/>
      <c r="J568" s="499"/>
      <c r="K568" s="499"/>
      <c r="L568" s="499"/>
      <c r="M568" s="499"/>
      <c r="N568" s="499"/>
      <c r="O568" s="499"/>
      <c r="P568" s="499"/>
      <c r="Q568" s="499"/>
      <c r="R568" s="499"/>
      <c r="S568" s="499"/>
      <c r="T568" s="499"/>
      <c r="U568" s="499"/>
      <c r="V568" s="499"/>
      <c r="W568" s="499"/>
      <c r="X568" s="499"/>
      <c r="Y568" s="499"/>
      <c r="Z568" s="499"/>
      <c r="AA568" s="499"/>
      <c r="AB568" s="499"/>
      <c r="AC568" s="499"/>
      <c r="AD568" s="499"/>
      <c r="AE568" s="499"/>
      <c r="AF568" s="499"/>
      <c r="AG568" s="499"/>
      <c r="AH568" s="499"/>
      <c r="AI568" s="499"/>
      <c r="AJ568" s="499"/>
      <c r="AK568" s="499"/>
      <c r="AL568" s="499"/>
      <c r="AM568" s="499"/>
      <c r="AN568" s="499"/>
      <c r="AO568" s="499"/>
      <c r="AP568" s="499"/>
      <c r="AQ568" s="499"/>
      <c r="AR568" s="499"/>
      <c r="AS568" s="499"/>
      <c r="AT568" s="499"/>
      <c r="AU568" s="499"/>
      <c r="AV568" s="461"/>
      <c r="AW568" s="461"/>
      <c r="AX568" s="461"/>
      <c r="AY568" s="461"/>
      <c r="AZ568" s="461"/>
      <c r="BA568" s="461"/>
      <c r="BB568" s="461"/>
      <c r="BC568" s="461"/>
      <c r="BD568" s="461"/>
      <c r="BE568" s="461"/>
      <c r="BF568" s="461"/>
      <c r="BG568" s="461"/>
      <c r="BH568" s="307">
        <f>BH545-BH546</f>
        <v>-61.787004000000024</v>
      </c>
      <c r="BI568" s="307">
        <f>BI545-BI546</f>
        <v>75.2780240000003</v>
      </c>
      <c r="BJ568" s="307">
        <f t="shared" ref="BJ568:BO568" si="383">BJ545-BJ546</f>
        <v>-162.992165</v>
      </c>
      <c r="BK568" s="307">
        <f t="shared" si="383"/>
        <v>-74.01389099999983</v>
      </c>
      <c r="BL568" s="307">
        <f t="shared" si="383"/>
        <v>-458.78999999999996</v>
      </c>
      <c r="BM568" s="307">
        <f t="shared" si="383"/>
        <v>238.40595036339209</v>
      </c>
      <c r="BN568" s="307">
        <f t="shared" si="383"/>
        <v>169.21585176730025</v>
      </c>
      <c r="BO568" s="307">
        <f t="shared" si="383"/>
        <v>-87.527279180808705</v>
      </c>
      <c r="BP568" s="276">
        <f>BO568</f>
        <v>-87.527279180808705</v>
      </c>
      <c r="BQ568" s="276"/>
      <c r="BR568" s="276"/>
      <c r="BS568" s="276"/>
      <c r="BT568" s="276"/>
      <c r="BU568" s="40">
        <f t="shared" si="379"/>
        <v>0</v>
      </c>
      <c r="BV568" s="40">
        <f t="shared" si="382"/>
        <v>0</v>
      </c>
      <c r="BW568" s="40">
        <f t="shared" si="382"/>
        <v>0</v>
      </c>
      <c r="BX568" s="40">
        <f t="shared" si="382"/>
        <v>0</v>
      </c>
      <c r="BY568" s="40">
        <f t="shared" si="382"/>
        <v>0</v>
      </c>
      <c r="BZ568" s="40">
        <f t="shared" si="382"/>
        <v>0</v>
      </c>
      <c r="CA568" s="40">
        <f t="shared" si="382"/>
        <v>0</v>
      </c>
      <c r="CB568" s="40">
        <f t="shared" si="382"/>
        <v>0</v>
      </c>
      <c r="CC568" s="40">
        <f t="shared" si="382"/>
        <v>0</v>
      </c>
      <c r="CD568" s="40">
        <f t="shared" si="382"/>
        <v>0</v>
      </c>
      <c r="CE568" s="307"/>
      <c r="CF568" s="307"/>
      <c r="CG568" s="307"/>
      <c r="CM568" s="307">
        <f>CM545-CM546</f>
        <v>506.00992678635339</v>
      </c>
    </row>
    <row r="569" spans="2:91" s="25" customFormat="1">
      <c r="B569" s="499"/>
      <c r="C569" s="499"/>
      <c r="D569" s="499"/>
      <c r="E569" s="499"/>
      <c r="F569" s="499"/>
      <c r="G569" s="499"/>
      <c r="H569" s="499"/>
      <c r="I569" s="499"/>
      <c r="J569" s="499"/>
      <c r="K569" s="499"/>
      <c r="L569" s="499"/>
      <c r="M569" s="499"/>
      <c r="N569" s="499"/>
      <c r="O569" s="499"/>
      <c r="P569" s="499"/>
      <c r="Q569" s="499"/>
      <c r="R569" s="499"/>
      <c r="S569" s="499"/>
      <c r="T569" s="499"/>
      <c r="U569" s="499"/>
      <c r="V569" s="499"/>
      <c r="W569" s="499"/>
      <c r="X569" s="499"/>
      <c r="Y569" s="499"/>
      <c r="Z569" s="499"/>
      <c r="AA569" s="499"/>
      <c r="AB569" s="499"/>
      <c r="AC569" s="499"/>
      <c r="AD569" s="499"/>
      <c r="AE569" s="499"/>
      <c r="AF569" s="499"/>
      <c r="AG569" s="499"/>
      <c r="AH569" s="499"/>
      <c r="AI569" s="499"/>
      <c r="AJ569" s="499"/>
      <c r="AK569" s="499"/>
      <c r="AL569" s="499"/>
      <c r="AM569" s="499"/>
      <c r="AN569" s="499"/>
      <c r="AO569" s="499"/>
      <c r="AP569" s="499"/>
      <c r="AQ569" s="499"/>
      <c r="AR569" s="499"/>
      <c r="AS569" s="499"/>
      <c r="AT569" s="499"/>
      <c r="AU569" s="499"/>
      <c r="AV569" s="461"/>
      <c r="AW569" s="461"/>
      <c r="AX569" s="461"/>
      <c r="AY569" s="461"/>
      <c r="AZ569" s="461"/>
      <c r="BA569" s="461"/>
      <c r="BB569" s="461"/>
      <c r="BC569" s="461"/>
      <c r="BD569" s="461"/>
      <c r="BE569" s="461"/>
      <c r="BF569" s="461"/>
      <c r="BG569" s="461"/>
      <c r="BH569" s="307"/>
      <c r="BI569" s="307"/>
      <c r="BJ569" s="307"/>
      <c r="BK569" s="307"/>
      <c r="BU569" s="40">
        <f t="shared" si="379"/>
        <v>0</v>
      </c>
      <c r="BV569" s="40">
        <f t="shared" si="382"/>
        <v>0</v>
      </c>
      <c r="BW569" s="40">
        <f t="shared" si="382"/>
        <v>0</v>
      </c>
      <c r="BX569" s="40">
        <f t="shared" si="382"/>
        <v>0</v>
      </c>
      <c r="BY569" s="40">
        <f t="shared" si="382"/>
        <v>0</v>
      </c>
      <c r="BZ569" s="40">
        <f t="shared" si="382"/>
        <v>0</v>
      </c>
      <c r="CA569" s="40">
        <f t="shared" si="382"/>
        <v>0</v>
      </c>
      <c r="CB569" s="40">
        <f t="shared" si="382"/>
        <v>0</v>
      </c>
      <c r="CC569" s="40">
        <f t="shared" si="382"/>
        <v>0</v>
      </c>
      <c r="CD569" s="40">
        <f t="shared" si="382"/>
        <v>0</v>
      </c>
    </row>
    <row r="570" spans="2:91" s="25" customFormat="1">
      <c r="B570" s="499"/>
      <c r="C570" s="499"/>
      <c r="D570" s="499"/>
      <c r="E570" s="499"/>
      <c r="F570" s="499"/>
      <c r="G570" s="499"/>
      <c r="H570" s="499"/>
      <c r="I570" s="499"/>
      <c r="J570" s="499"/>
      <c r="K570" s="499"/>
      <c r="L570" s="499"/>
      <c r="M570" s="499"/>
      <c r="N570" s="499"/>
      <c r="O570" s="499"/>
      <c r="P570" s="499"/>
      <c r="Q570" s="499"/>
      <c r="R570" s="499"/>
      <c r="S570" s="499"/>
      <c r="T570" s="499"/>
      <c r="U570" s="499"/>
      <c r="V570" s="499"/>
      <c r="W570" s="499"/>
      <c r="X570" s="499"/>
      <c r="Y570" s="499"/>
      <c r="Z570" s="499"/>
      <c r="AA570" s="499"/>
      <c r="AB570" s="499"/>
      <c r="AC570" s="499"/>
      <c r="AD570" s="499"/>
      <c r="AE570" s="499"/>
      <c r="AF570" s="499"/>
      <c r="AG570" s="499"/>
      <c r="AH570" s="499"/>
      <c r="AI570" s="499"/>
      <c r="AJ570" s="499"/>
      <c r="AK570" s="499"/>
      <c r="AL570" s="499"/>
      <c r="AM570" s="499"/>
      <c r="AN570" s="499"/>
      <c r="AO570" s="499"/>
      <c r="AP570" s="499"/>
      <c r="AQ570" s="499"/>
      <c r="AR570" s="499"/>
      <c r="AS570" s="499"/>
      <c r="AT570" s="499"/>
      <c r="AU570" s="499"/>
      <c r="AV570" s="461"/>
      <c r="AW570" s="461"/>
      <c r="AX570" s="461"/>
      <c r="AY570" s="461"/>
      <c r="AZ570" s="461"/>
      <c r="BA570" s="461"/>
      <c r="BB570" s="461"/>
      <c r="BC570" s="461"/>
      <c r="BD570" s="461"/>
      <c r="BE570" s="461"/>
      <c r="BF570" s="461"/>
      <c r="BG570" s="461"/>
      <c r="BH570" s="307"/>
      <c r="BI570" s="307"/>
      <c r="BJ570" s="307"/>
      <c r="BK570" s="307"/>
      <c r="BU570" s="40">
        <f t="shared" si="379"/>
        <v>0</v>
      </c>
      <c r="BV570" s="40">
        <f t="shared" si="382"/>
        <v>0</v>
      </c>
      <c r="BW570" s="40">
        <f t="shared" si="382"/>
        <v>0</v>
      </c>
      <c r="BX570" s="40">
        <f t="shared" si="382"/>
        <v>0</v>
      </c>
      <c r="BY570" s="40">
        <f t="shared" si="382"/>
        <v>0</v>
      </c>
      <c r="BZ570" s="40">
        <f t="shared" si="382"/>
        <v>0</v>
      </c>
      <c r="CA570" s="40">
        <f t="shared" si="382"/>
        <v>0</v>
      </c>
      <c r="CB570" s="40">
        <f t="shared" si="382"/>
        <v>0</v>
      </c>
      <c r="CC570" s="40">
        <f t="shared" si="382"/>
        <v>0</v>
      </c>
      <c r="CD570" s="40">
        <f t="shared" si="382"/>
        <v>0</v>
      </c>
    </row>
    <row r="571" spans="2:91" s="25" customFormat="1">
      <c r="B571" s="499"/>
      <c r="C571" s="499"/>
      <c r="D571" s="499"/>
      <c r="E571" s="499"/>
      <c r="F571" s="499"/>
      <c r="G571" s="499"/>
      <c r="H571" s="499"/>
      <c r="I571" s="499"/>
      <c r="J571" s="499"/>
      <c r="K571" s="499"/>
      <c r="L571" s="499"/>
      <c r="M571" s="499"/>
      <c r="N571" s="499"/>
      <c r="O571" s="499"/>
      <c r="P571" s="499"/>
      <c r="Q571" s="499"/>
      <c r="R571" s="499"/>
      <c r="S571" s="499"/>
      <c r="T571" s="499"/>
      <c r="U571" s="499"/>
      <c r="V571" s="499"/>
      <c r="W571" s="499"/>
      <c r="X571" s="499"/>
      <c r="Y571" s="499"/>
      <c r="Z571" s="499"/>
      <c r="AA571" s="499"/>
      <c r="AB571" s="499"/>
      <c r="AC571" s="499"/>
      <c r="AD571" s="499"/>
      <c r="AE571" s="499"/>
      <c r="AF571" s="499"/>
      <c r="AG571" s="499"/>
      <c r="AH571" s="499"/>
      <c r="AI571" s="499"/>
      <c r="AJ571" s="499"/>
      <c r="AK571" s="499"/>
      <c r="AL571" s="499"/>
      <c r="AM571" s="499"/>
      <c r="AN571" s="499"/>
      <c r="AO571" s="499"/>
      <c r="AP571" s="499"/>
      <c r="AQ571" s="499"/>
      <c r="AR571" s="499"/>
      <c r="AS571" s="499"/>
      <c r="AT571" s="499"/>
      <c r="AU571" s="499"/>
      <c r="AV571" s="461"/>
      <c r="AW571" s="461"/>
      <c r="AX571" s="461"/>
      <c r="AY571" s="461"/>
      <c r="AZ571" s="461"/>
      <c r="BA571" s="461"/>
      <c r="BB571" s="461"/>
      <c r="BC571" s="461"/>
      <c r="BD571" s="461"/>
      <c r="BE571" s="461"/>
      <c r="BF571" s="461"/>
      <c r="BG571" s="461"/>
      <c r="BH571" s="307"/>
      <c r="BI571" s="307"/>
      <c r="BJ571" s="307"/>
      <c r="BK571" s="307"/>
      <c r="BU571" s="40">
        <f t="shared" si="379"/>
        <v>0</v>
      </c>
      <c r="BV571" s="40">
        <f t="shared" si="382"/>
        <v>0</v>
      </c>
      <c r="BW571" s="40">
        <f t="shared" si="382"/>
        <v>0</v>
      </c>
      <c r="BX571" s="40">
        <f t="shared" si="382"/>
        <v>0</v>
      </c>
      <c r="BY571" s="40">
        <f t="shared" si="382"/>
        <v>0</v>
      </c>
      <c r="BZ571" s="40">
        <f t="shared" si="382"/>
        <v>0</v>
      </c>
      <c r="CA571" s="40">
        <f t="shared" si="382"/>
        <v>0</v>
      </c>
      <c r="CB571" s="40">
        <f t="shared" si="382"/>
        <v>0</v>
      </c>
      <c r="CC571" s="40">
        <f t="shared" si="382"/>
        <v>0</v>
      </c>
      <c r="CD571" s="40">
        <f t="shared" si="382"/>
        <v>0</v>
      </c>
    </row>
    <row r="572" spans="2:91" s="25" customFormat="1">
      <c r="B572" s="499"/>
      <c r="C572" s="499"/>
      <c r="D572" s="499"/>
      <c r="E572" s="499"/>
      <c r="F572" s="499"/>
      <c r="G572" s="499"/>
      <c r="H572" s="499"/>
      <c r="I572" s="499"/>
      <c r="J572" s="499"/>
      <c r="K572" s="499"/>
      <c r="L572" s="499"/>
      <c r="M572" s="499"/>
      <c r="N572" s="499"/>
      <c r="O572" s="499"/>
      <c r="P572" s="499"/>
      <c r="Q572" s="499"/>
      <c r="R572" s="499"/>
      <c r="S572" s="499"/>
      <c r="T572" s="499"/>
      <c r="U572" s="499"/>
      <c r="V572" s="499"/>
      <c r="W572" s="499"/>
      <c r="X572" s="499"/>
      <c r="Y572" s="499"/>
      <c r="Z572" s="499"/>
      <c r="AA572" s="499"/>
      <c r="AB572" s="499"/>
      <c r="AC572" s="499"/>
      <c r="AD572" s="499"/>
      <c r="AE572" s="499"/>
      <c r="AF572" s="499"/>
      <c r="AG572" s="499"/>
      <c r="AH572" s="499"/>
      <c r="AI572" s="499"/>
      <c r="AJ572" s="499"/>
      <c r="AK572" s="499"/>
      <c r="AL572" s="499"/>
      <c r="AM572" s="499"/>
      <c r="AN572" s="499"/>
      <c r="AO572" s="499"/>
      <c r="AP572" s="499"/>
      <c r="AQ572" s="499"/>
      <c r="AR572" s="499"/>
      <c r="AS572" s="499"/>
      <c r="AT572" s="499"/>
      <c r="AU572" s="499"/>
      <c r="AV572" s="461"/>
      <c r="AW572" s="461"/>
      <c r="AX572" s="461"/>
      <c r="AY572" s="461"/>
      <c r="AZ572" s="461"/>
      <c r="BA572" s="461"/>
      <c r="BB572" s="461"/>
      <c r="BC572" s="461"/>
      <c r="BD572" s="461"/>
      <c r="BE572" s="461"/>
      <c r="BF572" s="461"/>
      <c r="BG572" s="461"/>
      <c r="BH572" s="307"/>
      <c r="BI572" s="307"/>
      <c r="BJ572" s="307"/>
      <c r="BK572" s="307"/>
      <c r="BU572" s="40">
        <f t="shared" si="379"/>
        <v>0</v>
      </c>
      <c r="BV572" s="40">
        <f t="shared" si="382"/>
        <v>0</v>
      </c>
      <c r="BW572" s="40">
        <f t="shared" si="382"/>
        <v>0</v>
      </c>
      <c r="BX572" s="40">
        <f t="shared" si="382"/>
        <v>0</v>
      </c>
      <c r="BY572" s="40">
        <f t="shared" si="382"/>
        <v>0</v>
      </c>
      <c r="BZ572" s="40">
        <f t="shared" si="382"/>
        <v>0</v>
      </c>
      <c r="CA572" s="40">
        <f t="shared" si="382"/>
        <v>0</v>
      </c>
      <c r="CB572" s="40">
        <f t="shared" si="382"/>
        <v>0</v>
      </c>
      <c r="CC572" s="40">
        <f t="shared" si="382"/>
        <v>0</v>
      </c>
      <c r="CD572" s="40">
        <f t="shared" si="382"/>
        <v>0</v>
      </c>
    </row>
    <row r="573" spans="2:91" s="25" customFormat="1">
      <c r="B573" s="499"/>
      <c r="C573" s="499"/>
      <c r="D573" s="499"/>
      <c r="E573" s="499"/>
      <c r="F573" s="499"/>
      <c r="G573" s="499"/>
      <c r="H573" s="499"/>
      <c r="I573" s="499"/>
      <c r="J573" s="499"/>
      <c r="K573" s="499"/>
      <c r="L573" s="499"/>
      <c r="M573" s="499"/>
      <c r="N573" s="499"/>
      <c r="O573" s="499"/>
      <c r="P573" s="499"/>
      <c r="Q573" s="499"/>
      <c r="R573" s="499"/>
      <c r="S573" s="499"/>
      <c r="T573" s="499"/>
      <c r="U573" s="499"/>
      <c r="V573" s="499"/>
      <c r="W573" s="499"/>
      <c r="X573" s="499"/>
      <c r="Y573" s="499"/>
      <c r="Z573" s="499"/>
      <c r="AA573" s="499"/>
      <c r="AB573" s="499"/>
      <c r="AC573" s="499"/>
      <c r="AD573" s="499"/>
      <c r="AE573" s="499"/>
      <c r="AF573" s="499"/>
      <c r="AG573" s="499"/>
      <c r="AH573" s="499"/>
      <c r="AI573" s="499"/>
      <c r="AJ573" s="499"/>
      <c r="AK573" s="499"/>
      <c r="AL573" s="499"/>
      <c r="AM573" s="499"/>
      <c r="AN573" s="499"/>
      <c r="AO573" s="499"/>
      <c r="AP573" s="499"/>
      <c r="AQ573" s="499"/>
      <c r="AR573" s="499"/>
      <c r="AS573" s="499"/>
      <c r="AT573" s="499"/>
      <c r="AU573" s="499"/>
      <c r="AV573" s="461"/>
      <c r="AW573" s="461"/>
      <c r="AX573" s="461"/>
      <c r="AY573" s="461"/>
      <c r="AZ573" s="461"/>
      <c r="BA573" s="461"/>
      <c r="BB573" s="461"/>
      <c r="BC573" s="461"/>
      <c r="BD573" s="461"/>
      <c r="BE573" s="461"/>
      <c r="BF573" s="461"/>
      <c r="BG573" s="461"/>
      <c r="BH573" s="307"/>
      <c r="BI573" s="307"/>
      <c r="BJ573" s="307"/>
      <c r="BK573" s="307"/>
      <c r="BU573" s="40">
        <f t="shared" si="379"/>
        <v>0</v>
      </c>
      <c r="BV573" s="40">
        <f t="shared" si="382"/>
        <v>0</v>
      </c>
      <c r="BW573" s="40">
        <f t="shared" si="382"/>
        <v>0</v>
      </c>
      <c r="BX573" s="40">
        <f t="shared" si="382"/>
        <v>0</v>
      </c>
      <c r="BY573" s="40">
        <f t="shared" si="382"/>
        <v>0</v>
      </c>
      <c r="BZ573" s="40">
        <f t="shared" si="382"/>
        <v>0</v>
      </c>
      <c r="CA573" s="40">
        <f t="shared" si="382"/>
        <v>0</v>
      </c>
      <c r="CB573" s="40">
        <f t="shared" si="382"/>
        <v>0</v>
      </c>
      <c r="CC573" s="40">
        <f t="shared" si="382"/>
        <v>0</v>
      </c>
      <c r="CD573" s="40">
        <f t="shared" si="382"/>
        <v>0</v>
      </c>
    </row>
    <row r="574" spans="2:91" s="25" customFormat="1">
      <c r="B574" s="499"/>
      <c r="C574" s="499"/>
      <c r="D574" s="499"/>
      <c r="E574" s="499"/>
      <c r="F574" s="499"/>
      <c r="G574" s="499"/>
      <c r="H574" s="499"/>
      <c r="I574" s="499"/>
      <c r="J574" s="499"/>
      <c r="K574" s="499"/>
      <c r="L574" s="499"/>
      <c r="M574" s="499"/>
      <c r="N574" s="499"/>
      <c r="O574" s="499"/>
      <c r="P574" s="499"/>
      <c r="Q574" s="499"/>
      <c r="R574" s="499"/>
      <c r="S574" s="499"/>
      <c r="T574" s="499"/>
      <c r="U574" s="499"/>
      <c r="V574" s="499"/>
      <c r="W574" s="499"/>
      <c r="X574" s="499"/>
      <c r="Y574" s="499"/>
      <c r="Z574" s="499"/>
      <c r="AA574" s="499"/>
      <c r="AB574" s="499"/>
      <c r="AC574" s="499"/>
      <c r="AD574" s="499"/>
      <c r="AE574" s="499"/>
      <c r="AF574" s="499"/>
      <c r="AG574" s="499"/>
      <c r="AH574" s="499"/>
      <c r="AI574" s="499"/>
      <c r="AJ574" s="499"/>
      <c r="AK574" s="499"/>
      <c r="AL574" s="499"/>
      <c r="AM574" s="499"/>
      <c r="AN574" s="499"/>
      <c r="AO574" s="499"/>
      <c r="AP574" s="499"/>
      <c r="AQ574" s="499"/>
      <c r="AR574" s="499"/>
      <c r="AS574" s="499"/>
      <c r="AT574" s="499"/>
      <c r="AU574" s="499"/>
      <c r="AV574" s="461"/>
      <c r="AW574" s="461"/>
      <c r="AX574" s="461"/>
      <c r="AY574" s="461"/>
      <c r="AZ574" s="461"/>
      <c r="BA574" s="461"/>
      <c r="BB574" s="461"/>
      <c r="BC574" s="461"/>
      <c r="BD574" s="461"/>
      <c r="BE574" s="461"/>
      <c r="BF574" s="461"/>
      <c r="BG574" s="461"/>
      <c r="BH574" s="307"/>
      <c r="BI574" s="307"/>
      <c r="BJ574" s="307"/>
      <c r="BK574" s="307"/>
      <c r="BU574" s="40">
        <f t="shared" si="379"/>
        <v>0</v>
      </c>
      <c r="BV574" s="40">
        <f t="shared" si="382"/>
        <v>0</v>
      </c>
      <c r="BW574" s="40">
        <f t="shared" si="382"/>
        <v>0</v>
      </c>
      <c r="BX574" s="40">
        <f t="shared" si="382"/>
        <v>0</v>
      </c>
      <c r="BY574" s="40">
        <f t="shared" si="382"/>
        <v>0</v>
      </c>
      <c r="BZ574" s="40">
        <f t="shared" si="382"/>
        <v>0</v>
      </c>
      <c r="CA574" s="40">
        <f t="shared" si="382"/>
        <v>0</v>
      </c>
      <c r="CB574" s="40">
        <f t="shared" si="382"/>
        <v>0</v>
      </c>
      <c r="CC574" s="40">
        <f t="shared" si="382"/>
        <v>0</v>
      </c>
      <c r="CD574" s="40">
        <f t="shared" si="382"/>
        <v>0</v>
      </c>
    </row>
    <row r="575" spans="2:91" s="25" customFormat="1" hidden="1">
      <c r="B575" s="499"/>
      <c r="C575" s="499"/>
      <c r="D575" s="499"/>
      <c r="E575" s="499"/>
      <c r="F575" s="499"/>
      <c r="G575" s="499"/>
      <c r="H575" s="499"/>
      <c r="I575" s="499"/>
      <c r="J575" s="499"/>
      <c r="K575" s="499"/>
      <c r="L575" s="499"/>
      <c r="M575" s="499"/>
      <c r="N575" s="499"/>
      <c r="O575" s="499"/>
      <c r="P575" s="499"/>
      <c r="Q575" s="499"/>
      <c r="R575" s="499"/>
      <c r="S575" s="499"/>
      <c r="T575" s="499"/>
      <c r="U575" s="499"/>
      <c r="V575" s="499"/>
      <c r="W575" s="499"/>
      <c r="X575" s="499"/>
      <c r="Y575" s="499"/>
      <c r="Z575" s="499"/>
      <c r="AA575" s="499"/>
      <c r="AB575" s="499"/>
      <c r="AC575" s="499"/>
      <c r="AD575" s="499"/>
      <c r="AE575" s="499"/>
      <c r="AF575" s="499"/>
      <c r="AG575" s="499"/>
      <c r="AH575" s="499"/>
      <c r="AI575" s="499"/>
      <c r="AJ575" s="499"/>
      <c r="AK575" s="499"/>
      <c r="AL575" s="499"/>
      <c r="AM575" s="499"/>
      <c r="AN575" s="499"/>
      <c r="AO575" s="499"/>
      <c r="AP575" s="499"/>
      <c r="AQ575" s="499"/>
      <c r="AR575" s="499"/>
      <c r="AS575" s="499"/>
      <c r="AT575" s="499"/>
      <c r="AU575" s="499"/>
      <c r="AV575" s="461"/>
      <c r="AW575" s="461"/>
      <c r="AX575" s="461"/>
      <c r="AY575" s="461"/>
      <c r="AZ575" s="461"/>
      <c r="BA575" s="461"/>
      <c r="BB575" s="461"/>
      <c r="BC575" s="461"/>
      <c r="BD575" s="461"/>
      <c r="BE575" s="461"/>
      <c r="BF575" s="461"/>
      <c r="BG575" s="461"/>
      <c r="BH575" s="307"/>
      <c r="BI575" s="307"/>
      <c r="BJ575" s="307"/>
      <c r="BK575" s="307"/>
      <c r="BU575" s="40">
        <f t="shared" si="379"/>
        <v>0</v>
      </c>
      <c r="BV575" s="40">
        <f t="shared" si="382"/>
        <v>0</v>
      </c>
      <c r="BW575" s="40">
        <f t="shared" si="382"/>
        <v>0</v>
      </c>
      <c r="BX575" s="40">
        <f t="shared" si="382"/>
        <v>0</v>
      </c>
      <c r="BY575" s="40">
        <f t="shared" si="382"/>
        <v>0</v>
      </c>
      <c r="BZ575" s="40">
        <f t="shared" si="382"/>
        <v>0</v>
      </c>
      <c r="CA575" s="40">
        <f t="shared" si="382"/>
        <v>0</v>
      </c>
      <c r="CB575" s="40">
        <f t="shared" si="382"/>
        <v>0</v>
      </c>
      <c r="CC575" s="40">
        <f t="shared" si="382"/>
        <v>0</v>
      </c>
      <c r="CD575" s="40">
        <f t="shared" si="382"/>
        <v>0</v>
      </c>
    </row>
    <row r="576" spans="2:91" s="25" customFormat="1" hidden="1">
      <c r="B576" s="499"/>
      <c r="C576" s="499"/>
      <c r="D576" s="499"/>
      <c r="E576" s="499"/>
      <c r="F576" s="499"/>
      <c r="G576" s="499"/>
      <c r="H576" s="499"/>
      <c r="I576" s="499"/>
      <c r="J576" s="499"/>
      <c r="K576" s="499"/>
      <c r="L576" s="499"/>
      <c r="M576" s="499"/>
      <c r="N576" s="499"/>
      <c r="O576" s="499"/>
      <c r="P576" s="499"/>
      <c r="Q576" s="499"/>
      <c r="R576" s="499"/>
      <c r="S576" s="499"/>
      <c r="T576" s="499"/>
      <c r="U576" s="499"/>
      <c r="V576" s="499"/>
      <c r="W576" s="499"/>
      <c r="X576" s="499"/>
      <c r="Y576" s="499"/>
      <c r="Z576" s="499"/>
      <c r="AA576" s="499"/>
      <c r="AB576" s="499"/>
      <c r="AC576" s="499"/>
      <c r="AD576" s="499"/>
      <c r="AE576" s="499"/>
      <c r="AF576" s="499"/>
      <c r="AG576" s="499"/>
      <c r="AH576" s="499"/>
      <c r="AI576" s="499"/>
      <c r="AJ576" s="499"/>
      <c r="AK576" s="499"/>
      <c r="AL576" s="499"/>
      <c r="AM576" s="499"/>
      <c r="AN576" s="499"/>
      <c r="AO576" s="499"/>
      <c r="AP576" s="499"/>
      <c r="AQ576" s="499"/>
      <c r="AR576" s="499"/>
      <c r="AS576" s="499"/>
      <c r="AT576" s="499"/>
      <c r="AU576" s="499"/>
      <c r="AV576" s="461"/>
      <c r="AW576" s="461"/>
      <c r="AX576" s="461"/>
      <c r="AY576" s="461"/>
      <c r="AZ576" s="461"/>
      <c r="BA576" s="461"/>
      <c r="BB576" s="461"/>
      <c r="BC576" s="461"/>
      <c r="BD576" s="461"/>
      <c r="BE576" s="461"/>
      <c r="BF576" s="461"/>
      <c r="BG576" s="461"/>
      <c r="BH576" s="307"/>
      <c r="BI576" s="307"/>
      <c r="BJ576" s="307"/>
      <c r="BK576" s="307"/>
      <c r="BU576" s="40">
        <f t="shared" si="379"/>
        <v>0</v>
      </c>
      <c r="BV576" s="40">
        <f t="shared" si="382"/>
        <v>0</v>
      </c>
      <c r="BW576" s="40">
        <f t="shared" si="382"/>
        <v>0</v>
      </c>
      <c r="BX576" s="40">
        <f t="shared" si="382"/>
        <v>0</v>
      </c>
      <c r="BY576" s="40">
        <f t="shared" si="382"/>
        <v>0</v>
      </c>
      <c r="BZ576" s="40">
        <f t="shared" si="382"/>
        <v>0</v>
      </c>
      <c r="CA576" s="40">
        <f t="shared" si="382"/>
        <v>0</v>
      </c>
      <c r="CB576" s="40">
        <f t="shared" si="382"/>
        <v>0</v>
      </c>
      <c r="CC576" s="40">
        <f t="shared" si="382"/>
        <v>0</v>
      </c>
      <c r="CD576" s="40">
        <f t="shared" si="382"/>
        <v>0</v>
      </c>
    </row>
    <row r="577" spans="2:91" s="25" customFormat="1" hidden="1">
      <c r="B577" s="499"/>
      <c r="C577" s="499"/>
      <c r="D577" s="499"/>
      <c r="E577" s="499"/>
      <c r="F577" s="499"/>
      <c r="G577" s="499"/>
      <c r="H577" s="499"/>
      <c r="I577" s="499"/>
      <c r="J577" s="499"/>
      <c r="K577" s="499"/>
      <c r="L577" s="499"/>
      <c r="M577" s="499"/>
      <c r="N577" s="499"/>
      <c r="O577" s="499"/>
      <c r="P577" s="499"/>
      <c r="Q577" s="499"/>
      <c r="R577" s="499"/>
      <c r="S577" s="499"/>
      <c r="T577" s="499"/>
      <c r="U577" s="499"/>
      <c r="V577" s="499"/>
      <c r="W577" s="499"/>
      <c r="X577" s="499"/>
      <c r="Y577" s="499"/>
      <c r="Z577" s="499"/>
      <c r="AA577" s="499"/>
      <c r="AB577" s="499"/>
      <c r="AC577" s="499"/>
      <c r="AD577" s="499"/>
      <c r="AE577" s="499"/>
      <c r="AF577" s="499"/>
      <c r="AG577" s="499"/>
      <c r="AH577" s="499"/>
      <c r="AI577" s="499"/>
      <c r="AJ577" s="499"/>
      <c r="AK577" s="499"/>
      <c r="AL577" s="499"/>
      <c r="AM577" s="499"/>
      <c r="AN577" s="499"/>
      <c r="AO577" s="499"/>
      <c r="AP577" s="499"/>
      <c r="AQ577" s="499"/>
      <c r="AR577" s="499"/>
      <c r="AS577" s="499"/>
      <c r="AT577" s="499"/>
      <c r="AU577" s="499"/>
      <c r="AV577" s="461"/>
      <c r="AW577" s="461"/>
      <c r="AX577" s="461"/>
      <c r="AY577" s="461"/>
      <c r="AZ577" s="461"/>
      <c r="BA577" s="461"/>
      <c r="BB577" s="461"/>
      <c r="BC577" s="461"/>
      <c r="BD577" s="461"/>
      <c r="BE577" s="461"/>
      <c r="BF577" s="461"/>
      <c r="BG577" s="461"/>
      <c r="BH577" s="307"/>
      <c r="BI577" s="307"/>
      <c r="BJ577" s="307"/>
      <c r="BK577" s="307"/>
      <c r="BU577" s="40">
        <f t="shared" si="379"/>
        <v>0</v>
      </c>
      <c r="BV577" s="40">
        <f t="shared" si="382"/>
        <v>0</v>
      </c>
      <c r="BW577" s="40">
        <f t="shared" si="382"/>
        <v>0</v>
      </c>
      <c r="BX577" s="40">
        <f t="shared" si="382"/>
        <v>0</v>
      </c>
      <c r="BY577" s="40">
        <f t="shared" si="382"/>
        <v>0</v>
      </c>
      <c r="BZ577" s="40">
        <f t="shared" si="382"/>
        <v>0</v>
      </c>
      <c r="CA577" s="40">
        <f t="shared" si="382"/>
        <v>0</v>
      </c>
      <c r="CB577" s="40">
        <f t="shared" si="382"/>
        <v>0</v>
      </c>
      <c r="CC577" s="40">
        <f t="shared" si="382"/>
        <v>0</v>
      </c>
      <c r="CD577" s="40">
        <f t="shared" si="382"/>
        <v>0</v>
      </c>
    </row>
    <row r="578" spans="2:91" s="25" customFormat="1" hidden="1">
      <c r="B578" s="499"/>
      <c r="C578" s="499"/>
      <c r="D578" s="499"/>
      <c r="E578" s="499"/>
      <c r="F578" s="499"/>
      <c r="G578" s="499"/>
      <c r="H578" s="499"/>
      <c r="I578" s="499"/>
      <c r="J578" s="499"/>
      <c r="K578" s="499"/>
      <c r="L578" s="499"/>
      <c r="M578" s="499"/>
      <c r="N578" s="499"/>
      <c r="O578" s="499"/>
      <c r="P578" s="499"/>
      <c r="Q578" s="499"/>
      <c r="R578" s="499"/>
      <c r="S578" s="499"/>
      <c r="T578" s="499"/>
      <c r="U578" s="499"/>
      <c r="V578" s="499"/>
      <c r="W578" s="499"/>
      <c r="X578" s="499"/>
      <c r="Y578" s="499"/>
      <c r="Z578" s="499"/>
      <c r="AA578" s="499"/>
      <c r="AB578" s="499"/>
      <c r="AC578" s="499"/>
      <c r="AD578" s="499"/>
      <c r="AE578" s="499"/>
      <c r="AF578" s="499"/>
      <c r="AG578" s="499"/>
      <c r="AH578" s="499"/>
      <c r="AI578" s="499"/>
      <c r="AJ578" s="499"/>
      <c r="AK578" s="499"/>
      <c r="AL578" s="499"/>
      <c r="AM578" s="499"/>
      <c r="AN578" s="499"/>
      <c r="AO578" s="499"/>
      <c r="AP578" s="499"/>
      <c r="AQ578" s="499"/>
      <c r="AR578" s="499"/>
      <c r="AS578" s="499"/>
      <c r="AT578" s="499"/>
      <c r="AU578" s="499"/>
      <c r="AV578" s="461"/>
      <c r="AW578" s="461"/>
      <c r="AX578" s="461"/>
      <c r="AY578" s="461"/>
      <c r="AZ578" s="461"/>
      <c r="BA578" s="461"/>
      <c r="BB578" s="461"/>
      <c r="BC578" s="461"/>
      <c r="BD578" s="461"/>
      <c r="BE578" s="461"/>
      <c r="BF578" s="461"/>
      <c r="BG578" s="461"/>
      <c r="BH578" s="307"/>
      <c r="BI578" s="307"/>
      <c r="BJ578" s="307"/>
      <c r="BK578" s="307"/>
      <c r="BU578" s="40">
        <f t="shared" si="379"/>
        <v>0</v>
      </c>
      <c r="BV578" s="40">
        <f t="shared" si="382"/>
        <v>0</v>
      </c>
      <c r="BW578" s="40">
        <f t="shared" si="382"/>
        <v>0</v>
      </c>
      <c r="BX578" s="40">
        <f t="shared" si="382"/>
        <v>0</v>
      </c>
      <c r="BY578" s="40">
        <f t="shared" si="382"/>
        <v>0</v>
      </c>
      <c r="BZ578" s="40">
        <f t="shared" si="382"/>
        <v>0</v>
      </c>
      <c r="CA578" s="40">
        <f t="shared" si="382"/>
        <v>0</v>
      </c>
      <c r="CB578" s="40">
        <f t="shared" si="382"/>
        <v>0</v>
      </c>
      <c r="CC578" s="40">
        <f t="shared" si="382"/>
        <v>0</v>
      </c>
      <c r="CD578" s="40">
        <f t="shared" si="382"/>
        <v>0</v>
      </c>
    </row>
    <row r="579" spans="2:91" s="25" customFormat="1">
      <c r="B579" s="499"/>
      <c r="C579" s="499"/>
      <c r="D579" s="499"/>
      <c r="E579" s="499"/>
      <c r="F579" s="499"/>
      <c r="G579" s="499"/>
      <c r="H579" s="499"/>
      <c r="I579" s="499"/>
      <c r="J579" s="499"/>
      <c r="K579" s="499"/>
      <c r="L579" s="499"/>
      <c r="M579" s="499"/>
      <c r="N579" s="499"/>
      <c r="O579" s="499"/>
      <c r="P579" s="499"/>
      <c r="Q579" s="499"/>
      <c r="R579" s="499"/>
      <c r="S579" s="499"/>
      <c r="T579" s="499"/>
      <c r="U579" s="499"/>
      <c r="V579" s="499"/>
      <c r="W579" s="499"/>
      <c r="X579" s="499"/>
      <c r="Y579" s="499"/>
      <c r="Z579" s="499"/>
      <c r="AA579" s="499"/>
      <c r="AB579" s="499"/>
      <c r="AC579" s="499"/>
      <c r="AD579" s="499"/>
      <c r="AE579" s="499"/>
      <c r="AF579" s="499"/>
      <c r="AG579" s="499"/>
      <c r="AH579" s="499"/>
      <c r="AI579" s="499"/>
      <c r="AJ579" s="499"/>
      <c r="AK579" s="499"/>
      <c r="AL579" s="499"/>
      <c r="AM579" s="499"/>
      <c r="AN579" s="499"/>
      <c r="AO579" s="499"/>
      <c r="AP579" s="499"/>
      <c r="AQ579" s="499"/>
      <c r="AR579" s="499"/>
      <c r="AS579" s="499"/>
      <c r="AT579" s="499"/>
      <c r="AU579" s="499"/>
      <c r="AV579" s="461"/>
      <c r="AW579" s="461"/>
      <c r="AX579" s="461"/>
      <c r="AY579" s="461"/>
      <c r="AZ579" s="461"/>
      <c r="BA579" s="461"/>
      <c r="BB579" s="461"/>
      <c r="BC579" s="461"/>
      <c r="BD579" s="461"/>
      <c r="BE579" s="461"/>
      <c r="BF579" s="461"/>
      <c r="BG579" s="461"/>
      <c r="BH579" s="307"/>
      <c r="BI579" s="307"/>
      <c r="BJ579" s="307"/>
      <c r="BK579" s="307"/>
      <c r="BU579" s="40">
        <f t="shared" si="379"/>
        <v>0</v>
      </c>
      <c r="BV579" s="40">
        <f t="shared" ref="BV579:CD589" si="384">BU579</f>
        <v>0</v>
      </c>
      <c r="BW579" s="40">
        <f t="shared" si="384"/>
        <v>0</v>
      </c>
      <c r="BX579" s="40">
        <f t="shared" si="384"/>
        <v>0</v>
      </c>
      <c r="BY579" s="40">
        <f t="shared" si="384"/>
        <v>0</v>
      </c>
      <c r="BZ579" s="40">
        <f t="shared" si="384"/>
        <v>0</v>
      </c>
      <c r="CA579" s="40">
        <f t="shared" si="384"/>
        <v>0</v>
      </c>
      <c r="CB579" s="40">
        <f t="shared" si="384"/>
        <v>0</v>
      </c>
      <c r="CC579" s="40">
        <f t="shared" si="384"/>
        <v>0</v>
      </c>
      <c r="CD579" s="40">
        <f t="shared" si="384"/>
        <v>0</v>
      </c>
    </row>
    <row r="580" spans="2:91" s="25" customFormat="1">
      <c r="B580" s="642"/>
      <c r="C580" s="499"/>
      <c r="D580" s="499"/>
      <c r="E580" s="499"/>
      <c r="F580" s="499"/>
      <c r="G580" s="499"/>
      <c r="H580" s="499"/>
      <c r="I580" s="499"/>
      <c r="J580" s="499"/>
      <c r="K580" s="499"/>
      <c r="L580" s="499"/>
      <c r="M580" s="499"/>
      <c r="N580" s="499"/>
      <c r="O580" s="499"/>
      <c r="P580" s="499"/>
      <c r="Q580" s="499"/>
      <c r="R580" s="499"/>
      <c r="S580" s="499"/>
      <c r="T580" s="499"/>
      <c r="U580" s="499"/>
      <c r="V580" s="499"/>
      <c r="W580" s="499"/>
      <c r="X580" s="499"/>
      <c r="Y580" s="499"/>
      <c r="Z580" s="499"/>
      <c r="AA580" s="499"/>
      <c r="AB580" s="499"/>
      <c r="AC580" s="499"/>
      <c r="AD580" s="499"/>
      <c r="AE580" s="499"/>
      <c r="AF580" s="499"/>
      <c r="AG580" s="499"/>
      <c r="AH580" s="499"/>
      <c r="AI580" s="499"/>
      <c r="AJ580" s="499"/>
      <c r="AK580" s="499"/>
      <c r="AL580" s="499"/>
      <c r="AM580" s="499"/>
      <c r="AN580" s="499"/>
      <c r="AO580" s="499"/>
      <c r="AP580" s="499"/>
      <c r="AQ580" s="499"/>
      <c r="AR580" s="499"/>
      <c r="AS580" s="499"/>
      <c r="AT580" s="499"/>
      <c r="AU580" s="499"/>
      <c r="AV580" s="461"/>
      <c r="AW580" s="461"/>
      <c r="AX580" s="461"/>
      <c r="AY580" s="461"/>
      <c r="AZ580" s="461"/>
      <c r="BA580" s="461"/>
      <c r="BB580" s="461"/>
      <c r="BC580" s="461"/>
      <c r="BD580" s="461"/>
      <c r="BE580" s="461"/>
      <c r="BF580" s="461"/>
      <c r="BG580" s="461"/>
      <c r="BH580" s="307"/>
      <c r="BI580" s="307"/>
      <c r="BJ580" s="307"/>
      <c r="BK580" s="307"/>
      <c r="BU580" s="40">
        <f t="shared" si="379"/>
        <v>0</v>
      </c>
      <c r="BV580" s="40">
        <f t="shared" si="384"/>
        <v>0</v>
      </c>
      <c r="BW580" s="40">
        <f t="shared" si="384"/>
        <v>0</v>
      </c>
      <c r="BX580" s="40">
        <f t="shared" si="384"/>
        <v>0</v>
      </c>
      <c r="BY580" s="40">
        <f t="shared" si="384"/>
        <v>0</v>
      </c>
      <c r="BZ580" s="40">
        <f t="shared" si="384"/>
        <v>0</v>
      </c>
      <c r="CA580" s="40">
        <f t="shared" si="384"/>
        <v>0</v>
      </c>
      <c r="CB580" s="40">
        <f t="shared" si="384"/>
        <v>0</v>
      </c>
      <c r="CC580" s="40">
        <f t="shared" si="384"/>
        <v>0</v>
      </c>
      <c r="CD580" s="40">
        <f t="shared" si="384"/>
        <v>0</v>
      </c>
    </row>
    <row r="581" spans="2:91" s="25" customFormat="1">
      <c r="B581" s="499"/>
      <c r="C581" s="499"/>
      <c r="D581" s="499"/>
      <c r="E581" s="499"/>
      <c r="F581" s="499"/>
      <c r="G581" s="499"/>
      <c r="H581" s="499"/>
      <c r="I581" s="499"/>
      <c r="J581" s="499"/>
      <c r="K581" s="499"/>
      <c r="L581" s="499"/>
      <c r="M581" s="499"/>
      <c r="N581" s="499"/>
      <c r="O581" s="499"/>
      <c r="P581" s="499"/>
      <c r="Q581" s="499"/>
      <c r="R581" s="499"/>
      <c r="S581" s="499"/>
      <c r="T581" s="499"/>
      <c r="U581" s="499"/>
      <c r="V581" s="499"/>
      <c r="W581" s="499"/>
      <c r="X581" s="499"/>
      <c r="Y581" s="499"/>
      <c r="Z581" s="499"/>
      <c r="AA581" s="499"/>
      <c r="AB581" s="499"/>
      <c r="AC581" s="499"/>
      <c r="AD581" s="499"/>
      <c r="AE581" s="499"/>
      <c r="AF581" s="499"/>
      <c r="AG581" s="499"/>
      <c r="AH581" s="499"/>
      <c r="AI581" s="499"/>
      <c r="AJ581" s="499"/>
      <c r="AK581" s="499"/>
      <c r="AL581" s="499"/>
      <c r="AM581" s="499"/>
      <c r="AN581" s="499"/>
      <c r="AO581" s="499"/>
      <c r="AP581" s="499"/>
      <c r="AQ581" s="499"/>
      <c r="AR581" s="499"/>
      <c r="AS581" s="499"/>
      <c r="AT581" s="499"/>
      <c r="AU581" s="499"/>
      <c r="AV581" s="461"/>
      <c r="AW581" s="461"/>
      <c r="AX581" s="461"/>
      <c r="AY581" s="461"/>
      <c r="AZ581" s="461"/>
      <c r="BA581" s="461"/>
      <c r="BB581" s="461"/>
      <c r="BC581" s="461"/>
      <c r="BD581" s="461"/>
      <c r="BE581" s="461"/>
      <c r="BF581" s="461"/>
      <c r="BG581" s="461"/>
      <c r="BH581" s="307"/>
      <c r="BI581" s="307"/>
      <c r="BJ581" s="307"/>
      <c r="BK581" s="307"/>
      <c r="BU581" s="40">
        <f t="shared" si="379"/>
        <v>0</v>
      </c>
      <c r="BV581" s="40">
        <f t="shared" si="384"/>
        <v>0</v>
      </c>
      <c r="BW581" s="40">
        <f t="shared" si="384"/>
        <v>0</v>
      </c>
      <c r="BX581" s="40">
        <f t="shared" si="384"/>
        <v>0</v>
      </c>
      <c r="BY581" s="40">
        <f t="shared" si="384"/>
        <v>0</v>
      </c>
      <c r="BZ581" s="40">
        <f t="shared" si="384"/>
        <v>0</v>
      </c>
      <c r="CA581" s="40">
        <f t="shared" si="384"/>
        <v>0</v>
      </c>
      <c r="CB581" s="40">
        <f t="shared" si="384"/>
        <v>0</v>
      </c>
      <c r="CC581" s="40">
        <f t="shared" si="384"/>
        <v>0</v>
      </c>
      <c r="CD581" s="40">
        <f t="shared" si="384"/>
        <v>0</v>
      </c>
    </row>
    <row r="582" spans="2:91" s="25" customFormat="1">
      <c r="B582" s="499"/>
      <c r="C582" s="499"/>
      <c r="D582" s="499"/>
      <c r="E582" s="499"/>
      <c r="F582" s="499"/>
      <c r="G582" s="499"/>
      <c r="H582" s="499"/>
      <c r="I582" s="499"/>
      <c r="J582" s="499"/>
      <c r="K582" s="499"/>
      <c r="L582" s="499"/>
      <c r="M582" s="499"/>
      <c r="N582" s="499"/>
      <c r="O582" s="499"/>
      <c r="P582" s="499"/>
      <c r="Q582" s="499"/>
      <c r="R582" s="499"/>
      <c r="S582" s="499"/>
      <c r="T582" s="499"/>
      <c r="U582" s="499"/>
      <c r="V582" s="499"/>
      <c r="W582" s="499"/>
      <c r="X582" s="499"/>
      <c r="Y582" s="499"/>
      <c r="Z582" s="499"/>
      <c r="AA582" s="499"/>
      <c r="AB582" s="499"/>
      <c r="AC582" s="499"/>
      <c r="AD582" s="499"/>
      <c r="AE582" s="499"/>
      <c r="AF582" s="499"/>
      <c r="AG582" s="499"/>
      <c r="AH582" s="499"/>
      <c r="AI582" s="499"/>
      <c r="AJ582" s="499"/>
      <c r="AK582" s="499"/>
      <c r="AL582" s="499"/>
      <c r="AM582" s="499"/>
      <c r="AN582" s="499"/>
      <c r="AO582" s="499"/>
      <c r="AP582" s="499"/>
      <c r="AQ582" s="499"/>
      <c r="AR582" s="499"/>
      <c r="AS582" s="499"/>
      <c r="AT582" s="499"/>
      <c r="AU582" s="499"/>
      <c r="AV582" s="461"/>
      <c r="AW582" s="461"/>
      <c r="AX582" s="461"/>
      <c r="AY582" s="461"/>
      <c r="AZ582" s="461"/>
      <c r="BA582" s="461"/>
      <c r="BB582" s="461"/>
      <c r="BC582" s="461"/>
      <c r="BD582" s="461"/>
      <c r="BE582" s="461"/>
      <c r="BF582" s="461"/>
      <c r="BG582" s="461"/>
      <c r="BH582" s="307"/>
      <c r="BI582" s="307"/>
      <c r="BJ582" s="307"/>
      <c r="BK582" s="307"/>
      <c r="BU582" s="40">
        <f t="shared" si="379"/>
        <v>0</v>
      </c>
      <c r="BV582" s="40">
        <f t="shared" si="384"/>
        <v>0</v>
      </c>
      <c r="BW582" s="40">
        <f t="shared" si="384"/>
        <v>0</v>
      </c>
      <c r="BX582" s="40">
        <f t="shared" si="384"/>
        <v>0</v>
      </c>
      <c r="BY582" s="40">
        <f t="shared" si="384"/>
        <v>0</v>
      </c>
      <c r="BZ582" s="40">
        <f t="shared" si="384"/>
        <v>0</v>
      </c>
      <c r="CA582" s="40">
        <f t="shared" si="384"/>
        <v>0</v>
      </c>
      <c r="CB582" s="40">
        <f t="shared" si="384"/>
        <v>0</v>
      </c>
      <c r="CC582" s="40">
        <f t="shared" si="384"/>
        <v>0</v>
      </c>
      <c r="CD582" s="40">
        <f t="shared" si="384"/>
        <v>0</v>
      </c>
    </row>
    <row r="583" spans="2:91" s="410" customFormat="1">
      <c r="B583" s="795" t="s">
        <v>1965</v>
      </c>
      <c r="C583" s="796"/>
      <c r="D583" s="796"/>
      <c r="E583" s="796"/>
      <c r="F583" s="796"/>
      <c r="G583" s="796"/>
      <c r="H583" s="796"/>
      <c r="I583" s="796"/>
      <c r="J583" s="796"/>
      <c r="K583" s="796"/>
      <c r="L583" s="796"/>
      <c r="M583" s="796"/>
      <c r="N583" s="796"/>
      <c r="O583" s="796"/>
      <c r="P583" s="796"/>
      <c r="Q583" s="796"/>
      <c r="R583" s="796"/>
      <c r="S583" s="796"/>
      <c r="T583" s="796"/>
      <c r="U583" s="796"/>
      <c r="V583" s="796"/>
      <c r="W583" s="796"/>
      <c r="X583" s="796"/>
      <c r="Y583" s="796"/>
      <c r="Z583" s="796"/>
      <c r="AA583" s="796"/>
      <c r="AB583" s="796"/>
      <c r="AC583" s="796"/>
      <c r="AD583" s="796"/>
      <c r="AE583" s="796"/>
      <c r="AF583" s="796"/>
      <c r="AG583" s="796"/>
      <c r="AH583" s="796"/>
      <c r="AI583" s="796"/>
      <c r="AJ583" s="796"/>
      <c r="AK583" s="796"/>
      <c r="AL583" s="796"/>
      <c r="AM583" s="796"/>
      <c r="AN583" s="796"/>
      <c r="AO583" s="796"/>
      <c r="AP583" s="796"/>
      <c r="AQ583" s="796"/>
      <c r="AR583" s="796"/>
      <c r="AS583" s="796"/>
      <c r="AT583" s="796"/>
      <c r="AU583" s="796"/>
      <c r="AV583" s="797"/>
      <c r="AW583" s="797"/>
      <c r="AX583" s="797"/>
      <c r="AY583" s="797"/>
      <c r="AZ583" s="797"/>
      <c r="BA583" s="797"/>
      <c r="BB583" s="797"/>
      <c r="BC583" s="797"/>
      <c r="BD583" s="797"/>
      <c r="BE583" s="797"/>
      <c r="BF583" s="797"/>
      <c r="BG583" s="797"/>
      <c r="BH583" s="465"/>
      <c r="BI583" s="465"/>
      <c r="BJ583" s="465"/>
      <c r="BK583" s="465"/>
      <c r="BU583" s="40">
        <f t="shared" si="379"/>
        <v>0</v>
      </c>
      <c r="BV583" s="40">
        <f t="shared" si="384"/>
        <v>0</v>
      </c>
      <c r="BW583" s="40">
        <f t="shared" si="384"/>
        <v>0</v>
      </c>
      <c r="BX583" s="40">
        <f t="shared" si="384"/>
        <v>0</v>
      </c>
      <c r="BY583" s="40">
        <f t="shared" si="384"/>
        <v>0</v>
      </c>
      <c r="BZ583" s="40">
        <f t="shared" si="384"/>
        <v>0</v>
      </c>
      <c r="CA583" s="40">
        <f t="shared" si="384"/>
        <v>0</v>
      </c>
      <c r="CB583" s="40">
        <f t="shared" si="384"/>
        <v>0</v>
      </c>
      <c r="CC583" s="40">
        <f t="shared" si="384"/>
        <v>0</v>
      </c>
      <c r="CD583" s="40">
        <f t="shared" si="384"/>
        <v>0</v>
      </c>
    </row>
    <row r="584" spans="2:91" s="25" customFormat="1">
      <c r="B584" s="499"/>
      <c r="C584" s="499"/>
      <c r="D584" s="499"/>
      <c r="E584" s="499"/>
      <c r="F584" s="499"/>
      <c r="G584" s="499"/>
      <c r="H584" s="499"/>
      <c r="I584" s="499"/>
      <c r="J584" s="499"/>
      <c r="K584" s="499"/>
      <c r="L584" s="499"/>
      <c r="M584" s="499"/>
      <c r="N584" s="499"/>
      <c r="O584" s="499"/>
      <c r="P584" s="499"/>
      <c r="Q584" s="499"/>
      <c r="R584" s="499"/>
      <c r="S584" s="499"/>
      <c r="T584" s="499"/>
      <c r="U584" s="499"/>
      <c r="V584" s="499"/>
      <c r="W584" s="499"/>
      <c r="X584" s="499"/>
      <c r="Y584" s="499"/>
      <c r="Z584" s="499"/>
      <c r="AA584" s="499"/>
      <c r="AB584" s="499"/>
      <c r="AC584" s="499"/>
      <c r="AD584" s="499"/>
      <c r="AE584" s="499"/>
      <c r="AF584" s="499"/>
      <c r="AG584" s="499"/>
      <c r="AH584" s="499"/>
      <c r="AI584" s="499"/>
      <c r="AJ584" s="499"/>
      <c r="AK584" s="499"/>
      <c r="AL584" s="499"/>
      <c r="AM584" s="499"/>
      <c r="AN584" s="499"/>
      <c r="AO584" s="499"/>
      <c r="AP584" s="499"/>
      <c r="AQ584" s="499"/>
      <c r="AR584" s="499"/>
      <c r="AS584" s="499"/>
      <c r="AT584" s="499"/>
      <c r="AU584" s="499"/>
      <c r="AV584" s="461"/>
      <c r="AW584" s="461"/>
      <c r="AX584" s="461"/>
      <c r="AY584" s="461"/>
      <c r="AZ584" s="461"/>
      <c r="BA584" s="461"/>
      <c r="BB584" s="461"/>
      <c r="BC584" s="461"/>
      <c r="BD584" s="461"/>
      <c r="BE584" s="461"/>
      <c r="BF584" s="461"/>
      <c r="BG584" s="461"/>
      <c r="BH584" s="307"/>
      <c r="BI584" s="307"/>
      <c r="BJ584" s="307"/>
      <c r="BK584" s="307"/>
      <c r="BU584" s="40">
        <f t="shared" si="379"/>
        <v>0</v>
      </c>
      <c r="BV584" s="40">
        <f t="shared" si="384"/>
        <v>0</v>
      </c>
      <c r="BW584" s="40">
        <f t="shared" si="384"/>
        <v>0</v>
      </c>
      <c r="BX584" s="40">
        <f t="shared" si="384"/>
        <v>0</v>
      </c>
      <c r="BY584" s="40">
        <f t="shared" si="384"/>
        <v>0</v>
      </c>
      <c r="BZ584" s="40">
        <f t="shared" si="384"/>
        <v>0</v>
      </c>
      <c r="CA584" s="40">
        <f t="shared" si="384"/>
        <v>0</v>
      </c>
      <c r="CB584" s="40">
        <f t="shared" si="384"/>
        <v>0</v>
      </c>
      <c r="CC584" s="40">
        <f t="shared" si="384"/>
        <v>0</v>
      </c>
      <c r="CD584" s="40">
        <f t="shared" si="384"/>
        <v>0</v>
      </c>
    </row>
    <row r="585" spans="2:91" s="25" customFormat="1">
      <c r="B585" s="798" t="s">
        <v>3635</v>
      </c>
      <c r="C585" s="499"/>
      <c r="D585" s="499"/>
      <c r="E585" s="499"/>
      <c r="F585" s="499"/>
      <c r="G585" s="499"/>
      <c r="H585" s="499"/>
      <c r="I585" s="499"/>
      <c r="J585" s="499"/>
      <c r="K585" s="499"/>
      <c r="L585" s="499"/>
      <c r="M585" s="499"/>
      <c r="N585" s="499"/>
      <c r="O585" s="499"/>
      <c r="P585" s="499"/>
      <c r="Q585" s="499"/>
      <c r="R585" s="499"/>
      <c r="S585" s="499"/>
      <c r="T585" s="499"/>
      <c r="U585" s="499"/>
      <c r="V585" s="499"/>
      <c r="W585" s="499"/>
      <c r="X585" s="499"/>
      <c r="Y585" s="499"/>
      <c r="Z585" s="499"/>
      <c r="AA585" s="499"/>
      <c r="AB585" s="499"/>
      <c r="AC585" s="499"/>
      <c r="AD585" s="499"/>
      <c r="AE585" s="499"/>
      <c r="AF585" s="499"/>
      <c r="AG585" s="499"/>
      <c r="AH585" s="499"/>
      <c r="AI585" s="499"/>
      <c r="AJ585" s="499"/>
      <c r="AK585" s="499"/>
      <c r="AL585" s="499"/>
      <c r="AM585" s="499"/>
      <c r="AN585" s="499"/>
      <c r="AO585" s="499"/>
      <c r="AP585" s="499"/>
      <c r="AQ585" s="499"/>
      <c r="AR585" s="499"/>
      <c r="AS585" s="499"/>
      <c r="AT585" s="499"/>
      <c r="AU585" s="499"/>
      <c r="AV585" s="461"/>
      <c r="AW585" s="461"/>
      <c r="AX585" s="461"/>
      <c r="AY585" s="461"/>
      <c r="AZ585" s="799">
        <v>2000</v>
      </c>
      <c r="BA585" s="799">
        <v>2001</v>
      </c>
      <c r="BB585" s="799">
        <v>2002</v>
      </c>
      <c r="BC585" s="799">
        <v>2003</v>
      </c>
      <c r="BD585" s="799">
        <v>2004</v>
      </c>
      <c r="BE585" s="799">
        <v>2005</v>
      </c>
      <c r="BF585" s="799">
        <v>2006</v>
      </c>
      <c r="BG585" s="514">
        <f>BF585+1</f>
        <v>2007</v>
      </c>
      <c r="BH585" s="799">
        <v>2008</v>
      </c>
      <c r="BI585" s="514">
        <f>BH585+1</f>
        <v>2009</v>
      </c>
      <c r="BJ585" s="514">
        <f>BI585+1</f>
        <v>2010</v>
      </c>
      <c r="BK585" s="307"/>
      <c r="BU585" s="40">
        <f t="shared" si="379"/>
        <v>0</v>
      </c>
      <c r="BV585" s="40">
        <f t="shared" si="384"/>
        <v>0</v>
      </c>
      <c r="BW585" s="40">
        <f t="shared" si="384"/>
        <v>0</v>
      </c>
      <c r="BX585" s="40">
        <f t="shared" si="384"/>
        <v>0</v>
      </c>
      <c r="BY585" s="40">
        <f t="shared" si="384"/>
        <v>0</v>
      </c>
      <c r="BZ585" s="40">
        <f t="shared" si="384"/>
        <v>0</v>
      </c>
      <c r="CA585" s="40">
        <f t="shared" si="384"/>
        <v>0</v>
      </c>
      <c r="CB585" s="40">
        <f t="shared" si="384"/>
        <v>0</v>
      </c>
      <c r="CC585" s="40">
        <f t="shared" si="384"/>
        <v>0</v>
      </c>
      <c r="CD585" s="40">
        <f t="shared" si="384"/>
        <v>0</v>
      </c>
    </row>
    <row r="586" spans="2:91" s="25" customFormat="1">
      <c r="B586" s="800" t="s">
        <v>3636</v>
      </c>
      <c r="C586" s="647"/>
      <c r="D586" s="647" t="s">
        <v>1612</v>
      </c>
      <c r="E586" s="647"/>
      <c r="F586" s="647"/>
      <c r="G586" s="647"/>
      <c r="H586" s="647"/>
      <c r="I586" s="647"/>
      <c r="J586" s="647"/>
      <c r="K586" s="647"/>
      <c r="L586" s="647"/>
      <c r="M586" s="647"/>
      <c r="N586" s="647"/>
      <c r="O586" s="647"/>
      <c r="P586" s="647"/>
      <c r="Q586" s="647"/>
      <c r="R586" s="647"/>
      <c r="S586" s="647"/>
      <c r="T586" s="647"/>
      <c r="U586" s="647"/>
      <c r="V586" s="647"/>
      <c r="W586" s="647"/>
      <c r="X586" s="647"/>
      <c r="Y586" s="647"/>
      <c r="Z586" s="647"/>
      <c r="AA586" s="647"/>
      <c r="AB586" s="647"/>
      <c r="AC586" s="647"/>
      <c r="AD586" s="647"/>
      <c r="AE586" s="647"/>
      <c r="AF586" s="647"/>
      <c r="AG586" s="647"/>
      <c r="AH586" s="647"/>
      <c r="AI586" s="647"/>
      <c r="AJ586" s="647"/>
      <c r="AK586" s="647"/>
      <c r="AL586" s="647"/>
      <c r="AM586" s="647"/>
      <c r="AN586" s="647"/>
      <c r="AO586" s="647"/>
      <c r="AP586" s="647"/>
      <c r="AQ586" s="647"/>
      <c r="AR586" s="647"/>
      <c r="AS586" s="647"/>
      <c r="AT586" s="647"/>
      <c r="AU586" s="647"/>
      <c r="AV586" s="801">
        <v>145.30000000000001</v>
      </c>
      <c r="AW586" s="801">
        <v>148.4</v>
      </c>
      <c r="AX586" s="801">
        <v>204.7</v>
      </c>
      <c r="AY586" s="801">
        <v>262.5</v>
      </c>
      <c r="AZ586" s="802">
        <v>290.87900000000002</v>
      </c>
      <c r="BA586" s="802">
        <v>350.58</v>
      </c>
      <c r="BB586" s="802">
        <v>372.00599999999997</v>
      </c>
      <c r="BC586" s="802">
        <v>383.185</v>
      </c>
      <c r="BD586" s="802">
        <v>384.17500000000001</v>
      </c>
      <c r="BE586" s="802">
        <v>390.303</v>
      </c>
      <c r="BF586" s="802">
        <v>390.5</v>
      </c>
      <c r="BG586" s="803">
        <v>299.89999999999998</v>
      </c>
      <c r="BH586" s="463">
        <v>319.26600000000002</v>
      </c>
      <c r="BI586" s="307">
        <v>269.10000000000002</v>
      </c>
      <c r="BJ586" s="465">
        <v>334.4</v>
      </c>
      <c r="BK586" s="307">
        <v>462.9</v>
      </c>
      <c r="BL586" s="25">
        <v>567.20000000000005</v>
      </c>
      <c r="BM586" s="25">
        <v>738.5</v>
      </c>
      <c r="BN586" s="25">
        <v>810</v>
      </c>
      <c r="BO586" s="25">
        <v>872.2</v>
      </c>
      <c r="BU586" s="40">
        <f t="shared" si="379"/>
        <v>0</v>
      </c>
      <c r="BV586" s="40">
        <f t="shared" si="384"/>
        <v>0</v>
      </c>
      <c r="BW586" s="40">
        <f t="shared" si="384"/>
        <v>0</v>
      </c>
      <c r="BX586" s="40">
        <f t="shared" si="384"/>
        <v>0</v>
      </c>
      <c r="BY586" s="40">
        <f t="shared" si="384"/>
        <v>0</v>
      </c>
      <c r="BZ586" s="40">
        <f t="shared" si="384"/>
        <v>0</v>
      </c>
      <c r="CA586" s="40">
        <f t="shared" si="384"/>
        <v>0</v>
      </c>
      <c r="CB586" s="40">
        <f t="shared" si="384"/>
        <v>0</v>
      </c>
      <c r="CC586" s="40">
        <f t="shared" si="384"/>
        <v>0</v>
      </c>
      <c r="CD586" s="40">
        <f t="shared" si="384"/>
        <v>0</v>
      </c>
      <c r="CM586" s="25">
        <v>485.2</v>
      </c>
    </row>
    <row r="587" spans="2:91" s="25" customFormat="1">
      <c r="B587" s="804" t="s">
        <v>651</v>
      </c>
      <c r="C587" s="499"/>
      <c r="D587" s="499" t="s">
        <v>1612</v>
      </c>
      <c r="E587" s="499"/>
      <c r="F587" s="499"/>
      <c r="G587" s="499"/>
      <c r="H587" s="499"/>
      <c r="I587" s="499"/>
      <c r="J587" s="499"/>
      <c r="K587" s="499"/>
      <c r="L587" s="499"/>
      <c r="M587" s="499"/>
      <c r="N587" s="499"/>
      <c r="O587" s="499"/>
      <c r="P587" s="499"/>
      <c r="Q587" s="499"/>
      <c r="R587" s="499"/>
      <c r="S587" s="499"/>
      <c r="T587" s="499"/>
      <c r="U587" s="499"/>
      <c r="V587" s="499"/>
      <c r="W587" s="499"/>
      <c r="X587" s="499"/>
      <c r="Y587" s="499"/>
      <c r="Z587" s="499"/>
      <c r="AA587" s="499"/>
      <c r="AB587" s="499"/>
      <c r="AC587" s="499"/>
      <c r="AD587" s="499"/>
      <c r="AE587" s="499"/>
      <c r="AF587" s="499"/>
      <c r="AG587" s="499"/>
      <c r="AH587" s="499"/>
      <c r="AI587" s="499"/>
      <c r="AJ587" s="499"/>
      <c r="AK587" s="499"/>
      <c r="AL587" s="499"/>
      <c r="AM587" s="499"/>
      <c r="AN587" s="499"/>
      <c r="AO587" s="499"/>
      <c r="AP587" s="499"/>
      <c r="AQ587" s="499"/>
      <c r="AR587" s="499"/>
      <c r="AS587" s="499"/>
      <c r="AT587" s="499"/>
      <c r="AU587" s="499"/>
      <c r="AV587" s="461"/>
      <c r="AW587" s="461"/>
      <c r="AX587" s="461"/>
      <c r="AY587" s="461"/>
      <c r="AZ587" s="460">
        <v>25.898</v>
      </c>
      <c r="BA587" s="460">
        <v>21.898</v>
      </c>
      <c r="BB587" s="460">
        <v>17.515000000000001</v>
      </c>
      <c r="BC587" s="805">
        <v>13.12</v>
      </c>
      <c r="BD587" s="806">
        <v>8.7129999999999992</v>
      </c>
      <c r="BE587" s="807">
        <v>2.294</v>
      </c>
      <c r="BF587" s="807">
        <v>0</v>
      </c>
      <c r="BG587" s="807">
        <v>19.873000000000001</v>
      </c>
      <c r="BH587" s="808">
        <v>18.789000000000001</v>
      </c>
      <c r="BI587" s="307">
        <v>19.446999999999999</v>
      </c>
      <c r="BJ587" s="465">
        <v>17.834</v>
      </c>
      <c r="BK587" s="307">
        <v>15.5</v>
      </c>
      <c r="BL587" s="25">
        <v>13.9</v>
      </c>
      <c r="BM587" s="25">
        <v>12.4</v>
      </c>
      <c r="BN587" s="25">
        <v>10.4</v>
      </c>
      <c r="BO587" s="25">
        <v>5.8</v>
      </c>
      <c r="BU587" s="40">
        <f t="shared" si="379"/>
        <v>0</v>
      </c>
      <c r="BV587" s="40">
        <f t="shared" si="384"/>
        <v>0</v>
      </c>
      <c r="BW587" s="40">
        <f t="shared" si="384"/>
        <v>0</v>
      </c>
      <c r="BX587" s="40">
        <f t="shared" si="384"/>
        <v>0</v>
      </c>
      <c r="BY587" s="40">
        <f t="shared" si="384"/>
        <v>0</v>
      </c>
      <c r="BZ587" s="40">
        <f t="shared" si="384"/>
        <v>0</v>
      </c>
      <c r="CA587" s="40">
        <f t="shared" si="384"/>
        <v>0</v>
      </c>
      <c r="CB587" s="40">
        <f t="shared" si="384"/>
        <v>0</v>
      </c>
      <c r="CC587" s="40">
        <f t="shared" si="384"/>
        <v>0</v>
      </c>
      <c r="CD587" s="40">
        <f t="shared" si="384"/>
        <v>0</v>
      </c>
      <c r="CM587" s="25">
        <v>14.9</v>
      </c>
    </row>
    <row r="588" spans="2:91" s="25" customFormat="1">
      <c r="B588" s="804" t="s">
        <v>2058</v>
      </c>
      <c r="C588" s="499"/>
      <c r="D588" s="499" t="s">
        <v>1612</v>
      </c>
      <c r="E588" s="499"/>
      <c r="F588" s="499"/>
      <c r="G588" s="499"/>
      <c r="H588" s="499"/>
      <c r="I588" s="499"/>
      <c r="J588" s="499"/>
      <c r="K588" s="499"/>
      <c r="L588" s="499"/>
      <c r="M588" s="499"/>
      <c r="N588" s="499"/>
      <c r="O588" s="499"/>
      <c r="P588" s="499"/>
      <c r="Q588" s="499"/>
      <c r="R588" s="499"/>
      <c r="S588" s="499"/>
      <c r="T588" s="499"/>
      <c r="U588" s="499"/>
      <c r="V588" s="499"/>
      <c r="W588" s="499"/>
      <c r="X588" s="499"/>
      <c r="Y588" s="499"/>
      <c r="Z588" s="499"/>
      <c r="AA588" s="499"/>
      <c r="AB588" s="499"/>
      <c r="AC588" s="499"/>
      <c r="AD588" s="499"/>
      <c r="AE588" s="499"/>
      <c r="AF588" s="499"/>
      <c r="AG588" s="499"/>
      <c r="AH588" s="499"/>
      <c r="AI588" s="499"/>
      <c r="AJ588" s="499"/>
      <c r="AK588" s="499"/>
      <c r="AL588" s="499"/>
      <c r="AM588" s="499"/>
      <c r="AN588" s="499"/>
      <c r="AO588" s="499"/>
      <c r="AP588" s="499"/>
      <c r="AQ588" s="499"/>
      <c r="AR588" s="499"/>
      <c r="AS588" s="499"/>
      <c r="AT588" s="499"/>
      <c r="AU588" s="499"/>
      <c r="AV588" s="461"/>
      <c r="AW588" s="461"/>
      <c r="AX588" s="461"/>
      <c r="AY588" s="461"/>
      <c r="AZ588" s="460">
        <v>37.406999999999996</v>
      </c>
      <c r="BA588" s="460">
        <v>64.436999999999998</v>
      </c>
      <c r="BB588" s="460">
        <v>42.127000000000002</v>
      </c>
      <c r="BC588" s="805">
        <v>60.494</v>
      </c>
      <c r="BD588" s="805">
        <v>129.09100000000001</v>
      </c>
      <c r="BE588" s="807">
        <v>100.83799999999999</v>
      </c>
      <c r="BF588" s="807">
        <v>107.104</v>
      </c>
      <c r="BG588" s="807">
        <v>120.807</v>
      </c>
      <c r="BH588" s="808">
        <v>305.31299999999999</v>
      </c>
      <c r="BI588" s="307">
        <v>357.2</v>
      </c>
      <c r="BJ588" s="465">
        <v>295.89999999999998</v>
      </c>
      <c r="BK588" s="307">
        <v>222.5</v>
      </c>
      <c r="BL588" s="25">
        <v>229.7</v>
      </c>
      <c r="BM588" s="25">
        <v>233.3</v>
      </c>
      <c r="BN588" s="25">
        <v>267.8</v>
      </c>
      <c r="BO588" s="25">
        <v>278.8</v>
      </c>
      <c r="BU588" s="40">
        <f t="shared" si="379"/>
        <v>0</v>
      </c>
      <c r="BV588" s="40">
        <f t="shared" si="384"/>
        <v>0</v>
      </c>
      <c r="BW588" s="40">
        <f t="shared" si="384"/>
        <v>0</v>
      </c>
      <c r="BX588" s="40">
        <f t="shared" si="384"/>
        <v>0</v>
      </c>
      <c r="BY588" s="40">
        <f t="shared" si="384"/>
        <v>0</v>
      </c>
      <c r="BZ588" s="40">
        <f t="shared" si="384"/>
        <v>0</v>
      </c>
      <c r="CA588" s="40">
        <f t="shared" si="384"/>
        <v>0</v>
      </c>
      <c r="CB588" s="40">
        <f t="shared" si="384"/>
        <v>0</v>
      </c>
      <c r="CC588" s="40">
        <f t="shared" si="384"/>
        <v>0</v>
      </c>
      <c r="CD588" s="40">
        <f t="shared" si="384"/>
        <v>0</v>
      </c>
      <c r="CM588" s="25">
        <v>199.8</v>
      </c>
    </row>
    <row r="589" spans="2:91" s="25" customFormat="1">
      <c r="B589" s="800" t="s">
        <v>399</v>
      </c>
      <c r="C589" s="647"/>
      <c r="D589" s="647"/>
      <c r="E589" s="647"/>
      <c r="F589" s="647"/>
      <c r="G589" s="647"/>
      <c r="H589" s="647"/>
      <c r="I589" s="647"/>
      <c r="J589" s="647"/>
      <c r="K589" s="647"/>
      <c r="L589" s="647"/>
      <c r="M589" s="647"/>
      <c r="N589" s="647"/>
      <c r="O589" s="647"/>
      <c r="P589" s="647"/>
      <c r="Q589" s="647"/>
      <c r="R589" s="647"/>
      <c r="S589" s="647"/>
      <c r="T589" s="647"/>
      <c r="U589" s="647"/>
      <c r="V589" s="647"/>
      <c r="W589" s="647"/>
      <c r="X589" s="647"/>
      <c r="Y589" s="647"/>
      <c r="Z589" s="647"/>
      <c r="AA589" s="647"/>
      <c r="AB589" s="647"/>
      <c r="AC589" s="647"/>
      <c r="AD589" s="647"/>
      <c r="AE589" s="647"/>
      <c r="AF589" s="647"/>
      <c r="AG589" s="647"/>
      <c r="AH589" s="647"/>
      <c r="AI589" s="647"/>
      <c r="AJ589" s="647"/>
      <c r="AK589" s="647"/>
      <c r="AL589" s="647"/>
      <c r="AM589" s="647"/>
      <c r="AN589" s="647"/>
      <c r="AO589" s="647"/>
      <c r="AP589" s="647"/>
      <c r="AQ589" s="647"/>
      <c r="AR589" s="647"/>
      <c r="AS589" s="647"/>
      <c r="AT589" s="647"/>
      <c r="AU589" s="647"/>
      <c r="AV589" s="809">
        <v>145.30000000000001</v>
      </c>
      <c r="AW589" s="809">
        <v>148.4</v>
      </c>
      <c r="AX589" s="809">
        <v>204.7</v>
      </c>
      <c r="AY589" s="809">
        <v>262.5</v>
      </c>
      <c r="AZ589" s="325">
        <f t="shared" ref="AZ589:BO589" si="385">SUM(AZ586:AZ588)</f>
        <v>354.18400000000003</v>
      </c>
      <c r="BA589" s="325">
        <f t="shared" si="385"/>
        <v>436.91500000000002</v>
      </c>
      <c r="BB589" s="325">
        <f t="shared" si="385"/>
        <v>431.64799999999997</v>
      </c>
      <c r="BC589" s="325">
        <f t="shared" si="385"/>
        <v>456.79899999999998</v>
      </c>
      <c r="BD589" s="325">
        <f t="shared" si="385"/>
        <v>521.97900000000004</v>
      </c>
      <c r="BE589" s="325">
        <f t="shared" si="385"/>
        <v>493.43499999999995</v>
      </c>
      <c r="BF589" s="325">
        <f t="shared" si="385"/>
        <v>497.60399999999998</v>
      </c>
      <c r="BG589" s="325">
        <f t="shared" si="385"/>
        <v>440.58</v>
      </c>
      <c r="BH589" s="325">
        <f t="shared" si="385"/>
        <v>643.36799999999994</v>
      </c>
      <c r="BI589" s="325">
        <f t="shared" si="385"/>
        <v>645.74700000000007</v>
      </c>
      <c r="BJ589" s="325">
        <f t="shared" si="385"/>
        <v>648.13400000000001</v>
      </c>
      <c r="BK589" s="325">
        <f t="shared" si="385"/>
        <v>700.9</v>
      </c>
      <c r="BL589" s="325">
        <f t="shared" si="385"/>
        <v>810.8</v>
      </c>
      <c r="BM589" s="325">
        <f t="shared" si="385"/>
        <v>984.2</v>
      </c>
      <c r="BN589" s="325">
        <f t="shared" si="385"/>
        <v>1088.2</v>
      </c>
      <c r="BO589" s="325">
        <f t="shared" si="385"/>
        <v>1156.8</v>
      </c>
      <c r="BP589" s="467">
        <v>1305.4519214894669</v>
      </c>
      <c r="BU589" s="40">
        <f t="shared" si="379"/>
        <v>0</v>
      </c>
      <c r="BV589" s="40">
        <f t="shared" si="384"/>
        <v>0</v>
      </c>
      <c r="BW589" s="40">
        <f t="shared" si="384"/>
        <v>0</v>
      </c>
      <c r="BX589" s="40">
        <f t="shared" si="384"/>
        <v>0</v>
      </c>
      <c r="BY589" s="40">
        <f t="shared" si="384"/>
        <v>0</v>
      </c>
      <c r="BZ589" s="40">
        <f t="shared" si="384"/>
        <v>0</v>
      </c>
      <c r="CA589" s="40">
        <f t="shared" si="384"/>
        <v>0</v>
      </c>
      <c r="CB589" s="40">
        <f t="shared" si="384"/>
        <v>0</v>
      </c>
      <c r="CC589" s="40">
        <f t="shared" si="384"/>
        <v>0</v>
      </c>
      <c r="CD589" s="40">
        <f t="shared" si="384"/>
        <v>0</v>
      </c>
      <c r="CM589" s="325">
        <f>SUM(CM586:CM588)</f>
        <v>699.9</v>
      </c>
    </row>
    <row r="590" spans="2:91" s="25" customFormat="1">
      <c r="B590" s="250"/>
      <c r="C590" s="499"/>
      <c r="D590" s="499"/>
      <c r="E590" s="499"/>
      <c r="F590" s="499"/>
      <c r="G590" s="499"/>
      <c r="H590" s="499"/>
      <c r="I590" s="499"/>
      <c r="J590" s="499"/>
      <c r="K590" s="499"/>
      <c r="L590" s="499"/>
      <c r="M590" s="499"/>
      <c r="N590" s="499"/>
      <c r="O590" s="499"/>
      <c r="P590" s="499"/>
      <c r="Q590" s="499"/>
      <c r="R590" s="499"/>
      <c r="S590" s="499"/>
      <c r="T590" s="499"/>
      <c r="U590" s="499"/>
      <c r="V590" s="499"/>
      <c r="W590" s="499"/>
      <c r="X590" s="499"/>
      <c r="Y590" s="499"/>
      <c r="Z590" s="499"/>
      <c r="AA590" s="499"/>
      <c r="AB590" s="499"/>
      <c r="AC590" s="499"/>
      <c r="AD590" s="499"/>
      <c r="AE590" s="499"/>
      <c r="AF590" s="499"/>
      <c r="AG590" s="499"/>
      <c r="AH590" s="499"/>
      <c r="AI590" s="499"/>
      <c r="AJ590" s="499"/>
      <c r="AK590" s="499"/>
      <c r="AL590" s="499"/>
      <c r="AM590" s="499"/>
      <c r="AN590" s="499"/>
      <c r="AO590" s="499"/>
      <c r="AP590" s="499"/>
      <c r="AQ590" s="499"/>
      <c r="AR590" s="499"/>
      <c r="AS590" s="499"/>
      <c r="AT590" s="499"/>
      <c r="AU590" s="499"/>
      <c r="AV590" s="461"/>
      <c r="AW590" s="461"/>
      <c r="AX590" s="461"/>
      <c r="AY590" s="461"/>
      <c r="AZ590" s="494">
        <f>SUM(AZ586:AZ588)</f>
        <v>354.18400000000003</v>
      </c>
      <c r="BA590" s="494">
        <f t="shared" ref="BA590:BH590" si="386">SUM(BA586:BA588)</f>
        <v>436.91500000000002</v>
      </c>
      <c r="BB590" s="494">
        <f t="shared" si="386"/>
        <v>431.64799999999997</v>
      </c>
      <c r="BC590" s="494">
        <f t="shared" si="386"/>
        <v>456.79899999999998</v>
      </c>
      <c r="BD590" s="494">
        <f t="shared" si="386"/>
        <v>521.97900000000004</v>
      </c>
      <c r="BE590" s="494">
        <f t="shared" si="386"/>
        <v>493.43499999999995</v>
      </c>
      <c r="BF590" s="494">
        <f t="shared" si="386"/>
        <v>497.60399999999998</v>
      </c>
      <c r="BG590" s="494">
        <f t="shared" si="386"/>
        <v>440.58</v>
      </c>
      <c r="BH590" s="494">
        <f t="shared" si="386"/>
        <v>643.36799999999994</v>
      </c>
      <c r="BI590" s="494">
        <v>645.75400000000002</v>
      </c>
      <c r="BJ590" s="465">
        <v>648.78700000000003</v>
      </c>
      <c r="BK590" s="307"/>
      <c r="BU590" s="40">
        <f t="shared" si="379"/>
        <v>0</v>
      </c>
      <c r="BV590" s="40">
        <f t="shared" ref="BV590:CD590" si="387">BU590</f>
        <v>0</v>
      </c>
      <c r="BW590" s="40">
        <f t="shared" si="387"/>
        <v>0</v>
      </c>
      <c r="BX590" s="40">
        <f t="shared" si="387"/>
        <v>0</v>
      </c>
      <c r="BY590" s="40">
        <f t="shared" si="387"/>
        <v>0</v>
      </c>
      <c r="BZ590" s="40">
        <f t="shared" si="387"/>
        <v>0</v>
      </c>
      <c r="CA590" s="40">
        <f t="shared" si="387"/>
        <v>0</v>
      </c>
      <c r="CB590" s="40">
        <f t="shared" si="387"/>
        <v>0</v>
      </c>
      <c r="CC590" s="40">
        <f t="shared" si="387"/>
        <v>0</v>
      </c>
      <c r="CD590" s="40">
        <f t="shared" si="387"/>
        <v>0</v>
      </c>
    </row>
    <row r="591" spans="2:91">
      <c r="B591" s="810"/>
      <c r="C591" s="25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801"/>
      <c r="AW591" s="801"/>
      <c r="AX591" s="801"/>
      <c r="AY591" s="801"/>
      <c r="AZ591" s="811"/>
      <c r="BA591" s="811"/>
      <c r="BB591" s="811"/>
      <c r="BC591" s="811"/>
      <c r="BD591" s="811"/>
      <c r="BE591" s="812"/>
      <c r="BF591" s="812"/>
      <c r="BG591" s="812"/>
      <c r="BH591" s="812"/>
      <c r="BI591" s="812"/>
      <c r="BJ591" s="812"/>
      <c r="BK591" s="812"/>
      <c r="BU591" s="40">
        <f t="shared" si="379"/>
        <v>0</v>
      </c>
      <c r="BV591" s="40">
        <f t="shared" ref="BV591:CD591" si="388">BU591</f>
        <v>0</v>
      </c>
      <c r="BW591" s="40">
        <f t="shared" si="388"/>
        <v>0</v>
      </c>
      <c r="BX591" s="40">
        <f t="shared" si="388"/>
        <v>0</v>
      </c>
      <c r="BY591" s="40">
        <f t="shared" si="388"/>
        <v>0</v>
      </c>
      <c r="BZ591" s="40">
        <f t="shared" si="388"/>
        <v>0</v>
      </c>
      <c r="CA591" s="40">
        <f t="shared" si="388"/>
        <v>0</v>
      </c>
      <c r="CB591" s="40">
        <f t="shared" si="388"/>
        <v>0</v>
      </c>
      <c r="CC591" s="40">
        <f t="shared" si="388"/>
        <v>0</v>
      </c>
      <c r="CD591" s="40">
        <f t="shared" si="388"/>
        <v>0</v>
      </c>
    </row>
    <row r="592" spans="2:91" s="25" customFormat="1">
      <c r="B592" s="250"/>
      <c r="C592" s="499"/>
      <c r="D592" s="499"/>
      <c r="E592" s="499"/>
      <c r="F592" s="499"/>
      <c r="G592" s="499"/>
      <c r="H592" s="499"/>
      <c r="I592" s="499"/>
      <c r="J592" s="499"/>
      <c r="K592" s="499"/>
      <c r="L592" s="499"/>
      <c r="M592" s="499"/>
      <c r="N592" s="499"/>
      <c r="O592" s="499"/>
      <c r="P592" s="499"/>
      <c r="Q592" s="499"/>
      <c r="R592" s="499"/>
      <c r="S592" s="499"/>
      <c r="T592" s="499"/>
      <c r="U592" s="499"/>
      <c r="V592" s="499"/>
      <c r="W592" s="499"/>
      <c r="X592" s="499"/>
      <c r="Y592" s="499"/>
      <c r="Z592" s="499"/>
      <c r="AA592" s="499"/>
      <c r="AB592" s="499"/>
      <c r="AC592" s="499"/>
      <c r="AD592" s="499"/>
      <c r="AE592" s="499"/>
      <c r="AF592" s="499"/>
      <c r="AG592" s="499"/>
      <c r="AH592" s="499"/>
      <c r="AI592" s="499"/>
      <c r="AJ592" s="499"/>
      <c r="AK592" s="499"/>
      <c r="AL592" s="499"/>
      <c r="AM592" s="499"/>
      <c r="AN592" s="499"/>
      <c r="AO592" s="499"/>
      <c r="AP592" s="499"/>
      <c r="AQ592" s="499"/>
      <c r="AR592" s="499"/>
      <c r="AS592" s="499"/>
      <c r="AT592" s="499"/>
      <c r="AU592" s="499"/>
      <c r="AV592" s="461"/>
      <c r="AW592" s="461"/>
      <c r="AX592" s="461"/>
      <c r="AY592" s="461"/>
      <c r="AZ592" s="813"/>
      <c r="BA592" s="813"/>
      <c r="BB592" s="813"/>
      <c r="BC592" s="813"/>
      <c r="BD592" s="813"/>
      <c r="BE592" s="813"/>
      <c r="BF592" s="813"/>
      <c r="BG592" s="813"/>
      <c r="BH592" s="813"/>
      <c r="BI592" s="813"/>
      <c r="BJ592" s="307"/>
      <c r="BK592" s="307"/>
      <c r="BU592" s="40">
        <f t="shared" si="379"/>
        <v>0</v>
      </c>
      <c r="BV592" s="40">
        <f t="shared" ref="BV592:CD592" si="389">BU592</f>
        <v>0</v>
      </c>
      <c r="BW592" s="40">
        <f t="shared" si="389"/>
        <v>0</v>
      </c>
      <c r="BX592" s="40">
        <f t="shared" si="389"/>
        <v>0</v>
      </c>
      <c r="BY592" s="40">
        <f t="shared" si="389"/>
        <v>0</v>
      </c>
      <c r="BZ592" s="40">
        <f t="shared" si="389"/>
        <v>0</v>
      </c>
      <c r="CA592" s="40">
        <f t="shared" si="389"/>
        <v>0</v>
      </c>
      <c r="CB592" s="40">
        <f t="shared" si="389"/>
        <v>0</v>
      </c>
      <c r="CC592" s="40">
        <f t="shared" si="389"/>
        <v>0</v>
      </c>
      <c r="CD592" s="40">
        <f t="shared" si="389"/>
        <v>0</v>
      </c>
    </row>
    <row r="593" spans="2:91" s="25" customFormat="1">
      <c r="B593" s="798" t="s">
        <v>400</v>
      </c>
      <c r="C593" s="499"/>
      <c r="D593" s="499"/>
      <c r="E593" s="499"/>
      <c r="F593" s="499"/>
      <c r="G593" s="499"/>
      <c r="H593" s="499"/>
      <c r="I593" s="499"/>
      <c r="J593" s="499"/>
      <c r="K593" s="499"/>
      <c r="L593" s="499"/>
      <c r="M593" s="499"/>
      <c r="N593" s="499"/>
      <c r="O593" s="499"/>
      <c r="P593" s="499"/>
      <c r="Q593" s="499"/>
      <c r="R593" s="499"/>
      <c r="S593" s="499"/>
      <c r="T593" s="499"/>
      <c r="U593" s="499"/>
      <c r="V593" s="499"/>
      <c r="W593" s="499"/>
      <c r="X593" s="499"/>
      <c r="Y593" s="499"/>
      <c r="Z593" s="499"/>
      <c r="AA593" s="499"/>
      <c r="AB593" s="499"/>
      <c r="AC593" s="499"/>
      <c r="AD593" s="499"/>
      <c r="AE593" s="499"/>
      <c r="AF593" s="499"/>
      <c r="AG593" s="499"/>
      <c r="AH593" s="499"/>
      <c r="AI593" s="499"/>
      <c r="AJ593" s="499"/>
      <c r="AK593" s="499"/>
      <c r="AL593" s="499"/>
      <c r="AM593" s="499"/>
      <c r="AN593" s="499"/>
      <c r="AO593" s="499"/>
      <c r="AP593" s="499"/>
      <c r="AQ593" s="499"/>
      <c r="AR593" s="499"/>
      <c r="AS593" s="499"/>
      <c r="AT593" s="499"/>
      <c r="AU593" s="499"/>
      <c r="AV593" s="461"/>
      <c r="AW593" s="461"/>
      <c r="AX593" s="461"/>
      <c r="AY593" s="461"/>
      <c r="AZ593" s="799">
        <v>2000</v>
      </c>
      <c r="BA593" s="799">
        <v>2001</v>
      </c>
      <c r="BB593" s="799">
        <v>2002</v>
      </c>
      <c r="BC593" s="799">
        <v>2003</v>
      </c>
      <c r="BD593" s="799">
        <v>2004</v>
      </c>
      <c r="BE593" s="799">
        <v>2005</v>
      </c>
      <c r="BF593" s="799">
        <v>2006</v>
      </c>
      <c r="BG593" s="799">
        <v>2007</v>
      </c>
      <c r="BH593" s="799">
        <v>2008</v>
      </c>
      <c r="BI593" s="799">
        <v>2009</v>
      </c>
      <c r="BJ593" s="307"/>
      <c r="BK593" s="307"/>
      <c r="BU593" s="40">
        <f t="shared" si="379"/>
        <v>0</v>
      </c>
      <c r="BV593" s="40">
        <f t="shared" ref="BV593:CD593" si="390">BU593</f>
        <v>0</v>
      </c>
      <c r="BW593" s="40">
        <f t="shared" si="390"/>
        <v>0</v>
      </c>
      <c r="BX593" s="40">
        <f t="shared" si="390"/>
        <v>0</v>
      </c>
      <c r="BY593" s="40">
        <f t="shared" si="390"/>
        <v>0</v>
      </c>
      <c r="BZ593" s="40">
        <f t="shared" si="390"/>
        <v>0</v>
      </c>
      <c r="CA593" s="40">
        <f t="shared" si="390"/>
        <v>0</v>
      </c>
      <c r="CB593" s="40">
        <f t="shared" si="390"/>
        <v>0</v>
      </c>
      <c r="CC593" s="40">
        <f t="shared" si="390"/>
        <v>0</v>
      </c>
      <c r="CD593" s="40">
        <f t="shared" si="390"/>
        <v>0</v>
      </c>
    </row>
    <row r="594" spans="2:91" s="25" customFormat="1">
      <c r="B594" s="804" t="s">
        <v>1308</v>
      </c>
      <c r="C594" s="499"/>
      <c r="D594" s="499" t="s">
        <v>1611</v>
      </c>
      <c r="E594" s="499"/>
      <c r="F594" s="499"/>
      <c r="G594" s="499"/>
      <c r="H594" s="499"/>
      <c r="I594" s="499"/>
      <c r="J594" s="499"/>
      <c r="K594" s="499"/>
      <c r="L594" s="499"/>
      <c r="M594" s="499"/>
      <c r="N594" s="499"/>
      <c r="O594" s="499"/>
      <c r="P594" s="499"/>
      <c r="Q594" s="499"/>
      <c r="R594" s="499"/>
      <c r="S594" s="499"/>
      <c r="T594" s="499"/>
      <c r="U594" s="499"/>
      <c r="V594" s="499"/>
      <c r="W594" s="499"/>
      <c r="X594" s="499"/>
      <c r="Y594" s="499"/>
      <c r="Z594" s="499"/>
      <c r="AA594" s="499"/>
      <c r="AB594" s="499"/>
      <c r="AC594" s="499"/>
      <c r="AD594" s="499"/>
      <c r="AE594" s="499"/>
      <c r="AF594" s="499"/>
      <c r="AG594" s="499"/>
      <c r="AH594" s="499"/>
      <c r="AI594" s="499"/>
      <c r="AJ594" s="499"/>
      <c r="AK594" s="499"/>
      <c r="AL594" s="499"/>
      <c r="AM594" s="499"/>
      <c r="AN594" s="499"/>
      <c r="AO594" s="499"/>
      <c r="AP594" s="499"/>
      <c r="AQ594" s="499"/>
      <c r="AR594" s="499"/>
      <c r="AS594" s="499"/>
      <c r="AT594" s="499"/>
      <c r="AU594" s="499"/>
      <c r="AV594" s="648">
        <v>8.9</v>
      </c>
      <c r="AW594" s="648">
        <v>17.899999999999999</v>
      </c>
      <c r="AX594" s="648">
        <v>24.8</v>
      </c>
      <c r="AY594" s="648">
        <v>38.1</v>
      </c>
      <c r="AZ594" s="460">
        <v>288.98</v>
      </c>
      <c r="BA594" s="460">
        <v>181.916</v>
      </c>
      <c r="BB594" s="460">
        <v>358.25963473076001</v>
      </c>
      <c r="BC594" s="460">
        <v>410.41882872610006</v>
      </c>
      <c r="BD594" s="814">
        <v>561.6</v>
      </c>
      <c r="BE594" s="814">
        <v>694.9</v>
      </c>
      <c r="BF594" s="814">
        <v>653.9</v>
      </c>
      <c r="BG594" s="815">
        <v>581.9</v>
      </c>
      <c r="BH594" s="423">
        <v>639.79999999999995</v>
      </c>
      <c r="BI594" s="423">
        <v>918.4</v>
      </c>
      <c r="BJ594" s="465">
        <v>1297</v>
      </c>
      <c r="BK594" s="307">
        <v>1359.8</v>
      </c>
      <c r="BL594" s="25">
        <v>1653.1</v>
      </c>
      <c r="BM594" s="25">
        <v>2582.6999999999998</v>
      </c>
      <c r="BN594" s="25">
        <v>1872.3</v>
      </c>
      <c r="BO594" s="25">
        <v>3452.7</v>
      </c>
      <c r="BU594" s="40">
        <f t="shared" si="379"/>
        <v>0</v>
      </c>
      <c r="BV594" s="40">
        <f t="shared" ref="BV594:CD594" si="391">BU594</f>
        <v>0</v>
      </c>
      <c r="BW594" s="40">
        <f t="shared" si="391"/>
        <v>0</v>
      </c>
      <c r="BX594" s="40">
        <f t="shared" si="391"/>
        <v>0</v>
      </c>
      <c r="BY594" s="40">
        <f t="shared" si="391"/>
        <v>0</v>
      </c>
      <c r="BZ594" s="40">
        <f t="shared" si="391"/>
        <v>0</v>
      </c>
      <c r="CA594" s="40">
        <f t="shared" si="391"/>
        <v>0</v>
      </c>
      <c r="CB594" s="40">
        <f t="shared" si="391"/>
        <v>0</v>
      </c>
      <c r="CC594" s="40">
        <f t="shared" si="391"/>
        <v>0</v>
      </c>
      <c r="CD594" s="40">
        <f t="shared" si="391"/>
        <v>0</v>
      </c>
      <c r="CM594" s="25">
        <v>1459.5</v>
      </c>
    </row>
    <row r="595" spans="2:91" s="25" customFormat="1">
      <c r="B595" s="804" t="s">
        <v>2883</v>
      </c>
      <c r="C595" s="499"/>
      <c r="D595" s="499"/>
      <c r="E595" s="499"/>
      <c r="F595" s="499"/>
      <c r="G595" s="499"/>
      <c r="H595" s="499"/>
      <c r="I595" s="499"/>
      <c r="J595" s="499"/>
      <c r="K595" s="499"/>
      <c r="L595" s="499"/>
      <c r="M595" s="499"/>
      <c r="N595" s="499"/>
      <c r="O595" s="499"/>
      <c r="P595" s="499"/>
      <c r="Q595" s="499"/>
      <c r="R595" s="499"/>
      <c r="S595" s="499"/>
      <c r="T595" s="499"/>
      <c r="U595" s="499"/>
      <c r="V595" s="499"/>
      <c r="W595" s="499"/>
      <c r="X595" s="499"/>
      <c r="Y595" s="499"/>
      <c r="Z595" s="499"/>
      <c r="AA595" s="499"/>
      <c r="AB595" s="499"/>
      <c r="AC595" s="499"/>
      <c r="AD595" s="499"/>
      <c r="AE595" s="499"/>
      <c r="AF595" s="499"/>
      <c r="AG595" s="499"/>
      <c r="AH595" s="499"/>
      <c r="AI595" s="499"/>
      <c r="AJ595" s="499"/>
      <c r="AK595" s="499"/>
      <c r="AL595" s="499"/>
      <c r="AM595" s="499"/>
      <c r="AN595" s="499"/>
      <c r="AO595" s="499"/>
      <c r="AP595" s="499"/>
      <c r="AQ595" s="499"/>
      <c r="AR595" s="499"/>
      <c r="AS595" s="499"/>
      <c r="AT595" s="499"/>
      <c r="AU595" s="499"/>
      <c r="AV595" s="461"/>
      <c r="AW595" s="461"/>
      <c r="AX595" s="461"/>
      <c r="AY595" s="461"/>
      <c r="AZ595" s="460"/>
      <c r="BA595" s="460"/>
      <c r="BB595" s="460"/>
      <c r="BC595" s="460">
        <f t="shared" ref="BC595:BH595" si="392">BC594/BC598</f>
        <v>154.87502970796228</v>
      </c>
      <c r="BD595" s="460">
        <f t="shared" si="392"/>
        <v>204.21818181818182</v>
      </c>
      <c r="BE595" s="460">
        <f t="shared" si="392"/>
        <v>249.96402877697844</v>
      </c>
      <c r="BF595" s="460">
        <f t="shared" si="392"/>
        <v>235.21582733812951</v>
      </c>
      <c r="BG595" s="460">
        <f t="shared" si="392"/>
        <v>209.31654676258992</v>
      </c>
      <c r="BH595" s="460">
        <f t="shared" si="392"/>
        <v>230.14388489208633</v>
      </c>
      <c r="BI595" s="460"/>
      <c r="BJ595" s="307"/>
      <c r="BK595" s="307"/>
      <c r="BU595" s="40">
        <f t="shared" si="379"/>
        <v>0</v>
      </c>
      <c r="BV595" s="40">
        <f t="shared" ref="BV595:CD595" si="393">BU595</f>
        <v>0</v>
      </c>
      <c r="BW595" s="40">
        <f t="shared" si="393"/>
        <v>0</v>
      </c>
      <c r="BX595" s="40">
        <f t="shared" si="393"/>
        <v>0</v>
      </c>
      <c r="BY595" s="40">
        <f t="shared" si="393"/>
        <v>0</v>
      </c>
      <c r="BZ595" s="40">
        <f t="shared" si="393"/>
        <v>0</v>
      </c>
      <c r="CA595" s="40">
        <f t="shared" si="393"/>
        <v>0</v>
      </c>
      <c r="CB595" s="40">
        <f t="shared" si="393"/>
        <v>0</v>
      </c>
      <c r="CC595" s="40">
        <f t="shared" si="393"/>
        <v>0</v>
      </c>
      <c r="CD595" s="40">
        <f t="shared" si="393"/>
        <v>0</v>
      </c>
    </row>
    <row r="596" spans="2:91" s="25" customFormat="1">
      <c r="B596" s="800" t="s">
        <v>3482</v>
      </c>
      <c r="C596" s="647"/>
      <c r="D596" s="647"/>
      <c r="E596" s="647"/>
      <c r="F596" s="647"/>
      <c r="G596" s="647"/>
      <c r="H596" s="647"/>
      <c r="I596" s="647"/>
      <c r="J596" s="647"/>
      <c r="K596" s="647"/>
      <c r="L596" s="647"/>
      <c r="M596" s="647"/>
      <c r="N596" s="647"/>
      <c r="O596" s="647"/>
      <c r="P596" s="647"/>
      <c r="Q596" s="647"/>
      <c r="R596" s="647"/>
      <c r="S596" s="647"/>
      <c r="T596" s="647"/>
      <c r="U596" s="647"/>
      <c r="V596" s="647"/>
      <c r="W596" s="647"/>
      <c r="X596" s="647"/>
      <c r="Y596" s="647"/>
      <c r="Z596" s="647"/>
      <c r="AA596" s="647"/>
      <c r="AB596" s="647"/>
      <c r="AC596" s="647"/>
      <c r="AD596" s="647"/>
      <c r="AE596" s="647"/>
      <c r="AF596" s="647"/>
      <c r="AG596" s="647"/>
      <c r="AH596" s="647"/>
      <c r="AI596" s="647"/>
      <c r="AJ596" s="647"/>
      <c r="AK596" s="647"/>
      <c r="AL596" s="647"/>
      <c r="AM596" s="647"/>
      <c r="AN596" s="647"/>
      <c r="AO596" s="647"/>
      <c r="AP596" s="647"/>
      <c r="AQ596" s="647"/>
      <c r="AR596" s="647"/>
      <c r="AS596" s="647"/>
      <c r="AT596" s="647"/>
      <c r="AU596" s="647"/>
      <c r="AV596" s="648">
        <v>8.9</v>
      </c>
      <c r="AW596" s="648">
        <v>17.899999999999999</v>
      </c>
      <c r="AX596" s="648">
        <v>24.8</v>
      </c>
      <c r="AY596" s="648">
        <v>38.1</v>
      </c>
      <c r="AZ596" s="466">
        <v>288.98</v>
      </c>
      <c r="BA596" s="466">
        <v>181.916</v>
      </c>
      <c r="BB596" s="466">
        <v>358.25963473076001</v>
      </c>
      <c r="BC596" s="466">
        <v>410.41882872610006</v>
      </c>
      <c r="BD596" s="325">
        <v>651.29999999999995</v>
      </c>
      <c r="BE596" s="325">
        <v>781.9</v>
      </c>
      <c r="BF596" s="325">
        <v>720.6</v>
      </c>
      <c r="BG596" s="493">
        <v>631.4</v>
      </c>
      <c r="BH596" s="447">
        <v>913.4</v>
      </c>
      <c r="BI596" s="447">
        <v>1144</v>
      </c>
      <c r="BJ596" s="447">
        <v>1497.8</v>
      </c>
      <c r="BK596" s="447">
        <v>1532</v>
      </c>
      <c r="BL596" s="433">
        <v>1769.7</v>
      </c>
      <c r="BM596" s="433">
        <v>2749.1</v>
      </c>
      <c r="BN596" s="433">
        <v>2153.6</v>
      </c>
      <c r="BO596" s="433">
        <v>3755.9</v>
      </c>
      <c r="BP596" s="467">
        <v>6581.2447585667678</v>
      </c>
      <c r="BU596" s="40">
        <f t="shared" si="379"/>
        <v>0</v>
      </c>
      <c r="BV596" s="40">
        <f t="shared" ref="BV596:CD596" si="394">BU596</f>
        <v>0</v>
      </c>
      <c r="BW596" s="40">
        <f t="shared" si="394"/>
        <v>0</v>
      </c>
      <c r="BX596" s="40">
        <f t="shared" si="394"/>
        <v>0</v>
      </c>
      <c r="BY596" s="40">
        <f t="shared" si="394"/>
        <v>0</v>
      </c>
      <c r="BZ596" s="40">
        <f t="shared" si="394"/>
        <v>0</v>
      </c>
      <c r="CA596" s="40">
        <f t="shared" si="394"/>
        <v>0</v>
      </c>
      <c r="CB596" s="40">
        <f t="shared" si="394"/>
        <v>0</v>
      </c>
      <c r="CC596" s="40">
        <f t="shared" si="394"/>
        <v>0</v>
      </c>
      <c r="CD596" s="40">
        <f t="shared" si="394"/>
        <v>0</v>
      </c>
      <c r="CM596" s="433">
        <v>1618.2</v>
      </c>
    </row>
    <row r="597" spans="2:91" s="25" customFormat="1">
      <c r="B597" s="800" t="s">
        <v>4081</v>
      </c>
      <c r="C597" s="647"/>
      <c r="D597" s="499" t="s">
        <v>1611</v>
      </c>
      <c r="E597" s="647"/>
      <c r="F597" s="647"/>
      <c r="G597" s="647"/>
      <c r="H597" s="647"/>
      <c r="I597" s="647"/>
      <c r="J597" s="647"/>
      <c r="K597" s="647"/>
      <c r="L597" s="647"/>
      <c r="M597" s="647"/>
      <c r="N597" s="647"/>
      <c r="O597" s="647"/>
      <c r="P597" s="647"/>
      <c r="Q597" s="647"/>
      <c r="R597" s="647"/>
      <c r="S597" s="647"/>
      <c r="T597" s="647"/>
      <c r="U597" s="647"/>
      <c r="V597" s="647"/>
      <c r="W597" s="647"/>
      <c r="X597" s="647"/>
      <c r="Y597" s="647"/>
      <c r="Z597" s="647"/>
      <c r="AA597" s="647"/>
      <c r="AB597" s="647"/>
      <c r="AC597" s="647"/>
      <c r="AD597" s="647"/>
      <c r="AE597" s="647"/>
      <c r="AF597" s="647"/>
      <c r="AG597" s="647"/>
      <c r="AH597" s="647"/>
      <c r="AI597" s="647"/>
      <c r="AJ597" s="647"/>
      <c r="AK597" s="647"/>
      <c r="AL597" s="647"/>
      <c r="AM597" s="647"/>
      <c r="AN597" s="647"/>
      <c r="AO597" s="647"/>
      <c r="AP597" s="647"/>
      <c r="AQ597" s="647"/>
      <c r="AR597" s="647"/>
      <c r="AS597" s="647"/>
      <c r="AT597" s="647"/>
      <c r="AU597" s="647"/>
      <c r="AV597" s="461"/>
      <c r="AW597" s="461"/>
      <c r="AX597" s="461"/>
      <c r="AY597" s="461"/>
      <c r="AZ597" s="460"/>
      <c r="BA597" s="460"/>
      <c r="BB597" s="460"/>
      <c r="BC597" s="460">
        <f t="shared" ref="BC597:BH597" si="395">BC596/BC598</f>
        <v>154.87502970796228</v>
      </c>
      <c r="BD597" s="460">
        <f t="shared" si="395"/>
        <v>236.83636363636361</v>
      </c>
      <c r="BE597" s="460">
        <f t="shared" si="395"/>
        <v>281.25899280575538</v>
      </c>
      <c r="BF597" s="460">
        <f t="shared" si="395"/>
        <v>259.20863309352518</v>
      </c>
      <c r="BG597" s="460">
        <f t="shared" si="395"/>
        <v>227.12230215827338</v>
      </c>
      <c r="BH597" s="460">
        <f t="shared" si="395"/>
        <v>328.56115107913672</v>
      </c>
      <c r="BI597" s="307"/>
      <c r="BJ597" s="307"/>
      <c r="BK597" s="307"/>
      <c r="BU597" s="40">
        <f t="shared" si="379"/>
        <v>0</v>
      </c>
      <c r="BV597" s="40">
        <f t="shared" ref="BV597:CD597" si="396">BU597</f>
        <v>0</v>
      </c>
      <c r="BW597" s="40">
        <f t="shared" si="396"/>
        <v>0</v>
      </c>
      <c r="BX597" s="40">
        <f t="shared" si="396"/>
        <v>0</v>
      </c>
      <c r="BY597" s="40">
        <f t="shared" si="396"/>
        <v>0</v>
      </c>
      <c r="BZ597" s="40">
        <f t="shared" si="396"/>
        <v>0</v>
      </c>
      <c r="CA597" s="40">
        <f t="shared" si="396"/>
        <v>0</v>
      </c>
      <c r="CB597" s="40">
        <f t="shared" si="396"/>
        <v>0</v>
      </c>
      <c r="CC597" s="40">
        <f t="shared" si="396"/>
        <v>0</v>
      </c>
      <c r="CD597" s="40">
        <f t="shared" si="396"/>
        <v>0</v>
      </c>
    </row>
    <row r="598" spans="2:91" s="25" customFormat="1">
      <c r="B598" s="250" t="s">
        <v>535</v>
      </c>
      <c r="C598" s="499"/>
      <c r="D598" s="499"/>
      <c r="E598" s="499"/>
      <c r="F598" s="499"/>
      <c r="G598" s="499"/>
      <c r="H598" s="499"/>
      <c r="I598" s="499"/>
      <c r="J598" s="499"/>
      <c r="K598" s="499"/>
      <c r="L598" s="499"/>
      <c r="M598" s="499"/>
      <c r="N598" s="499"/>
      <c r="O598" s="499"/>
      <c r="P598" s="499"/>
      <c r="Q598" s="499"/>
      <c r="R598" s="499"/>
      <c r="S598" s="499"/>
      <c r="T598" s="499"/>
      <c r="U598" s="499"/>
      <c r="V598" s="499"/>
      <c r="W598" s="499"/>
      <c r="X598" s="499"/>
      <c r="Y598" s="499"/>
      <c r="Z598" s="499"/>
      <c r="AA598" s="499"/>
      <c r="AB598" s="499"/>
      <c r="AC598" s="499"/>
      <c r="AD598" s="499"/>
      <c r="AE598" s="499"/>
      <c r="AF598" s="499"/>
      <c r="AG598" s="499"/>
      <c r="AH598" s="499"/>
      <c r="AI598" s="499"/>
      <c r="AJ598" s="499"/>
      <c r="AK598" s="499"/>
      <c r="AL598" s="499"/>
      <c r="AM598" s="499"/>
      <c r="AN598" s="499"/>
      <c r="AO598" s="499"/>
      <c r="AP598" s="499"/>
      <c r="AQ598" s="499"/>
      <c r="AR598" s="499"/>
      <c r="AS598" s="499"/>
      <c r="AT598" s="499"/>
      <c r="AU598" s="499"/>
      <c r="AV598" s="461"/>
      <c r="AW598" s="461"/>
      <c r="AX598" s="461"/>
      <c r="AY598" s="461"/>
      <c r="AZ598" s="816"/>
      <c r="BA598" s="816"/>
      <c r="BB598" s="816"/>
      <c r="BC598" s="817">
        <v>2.65</v>
      </c>
      <c r="BD598" s="817">
        <v>2.75</v>
      </c>
      <c r="BE598" s="818">
        <v>2.78</v>
      </c>
      <c r="BF598" s="818">
        <v>2.78</v>
      </c>
      <c r="BG598" s="818">
        <v>2.78</v>
      </c>
      <c r="BH598" s="819">
        <v>2.78</v>
      </c>
      <c r="BI598" s="307"/>
      <c r="BJ598" s="307"/>
      <c r="BK598" s="307"/>
      <c r="BU598" s="40">
        <f t="shared" si="379"/>
        <v>0</v>
      </c>
      <c r="BV598" s="40">
        <f t="shared" ref="BV598:CD598" si="397">BU598</f>
        <v>0</v>
      </c>
      <c r="BW598" s="40">
        <f t="shared" si="397"/>
        <v>0</v>
      </c>
      <c r="BX598" s="40">
        <f t="shared" si="397"/>
        <v>0</v>
      </c>
      <c r="BY598" s="40">
        <f t="shared" si="397"/>
        <v>0</v>
      </c>
      <c r="BZ598" s="40">
        <f t="shared" si="397"/>
        <v>0</v>
      </c>
      <c r="CA598" s="40">
        <f t="shared" si="397"/>
        <v>0</v>
      </c>
      <c r="CB598" s="40">
        <f t="shared" si="397"/>
        <v>0</v>
      </c>
      <c r="CC598" s="40">
        <f t="shared" si="397"/>
        <v>0</v>
      </c>
      <c r="CD598" s="40">
        <f t="shared" si="397"/>
        <v>0</v>
      </c>
    </row>
    <row r="599" spans="2:91" s="25" customFormat="1">
      <c r="B599" s="250"/>
      <c r="C599" s="499"/>
      <c r="D599" s="499"/>
      <c r="E599" s="499"/>
      <c r="F599" s="499"/>
      <c r="G599" s="499"/>
      <c r="H599" s="499"/>
      <c r="I599" s="499"/>
      <c r="J599" s="499"/>
      <c r="K599" s="499"/>
      <c r="L599" s="499"/>
      <c r="M599" s="499"/>
      <c r="N599" s="499"/>
      <c r="O599" s="499"/>
      <c r="P599" s="499"/>
      <c r="Q599" s="499"/>
      <c r="R599" s="499"/>
      <c r="S599" s="499"/>
      <c r="T599" s="499"/>
      <c r="U599" s="499"/>
      <c r="V599" s="499"/>
      <c r="W599" s="499"/>
      <c r="X599" s="499"/>
      <c r="Y599" s="499"/>
      <c r="Z599" s="499"/>
      <c r="AA599" s="499"/>
      <c r="AB599" s="499"/>
      <c r="AC599" s="499"/>
      <c r="AD599" s="499"/>
      <c r="AE599" s="499"/>
      <c r="AF599" s="499"/>
      <c r="AG599" s="499"/>
      <c r="AH599" s="499"/>
      <c r="AI599" s="499"/>
      <c r="AJ599" s="499"/>
      <c r="AK599" s="499"/>
      <c r="AL599" s="499"/>
      <c r="AM599" s="499"/>
      <c r="AN599" s="499"/>
      <c r="AO599" s="499"/>
      <c r="AP599" s="499"/>
      <c r="AQ599" s="499"/>
      <c r="AR599" s="499"/>
      <c r="AS599" s="499"/>
      <c r="AT599" s="499"/>
      <c r="AU599" s="499"/>
      <c r="AV599" s="461"/>
      <c r="AW599" s="461"/>
      <c r="AX599" s="461"/>
      <c r="AY599" s="461"/>
      <c r="AZ599" s="816"/>
      <c r="BA599" s="816"/>
      <c r="BB599" s="816"/>
      <c r="BC599" s="817"/>
      <c r="BD599" s="817"/>
      <c r="BE599" s="818"/>
      <c r="BF599" s="818"/>
      <c r="BG599" s="818"/>
      <c r="BH599" s="819"/>
      <c r="BI599" s="307"/>
      <c r="BJ599" s="307"/>
      <c r="BK599" s="307"/>
      <c r="BU599" s="40">
        <f t="shared" si="379"/>
        <v>0</v>
      </c>
      <c r="BV599" s="40">
        <f t="shared" ref="BV599:CD599" si="398">BU599</f>
        <v>0</v>
      </c>
      <c r="BW599" s="40">
        <f t="shared" si="398"/>
        <v>0</v>
      </c>
      <c r="BX599" s="40">
        <f t="shared" si="398"/>
        <v>0</v>
      </c>
      <c r="BY599" s="40">
        <f t="shared" si="398"/>
        <v>0</v>
      </c>
      <c r="BZ599" s="40">
        <f t="shared" si="398"/>
        <v>0</v>
      </c>
      <c r="CA599" s="40">
        <f t="shared" si="398"/>
        <v>0</v>
      </c>
      <c r="CB599" s="40">
        <f t="shared" si="398"/>
        <v>0</v>
      </c>
      <c r="CC599" s="40">
        <f t="shared" si="398"/>
        <v>0</v>
      </c>
      <c r="CD599" s="40">
        <f t="shared" si="398"/>
        <v>0</v>
      </c>
    </row>
    <row r="600" spans="2:91" s="25" customFormat="1">
      <c r="B600" s="820"/>
      <c r="C600" s="499"/>
      <c r="D600" s="499"/>
      <c r="E600" s="499"/>
      <c r="F600" s="499"/>
      <c r="G600" s="499"/>
      <c r="H600" s="499"/>
      <c r="I600" s="499"/>
      <c r="J600" s="499"/>
      <c r="K600" s="499"/>
      <c r="L600" s="499"/>
      <c r="M600" s="499"/>
      <c r="N600" s="499"/>
      <c r="O600" s="499"/>
      <c r="P600" s="499"/>
      <c r="Q600" s="499"/>
      <c r="R600" s="499"/>
      <c r="S600" s="499"/>
      <c r="T600" s="499"/>
      <c r="U600" s="499"/>
      <c r="V600" s="499"/>
      <c r="W600" s="499"/>
      <c r="X600" s="499"/>
      <c r="Y600" s="499"/>
      <c r="Z600" s="499"/>
      <c r="AA600" s="499"/>
      <c r="AB600" s="499"/>
      <c r="AC600" s="499"/>
      <c r="AD600" s="499"/>
      <c r="AE600" s="499"/>
      <c r="AF600" s="499"/>
      <c r="AG600" s="499"/>
      <c r="AH600" s="499"/>
      <c r="AI600" s="499"/>
      <c r="AJ600" s="499"/>
      <c r="AK600" s="499"/>
      <c r="AL600" s="499"/>
      <c r="AM600" s="499"/>
      <c r="AN600" s="499"/>
      <c r="AO600" s="499"/>
      <c r="AP600" s="499"/>
      <c r="AQ600" s="499"/>
      <c r="AR600" s="499"/>
      <c r="AS600" s="499"/>
      <c r="AT600" s="499"/>
      <c r="AU600" s="499"/>
      <c r="AV600" s="461"/>
      <c r="AW600" s="461"/>
      <c r="AX600" s="461"/>
      <c r="AY600" s="461"/>
      <c r="AZ600" s="813"/>
      <c r="BA600" s="813"/>
      <c r="BB600" s="813"/>
      <c r="BC600" s="813"/>
      <c r="BD600" s="813"/>
      <c r="BE600" s="813"/>
      <c r="BF600" s="813"/>
      <c r="BG600" s="813"/>
      <c r="BH600" s="813"/>
      <c r="BI600" s="813"/>
      <c r="BJ600" s="307"/>
      <c r="BK600" s="307"/>
      <c r="BU600" s="40">
        <f t="shared" si="379"/>
        <v>0</v>
      </c>
      <c r="BV600" s="40">
        <f t="shared" ref="BV600:CD600" si="399">BU600</f>
        <v>0</v>
      </c>
      <c r="BW600" s="40">
        <f t="shared" si="399"/>
        <v>0</v>
      </c>
      <c r="BX600" s="40">
        <f t="shared" si="399"/>
        <v>0</v>
      </c>
      <c r="BY600" s="40">
        <f t="shared" si="399"/>
        <v>0</v>
      </c>
      <c r="BZ600" s="40">
        <f t="shared" si="399"/>
        <v>0</v>
      </c>
      <c r="CA600" s="40">
        <f t="shared" si="399"/>
        <v>0</v>
      </c>
      <c r="CB600" s="40">
        <f t="shared" si="399"/>
        <v>0</v>
      </c>
      <c r="CC600" s="40">
        <f t="shared" si="399"/>
        <v>0</v>
      </c>
      <c r="CD600" s="40">
        <f t="shared" si="399"/>
        <v>0</v>
      </c>
    </row>
    <row r="601" spans="2:91" s="25" customFormat="1">
      <c r="B601" s="798" t="s">
        <v>4082</v>
      </c>
      <c r="C601" s="499"/>
      <c r="D601" s="499"/>
      <c r="E601" s="499"/>
      <c r="F601" s="499"/>
      <c r="G601" s="499"/>
      <c r="H601" s="499"/>
      <c r="I601" s="499"/>
      <c r="J601" s="499"/>
      <c r="K601" s="499"/>
      <c r="L601" s="499"/>
      <c r="M601" s="499"/>
      <c r="N601" s="499"/>
      <c r="O601" s="499"/>
      <c r="P601" s="499"/>
      <c r="Q601" s="499"/>
      <c r="R601" s="499"/>
      <c r="S601" s="499"/>
      <c r="T601" s="499"/>
      <c r="U601" s="499"/>
      <c r="V601" s="499"/>
      <c r="W601" s="499"/>
      <c r="X601" s="499"/>
      <c r="Y601" s="499"/>
      <c r="Z601" s="499"/>
      <c r="AA601" s="499"/>
      <c r="AB601" s="499"/>
      <c r="AC601" s="499"/>
      <c r="AD601" s="499"/>
      <c r="AE601" s="499"/>
      <c r="AF601" s="499"/>
      <c r="AG601" s="499"/>
      <c r="AH601" s="499"/>
      <c r="AI601" s="499"/>
      <c r="AJ601" s="499"/>
      <c r="AK601" s="499"/>
      <c r="AL601" s="499"/>
      <c r="AM601" s="499"/>
      <c r="AN601" s="499"/>
      <c r="AO601" s="499"/>
      <c r="AP601" s="499"/>
      <c r="AQ601" s="499"/>
      <c r="AR601" s="499"/>
      <c r="AS601" s="499"/>
      <c r="AT601" s="499"/>
      <c r="AU601" s="499"/>
      <c r="AV601" s="461"/>
      <c r="AW601" s="461"/>
      <c r="AX601" s="461"/>
      <c r="AY601" s="461"/>
      <c r="AZ601" s="799">
        <v>2000</v>
      </c>
      <c r="BA601" s="799">
        <v>2001</v>
      </c>
      <c r="BB601" s="799">
        <v>2002</v>
      </c>
      <c r="BC601" s="799">
        <v>2003</v>
      </c>
      <c r="BD601" s="799">
        <v>2004</v>
      </c>
      <c r="BE601" s="799">
        <v>2005</v>
      </c>
      <c r="BF601" s="799">
        <v>2006</v>
      </c>
      <c r="BG601" s="799">
        <v>2007</v>
      </c>
      <c r="BH601" s="799">
        <v>2008</v>
      </c>
      <c r="BI601" s="799">
        <v>2009</v>
      </c>
      <c r="BJ601" s="307"/>
      <c r="BK601" s="307"/>
      <c r="BU601" s="40">
        <f t="shared" si="379"/>
        <v>0</v>
      </c>
      <c r="BV601" s="40">
        <f t="shared" ref="BV601:CD601" si="400">BU601</f>
        <v>0</v>
      </c>
      <c r="BW601" s="40">
        <f t="shared" si="400"/>
        <v>0</v>
      </c>
      <c r="BX601" s="40">
        <f t="shared" si="400"/>
        <v>0</v>
      </c>
      <c r="BY601" s="40">
        <f t="shared" si="400"/>
        <v>0</v>
      </c>
      <c r="BZ601" s="40">
        <f t="shared" si="400"/>
        <v>0</v>
      </c>
      <c r="CA601" s="40">
        <f t="shared" si="400"/>
        <v>0</v>
      </c>
      <c r="CB601" s="40">
        <f t="shared" si="400"/>
        <v>0</v>
      </c>
      <c r="CC601" s="40">
        <f t="shared" si="400"/>
        <v>0</v>
      </c>
      <c r="CD601" s="40">
        <f t="shared" si="400"/>
        <v>0</v>
      </c>
    </row>
    <row r="602" spans="2:91" s="25" customFormat="1">
      <c r="B602" s="821" t="s">
        <v>4083</v>
      </c>
      <c r="C602" s="499"/>
      <c r="D602" s="1" t="s">
        <v>1613</v>
      </c>
      <c r="E602" s="499"/>
      <c r="F602" s="499"/>
      <c r="G602" s="499"/>
      <c r="H602" s="499"/>
      <c r="I602" s="499"/>
      <c r="J602" s="499"/>
      <c r="K602" s="499"/>
      <c r="L602" s="499"/>
      <c r="M602" s="499"/>
      <c r="N602" s="499"/>
      <c r="O602" s="499"/>
      <c r="P602" s="499"/>
      <c r="Q602" s="499"/>
      <c r="R602" s="499"/>
      <c r="S602" s="499"/>
      <c r="T602" s="499"/>
      <c r="U602" s="499"/>
      <c r="V602" s="499"/>
      <c r="W602" s="499"/>
      <c r="X602" s="499"/>
      <c r="Y602" s="499"/>
      <c r="Z602" s="499"/>
      <c r="AA602" s="499"/>
      <c r="AB602" s="499"/>
      <c r="AC602" s="499"/>
      <c r="AD602" s="499"/>
      <c r="AE602" s="499"/>
      <c r="AF602" s="499"/>
      <c r="AG602" s="499"/>
      <c r="AH602" s="499"/>
      <c r="AI602" s="499"/>
      <c r="AJ602" s="499"/>
      <c r="AK602" s="499"/>
      <c r="AL602" s="499"/>
      <c r="AM602" s="499"/>
      <c r="AN602" s="499"/>
      <c r="AO602" s="499"/>
      <c r="AP602" s="499"/>
      <c r="AQ602" s="499"/>
      <c r="AR602" s="499"/>
      <c r="AS602" s="499"/>
      <c r="AT602" s="499"/>
      <c r="AU602" s="499"/>
      <c r="AV602" s="461"/>
      <c r="AW602" s="461"/>
      <c r="AX602" s="461"/>
      <c r="AY602" s="461"/>
      <c r="AZ602" s="460">
        <v>28.7</v>
      </c>
      <c r="BA602" s="460">
        <v>68.099999999999994</v>
      </c>
      <c r="BB602" s="460">
        <v>101.26120000000002</v>
      </c>
      <c r="BC602" s="460">
        <v>138.26216000000002</v>
      </c>
      <c r="BD602" s="460">
        <v>189.3</v>
      </c>
      <c r="BE602" s="461">
        <v>221.88409999999999</v>
      </c>
      <c r="BF602" s="461">
        <v>242.14675324675324</v>
      </c>
      <c r="BG602" s="462">
        <v>183.28100000000001</v>
      </c>
      <c r="BH602" s="463">
        <v>132.69399999999999</v>
      </c>
      <c r="BI602" s="464">
        <v>112.85899999999999</v>
      </c>
      <c r="BJ602" s="465">
        <v>221.6</v>
      </c>
      <c r="BK602" s="307">
        <v>209</v>
      </c>
      <c r="BL602" s="25">
        <v>304.3</v>
      </c>
      <c r="BM602" s="25">
        <v>411.8</v>
      </c>
      <c r="BN602" s="25">
        <v>720</v>
      </c>
      <c r="BO602" s="25">
        <f>357.2+243.6</f>
        <v>600.79999999999995</v>
      </c>
      <c r="BS602" s="25">
        <v>1236.4000000000001</v>
      </c>
      <c r="BU602" s="40">
        <f t="shared" si="379"/>
        <v>0</v>
      </c>
      <c r="BV602" s="40">
        <f t="shared" ref="BV602:CD602" si="401">BU602</f>
        <v>0</v>
      </c>
      <c r="BW602" s="40">
        <f t="shared" si="401"/>
        <v>0</v>
      </c>
      <c r="BX602" s="40">
        <f t="shared" si="401"/>
        <v>0</v>
      </c>
      <c r="BY602" s="40">
        <f t="shared" si="401"/>
        <v>0</v>
      </c>
      <c r="BZ602" s="40">
        <f t="shared" si="401"/>
        <v>0</v>
      </c>
      <c r="CA602" s="40">
        <f t="shared" si="401"/>
        <v>0</v>
      </c>
      <c r="CB602" s="40">
        <f t="shared" si="401"/>
        <v>0</v>
      </c>
      <c r="CC602" s="40">
        <f t="shared" si="401"/>
        <v>0</v>
      </c>
      <c r="CD602" s="40">
        <f t="shared" si="401"/>
        <v>0</v>
      </c>
      <c r="CM602" s="25">
        <v>221.6</v>
      </c>
    </row>
    <row r="603" spans="2:91" s="25" customFormat="1">
      <c r="B603" s="821" t="s">
        <v>1243</v>
      </c>
      <c r="C603" s="499"/>
      <c r="D603" s="499"/>
      <c r="E603" s="499"/>
      <c r="F603" s="499"/>
      <c r="G603" s="499"/>
      <c r="H603" s="499"/>
      <c r="I603" s="499"/>
      <c r="J603" s="499"/>
      <c r="K603" s="499"/>
      <c r="L603" s="499"/>
      <c r="M603" s="499"/>
      <c r="N603" s="499"/>
      <c r="O603" s="499"/>
      <c r="P603" s="499"/>
      <c r="Q603" s="499"/>
      <c r="R603" s="499"/>
      <c r="S603" s="499"/>
      <c r="T603" s="499"/>
      <c r="U603" s="499"/>
      <c r="V603" s="499"/>
      <c r="W603" s="499"/>
      <c r="X603" s="499"/>
      <c r="Y603" s="499"/>
      <c r="Z603" s="499"/>
      <c r="AA603" s="499"/>
      <c r="AB603" s="499"/>
      <c r="AC603" s="499"/>
      <c r="AD603" s="499"/>
      <c r="AE603" s="499"/>
      <c r="AF603" s="499"/>
      <c r="AG603" s="499"/>
      <c r="AH603" s="499"/>
      <c r="AI603" s="499"/>
      <c r="AJ603" s="499"/>
      <c r="AK603" s="499"/>
      <c r="AL603" s="499"/>
      <c r="AM603" s="499"/>
      <c r="AN603" s="499"/>
      <c r="AO603" s="499"/>
      <c r="AP603" s="499"/>
      <c r="AQ603" s="499"/>
      <c r="AR603" s="499"/>
      <c r="AS603" s="499"/>
      <c r="AT603" s="499"/>
      <c r="AU603" s="499"/>
      <c r="AV603" s="461"/>
      <c r="AW603" s="461"/>
      <c r="AX603" s="461"/>
      <c r="AY603" s="461"/>
      <c r="AZ603" s="460">
        <v>4.6965000000000002E-3</v>
      </c>
      <c r="BA603" s="460">
        <v>4.6370000000000005E-3</v>
      </c>
      <c r="BB603" s="460">
        <v>4.627E-3</v>
      </c>
      <c r="BC603" s="460">
        <v>5.0000000000000001E-3</v>
      </c>
      <c r="BD603" s="460">
        <v>5.0000000000000001E-3</v>
      </c>
      <c r="BE603" s="460">
        <v>5.0000000000000001E-3</v>
      </c>
      <c r="BF603" s="461">
        <v>2E-3</v>
      </c>
      <c r="BG603" s="461">
        <v>2E-3</v>
      </c>
      <c r="BH603" s="463">
        <v>0</v>
      </c>
      <c r="BI603" s="464">
        <v>0</v>
      </c>
      <c r="BJ603" s="465">
        <v>0</v>
      </c>
      <c r="BK603" s="307">
        <v>0</v>
      </c>
      <c r="BL603" s="25">
        <v>0</v>
      </c>
      <c r="BM603" s="25">
        <v>0</v>
      </c>
      <c r="BN603" s="25">
        <v>0</v>
      </c>
      <c r="BO603" s="25">
        <v>0</v>
      </c>
      <c r="BU603" s="40">
        <f t="shared" si="379"/>
        <v>0</v>
      </c>
      <c r="BV603" s="40">
        <f t="shared" ref="BV603:CD603" si="402">BU603</f>
        <v>0</v>
      </c>
      <c r="BW603" s="40">
        <f t="shared" si="402"/>
        <v>0</v>
      </c>
      <c r="BX603" s="40">
        <f t="shared" si="402"/>
        <v>0</v>
      </c>
      <c r="BY603" s="40">
        <f t="shared" si="402"/>
        <v>0</v>
      </c>
      <c r="BZ603" s="40">
        <f t="shared" si="402"/>
        <v>0</v>
      </c>
      <c r="CA603" s="40">
        <f t="shared" si="402"/>
        <v>0</v>
      </c>
      <c r="CB603" s="40">
        <f t="shared" si="402"/>
        <v>0</v>
      </c>
      <c r="CC603" s="40">
        <f t="shared" si="402"/>
        <v>0</v>
      </c>
      <c r="CD603" s="40">
        <f t="shared" si="402"/>
        <v>0</v>
      </c>
    </row>
    <row r="604" spans="2:91" s="25" customFormat="1">
      <c r="B604" s="821" t="s">
        <v>724</v>
      </c>
      <c r="C604" s="40"/>
      <c r="D604" s="1" t="s">
        <v>1613</v>
      </c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F604" s="40"/>
      <c r="AG604" s="40"/>
      <c r="AH604" s="40"/>
      <c r="AI604" s="40"/>
      <c r="AJ604" s="40"/>
      <c r="AK604" s="40"/>
      <c r="AL604" s="40"/>
      <c r="AM604" s="40"/>
      <c r="AN604" s="40"/>
      <c r="AO604" s="40"/>
      <c r="AP604" s="40"/>
      <c r="AQ604" s="40"/>
      <c r="AR604" s="40"/>
      <c r="AS604" s="40"/>
      <c r="AT604" s="40"/>
      <c r="AU604" s="40"/>
      <c r="AV604" s="464">
        <v>4.5</v>
      </c>
      <c r="AW604" s="464">
        <v>4.0999999999999996</v>
      </c>
      <c r="AX604" s="464">
        <v>3.8</v>
      </c>
      <c r="AY604" s="464"/>
      <c r="AZ604" s="466">
        <v>3.03714232411</v>
      </c>
      <c r="BA604" s="466">
        <v>2.4950000000000001</v>
      </c>
      <c r="BB604" s="466">
        <v>163.79179778151999</v>
      </c>
      <c r="BC604" s="466">
        <v>158.346</v>
      </c>
      <c r="BD604" s="466">
        <v>152.79</v>
      </c>
      <c r="BE604" s="464">
        <v>147.23400000000001</v>
      </c>
      <c r="BF604" s="464">
        <v>141.678</v>
      </c>
      <c r="BG604" s="464">
        <v>136.12200000000001</v>
      </c>
      <c r="BH604" s="463">
        <v>130.566</v>
      </c>
      <c r="BI604" s="464">
        <v>125.01</v>
      </c>
      <c r="BJ604" s="447">
        <v>119.45399999999999</v>
      </c>
      <c r="BK604" s="447">
        <v>113.898</v>
      </c>
      <c r="BL604" s="433">
        <v>108.3</v>
      </c>
      <c r="BM604" s="433">
        <v>102.8</v>
      </c>
      <c r="BN604" s="433">
        <v>97.2</v>
      </c>
      <c r="BO604" s="433">
        <v>2498.3000000000002</v>
      </c>
      <c r="BP604" s="467">
        <v>86.118000000000009</v>
      </c>
      <c r="BU604" s="40">
        <f t="shared" si="379"/>
        <v>0</v>
      </c>
      <c r="BV604" s="40">
        <f t="shared" ref="BV604:CD604" si="403">BU604</f>
        <v>0</v>
      </c>
      <c r="BW604" s="40">
        <f t="shared" si="403"/>
        <v>0</v>
      </c>
      <c r="BX604" s="40">
        <f t="shared" si="403"/>
        <v>0</v>
      </c>
      <c r="BY604" s="40">
        <f t="shared" si="403"/>
        <v>0</v>
      </c>
      <c r="BZ604" s="40">
        <f t="shared" si="403"/>
        <v>0</v>
      </c>
      <c r="CA604" s="40">
        <f t="shared" si="403"/>
        <v>0</v>
      </c>
      <c r="CB604" s="40">
        <f t="shared" si="403"/>
        <v>0</v>
      </c>
      <c r="CC604" s="40">
        <f t="shared" si="403"/>
        <v>0</v>
      </c>
      <c r="CD604" s="40">
        <f t="shared" si="403"/>
        <v>0</v>
      </c>
      <c r="CM604" s="433">
        <v>112</v>
      </c>
    </row>
    <row r="605" spans="2:91" s="25" customFormat="1">
      <c r="B605" s="821" t="s">
        <v>4304</v>
      </c>
      <c r="C605" s="1"/>
      <c r="D605" s="1" t="s">
        <v>1613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307"/>
      <c r="AW605" s="307"/>
      <c r="AX605" s="307"/>
      <c r="AY605" s="307"/>
      <c r="AZ605" s="460">
        <v>28.485099999999999</v>
      </c>
      <c r="BA605" s="460">
        <v>28.4</v>
      </c>
      <c r="BB605" s="460">
        <v>0</v>
      </c>
      <c r="BC605" s="460">
        <v>0</v>
      </c>
      <c r="BD605" s="460">
        <v>0</v>
      </c>
      <c r="BE605" s="307">
        <v>2.1150000000000002</v>
      </c>
      <c r="BF605" s="307">
        <v>9.9930000000000003</v>
      </c>
      <c r="BG605" s="307">
        <v>8.8710000000000004</v>
      </c>
      <c r="BH605" s="463">
        <v>7.7489999999999997</v>
      </c>
      <c r="BI605" s="464">
        <v>6.6269999999999998</v>
      </c>
      <c r="BJ605" s="465">
        <v>5.5049999999999999</v>
      </c>
      <c r="BK605" s="307">
        <v>5.2</v>
      </c>
      <c r="BL605" s="25">
        <v>4.3</v>
      </c>
      <c r="BM605" s="25">
        <v>51.6</v>
      </c>
      <c r="BN605" s="25">
        <v>104.5</v>
      </c>
      <c r="BO605" s="25">
        <v>112.6</v>
      </c>
      <c r="BU605" s="40">
        <f t="shared" si="379"/>
        <v>0</v>
      </c>
      <c r="BV605" s="40">
        <f t="shared" ref="BV605:CD605" si="404">BU605</f>
        <v>0</v>
      </c>
      <c r="BW605" s="40">
        <f t="shared" si="404"/>
        <v>0</v>
      </c>
      <c r="BX605" s="40">
        <f t="shared" si="404"/>
        <v>0</v>
      </c>
      <c r="BY605" s="40">
        <f t="shared" si="404"/>
        <v>0</v>
      </c>
      <c r="BZ605" s="40">
        <f t="shared" si="404"/>
        <v>0</v>
      </c>
      <c r="CA605" s="40">
        <f t="shared" si="404"/>
        <v>0</v>
      </c>
      <c r="CB605" s="40">
        <f t="shared" si="404"/>
        <v>0</v>
      </c>
      <c r="CC605" s="40">
        <f t="shared" si="404"/>
        <v>0</v>
      </c>
      <c r="CD605" s="40">
        <f t="shared" si="404"/>
        <v>0</v>
      </c>
      <c r="CM605" s="25">
        <v>5.0999999999999996</v>
      </c>
    </row>
    <row r="606" spans="2:91" s="25" customFormat="1">
      <c r="B606" s="821" t="s">
        <v>2105</v>
      </c>
      <c r="C606" s="1"/>
      <c r="D606" s="1" t="s">
        <v>1613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307"/>
      <c r="AW606" s="307"/>
      <c r="AX606" s="307"/>
      <c r="AY606" s="307"/>
      <c r="AZ606" s="460">
        <v>22.361999999999998</v>
      </c>
      <c r="BA606" s="460">
        <v>22.568999999999999</v>
      </c>
      <c r="BB606" s="460">
        <v>1.1101639999999999</v>
      </c>
      <c r="BC606" s="460">
        <v>0</v>
      </c>
      <c r="BD606" s="460">
        <v>24.858000000000001</v>
      </c>
      <c r="BE606" s="307">
        <v>52.4</v>
      </c>
      <c r="BF606" s="307">
        <v>72.7</v>
      </c>
      <c r="BG606" s="307">
        <v>84.1</v>
      </c>
      <c r="BH606" s="463">
        <v>92</v>
      </c>
      <c r="BI606" s="423">
        <v>141.1</v>
      </c>
      <c r="BJ606" s="465">
        <v>186</v>
      </c>
      <c r="BK606" s="307">
        <v>280.39999999999998</v>
      </c>
      <c r="BL606" s="25">
        <v>313.7</v>
      </c>
      <c r="BM606" s="25">
        <v>235.2</v>
      </c>
      <c r="BN606" s="25">
        <v>169.8</v>
      </c>
      <c r="BO606" s="25">
        <v>239.5</v>
      </c>
      <c r="BU606" s="40">
        <f t="shared" si="379"/>
        <v>0</v>
      </c>
      <c r="BV606" s="40">
        <f t="shared" ref="BV606:CD606" si="405">BU606</f>
        <v>0</v>
      </c>
      <c r="BW606" s="40">
        <f t="shared" si="405"/>
        <v>0</v>
      </c>
      <c r="BX606" s="40">
        <f t="shared" si="405"/>
        <v>0</v>
      </c>
      <c r="BY606" s="40">
        <f t="shared" si="405"/>
        <v>0</v>
      </c>
      <c r="BZ606" s="40">
        <f t="shared" si="405"/>
        <v>0</v>
      </c>
      <c r="CA606" s="40">
        <f t="shared" si="405"/>
        <v>0</v>
      </c>
      <c r="CB606" s="40">
        <f t="shared" si="405"/>
        <v>0</v>
      </c>
      <c r="CC606" s="40">
        <f t="shared" si="405"/>
        <v>0</v>
      </c>
      <c r="CD606" s="40">
        <f t="shared" si="405"/>
        <v>0</v>
      </c>
      <c r="CM606" s="25">
        <v>276.89999999999998</v>
      </c>
    </row>
    <row r="607" spans="2:91" s="25" customFormat="1">
      <c r="B607" s="25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307"/>
      <c r="AW607" s="307"/>
      <c r="AX607" s="307"/>
      <c r="AY607" s="307"/>
      <c r="AZ607" s="816"/>
      <c r="BA607" s="816"/>
      <c r="BB607" s="816"/>
      <c r="BC607" s="816"/>
      <c r="BD607" s="816"/>
      <c r="BE607" s="307"/>
      <c r="BF607" s="307"/>
      <c r="BG607" s="307"/>
      <c r="BH607" s="307"/>
      <c r="BI607" s="307"/>
      <c r="BJ607" s="307"/>
      <c r="BK607" s="307"/>
      <c r="BU607" s="40">
        <f t="shared" si="379"/>
        <v>0</v>
      </c>
      <c r="BV607" s="40">
        <f t="shared" ref="BV607:CD607" si="406">BU607</f>
        <v>0</v>
      </c>
      <c r="BW607" s="40">
        <f t="shared" si="406"/>
        <v>0</v>
      </c>
      <c r="BX607" s="40">
        <f t="shared" si="406"/>
        <v>0</v>
      </c>
      <c r="BY607" s="40">
        <f t="shared" si="406"/>
        <v>0</v>
      </c>
      <c r="BZ607" s="40">
        <f t="shared" si="406"/>
        <v>0</v>
      </c>
      <c r="CA607" s="40">
        <f t="shared" si="406"/>
        <v>0</v>
      </c>
      <c r="CB607" s="40">
        <f t="shared" si="406"/>
        <v>0</v>
      </c>
      <c r="CC607" s="40">
        <f t="shared" si="406"/>
        <v>0</v>
      </c>
      <c r="CD607" s="40">
        <f t="shared" si="406"/>
        <v>0</v>
      </c>
    </row>
    <row r="608" spans="2:91" s="25" customFormat="1">
      <c r="B608" s="82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307"/>
      <c r="AW608" s="307"/>
      <c r="AX608" s="307"/>
      <c r="AY608" s="307"/>
      <c r="AZ608" s="822" t="s">
        <v>4454</v>
      </c>
      <c r="BA608" s="822" t="s">
        <v>4454</v>
      </c>
      <c r="BB608" s="822" t="s">
        <v>4454</v>
      </c>
      <c r="BC608" s="822" t="s">
        <v>4454</v>
      </c>
      <c r="BD608" s="822" t="s">
        <v>4454</v>
      </c>
      <c r="BE608" s="307" t="s">
        <v>676</v>
      </c>
      <c r="BF608" s="307" t="s">
        <v>676</v>
      </c>
      <c r="BG608" s="307"/>
      <c r="BH608" s="307"/>
      <c r="BI608" s="307"/>
      <c r="BJ608" s="307"/>
      <c r="BK608" s="307"/>
      <c r="BU608" s="40">
        <f t="shared" si="379"/>
        <v>0</v>
      </c>
      <c r="BV608" s="40">
        <f t="shared" ref="BV608:CD608" si="407">BU608</f>
        <v>0</v>
      </c>
      <c r="BW608" s="40">
        <f t="shared" si="407"/>
        <v>0</v>
      </c>
      <c r="BX608" s="40">
        <f t="shared" si="407"/>
        <v>0</v>
      </c>
      <c r="BY608" s="40">
        <f t="shared" si="407"/>
        <v>0</v>
      </c>
      <c r="BZ608" s="40">
        <f t="shared" si="407"/>
        <v>0</v>
      </c>
      <c r="CA608" s="40">
        <f t="shared" si="407"/>
        <v>0</v>
      </c>
      <c r="CB608" s="40">
        <f t="shared" si="407"/>
        <v>0</v>
      </c>
      <c r="CC608" s="40">
        <f t="shared" si="407"/>
        <v>0</v>
      </c>
      <c r="CD608" s="40">
        <f t="shared" si="407"/>
        <v>0</v>
      </c>
    </row>
    <row r="609" spans="2:82" s="25" customFormat="1">
      <c r="B609" s="798" t="s">
        <v>1465</v>
      </c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307"/>
      <c r="AW609" s="307"/>
      <c r="AX609" s="307"/>
      <c r="AY609" s="307"/>
      <c r="AZ609" s="799">
        <v>2000</v>
      </c>
      <c r="BA609" s="799">
        <v>2001</v>
      </c>
      <c r="BB609" s="799">
        <v>2002</v>
      </c>
      <c r="BC609" s="799">
        <v>2003</v>
      </c>
      <c r="BD609" s="799">
        <v>2004</v>
      </c>
      <c r="BE609" s="799">
        <v>2005</v>
      </c>
      <c r="BF609" s="799">
        <v>2006</v>
      </c>
      <c r="BG609" s="799">
        <v>2007</v>
      </c>
      <c r="BH609" s="799">
        <v>2008</v>
      </c>
      <c r="BI609" s="799">
        <v>2009</v>
      </c>
      <c r="BJ609" s="459">
        <v>2010</v>
      </c>
      <c r="BK609" s="307"/>
      <c r="BU609" s="40">
        <f t="shared" si="379"/>
        <v>0</v>
      </c>
      <c r="BV609" s="40">
        <f t="shared" ref="BV609:CD609" si="408">BU609</f>
        <v>0</v>
      </c>
      <c r="BW609" s="40">
        <f t="shared" si="408"/>
        <v>0</v>
      </c>
      <c r="BX609" s="40">
        <f t="shared" si="408"/>
        <v>0</v>
      </c>
      <c r="BY609" s="40">
        <f t="shared" si="408"/>
        <v>0</v>
      </c>
      <c r="BZ609" s="40">
        <f t="shared" si="408"/>
        <v>0</v>
      </c>
      <c r="CA609" s="40">
        <f t="shared" si="408"/>
        <v>0</v>
      </c>
      <c r="CB609" s="40">
        <f t="shared" si="408"/>
        <v>0</v>
      </c>
      <c r="CC609" s="40">
        <f t="shared" si="408"/>
        <v>0</v>
      </c>
      <c r="CD609" s="40">
        <f t="shared" si="408"/>
        <v>0</v>
      </c>
    </row>
    <row r="610" spans="2:82" s="25" customFormat="1">
      <c r="B610" s="823" t="s">
        <v>3683</v>
      </c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307"/>
      <c r="AW610" s="307"/>
      <c r="AX610" s="307"/>
      <c r="AY610" s="307"/>
      <c r="AZ610" s="824">
        <v>45.878</v>
      </c>
      <c r="BA610" s="813">
        <v>125.43300000000001</v>
      </c>
      <c r="BB610" s="825">
        <v>20.120999999999999</v>
      </c>
      <c r="BC610" s="813">
        <v>15.125</v>
      </c>
      <c r="BD610" s="826">
        <v>0</v>
      </c>
      <c r="BE610" s="307">
        <v>31.739000000000001</v>
      </c>
      <c r="BF610" s="307">
        <v>17.826000000000001</v>
      </c>
      <c r="BG610" s="307">
        <v>30.085000000000001</v>
      </c>
      <c r="BH610" s="307"/>
      <c r="BI610" s="307"/>
      <c r="BJ610" s="307"/>
      <c r="BK610" s="307"/>
      <c r="BU610" s="40">
        <f t="shared" si="379"/>
        <v>0</v>
      </c>
      <c r="BV610" s="40">
        <f t="shared" ref="BV610:CD610" si="409">BU610</f>
        <v>0</v>
      </c>
      <c r="BW610" s="40">
        <f t="shared" si="409"/>
        <v>0</v>
      </c>
      <c r="BX610" s="40">
        <f t="shared" si="409"/>
        <v>0</v>
      </c>
      <c r="BY610" s="40">
        <f t="shared" si="409"/>
        <v>0</v>
      </c>
      <c r="BZ610" s="40">
        <f t="shared" si="409"/>
        <v>0</v>
      </c>
      <c r="CA610" s="40">
        <f t="shared" si="409"/>
        <v>0</v>
      </c>
      <c r="CB610" s="40">
        <f t="shared" si="409"/>
        <v>0</v>
      </c>
      <c r="CC610" s="40">
        <f t="shared" si="409"/>
        <v>0</v>
      </c>
      <c r="CD610" s="40">
        <f t="shared" si="409"/>
        <v>0</v>
      </c>
    </row>
    <row r="611" spans="2:82" s="25" customFormat="1">
      <c r="B611" s="82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307"/>
      <c r="AW611" s="307"/>
      <c r="AX611" s="307"/>
      <c r="AY611" s="307"/>
      <c r="AZ611" s="828"/>
      <c r="BA611" s="829"/>
      <c r="BB611" s="830"/>
      <c r="BC611" s="829"/>
      <c r="BD611" s="831"/>
      <c r="BE611" s="307"/>
      <c r="BF611" s="307"/>
      <c r="BG611" s="307"/>
      <c r="BH611" s="307"/>
      <c r="BI611" s="307"/>
      <c r="BJ611" s="307"/>
      <c r="BK611" s="307"/>
      <c r="BU611" s="40">
        <f t="shared" ref="BU611:BU674" si="410">BT611</f>
        <v>0</v>
      </c>
      <c r="BV611" s="40">
        <f>BU611</f>
        <v>0</v>
      </c>
      <c r="BW611" s="40">
        <f>BV611</f>
        <v>0</v>
      </c>
      <c r="BX611" s="40">
        <f t="shared" ref="BV611:CD626" si="411">BW611</f>
        <v>0</v>
      </c>
      <c r="BY611" s="40">
        <f t="shared" si="411"/>
        <v>0</v>
      </c>
      <c r="BZ611" s="40">
        <f t="shared" si="411"/>
        <v>0</v>
      </c>
      <c r="CA611" s="40">
        <f t="shared" si="411"/>
        <v>0</v>
      </c>
      <c r="CB611" s="40">
        <f t="shared" si="411"/>
        <v>0</v>
      </c>
      <c r="CC611" s="40">
        <f t="shared" si="411"/>
        <v>0</v>
      </c>
      <c r="CD611" s="40">
        <f t="shared" si="411"/>
        <v>0</v>
      </c>
    </row>
    <row r="612" spans="2:82" s="25" customFormat="1">
      <c r="B612" s="82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307"/>
      <c r="AW612" s="307"/>
      <c r="AX612" s="307"/>
      <c r="AY612" s="307"/>
      <c r="AZ612" s="535"/>
      <c r="BA612" s="535"/>
      <c r="BB612" s="535"/>
      <c r="BC612" s="535"/>
      <c r="BD612" s="535"/>
      <c r="BE612" s="307"/>
      <c r="BF612" s="307"/>
      <c r="BG612" s="307"/>
      <c r="BH612" s="307"/>
      <c r="BI612" s="307"/>
      <c r="BJ612" s="307"/>
      <c r="BK612" s="307"/>
      <c r="BU612" s="40">
        <f t="shared" si="410"/>
        <v>0</v>
      </c>
      <c r="BV612" s="40">
        <f t="shared" si="411"/>
        <v>0</v>
      </c>
      <c r="BW612" s="40">
        <f t="shared" si="411"/>
        <v>0</v>
      </c>
      <c r="BX612" s="40">
        <f t="shared" si="411"/>
        <v>0</v>
      </c>
      <c r="BY612" s="40">
        <f t="shared" si="411"/>
        <v>0</v>
      </c>
      <c r="BZ612" s="40">
        <f t="shared" si="411"/>
        <v>0</v>
      </c>
      <c r="CA612" s="40">
        <f t="shared" si="411"/>
        <v>0</v>
      </c>
      <c r="CB612" s="40">
        <f t="shared" si="411"/>
        <v>0</v>
      </c>
      <c r="CC612" s="40">
        <f t="shared" si="411"/>
        <v>0</v>
      </c>
      <c r="CD612" s="40">
        <f t="shared" si="411"/>
        <v>0</v>
      </c>
    </row>
    <row r="613" spans="2:82" s="25" customFormat="1">
      <c r="B613" s="798" t="s">
        <v>3684</v>
      </c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307"/>
      <c r="AW613" s="307"/>
      <c r="AX613" s="307"/>
      <c r="AY613" s="307"/>
      <c r="AZ613" s="535"/>
      <c r="BA613" s="535"/>
      <c r="BB613" s="535"/>
      <c r="BC613" s="535"/>
      <c r="BD613" s="535"/>
      <c r="BE613" s="307"/>
      <c r="BF613" s="307"/>
      <c r="BG613" s="307"/>
      <c r="BH613" s="307"/>
      <c r="BI613" s="307"/>
      <c r="BJ613" s="307"/>
      <c r="BK613" s="307"/>
      <c r="BU613" s="40">
        <f t="shared" si="410"/>
        <v>0</v>
      </c>
      <c r="BV613" s="40">
        <f t="shared" si="411"/>
        <v>0</v>
      </c>
      <c r="BW613" s="40">
        <f t="shared" si="411"/>
        <v>0</v>
      </c>
      <c r="BX613" s="40">
        <f t="shared" si="411"/>
        <v>0</v>
      </c>
      <c r="BY613" s="40">
        <f t="shared" si="411"/>
        <v>0</v>
      </c>
      <c r="BZ613" s="40">
        <f t="shared" si="411"/>
        <v>0</v>
      </c>
      <c r="CA613" s="40">
        <f t="shared" si="411"/>
        <v>0</v>
      </c>
      <c r="CB613" s="40">
        <f t="shared" si="411"/>
        <v>0</v>
      </c>
      <c r="CC613" s="40">
        <f t="shared" si="411"/>
        <v>0</v>
      </c>
      <c r="CD613" s="40">
        <f t="shared" si="411"/>
        <v>0</v>
      </c>
    </row>
    <row r="614" spans="2:82" s="25" customFormat="1">
      <c r="B614" s="798" t="s">
        <v>4100</v>
      </c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307"/>
      <c r="AW614" s="307"/>
      <c r="AX614" s="307"/>
      <c r="AY614" s="307"/>
      <c r="AZ614" s="535"/>
      <c r="BA614" s="535"/>
      <c r="BB614" s="535"/>
      <c r="BC614" s="535"/>
      <c r="BD614" s="535"/>
      <c r="BE614" s="307"/>
      <c r="BF614" s="307"/>
      <c r="BG614" s="307"/>
      <c r="BH614" s="307"/>
      <c r="BI614" s="307"/>
      <c r="BJ614" s="307"/>
      <c r="BK614" s="307"/>
      <c r="BU614" s="40">
        <f t="shared" si="410"/>
        <v>0</v>
      </c>
      <c r="BV614" s="40">
        <f t="shared" si="411"/>
        <v>0</v>
      </c>
      <c r="BW614" s="40">
        <f t="shared" si="411"/>
        <v>0</v>
      </c>
      <c r="BX614" s="40">
        <f t="shared" si="411"/>
        <v>0</v>
      </c>
      <c r="BY614" s="40">
        <f t="shared" si="411"/>
        <v>0</v>
      </c>
      <c r="BZ614" s="40">
        <f t="shared" si="411"/>
        <v>0</v>
      </c>
      <c r="CA614" s="40">
        <f t="shared" si="411"/>
        <v>0</v>
      </c>
      <c r="CB614" s="40">
        <f t="shared" si="411"/>
        <v>0</v>
      </c>
      <c r="CC614" s="40">
        <f t="shared" si="411"/>
        <v>0</v>
      </c>
      <c r="CD614" s="40">
        <f t="shared" si="411"/>
        <v>0</v>
      </c>
    </row>
    <row r="615" spans="2:82" s="25" customFormat="1">
      <c r="B615" s="832" t="s">
        <v>3470</v>
      </c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307"/>
      <c r="AW615" s="307"/>
      <c r="AX615" s="307"/>
      <c r="AY615" s="307"/>
      <c r="AZ615" s="833">
        <v>62.481000000000002</v>
      </c>
      <c r="BA615" s="833">
        <v>40.734999999999999</v>
      </c>
      <c r="BB615" s="833">
        <v>28.853000000000002</v>
      </c>
      <c r="BC615" s="833">
        <v>35.710999999999999</v>
      </c>
      <c r="BD615" s="833">
        <v>25.3</v>
      </c>
      <c r="BE615" s="307">
        <v>28.164000000000001</v>
      </c>
      <c r="BF615" s="307">
        <v>46.664000000000001</v>
      </c>
      <c r="BG615" s="307">
        <v>126.926</v>
      </c>
      <c r="BH615" s="307"/>
      <c r="BI615" s="307"/>
      <c r="BJ615" s="307">
        <v>16.827000000000002</v>
      </c>
      <c r="BK615" s="307"/>
      <c r="BU615" s="40">
        <f t="shared" si="410"/>
        <v>0</v>
      </c>
      <c r="BV615" s="40">
        <f t="shared" si="411"/>
        <v>0</v>
      </c>
      <c r="BW615" s="40">
        <f t="shared" si="411"/>
        <v>0</v>
      </c>
      <c r="BX615" s="40">
        <f t="shared" si="411"/>
        <v>0</v>
      </c>
      <c r="BY615" s="40">
        <f t="shared" si="411"/>
        <v>0</v>
      </c>
      <c r="BZ615" s="40">
        <f t="shared" si="411"/>
        <v>0</v>
      </c>
      <c r="CA615" s="40">
        <f t="shared" si="411"/>
        <v>0</v>
      </c>
      <c r="CB615" s="40">
        <f t="shared" si="411"/>
        <v>0</v>
      </c>
      <c r="CC615" s="40">
        <f t="shared" si="411"/>
        <v>0</v>
      </c>
      <c r="CD615" s="40">
        <f t="shared" si="411"/>
        <v>0</v>
      </c>
    </row>
    <row r="616" spans="2:82" s="25" customFormat="1">
      <c r="B616" s="832" t="s">
        <v>3471</v>
      </c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307"/>
      <c r="AW616" s="307"/>
      <c r="AX616" s="307"/>
      <c r="AY616" s="307"/>
      <c r="AZ616" s="834">
        <v>6.0739999999999998</v>
      </c>
      <c r="BA616" s="834">
        <v>13.824</v>
      </c>
      <c r="BB616" s="834">
        <v>10.832000000000001</v>
      </c>
      <c r="BC616" s="834">
        <v>11.3</v>
      </c>
      <c r="BD616" s="834">
        <v>10</v>
      </c>
      <c r="BE616" s="307">
        <v>8.7279999999999998</v>
      </c>
      <c r="BF616" s="307">
        <v>10.725</v>
      </c>
      <c r="BG616" s="307">
        <v>13.678000000000001</v>
      </c>
      <c r="BH616" s="307"/>
      <c r="BI616" s="307"/>
      <c r="BJ616" s="307">
        <v>6.0759999999999996</v>
      </c>
      <c r="BK616" s="307"/>
      <c r="BU616" s="40">
        <f t="shared" si="410"/>
        <v>0</v>
      </c>
      <c r="BV616" s="40">
        <f t="shared" si="411"/>
        <v>0</v>
      </c>
      <c r="BW616" s="40">
        <f t="shared" si="411"/>
        <v>0</v>
      </c>
      <c r="BX616" s="40">
        <f t="shared" si="411"/>
        <v>0</v>
      </c>
      <c r="BY616" s="40">
        <f t="shared" si="411"/>
        <v>0</v>
      </c>
      <c r="BZ616" s="40">
        <f t="shared" si="411"/>
        <v>0</v>
      </c>
      <c r="CA616" s="40">
        <f t="shared" si="411"/>
        <v>0</v>
      </c>
      <c r="CB616" s="40">
        <f t="shared" si="411"/>
        <v>0</v>
      </c>
      <c r="CC616" s="40">
        <f t="shared" si="411"/>
        <v>0</v>
      </c>
      <c r="CD616" s="40">
        <f t="shared" si="411"/>
        <v>0</v>
      </c>
    </row>
    <row r="617" spans="2:82" s="25" customFormat="1">
      <c r="B617" s="835" t="s">
        <v>3472</v>
      </c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307"/>
      <c r="AW617" s="307"/>
      <c r="AX617" s="307"/>
      <c r="AY617" s="307"/>
      <c r="AZ617" s="834"/>
      <c r="BA617" s="834"/>
      <c r="BB617" s="834"/>
      <c r="BC617" s="834"/>
      <c r="BD617" s="834"/>
      <c r="BE617" s="307">
        <v>4.2839999999999998</v>
      </c>
      <c r="BF617" s="307">
        <v>0.318</v>
      </c>
      <c r="BG617" s="307">
        <v>2.0859999999999999</v>
      </c>
      <c r="BH617" s="307"/>
      <c r="BI617" s="307"/>
      <c r="BJ617" s="307">
        <v>0.92400000000000004</v>
      </c>
      <c r="BK617" s="307"/>
      <c r="BU617" s="40">
        <f t="shared" si="410"/>
        <v>0</v>
      </c>
      <c r="BV617" s="40">
        <f t="shared" si="411"/>
        <v>0</v>
      </c>
      <c r="BW617" s="40">
        <f t="shared" si="411"/>
        <v>0</v>
      </c>
      <c r="BX617" s="40">
        <f t="shared" si="411"/>
        <v>0</v>
      </c>
      <c r="BY617" s="40">
        <f t="shared" si="411"/>
        <v>0</v>
      </c>
      <c r="BZ617" s="40">
        <f t="shared" si="411"/>
        <v>0</v>
      </c>
      <c r="CA617" s="40">
        <f t="shared" si="411"/>
        <v>0</v>
      </c>
      <c r="CB617" s="40">
        <f t="shared" si="411"/>
        <v>0</v>
      </c>
      <c r="CC617" s="40">
        <f t="shared" si="411"/>
        <v>0</v>
      </c>
      <c r="CD617" s="40">
        <f t="shared" si="411"/>
        <v>0</v>
      </c>
    </row>
    <row r="618" spans="2:82">
      <c r="B618" s="250"/>
      <c r="AV618" s="285"/>
      <c r="AW618" s="285"/>
      <c r="AX618" s="285"/>
      <c r="AY618" s="285"/>
      <c r="AZ618" s="535"/>
      <c r="BA618" s="535"/>
      <c r="BB618" s="535"/>
      <c r="BC618" s="535"/>
      <c r="BD618" s="535"/>
      <c r="BE618" s="285"/>
      <c r="BH618" s="285"/>
      <c r="BI618" s="285"/>
      <c r="BJ618" s="285"/>
      <c r="BK618" s="285"/>
      <c r="BU618" s="40">
        <f t="shared" si="410"/>
        <v>0</v>
      </c>
      <c r="BV618" s="40">
        <f t="shared" si="411"/>
        <v>0</v>
      </c>
      <c r="BW618" s="40">
        <f t="shared" si="411"/>
        <v>0</v>
      </c>
      <c r="BX618" s="40">
        <f t="shared" si="411"/>
        <v>0</v>
      </c>
      <c r="BY618" s="40">
        <f t="shared" si="411"/>
        <v>0</v>
      </c>
      <c r="BZ618" s="40">
        <f t="shared" si="411"/>
        <v>0</v>
      </c>
      <c r="CA618" s="40">
        <f t="shared" si="411"/>
        <v>0</v>
      </c>
      <c r="CB618" s="40">
        <f t="shared" si="411"/>
        <v>0</v>
      </c>
      <c r="CC618" s="40">
        <f t="shared" si="411"/>
        <v>0</v>
      </c>
      <c r="CD618" s="40">
        <f t="shared" si="411"/>
        <v>0</v>
      </c>
    </row>
    <row r="619" spans="2:82">
      <c r="B619" s="798" t="s">
        <v>2777</v>
      </c>
      <c r="AV619" s="285"/>
      <c r="AW619" s="285"/>
      <c r="AX619" s="285"/>
      <c r="AY619" s="285"/>
      <c r="AZ619" s="535"/>
      <c r="BA619" s="535"/>
      <c r="BB619" s="535"/>
      <c r="BC619" s="535"/>
      <c r="BD619" s="535"/>
      <c r="BE619" s="285"/>
      <c r="BH619" s="285"/>
      <c r="BI619" s="285"/>
      <c r="BJ619" s="285"/>
      <c r="BK619" s="285"/>
      <c r="BU619" s="40">
        <f t="shared" si="410"/>
        <v>0</v>
      </c>
      <c r="BV619" s="40">
        <f t="shared" si="411"/>
        <v>0</v>
      </c>
      <c r="BW619" s="40">
        <f t="shared" si="411"/>
        <v>0</v>
      </c>
      <c r="BX619" s="40">
        <f t="shared" si="411"/>
        <v>0</v>
      </c>
      <c r="BY619" s="40">
        <f t="shared" si="411"/>
        <v>0</v>
      </c>
      <c r="BZ619" s="40">
        <f t="shared" si="411"/>
        <v>0</v>
      </c>
      <c r="CA619" s="40">
        <f t="shared" si="411"/>
        <v>0</v>
      </c>
      <c r="CB619" s="40">
        <f t="shared" si="411"/>
        <v>0</v>
      </c>
      <c r="CC619" s="40">
        <f t="shared" si="411"/>
        <v>0</v>
      </c>
      <c r="CD619" s="40">
        <f t="shared" si="411"/>
        <v>0</v>
      </c>
    </row>
    <row r="620" spans="2:82" s="25" customFormat="1">
      <c r="B620" s="804" t="s">
        <v>4155</v>
      </c>
      <c r="C620" s="25" t="s">
        <v>2359</v>
      </c>
      <c r="D620" s="25" t="s">
        <v>503</v>
      </c>
      <c r="AV620" s="307"/>
      <c r="AW620" s="307"/>
      <c r="AX620" s="307"/>
      <c r="AY620" s="307"/>
      <c r="AZ620" s="836">
        <v>0.36</v>
      </c>
      <c r="BA620" s="836">
        <v>26.045000000000002</v>
      </c>
      <c r="BB620" s="836">
        <v>3.1390000000000002</v>
      </c>
      <c r="BC620" s="836">
        <v>29.039000000000001</v>
      </c>
      <c r="BD620" s="836">
        <v>42.967764705882352</v>
      </c>
      <c r="BE620" s="307">
        <v>47.046999999999997</v>
      </c>
      <c r="BF620" s="307">
        <v>15.507</v>
      </c>
      <c r="BG620" s="307">
        <v>92.784999999999997</v>
      </c>
      <c r="BH620" s="307"/>
      <c r="BI620" s="307"/>
      <c r="BJ620" s="307"/>
      <c r="BK620" s="307"/>
      <c r="BU620" s="40">
        <f t="shared" si="410"/>
        <v>0</v>
      </c>
      <c r="BV620" s="40">
        <f t="shared" si="411"/>
        <v>0</v>
      </c>
      <c r="BW620" s="40">
        <f t="shared" si="411"/>
        <v>0</v>
      </c>
      <c r="BX620" s="40">
        <f t="shared" si="411"/>
        <v>0</v>
      </c>
      <c r="BY620" s="40">
        <f t="shared" si="411"/>
        <v>0</v>
      </c>
      <c r="BZ620" s="40">
        <f t="shared" si="411"/>
        <v>0</v>
      </c>
      <c r="CA620" s="40">
        <f t="shared" si="411"/>
        <v>0</v>
      </c>
      <c r="CB620" s="40">
        <f t="shared" si="411"/>
        <v>0</v>
      </c>
      <c r="CC620" s="40">
        <f t="shared" si="411"/>
        <v>0</v>
      </c>
      <c r="CD620" s="40">
        <f t="shared" si="411"/>
        <v>0</v>
      </c>
    </row>
    <row r="621" spans="2:82">
      <c r="B621" s="804" t="s">
        <v>4453</v>
      </c>
      <c r="C621" s="25" t="s">
        <v>2359</v>
      </c>
      <c r="D621" s="12" t="s">
        <v>2863</v>
      </c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801">
        <v>1996</v>
      </c>
      <c r="AW621" s="801">
        <v>1997</v>
      </c>
      <c r="AX621" s="801">
        <v>1998</v>
      </c>
      <c r="AY621" s="801">
        <v>1999</v>
      </c>
      <c r="AZ621" s="837">
        <v>0.32</v>
      </c>
      <c r="BA621" s="837">
        <v>6.8719999999999999</v>
      </c>
      <c r="BB621" s="837">
        <v>26.277000000000001</v>
      </c>
      <c r="BC621" s="837">
        <v>35.393999999999998</v>
      </c>
      <c r="BD621" s="837">
        <v>39.471080203949569</v>
      </c>
      <c r="BE621" s="812">
        <v>60.113</v>
      </c>
      <c r="BF621" s="812">
        <v>77.484999999999999</v>
      </c>
      <c r="BG621" s="812">
        <v>53.517000000000003</v>
      </c>
      <c r="BH621" s="812">
        <v>2008</v>
      </c>
      <c r="BI621" s="812">
        <v>2009</v>
      </c>
      <c r="BJ621" s="812">
        <v>2010</v>
      </c>
      <c r="BK621" s="812"/>
      <c r="BU621" s="40">
        <f t="shared" si="410"/>
        <v>0</v>
      </c>
      <c r="BV621" s="40">
        <f t="shared" si="411"/>
        <v>0</v>
      </c>
      <c r="BW621" s="40">
        <f t="shared" si="411"/>
        <v>0</v>
      </c>
      <c r="BX621" s="40">
        <f t="shared" si="411"/>
        <v>0</v>
      </c>
      <c r="BY621" s="40">
        <f t="shared" si="411"/>
        <v>0</v>
      </c>
      <c r="BZ621" s="40">
        <f t="shared" si="411"/>
        <v>0</v>
      </c>
      <c r="CA621" s="40">
        <f t="shared" si="411"/>
        <v>0</v>
      </c>
      <c r="CB621" s="40">
        <f t="shared" si="411"/>
        <v>0</v>
      </c>
      <c r="CC621" s="40">
        <f t="shared" si="411"/>
        <v>0</v>
      </c>
      <c r="CD621" s="40">
        <f t="shared" si="411"/>
        <v>0</v>
      </c>
    </row>
    <row r="622" spans="2:82">
      <c r="B622" s="820"/>
      <c r="C622" s="25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801"/>
      <c r="AW622" s="801"/>
      <c r="AX622" s="801"/>
      <c r="AY622" s="801"/>
      <c r="AZ622" s="811"/>
      <c r="BA622" s="811"/>
      <c r="BB622" s="811"/>
      <c r="BC622" s="811"/>
      <c r="BD622" s="811"/>
      <c r="BE622" s="812"/>
      <c r="BF622" s="812"/>
      <c r="BG622" s="812"/>
      <c r="BH622" s="812"/>
      <c r="BI622" s="812"/>
      <c r="BJ622" s="812"/>
      <c r="BK622" s="812"/>
      <c r="BU622" s="40">
        <f t="shared" si="410"/>
        <v>0</v>
      </c>
      <c r="BV622" s="40">
        <f t="shared" si="411"/>
        <v>0</v>
      </c>
      <c r="BW622" s="40">
        <f t="shared" si="411"/>
        <v>0</v>
      </c>
      <c r="BX622" s="40">
        <f t="shared" si="411"/>
        <v>0</v>
      </c>
      <c r="BY622" s="40">
        <f t="shared" si="411"/>
        <v>0</v>
      </c>
      <c r="BZ622" s="40">
        <f t="shared" si="411"/>
        <v>0</v>
      </c>
      <c r="CA622" s="40">
        <f t="shared" si="411"/>
        <v>0</v>
      </c>
      <c r="CB622" s="40">
        <f t="shared" si="411"/>
        <v>0</v>
      </c>
      <c r="CC622" s="40">
        <f t="shared" si="411"/>
        <v>0</v>
      </c>
      <c r="CD622" s="40">
        <f t="shared" si="411"/>
        <v>0</v>
      </c>
    </row>
    <row r="623" spans="2:82">
      <c r="B623" s="810"/>
      <c r="C623" s="25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801"/>
      <c r="AW623" s="801"/>
      <c r="AX623" s="801"/>
      <c r="AY623" s="801"/>
      <c r="AZ623" s="811"/>
      <c r="BA623" s="811"/>
      <c r="BB623" s="811"/>
      <c r="BC623" s="811"/>
      <c r="BD623" s="811"/>
      <c r="BE623" s="812"/>
      <c r="BF623" s="812"/>
      <c r="BG623" s="812"/>
      <c r="BH623" s="812"/>
      <c r="BI623" s="812"/>
      <c r="BJ623" s="812"/>
      <c r="BK623" s="812"/>
      <c r="BU623" s="40">
        <f t="shared" si="410"/>
        <v>0</v>
      </c>
      <c r="BV623" s="40">
        <f t="shared" si="411"/>
        <v>0</v>
      </c>
      <c r="BW623" s="40">
        <f t="shared" si="411"/>
        <v>0</v>
      </c>
      <c r="BX623" s="40">
        <f t="shared" si="411"/>
        <v>0</v>
      </c>
      <c r="BY623" s="40">
        <f t="shared" si="411"/>
        <v>0</v>
      </c>
      <c r="BZ623" s="40">
        <f t="shared" si="411"/>
        <v>0</v>
      </c>
      <c r="CA623" s="40">
        <f t="shared" si="411"/>
        <v>0</v>
      </c>
      <c r="CB623" s="40">
        <f t="shared" si="411"/>
        <v>0</v>
      </c>
      <c r="CC623" s="40">
        <f t="shared" si="411"/>
        <v>0</v>
      </c>
      <c r="CD623" s="40">
        <f t="shared" si="411"/>
        <v>0</v>
      </c>
    </row>
    <row r="624" spans="2:82">
      <c r="B624" s="810"/>
      <c r="C624" s="25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801"/>
      <c r="AW624" s="801"/>
      <c r="AX624" s="801"/>
      <c r="AY624" s="801"/>
      <c r="AZ624" s="811"/>
      <c r="BA624" s="811"/>
      <c r="BB624" s="811"/>
      <c r="BC624" s="811"/>
      <c r="BD624" s="811"/>
      <c r="BE624" s="812"/>
      <c r="BF624" s="812"/>
      <c r="BG624" s="812"/>
      <c r="BH624" s="812"/>
      <c r="BI624" s="812"/>
      <c r="BJ624" s="812"/>
      <c r="BK624" s="812"/>
      <c r="BU624" s="40">
        <f t="shared" si="410"/>
        <v>0</v>
      </c>
      <c r="BV624" s="40">
        <f t="shared" si="411"/>
        <v>0</v>
      </c>
      <c r="BW624" s="40">
        <f t="shared" si="411"/>
        <v>0</v>
      </c>
      <c r="BX624" s="40">
        <f t="shared" si="411"/>
        <v>0</v>
      </c>
      <c r="BY624" s="40">
        <f t="shared" si="411"/>
        <v>0</v>
      </c>
      <c r="BZ624" s="40">
        <f t="shared" si="411"/>
        <v>0</v>
      </c>
      <c r="CA624" s="40">
        <f t="shared" si="411"/>
        <v>0</v>
      </c>
      <c r="CB624" s="40">
        <f t="shared" si="411"/>
        <v>0</v>
      </c>
      <c r="CC624" s="40">
        <f t="shared" si="411"/>
        <v>0</v>
      </c>
      <c r="CD624" s="40">
        <f t="shared" si="411"/>
        <v>0</v>
      </c>
    </row>
    <row r="625" spans="2:91">
      <c r="B625" s="838" t="s">
        <v>821</v>
      </c>
      <c r="C625" s="40"/>
      <c r="D625" s="839"/>
      <c r="E625" s="839"/>
      <c r="F625" s="839"/>
      <c r="G625" s="839"/>
      <c r="H625" s="839"/>
      <c r="I625" s="839"/>
      <c r="J625" s="839"/>
      <c r="K625" s="839"/>
      <c r="L625" s="839"/>
      <c r="M625" s="839"/>
      <c r="N625" s="839"/>
      <c r="O625" s="839"/>
      <c r="P625" s="839"/>
      <c r="Q625" s="839"/>
      <c r="R625" s="839"/>
      <c r="S625" s="839"/>
      <c r="T625" s="839"/>
      <c r="U625" s="839"/>
      <c r="V625" s="839"/>
      <c r="W625" s="839"/>
      <c r="X625" s="839"/>
      <c r="Y625" s="839"/>
      <c r="Z625" s="839"/>
      <c r="AA625" s="839"/>
      <c r="AB625" s="839"/>
      <c r="AC625" s="839"/>
      <c r="AD625" s="839"/>
      <c r="AE625" s="839"/>
      <c r="AF625" s="839"/>
      <c r="AG625" s="839"/>
      <c r="AH625" s="839"/>
      <c r="AI625" s="839"/>
      <c r="AJ625" s="839"/>
      <c r="AK625" s="839"/>
      <c r="AL625" s="839"/>
      <c r="AM625" s="839"/>
      <c r="AN625" s="839"/>
      <c r="AO625" s="839"/>
      <c r="AP625" s="839"/>
      <c r="AQ625" s="839"/>
      <c r="AR625" s="839"/>
      <c r="AS625" s="839"/>
      <c r="AT625" s="839"/>
      <c r="AU625" s="839"/>
      <c r="AV625" s="809">
        <v>3.76</v>
      </c>
      <c r="AW625" s="809">
        <v>9.0106000000000002</v>
      </c>
      <c r="AX625" s="809">
        <v>6.9164000000000003</v>
      </c>
      <c r="AY625" s="809">
        <v>13.32</v>
      </c>
      <c r="AZ625" s="840">
        <v>38.160899999999998</v>
      </c>
      <c r="BA625" s="840">
        <f t="shared" ref="BA625:BO625" si="412">(BA602-AZ602)+(BA603-AZ603)+(BA605-AZ605)+(BA606-AZ606)</f>
        <v>39.521840499999989</v>
      </c>
      <c r="BB625" s="840">
        <f t="shared" si="412"/>
        <v>-16.697645999999978</v>
      </c>
      <c r="BC625" s="840">
        <f>(BC602-BB602)+(BC603-BB603)+(BC605-BB605)+(BC606-BB606)</f>
        <v>35.891169000000012</v>
      </c>
      <c r="BD625" s="840">
        <f t="shared" si="412"/>
        <v>75.895839999999993</v>
      </c>
      <c r="BE625" s="840">
        <f t="shared" si="412"/>
        <v>62.241099999999975</v>
      </c>
      <c r="BF625" s="840">
        <f t="shared" si="412"/>
        <v>48.43765324675325</v>
      </c>
      <c r="BG625" s="840">
        <f t="shared" si="412"/>
        <v>-48.587753246753238</v>
      </c>
      <c r="BH625" s="840">
        <f t="shared" si="412"/>
        <v>-43.811000000000014</v>
      </c>
      <c r="BI625" s="840">
        <f t="shared" si="412"/>
        <v>28.143000000000001</v>
      </c>
      <c r="BJ625" s="840">
        <f t="shared" si="412"/>
        <v>152.51900000000001</v>
      </c>
      <c r="BK625" s="840">
        <f t="shared" si="412"/>
        <v>81.494999999999976</v>
      </c>
      <c r="BL625" s="840">
        <f t="shared" si="412"/>
        <v>127.70000000000002</v>
      </c>
      <c r="BM625" s="840">
        <f t="shared" si="412"/>
        <v>76.300000000000011</v>
      </c>
      <c r="BN625" s="840">
        <f t="shared" si="412"/>
        <v>295.7</v>
      </c>
      <c r="BO625" s="840">
        <f t="shared" si="412"/>
        <v>-41.400000000000063</v>
      </c>
      <c r="BP625" s="467">
        <v>153.697</v>
      </c>
      <c r="BU625" s="40">
        <f t="shared" si="410"/>
        <v>0</v>
      </c>
      <c r="BV625" s="40">
        <f t="shared" si="411"/>
        <v>0</v>
      </c>
      <c r="BW625" s="40">
        <f t="shared" si="411"/>
        <v>0</v>
      </c>
      <c r="BX625" s="40">
        <f t="shared" si="411"/>
        <v>0</v>
      </c>
      <c r="BY625" s="40">
        <f t="shared" si="411"/>
        <v>0</v>
      </c>
      <c r="BZ625" s="40">
        <f t="shared" si="411"/>
        <v>0</v>
      </c>
      <c r="CA625" s="40">
        <f t="shared" si="411"/>
        <v>0</v>
      </c>
      <c r="CB625" s="40">
        <f t="shared" si="411"/>
        <v>0</v>
      </c>
      <c r="CC625" s="40">
        <f t="shared" si="411"/>
        <v>0</v>
      </c>
      <c r="CD625" s="40">
        <f t="shared" si="411"/>
        <v>0</v>
      </c>
      <c r="CM625" s="840">
        <f>(CM602-CL602)+(CM603-CL603)+(CM605-CL605)+(CM606-CL606)</f>
        <v>503.59999999999997</v>
      </c>
    </row>
    <row r="626" spans="2:91">
      <c r="B626" s="810"/>
      <c r="C626" s="25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801"/>
      <c r="AW626" s="801"/>
      <c r="AX626" s="801"/>
      <c r="AY626" s="801"/>
      <c r="AZ626" s="811"/>
      <c r="BA626" s="811"/>
      <c r="BB626" s="811"/>
      <c r="BC626" s="811"/>
      <c r="BD626" s="811"/>
      <c r="BE626" s="812"/>
      <c r="BF626" s="812"/>
      <c r="BG626" s="812"/>
      <c r="BH626" s="812"/>
      <c r="BI626" s="812"/>
      <c r="BJ626" s="812"/>
      <c r="BK626" s="812"/>
      <c r="BU626" s="40">
        <f t="shared" si="410"/>
        <v>0</v>
      </c>
      <c r="BV626" s="40">
        <f t="shared" si="411"/>
        <v>0</v>
      </c>
      <c r="BW626" s="40">
        <f t="shared" si="411"/>
        <v>0</v>
      </c>
      <c r="BX626" s="40">
        <f t="shared" si="411"/>
        <v>0</v>
      </c>
      <c r="BY626" s="40">
        <f t="shared" si="411"/>
        <v>0</v>
      </c>
      <c r="BZ626" s="40">
        <f t="shared" si="411"/>
        <v>0</v>
      </c>
      <c r="CA626" s="40">
        <f t="shared" si="411"/>
        <v>0</v>
      </c>
      <c r="CB626" s="40">
        <f t="shared" si="411"/>
        <v>0</v>
      </c>
      <c r="CC626" s="40">
        <f t="shared" si="411"/>
        <v>0</v>
      </c>
      <c r="CD626" s="40">
        <f t="shared" si="411"/>
        <v>0</v>
      </c>
    </row>
    <row r="627" spans="2:91">
      <c r="B627" s="810"/>
      <c r="C627" s="25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801"/>
      <c r="AW627" s="801"/>
      <c r="AX627" s="801"/>
      <c r="AY627" s="801"/>
      <c r="AZ627" s="811"/>
      <c r="BA627" s="811"/>
      <c r="BB627" s="811"/>
      <c r="BC627" s="811"/>
      <c r="BD627" s="811"/>
      <c r="BE627" s="812"/>
      <c r="BF627" s="812"/>
      <c r="BG627" s="812"/>
      <c r="BH627" s="812"/>
      <c r="BI627" s="812"/>
      <c r="BJ627" s="812"/>
      <c r="BK627" s="812"/>
      <c r="BU627" s="40">
        <f t="shared" si="410"/>
        <v>0</v>
      </c>
      <c r="BV627" s="40">
        <f t="shared" ref="BV627:CD642" si="413">BU627</f>
        <v>0</v>
      </c>
      <c r="BW627" s="40">
        <f t="shared" si="413"/>
        <v>0</v>
      </c>
      <c r="BX627" s="40">
        <f t="shared" si="413"/>
        <v>0</v>
      </c>
      <c r="BY627" s="40">
        <f t="shared" si="413"/>
        <v>0</v>
      </c>
      <c r="BZ627" s="40">
        <f t="shared" si="413"/>
        <v>0</v>
      </c>
      <c r="CA627" s="40">
        <f t="shared" si="413"/>
        <v>0</v>
      </c>
      <c r="CB627" s="40">
        <f t="shared" si="413"/>
        <v>0</v>
      </c>
      <c r="CC627" s="40">
        <f t="shared" si="413"/>
        <v>0</v>
      </c>
      <c r="CD627" s="40">
        <f t="shared" si="413"/>
        <v>0</v>
      </c>
    </row>
    <row r="628" spans="2:91" s="410" customFormat="1" ht="27">
      <c r="B628" s="841" t="s">
        <v>2683</v>
      </c>
      <c r="D628" s="410" t="s">
        <v>503</v>
      </c>
      <c r="AV628" s="465"/>
      <c r="AW628" s="465"/>
      <c r="AX628" s="465"/>
      <c r="AY628" s="465"/>
      <c r="AZ628" s="465"/>
      <c r="BA628" s="465"/>
      <c r="BB628" s="465"/>
      <c r="BC628" s="465"/>
      <c r="BD628" s="465"/>
      <c r="BE628" s="465"/>
      <c r="BF628" s="465"/>
      <c r="BG628" s="465"/>
      <c r="BH628" s="465"/>
      <c r="BI628" s="465"/>
      <c r="BJ628" s="465"/>
      <c r="BK628" s="465"/>
      <c r="BU628" s="40">
        <f t="shared" si="410"/>
        <v>0</v>
      </c>
      <c r="BV628" s="40">
        <f t="shared" si="413"/>
        <v>0</v>
      </c>
      <c r="BW628" s="40">
        <f t="shared" si="413"/>
        <v>0</v>
      </c>
      <c r="BX628" s="40">
        <f t="shared" si="413"/>
        <v>0</v>
      </c>
      <c r="BY628" s="40">
        <f t="shared" si="413"/>
        <v>0</v>
      </c>
      <c r="BZ628" s="40">
        <f t="shared" si="413"/>
        <v>0</v>
      </c>
      <c r="CA628" s="40">
        <f t="shared" si="413"/>
        <v>0</v>
      </c>
      <c r="CB628" s="40">
        <f t="shared" si="413"/>
        <v>0</v>
      </c>
      <c r="CC628" s="40">
        <f t="shared" si="413"/>
        <v>0</v>
      </c>
      <c r="CD628" s="40">
        <f t="shared" si="413"/>
        <v>0</v>
      </c>
    </row>
    <row r="629" spans="2:91">
      <c r="B629" s="99"/>
      <c r="C629" s="25" t="s">
        <v>2359</v>
      </c>
      <c r="D629" s="12" t="s">
        <v>2863</v>
      </c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801">
        <v>1996</v>
      </c>
      <c r="AW629" s="801">
        <v>1997</v>
      </c>
      <c r="AX629" s="801">
        <v>1998</v>
      </c>
      <c r="AY629" s="801">
        <v>1999</v>
      </c>
      <c r="AZ629" s="801">
        <v>2000</v>
      </c>
      <c r="BA629" s="812">
        <v>2001</v>
      </c>
      <c r="BB629" s="812">
        <v>2002</v>
      </c>
      <c r="BC629" s="812">
        <v>2003</v>
      </c>
      <c r="BD629" s="812">
        <v>2004</v>
      </c>
      <c r="BE629" s="812">
        <v>2005</v>
      </c>
      <c r="BF629" s="812">
        <v>2006</v>
      </c>
      <c r="BG629" s="812">
        <v>2007</v>
      </c>
      <c r="BH629" s="812">
        <v>2008</v>
      </c>
      <c r="BI629" s="812">
        <v>2009</v>
      </c>
      <c r="BJ629" s="812">
        <v>2010</v>
      </c>
      <c r="BK629" s="812">
        <v>2011</v>
      </c>
      <c r="BL629" s="812">
        <v>2012</v>
      </c>
      <c r="BU629" s="40">
        <f t="shared" si="410"/>
        <v>0</v>
      </c>
      <c r="BV629" s="40">
        <f t="shared" si="413"/>
        <v>0</v>
      </c>
      <c r="BW629" s="40">
        <f t="shared" si="413"/>
        <v>0</v>
      </c>
      <c r="BX629" s="40">
        <f t="shared" si="413"/>
        <v>0</v>
      </c>
      <c r="BY629" s="40">
        <f t="shared" si="413"/>
        <v>0</v>
      </c>
      <c r="BZ629" s="40">
        <f t="shared" si="413"/>
        <v>0</v>
      </c>
      <c r="CA629" s="40">
        <f t="shared" si="413"/>
        <v>0</v>
      </c>
      <c r="CB629" s="40">
        <f t="shared" si="413"/>
        <v>0</v>
      </c>
      <c r="CC629" s="40">
        <f t="shared" si="413"/>
        <v>0</v>
      </c>
      <c r="CD629" s="40">
        <f t="shared" si="413"/>
        <v>0</v>
      </c>
    </row>
    <row r="630" spans="2:91">
      <c r="B630" s="661" t="s">
        <v>520</v>
      </c>
      <c r="C630" s="25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801"/>
      <c r="AW630" s="801"/>
      <c r="AX630" s="801"/>
      <c r="AY630" s="801"/>
      <c r="AZ630" s="801"/>
      <c r="BA630" s="812"/>
      <c r="BB630" s="812"/>
      <c r="BC630" s="812"/>
      <c r="BD630" s="812"/>
      <c r="BE630" s="812"/>
      <c r="BF630" s="812"/>
      <c r="BG630" s="812"/>
      <c r="BH630" s="812"/>
      <c r="BI630" s="812"/>
      <c r="BJ630" s="812"/>
      <c r="BK630" s="812"/>
      <c r="BU630" s="40">
        <f t="shared" si="410"/>
        <v>0</v>
      </c>
      <c r="BV630" s="40">
        <f t="shared" si="413"/>
        <v>0</v>
      </c>
      <c r="BW630" s="40">
        <f t="shared" si="413"/>
        <v>0</v>
      </c>
      <c r="BX630" s="40">
        <f t="shared" si="413"/>
        <v>0</v>
      </c>
      <c r="BY630" s="40">
        <f t="shared" si="413"/>
        <v>0</v>
      </c>
      <c r="BZ630" s="40">
        <f t="shared" si="413"/>
        <v>0</v>
      </c>
      <c r="CA630" s="40">
        <f t="shared" si="413"/>
        <v>0</v>
      </c>
      <c r="CB630" s="40">
        <f t="shared" si="413"/>
        <v>0</v>
      </c>
      <c r="CC630" s="40">
        <f t="shared" si="413"/>
        <v>0</v>
      </c>
      <c r="CD630" s="40">
        <f t="shared" si="413"/>
        <v>0</v>
      </c>
    </row>
    <row r="631" spans="2:91">
      <c r="B631" s="340" t="s">
        <v>1358</v>
      </c>
      <c r="C631" s="25" t="s">
        <v>2359</v>
      </c>
      <c r="D631" s="12" t="s">
        <v>1224</v>
      </c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307"/>
      <c r="AW631" s="709"/>
      <c r="AX631" s="709"/>
      <c r="AY631" s="709"/>
      <c r="AZ631" s="709"/>
      <c r="BA631" s="709"/>
      <c r="BB631" s="842"/>
      <c r="BC631" s="842"/>
      <c r="BD631" s="842"/>
      <c r="BE631" s="842"/>
      <c r="BF631" s="842"/>
      <c r="BH631" s="285"/>
      <c r="BI631" s="285"/>
      <c r="BJ631" s="285"/>
      <c r="BK631" s="285"/>
      <c r="BU631" s="40">
        <f t="shared" si="410"/>
        <v>0</v>
      </c>
      <c r="BV631" s="40">
        <f t="shared" si="413"/>
        <v>0</v>
      </c>
      <c r="BW631" s="40">
        <f t="shared" si="413"/>
        <v>0</v>
      </c>
      <c r="BX631" s="40">
        <f t="shared" si="413"/>
        <v>0</v>
      </c>
      <c r="BY631" s="40">
        <f t="shared" si="413"/>
        <v>0</v>
      </c>
      <c r="BZ631" s="40">
        <f t="shared" si="413"/>
        <v>0</v>
      </c>
      <c r="CA631" s="40">
        <f t="shared" si="413"/>
        <v>0</v>
      </c>
      <c r="CB631" s="40">
        <f t="shared" si="413"/>
        <v>0</v>
      </c>
      <c r="CC631" s="40">
        <f t="shared" si="413"/>
        <v>0</v>
      </c>
      <c r="CD631" s="40">
        <f t="shared" si="413"/>
        <v>0</v>
      </c>
    </row>
    <row r="632" spans="2:91">
      <c r="B632" s="843" t="s">
        <v>727</v>
      </c>
      <c r="C632" s="515" t="s">
        <v>2359</v>
      </c>
      <c r="D632" s="844" t="s">
        <v>1223</v>
      </c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306">
        <v>397.2</v>
      </c>
      <c r="AW632" s="306">
        <v>401.6</v>
      </c>
      <c r="AX632" s="306">
        <v>349.7</v>
      </c>
      <c r="AY632" s="306">
        <v>440</v>
      </c>
      <c r="AZ632" s="306">
        <v>432.7</v>
      </c>
      <c r="BA632" s="306">
        <v>437</v>
      </c>
      <c r="BB632" s="306">
        <v>369.3</v>
      </c>
      <c r="BC632" s="306">
        <v>487.3</v>
      </c>
      <c r="BD632" s="306">
        <v>721.4</v>
      </c>
      <c r="BE632" s="306">
        <v>800.9</v>
      </c>
      <c r="BF632" s="389">
        <f t="shared" ref="BF632:BL632" si="414">BF709</f>
        <v>1174.5</v>
      </c>
      <c r="BG632" s="389">
        <f t="shared" si="414"/>
        <v>1359</v>
      </c>
      <c r="BH632" s="389">
        <f t="shared" si="414"/>
        <v>1743.5</v>
      </c>
      <c r="BI632" s="389">
        <f t="shared" si="414"/>
        <v>1401.8</v>
      </c>
      <c r="BJ632" s="389">
        <f t="shared" si="414"/>
        <v>2084.1</v>
      </c>
      <c r="BK632" s="389">
        <f t="shared" si="414"/>
        <v>2646.9</v>
      </c>
      <c r="BL632" s="389">
        <f t="shared" si="414"/>
        <v>2700.2</v>
      </c>
      <c r="BM632" s="389">
        <f>BM709</f>
        <v>2416.1999999999998</v>
      </c>
      <c r="BN632" s="389">
        <f>BN709</f>
        <v>2145.3000000000002</v>
      </c>
      <c r="BO632" s="389">
        <f>BO709</f>
        <v>1745.4666666666665</v>
      </c>
      <c r="BU632" s="40">
        <f t="shared" si="410"/>
        <v>0</v>
      </c>
      <c r="BV632" s="40">
        <f t="shared" si="413"/>
        <v>0</v>
      </c>
      <c r="BW632" s="40">
        <f t="shared" si="413"/>
        <v>0</v>
      </c>
      <c r="BX632" s="40">
        <f t="shared" si="413"/>
        <v>0</v>
      </c>
      <c r="BY632" s="40">
        <f t="shared" si="413"/>
        <v>0</v>
      </c>
      <c r="BZ632" s="40">
        <f t="shared" si="413"/>
        <v>0</v>
      </c>
      <c r="CA632" s="40">
        <f t="shared" si="413"/>
        <v>0</v>
      </c>
      <c r="CB632" s="40">
        <f t="shared" si="413"/>
        <v>0</v>
      </c>
      <c r="CC632" s="40">
        <f t="shared" si="413"/>
        <v>0</v>
      </c>
      <c r="CD632" s="40">
        <f t="shared" si="413"/>
        <v>0</v>
      </c>
    </row>
    <row r="633" spans="2:91">
      <c r="B633" s="843" t="s">
        <v>521</v>
      </c>
      <c r="C633" s="515" t="s">
        <v>2359</v>
      </c>
      <c r="D633" s="844" t="s">
        <v>1223</v>
      </c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306">
        <v>88.5</v>
      </c>
      <c r="AW633" s="306">
        <v>91.9</v>
      </c>
      <c r="AX633" s="306">
        <v>72</v>
      </c>
      <c r="AY633" s="306">
        <v>79.099999999999994</v>
      </c>
      <c r="AZ633" s="306">
        <v>91</v>
      </c>
      <c r="BA633" s="306">
        <v>59.4</v>
      </c>
      <c r="BB633" s="306">
        <v>38.5</v>
      </c>
      <c r="BC633" s="306">
        <v>59.5</v>
      </c>
      <c r="BD633" s="306">
        <v>141.30000000000001</v>
      </c>
      <c r="BE633" s="306">
        <v>204.1</v>
      </c>
      <c r="BF633" s="389">
        <f t="shared" ref="BF633:BL633" si="415">BF712</f>
        <v>236.6</v>
      </c>
      <c r="BG633" s="389">
        <f t="shared" si="415"/>
        <v>253.5</v>
      </c>
      <c r="BH633" s="389">
        <f t="shared" si="415"/>
        <v>284.2</v>
      </c>
      <c r="BI633" s="389">
        <f t="shared" si="415"/>
        <v>286.7</v>
      </c>
      <c r="BJ633" s="389">
        <f t="shared" si="415"/>
        <v>241.4</v>
      </c>
      <c r="BK633" s="389">
        <f t="shared" si="415"/>
        <v>200.9</v>
      </c>
      <c r="BL633" s="389">
        <f t="shared" si="415"/>
        <v>175.3</v>
      </c>
      <c r="BM633" s="389">
        <f>BM712</f>
        <v>178.5</v>
      </c>
      <c r="BN633" s="389">
        <f>BN712</f>
        <v>210.7</v>
      </c>
      <c r="BO633" s="389">
        <f>BO712</f>
        <v>214.13333333333333</v>
      </c>
      <c r="BU633" s="40">
        <f t="shared" si="410"/>
        <v>0</v>
      </c>
      <c r="BV633" s="40">
        <f t="shared" si="413"/>
        <v>0</v>
      </c>
      <c r="BW633" s="40">
        <f t="shared" si="413"/>
        <v>0</v>
      </c>
      <c r="BX633" s="40">
        <f t="shared" si="413"/>
        <v>0</v>
      </c>
      <c r="BY633" s="40">
        <f t="shared" si="413"/>
        <v>0</v>
      </c>
      <c r="BZ633" s="40">
        <f t="shared" si="413"/>
        <v>0</v>
      </c>
      <c r="CA633" s="40">
        <f t="shared" si="413"/>
        <v>0</v>
      </c>
      <c r="CB633" s="40">
        <f t="shared" si="413"/>
        <v>0</v>
      </c>
      <c r="CC633" s="40">
        <f t="shared" si="413"/>
        <v>0</v>
      </c>
      <c r="CD633" s="40">
        <f t="shared" si="413"/>
        <v>0</v>
      </c>
    </row>
    <row r="634" spans="2:91" s="25" customFormat="1">
      <c r="B634" s="99" t="s">
        <v>449</v>
      </c>
      <c r="C634" s="25" t="s">
        <v>2359</v>
      </c>
      <c r="D634" s="12" t="s">
        <v>2864</v>
      </c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709">
        <f t="shared" ref="AV634:BK634" si="416">SUM(AV632:AV633)</f>
        <v>485.7</v>
      </c>
      <c r="AW634" s="709">
        <f t="shared" si="416"/>
        <v>493.5</v>
      </c>
      <c r="AX634" s="709">
        <f t="shared" si="416"/>
        <v>421.7</v>
      </c>
      <c r="AY634" s="709">
        <f t="shared" si="416"/>
        <v>519.1</v>
      </c>
      <c r="AZ634" s="709">
        <f t="shared" si="416"/>
        <v>523.70000000000005</v>
      </c>
      <c r="BA634" s="709">
        <f t="shared" si="416"/>
        <v>496.4</v>
      </c>
      <c r="BB634" s="709">
        <f t="shared" si="416"/>
        <v>407.8</v>
      </c>
      <c r="BC634" s="709">
        <f t="shared" si="416"/>
        <v>546.79999999999995</v>
      </c>
      <c r="BD634" s="709">
        <f t="shared" si="416"/>
        <v>862.7</v>
      </c>
      <c r="BE634" s="709">
        <f t="shared" si="416"/>
        <v>1005</v>
      </c>
      <c r="BF634" s="709">
        <f t="shared" si="416"/>
        <v>1411.1</v>
      </c>
      <c r="BG634" s="709">
        <f t="shared" si="416"/>
        <v>1612.5</v>
      </c>
      <c r="BH634" s="709">
        <f t="shared" si="416"/>
        <v>2027.7</v>
      </c>
      <c r="BI634" s="709">
        <f t="shared" si="416"/>
        <v>1688.5</v>
      </c>
      <c r="BJ634" s="709">
        <f t="shared" si="416"/>
        <v>2325.5</v>
      </c>
      <c r="BK634" s="709">
        <f t="shared" si="416"/>
        <v>2847.8</v>
      </c>
      <c r="BL634" s="709">
        <f>SUM(BL632:BL633)</f>
        <v>2875.5</v>
      </c>
      <c r="BM634" s="709">
        <f>SUM(BM632:BM633)</f>
        <v>2594.6999999999998</v>
      </c>
      <c r="BN634" s="709">
        <f>SUM(BN632:BN633)</f>
        <v>2356</v>
      </c>
      <c r="BO634" s="709">
        <f>SUM(BO632:BO633)</f>
        <v>1959.6</v>
      </c>
      <c r="BU634" s="40">
        <f t="shared" si="410"/>
        <v>0</v>
      </c>
      <c r="BV634" s="40">
        <f t="shared" si="413"/>
        <v>0</v>
      </c>
      <c r="BW634" s="40">
        <f t="shared" si="413"/>
        <v>0</v>
      </c>
      <c r="BX634" s="40">
        <f t="shared" si="413"/>
        <v>0</v>
      </c>
      <c r="BY634" s="40">
        <f t="shared" si="413"/>
        <v>0</v>
      </c>
      <c r="BZ634" s="40">
        <f t="shared" si="413"/>
        <v>0</v>
      </c>
      <c r="CA634" s="40">
        <f t="shared" si="413"/>
        <v>0</v>
      </c>
      <c r="CB634" s="40">
        <f t="shared" si="413"/>
        <v>0</v>
      </c>
      <c r="CC634" s="40">
        <f t="shared" si="413"/>
        <v>0</v>
      </c>
      <c r="CD634" s="40">
        <f t="shared" si="413"/>
        <v>0</v>
      </c>
    </row>
    <row r="635" spans="2:91" s="25" customFormat="1">
      <c r="B635" s="661" t="s">
        <v>522</v>
      </c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709"/>
      <c r="AW635" s="709"/>
      <c r="AX635" s="709"/>
      <c r="AY635" s="709"/>
      <c r="AZ635" s="709"/>
      <c r="BA635" s="709"/>
      <c r="BB635" s="709"/>
      <c r="BC635" s="709"/>
      <c r="BD635" s="709"/>
      <c r="BE635" s="709"/>
      <c r="BF635" s="842"/>
      <c r="BG635" s="285"/>
      <c r="BH635" s="285"/>
      <c r="BI635" s="285"/>
      <c r="BJ635" s="285"/>
      <c r="BK635" s="285"/>
      <c r="BL635" s="285"/>
      <c r="BU635" s="40">
        <f t="shared" si="410"/>
        <v>0</v>
      </c>
      <c r="BV635" s="40">
        <f t="shared" si="413"/>
        <v>0</v>
      </c>
      <c r="BW635" s="40">
        <f t="shared" si="413"/>
        <v>0</v>
      </c>
      <c r="BX635" s="40">
        <f t="shared" si="413"/>
        <v>0</v>
      </c>
      <c r="BY635" s="40">
        <f t="shared" si="413"/>
        <v>0</v>
      </c>
      <c r="BZ635" s="40">
        <f t="shared" si="413"/>
        <v>0</v>
      </c>
      <c r="CA635" s="40">
        <f t="shared" si="413"/>
        <v>0</v>
      </c>
      <c r="CB635" s="40">
        <f t="shared" si="413"/>
        <v>0</v>
      </c>
      <c r="CC635" s="40">
        <f t="shared" si="413"/>
        <v>0</v>
      </c>
      <c r="CD635" s="40">
        <f t="shared" si="413"/>
        <v>0</v>
      </c>
    </row>
    <row r="636" spans="2:91">
      <c r="B636" s="843" t="s">
        <v>4597</v>
      </c>
      <c r="C636" s="515" t="s">
        <v>2359</v>
      </c>
      <c r="D636" s="844" t="s">
        <v>1223</v>
      </c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306">
        <v>398.8</v>
      </c>
      <c r="AW636" s="306">
        <v>365.5</v>
      </c>
      <c r="AX636" s="306">
        <v>376.9</v>
      </c>
      <c r="AY636" s="306">
        <v>299.60000000000002</v>
      </c>
      <c r="AZ636" s="306">
        <v>246.1</v>
      </c>
      <c r="BA636" s="306">
        <v>297.2</v>
      </c>
      <c r="BB636" s="306">
        <v>321.89999999999998</v>
      </c>
      <c r="BC636" s="306">
        <v>448.1</v>
      </c>
      <c r="BD636" s="306">
        <v>604.4</v>
      </c>
      <c r="BE636" s="306">
        <v>873.7</v>
      </c>
      <c r="BF636" s="389">
        <f t="shared" ref="BF636:BL636" si="417">-BF710</f>
        <v>902.6</v>
      </c>
      <c r="BG636" s="389">
        <f t="shared" si="417"/>
        <v>1044.8</v>
      </c>
      <c r="BH636" s="389">
        <f t="shared" si="417"/>
        <v>1406.7</v>
      </c>
      <c r="BI636" s="389">
        <f t="shared" si="417"/>
        <v>1390.7</v>
      </c>
      <c r="BJ636" s="389">
        <f t="shared" si="417"/>
        <v>1397.9</v>
      </c>
      <c r="BK636" s="389">
        <f t="shared" si="417"/>
        <v>1679.1</v>
      </c>
      <c r="BL636" s="389">
        <f t="shared" si="417"/>
        <v>1993.5</v>
      </c>
      <c r="BM636" s="389">
        <f>-BM710</f>
        <v>2173.6999999999998</v>
      </c>
      <c r="BN636" s="389">
        <f>-BN710</f>
        <v>2012.3</v>
      </c>
      <c r="BO636" s="389">
        <f>-BO710</f>
        <v>2101.0666666666666</v>
      </c>
      <c r="BU636" s="40">
        <f t="shared" si="410"/>
        <v>0</v>
      </c>
      <c r="BV636" s="40">
        <f t="shared" si="413"/>
        <v>0</v>
      </c>
      <c r="BW636" s="40">
        <f t="shared" si="413"/>
        <v>0</v>
      </c>
      <c r="BX636" s="40">
        <f t="shared" si="413"/>
        <v>0</v>
      </c>
      <c r="BY636" s="40">
        <f t="shared" si="413"/>
        <v>0</v>
      </c>
      <c r="BZ636" s="40">
        <f t="shared" si="413"/>
        <v>0</v>
      </c>
      <c r="CA636" s="40">
        <f t="shared" si="413"/>
        <v>0</v>
      </c>
      <c r="CB636" s="40">
        <f t="shared" si="413"/>
        <v>0</v>
      </c>
      <c r="CC636" s="40">
        <f t="shared" si="413"/>
        <v>0</v>
      </c>
      <c r="CD636" s="40">
        <f t="shared" si="413"/>
        <v>0</v>
      </c>
    </row>
    <row r="637" spans="2:91">
      <c r="B637" s="843" t="s">
        <v>2116</v>
      </c>
      <c r="C637" s="515" t="s">
        <v>2359</v>
      </c>
      <c r="D637" s="844" t="s">
        <v>1225</v>
      </c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306">
        <v>73.599999999999994</v>
      </c>
      <c r="AW637" s="306">
        <v>81.400000000000006</v>
      </c>
      <c r="AX637" s="306">
        <v>94</v>
      </c>
      <c r="AY637" s="306">
        <v>93.2</v>
      </c>
      <c r="AZ637" s="306">
        <v>81.099999999999994</v>
      </c>
      <c r="BA637" s="306">
        <v>66</v>
      </c>
      <c r="BB637" s="306">
        <v>74.7</v>
      </c>
      <c r="BC637" s="306">
        <v>109.2</v>
      </c>
      <c r="BD637" s="306">
        <v>133.4</v>
      </c>
      <c r="BE637" s="306">
        <v>140.1</v>
      </c>
      <c r="BF637" s="389">
        <f t="shared" ref="BF637:BK638" si="418">-BF716</f>
        <v>63.1</v>
      </c>
      <c r="BG637" s="389">
        <f t="shared" si="418"/>
        <v>65.599999999999994</v>
      </c>
      <c r="BH637" s="389">
        <f t="shared" si="418"/>
        <v>90</v>
      </c>
      <c r="BI637" s="389">
        <f t="shared" si="418"/>
        <v>63.1</v>
      </c>
      <c r="BJ637" s="389">
        <f t="shared" si="418"/>
        <v>73.400000000000006</v>
      </c>
      <c r="BK637" s="389">
        <f t="shared" si="418"/>
        <v>101.8</v>
      </c>
      <c r="BL637" s="389">
        <f t="shared" ref="BL637:BN638" si="419">-BL716</f>
        <v>96</v>
      </c>
      <c r="BM637" s="389">
        <f t="shared" si="419"/>
        <v>98.1</v>
      </c>
      <c r="BN637" s="389">
        <f t="shared" si="419"/>
        <v>89</v>
      </c>
      <c r="BO637" s="389">
        <f>-BO716</f>
        <v>82.933333333333337</v>
      </c>
      <c r="BU637" s="40">
        <f t="shared" si="410"/>
        <v>0</v>
      </c>
      <c r="BV637" s="40">
        <f t="shared" si="413"/>
        <v>0</v>
      </c>
      <c r="BW637" s="40">
        <f t="shared" si="413"/>
        <v>0</v>
      </c>
      <c r="BX637" s="40">
        <f t="shared" si="413"/>
        <v>0</v>
      </c>
      <c r="BY637" s="40">
        <f t="shared" si="413"/>
        <v>0</v>
      </c>
      <c r="BZ637" s="40">
        <f t="shared" si="413"/>
        <v>0</v>
      </c>
      <c r="CA637" s="40">
        <f t="shared" si="413"/>
        <v>0</v>
      </c>
      <c r="CB637" s="40">
        <f t="shared" si="413"/>
        <v>0</v>
      </c>
      <c r="CC637" s="40">
        <f t="shared" si="413"/>
        <v>0</v>
      </c>
      <c r="CD637" s="40">
        <f t="shared" si="413"/>
        <v>0</v>
      </c>
    </row>
    <row r="638" spans="2:91">
      <c r="B638" s="843" t="s">
        <v>3055</v>
      </c>
      <c r="C638" s="515" t="s">
        <v>2359</v>
      </c>
      <c r="D638" s="844" t="s">
        <v>1225</v>
      </c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306">
        <v>72.900000000000006</v>
      </c>
      <c r="AW638" s="306">
        <v>81.8</v>
      </c>
      <c r="AX638" s="306">
        <v>69.400000000000006</v>
      </c>
      <c r="AY638" s="306">
        <v>54.7</v>
      </c>
      <c r="AZ638" s="306">
        <v>63.3</v>
      </c>
      <c r="BA638" s="306">
        <v>74.900000000000006</v>
      </c>
      <c r="BB638" s="306">
        <v>67.8</v>
      </c>
      <c r="BC638" s="306">
        <v>68.599999999999994</v>
      </c>
      <c r="BD638" s="306">
        <v>103.1</v>
      </c>
      <c r="BE638" s="306">
        <v>185.3</v>
      </c>
      <c r="BF638" s="389">
        <f t="shared" si="418"/>
        <v>206.2</v>
      </c>
      <c r="BG638" s="389">
        <f t="shared" si="418"/>
        <v>252.3</v>
      </c>
      <c r="BH638" s="389">
        <f t="shared" si="418"/>
        <v>317.2</v>
      </c>
      <c r="BI638" s="389">
        <f t="shared" si="418"/>
        <v>222.2</v>
      </c>
      <c r="BJ638" s="389">
        <f t="shared" si="418"/>
        <v>185.7</v>
      </c>
      <c r="BK638" s="389">
        <f t="shared" si="418"/>
        <v>460.7</v>
      </c>
      <c r="BL638" s="389">
        <f t="shared" si="419"/>
        <v>498.1</v>
      </c>
      <c r="BM638" s="389">
        <f t="shared" si="419"/>
        <v>443.4</v>
      </c>
      <c r="BN638" s="389">
        <f t="shared" si="419"/>
        <v>650.9</v>
      </c>
      <c r="BO638" s="389">
        <f>-BO717</f>
        <v>550.26666666666665</v>
      </c>
      <c r="BU638" s="40">
        <f t="shared" si="410"/>
        <v>0</v>
      </c>
      <c r="BV638" s="40">
        <f t="shared" si="413"/>
        <v>0</v>
      </c>
      <c r="BW638" s="40">
        <f t="shared" si="413"/>
        <v>0</v>
      </c>
      <c r="BX638" s="40">
        <f t="shared" si="413"/>
        <v>0</v>
      </c>
      <c r="BY638" s="40">
        <f t="shared" si="413"/>
        <v>0</v>
      </c>
      <c r="BZ638" s="40">
        <f t="shared" si="413"/>
        <v>0</v>
      </c>
      <c r="CA638" s="40">
        <f t="shared" si="413"/>
        <v>0</v>
      </c>
      <c r="CB638" s="40">
        <f t="shared" si="413"/>
        <v>0</v>
      </c>
      <c r="CC638" s="40">
        <f t="shared" si="413"/>
        <v>0</v>
      </c>
      <c r="CD638" s="40">
        <f t="shared" si="413"/>
        <v>0</v>
      </c>
    </row>
    <row r="639" spans="2:91" s="25" customFormat="1">
      <c r="B639" s="99" t="s">
        <v>4084</v>
      </c>
      <c r="C639" s="25" t="s">
        <v>2359</v>
      </c>
      <c r="D639" s="12" t="s">
        <v>2865</v>
      </c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709">
        <f t="shared" ref="AV639:BK639" si="420">SUM(AV636:AV638)</f>
        <v>545.29999999999995</v>
      </c>
      <c r="AW639" s="709">
        <f t="shared" si="420"/>
        <v>528.69999999999993</v>
      </c>
      <c r="AX639" s="709">
        <f t="shared" si="420"/>
        <v>540.29999999999995</v>
      </c>
      <c r="AY639" s="709">
        <f t="shared" si="420"/>
        <v>447.5</v>
      </c>
      <c r="AZ639" s="709">
        <f t="shared" si="420"/>
        <v>390.5</v>
      </c>
      <c r="BA639" s="709">
        <f t="shared" si="420"/>
        <v>438.1</v>
      </c>
      <c r="BB639" s="709">
        <f t="shared" si="420"/>
        <v>464.4</v>
      </c>
      <c r="BC639" s="709">
        <f t="shared" si="420"/>
        <v>625.90000000000009</v>
      </c>
      <c r="BD639" s="709">
        <f t="shared" si="420"/>
        <v>840.9</v>
      </c>
      <c r="BE639" s="709">
        <f t="shared" si="420"/>
        <v>1199.1000000000001</v>
      </c>
      <c r="BF639" s="709">
        <f t="shared" si="420"/>
        <v>1171.9000000000001</v>
      </c>
      <c r="BG639" s="709">
        <f t="shared" si="420"/>
        <v>1362.6999999999998</v>
      </c>
      <c r="BH639" s="709">
        <f t="shared" si="420"/>
        <v>1813.9</v>
      </c>
      <c r="BI639" s="709">
        <f t="shared" si="420"/>
        <v>1676</v>
      </c>
      <c r="BJ639" s="709">
        <f t="shared" si="420"/>
        <v>1657.0000000000002</v>
      </c>
      <c r="BK639" s="709">
        <f t="shared" si="420"/>
        <v>2241.6</v>
      </c>
      <c r="BL639" s="709">
        <f>SUM(BL636:BL638)</f>
        <v>2587.6</v>
      </c>
      <c r="BM639" s="709">
        <f>SUM(BM636:BM638)</f>
        <v>2715.2</v>
      </c>
      <c r="BN639" s="709">
        <f>SUM(BN636:BN638)</f>
        <v>2752.2000000000003</v>
      </c>
      <c r="BO639" s="709">
        <f>SUM(BO636:BO638)</f>
        <v>2734.2666666666664</v>
      </c>
      <c r="BU639" s="40">
        <f t="shared" si="410"/>
        <v>0</v>
      </c>
      <c r="BV639" s="40">
        <f t="shared" si="413"/>
        <v>0</v>
      </c>
      <c r="BW639" s="40">
        <f t="shared" si="413"/>
        <v>0</v>
      </c>
      <c r="BX639" s="40">
        <f t="shared" si="413"/>
        <v>0</v>
      </c>
      <c r="BY639" s="40">
        <f t="shared" si="413"/>
        <v>0</v>
      </c>
      <c r="BZ639" s="40">
        <f t="shared" si="413"/>
        <v>0</v>
      </c>
      <c r="CA639" s="40">
        <f t="shared" si="413"/>
        <v>0</v>
      </c>
      <c r="CB639" s="40">
        <f t="shared" si="413"/>
        <v>0</v>
      </c>
      <c r="CC639" s="40">
        <f t="shared" si="413"/>
        <v>0</v>
      </c>
      <c r="CD639" s="40">
        <f t="shared" si="413"/>
        <v>0</v>
      </c>
    </row>
    <row r="640" spans="2:91">
      <c r="B640" s="99" t="s">
        <v>2773</v>
      </c>
      <c r="C640" s="25" t="s">
        <v>2359</v>
      </c>
      <c r="D640" s="12" t="s">
        <v>2866</v>
      </c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306">
        <v>7.7</v>
      </c>
      <c r="AW640" s="306">
        <v>11.1</v>
      </c>
      <c r="AX640" s="306">
        <v>10.8</v>
      </c>
      <c r="AY640" s="306">
        <v>12.9</v>
      </c>
      <c r="AZ640" s="306">
        <v>22.9</v>
      </c>
      <c r="BA640" s="306">
        <v>23.4</v>
      </c>
      <c r="BB640" s="306">
        <v>9.9</v>
      </c>
      <c r="BC640" s="306">
        <v>5.6</v>
      </c>
      <c r="BD640" s="306">
        <v>14.4</v>
      </c>
      <c r="BE640" s="306">
        <v>16.899999999999999</v>
      </c>
      <c r="BF640" s="845">
        <v>18.3</v>
      </c>
      <c r="BG640" s="517"/>
      <c r="BH640" s="517"/>
      <c r="BI640" s="517"/>
      <c r="BJ640" s="539"/>
      <c r="BK640" s="285"/>
      <c r="BL640" s="285"/>
      <c r="BU640" s="40">
        <f t="shared" si="410"/>
        <v>0</v>
      </c>
      <c r="BV640" s="40">
        <f t="shared" si="413"/>
        <v>0</v>
      </c>
      <c r="BW640" s="40">
        <f t="shared" si="413"/>
        <v>0</v>
      </c>
      <c r="BX640" s="40">
        <f t="shared" si="413"/>
        <v>0</v>
      </c>
      <c r="BY640" s="40">
        <f t="shared" si="413"/>
        <v>0</v>
      </c>
      <c r="BZ640" s="40">
        <f t="shared" si="413"/>
        <v>0</v>
      </c>
      <c r="CA640" s="40">
        <f t="shared" si="413"/>
        <v>0</v>
      </c>
      <c r="CB640" s="40">
        <f t="shared" si="413"/>
        <v>0</v>
      </c>
      <c r="CC640" s="40">
        <f t="shared" si="413"/>
        <v>0</v>
      </c>
      <c r="CD640" s="40">
        <f t="shared" si="413"/>
        <v>0</v>
      </c>
    </row>
    <row r="641" spans="2:82">
      <c r="B641" s="99" t="s">
        <v>1594</v>
      </c>
      <c r="C641" s="25" t="s">
        <v>2359</v>
      </c>
      <c r="D641" s="12" t="s">
        <v>2866</v>
      </c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306">
        <v>25.9</v>
      </c>
      <c r="AW641" s="306">
        <v>19.5</v>
      </c>
      <c r="AX641" s="306">
        <v>22.7</v>
      </c>
      <c r="AY641" s="306">
        <v>15.1</v>
      </c>
      <c r="AZ641" s="306">
        <v>38.700000000000003</v>
      </c>
      <c r="BA641" s="306">
        <v>10.4</v>
      </c>
      <c r="BB641" s="306">
        <v>13.7</v>
      </c>
      <c r="BC641" s="306">
        <v>8.6999999999999993</v>
      </c>
      <c r="BD641" s="306">
        <v>20.100000000000001</v>
      </c>
      <c r="BE641" s="306">
        <v>12.6</v>
      </c>
      <c r="BF641" s="845">
        <v>18.399999999999999</v>
      </c>
      <c r="BG641" s="517"/>
      <c r="BH641" s="517"/>
      <c r="BI641" s="517"/>
      <c r="BJ641" s="539"/>
      <c r="BK641" s="285"/>
      <c r="BL641" s="285"/>
      <c r="BU641" s="40">
        <f t="shared" si="410"/>
        <v>0</v>
      </c>
      <c r="BV641" s="40">
        <f t="shared" si="413"/>
        <v>0</v>
      </c>
      <c r="BW641" s="40">
        <f t="shared" si="413"/>
        <v>0</v>
      </c>
      <c r="BX641" s="40">
        <f t="shared" si="413"/>
        <v>0</v>
      </c>
      <c r="BY641" s="40">
        <f t="shared" si="413"/>
        <v>0</v>
      </c>
      <c r="BZ641" s="40">
        <f t="shared" si="413"/>
        <v>0</v>
      </c>
      <c r="CA641" s="40">
        <f t="shared" si="413"/>
        <v>0</v>
      </c>
      <c r="CB641" s="40">
        <f t="shared" si="413"/>
        <v>0</v>
      </c>
      <c r="CC641" s="40">
        <f t="shared" si="413"/>
        <v>0</v>
      </c>
      <c r="CD641" s="40">
        <f t="shared" si="413"/>
        <v>0</v>
      </c>
    </row>
    <row r="642" spans="2:82">
      <c r="B642" s="846" t="s">
        <v>2551</v>
      </c>
      <c r="C642" s="25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307">
        <f t="shared" ref="AV642:BF642" si="421">SUM(AV639:AV641)</f>
        <v>578.9</v>
      </c>
      <c r="AW642" s="307">
        <f t="shared" si="421"/>
        <v>559.29999999999995</v>
      </c>
      <c r="AX642" s="307">
        <f t="shared" si="421"/>
        <v>573.79999999999995</v>
      </c>
      <c r="AY642" s="307">
        <f t="shared" si="421"/>
        <v>475.5</v>
      </c>
      <c r="AZ642" s="307">
        <f t="shared" si="421"/>
        <v>452.09999999999997</v>
      </c>
      <c r="BA642" s="307">
        <f t="shared" si="421"/>
        <v>471.9</v>
      </c>
      <c r="BB642" s="307">
        <f t="shared" si="421"/>
        <v>487.99999999999994</v>
      </c>
      <c r="BC642" s="307">
        <f t="shared" si="421"/>
        <v>640.20000000000016</v>
      </c>
      <c r="BD642" s="307">
        <f t="shared" si="421"/>
        <v>875.4</v>
      </c>
      <c r="BE642" s="307">
        <f t="shared" si="421"/>
        <v>1228.6000000000001</v>
      </c>
      <c r="BF642" s="307">
        <f t="shared" si="421"/>
        <v>1208.6000000000001</v>
      </c>
      <c r="BG642" s="307">
        <f t="shared" ref="BG642:BM642" si="422">SUM(BG639:BG641)</f>
        <v>1362.6999999999998</v>
      </c>
      <c r="BH642" s="307">
        <f t="shared" si="422"/>
        <v>1813.9</v>
      </c>
      <c r="BI642" s="307">
        <f t="shared" si="422"/>
        <v>1676</v>
      </c>
      <c r="BJ642" s="307">
        <f t="shared" si="422"/>
        <v>1657.0000000000002</v>
      </c>
      <c r="BK642" s="307">
        <f t="shared" si="422"/>
        <v>2241.6</v>
      </c>
      <c r="BL642" s="307">
        <f t="shared" si="422"/>
        <v>2587.6</v>
      </c>
      <c r="BM642" s="307">
        <f t="shared" si="422"/>
        <v>2715.2</v>
      </c>
      <c r="BN642" s="307">
        <f>SUM(BN639:BN641)</f>
        <v>2752.2000000000003</v>
      </c>
      <c r="BO642" s="307">
        <f>SUM(BO639:BO641)</f>
        <v>2734.2666666666664</v>
      </c>
      <c r="BU642" s="40">
        <f t="shared" si="410"/>
        <v>0</v>
      </c>
      <c r="BV642" s="40">
        <f t="shared" si="413"/>
        <v>0</v>
      </c>
      <c r="BW642" s="40">
        <f t="shared" si="413"/>
        <v>0</v>
      </c>
      <c r="BX642" s="40">
        <f t="shared" si="413"/>
        <v>0</v>
      </c>
      <c r="BY642" s="40">
        <f t="shared" si="413"/>
        <v>0</v>
      </c>
      <c r="BZ642" s="40">
        <f t="shared" si="413"/>
        <v>0</v>
      </c>
      <c r="CA642" s="40">
        <f t="shared" si="413"/>
        <v>0</v>
      </c>
      <c r="CB642" s="40">
        <f t="shared" si="413"/>
        <v>0</v>
      </c>
      <c r="CC642" s="40">
        <f t="shared" si="413"/>
        <v>0</v>
      </c>
      <c r="CD642" s="40">
        <f t="shared" si="413"/>
        <v>0</v>
      </c>
    </row>
    <row r="643" spans="2:82">
      <c r="B643" s="99"/>
      <c r="C643" s="25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709"/>
      <c r="AW643" s="709"/>
      <c r="AX643" s="709"/>
      <c r="AY643" s="709"/>
      <c r="AZ643" s="709"/>
      <c r="BA643" s="709"/>
      <c r="BB643" s="709"/>
      <c r="BC643" s="709"/>
      <c r="BD643" s="709"/>
      <c r="BE643" s="709"/>
      <c r="BF643" s="842"/>
      <c r="BG643" s="307"/>
      <c r="BH643" s="307"/>
      <c r="BI643" s="285"/>
      <c r="BJ643" s="285"/>
      <c r="BK643" s="285"/>
      <c r="BL643" s="285"/>
      <c r="BU643" s="40">
        <f t="shared" si="410"/>
        <v>0</v>
      </c>
      <c r="BV643" s="40">
        <f t="shared" ref="BV643:CD653" si="423">BU643</f>
        <v>0</v>
      </c>
      <c r="BW643" s="40">
        <f t="shared" si="423"/>
        <v>0</v>
      </c>
      <c r="BX643" s="40">
        <f t="shared" si="423"/>
        <v>0</v>
      </c>
      <c r="BY643" s="40">
        <f t="shared" si="423"/>
        <v>0</v>
      </c>
      <c r="BZ643" s="40">
        <f t="shared" si="423"/>
        <v>0</v>
      </c>
      <c r="CA643" s="40">
        <f t="shared" si="423"/>
        <v>0</v>
      </c>
      <c r="CB643" s="40">
        <f t="shared" si="423"/>
        <v>0</v>
      </c>
      <c r="CC643" s="40">
        <f t="shared" si="423"/>
        <v>0</v>
      </c>
      <c r="CD643" s="40">
        <f t="shared" si="423"/>
        <v>0</v>
      </c>
    </row>
    <row r="644" spans="2:82">
      <c r="B644" s="661" t="s">
        <v>725</v>
      </c>
      <c r="C644" s="25" t="s">
        <v>2359</v>
      </c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709"/>
      <c r="AW644" s="709"/>
      <c r="AX644" s="709"/>
      <c r="AY644" s="709"/>
      <c r="AZ644" s="709"/>
      <c r="BA644" s="709"/>
      <c r="BB644" s="709"/>
      <c r="BC644" s="709"/>
      <c r="BD644" s="709"/>
      <c r="BE644" s="709"/>
      <c r="BF644" s="842"/>
      <c r="BH644" s="285"/>
      <c r="BI644" s="285"/>
      <c r="BJ644" s="285"/>
      <c r="BK644" s="285"/>
      <c r="BL644" s="285"/>
      <c r="BU644" s="40">
        <f t="shared" si="410"/>
        <v>0</v>
      </c>
      <c r="BV644" s="40">
        <f t="shared" si="423"/>
        <v>0</v>
      </c>
      <c r="BW644" s="40">
        <f t="shared" si="423"/>
        <v>0</v>
      </c>
      <c r="BX644" s="40">
        <f t="shared" si="423"/>
        <v>0</v>
      </c>
      <c r="BY644" s="40">
        <f t="shared" si="423"/>
        <v>0</v>
      </c>
      <c r="BZ644" s="40">
        <f t="shared" si="423"/>
        <v>0</v>
      </c>
      <c r="CA644" s="40">
        <f t="shared" si="423"/>
        <v>0</v>
      </c>
      <c r="CB644" s="40">
        <f t="shared" si="423"/>
        <v>0</v>
      </c>
      <c r="CC644" s="40">
        <f t="shared" si="423"/>
        <v>0</v>
      </c>
      <c r="CD644" s="40">
        <f t="shared" si="423"/>
        <v>0</v>
      </c>
    </row>
    <row r="645" spans="2:82" s="25" customFormat="1">
      <c r="B645" s="99" t="s">
        <v>1086</v>
      </c>
      <c r="C645" s="25" t="s">
        <v>2359</v>
      </c>
      <c r="D645" s="12" t="s">
        <v>2866</v>
      </c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842">
        <f t="shared" ref="AV645:BK645" si="424">SUM(AV646:AV647)</f>
        <v>0</v>
      </c>
      <c r="AW645" s="842">
        <f t="shared" si="424"/>
        <v>0</v>
      </c>
      <c r="AX645" s="842">
        <f t="shared" si="424"/>
        <v>0</v>
      </c>
      <c r="AY645" s="842">
        <f t="shared" si="424"/>
        <v>2.1</v>
      </c>
      <c r="AZ645" s="842">
        <f t="shared" si="424"/>
        <v>0</v>
      </c>
      <c r="BA645" s="842">
        <f t="shared" si="424"/>
        <v>0</v>
      </c>
      <c r="BB645" s="842">
        <f t="shared" si="424"/>
        <v>2.2000000000000002</v>
      </c>
      <c r="BC645" s="842">
        <f t="shared" si="424"/>
        <v>2.4</v>
      </c>
      <c r="BD645" s="842">
        <f t="shared" si="424"/>
        <v>2</v>
      </c>
      <c r="BE645" s="842">
        <f t="shared" si="424"/>
        <v>2.4</v>
      </c>
      <c r="BF645" s="842">
        <f t="shared" si="424"/>
        <v>5</v>
      </c>
      <c r="BG645" s="842">
        <f t="shared" si="424"/>
        <v>0</v>
      </c>
      <c r="BH645" s="842">
        <f t="shared" si="424"/>
        <v>0</v>
      </c>
      <c r="BI645" s="842">
        <f t="shared" si="424"/>
        <v>0</v>
      </c>
      <c r="BJ645" s="842">
        <f t="shared" si="424"/>
        <v>0</v>
      </c>
      <c r="BK645" s="842">
        <f t="shared" si="424"/>
        <v>0</v>
      </c>
      <c r="BL645" s="842">
        <f>SUM(BL646:BL647)</f>
        <v>0</v>
      </c>
      <c r="BM645" s="842">
        <f>SUM(BM646:BM647)</f>
        <v>0</v>
      </c>
      <c r="BN645" s="842">
        <f>SUM(BN646:BN647)</f>
        <v>0</v>
      </c>
      <c r="BO645" s="842">
        <f>SUM(BO646:BO647)</f>
        <v>0</v>
      </c>
      <c r="BU645" s="40">
        <f t="shared" si="410"/>
        <v>0</v>
      </c>
      <c r="BV645" s="40">
        <f t="shared" si="423"/>
        <v>0</v>
      </c>
      <c r="BW645" s="40">
        <f t="shared" si="423"/>
        <v>0</v>
      </c>
      <c r="BX645" s="40">
        <f t="shared" si="423"/>
        <v>0</v>
      </c>
      <c r="BY645" s="40">
        <f t="shared" si="423"/>
        <v>0</v>
      </c>
      <c r="BZ645" s="40">
        <f t="shared" si="423"/>
        <v>0</v>
      </c>
      <c r="CA645" s="40">
        <f t="shared" si="423"/>
        <v>0</v>
      </c>
      <c r="CB645" s="40">
        <f t="shared" si="423"/>
        <v>0</v>
      </c>
      <c r="CC645" s="40">
        <f t="shared" si="423"/>
        <v>0</v>
      </c>
      <c r="CD645" s="40">
        <f t="shared" si="423"/>
        <v>0</v>
      </c>
    </row>
    <row r="646" spans="2:82">
      <c r="B646" s="99" t="s">
        <v>1087</v>
      </c>
      <c r="C646" s="25" t="s">
        <v>2359</v>
      </c>
      <c r="D646" s="12" t="s">
        <v>2866</v>
      </c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306">
        <v>0</v>
      </c>
      <c r="AW646" s="306">
        <v>0</v>
      </c>
      <c r="AX646" s="306">
        <v>0</v>
      </c>
      <c r="AY646" s="306">
        <v>2.1</v>
      </c>
      <c r="AZ646" s="306">
        <v>0</v>
      </c>
      <c r="BA646" s="306">
        <v>0</v>
      </c>
      <c r="BB646" s="306">
        <v>2.2000000000000002</v>
      </c>
      <c r="BC646" s="306">
        <v>2.4</v>
      </c>
      <c r="BD646" s="306">
        <v>2</v>
      </c>
      <c r="BE646" s="306">
        <v>2.4</v>
      </c>
      <c r="BF646" s="845">
        <v>2</v>
      </c>
      <c r="BG646" s="517"/>
      <c r="BH646" s="517"/>
      <c r="BI646" s="517"/>
      <c r="BJ646" s="539"/>
      <c r="BK646" s="285"/>
      <c r="BL646" s="285"/>
      <c r="BU646" s="40">
        <f t="shared" si="410"/>
        <v>0</v>
      </c>
      <c r="BV646" s="40">
        <f t="shared" si="423"/>
        <v>0</v>
      </c>
      <c r="BW646" s="40">
        <f t="shared" si="423"/>
        <v>0</v>
      </c>
      <c r="BX646" s="40">
        <f t="shared" si="423"/>
        <v>0</v>
      </c>
      <c r="BY646" s="40">
        <f t="shared" si="423"/>
        <v>0</v>
      </c>
      <c r="BZ646" s="40">
        <f t="shared" si="423"/>
        <v>0</v>
      </c>
      <c r="CA646" s="40">
        <f t="shared" si="423"/>
        <v>0</v>
      </c>
      <c r="CB646" s="40">
        <f t="shared" si="423"/>
        <v>0</v>
      </c>
      <c r="CC646" s="40">
        <f t="shared" si="423"/>
        <v>0</v>
      </c>
      <c r="CD646" s="40">
        <f t="shared" si="423"/>
        <v>0</v>
      </c>
    </row>
    <row r="647" spans="2:82">
      <c r="B647" s="99" t="s">
        <v>1088</v>
      </c>
      <c r="C647" s="25" t="s">
        <v>2359</v>
      </c>
      <c r="D647" s="12" t="s">
        <v>2866</v>
      </c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306">
        <v>0</v>
      </c>
      <c r="AW647" s="306">
        <v>0</v>
      </c>
      <c r="AX647" s="306">
        <v>0</v>
      </c>
      <c r="AY647" s="306">
        <v>0</v>
      </c>
      <c r="AZ647" s="306">
        <v>0</v>
      </c>
      <c r="BA647" s="306">
        <v>0</v>
      </c>
      <c r="BB647" s="306">
        <v>0</v>
      </c>
      <c r="BC647" s="306">
        <v>0</v>
      </c>
      <c r="BD647" s="306">
        <v>0</v>
      </c>
      <c r="BE647" s="306">
        <v>0</v>
      </c>
      <c r="BF647" s="845">
        <v>3</v>
      </c>
      <c r="BG647" s="517"/>
      <c r="BH647" s="517"/>
      <c r="BI647" s="517"/>
      <c r="BJ647" s="539"/>
      <c r="BK647" s="285"/>
      <c r="BL647" s="285"/>
      <c r="BU647" s="40">
        <f t="shared" si="410"/>
        <v>0</v>
      </c>
      <c r="BV647" s="40">
        <f t="shared" si="423"/>
        <v>0</v>
      </c>
      <c r="BW647" s="40">
        <f t="shared" si="423"/>
        <v>0</v>
      </c>
      <c r="BX647" s="40">
        <f t="shared" si="423"/>
        <v>0</v>
      </c>
      <c r="BY647" s="40">
        <f t="shared" si="423"/>
        <v>0</v>
      </c>
      <c r="BZ647" s="40">
        <f t="shared" si="423"/>
        <v>0</v>
      </c>
      <c r="CA647" s="40">
        <f t="shared" si="423"/>
        <v>0</v>
      </c>
      <c r="CB647" s="40">
        <f t="shared" si="423"/>
        <v>0</v>
      </c>
      <c r="CC647" s="40">
        <f t="shared" si="423"/>
        <v>0</v>
      </c>
      <c r="CD647" s="40">
        <f t="shared" si="423"/>
        <v>0</v>
      </c>
    </row>
    <row r="648" spans="2:82">
      <c r="B648" s="99"/>
      <c r="C648" s="25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306"/>
      <c r="AW648" s="306"/>
      <c r="AX648" s="306"/>
      <c r="AY648" s="306"/>
      <c r="AZ648" s="306"/>
      <c r="BA648" s="306"/>
      <c r="BB648" s="306"/>
      <c r="BC648" s="306"/>
      <c r="BD648" s="306"/>
      <c r="BE648" s="306"/>
      <c r="BF648" s="845"/>
      <c r="BG648" s="517"/>
      <c r="BH648" s="517"/>
      <c r="BI648" s="517"/>
      <c r="BJ648" s="539"/>
      <c r="BK648" s="285"/>
      <c r="BL648" s="285"/>
      <c r="BU648" s="40">
        <f t="shared" si="410"/>
        <v>0</v>
      </c>
      <c r="BV648" s="40">
        <f t="shared" si="423"/>
        <v>0</v>
      </c>
      <c r="BW648" s="40">
        <f t="shared" si="423"/>
        <v>0</v>
      </c>
      <c r="BX648" s="40">
        <f t="shared" si="423"/>
        <v>0</v>
      </c>
      <c r="BY648" s="40">
        <f t="shared" si="423"/>
        <v>0</v>
      </c>
      <c r="BZ648" s="40">
        <f t="shared" si="423"/>
        <v>0</v>
      </c>
      <c r="CA648" s="40">
        <f t="shared" si="423"/>
        <v>0</v>
      </c>
      <c r="CB648" s="40">
        <f t="shared" si="423"/>
        <v>0</v>
      </c>
      <c r="CC648" s="40">
        <f t="shared" si="423"/>
        <v>0</v>
      </c>
      <c r="CD648" s="40">
        <f t="shared" si="423"/>
        <v>0</v>
      </c>
    </row>
    <row r="649" spans="2:82" s="25" customFormat="1">
      <c r="B649" s="99" t="s">
        <v>1089</v>
      </c>
      <c r="C649" s="25" t="s">
        <v>2359</v>
      </c>
      <c r="D649" s="12" t="s">
        <v>2866</v>
      </c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709">
        <f>SUM(AV650:AV651)</f>
        <v>1.3</v>
      </c>
      <c r="AW649" s="709">
        <f t="shared" ref="AW649:BK649" si="425">SUM(AW650:AW651)</f>
        <v>1.2</v>
      </c>
      <c r="AX649" s="709">
        <f t="shared" si="425"/>
        <v>0.8</v>
      </c>
      <c r="AY649" s="709">
        <f t="shared" si="425"/>
        <v>1</v>
      </c>
      <c r="AZ649" s="709">
        <f t="shared" si="425"/>
        <v>1.1000000000000001</v>
      </c>
      <c r="BA649" s="709">
        <f t="shared" si="425"/>
        <v>1.2</v>
      </c>
      <c r="BB649" s="709">
        <f t="shared" si="425"/>
        <v>1.2</v>
      </c>
      <c r="BC649" s="709">
        <f t="shared" si="425"/>
        <v>5.2</v>
      </c>
      <c r="BD649" s="709">
        <f t="shared" si="425"/>
        <v>5.3</v>
      </c>
      <c r="BE649" s="709">
        <f t="shared" si="425"/>
        <v>4.2</v>
      </c>
      <c r="BF649" s="709">
        <f t="shared" si="425"/>
        <v>3.4000000000000004</v>
      </c>
      <c r="BG649" s="709">
        <f t="shared" si="425"/>
        <v>0</v>
      </c>
      <c r="BH649" s="709">
        <f t="shared" si="425"/>
        <v>0</v>
      </c>
      <c r="BI649" s="709">
        <f t="shared" si="425"/>
        <v>0</v>
      </c>
      <c r="BJ649" s="709">
        <f t="shared" si="425"/>
        <v>0</v>
      </c>
      <c r="BK649" s="709">
        <f t="shared" si="425"/>
        <v>0</v>
      </c>
      <c r="BL649" s="709">
        <f>SUM(BL650:BL651)</f>
        <v>0</v>
      </c>
      <c r="BM649" s="709">
        <f>SUM(BM650:BM651)</f>
        <v>0</v>
      </c>
      <c r="BN649" s="709">
        <f>SUM(BN650:BN651)</f>
        <v>0</v>
      </c>
      <c r="BO649" s="709">
        <f>SUM(BO650:BO651)</f>
        <v>0</v>
      </c>
      <c r="BU649" s="40">
        <f t="shared" si="410"/>
        <v>0</v>
      </c>
      <c r="BV649" s="40">
        <f t="shared" si="423"/>
        <v>0</v>
      </c>
      <c r="BW649" s="40">
        <f t="shared" si="423"/>
        <v>0</v>
      </c>
      <c r="BX649" s="40">
        <f t="shared" si="423"/>
        <v>0</v>
      </c>
      <c r="BY649" s="40">
        <f t="shared" si="423"/>
        <v>0</v>
      </c>
      <c r="BZ649" s="40">
        <f t="shared" si="423"/>
        <v>0</v>
      </c>
      <c r="CA649" s="40">
        <f t="shared" si="423"/>
        <v>0</v>
      </c>
      <c r="CB649" s="40">
        <f t="shared" si="423"/>
        <v>0</v>
      </c>
      <c r="CC649" s="40">
        <f t="shared" si="423"/>
        <v>0</v>
      </c>
      <c r="CD649" s="40">
        <f t="shared" si="423"/>
        <v>0</v>
      </c>
    </row>
    <row r="650" spans="2:82">
      <c r="B650" s="99" t="s">
        <v>1087</v>
      </c>
      <c r="C650" s="25" t="s">
        <v>2359</v>
      </c>
      <c r="D650" s="12" t="s">
        <v>2866</v>
      </c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306">
        <v>1.3</v>
      </c>
      <c r="AW650" s="306">
        <v>1.2</v>
      </c>
      <c r="AX650" s="306">
        <v>0.8</v>
      </c>
      <c r="AY650" s="306">
        <v>1</v>
      </c>
      <c r="AZ650" s="306">
        <v>1.1000000000000001</v>
      </c>
      <c r="BA650" s="306">
        <v>1.2</v>
      </c>
      <c r="BB650" s="306">
        <v>1.2</v>
      </c>
      <c r="BC650" s="306">
        <v>5.2</v>
      </c>
      <c r="BD650" s="306">
        <v>5.3</v>
      </c>
      <c r="BE650" s="306">
        <v>4.2</v>
      </c>
      <c r="BF650" s="845">
        <v>2.6</v>
      </c>
      <c r="BG650" s="517"/>
      <c r="BH650" s="517"/>
      <c r="BI650" s="517"/>
      <c r="BJ650" s="539"/>
      <c r="BK650" s="539"/>
      <c r="BL650" s="539"/>
      <c r="BU650" s="40">
        <f t="shared" si="410"/>
        <v>0</v>
      </c>
      <c r="BV650" s="40">
        <f t="shared" si="423"/>
        <v>0</v>
      </c>
      <c r="BW650" s="40">
        <f t="shared" si="423"/>
        <v>0</v>
      </c>
      <c r="BX650" s="40">
        <f t="shared" si="423"/>
        <v>0</v>
      </c>
      <c r="BY650" s="40">
        <f t="shared" si="423"/>
        <v>0</v>
      </c>
      <c r="BZ650" s="40">
        <f t="shared" si="423"/>
        <v>0</v>
      </c>
      <c r="CA650" s="40">
        <f t="shared" si="423"/>
        <v>0</v>
      </c>
      <c r="CB650" s="40">
        <f t="shared" si="423"/>
        <v>0</v>
      </c>
      <c r="CC650" s="40">
        <f t="shared" si="423"/>
        <v>0</v>
      </c>
      <c r="CD650" s="40">
        <f t="shared" si="423"/>
        <v>0</v>
      </c>
    </row>
    <row r="651" spans="2:82">
      <c r="B651" s="99" t="s">
        <v>1088</v>
      </c>
      <c r="C651" s="25" t="s">
        <v>2359</v>
      </c>
      <c r="D651" s="12" t="s">
        <v>2866</v>
      </c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306">
        <v>0</v>
      </c>
      <c r="AW651" s="306">
        <v>0</v>
      </c>
      <c r="AX651" s="306">
        <v>0</v>
      </c>
      <c r="AY651" s="306">
        <v>0</v>
      </c>
      <c r="AZ651" s="306">
        <v>0</v>
      </c>
      <c r="BA651" s="306">
        <v>0</v>
      </c>
      <c r="BB651" s="306">
        <v>0</v>
      </c>
      <c r="BC651" s="306">
        <v>0</v>
      </c>
      <c r="BD651" s="306">
        <v>0</v>
      </c>
      <c r="BE651" s="306">
        <v>0</v>
      </c>
      <c r="BF651" s="845">
        <v>0.8</v>
      </c>
      <c r="BG651" s="517"/>
      <c r="BH651" s="517"/>
      <c r="BI651" s="517"/>
      <c r="BJ651" s="539"/>
      <c r="BK651" s="539"/>
      <c r="BL651" s="539"/>
      <c r="BU651" s="40">
        <f t="shared" si="410"/>
        <v>0</v>
      </c>
      <c r="BV651" s="40">
        <f t="shared" si="423"/>
        <v>0</v>
      </c>
      <c r="BW651" s="40">
        <f t="shared" si="423"/>
        <v>0</v>
      </c>
      <c r="BX651" s="40">
        <f t="shared" si="423"/>
        <v>0</v>
      </c>
      <c r="BY651" s="40">
        <f t="shared" si="423"/>
        <v>0</v>
      </c>
      <c r="BZ651" s="40">
        <f t="shared" si="423"/>
        <v>0</v>
      </c>
      <c r="CA651" s="40">
        <f t="shared" si="423"/>
        <v>0</v>
      </c>
      <c r="CB651" s="40">
        <f t="shared" si="423"/>
        <v>0</v>
      </c>
      <c r="CC651" s="40">
        <f t="shared" si="423"/>
        <v>0</v>
      </c>
      <c r="CD651" s="40">
        <f t="shared" si="423"/>
        <v>0</v>
      </c>
    </row>
    <row r="652" spans="2:82" s="25" customFormat="1">
      <c r="B652" s="99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709"/>
      <c r="AW652" s="709"/>
      <c r="AX652" s="709"/>
      <c r="AY652" s="709"/>
      <c r="AZ652" s="709"/>
      <c r="BA652" s="709"/>
      <c r="BB652" s="709"/>
      <c r="BC652" s="709"/>
      <c r="BD652" s="709"/>
      <c r="BE652" s="709"/>
      <c r="BF652" s="842"/>
      <c r="BG652" s="285"/>
      <c r="BH652" s="285"/>
      <c r="BI652" s="285"/>
      <c r="BJ652" s="285"/>
      <c r="BK652" s="285"/>
      <c r="BL652" s="285"/>
      <c r="BU652" s="40">
        <f t="shared" si="410"/>
        <v>0</v>
      </c>
      <c r="BV652" s="40">
        <f t="shared" si="423"/>
        <v>0</v>
      </c>
      <c r="BW652" s="40">
        <f t="shared" si="423"/>
        <v>0</v>
      </c>
      <c r="BX652" s="40">
        <f t="shared" si="423"/>
        <v>0</v>
      </c>
      <c r="BY652" s="40">
        <f t="shared" si="423"/>
        <v>0</v>
      </c>
      <c r="BZ652" s="40">
        <f t="shared" si="423"/>
        <v>0</v>
      </c>
      <c r="CA652" s="40">
        <f t="shared" si="423"/>
        <v>0</v>
      </c>
      <c r="CB652" s="40">
        <f t="shared" si="423"/>
        <v>0</v>
      </c>
      <c r="CC652" s="40">
        <f t="shared" si="423"/>
        <v>0</v>
      </c>
      <c r="CD652" s="40">
        <f t="shared" si="423"/>
        <v>0</v>
      </c>
    </row>
    <row r="653" spans="2:82">
      <c r="B653" s="843" t="s">
        <v>1602</v>
      </c>
      <c r="C653" s="515" t="s">
        <v>2359</v>
      </c>
      <c r="D653" s="844" t="s">
        <v>1225</v>
      </c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306">
        <v>7</v>
      </c>
      <c r="AW653" s="306">
        <v>7.1</v>
      </c>
      <c r="AX653" s="306">
        <v>6.5</v>
      </c>
      <c r="AY653" s="306">
        <v>5.8</v>
      </c>
      <c r="AZ653" s="306">
        <v>13.2</v>
      </c>
      <c r="BA653" s="306">
        <v>5.4</v>
      </c>
      <c r="BB653" s="306">
        <v>6.2</v>
      </c>
      <c r="BC653" s="306">
        <v>9.1</v>
      </c>
      <c r="BD653" s="306">
        <v>13.6</v>
      </c>
      <c r="BE653" s="306">
        <v>21.6</v>
      </c>
      <c r="BF653" s="389">
        <f t="shared" ref="BF653:BM653" si="426">BF719</f>
        <v>25</v>
      </c>
      <c r="BG653" s="389">
        <f t="shared" si="426"/>
        <v>43.6</v>
      </c>
      <c r="BH653" s="389">
        <f t="shared" si="426"/>
        <v>42.2</v>
      </c>
      <c r="BI653" s="389">
        <f t="shared" si="426"/>
        <v>29.8</v>
      </c>
      <c r="BJ653" s="389">
        <f t="shared" si="426"/>
        <v>26.1</v>
      </c>
      <c r="BK653" s="389">
        <f t="shared" si="426"/>
        <v>16.2</v>
      </c>
      <c r="BL653" s="389">
        <f t="shared" si="426"/>
        <v>27.1</v>
      </c>
      <c r="BM653" s="389">
        <f t="shared" si="426"/>
        <v>27.1</v>
      </c>
      <c r="BN653" s="389">
        <f>BN719</f>
        <v>21.6</v>
      </c>
      <c r="BO653" s="389">
        <f>BO719</f>
        <v>13.866666666666667</v>
      </c>
      <c r="BU653" s="40">
        <f t="shared" si="410"/>
        <v>0</v>
      </c>
      <c r="BV653" s="40">
        <f t="shared" si="423"/>
        <v>0</v>
      </c>
      <c r="BW653" s="40">
        <f t="shared" si="423"/>
        <v>0</v>
      </c>
      <c r="BX653" s="40">
        <f t="shared" si="423"/>
        <v>0</v>
      </c>
      <c r="BY653" s="40">
        <f t="shared" si="423"/>
        <v>0</v>
      </c>
      <c r="BZ653" s="40">
        <f t="shared" si="423"/>
        <v>0</v>
      </c>
      <c r="CA653" s="40">
        <f t="shared" si="423"/>
        <v>0</v>
      </c>
      <c r="CB653" s="40">
        <f t="shared" si="423"/>
        <v>0</v>
      </c>
      <c r="CC653" s="40">
        <f t="shared" si="423"/>
        <v>0</v>
      </c>
      <c r="CD653" s="40">
        <f t="shared" si="423"/>
        <v>0</v>
      </c>
    </row>
    <row r="654" spans="2:82">
      <c r="B654" s="99"/>
      <c r="C654" s="25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306"/>
      <c r="AW654" s="306"/>
      <c r="AX654" s="306"/>
      <c r="AY654" s="306"/>
      <c r="AZ654" s="306"/>
      <c r="BA654" s="306"/>
      <c r="BB654" s="306"/>
      <c r="BC654" s="306"/>
      <c r="BD654" s="306"/>
      <c r="BE654" s="306"/>
      <c r="BF654" s="845"/>
      <c r="BG654" s="517"/>
      <c r="BH654" s="517"/>
      <c r="BI654" s="517"/>
      <c r="BJ654" s="539"/>
      <c r="BK654" s="285"/>
      <c r="BL654" s="285"/>
      <c r="BU654" s="40">
        <f t="shared" si="410"/>
        <v>0</v>
      </c>
      <c r="BV654" s="40">
        <f t="shared" ref="BV654:CD654" si="427">BU654</f>
        <v>0</v>
      </c>
      <c r="BW654" s="40">
        <f t="shared" si="427"/>
        <v>0</v>
      </c>
      <c r="BX654" s="40">
        <f t="shared" si="427"/>
        <v>0</v>
      </c>
      <c r="BY654" s="40">
        <f t="shared" si="427"/>
        <v>0</v>
      </c>
      <c r="BZ654" s="40">
        <f t="shared" si="427"/>
        <v>0</v>
      </c>
      <c r="CA654" s="40">
        <f t="shared" si="427"/>
        <v>0</v>
      </c>
      <c r="CB654" s="40">
        <f t="shared" si="427"/>
        <v>0</v>
      </c>
      <c r="CC654" s="40">
        <f t="shared" si="427"/>
        <v>0</v>
      </c>
      <c r="CD654" s="40">
        <f t="shared" si="427"/>
        <v>0</v>
      </c>
    </row>
    <row r="655" spans="2:82">
      <c r="B655" s="843" t="s">
        <v>3382</v>
      </c>
      <c r="C655" s="515" t="s">
        <v>2359</v>
      </c>
      <c r="D655" s="844" t="s">
        <v>1225</v>
      </c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842">
        <f t="shared" ref="AV655:BF655" si="428">AV657-AV656</f>
        <v>3</v>
      </c>
      <c r="AW655" s="842">
        <f t="shared" si="428"/>
        <v>8.8000000000000007</v>
      </c>
      <c r="AX655" s="842">
        <f t="shared" si="428"/>
        <v>6.1999999999999993</v>
      </c>
      <c r="AY655" s="842">
        <f t="shared" si="428"/>
        <v>7.1000000000000014</v>
      </c>
      <c r="AZ655" s="842">
        <f t="shared" si="428"/>
        <v>6.1000000000000014</v>
      </c>
      <c r="BA655" s="842">
        <f t="shared" si="428"/>
        <v>15.899999999999991</v>
      </c>
      <c r="BB655" s="842">
        <f t="shared" si="428"/>
        <v>12.5</v>
      </c>
      <c r="BC655" s="842">
        <f t="shared" si="428"/>
        <v>15.399999999999999</v>
      </c>
      <c r="BD655" s="842">
        <f t="shared" si="428"/>
        <v>11.200000000000003</v>
      </c>
      <c r="BE655" s="842">
        <f t="shared" si="428"/>
        <v>15.299999999999997</v>
      </c>
      <c r="BF655" s="842">
        <f t="shared" si="428"/>
        <v>-3.2999999999999972</v>
      </c>
      <c r="BG655" s="307">
        <v>0</v>
      </c>
      <c r="BH655" s="307">
        <v>0</v>
      </c>
      <c r="BI655" s="307">
        <v>0</v>
      </c>
      <c r="BJ655" s="307">
        <v>0</v>
      </c>
      <c r="BK655" s="307">
        <v>0</v>
      </c>
      <c r="BL655" s="307">
        <v>0</v>
      </c>
      <c r="BM655" s="307">
        <v>0</v>
      </c>
      <c r="BN655" s="307">
        <v>1</v>
      </c>
      <c r="BO655" s="307">
        <v>2</v>
      </c>
      <c r="BU655" s="40">
        <f t="shared" si="410"/>
        <v>0</v>
      </c>
      <c r="BV655" s="40">
        <f t="shared" ref="BV655:CD655" si="429">BU655</f>
        <v>0</v>
      </c>
      <c r="BW655" s="40">
        <f t="shared" si="429"/>
        <v>0</v>
      </c>
      <c r="BX655" s="40">
        <f t="shared" si="429"/>
        <v>0</v>
      </c>
      <c r="BY655" s="40">
        <f t="shared" si="429"/>
        <v>0</v>
      </c>
      <c r="BZ655" s="40">
        <f t="shared" si="429"/>
        <v>0</v>
      </c>
      <c r="CA655" s="40">
        <f t="shared" si="429"/>
        <v>0</v>
      </c>
      <c r="CB655" s="40">
        <f t="shared" si="429"/>
        <v>0</v>
      </c>
      <c r="CC655" s="40">
        <f t="shared" si="429"/>
        <v>0</v>
      </c>
      <c r="CD655" s="40">
        <f t="shared" si="429"/>
        <v>0</v>
      </c>
    </row>
    <row r="656" spans="2:82">
      <c r="B656" s="99" t="s">
        <v>4551</v>
      </c>
      <c r="C656" s="25" t="s">
        <v>2359</v>
      </c>
      <c r="D656" s="12" t="s">
        <v>2866</v>
      </c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306">
        <v>0</v>
      </c>
      <c r="AW656" s="306">
        <v>0</v>
      </c>
      <c r="AX656" s="306">
        <v>28.3</v>
      </c>
      <c r="AY656" s="306">
        <v>33.799999999999997</v>
      </c>
      <c r="AZ656" s="306">
        <v>50.8</v>
      </c>
      <c r="BA656" s="306">
        <v>95.9</v>
      </c>
      <c r="BB656" s="306">
        <v>37</v>
      </c>
      <c r="BC656" s="306">
        <v>40</v>
      </c>
      <c r="BD656" s="306">
        <v>62</v>
      </c>
      <c r="BE656" s="306">
        <v>45</v>
      </c>
      <c r="BF656" s="517">
        <f t="shared" ref="BF656:BM656" si="430">-BF720</f>
        <v>79.5</v>
      </c>
      <c r="BG656" s="517">
        <f t="shared" si="430"/>
        <v>46.2</v>
      </c>
      <c r="BH656" s="517">
        <f t="shared" si="430"/>
        <v>21.8</v>
      </c>
      <c r="BI656" s="517">
        <f t="shared" si="430"/>
        <v>25</v>
      </c>
      <c r="BJ656" s="517">
        <f t="shared" si="430"/>
        <v>130.4</v>
      </c>
      <c r="BK656" s="517">
        <f t="shared" si="430"/>
        <v>278.3</v>
      </c>
      <c r="BL656" s="517">
        <f t="shared" si="430"/>
        <v>218.6</v>
      </c>
      <c r="BM656" s="517">
        <f t="shared" si="430"/>
        <v>148.9</v>
      </c>
      <c r="BN656" s="517">
        <f>-BN720</f>
        <v>81.5</v>
      </c>
      <c r="BO656" s="517">
        <f>-BO720</f>
        <v>-38.666666666666664</v>
      </c>
      <c r="BU656" s="40">
        <f t="shared" si="410"/>
        <v>0</v>
      </c>
      <c r="BV656" s="40">
        <f t="shared" ref="BV656:CD656" si="431">BU656</f>
        <v>0</v>
      </c>
      <c r="BW656" s="40">
        <f t="shared" si="431"/>
        <v>0</v>
      </c>
      <c r="BX656" s="40">
        <f t="shared" si="431"/>
        <v>0</v>
      </c>
      <c r="BY656" s="40">
        <f t="shared" si="431"/>
        <v>0</v>
      </c>
      <c r="BZ656" s="40">
        <f t="shared" si="431"/>
        <v>0</v>
      </c>
      <c r="CA656" s="40">
        <f t="shared" si="431"/>
        <v>0</v>
      </c>
      <c r="CB656" s="40">
        <f t="shared" si="431"/>
        <v>0</v>
      </c>
      <c r="CC656" s="40">
        <f t="shared" si="431"/>
        <v>0</v>
      </c>
      <c r="CD656" s="40">
        <f t="shared" si="431"/>
        <v>0</v>
      </c>
    </row>
    <row r="657" spans="2:82" s="25" customFormat="1">
      <c r="B657" s="99" t="s">
        <v>1443</v>
      </c>
      <c r="C657" s="25" t="s">
        <v>2359</v>
      </c>
      <c r="D657" s="12" t="s">
        <v>2866</v>
      </c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306">
        <v>3</v>
      </c>
      <c r="AW657" s="306">
        <v>8.8000000000000007</v>
      </c>
      <c r="AX657" s="306">
        <v>34.5</v>
      </c>
      <c r="AY657" s="306">
        <v>40.9</v>
      </c>
      <c r="AZ657" s="306">
        <v>56.9</v>
      </c>
      <c r="BA657" s="306">
        <v>111.8</v>
      </c>
      <c r="BB657" s="306">
        <v>49.5</v>
      </c>
      <c r="BC657" s="306">
        <v>55.4</v>
      </c>
      <c r="BD657" s="306">
        <v>73.2</v>
      </c>
      <c r="BE657" s="306">
        <v>60.3</v>
      </c>
      <c r="BF657" s="845">
        <v>76.2</v>
      </c>
      <c r="BG657" s="517"/>
      <c r="BH657" s="517"/>
      <c r="BI657" s="517"/>
      <c r="BJ657" s="539"/>
      <c r="BK657" s="285"/>
      <c r="BL657" s="285"/>
      <c r="BU657" s="40">
        <f t="shared" si="410"/>
        <v>0</v>
      </c>
      <c r="BV657" s="40">
        <f t="shared" ref="BV657:CD657" si="432">BU657</f>
        <v>0</v>
      </c>
      <c r="BW657" s="40">
        <f t="shared" si="432"/>
        <v>0</v>
      </c>
      <c r="BX657" s="40">
        <f t="shared" si="432"/>
        <v>0</v>
      </c>
      <c r="BY657" s="40">
        <f t="shared" si="432"/>
        <v>0</v>
      </c>
      <c r="BZ657" s="40">
        <f t="shared" si="432"/>
        <v>0</v>
      </c>
      <c r="CA657" s="40">
        <f t="shared" si="432"/>
        <v>0</v>
      </c>
      <c r="CB657" s="40">
        <f t="shared" si="432"/>
        <v>0</v>
      </c>
      <c r="CC657" s="40">
        <f t="shared" si="432"/>
        <v>0</v>
      </c>
      <c r="CD657" s="40">
        <f t="shared" si="432"/>
        <v>0</v>
      </c>
    </row>
    <row r="658" spans="2:82">
      <c r="B658" s="661" t="s">
        <v>1184</v>
      </c>
      <c r="C658" s="25" t="s">
        <v>2359</v>
      </c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709"/>
      <c r="AW658" s="709"/>
      <c r="AX658" s="709"/>
      <c r="AY658" s="709"/>
      <c r="AZ658" s="709"/>
      <c r="BA658" s="709"/>
      <c r="BB658" s="709"/>
      <c r="BC658" s="709"/>
      <c r="BD658" s="709"/>
      <c r="BE658" s="709"/>
      <c r="BF658" s="842"/>
      <c r="BH658" s="285"/>
      <c r="BI658" s="285"/>
      <c r="BJ658" s="285"/>
      <c r="BK658" s="285"/>
      <c r="BL658" s="285"/>
      <c r="BU658" s="40">
        <f t="shared" si="410"/>
        <v>0</v>
      </c>
      <c r="BV658" s="40">
        <f t="shared" ref="BV658:CD658" si="433">BU658</f>
        <v>0</v>
      </c>
      <c r="BW658" s="40">
        <f t="shared" si="433"/>
        <v>0</v>
      </c>
      <c r="BX658" s="40">
        <f t="shared" si="433"/>
        <v>0</v>
      </c>
      <c r="BY658" s="40">
        <f t="shared" si="433"/>
        <v>0</v>
      </c>
      <c r="BZ658" s="40">
        <f t="shared" si="433"/>
        <v>0</v>
      </c>
      <c r="CA658" s="40">
        <f t="shared" si="433"/>
        <v>0</v>
      </c>
      <c r="CB658" s="40">
        <f t="shared" si="433"/>
        <v>0</v>
      </c>
      <c r="CC658" s="40">
        <f t="shared" si="433"/>
        <v>0</v>
      </c>
      <c r="CD658" s="40">
        <f t="shared" si="433"/>
        <v>0</v>
      </c>
    </row>
    <row r="659" spans="2:82" s="25" customFormat="1">
      <c r="B659" s="99" t="s">
        <v>2101</v>
      </c>
      <c r="C659" s="25" t="s">
        <v>2359</v>
      </c>
      <c r="D659" s="12" t="s">
        <v>2866</v>
      </c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709">
        <f t="shared" ref="AV659:BK659" si="434">SUM(AV660:AV662)</f>
        <v>3.6</v>
      </c>
      <c r="AW659" s="709">
        <f t="shared" si="434"/>
        <v>3.9</v>
      </c>
      <c r="AX659" s="709">
        <f t="shared" si="434"/>
        <v>1.3</v>
      </c>
      <c r="AY659" s="709">
        <f t="shared" si="434"/>
        <v>1.6</v>
      </c>
      <c r="AZ659" s="709">
        <f t="shared" si="434"/>
        <v>1.2</v>
      </c>
      <c r="BA659" s="709">
        <f t="shared" si="434"/>
        <v>1.9</v>
      </c>
      <c r="BB659" s="709">
        <f t="shared" si="434"/>
        <v>12.9</v>
      </c>
      <c r="BC659" s="709">
        <f t="shared" si="434"/>
        <v>40.000000000000007</v>
      </c>
      <c r="BD659" s="709">
        <f t="shared" si="434"/>
        <v>69.600000000000009</v>
      </c>
      <c r="BE659" s="709">
        <f>SUM(BE660:BE662)</f>
        <v>50.8</v>
      </c>
      <c r="BF659" s="709">
        <f t="shared" si="434"/>
        <v>73.5</v>
      </c>
      <c r="BG659" s="709">
        <f t="shared" si="434"/>
        <v>139.80000000000001</v>
      </c>
      <c r="BH659" s="709">
        <f t="shared" si="434"/>
        <v>141</v>
      </c>
      <c r="BI659" s="709">
        <f t="shared" si="434"/>
        <v>147.19999999999999</v>
      </c>
      <c r="BJ659" s="709">
        <f t="shared" si="434"/>
        <v>141.80000000000001</v>
      </c>
      <c r="BK659" s="709">
        <f t="shared" si="434"/>
        <v>159.4</v>
      </c>
      <c r="BL659" s="709">
        <f>SUM(BL660:BL662)</f>
        <v>145.5</v>
      </c>
      <c r="BM659" s="709">
        <f>SUM(BM660:BM662)</f>
        <v>153.19999999999999</v>
      </c>
      <c r="BN659" s="709">
        <f>SUM(BN660:BN662)</f>
        <v>151.4</v>
      </c>
      <c r="BO659" s="709">
        <f>SUM(BO660:BO662)</f>
        <v>140.13333333333333</v>
      </c>
      <c r="BU659" s="40">
        <f t="shared" si="410"/>
        <v>0</v>
      </c>
      <c r="BV659" s="40">
        <f t="shared" ref="BV659:CD659" si="435">BU659</f>
        <v>0</v>
      </c>
      <c r="BW659" s="40">
        <f t="shared" si="435"/>
        <v>0</v>
      </c>
      <c r="BX659" s="40">
        <f t="shared" si="435"/>
        <v>0</v>
      </c>
      <c r="BY659" s="40">
        <f t="shared" si="435"/>
        <v>0</v>
      </c>
      <c r="BZ659" s="40">
        <f t="shared" si="435"/>
        <v>0</v>
      </c>
      <c r="CA659" s="40">
        <f t="shared" si="435"/>
        <v>0</v>
      </c>
      <c r="CB659" s="40">
        <f t="shared" si="435"/>
        <v>0</v>
      </c>
      <c r="CC659" s="40">
        <f t="shared" si="435"/>
        <v>0</v>
      </c>
      <c r="CD659" s="40">
        <f t="shared" si="435"/>
        <v>0</v>
      </c>
    </row>
    <row r="660" spans="2:82">
      <c r="B660" s="843" t="s">
        <v>2102</v>
      </c>
      <c r="C660" s="515" t="s">
        <v>2359</v>
      </c>
      <c r="D660" s="844" t="s">
        <v>1225</v>
      </c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517">
        <v>0.5</v>
      </c>
      <c r="AW660" s="517">
        <v>0.4</v>
      </c>
      <c r="AX660" s="517">
        <v>0.5</v>
      </c>
      <c r="AY660" s="517">
        <v>0.9</v>
      </c>
      <c r="AZ660" s="517">
        <v>1.2</v>
      </c>
      <c r="BA660" s="517">
        <v>1.4</v>
      </c>
      <c r="BB660" s="517">
        <v>12.8</v>
      </c>
      <c r="BC660" s="517">
        <v>39.200000000000003</v>
      </c>
      <c r="BD660" s="517">
        <v>65.900000000000006</v>
      </c>
      <c r="BE660" s="517">
        <v>50.8</v>
      </c>
      <c r="BF660" s="389">
        <f t="shared" ref="BF660:BM660" si="436">BF722</f>
        <v>73.5</v>
      </c>
      <c r="BG660" s="389">
        <f t="shared" si="436"/>
        <v>139.80000000000001</v>
      </c>
      <c r="BH660" s="389">
        <f t="shared" si="436"/>
        <v>141</v>
      </c>
      <c r="BI660" s="389">
        <f t="shared" si="436"/>
        <v>147.19999999999999</v>
      </c>
      <c r="BJ660" s="389">
        <f t="shared" si="436"/>
        <v>141.80000000000001</v>
      </c>
      <c r="BK660" s="389">
        <f t="shared" si="436"/>
        <v>159.4</v>
      </c>
      <c r="BL660" s="389">
        <f t="shared" si="436"/>
        <v>145.5</v>
      </c>
      <c r="BM660" s="389">
        <f t="shared" si="436"/>
        <v>153.19999999999999</v>
      </c>
      <c r="BN660" s="389">
        <f>BN722</f>
        <v>151.4</v>
      </c>
      <c r="BO660" s="389">
        <f>BO722</f>
        <v>140.13333333333333</v>
      </c>
      <c r="BU660" s="40">
        <f t="shared" si="410"/>
        <v>0</v>
      </c>
      <c r="BV660" s="40">
        <f t="shared" ref="BV660:CD660" si="437">BU660</f>
        <v>0</v>
      </c>
      <c r="BW660" s="40">
        <f t="shared" si="437"/>
        <v>0</v>
      </c>
      <c r="BX660" s="40">
        <f t="shared" si="437"/>
        <v>0</v>
      </c>
      <c r="BY660" s="40">
        <f t="shared" si="437"/>
        <v>0</v>
      </c>
      <c r="BZ660" s="40">
        <f t="shared" si="437"/>
        <v>0</v>
      </c>
      <c r="CA660" s="40">
        <f t="shared" si="437"/>
        <v>0</v>
      </c>
      <c r="CB660" s="40">
        <f t="shared" si="437"/>
        <v>0</v>
      </c>
      <c r="CC660" s="40">
        <f t="shared" si="437"/>
        <v>0</v>
      </c>
      <c r="CD660" s="40">
        <f t="shared" si="437"/>
        <v>0</v>
      </c>
    </row>
    <row r="661" spans="2:82">
      <c r="B661" s="99" t="s">
        <v>2698</v>
      </c>
      <c r="C661" s="25" t="s">
        <v>2359</v>
      </c>
      <c r="D661" s="12" t="s">
        <v>2866</v>
      </c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517">
        <v>3.1</v>
      </c>
      <c r="AW661" s="517">
        <v>3.5</v>
      </c>
      <c r="AX661" s="517">
        <v>0.8</v>
      </c>
      <c r="AY661" s="517">
        <v>0.7</v>
      </c>
      <c r="AZ661" s="517">
        <v>0</v>
      </c>
      <c r="BA661" s="517">
        <v>0.5</v>
      </c>
      <c r="BB661" s="517">
        <v>0.1</v>
      </c>
      <c r="BC661" s="517">
        <v>0.7</v>
      </c>
      <c r="BD661" s="517">
        <v>3.7</v>
      </c>
      <c r="BE661" s="517">
        <v>0</v>
      </c>
      <c r="BF661" s="845">
        <v>0</v>
      </c>
      <c r="BG661" s="517"/>
      <c r="BH661" s="517"/>
      <c r="BI661" s="517"/>
      <c r="BJ661" s="539"/>
      <c r="BK661" s="285"/>
      <c r="BL661" s="285"/>
      <c r="BU661" s="40">
        <f t="shared" si="410"/>
        <v>0</v>
      </c>
      <c r="BV661" s="40">
        <f t="shared" ref="BV661:CD661" si="438">BU661</f>
        <v>0</v>
      </c>
      <c r="BW661" s="40">
        <f t="shared" si="438"/>
        <v>0</v>
      </c>
      <c r="BX661" s="40">
        <f t="shared" si="438"/>
        <v>0</v>
      </c>
      <c r="BY661" s="40">
        <f t="shared" si="438"/>
        <v>0</v>
      </c>
      <c r="BZ661" s="40">
        <f t="shared" si="438"/>
        <v>0</v>
      </c>
      <c r="CA661" s="40">
        <f t="shared" si="438"/>
        <v>0</v>
      </c>
      <c r="CB661" s="40">
        <f t="shared" si="438"/>
        <v>0</v>
      </c>
      <c r="CC661" s="40">
        <f t="shared" si="438"/>
        <v>0</v>
      </c>
      <c r="CD661" s="40">
        <f t="shared" si="438"/>
        <v>0</v>
      </c>
    </row>
    <row r="662" spans="2:82">
      <c r="B662" s="99" t="s">
        <v>2699</v>
      </c>
      <c r="C662" s="25" t="s">
        <v>2359</v>
      </c>
      <c r="D662" s="12" t="s">
        <v>2866</v>
      </c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306">
        <v>0</v>
      </c>
      <c r="AW662" s="306">
        <v>0</v>
      </c>
      <c r="AX662" s="306">
        <v>0</v>
      </c>
      <c r="AY662" s="306">
        <v>0</v>
      </c>
      <c r="AZ662" s="306">
        <v>0</v>
      </c>
      <c r="BA662" s="306">
        <v>0</v>
      </c>
      <c r="BB662" s="306">
        <v>0</v>
      </c>
      <c r="BC662" s="306">
        <v>0.1</v>
      </c>
      <c r="BD662" s="306">
        <v>0</v>
      </c>
      <c r="BE662" s="306">
        <v>0</v>
      </c>
      <c r="BF662" s="845">
        <v>0</v>
      </c>
      <c r="BG662" s="517"/>
      <c r="BH662" s="517"/>
      <c r="BI662" s="517"/>
      <c r="BJ662" s="539"/>
      <c r="BK662" s="285"/>
      <c r="BL662" s="285"/>
      <c r="BU662" s="40">
        <f t="shared" si="410"/>
        <v>0</v>
      </c>
      <c r="BV662" s="40">
        <f t="shared" ref="BV662:CD662" si="439">BU662</f>
        <v>0</v>
      </c>
      <c r="BW662" s="40">
        <f t="shared" si="439"/>
        <v>0</v>
      </c>
      <c r="BX662" s="40">
        <f t="shared" si="439"/>
        <v>0</v>
      </c>
      <c r="BY662" s="40">
        <f t="shared" si="439"/>
        <v>0</v>
      </c>
      <c r="BZ662" s="40">
        <f t="shared" si="439"/>
        <v>0</v>
      </c>
      <c r="CA662" s="40">
        <f t="shared" si="439"/>
        <v>0</v>
      </c>
      <c r="CB662" s="40">
        <f t="shared" si="439"/>
        <v>0</v>
      </c>
      <c r="CC662" s="40">
        <f t="shared" si="439"/>
        <v>0</v>
      </c>
      <c r="CD662" s="40">
        <f t="shared" si="439"/>
        <v>0</v>
      </c>
    </row>
    <row r="663" spans="2:82">
      <c r="B663" s="99" t="s">
        <v>631</v>
      </c>
      <c r="C663" s="25" t="s">
        <v>2359</v>
      </c>
      <c r="D663" s="12" t="s">
        <v>2866</v>
      </c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306">
        <v>0</v>
      </c>
      <c r="AW663" s="306">
        <v>0.1</v>
      </c>
      <c r="AX663" s="306">
        <v>0</v>
      </c>
      <c r="AY663" s="306">
        <v>0.2</v>
      </c>
      <c r="AZ663" s="306">
        <v>0</v>
      </c>
      <c r="BA663" s="306">
        <v>0.2</v>
      </c>
      <c r="BB663" s="306">
        <v>0</v>
      </c>
      <c r="BC663" s="306">
        <v>3.7</v>
      </c>
      <c r="BD663" s="306">
        <v>7.1</v>
      </c>
      <c r="BE663" s="306">
        <v>1.5</v>
      </c>
      <c r="BF663" s="845">
        <v>0.1</v>
      </c>
      <c r="BG663" s="517"/>
      <c r="BH663" s="517"/>
      <c r="BI663" s="517"/>
      <c r="BJ663" s="539"/>
      <c r="BK663" s="285"/>
      <c r="BL663" s="285"/>
      <c r="BU663" s="40">
        <f t="shared" si="410"/>
        <v>0</v>
      </c>
      <c r="BV663" s="40">
        <f t="shared" ref="BV663:CD663" si="440">BU663</f>
        <v>0</v>
      </c>
      <c r="BW663" s="40">
        <f t="shared" si="440"/>
        <v>0</v>
      </c>
      <c r="BX663" s="40">
        <f t="shared" si="440"/>
        <v>0</v>
      </c>
      <c r="BY663" s="40">
        <f t="shared" si="440"/>
        <v>0</v>
      </c>
      <c r="BZ663" s="40">
        <f t="shared" si="440"/>
        <v>0</v>
      </c>
      <c r="CA663" s="40">
        <f t="shared" si="440"/>
        <v>0</v>
      </c>
      <c r="CB663" s="40">
        <f t="shared" si="440"/>
        <v>0</v>
      </c>
      <c r="CC663" s="40">
        <f t="shared" si="440"/>
        <v>0</v>
      </c>
      <c r="CD663" s="40">
        <f t="shared" si="440"/>
        <v>0</v>
      </c>
    </row>
    <row r="664" spans="2:82">
      <c r="B664" s="661" t="s">
        <v>1185</v>
      </c>
      <c r="C664" s="25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306"/>
      <c r="AW664" s="306"/>
      <c r="AX664" s="306"/>
      <c r="AY664" s="306"/>
      <c r="AZ664" s="306"/>
      <c r="BA664" s="306"/>
      <c r="BB664" s="306"/>
      <c r="BC664" s="306"/>
      <c r="BD664" s="306"/>
      <c r="BE664" s="306"/>
      <c r="BF664" s="845"/>
      <c r="BG664" s="517"/>
      <c r="BH664" s="517"/>
      <c r="BI664" s="517"/>
      <c r="BJ664" s="539"/>
      <c r="BK664" s="285"/>
      <c r="BL664" s="285"/>
      <c r="BU664" s="40">
        <f t="shared" si="410"/>
        <v>0</v>
      </c>
      <c r="BV664" s="40">
        <f t="shared" ref="BV664:CD664" si="441">BU664</f>
        <v>0</v>
      </c>
      <c r="BW664" s="40">
        <f t="shared" si="441"/>
        <v>0</v>
      </c>
      <c r="BX664" s="40">
        <f t="shared" si="441"/>
        <v>0</v>
      </c>
      <c r="BY664" s="40">
        <f t="shared" si="441"/>
        <v>0</v>
      </c>
      <c r="BZ664" s="40">
        <f t="shared" si="441"/>
        <v>0</v>
      </c>
      <c r="CA664" s="40">
        <f t="shared" si="441"/>
        <v>0</v>
      </c>
      <c r="CB664" s="40">
        <f t="shared" si="441"/>
        <v>0</v>
      </c>
      <c r="CC664" s="40">
        <f t="shared" si="441"/>
        <v>0</v>
      </c>
      <c r="CD664" s="40">
        <f t="shared" si="441"/>
        <v>0</v>
      </c>
    </row>
    <row r="665" spans="2:82">
      <c r="B665" s="99" t="s">
        <v>630</v>
      </c>
      <c r="C665" s="25" t="s">
        <v>2359</v>
      </c>
      <c r="D665" s="12" t="s">
        <v>2866</v>
      </c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842">
        <f t="shared" ref="AV665:BK665" si="442">SUM(AV666:AV668)</f>
        <v>0.9</v>
      </c>
      <c r="AW665" s="842">
        <f t="shared" si="442"/>
        <v>1.5</v>
      </c>
      <c r="AX665" s="842">
        <f t="shared" si="442"/>
        <v>2.0999999999999996</v>
      </c>
      <c r="AY665" s="842">
        <f t="shared" si="442"/>
        <v>2.1</v>
      </c>
      <c r="AZ665" s="842">
        <f t="shared" si="442"/>
        <v>2.6</v>
      </c>
      <c r="BA665" s="842">
        <f t="shared" si="442"/>
        <v>2.2000000000000002</v>
      </c>
      <c r="BB665" s="842">
        <f t="shared" si="442"/>
        <v>20.900000000000002</v>
      </c>
      <c r="BC665" s="842">
        <f t="shared" si="442"/>
        <v>43.600000000000009</v>
      </c>
      <c r="BD665" s="842">
        <f t="shared" si="442"/>
        <v>54.4</v>
      </c>
      <c r="BE665" s="842">
        <f t="shared" si="442"/>
        <v>24.9</v>
      </c>
      <c r="BF665" s="842">
        <f t="shared" si="442"/>
        <v>37.6</v>
      </c>
      <c r="BG665" s="842">
        <f t="shared" si="442"/>
        <v>62.4</v>
      </c>
      <c r="BH665" s="842">
        <f t="shared" si="442"/>
        <v>50.5</v>
      </c>
      <c r="BI665" s="842">
        <f t="shared" si="442"/>
        <v>53.2</v>
      </c>
      <c r="BJ665" s="842">
        <f t="shared" si="442"/>
        <v>55.3</v>
      </c>
      <c r="BK665" s="842">
        <f t="shared" si="442"/>
        <v>72.099999999999994</v>
      </c>
      <c r="BL665" s="842">
        <f>SUM(BL666:BL668)</f>
        <v>72.8</v>
      </c>
      <c r="BM665" s="842">
        <f>SUM(BM666:BM668)</f>
        <v>86.6</v>
      </c>
      <c r="BN665" s="842">
        <f>SUM(BN666:BN668)</f>
        <v>80.2</v>
      </c>
      <c r="BO665" s="842">
        <f>SUM(BO666:BO668)</f>
        <v>74.666666666666657</v>
      </c>
      <c r="BU665" s="40">
        <f t="shared" si="410"/>
        <v>0</v>
      </c>
      <c r="BV665" s="40">
        <f t="shared" ref="BV665:CD665" si="443">BU665</f>
        <v>0</v>
      </c>
      <c r="BW665" s="40">
        <f t="shared" si="443"/>
        <v>0</v>
      </c>
      <c r="BX665" s="40">
        <f t="shared" si="443"/>
        <v>0</v>
      </c>
      <c r="BY665" s="40">
        <f t="shared" si="443"/>
        <v>0</v>
      </c>
      <c r="BZ665" s="40">
        <f t="shared" si="443"/>
        <v>0</v>
      </c>
      <c r="CA665" s="40">
        <f t="shared" si="443"/>
        <v>0</v>
      </c>
      <c r="CB665" s="40">
        <f t="shared" si="443"/>
        <v>0</v>
      </c>
      <c r="CC665" s="40">
        <f t="shared" si="443"/>
        <v>0</v>
      </c>
      <c r="CD665" s="40">
        <f t="shared" si="443"/>
        <v>0</v>
      </c>
    </row>
    <row r="666" spans="2:82">
      <c r="B666" s="843" t="s">
        <v>2102</v>
      </c>
      <c r="C666" s="515" t="s">
        <v>2359</v>
      </c>
      <c r="D666" s="844" t="s">
        <v>1225</v>
      </c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306">
        <v>0.8</v>
      </c>
      <c r="AW666" s="306">
        <v>1</v>
      </c>
      <c r="AX666" s="306">
        <v>1.4</v>
      </c>
      <c r="AY666" s="306">
        <v>1.8</v>
      </c>
      <c r="AZ666" s="306">
        <v>2.6</v>
      </c>
      <c r="BA666" s="306">
        <v>2.1</v>
      </c>
      <c r="BB666" s="306">
        <v>20.8</v>
      </c>
      <c r="BC666" s="306">
        <v>38.200000000000003</v>
      </c>
      <c r="BD666" s="306">
        <v>51.5</v>
      </c>
      <c r="BE666" s="306">
        <v>24.9</v>
      </c>
      <c r="BF666" s="389">
        <f t="shared" ref="BF666:BM666" si="444">-BF723</f>
        <v>37.6</v>
      </c>
      <c r="BG666" s="389">
        <f t="shared" si="444"/>
        <v>62.4</v>
      </c>
      <c r="BH666" s="389">
        <f t="shared" si="444"/>
        <v>50.5</v>
      </c>
      <c r="BI666" s="389">
        <f t="shared" si="444"/>
        <v>53.2</v>
      </c>
      <c r="BJ666" s="389">
        <f t="shared" si="444"/>
        <v>55.3</v>
      </c>
      <c r="BK666" s="389">
        <f t="shared" si="444"/>
        <v>72.099999999999994</v>
      </c>
      <c r="BL666" s="389">
        <f t="shared" si="444"/>
        <v>72.8</v>
      </c>
      <c r="BM666" s="389">
        <f t="shared" si="444"/>
        <v>86.6</v>
      </c>
      <c r="BN666" s="389">
        <f>-BN723</f>
        <v>80.2</v>
      </c>
      <c r="BO666" s="389">
        <f>-BO723</f>
        <v>74.666666666666657</v>
      </c>
      <c r="BU666" s="40">
        <f t="shared" si="410"/>
        <v>0</v>
      </c>
      <c r="BV666" s="40">
        <f t="shared" ref="BV666:CD666" si="445">BU666</f>
        <v>0</v>
      </c>
      <c r="BW666" s="40">
        <f t="shared" si="445"/>
        <v>0</v>
      </c>
      <c r="BX666" s="40">
        <f t="shared" si="445"/>
        <v>0</v>
      </c>
      <c r="BY666" s="40">
        <f t="shared" si="445"/>
        <v>0</v>
      </c>
      <c r="BZ666" s="40">
        <f t="shared" si="445"/>
        <v>0</v>
      </c>
      <c r="CA666" s="40">
        <f t="shared" si="445"/>
        <v>0</v>
      </c>
      <c r="CB666" s="40">
        <f t="shared" si="445"/>
        <v>0</v>
      </c>
      <c r="CC666" s="40">
        <f t="shared" si="445"/>
        <v>0</v>
      </c>
      <c r="CD666" s="40">
        <f t="shared" si="445"/>
        <v>0</v>
      </c>
    </row>
    <row r="667" spans="2:82">
      <c r="B667" s="99" t="s">
        <v>2698</v>
      </c>
      <c r="C667" s="25" t="s">
        <v>2359</v>
      </c>
      <c r="D667" s="12" t="s">
        <v>2866</v>
      </c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306">
        <v>0.1</v>
      </c>
      <c r="AW667" s="306">
        <v>0.5</v>
      </c>
      <c r="AX667" s="306">
        <v>0.7</v>
      </c>
      <c r="AY667" s="306">
        <v>0.3</v>
      </c>
      <c r="AZ667" s="306">
        <v>0</v>
      </c>
      <c r="BA667" s="306">
        <v>0.1</v>
      </c>
      <c r="BB667" s="306">
        <v>0.1</v>
      </c>
      <c r="BC667" s="306">
        <v>5.2</v>
      </c>
      <c r="BD667" s="306">
        <v>2.9</v>
      </c>
      <c r="BE667" s="306">
        <v>0</v>
      </c>
      <c r="BF667" s="845">
        <v>0</v>
      </c>
      <c r="BG667" s="517"/>
      <c r="BH667" s="517"/>
      <c r="BI667" s="517"/>
      <c r="BJ667" s="539"/>
      <c r="BK667" s="285"/>
      <c r="BL667" s="285"/>
      <c r="BU667" s="40">
        <f t="shared" si="410"/>
        <v>0</v>
      </c>
      <c r="BV667" s="40">
        <f t="shared" ref="BV667:CD667" si="446">BU667</f>
        <v>0</v>
      </c>
      <c r="BW667" s="40">
        <f t="shared" si="446"/>
        <v>0</v>
      </c>
      <c r="BX667" s="40">
        <f t="shared" si="446"/>
        <v>0</v>
      </c>
      <c r="BY667" s="40">
        <f t="shared" si="446"/>
        <v>0</v>
      </c>
      <c r="BZ667" s="40">
        <f t="shared" si="446"/>
        <v>0</v>
      </c>
      <c r="CA667" s="40">
        <f t="shared" si="446"/>
        <v>0</v>
      </c>
      <c r="CB667" s="40">
        <f t="shared" si="446"/>
        <v>0</v>
      </c>
      <c r="CC667" s="40">
        <f t="shared" si="446"/>
        <v>0</v>
      </c>
      <c r="CD667" s="40">
        <f t="shared" si="446"/>
        <v>0</v>
      </c>
    </row>
    <row r="668" spans="2:82">
      <c r="B668" s="99" t="s">
        <v>2699</v>
      </c>
      <c r="C668" s="25" t="s">
        <v>2359</v>
      </c>
      <c r="D668" s="12" t="s">
        <v>2866</v>
      </c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517">
        <v>0</v>
      </c>
      <c r="AW668" s="517">
        <v>0</v>
      </c>
      <c r="AX668" s="517">
        <v>0</v>
      </c>
      <c r="AY668" s="517">
        <v>0</v>
      </c>
      <c r="AZ668" s="517">
        <v>0</v>
      </c>
      <c r="BA668" s="517">
        <v>0</v>
      </c>
      <c r="BB668" s="517">
        <v>0</v>
      </c>
      <c r="BC668" s="517">
        <v>0.2</v>
      </c>
      <c r="BD668" s="517">
        <v>0</v>
      </c>
      <c r="BE668" s="517">
        <v>0</v>
      </c>
      <c r="BF668" s="845">
        <v>0</v>
      </c>
      <c r="BG668" s="517"/>
      <c r="BH668" s="517"/>
      <c r="BI668" s="517"/>
      <c r="BJ668" s="539"/>
      <c r="BK668" s="285"/>
      <c r="BL668" s="285"/>
      <c r="BU668" s="40">
        <f t="shared" si="410"/>
        <v>0</v>
      </c>
      <c r="BV668" s="40">
        <f t="shared" ref="BV668:CD668" si="447">BU668</f>
        <v>0</v>
      </c>
      <c r="BW668" s="40">
        <f t="shared" si="447"/>
        <v>0</v>
      </c>
      <c r="BX668" s="40">
        <f t="shared" si="447"/>
        <v>0</v>
      </c>
      <c r="BY668" s="40">
        <f t="shared" si="447"/>
        <v>0</v>
      </c>
      <c r="BZ668" s="40">
        <f t="shared" si="447"/>
        <v>0</v>
      </c>
      <c r="CA668" s="40">
        <f t="shared" si="447"/>
        <v>0</v>
      </c>
      <c r="CB668" s="40">
        <f t="shared" si="447"/>
        <v>0</v>
      </c>
      <c r="CC668" s="40">
        <f t="shared" si="447"/>
        <v>0</v>
      </c>
      <c r="CD668" s="40">
        <f t="shared" si="447"/>
        <v>0</v>
      </c>
    </row>
    <row r="669" spans="2:82">
      <c r="B669" s="99" t="s">
        <v>2700</v>
      </c>
      <c r="C669" s="25" t="s">
        <v>2359</v>
      </c>
      <c r="D669" s="12" t="s">
        <v>2866</v>
      </c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306">
        <v>1.6</v>
      </c>
      <c r="AW669" s="306">
        <v>1.5</v>
      </c>
      <c r="AX669" s="306">
        <v>1.5</v>
      </c>
      <c r="AY669" s="306">
        <v>1.2</v>
      </c>
      <c r="AZ669" s="306">
        <v>0.8</v>
      </c>
      <c r="BA669" s="306">
        <v>0.8</v>
      </c>
      <c r="BB669" s="306">
        <v>0.5</v>
      </c>
      <c r="BC669" s="306">
        <v>5.8</v>
      </c>
      <c r="BD669" s="306">
        <v>8.6</v>
      </c>
      <c r="BE669" s="306">
        <v>5.3</v>
      </c>
      <c r="BF669" s="845">
        <v>1.5</v>
      </c>
      <c r="BG669" s="517"/>
      <c r="BH669" s="517"/>
      <c r="BI669" s="517"/>
      <c r="BJ669" s="539"/>
      <c r="BK669" s="285"/>
      <c r="BL669" s="285"/>
      <c r="BU669" s="40">
        <f t="shared" si="410"/>
        <v>0</v>
      </c>
      <c r="BV669" s="40">
        <f t="shared" ref="BV669:CD669" si="448">BU669</f>
        <v>0</v>
      </c>
      <c r="BW669" s="40">
        <f t="shared" si="448"/>
        <v>0</v>
      </c>
      <c r="BX669" s="40">
        <f t="shared" si="448"/>
        <v>0</v>
      </c>
      <c r="BY669" s="40">
        <f t="shared" si="448"/>
        <v>0</v>
      </c>
      <c r="BZ669" s="40">
        <f t="shared" si="448"/>
        <v>0</v>
      </c>
      <c r="CA669" s="40">
        <f t="shared" si="448"/>
        <v>0</v>
      </c>
      <c r="CB669" s="40">
        <f t="shared" si="448"/>
        <v>0</v>
      </c>
      <c r="CC669" s="40">
        <f t="shared" si="448"/>
        <v>0</v>
      </c>
      <c r="CD669" s="40">
        <f t="shared" si="448"/>
        <v>0</v>
      </c>
    </row>
    <row r="670" spans="2:82">
      <c r="B670" s="661" t="s">
        <v>1186</v>
      </c>
      <c r="C670" s="25" t="s">
        <v>2359</v>
      </c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709"/>
      <c r="AW670" s="709"/>
      <c r="AX670" s="709"/>
      <c r="AY670" s="709"/>
      <c r="AZ670" s="709"/>
      <c r="BA670" s="709"/>
      <c r="BB670" s="709"/>
      <c r="BC670" s="709"/>
      <c r="BD670" s="709"/>
      <c r="BE670" s="709"/>
      <c r="BF670" s="842"/>
      <c r="BH670" s="285"/>
      <c r="BI670" s="285"/>
      <c r="BJ670" s="285"/>
      <c r="BK670" s="285"/>
      <c r="BL670" s="285"/>
      <c r="BU670" s="40">
        <f t="shared" si="410"/>
        <v>0</v>
      </c>
      <c r="BV670" s="40">
        <f t="shared" ref="BV670:CD670" si="449">BU670</f>
        <v>0</v>
      </c>
      <c r="BW670" s="40">
        <f t="shared" si="449"/>
        <v>0</v>
      </c>
      <c r="BX670" s="40">
        <f t="shared" si="449"/>
        <v>0</v>
      </c>
      <c r="BY670" s="40">
        <f t="shared" si="449"/>
        <v>0</v>
      </c>
      <c r="BZ670" s="40">
        <f t="shared" si="449"/>
        <v>0</v>
      </c>
      <c r="CA670" s="40">
        <f t="shared" si="449"/>
        <v>0</v>
      </c>
      <c r="CB670" s="40">
        <f t="shared" si="449"/>
        <v>0</v>
      </c>
      <c r="CC670" s="40">
        <f t="shared" si="449"/>
        <v>0</v>
      </c>
      <c r="CD670" s="40">
        <f t="shared" si="449"/>
        <v>0</v>
      </c>
    </row>
    <row r="671" spans="2:82">
      <c r="B671" s="843" t="s">
        <v>2796</v>
      </c>
      <c r="C671" s="515"/>
      <c r="D671" s="844" t="s">
        <v>1223</v>
      </c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709"/>
      <c r="AW671" s="709"/>
      <c r="AX671" s="709"/>
      <c r="AY671" s="709"/>
      <c r="AZ671" s="709"/>
      <c r="BA671" s="709"/>
      <c r="BB671" s="306">
        <v>-36.5</v>
      </c>
      <c r="BC671" s="306">
        <v>-55.6</v>
      </c>
      <c r="BD671" s="306">
        <v>-11.4</v>
      </c>
      <c r="BE671" s="306">
        <v>25</v>
      </c>
      <c r="BF671" s="389">
        <f t="shared" ref="BF671:BL671" si="450">BF734</f>
        <v>-163.4</v>
      </c>
      <c r="BG671" s="389">
        <f t="shared" si="450"/>
        <v>-246.7</v>
      </c>
      <c r="BH671" s="389">
        <f t="shared" si="450"/>
        <v>-231.4</v>
      </c>
      <c r="BI671" s="389">
        <f t="shared" si="450"/>
        <v>-93.4</v>
      </c>
      <c r="BJ671" s="389">
        <f t="shared" si="450"/>
        <v>-247.7</v>
      </c>
      <c r="BK671" s="389">
        <f t="shared" si="450"/>
        <v>69.8</v>
      </c>
      <c r="BL671" s="389">
        <f t="shared" si="450"/>
        <v>121.3</v>
      </c>
      <c r="BM671" s="389">
        <f>BM734</f>
        <v>138.30000000000001</v>
      </c>
      <c r="BN671" s="389">
        <f>BN734</f>
        <v>14.2</v>
      </c>
      <c r="BO671" s="389">
        <f>BO734</f>
        <v>-138.53333333333333</v>
      </c>
      <c r="BU671" s="40">
        <f t="shared" si="410"/>
        <v>0</v>
      </c>
      <c r="BV671" s="40">
        <f t="shared" ref="BV671:CD671" si="451">BU671</f>
        <v>0</v>
      </c>
      <c r="BW671" s="40">
        <f t="shared" si="451"/>
        <v>0</v>
      </c>
      <c r="BX671" s="40">
        <f t="shared" si="451"/>
        <v>0</v>
      </c>
      <c r="BY671" s="40">
        <f t="shared" si="451"/>
        <v>0</v>
      </c>
      <c r="BZ671" s="40">
        <f t="shared" si="451"/>
        <v>0</v>
      </c>
      <c r="CA671" s="40">
        <f t="shared" si="451"/>
        <v>0</v>
      </c>
      <c r="CB671" s="40">
        <f t="shared" si="451"/>
        <v>0</v>
      </c>
      <c r="CC671" s="40">
        <f t="shared" si="451"/>
        <v>0</v>
      </c>
      <c r="CD671" s="40">
        <f t="shared" si="451"/>
        <v>0</v>
      </c>
    </row>
    <row r="672" spans="2:82">
      <c r="B672" s="843" t="s">
        <v>4057</v>
      </c>
      <c r="C672" s="515"/>
      <c r="D672" s="844" t="s">
        <v>1223</v>
      </c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709"/>
      <c r="AW672" s="709"/>
      <c r="AX672" s="709"/>
      <c r="AY672" s="709"/>
      <c r="AZ672" s="709"/>
      <c r="BA672" s="709"/>
      <c r="BB672" s="306">
        <v>23.9</v>
      </c>
      <c r="BC672" s="306">
        <v>47.4</v>
      </c>
      <c r="BD672" s="306">
        <v>28.7</v>
      </c>
      <c r="BE672" s="306">
        <v>93.1</v>
      </c>
      <c r="BF672" s="389">
        <f t="shared" ref="BF672:BL672" si="452">BF743</f>
        <v>6.7</v>
      </c>
      <c r="BG672" s="389">
        <f t="shared" si="452"/>
        <v>77.8</v>
      </c>
      <c r="BH672" s="389">
        <f t="shared" si="452"/>
        <v>169.4</v>
      </c>
      <c r="BI672" s="389">
        <f t="shared" si="452"/>
        <v>3.6</v>
      </c>
      <c r="BJ672" s="389">
        <f t="shared" si="452"/>
        <v>-278.5</v>
      </c>
      <c r="BK672" s="389">
        <f t="shared" si="452"/>
        <v>-347.9</v>
      </c>
      <c r="BL672" s="389">
        <f t="shared" si="452"/>
        <v>283</v>
      </c>
      <c r="BM672" s="389">
        <f>BM743</f>
        <v>136.5</v>
      </c>
      <c r="BN672" s="389">
        <f>BN743</f>
        <v>-102.7</v>
      </c>
      <c r="BO672" s="389">
        <f>BO743</f>
        <v>71.466666666666654</v>
      </c>
      <c r="BU672" s="40">
        <f t="shared" si="410"/>
        <v>0</v>
      </c>
      <c r="BV672" s="40">
        <f t="shared" ref="BV672:CD672" si="453">BU672</f>
        <v>0</v>
      </c>
      <c r="BW672" s="40">
        <f t="shared" si="453"/>
        <v>0</v>
      </c>
      <c r="BX672" s="40">
        <f t="shared" si="453"/>
        <v>0</v>
      </c>
      <c r="BY672" s="40">
        <f t="shared" si="453"/>
        <v>0</v>
      </c>
      <c r="BZ672" s="40">
        <f t="shared" si="453"/>
        <v>0</v>
      </c>
      <c r="CA672" s="40">
        <f t="shared" si="453"/>
        <v>0</v>
      </c>
      <c r="CB672" s="40">
        <f t="shared" si="453"/>
        <v>0</v>
      </c>
      <c r="CC672" s="40">
        <f t="shared" si="453"/>
        <v>0</v>
      </c>
      <c r="CD672" s="40">
        <f t="shared" si="453"/>
        <v>0</v>
      </c>
    </row>
    <row r="673" spans="2:91">
      <c r="B673" s="99" t="s">
        <v>3596</v>
      </c>
      <c r="C673" s="25" t="s">
        <v>2359</v>
      </c>
      <c r="D673" s="12" t="s">
        <v>2618</v>
      </c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306">
        <v>42.8</v>
      </c>
      <c r="AW673" s="306">
        <v>25.9</v>
      </c>
      <c r="AX673" s="306">
        <v>35.299999999999997</v>
      </c>
      <c r="AY673" s="306">
        <v>-0.5</v>
      </c>
      <c r="AZ673" s="306">
        <v>-61.7</v>
      </c>
      <c r="BA673" s="306">
        <v>52.6</v>
      </c>
      <c r="BB673" s="842">
        <f t="shared" ref="BB673:BK673" si="454">SUM(BB671:BB672)</f>
        <v>-12.600000000000001</v>
      </c>
      <c r="BC673" s="842">
        <f t="shared" si="454"/>
        <v>-8.2000000000000028</v>
      </c>
      <c r="BD673" s="842">
        <f t="shared" si="454"/>
        <v>17.299999999999997</v>
      </c>
      <c r="BE673" s="842">
        <f t="shared" si="454"/>
        <v>118.1</v>
      </c>
      <c r="BF673" s="842">
        <f t="shared" si="454"/>
        <v>-156.70000000000002</v>
      </c>
      <c r="BG673" s="842">
        <f t="shared" si="454"/>
        <v>-168.89999999999998</v>
      </c>
      <c r="BH673" s="842">
        <f t="shared" si="454"/>
        <v>-62</v>
      </c>
      <c r="BI673" s="842">
        <f t="shared" si="454"/>
        <v>-89.800000000000011</v>
      </c>
      <c r="BJ673" s="842">
        <f t="shared" si="454"/>
        <v>-526.20000000000005</v>
      </c>
      <c r="BK673" s="842">
        <f t="shared" si="454"/>
        <v>-278.09999999999997</v>
      </c>
      <c r="BL673" s="842">
        <f>SUM(BL671:BL672)</f>
        <v>404.3</v>
      </c>
      <c r="BM673" s="842">
        <f>SUM(BM671:BM672)</f>
        <v>274.8</v>
      </c>
      <c r="BN673" s="842">
        <f>SUM(BN671:BN672)</f>
        <v>-88.5</v>
      </c>
      <c r="BO673" s="842">
        <f>SUM(BO671:BO672)</f>
        <v>-67.066666666666677</v>
      </c>
      <c r="BU673" s="40">
        <f t="shared" si="410"/>
        <v>0</v>
      </c>
      <c r="BV673" s="40">
        <f t="shared" ref="BV673:CD673" si="455">BU673</f>
        <v>0</v>
      </c>
      <c r="BW673" s="40">
        <f t="shared" si="455"/>
        <v>0</v>
      </c>
      <c r="BX673" s="40">
        <f t="shared" si="455"/>
        <v>0</v>
      </c>
      <c r="BY673" s="40">
        <f t="shared" si="455"/>
        <v>0</v>
      </c>
      <c r="BZ673" s="40">
        <f t="shared" si="455"/>
        <v>0</v>
      </c>
      <c r="CA673" s="40">
        <f t="shared" si="455"/>
        <v>0</v>
      </c>
      <c r="CB673" s="40">
        <f t="shared" si="455"/>
        <v>0</v>
      </c>
      <c r="CC673" s="40">
        <f t="shared" si="455"/>
        <v>0</v>
      </c>
      <c r="CD673" s="40">
        <f t="shared" si="455"/>
        <v>0</v>
      </c>
    </row>
    <row r="674" spans="2:91">
      <c r="B674" s="661" t="s">
        <v>2508</v>
      </c>
      <c r="C674" s="25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306"/>
      <c r="AW674" s="306"/>
      <c r="AX674" s="306"/>
      <c r="AY674" s="306"/>
      <c r="AZ674" s="306"/>
      <c r="BA674" s="306"/>
      <c r="BB674" s="709"/>
      <c r="BC674" s="709"/>
      <c r="BD674" s="709"/>
      <c r="BE674" s="709"/>
      <c r="BF674" s="842"/>
      <c r="BH674" s="285"/>
      <c r="BI674" s="285"/>
      <c r="BJ674" s="285"/>
      <c r="BK674" s="285"/>
      <c r="BL674" s="285"/>
      <c r="BU674" s="40">
        <f t="shared" si="410"/>
        <v>0</v>
      </c>
      <c r="BV674" s="40">
        <f t="shared" ref="BV674:CD674" si="456">BU674</f>
        <v>0</v>
      </c>
      <c r="BW674" s="40">
        <f t="shared" si="456"/>
        <v>0</v>
      </c>
      <c r="BX674" s="40">
        <f t="shared" si="456"/>
        <v>0</v>
      </c>
      <c r="BY674" s="40">
        <f t="shared" si="456"/>
        <v>0</v>
      </c>
      <c r="BZ674" s="40">
        <f t="shared" si="456"/>
        <v>0</v>
      </c>
      <c r="CA674" s="40">
        <f t="shared" si="456"/>
        <v>0</v>
      </c>
      <c r="CB674" s="40">
        <f t="shared" si="456"/>
        <v>0</v>
      </c>
      <c r="CC674" s="40">
        <f t="shared" si="456"/>
        <v>0</v>
      </c>
      <c r="CD674" s="40">
        <f t="shared" si="456"/>
        <v>0</v>
      </c>
    </row>
    <row r="675" spans="2:91">
      <c r="B675" s="843" t="s">
        <v>2067</v>
      </c>
      <c r="C675" s="515" t="s">
        <v>2359</v>
      </c>
      <c r="D675" s="844" t="s">
        <v>1223</v>
      </c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306">
        <v>41.6</v>
      </c>
      <c r="AW675" s="306">
        <v>14.6</v>
      </c>
      <c r="AX675" s="306">
        <v>6.6</v>
      </c>
      <c r="AY675" s="306">
        <v>3.5</v>
      </c>
      <c r="AZ675" s="306">
        <v>2.2999999999999998</v>
      </c>
      <c r="BA675" s="306">
        <v>1.5</v>
      </c>
      <c r="BB675" s="306">
        <v>5.9</v>
      </c>
      <c r="BC675" s="306">
        <v>9</v>
      </c>
      <c r="BD675" s="306">
        <v>18.899999999999999</v>
      </c>
      <c r="BE675" s="306">
        <v>14.5</v>
      </c>
      <c r="BF675" s="389">
        <f t="shared" ref="BF675:BL675" si="457">BF725</f>
        <v>19.3</v>
      </c>
      <c r="BG675" s="389">
        <f t="shared" si="457"/>
        <v>8.1</v>
      </c>
      <c r="BH675" s="389">
        <f t="shared" si="457"/>
        <v>31.9</v>
      </c>
      <c r="BI675" s="389">
        <f t="shared" si="457"/>
        <v>87.4</v>
      </c>
      <c r="BJ675" s="389">
        <f t="shared" si="457"/>
        <v>53.9</v>
      </c>
      <c r="BK675" s="389">
        <f t="shared" si="457"/>
        <v>35</v>
      </c>
      <c r="BL675" s="389">
        <f t="shared" si="457"/>
        <v>-7</v>
      </c>
      <c r="BM675" s="389">
        <f>BM725</f>
        <v>0.1</v>
      </c>
      <c r="BN675" s="389">
        <f>BN725</f>
        <v>-0.5</v>
      </c>
      <c r="BO675" s="389">
        <f>BO725</f>
        <v>0</v>
      </c>
      <c r="BU675" s="40">
        <f t="shared" ref="BU675:BU738" si="458">BT675</f>
        <v>0</v>
      </c>
      <c r="BV675" s="40">
        <f>BU675</f>
        <v>0</v>
      </c>
      <c r="BW675" s="40">
        <f>BV675</f>
        <v>0</v>
      </c>
      <c r="BX675" s="40">
        <f t="shared" ref="BV675:CD690" si="459">BW675</f>
        <v>0</v>
      </c>
      <c r="BY675" s="40">
        <f t="shared" si="459"/>
        <v>0</v>
      </c>
      <c r="BZ675" s="40">
        <f t="shared" si="459"/>
        <v>0</v>
      </c>
      <c r="CA675" s="40">
        <f t="shared" si="459"/>
        <v>0</v>
      </c>
      <c r="CB675" s="40">
        <f t="shared" si="459"/>
        <v>0</v>
      </c>
      <c r="CC675" s="40">
        <f t="shared" si="459"/>
        <v>0</v>
      </c>
      <c r="CD675" s="40">
        <f t="shared" si="459"/>
        <v>0</v>
      </c>
    </row>
    <row r="676" spans="2:91">
      <c r="B676" s="99" t="s">
        <v>3597</v>
      </c>
      <c r="C676" s="25" t="s">
        <v>2359</v>
      </c>
      <c r="D676" s="12" t="s">
        <v>2618</v>
      </c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709">
        <v>0</v>
      </c>
      <c r="AW676" s="709">
        <v>0</v>
      </c>
      <c r="AX676" s="709">
        <v>0</v>
      </c>
      <c r="AY676" s="709">
        <v>0</v>
      </c>
      <c r="AZ676" s="709">
        <v>0</v>
      </c>
      <c r="BA676" s="709">
        <v>0</v>
      </c>
      <c r="BB676" s="709">
        <v>0</v>
      </c>
      <c r="BC676" s="709">
        <v>0</v>
      </c>
      <c r="BD676" s="709">
        <v>0</v>
      </c>
      <c r="BE676" s="709">
        <v>0</v>
      </c>
      <c r="BF676" s="842">
        <v>0</v>
      </c>
      <c r="BG676" s="285">
        <v>0</v>
      </c>
      <c r="BH676" s="285">
        <v>0</v>
      </c>
      <c r="BI676" s="285">
        <v>0</v>
      </c>
      <c r="BJ676" s="285">
        <v>0</v>
      </c>
      <c r="BK676" s="285"/>
      <c r="BL676" s="285"/>
      <c r="BM676" s="285"/>
      <c r="BN676" s="285"/>
      <c r="BO676" s="285"/>
      <c r="BP676" s="25"/>
      <c r="BQ676" s="25"/>
      <c r="BR676" s="25"/>
      <c r="BS676" s="25"/>
      <c r="BT676" s="25"/>
      <c r="BU676" s="40">
        <f t="shared" si="458"/>
        <v>0</v>
      </c>
      <c r="BV676" s="40">
        <f t="shared" si="459"/>
        <v>0</v>
      </c>
      <c r="BW676" s="40">
        <f t="shared" si="459"/>
        <v>0</v>
      </c>
      <c r="BX676" s="40">
        <f t="shared" si="459"/>
        <v>0</v>
      </c>
      <c r="BY676" s="40">
        <f t="shared" si="459"/>
        <v>0</v>
      </c>
      <c r="BZ676" s="40">
        <f t="shared" si="459"/>
        <v>0</v>
      </c>
      <c r="CA676" s="40">
        <f t="shared" si="459"/>
        <v>0</v>
      </c>
      <c r="CB676" s="40">
        <f t="shared" si="459"/>
        <v>0</v>
      </c>
      <c r="CC676" s="40">
        <f t="shared" si="459"/>
        <v>0</v>
      </c>
      <c r="CD676" s="40">
        <f t="shared" si="459"/>
        <v>0</v>
      </c>
      <c r="CE676" s="25"/>
      <c r="CF676" s="25"/>
      <c r="CG676" s="25"/>
      <c r="CH676" s="25"/>
      <c r="CI676" s="25"/>
      <c r="CJ676" s="25"/>
      <c r="CK676" s="25"/>
      <c r="CM676" s="25"/>
    </row>
    <row r="677" spans="2:91">
      <c r="B677" s="843" t="s">
        <v>1187</v>
      </c>
      <c r="C677" s="515" t="s">
        <v>2359</v>
      </c>
      <c r="D677" s="844" t="s">
        <v>1223</v>
      </c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847">
        <v>-15</v>
      </c>
      <c r="AW677" s="847">
        <v>1.3</v>
      </c>
      <c r="AX677" s="847">
        <v>19.3</v>
      </c>
      <c r="AY677" s="847">
        <v>16.100000000000001</v>
      </c>
      <c r="AZ677" s="847">
        <v>-21.4</v>
      </c>
      <c r="BA677" s="306">
        <v>50.7</v>
      </c>
      <c r="BB677" s="306">
        <v>-30.8</v>
      </c>
      <c r="BC677" s="306">
        <v>-23.8</v>
      </c>
      <c r="BD677" s="306">
        <v>-18.3</v>
      </c>
      <c r="BE677" s="306">
        <v>-14.4</v>
      </c>
      <c r="BF677" s="389">
        <f t="shared" ref="BF677:BL677" si="460">BF746</f>
        <v>-28.8</v>
      </c>
      <c r="BG677" s="389">
        <f t="shared" si="460"/>
        <v>-98.1</v>
      </c>
      <c r="BH677" s="389">
        <f t="shared" si="460"/>
        <v>12.2</v>
      </c>
      <c r="BI677" s="389">
        <f t="shared" si="460"/>
        <v>-5.9</v>
      </c>
      <c r="BJ677" s="389">
        <f t="shared" si="460"/>
        <v>66.400000000000006</v>
      </c>
      <c r="BK677" s="389">
        <f t="shared" si="460"/>
        <v>120.7</v>
      </c>
      <c r="BL677" s="389">
        <f t="shared" si="460"/>
        <v>103.4</v>
      </c>
      <c r="BM677" s="389">
        <f>BM746</f>
        <v>164.9</v>
      </c>
      <c r="BN677" s="389">
        <f>BN746</f>
        <v>79.7</v>
      </c>
      <c r="BO677" s="389">
        <f>BO746</f>
        <v>110.93333333333334</v>
      </c>
      <c r="BU677" s="40">
        <f t="shared" si="458"/>
        <v>0</v>
      </c>
      <c r="BV677" s="40">
        <f t="shared" si="459"/>
        <v>0</v>
      </c>
      <c r="BW677" s="40">
        <f t="shared" si="459"/>
        <v>0</v>
      </c>
      <c r="BX677" s="40">
        <f t="shared" si="459"/>
        <v>0</v>
      </c>
      <c r="BY677" s="40">
        <f t="shared" si="459"/>
        <v>0</v>
      </c>
      <c r="BZ677" s="40">
        <f t="shared" si="459"/>
        <v>0</v>
      </c>
      <c r="CA677" s="40">
        <f t="shared" si="459"/>
        <v>0</v>
      </c>
      <c r="CB677" s="40">
        <f t="shared" si="459"/>
        <v>0</v>
      </c>
      <c r="CC677" s="40">
        <f t="shared" si="459"/>
        <v>0</v>
      </c>
      <c r="CD677" s="40">
        <f t="shared" si="459"/>
        <v>0</v>
      </c>
    </row>
    <row r="678" spans="2:91">
      <c r="B678" s="99" t="s">
        <v>2509</v>
      </c>
      <c r="C678" s="25" t="s">
        <v>2359</v>
      </c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709"/>
      <c r="AW678" s="709"/>
      <c r="AX678" s="709"/>
      <c r="AY678" s="709"/>
      <c r="AZ678" s="709"/>
      <c r="BA678" s="709"/>
      <c r="BB678" s="709"/>
      <c r="BC678" s="709"/>
      <c r="BD678" s="709"/>
      <c r="BE678" s="709"/>
      <c r="BF678" s="842"/>
      <c r="BG678" s="285" t="s">
        <v>2219</v>
      </c>
      <c r="BH678" s="285"/>
      <c r="BI678" s="285"/>
      <c r="BJ678" s="285"/>
      <c r="BK678" s="285"/>
      <c r="BL678" s="285"/>
      <c r="BM678" s="285"/>
      <c r="BN678" s="285"/>
      <c r="BO678" s="285"/>
      <c r="BU678" s="40">
        <f t="shared" si="458"/>
        <v>0</v>
      </c>
      <c r="BV678" s="40">
        <f t="shared" si="459"/>
        <v>0</v>
      </c>
      <c r="BW678" s="40">
        <f t="shared" si="459"/>
        <v>0</v>
      </c>
      <c r="BX678" s="40">
        <f t="shared" si="459"/>
        <v>0</v>
      </c>
      <c r="BY678" s="40">
        <f t="shared" si="459"/>
        <v>0</v>
      </c>
      <c r="BZ678" s="40">
        <f t="shared" si="459"/>
        <v>0</v>
      </c>
      <c r="CA678" s="40">
        <f t="shared" si="459"/>
        <v>0</v>
      </c>
      <c r="CB678" s="40">
        <f t="shared" si="459"/>
        <v>0</v>
      </c>
      <c r="CC678" s="40">
        <f t="shared" si="459"/>
        <v>0</v>
      </c>
      <c r="CD678" s="40">
        <f t="shared" si="459"/>
        <v>0</v>
      </c>
    </row>
    <row r="679" spans="2:91">
      <c r="B679" s="843" t="s">
        <v>1202</v>
      </c>
      <c r="C679" s="25" t="s">
        <v>2359</v>
      </c>
      <c r="D679" s="844" t="s">
        <v>1223</v>
      </c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306">
        <v>17.100000000000001</v>
      </c>
      <c r="AW679" s="306">
        <v>-3.7</v>
      </c>
      <c r="AX679" s="306">
        <v>-43.7</v>
      </c>
      <c r="AY679" s="306">
        <v>-7.1</v>
      </c>
      <c r="AZ679" s="848">
        <v>-0.7</v>
      </c>
      <c r="BA679" s="848">
        <v>2.2999999999999998</v>
      </c>
      <c r="BB679" s="848">
        <v>0.9</v>
      </c>
      <c r="BC679" s="849">
        <v>1.3</v>
      </c>
      <c r="BD679" s="849">
        <v>0.5</v>
      </c>
      <c r="BE679" s="849">
        <v>6.6</v>
      </c>
      <c r="BF679" s="389">
        <f t="shared" ref="BF679:BL679" si="461">-BF762</f>
        <v>8.6999999999999993</v>
      </c>
      <c r="BG679" s="389">
        <f t="shared" si="461"/>
        <v>19.899999999999999</v>
      </c>
      <c r="BH679" s="389">
        <f t="shared" si="461"/>
        <v>-9.1</v>
      </c>
      <c r="BI679" s="389">
        <f t="shared" si="461"/>
        <v>16</v>
      </c>
      <c r="BJ679" s="389">
        <f t="shared" si="461"/>
        <v>-1.2</v>
      </c>
      <c r="BK679" s="389">
        <f t="shared" si="461"/>
        <v>1.9</v>
      </c>
      <c r="BL679" s="389">
        <f t="shared" si="461"/>
        <v>11.3</v>
      </c>
      <c r="BM679" s="389">
        <f>-BM762</f>
        <v>-80.900000000000006</v>
      </c>
      <c r="BN679" s="389">
        <f>-BN762</f>
        <v>-3.5</v>
      </c>
      <c r="BO679" s="389">
        <f>-BO762</f>
        <v>-22.266666666666666</v>
      </c>
      <c r="BU679" s="40">
        <f t="shared" si="458"/>
        <v>0</v>
      </c>
      <c r="BV679" s="40">
        <f t="shared" si="459"/>
        <v>0</v>
      </c>
      <c r="BW679" s="40">
        <f t="shared" si="459"/>
        <v>0</v>
      </c>
      <c r="BX679" s="40">
        <f t="shared" si="459"/>
        <v>0</v>
      </c>
      <c r="BY679" s="40">
        <f t="shared" si="459"/>
        <v>0</v>
      </c>
      <c r="BZ679" s="40">
        <f t="shared" si="459"/>
        <v>0</v>
      </c>
      <c r="CA679" s="40">
        <f t="shared" si="459"/>
        <v>0</v>
      </c>
      <c r="CB679" s="40">
        <f t="shared" si="459"/>
        <v>0</v>
      </c>
      <c r="CC679" s="40">
        <f t="shared" si="459"/>
        <v>0</v>
      </c>
      <c r="CD679" s="40">
        <f t="shared" si="459"/>
        <v>0</v>
      </c>
    </row>
    <row r="680" spans="2:91">
      <c r="B680" s="850" t="s">
        <v>2068</v>
      </c>
      <c r="C680" s="25" t="s">
        <v>2359</v>
      </c>
      <c r="D680" s="12" t="s">
        <v>2864</v>
      </c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306">
        <v>7.3</v>
      </c>
      <c r="AW680" s="306">
        <v>-3.9</v>
      </c>
      <c r="AX680" s="306">
        <v>119.4</v>
      </c>
      <c r="AY680" s="306">
        <v>-104.5</v>
      </c>
      <c r="AZ680" s="848">
        <v>40.200000000000003</v>
      </c>
      <c r="BA680" s="848">
        <v>65.099999999999994</v>
      </c>
      <c r="BB680" s="848">
        <v>158.5</v>
      </c>
      <c r="BC680" s="849">
        <v>171.4</v>
      </c>
      <c r="BD680" s="849">
        <v>81.2</v>
      </c>
      <c r="BE680" s="849">
        <v>140.6</v>
      </c>
      <c r="BF680" s="306">
        <v>66.900000000000006</v>
      </c>
      <c r="BG680" s="517">
        <v>131.30000000000001</v>
      </c>
      <c r="BH680" s="517">
        <v>-38.200000000000003</v>
      </c>
      <c r="BI680" s="517">
        <v>-181.4</v>
      </c>
      <c r="BJ680" s="539">
        <v>-477.4</v>
      </c>
      <c r="BK680" s="285"/>
      <c r="BL680" s="285"/>
      <c r="BU680" s="40">
        <f t="shared" si="458"/>
        <v>0</v>
      </c>
      <c r="BV680" s="40">
        <f t="shared" si="459"/>
        <v>0</v>
      </c>
      <c r="BW680" s="40">
        <f t="shared" si="459"/>
        <v>0</v>
      </c>
      <c r="BX680" s="40">
        <f t="shared" si="459"/>
        <v>0</v>
      </c>
      <c r="BY680" s="40">
        <f t="shared" si="459"/>
        <v>0</v>
      </c>
      <c r="BZ680" s="40">
        <f t="shared" si="459"/>
        <v>0</v>
      </c>
      <c r="CA680" s="40">
        <f t="shared" si="459"/>
        <v>0</v>
      </c>
      <c r="CB680" s="40">
        <f t="shared" si="459"/>
        <v>0</v>
      </c>
      <c r="CC680" s="40">
        <f t="shared" si="459"/>
        <v>0</v>
      </c>
      <c r="CD680" s="40">
        <f t="shared" si="459"/>
        <v>0</v>
      </c>
    </row>
    <row r="681" spans="2:91">
      <c r="B681" s="661" t="s">
        <v>1082</v>
      </c>
      <c r="C681" s="25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306"/>
      <c r="AW681" s="306"/>
      <c r="AX681" s="306"/>
      <c r="AY681" s="306"/>
      <c r="AZ681" s="848"/>
      <c r="BA681" s="848"/>
      <c r="BB681" s="848"/>
      <c r="BC681" s="849"/>
      <c r="BD681" s="849"/>
      <c r="BE681" s="849"/>
      <c r="BF681" s="845"/>
      <c r="BG681" s="517"/>
      <c r="BH681" s="517"/>
      <c r="BI681" s="517"/>
      <c r="BJ681" s="285"/>
      <c r="BK681" s="285"/>
      <c r="BU681" s="40">
        <f t="shared" si="458"/>
        <v>0</v>
      </c>
      <c r="BV681" s="40">
        <f t="shared" si="459"/>
        <v>0</v>
      </c>
      <c r="BW681" s="40">
        <f t="shared" si="459"/>
        <v>0</v>
      </c>
      <c r="BX681" s="40">
        <f t="shared" si="459"/>
        <v>0</v>
      </c>
      <c r="BY681" s="40">
        <f t="shared" si="459"/>
        <v>0</v>
      </c>
      <c r="BZ681" s="40">
        <f t="shared" si="459"/>
        <v>0</v>
      </c>
      <c r="CA681" s="40">
        <f t="shared" si="459"/>
        <v>0</v>
      </c>
      <c r="CB681" s="40">
        <f t="shared" si="459"/>
        <v>0</v>
      </c>
      <c r="CC681" s="40">
        <f t="shared" si="459"/>
        <v>0</v>
      </c>
      <c r="CD681" s="40">
        <f t="shared" si="459"/>
        <v>0</v>
      </c>
    </row>
    <row r="682" spans="2:91">
      <c r="B682" s="844" t="s">
        <v>2069</v>
      </c>
      <c r="C682" s="515" t="s">
        <v>2359</v>
      </c>
      <c r="D682" s="844" t="s">
        <v>2039</v>
      </c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306">
        <v>179.3</v>
      </c>
      <c r="AW682" s="306">
        <v>198</v>
      </c>
      <c r="AX682" s="306">
        <v>123.7</v>
      </c>
      <c r="AY682" s="306">
        <v>127.3</v>
      </c>
      <c r="AZ682" s="848">
        <v>20.399999999999999</v>
      </c>
      <c r="BA682" s="848">
        <v>116.1</v>
      </c>
      <c r="BB682" s="848">
        <v>100.5</v>
      </c>
      <c r="BC682" s="849">
        <v>107.6</v>
      </c>
      <c r="BD682" s="849">
        <v>142.19999999999999</v>
      </c>
      <c r="BE682" s="849">
        <v>162.1</v>
      </c>
      <c r="BF682" s="845">
        <v>237.2</v>
      </c>
      <c r="BG682" s="389">
        <v>403.3</v>
      </c>
      <c r="BH682" s="389">
        <v>602.5</v>
      </c>
      <c r="BI682" s="389">
        <v>657</v>
      </c>
      <c r="BJ682" s="389">
        <v>690.8</v>
      </c>
      <c r="BK682" s="1035">
        <v>816.9</v>
      </c>
      <c r="BL682" s="1035">
        <v>1008.4</v>
      </c>
      <c r="BM682" s="1035">
        <v>775.4</v>
      </c>
      <c r="BN682" s="1036">
        <v>625.1</v>
      </c>
      <c r="BO682" s="1119">
        <v>369.6</v>
      </c>
      <c r="BP682" s="285">
        <f>BO682</f>
        <v>369.6</v>
      </c>
      <c r="BQ682" s="285"/>
      <c r="BR682" s="285"/>
      <c r="BS682" s="285"/>
      <c r="BT682" s="285"/>
      <c r="BU682" s="40">
        <f t="shared" si="458"/>
        <v>0</v>
      </c>
      <c r="BV682" s="40">
        <f t="shared" si="459"/>
        <v>0</v>
      </c>
      <c r="BW682" s="40">
        <f t="shared" si="459"/>
        <v>0</v>
      </c>
      <c r="BX682" s="40">
        <f t="shared" si="459"/>
        <v>0</v>
      </c>
      <c r="BY682" s="40">
        <f t="shared" si="459"/>
        <v>0</v>
      </c>
      <c r="BZ682" s="40">
        <f t="shared" si="459"/>
        <v>0</v>
      </c>
      <c r="CA682" s="40">
        <f t="shared" si="459"/>
        <v>0</v>
      </c>
      <c r="CB682" s="40">
        <f t="shared" si="459"/>
        <v>0</v>
      </c>
      <c r="CC682" s="40">
        <f t="shared" si="459"/>
        <v>0</v>
      </c>
      <c r="CD682" s="40">
        <f t="shared" si="459"/>
        <v>0</v>
      </c>
      <c r="CM682" s="285">
        <v>929.9</v>
      </c>
    </row>
    <row r="683" spans="2:91" s="25" customFormat="1">
      <c r="B683" s="12" t="s">
        <v>2716</v>
      </c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851">
        <f t="shared" ref="AV683:BO683" si="462">AV682*AV764</f>
        <v>71.885852499999999</v>
      </c>
      <c r="AW683" s="851">
        <f t="shared" si="462"/>
        <v>79.39800000000001</v>
      </c>
      <c r="AX683" s="851">
        <f t="shared" si="462"/>
        <v>49.603700000000003</v>
      </c>
      <c r="AY683" s="851">
        <f t="shared" si="462"/>
        <v>109.46654299999999</v>
      </c>
      <c r="AZ683" s="851">
        <f t="shared" si="462"/>
        <v>27.056723999999996</v>
      </c>
      <c r="BA683" s="851">
        <f t="shared" si="462"/>
        <v>252.92384999999999</v>
      </c>
      <c r="BB683" s="851">
        <f t="shared" si="462"/>
        <v>233.85797250000002</v>
      </c>
      <c r="BC683" s="851">
        <f t="shared" si="462"/>
        <v>280.11830799999996</v>
      </c>
      <c r="BD683" s="851">
        <f t="shared" si="462"/>
        <v>388.77479999999997</v>
      </c>
      <c r="BE683" s="851">
        <f t="shared" si="462"/>
        <v>442.53299999999996</v>
      </c>
      <c r="BF683" s="851">
        <f t="shared" si="462"/>
        <v>650.52099999999996</v>
      </c>
      <c r="BG683" s="851">
        <f t="shared" si="462"/>
        <v>1107.0585000000001</v>
      </c>
      <c r="BH683" s="851">
        <f t="shared" si="462"/>
        <v>1653.8625</v>
      </c>
      <c r="BI683" s="851">
        <f t="shared" si="462"/>
        <v>1872.45</v>
      </c>
      <c r="BJ683" s="851">
        <f t="shared" si="462"/>
        <v>2106.9399999999996</v>
      </c>
      <c r="BK683" s="851">
        <f t="shared" si="462"/>
        <v>2654.9249999999997</v>
      </c>
      <c r="BL683" s="851">
        <f t="shared" si="462"/>
        <v>3378.14</v>
      </c>
      <c r="BM683" s="851">
        <f t="shared" si="462"/>
        <v>2597.59</v>
      </c>
      <c r="BN683" s="851">
        <f t="shared" si="462"/>
        <v>2094.085</v>
      </c>
      <c r="BO683" s="851">
        <f t="shared" si="462"/>
        <v>1238.1600000000001</v>
      </c>
      <c r="BP683" s="307"/>
      <c r="BQ683" s="307"/>
      <c r="BR683" s="307"/>
      <c r="BS683" s="307"/>
      <c r="BT683" s="307"/>
      <c r="BU683" s="40">
        <f t="shared" si="458"/>
        <v>0</v>
      </c>
      <c r="BV683" s="40">
        <f t="shared" si="459"/>
        <v>0</v>
      </c>
      <c r="BW683" s="40">
        <f t="shared" si="459"/>
        <v>0</v>
      </c>
      <c r="BX683" s="40">
        <f t="shared" si="459"/>
        <v>0</v>
      </c>
      <c r="BY683" s="40">
        <f t="shared" si="459"/>
        <v>0</v>
      </c>
      <c r="BZ683" s="40">
        <f t="shared" si="459"/>
        <v>0</v>
      </c>
      <c r="CA683" s="40">
        <f t="shared" si="459"/>
        <v>0</v>
      </c>
      <c r="CB683" s="40">
        <f t="shared" si="459"/>
        <v>0</v>
      </c>
      <c r="CC683" s="40">
        <f t="shared" si="459"/>
        <v>0</v>
      </c>
      <c r="CD683" s="40">
        <f t="shared" si="459"/>
        <v>0</v>
      </c>
      <c r="CM683" s="307"/>
    </row>
    <row r="684" spans="2:91" s="25" customFormat="1">
      <c r="B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851"/>
      <c r="AW684" s="851"/>
      <c r="AX684" s="851"/>
      <c r="AY684" s="851"/>
      <c r="AZ684" s="851"/>
      <c r="BA684" s="851"/>
      <c r="BB684" s="851"/>
      <c r="BC684" s="851"/>
      <c r="BD684" s="851"/>
      <c r="BE684" s="851"/>
      <c r="BF684" s="851"/>
      <c r="BG684" s="851"/>
      <c r="BH684" s="851"/>
      <c r="BI684" s="851"/>
      <c r="BJ684" s="851"/>
      <c r="BK684" s="851"/>
      <c r="BL684" s="851"/>
      <c r="BM684" s="851"/>
      <c r="BN684" s="307"/>
      <c r="BO684" s="307"/>
      <c r="BP684" s="307"/>
      <c r="BQ684" s="307"/>
      <c r="BR684" s="307"/>
      <c r="BS684" s="307"/>
      <c r="BT684" s="307"/>
      <c r="BU684" s="40">
        <f t="shared" si="458"/>
        <v>0</v>
      </c>
      <c r="BV684" s="40">
        <f t="shared" si="459"/>
        <v>0</v>
      </c>
      <c r="BW684" s="40">
        <f t="shared" si="459"/>
        <v>0</v>
      </c>
      <c r="BX684" s="40">
        <f t="shared" si="459"/>
        <v>0</v>
      </c>
      <c r="BY684" s="40">
        <f t="shared" si="459"/>
        <v>0</v>
      </c>
      <c r="BZ684" s="40">
        <f t="shared" si="459"/>
        <v>0</v>
      </c>
      <c r="CA684" s="40">
        <f t="shared" si="459"/>
        <v>0</v>
      </c>
      <c r="CB684" s="40">
        <f t="shared" si="459"/>
        <v>0</v>
      </c>
      <c r="CC684" s="40">
        <f t="shared" si="459"/>
        <v>0</v>
      </c>
      <c r="CD684" s="40">
        <f t="shared" si="459"/>
        <v>0</v>
      </c>
      <c r="CM684" s="307"/>
    </row>
    <row r="685" spans="2:91" s="25" customFormat="1">
      <c r="B685" s="12" t="s">
        <v>2717</v>
      </c>
      <c r="C685" s="25" t="s">
        <v>2718</v>
      </c>
      <c r="D685" s="12" t="s">
        <v>2722</v>
      </c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851"/>
      <c r="AW685" s="851"/>
      <c r="AX685" s="851"/>
      <c r="AY685" s="851"/>
      <c r="AZ685" s="851"/>
      <c r="BA685" s="851"/>
      <c r="BB685" s="851"/>
      <c r="BC685" s="851"/>
      <c r="BD685" s="851"/>
      <c r="BE685" s="851"/>
      <c r="BF685" s="851">
        <v>642</v>
      </c>
      <c r="BG685" s="851">
        <v>1088.9000000000001</v>
      </c>
      <c r="BH685" s="851">
        <v>1632.7</v>
      </c>
      <c r="BI685" s="851">
        <v>1779.3</v>
      </c>
      <c r="BJ685" s="851">
        <v>1871.7</v>
      </c>
      <c r="BK685" s="851">
        <v>2655.9</v>
      </c>
      <c r="BL685" s="851">
        <v>3277.5</v>
      </c>
      <c r="BM685" s="851">
        <v>2530.6</v>
      </c>
      <c r="BN685" s="1061">
        <v>2031.5</v>
      </c>
      <c r="BO685" s="307">
        <v>1200.2</v>
      </c>
      <c r="BP685" s="307"/>
      <c r="BQ685" s="307"/>
      <c r="BR685" s="307"/>
      <c r="BS685" s="307"/>
      <c r="BT685" s="307"/>
      <c r="BU685" s="40">
        <f t="shared" si="458"/>
        <v>0</v>
      </c>
      <c r="BV685" s="40">
        <f t="shared" si="459"/>
        <v>0</v>
      </c>
      <c r="BW685" s="40">
        <f t="shared" si="459"/>
        <v>0</v>
      </c>
      <c r="BX685" s="40">
        <f t="shared" si="459"/>
        <v>0</v>
      </c>
      <c r="BY685" s="40">
        <f t="shared" si="459"/>
        <v>0</v>
      </c>
      <c r="BZ685" s="40">
        <f t="shared" si="459"/>
        <v>0</v>
      </c>
      <c r="CA685" s="40">
        <f t="shared" si="459"/>
        <v>0</v>
      </c>
      <c r="CB685" s="40">
        <f t="shared" si="459"/>
        <v>0</v>
      </c>
      <c r="CC685" s="40">
        <f t="shared" si="459"/>
        <v>0</v>
      </c>
      <c r="CD685" s="40">
        <f t="shared" si="459"/>
        <v>0</v>
      </c>
      <c r="CM685" s="307"/>
    </row>
    <row r="686" spans="2:91" s="25" customFormat="1">
      <c r="B686" s="12" t="s">
        <v>2720</v>
      </c>
      <c r="C686" s="25" t="s">
        <v>2718</v>
      </c>
      <c r="D686" s="12" t="s">
        <v>2722</v>
      </c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851"/>
      <c r="AW686" s="851"/>
      <c r="AX686" s="851"/>
      <c r="AY686" s="851"/>
      <c r="AZ686" s="851"/>
      <c r="BA686" s="851"/>
      <c r="BB686" s="851"/>
      <c r="BC686" s="851"/>
      <c r="BD686" s="851"/>
      <c r="BE686" s="851"/>
      <c r="BF686" s="851">
        <v>842.4</v>
      </c>
      <c r="BG686" s="851">
        <v>1140.0999999999999</v>
      </c>
      <c r="BH686" s="851">
        <v>1040</v>
      </c>
      <c r="BI686" s="851">
        <v>1411.3</v>
      </c>
      <c r="BJ686" s="851">
        <v>1441.8</v>
      </c>
      <c r="BK686" s="851">
        <v>1962.8</v>
      </c>
      <c r="BL686" s="851">
        <v>2295.8000000000002</v>
      </c>
      <c r="BM686" s="851">
        <v>2611.8000000000002</v>
      </c>
      <c r="BN686" s="1061">
        <v>2506.8000000000002</v>
      </c>
      <c r="BO686" s="307">
        <v>2661.4</v>
      </c>
      <c r="BP686" s="307"/>
      <c r="BQ686" s="307"/>
      <c r="BR686" s="307"/>
      <c r="BS686" s="307"/>
      <c r="BT686" s="307"/>
      <c r="BU686" s="40">
        <f t="shared" si="458"/>
        <v>0</v>
      </c>
      <c r="BV686" s="40">
        <f t="shared" si="459"/>
        <v>0</v>
      </c>
      <c r="BW686" s="40">
        <f t="shared" si="459"/>
        <v>0</v>
      </c>
      <c r="BX686" s="40">
        <f t="shared" si="459"/>
        <v>0</v>
      </c>
      <c r="BY686" s="40">
        <f t="shared" si="459"/>
        <v>0</v>
      </c>
      <c r="BZ686" s="40">
        <f t="shared" si="459"/>
        <v>0</v>
      </c>
      <c r="CA686" s="40">
        <f t="shared" si="459"/>
        <v>0</v>
      </c>
      <c r="CB686" s="40">
        <f t="shared" si="459"/>
        <v>0</v>
      </c>
      <c r="CC686" s="40">
        <f t="shared" si="459"/>
        <v>0</v>
      </c>
      <c r="CD686" s="40">
        <f t="shared" si="459"/>
        <v>0</v>
      </c>
      <c r="CM686" s="307"/>
    </row>
    <row r="687" spans="2:91" s="25" customFormat="1">
      <c r="B687" s="12" t="s">
        <v>2724</v>
      </c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851"/>
      <c r="AW687" s="851"/>
      <c r="AX687" s="851"/>
      <c r="AY687" s="851"/>
      <c r="AZ687" s="851"/>
      <c r="BA687" s="851"/>
      <c r="BB687" s="851"/>
      <c r="BC687" s="851"/>
      <c r="BD687" s="851"/>
      <c r="BE687" s="851"/>
      <c r="BF687" s="851">
        <f t="shared" ref="BF687:BO687" si="463">BF685+BF686</f>
        <v>1484.4</v>
      </c>
      <c r="BG687" s="851">
        <f t="shared" si="463"/>
        <v>2229</v>
      </c>
      <c r="BH687" s="851">
        <f t="shared" si="463"/>
        <v>2672.7</v>
      </c>
      <c r="BI687" s="851">
        <f t="shared" si="463"/>
        <v>3190.6</v>
      </c>
      <c r="BJ687" s="851">
        <f t="shared" si="463"/>
        <v>3313.5</v>
      </c>
      <c r="BK687" s="851">
        <f t="shared" si="463"/>
        <v>4618.7</v>
      </c>
      <c r="BL687" s="851">
        <f t="shared" si="463"/>
        <v>5573.3</v>
      </c>
      <c r="BM687" s="851">
        <f t="shared" si="463"/>
        <v>5142.3999999999996</v>
      </c>
      <c r="BN687" s="851">
        <f t="shared" si="463"/>
        <v>4538.3</v>
      </c>
      <c r="BO687" s="851">
        <f t="shared" si="463"/>
        <v>3861.6000000000004</v>
      </c>
      <c r="BP687" s="307"/>
      <c r="BQ687" s="307"/>
      <c r="BR687" s="307"/>
      <c r="BS687" s="307"/>
      <c r="BT687" s="307"/>
      <c r="BU687" s="40">
        <f t="shared" si="458"/>
        <v>0</v>
      </c>
      <c r="BV687" s="40">
        <f t="shared" si="459"/>
        <v>0</v>
      </c>
      <c r="BW687" s="40">
        <f t="shared" si="459"/>
        <v>0</v>
      </c>
      <c r="BX687" s="40">
        <f t="shared" si="459"/>
        <v>0</v>
      </c>
      <c r="BY687" s="40">
        <f t="shared" si="459"/>
        <v>0</v>
      </c>
      <c r="BZ687" s="40">
        <f t="shared" si="459"/>
        <v>0</v>
      </c>
      <c r="CA687" s="40">
        <f t="shared" si="459"/>
        <v>0</v>
      </c>
      <c r="CB687" s="40">
        <f t="shared" si="459"/>
        <v>0</v>
      </c>
      <c r="CC687" s="40">
        <f t="shared" si="459"/>
        <v>0</v>
      </c>
      <c r="CD687" s="40">
        <f t="shared" si="459"/>
        <v>0</v>
      </c>
      <c r="CM687" s="307"/>
    </row>
    <row r="688" spans="2:91" s="25" customFormat="1">
      <c r="B688" s="12" t="s">
        <v>2719</v>
      </c>
      <c r="C688" s="25" t="s">
        <v>2718</v>
      </c>
      <c r="D688" s="12" t="s">
        <v>2722</v>
      </c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851"/>
      <c r="AW688" s="851"/>
      <c r="AX688" s="851"/>
      <c r="AY688" s="851"/>
      <c r="AZ688" s="851"/>
      <c r="BA688" s="851"/>
      <c r="BB688" s="851"/>
      <c r="BC688" s="851"/>
      <c r="BD688" s="851"/>
      <c r="BE688" s="851"/>
      <c r="BF688" s="851">
        <v>683.5</v>
      </c>
      <c r="BG688" s="851">
        <v>1145.0999999999999</v>
      </c>
      <c r="BH688" s="851">
        <v>1725.1</v>
      </c>
      <c r="BI688" s="851">
        <v>1571.4</v>
      </c>
      <c r="BJ688" s="851">
        <v>1669.1</v>
      </c>
      <c r="BK688" s="851">
        <v>2603.6</v>
      </c>
      <c r="BL688" s="1112">
        <v>2977</v>
      </c>
      <c r="BM688" s="1112">
        <v>2224.6</v>
      </c>
      <c r="BN688" s="1113">
        <v>1672.4</v>
      </c>
      <c r="BO688" s="307">
        <v>303.3</v>
      </c>
      <c r="BP688" s="307"/>
      <c r="BQ688" s="307"/>
      <c r="BR688" s="307"/>
      <c r="BS688" s="307"/>
      <c r="BT688" s="307"/>
      <c r="BU688" s="40">
        <f t="shared" si="458"/>
        <v>0</v>
      </c>
      <c r="BV688" s="40">
        <f t="shared" si="459"/>
        <v>0</v>
      </c>
      <c r="BW688" s="40">
        <f t="shared" si="459"/>
        <v>0</v>
      </c>
      <c r="BX688" s="40">
        <f t="shared" si="459"/>
        <v>0</v>
      </c>
      <c r="BY688" s="40">
        <f t="shared" si="459"/>
        <v>0</v>
      </c>
      <c r="BZ688" s="40">
        <f t="shared" si="459"/>
        <v>0</v>
      </c>
      <c r="CA688" s="40">
        <f t="shared" si="459"/>
        <v>0</v>
      </c>
      <c r="CB688" s="40">
        <f t="shared" si="459"/>
        <v>0</v>
      </c>
      <c r="CC688" s="40">
        <f t="shared" si="459"/>
        <v>0</v>
      </c>
      <c r="CD688" s="40">
        <f t="shared" si="459"/>
        <v>0</v>
      </c>
      <c r="CM688" s="307"/>
    </row>
    <row r="689" spans="2:99" s="25" customFormat="1">
      <c r="B689" s="12" t="s">
        <v>2721</v>
      </c>
      <c r="C689" s="25" t="s">
        <v>2718</v>
      </c>
      <c r="D689" s="12" t="s">
        <v>2722</v>
      </c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851"/>
      <c r="AW689" s="851"/>
      <c r="AX689" s="851"/>
      <c r="AY689" s="851"/>
      <c r="AZ689" s="851"/>
      <c r="BA689" s="851"/>
      <c r="BB689" s="851"/>
      <c r="BC689" s="851"/>
      <c r="BD689" s="851"/>
      <c r="BE689" s="851"/>
      <c r="BF689" s="851">
        <v>744.5</v>
      </c>
      <c r="BG689" s="851">
        <v>985</v>
      </c>
      <c r="BH689" s="851">
        <v>891</v>
      </c>
      <c r="BI689" s="851">
        <v>1276</v>
      </c>
      <c r="BJ689" s="851">
        <v>1298.7</v>
      </c>
      <c r="BK689" s="851">
        <v>1796.2</v>
      </c>
      <c r="BL689" s="1112">
        <v>2113.3000000000002</v>
      </c>
      <c r="BM689" s="1112">
        <v>2360.9</v>
      </c>
      <c r="BN689" s="1113">
        <v>2164.1999999999998</v>
      </c>
      <c r="BO689" s="307">
        <v>2331.3000000000002</v>
      </c>
      <c r="BP689" s="307"/>
      <c r="BQ689" s="307"/>
      <c r="BR689" s="307"/>
      <c r="BS689" s="307"/>
      <c r="BT689" s="307"/>
      <c r="BU689" s="40">
        <f t="shared" si="458"/>
        <v>0</v>
      </c>
      <c r="BV689" s="40">
        <f t="shared" si="459"/>
        <v>0</v>
      </c>
      <c r="BW689" s="40">
        <f t="shared" si="459"/>
        <v>0</v>
      </c>
      <c r="BX689" s="40">
        <f t="shared" si="459"/>
        <v>0</v>
      </c>
      <c r="BY689" s="40">
        <f t="shared" si="459"/>
        <v>0</v>
      </c>
      <c r="BZ689" s="40">
        <f t="shared" si="459"/>
        <v>0</v>
      </c>
      <c r="CA689" s="40">
        <f t="shared" si="459"/>
        <v>0</v>
      </c>
      <c r="CB689" s="40">
        <f t="shared" si="459"/>
        <v>0</v>
      </c>
      <c r="CC689" s="40">
        <f t="shared" si="459"/>
        <v>0</v>
      </c>
      <c r="CD689" s="40">
        <f t="shared" si="459"/>
        <v>0</v>
      </c>
      <c r="CM689" s="307"/>
    </row>
    <row r="690" spans="2:99" s="25" customFormat="1">
      <c r="B690" s="12" t="s">
        <v>2731</v>
      </c>
      <c r="C690" s="25" t="s">
        <v>2718</v>
      </c>
      <c r="D690" s="12" t="s">
        <v>2723</v>
      </c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851"/>
      <c r="AW690" s="851"/>
      <c r="AX690" s="851"/>
      <c r="AY690" s="851"/>
      <c r="AZ690" s="851"/>
      <c r="BA690" s="851"/>
      <c r="BB690" s="851"/>
      <c r="BC690" s="851"/>
      <c r="BD690" s="851"/>
      <c r="BE690" s="851"/>
      <c r="BF690" s="851">
        <f t="shared" ref="BF690:BL690" si="464">BF688+BF689</f>
        <v>1428</v>
      </c>
      <c r="BG690" s="851">
        <f t="shared" si="464"/>
        <v>2130.1</v>
      </c>
      <c r="BH690" s="851">
        <f t="shared" si="464"/>
        <v>2616.1</v>
      </c>
      <c r="BI690" s="851">
        <f t="shared" si="464"/>
        <v>2847.4</v>
      </c>
      <c r="BJ690" s="851">
        <f t="shared" si="464"/>
        <v>2967.8</v>
      </c>
      <c r="BK690" s="851">
        <f t="shared" si="464"/>
        <v>4399.8</v>
      </c>
      <c r="BL690" s="851">
        <f t="shared" si="464"/>
        <v>5090.3</v>
      </c>
      <c r="BM690" s="851">
        <f>BM688+BM689</f>
        <v>4585.5</v>
      </c>
      <c r="BN690" s="851">
        <f>BN688+BN689</f>
        <v>3836.6</v>
      </c>
      <c r="BO690" s="851">
        <f>BO688+BO689</f>
        <v>2634.6000000000004</v>
      </c>
      <c r="BP690" s="307"/>
      <c r="BQ690" s="307"/>
      <c r="BR690" s="307"/>
      <c r="BS690" s="307"/>
      <c r="BT690" s="307"/>
      <c r="BU690" s="40">
        <f t="shared" si="458"/>
        <v>0</v>
      </c>
      <c r="BV690" s="40">
        <f t="shared" si="459"/>
        <v>0</v>
      </c>
      <c r="BW690" s="40">
        <f t="shared" si="459"/>
        <v>0</v>
      </c>
      <c r="BX690" s="40">
        <f t="shared" si="459"/>
        <v>0</v>
      </c>
      <c r="BY690" s="40">
        <f t="shared" si="459"/>
        <v>0</v>
      </c>
      <c r="BZ690" s="40">
        <f t="shared" si="459"/>
        <v>0</v>
      </c>
      <c r="CA690" s="40">
        <f t="shared" si="459"/>
        <v>0</v>
      </c>
      <c r="CB690" s="40">
        <f t="shared" si="459"/>
        <v>0</v>
      </c>
      <c r="CC690" s="40">
        <f t="shared" si="459"/>
        <v>0</v>
      </c>
      <c r="CD690" s="40">
        <f t="shared" si="459"/>
        <v>0</v>
      </c>
      <c r="CM690" s="307"/>
    </row>
    <row r="691" spans="2:99" s="25" customFormat="1">
      <c r="B691" s="12" t="s">
        <v>2730</v>
      </c>
      <c r="C691" s="25" t="s">
        <v>2718</v>
      </c>
      <c r="D691" s="12" t="s">
        <v>2725</v>
      </c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851"/>
      <c r="AW691" s="851"/>
      <c r="AX691" s="851"/>
      <c r="AY691" s="851"/>
      <c r="AZ691" s="851"/>
      <c r="BA691" s="851"/>
      <c r="BB691" s="851"/>
      <c r="BC691" s="851"/>
      <c r="BD691" s="851"/>
      <c r="BE691" s="851"/>
      <c r="BF691" s="851">
        <v>330.4</v>
      </c>
      <c r="BG691" s="851">
        <v>139.1</v>
      </c>
      <c r="BH691" s="851">
        <v>-73.099999999999994</v>
      </c>
      <c r="BI691" s="851">
        <v>115.7</v>
      </c>
      <c r="BJ691" s="851">
        <v>191.4</v>
      </c>
      <c r="BK691" s="851">
        <v>-63.2</v>
      </c>
      <c r="BL691" s="851">
        <v>-9.4</v>
      </c>
      <c r="BM691" s="851">
        <v>525.5</v>
      </c>
      <c r="BN691" s="1061">
        <v>1291.5</v>
      </c>
      <c r="BO691" s="307">
        <v>2264.9</v>
      </c>
      <c r="BP691" s="307"/>
      <c r="BQ691" s="307"/>
      <c r="BR691" s="307"/>
      <c r="BS691" s="307"/>
      <c r="BT691" s="307"/>
      <c r="BU691" s="40">
        <f t="shared" si="458"/>
        <v>0</v>
      </c>
      <c r="BV691" s="40">
        <f t="shared" ref="BV691:CD706" si="465">BU691</f>
        <v>0</v>
      </c>
      <c r="BW691" s="40">
        <f t="shared" si="465"/>
        <v>0</v>
      </c>
      <c r="BX691" s="40">
        <f t="shared" si="465"/>
        <v>0</v>
      </c>
      <c r="BY691" s="40">
        <f t="shared" si="465"/>
        <v>0</v>
      </c>
      <c r="BZ691" s="40">
        <f t="shared" si="465"/>
        <v>0</v>
      </c>
      <c r="CA691" s="40">
        <f t="shared" si="465"/>
        <v>0</v>
      </c>
      <c r="CB691" s="40">
        <f t="shared" si="465"/>
        <v>0</v>
      </c>
      <c r="CC691" s="40">
        <f t="shared" si="465"/>
        <v>0</v>
      </c>
      <c r="CD691" s="40">
        <f t="shared" si="465"/>
        <v>0</v>
      </c>
      <c r="CM691" s="307"/>
    </row>
    <row r="692" spans="2:99" s="25" customFormat="1">
      <c r="B692" s="1117" t="s">
        <v>2732</v>
      </c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851"/>
      <c r="AW692" s="851"/>
      <c r="AX692" s="851"/>
      <c r="AY692" s="851"/>
      <c r="AZ692" s="851"/>
      <c r="BA692" s="851"/>
      <c r="BB692" s="851"/>
      <c r="BC692" s="851"/>
      <c r="BD692" s="851"/>
      <c r="BE692" s="851"/>
      <c r="BF692" s="851">
        <v>1334.4</v>
      </c>
      <c r="BG692" s="851">
        <v>1786.5</v>
      </c>
      <c r="BH692" s="851">
        <v>2412.6999999999998</v>
      </c>
      <c r="BI692" s="851">
        <v>2713</v>
      </c>
      <c r="BJ692" s="851">
        <v>3059</v>
      </c>
      <c r="BK692" s="851">
        <v>3669.4</v>
      </c>
      <c r="BL692" s="851">
        <v>4241.6000000000004</v>
      </c>
      <c r="BM692" s="851">
        <v>5001.3999999999996</v>
      </c>
      <c r="BN692" s="1061">
        <v>5427.7</v>
      </c>
      <c r="BO692" s="1061">
        <v>5822.5</v>
      </c>
      <c r="BP692" s="307"/>
      <c r="BQ692" s="307"/>
      <c r="BR692" s="307"/>
      <c r="BS692" s="307"/>
      <c r="BT692" s="307"/>
      <c r="BU692" s="40">
        <f t="shared" si="458"/>
        <v>0</v>
      </c>
      <c r="BV692" s="40">
        <f t="shared" si="465"/>
        <v>0</v>
      </c>
      <c r="BW692" s="40">
        <f t="shared" si="465"/>
        <v>0</v>
      </c>
      <c r="BX692" s="40">
        <f t="shared" si="465"/>
        <v>0</v>
      </c>
      <c r="BY692" s="40">
        <f t="shared" si="465"/>
        <v>0</v>
      </c>
      <c r="BZ692" s="40">
        <f t="shared" si="465"/>
        <v>0</v>
      </c>
      <c r="CA692" s="40">
        <f t="shared" si="465"/>
        <v>0</v>
      </c>
      <c r="CB692" s="40">
        <f t="shared" si="465"/>
        <v>0</v>
      </c>
      <c r="CC692" s="40">
        <f t="shared" si="465"/>
        <v>0</v>
      </c>
      <c r="CD692" s="40">
        <f t="shared" si="465"/>
        <v>0</v>
      </c>
      <c r="CM692" s="307"/>
    </row>
    <row r="693" spans="2:99" s="25" customFormat="1">
      <c r="B693" s="12" t="s">
        <v>2726</v>
      </c>
      <c r="C693" s="25" t="s">
        <v>2718</v>
      </c>
      <c r="D693" s="12" t="s">
        <v>2727</v>
      </c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851"/>
      <c r="AW693" s="851"/>
      <c r="AX693" s="851"/>
      <c r="AY693" s="851"/>
      <c r="AZ693" s="851"/>
      <c r="BA693" s="851"/>
      <c r="BB693" s="851"/>
      <c r="BC693" s="851"/>
      <c r="BD693" s="851"/>
      <c r="BE693" s="851"/>
      <c r="BF693" s="851">
        <v>2793.4</v>
      </c>
      <c r="BG693" s="851">
        <v>3597</v>
      </c>
      <c r="BH693" s="851">
        <v>4336.6000000000004</v>
      </c>
      <c r="BI693" s="851">
        <v>4994.8</v>
      </c>
      <c r="BJ693" s="851">
        <v>5525.2</v>
      </c>
      <c r="BK693" s="851">
        <v>6710</v>
      </c>
      <c r="BL693" s="851">
        <v>8128.5</v>
      </c>
      <c r="BM693" s="851">
        <v>9028.1</v>
      </c>
      <c r="BN693" s="1061">
        <v>9520.2000000000007</v>
      </c>
      <c r="BO693" s="307">
        <v>9479.7000000000007</v>
      </c>
      <c r="BP693" s="307"/>
      <c r="BQ693" s="307"/>
      <c r="BR693" s="307"/>
      <c r="BS693" s="307"/>
      <c r="BT693" s="307"/>
      <c r="BU693" s="40">
        <f t="shared" si="458"/>
        <v>0</v>
      </c>
      <c r="BV693" s="40">
        <f t="shared" si="465"/>
        <v>0</v>
      </c>
      <c r="BW693" s="40">
        <f t="shared" si="465"/>
        <v>0</v>
      </c>
      <c r="BX693" s="40">
        <f t="shared" si="465"/>
        <v>0</v>
      </c>
      <c r="BY693" s="40">
        <f t="shared" si="465"/>
        <v>0</v>
      </c>
      <c r="BZ693" s="40">
        <f t="shared" si="465"/>
        <v>0</v>
      </c>
      <c r="CA693" s="40">
        <f t="shared" si="465"/>
        <v>0</v>
      </c>
      <c r="CB693" s="40">
        <f t="shared" si="465"/>
        <v>0</v>
      </c>
      <c r="CC693" s="40">
        <f t="shared" si="465"/>
        <v>0</v>
      </c>
      <c r="CD693" s="40">
        <f t="shared" si="465"/>
        <v>0</v>
      </c>
      <c r="CM693" s="307"/>
    </row>
    <row r="694" spans="2:99" s="25" customFormat="1">
      <c r="B694" s="12" t="s">
        <v>1445</v>
      </c>
      <c r="C694" s="25" t="s">
        <v>1446</v>
      </c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851"/>
      <c r="AW694" s="851"/>
      <c r="AX694" s="851"/>
      <c r="AY694" s="851"/>
      <c r="AZ694" s="851"/>
      <c r="BA694" s="851"/>
      <c r="BB694" s="851"/>
      <c r="BC694" s="851"/>
      <c r="BD694" s="851"/>
      <c r="BE694" s="851"/>
      <c r="BF694" s="945">
        <f t="shared" ref="BF694:BL694" si="466">+BF688/BF690</f>
        <v>0.47864145658263307</v>
      </c>
      <c r="BG694" s="945">
        <f t="shared" si="466"/>
        <v>0.53758039528660628</v>
      </c>
      <c r="BH694" s="945">
        <f t="shared" si="466"/>
        <v>0.65941668896448913</v>
      </c>
      <c r="BI694" s="945">
        <f t="shared" si="466"/>
        <v>0.55187188312144408</v>
      </c>
      <c r="BJ694" s="945">
        <f t="shared" si="466"/>
        <v>0.56240312689534333</v>
      </c>
      <c r="BK694" s="945">
        <f t="shared" si="466"/>
        <v>0.59175417064412017</v>
      </c>
      <c r="BL694" s="945">
        <f t="shared" si="466"/>
        <v>0.58483782881166135</v>
      </c>
      <c r="BM694" s="945">
        <f>+BM688/BM690</f>
        <v>0.48513793479446077</v>
      </c>
      <c r="BN694" s="945">
        <f>+BN688/BN690</f>
        <v>0.43590679247250175</v>
      </c>
      <c r="BO694" s="945">
        <f>+BO688/BO690</f>
        <v>0.11512184012753358</v>
      </c>
      <c r="BP694" s="307"/>
      <c r="BQ694" s="307"/>
      <c r="BR694" s="307"/>
      <c r="BS694" s="307"/>
      <c r="BT694" s="307"/>
      <c r="BU694" s="40">
        <f t="shared" si="458"/>
        <v>0</v>
      </c>
      <c r="BV694" s="40">
        <f t="shared" si="465"/>
        <v>0</v>
      </c>
      <c r="BW694" s="40">
        <f t="shared" si="465"/>
        <v>0</v>
      </c>
      <c r="BX694" s="40">
        <f t="shared" si="465"/>
        <v>0</v>
      </c>
      <c r="BY694" s="40">
        <f t="shared" si="465"/>
        <v>0</v>
      </c>
      <c r="BZ694" s="40">
        <f t="shared" si="465"/>
        <v>0</v>
      </c>
      <c r="CA694" s="40">
        <f t="shared" si="465"/>
        <v>0</v>
      </c>
      <c r="CB694" s="40">
        <f t="shared" si="465"/>
        <v>0</v>
      </c>
      <c r="CC694" s="40">
        <f t="shared" si="465"/>
        <v>0</v>
      </c>
      <c r="CD694" s="40">
        <f t="shared" si="465"/>
        <v>0</v>
      </c>
      <c r="CM694" s="307"/>
    </row>
    <row r="695" spans="2:99" s="25" customFormat="1">
      <c r="B695" s="12" t="s">
        <v>1823</v>
      </c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709"/>
      <c r="AW695" s="285">
        <f t="shared" ref="AW695:BH695" si="467">+AW682-AV682</f>
        <v>18.699999999999989</v>
      </c>
      <c r="AX695" s="285">
        <f t="shared" si="467"/>
        <v>-74.3</v>
      </c>
      <c r="AY695" s="285">
        <f t="shared" si="467"/>
        <v>3.5999999999999943</v>
      </c>
      <c r="AZ695" s="285">
        <f t="shared" si="467"/>
        <v>-106.9</v>
      </c>
      <c r="BA695" s="285">
        <f t="shared" si="467"/>
        <v>95.699999999999989</v>
      </c>
      <c r="BB695" s="285">
        <f t="shared" si="467"/>
        <v>-15.599999999999994</v>
      </c>
      <c r="BC695" s="285">
        <f t="shared" si="467"/>
        <v>7.0999999999999943</v>
      </c>
      <c r="BD695" s="285">
        <f t="shared" si="467"/>
        <v>34.599999999999994</v>
      </c>
      <c r="BE695" s="285">
        <f t="shared" si="467"/>
        <v>19.900000000000006</v>
      </c>
      <c r="BF695" s="285">
        <f t="shared" si="467"/>
        <v>75.099999999999994</v>
      </c>
      <c r="BG695" s="285">
        <f t="shared" si="467"/>
        <v>166.10000000000002</v>
      </c>
      <c r="BH695" s="285">
        <f t="shared" si="467"/>
        <v>199.2</v>
      </c>
      <c r="BI695" s="285">
        <f t="shared" ref="BI695:BO695" si="468">+BI682-BH682</f>
        <v>54.5</v>
      </c>
      <c r="BJ695" s="285">
        <f t="shared" si="468"/>
        <v>33.799999999999955</v>
      </c>
      <c r="BK695" s="285">
        <f t="shared" si="468"/>
        <v>126.10000000000002</v>
      </c>
      <c r="BL695" s="285">
        <f t="shared" si="468"/>
        <v>191.5</v>
      </c>
      <c r="BM695" s="285">
        <f t="shared" si="468"/>
        <v>-233</v>
      </c>
      <c r="BN695" s="285">
        <f t="shared" si="468"/>
        <v>-150.29999999999995</v>
      </c>
      <c r="BO695" s="285">
        <f t="shared" si="468"/>
        <v>-255.5</v>
      </c>
      <c r="BU695" s="40">
        <f t="shared" si="458"/>
        <v>0</v>
      </c>
      <c r="BV695" s="40">
        <f t="shared" si="465"/>
        <v>0</v>
      </c>
      <c r="BW695" s="40">
        <f t="shared" si="465"/>
        <v>0</v>
      </c>
      <c r="BX695" s="40">
        <f t="shared" si="465"/>
        <v>0</v>
      </c>
      <c r="BY695" s="40">
        <f t="shared" si="465"/>
        <v>0</v>
      </c>
      <c r="BZ695" s="40">
        <f t="shared" si="465"/>
        <v>0</v>
      </c>
      <c r="CA695" s="40">
        <f t="shared" si="465"/>
        <v>0</v>
      </c>
      <c r="CB695" s="40">
        <f t="shared" si="465"/>
        <v>0</v>
      </c>
      <c r="CC695" s="40">
        <f t="shared" si="465"/>
        <v>0</v>
      </c>
      <c r="CD695" s="40">
        <f t="shared" si="465"/>
        <v>0</v>
      </c>
    </row>
    <row r="696" spans="2:99" s="25" customFormat="1">
      <c r="B696" s="12" t="s">
        <v>2314</v>
      </c>
      <c r="C696" s="25" t="s">
        <v>2315</v>
      </c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709"/>
      <c r="AW696" s="285"/>
      <c r="AX696" s="285"/>
      <c r="AY696" s="285"/>
      <c r="AZ696" s="285">
        <f t="shared" ref="AZ696:BH696" si="469">AZ772/AZ764-AY772/AY764</f>
        <v>70.038780110073077</v>
      </c>
      <c r="BA696" s="285">
        <f t="shared" si="469"/>
        <v>-23.131001195803719</v>
      </c>
      <c r="BB696" s="285">
        <f t="shared" si="469"/>
        <v>39.976939920634891</v>
      </c>
      <c r="BC696" s="285">
        <f t="shared" si="469"/>
        <v>59.140805128838906</v>
      </c>
      <c r="BD696" s="285">
        <f t="shared" si="469"/>
        <v>85.250563715155749</v>
      </c>
      <c r="BE696" s="285">
        <f t="shared" si="469"/>
        <v>26.598229860848676</v>
      </c>
      <c r="BF696" s="285">
        <f t="shared" si="469"/>
        <v>106.23568773978985</v>
      </c>
      <c r="BG696" s="285">
        <f t="shared" si="469"/>
        <v>141.85234444660296</v>
      </c>
      <c r="BH696" s="285">
        <f t="shared" si="469"/>
        <v>166.22950819672133</v>
      </c>
      <c r="BI696" s="285">
        <f t="shared" ref="BI696:BO696" si="470">BI772/BI764-BH772/BH764</f>
        <v>11.160770779407471</v>
      </c>
      <c r="BJ696" s="285">
        <f t="shared" si="470"/>
        <v>-25.106125970664266</v>
      </c>
      <c r="BK696" s="285">
        <f t="shared" si="470"/>
        <v>232.56847414880224</v>
      </c>
      <c r="BL696" s="285">
        <f t="shared" si="470"/>
        <v>104.00505166475295</v>
      </c>
      <c r="BM696" s="285">
        <f t="shared" si="470"/>
        <v>159.04477611940297</v>
      </c>
      <c r="BN696" s="285">
        <f t="shared" si="470"/>
        <v>78.358208955223745</v>
      </c>
      <c r="BO696" s="285">
        <f t="shared" si="470"/>
        <v>50.47761194029863</v>
      </c>
      <c r="BU696" s="40">
        <f t="shared" si="458"/>
        <v>0</v>
      </c>
      <c r="BV696" s="40">
        <f t="shared" si="465"/>
        <v>0</v>
      </c>
      <c r="BW696" s="40">
        <f t="shared" si="465"/>
        <v>0</v>
      </c>
      <c r="BX696" s="40">
        <f t="shared" si="465"/>
        <v>0</v>
      </c>
      <c r="BY696" s="40">
        <f t="shared" si="465"/>
        <v>0</v>
      </c>
      <c r="BZ696" s="40">
        <f t="shared" si="465"/>
        <v>0</v>
      </c>
      <c r="CA696" s="40">
        <f t="shared" si="465"/>
        <v>0</v>
      </c>
      <c r="CB696" s="40">
        <f t="shared" si="465"/>
        <v>0</v>
      </c>
      <c r="CC696" s="40">
        <f t="shared" si="465"/>
        <v>0</v>
      </c>
      <c r="CD696" s="40">
        <f t="shared" si="465"/>
        <v>0</v>
      </c>
    </row>
    <row r="697" spans="2:99" s="25" customFormat="1">
      <c r="B697" s="852" t="s">
        <v>1899</v>
      </c>
      <c r="C697" s="25" t="s">
        <v>2359</v>
      </c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285" t="s">
        <v>2219</v>
      </c>
      <c r="AW697" s="285" t="s">
        <v>2219</v>
      </c>
      <c r="AX697" s="285" t="s">
        <v>2219</v>
      </c>
      <c r="AY697" s="285" t="s">
        <v>2219</v>
      </c>
      <c r="AZ697" s="285" t="s">
        <v>2219</v>
      </c>
      <c r="BA697" s="285" t="s">
        <v>2219</v>
      </c>
      <c r="BB697" s="285" t="s">
        <v>2219</v>
      </c>
      <c r="BC697" s="285" t="s">
        <v>2219</v>
      </c>
      <c r="BD697" s="285" t="s">
        <v>2219</v>
      </c>
      <c r="BE697" s="285" t="s">
        <v>2219</v>
      </c>
      <c r="BF697" s="285"/>
      <c r="BG697" s="285" t="s">
        <v>2219</v>
      </c>
      <c r="BH697" s="285" t="s">
        <v>2219</v>
      </c>
      <c r="BI697" s="285"/>
      <c r="BJ697" s="285"/>
      <c r="BK697" s="285"/>
      <c r="BL697" s="162"/>
      <c r="BN697" s="1062"/>
      <c r="BU697" s="40">
        <f t="shared" si="458"/>
        <v>0</v>
      </c>
      <c r="BV697" s="40">
        <f t="shared" si="465"/>
        <v>0</v>
      </c>
      <c r="BW697" s="40">
        <f t="shared" si="465"/>
        <v>0</v>
      </c>
      <c r="BX697" s="40">
        <f t="shared" si="465"/>
        <v>0</v>
      </c>
      <c r="BY697" s="40">
        <f t="shared" si="465"/>
        <v>0</v>
      </c>
      <c r="BZ697" s="40">
        <f t="shared" si="465"/>
        <v>0</v>
      </c>
      <c r="CA697" s="40">
        <f t="shared" si="465"/>
        <v>0</v>
      </c>
      <c r="CB697" s="40">
        <f t="shared" si="465"/>
        <v>0</v>
      </c>
      <c r="CC697" s="40">
        <f t="shared" si="465"/>
        <v>0</v>
      </c>
      <c r="CD697" s="40">
        <f t="shared" si="465"/>
        <v>0</v>
      </c>
      <c r="CM697" s="162"/>
    </row>
    <row r="698" spans="2:99" s="25" customFormat="1">
      <c r="B698" s="532" t="s">
        <v>1680</v>
      </c>
      <c r="C698" s="532" t="s">
        <v>2359</v>
      </c>
      <c r="D698" s="12" t="s">
        <v>2864</v>
      </c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853">
        <f t="shared" ref="AV698:BF698" si="471">AV634-( AV639+AV640+AV641)+(AV645-AV649)+(AV653-AV657)+(AV659+AV663)-(AV665+AV669)</f>
        <v>-89.399999999999991</v>
      </c>
      <c r="AW698" s="853">
        <f t="shared" si="471"/>
        <v>-67.69999999999996</v>
      </c>
      <c r="AX698" s="853">
        <f t="shared" si="471"/>
        <v>-183.19999999999996</v>
      </c>
      <c r="AY698" s="853">
        <f t="shared" si="471"/>
        <v>8.1000000000000227</v>
      </c>
      <c r="AZ698" s="853">
        <f t="shared" si="471"/>
        <v>24.60000000000008</v>
      </c>
      <c r="BA698" s="853">
        <f t="shared" si="471"/>
        <v>-84</v>
      </c>
      <c r="BB698" s="853">
        <f t="shared" si="471"/>
        <v>-130.99999999999991</v>
      </c>
      <c r="BC698" s="853">
        <f t="shared" si="471"/>
        <v>-148.20000000000019</v>
      </c>
      <c r="BD698" s="853">
        <f t="shared" si="471"/>
        <v>-61.899999999999935</v>
      </c>
      <c r="BE698" s="853">
        <f t="shared" si="471"/>
        <v>-242.00000000000011</v>
      </c>
      <c r="BF698" s="853">
        <f t="shared" si="471"/>
        <v>187.39999999999975</v>
      </c>
      <c r="BG698" s="453">
        <f t="shared" ref="BG698:BM698" si="472">BG634-( BG639+BG640+BG641)+(BG645-BG649)+(BG653-BG657)+(BG659+BG663)-(BG665+BG669)-BG655</f>
        <v>370.80000000000024</v>
      </c>
      <c r="BH698" s="453">
        <f t="shared" si="472"/>
        <v>346.49999999999994</v>
      </c>
      <c r="BI698" s="453">
        <f t="shared" si="472"/>
        <v>136.30000000000001</v>
      </c>
      <c r="BJ698" s="453">
        <f t="shared" si="472"/>
        <v>781.09999999999991</v>
      </c>
      <c r="BK698" s="453">
        <f t="shared" si="472"/>
        <v>709.70000000000027</v>
      </c>
      <c r="BL698" s="453">
        <f t="shared" si="472"/>
        <v>387.7000000000001</v>
      </c>
      <c r="BM698" s="453">
        <f t="shared" si="472"/>
        <v>-26.800000000000011</v>
      </c>
      <c r="BN698" s="1063">
        <f>BM698</f>
        <v>-26.800000000000011</v>
      </c>
      <c r="BU698" s="40">
        <f t="shared" si="458"/>
        <v>0</v>
      </c>
      <c r="BV698" s="40">
        <f t="shared" si="465"/>
        <v>0</v>
      </c>
      <c r="BW698" s="40">
        <f t="shared" si="465"/>
        <v>0</v>
      </c>
      <c r="BX698" s="40">
        <f t="shared" si="465"/>
        <v>0</v>
      </c>
      <c r="BY698" s="40">
        <f t="shared" si="465"/>
        <v>0</v>
      </c>
      <c r="BZ698" s="40">
        <f t="shared" si="465"/>
        <v>0</v>
      </c>
      <c r="CA698" s="40">
        <f t="shared" si="465"/>
        <v>0</v>
      </c>
      <c r="CB698" s="40">
        <f t="shared" si="465"/>
        <v>0</v>
      </c>
      <c r="CC698" s="40">
        <f t="shared" si="465"/>
        <v>0</v>
      </c>
      <c r="CD698" s="40">
        <f t="shared" si="465"/>
        <v>0</v>
      </c>
      <c r="CL698" s="25">
        <v>-84</v>
      </c>
      <c r="CM698" s="854"/>
      <c r="CN698" s="25">
        <v>-148.19999999999999</v>
      </c>
      <c r="CO698" s="25">
        <v>-138.4</v>
      </c>
      <c r="CP698" s="25">
        <v>-137.80000000000001</v>
      </c>
      <c r="CQ698" s="25">
        <v>-137.80000000000001</v>
      </c>
      <c r="CR698" s="25">
        <v>-136.80000000000001</v>
      </c>
      <c r="CS698" s="25">
        <v>-135.80000000000001</v>
      </c>
      <c r="CT698" s="25">
        <v>-134.80000000000001</v>
      </c>
      <c r="CU698" s="25">
        <v>-133.80000000000001</v>
      </c>
    </row>
    <row r="699" spans="2:99" s="25" customFormat="1">
      <c r="B699" s="532" t="s">
        <v>1681</v>
      </c>
      <c r="C699" s="532" t="s">
        <v>2359</v>
      </c>
      <c r="D699" s="12" t="s">
        <v>2864</v>
      </c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855">
        <f t="shared" ref="AV699:BG699" si="473">AV673+AV675+AV676+AV677</f>
        <v>69.400000000000006</v>
      </c>
      <c r="AW699" s="855">
        <f t="shared" si="473"/>
        <v>41.8</v>
      </c>
      <c r="AX699" s="855">
        <f t="shared" si="473"/>
        <v>61.2</v>
      </c>
      <c r="AY699" s="855">
        <f t="shared" si="473"/>
        <v>19.100000000000001</v>
      </c>
      <c r="AZ699" s="855">
        <f t="shared" si="473"/>
        <v>-80.800000000000011</v>
      </c>
      <c r="BA699" s="855">
        <f t="shared" si="473"/>
        <v>104.80000000000001</v>
      </c>
      <c r="BB699" s="855">
        <f t="shared" si="473"/>
        <v>-37.5</v>
      </c>
      <c r="BC699" s="855">
        <f t="shared" si="473"/>
        <v>-23.000000000000004</v>
      </c>
      <c r="BD699" s="855">
        <f t="shared" si="473"/>
        <v>17.899999999999995</v>
      </c>
      <c r="BE699" s="855">
        <f t="shared" si="473"/>
        <v>118.19999999999999</v>
      </c>
      <c r="BF699" s="855">
        <f t="shared" si="473"/>
        <v>-166.20000000000002</v>
      </c>
      <c r="BG699" s="856">
        <f t="shared" si="473"/>
        <v>-258.89999999999998</v>
      </c>
      <c r="BH699" s="856">
        <f t="shared" ref="BH699:BM699" si="474">BH673+BH675+BH676+BH677</f>
        <v>-17.900000000000002</v>
      </c>
      <c r="BI699" s="856">
        <f t="shared" si="474"/>
        <v>-8.300000000000006</v>
      </c>
      <c r="BJ699" s="856">
        <f t="shared" si="474"/>
        <v>-405.90000000000009</v>
      </c>
      <c r="BK699" s="856">
        <f t="shared" si="474"/>
        <v>-122.39999999999996</v>
      </c>
      <c r="BL699" s="856">
        <f t="shared" si="474"/>
        <v>500.70000000000005</v>
      </c>
      <c r="BM699" s="856">
        <f t="shared" si="474"/>
        <v>439.80000000000007</v>
      </c>
      <c r="BN699" s="1063">
        <f>BM699</f>
        <v>439.80000000000007</v>
      </c>
      <c r="BU699" s="40">
        <f t="shared" si="458"/>
        <v>0</v>
      </c>
      <c r="BV699" s="40">
        <f t="shared" si="465"/>
        <v>0</v>
      </c>
      <c r="BW699" s="40">
        <f t="shared" si="465"/>
        <v>0</v>
      </c>
      <c r="BX699" s="40">
        <f t="shared" si="465"/>
        <v>0</v>
      </c>
      <c r="BY699" s="40">
        <f t="shared" si="465"/>
        <v>0</v>
      </c>
      <c r="BZ699" s="40">
        <f t="shared" si="465"/>
        <v>0</v>
      </c>
      <c r="CA699" s="40">
        <f t="shared" si="465"/>
        <v>0</v>
      </c>
      <c r="CB699" s="40">
        <f t="shared" si="465"/>
        <v>0</v>
      </c>
      <c r="CC699" s="40">
        <f t="shared" si="465"/>
        <v>0</v>
      </c>
      <c r="CD699" s="40">
        <f t="shared" si="465"/>
        <v>0</v>
      </c>
      <c r="CL699" s="25">
        <v>104.8</v>
      </c>
      <c r="CM699" s="857"/>
      <c r="CN699" s="25">
        <v>-23</v>
      </c>
      <c r="CO699" s="25">
        <v>-13.1</v>
      </c>
      <c r="CP699" s="25">
        <v>-68.599999999999994</v>
      </c>
      <c r="CQ699" s="25">
        <v>-68.599999999999994</v>
      </c>
      <c r="CR699" s="25">
        <v>-68.599999999999994</v>
      </c>
      <c r="CS699" s="25">
        <v>-68.599999999999994</v>
      </c>
      <c r="CT699" s="25">
        <v>-68.599999999999994</v>
      </c>
      <c r="CU699" s="25">
        <v>-68.599999999999994</v>
      </c>
    </row>
    <row r="700" spans="2:99" s="25" customFormat="1">
      <c r="B700" s="532" t="s">
        <v>2070</v>
      </c>
      <c r="C700" s="532" t="s">
        <v>2359</v>
      </c>
      <c r="D700" s="12" t="s">
        <v>2864</v>
      </c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855">
        <f t="shared" ref="AV700:BH700" si="475">AV679+AV680+AV698+AV699</f>
        <v>4.4000000000000199</v>
      </c>
      <c r="AW700" s="855">
        <f t="shared" si="475"/>
        <v>-33.499999999999957</v>
      </c>
      <c r="AX700" s="855">
        <f t="shared" si="475"/>
        <v>-46.299999999999955</v>
      </c>
      <c r="AY700" s="855">
        <f t="shared" si="475"/>
        <v>-84.399999999999977</v>
      </c>
      <c r="AZ700" s="855">
        <f t="shared" si="475"/>
        <v>-16.699999999999932</v>
      </c>
      <c r="BA700" s="855">
        <f t="shared" si="475"/>
        <v>88.2</v>
      </c>
      <c r="BB700" s="855">
        <f t="shared" si="475"/>
        <v>-9.0999999999999091</v>
      </c>
      <c r="BC700" s="855">
        <f t="shared" si="475"/>
        <v>1.4999999999998259</v>
      </c>
      <c r="BD700" s="855">
        <f t="shared" si="475"/>
        <v>37.70000000000006</v>
      </c>
      <c r="BE700" s="855">
        <f t="shared" si="475"/>
        <v>23.399999999999864</v>
      </c>
      <c r="BF700" s="855">
        <f t="shared" si="475"/>
        <v>96.799999999999756</v>
      </c>
      <c r="BG700" s="856">
        <f t="shared" si="475"/>
        <v>263.10000000000025</v>
      </c>
      <c r="BH700" s="856">
        <f t="shared" si="475"/>
        <v>281.29999999999995</v>
      </c>
      <c r="BI700" s="858">
        <f>BI679+BI680+BI698+BI699+125.4</f>
        <v>88</v>
      </c>
      <c r="BJ700" s="453">
        <f>BJ679+BJ680+BJ698+BJ699</f>
        <v>-103.40000000000015</v>
      </c>
      <c r="BK700" s="453">
        <f>BK679+BK680+BK698+BK699</f>
        <v>589.20000000000027</v>
      </c>
      <c r="BL700" s="453">
        <f>BL679+BL680+BL698+BL699</f>
        <v>899.70000000000016</v>
      </c>
      <c r="BM700" s="453">
        <f>BM679+BM680+BM698+BM699</f>
        <v>332.1</v>
      </c>
      <c r="BN700" s="1063">
        <f>BM700</f>
        <v>332.1</v>
      </c>
      <c r="BU700" s="40">
        <f t="shared" si="458"/>
        <v>0</v>
      </c>
      <c r="BV700" s="40">
        <f t="shared" si="465"/>
        <v>0</v>
      </c>
      <c r="BW700" s="40">
        <f t="shared" si="465"/>
        <v>0</v>
      </c>
      <c r="BX700" s="40">
        <f t="shared" si="465"/>
        <v>0</v>
      </c>
      <c r="BY700" s="40">
        <f t="shared" si="465"/>
        <v>0</v>
      </c>
      <c r="BZ700" s="40">
        <f t="shared" si="465"/>
        <v>0</v>
      </c>
      <c r="CA700" s="40">
        <f t="shared" si="465"/>
        <v>0</v>
      </c>
      <c r="CB700" s="40">
        <f t="shared" si="465"/>
        <v>0</v>
      </c>
      <c r="CC700" s="40">
        <f t="shared" si="465"/>
        <v>0</v>
      </c>
      <c r="CD700" s="40">
        <f t="shared" si="465"/>
        <v>0</v>
      </c>
      <c r="CL700" s="25">
        <v>88.2</v>
      </c>
      <c r="CM700" s="857"/>
      <c r="CN700" s="25">
        <v>-124.9</v>
      </c>
      <c r="CO700" s="25">
        <v>37.4</v>
      </c>
      <c r="CP700" s="25">
        <v>-90.099999999999952</v>
      </c>
      <c r="CQ700" s="25">
        <v>-90.099999999999952</v>
      </c>
      <c r="CR700" s="25">
        <v>-89.099999999999952</v>
      </c>
      <c r="CS700" s="25">
        <v>-88.099999999999952</v>
      </c>
      <c r="CT700" s="25">
        <v>-87.099999999999952</v>
      </c>
      <c r="CU700" s="25">
        <v>-86.099999999999952</v>
      </c>
    </row>
    <row r="701" spans="2:99" s="25" customFormat="1">
      <c r="B701" s="532" t="s">
        <v>3141</v>
      </c>
      <c r="C701" s="25" t="s">
        <v>2359</v>
      </c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855">
        <f>AV698+AV699</f>
        <v>-19.999999999999986</v>
      </c>
      <c r="AW701" s="855">
        <f t="shared" ref="AW701:BJ701" si="476">AW698+AW699</f>
        <v>-25.899999999999963</v>
      </c>
      <c r="AX701" s="855">
        <f t="shared" si="476"/>
        <v>-121.99999999999996</v>
      </c>
      <c r="AY701" s="855">
        <f t="shared" si="476"/>
        <v>27.200000000000024</v>
      </c>
      <c r="AZ701" s="855">
        <f t="shared" si="476"/>
        <v>-56.199999999999932</v>
      </c>
      <c r="BA701" s="855">
        <f t="shared" si="476"/>
        <v>20.800000000000011</v>
      </c>
      <c r="BB701" s="855">
        <f t="shared" si="476"/>
        <v>-168.49999999999991</v>
      </c>
      <c r="BC701" s="855">
        <f t="shared" si="476"/>
        <v>-171.20000000000019</v>
      </c>
      <c r="BD701" s="855">
        <f t="shared" si="476"/>
        <v>-43.999999999999943</v>
      </c>
      <c r="BE701" s="855">
        <f t="shared" si="476"/>
        <v>-123.80000000000013</v>
      </c>
      <c r="BF701" s="855">
        <f t="shared" si="476"/>
        <v>21.199999999999733</v>
      </c>
      <c r="BG701" s="856">
        <f t="shared" si="476"/>
        <v>111.90000000000026</v>
      </c>
      <c r="BH701" s="856">
        <f t="shared" si="476"/>
        <v>328.59999999999997</v>
      </c>
      <c r="BI701" s="856">
        <f t="shared" si="476"/>
        <v>128</v>
      </c>
      <c r="BJ701" s="856">
        <f t="shared" si="476"/>
        <v>375.19999999999982</v>
      </c>
      <c r="BK701" s="856">
        <f>BK698+BK699</f>
        <v>587.3000000000003</v>
      </c>
      <c r="BL701" s="856">
        <f>BL698+BL699</f>
        <v>888.40000000000009</v>
      </c>
      <c r="BM701" s="856">
        <f>BM698+BM699</f>
        <v>413.00000000000006</v>
      </c>
      <c r="BN701" s="1063">
        <f>BM701</f>
        <v>413.00000000000006</v>
      </c>
      <c r="BU701" s="40">
        <f t="shared" si="458"/>
        <v>0</v>
      </c>
      <c r="BV701" s="40">
        <f t="shared" si="465"/>
        <v>0</v>
      </c>
      <c r="BW701" s="40">
        <f t="shared" si="465"/>
        <v>0</v>
      </c>
      <c r="BX701" s="40">
        <f t="shared" si="465"/>
        <v>0</v>
      </c>
      <c r="BY701" s="40">
        <f t="shared" si="465"/>
        <v>0</v>
      </c>
      <c r="BZ701" s="40">
        <f t="shared" si="465"/>
        <v>0</v>
      </c>
      <c r="CA701" s="40">
        <f t="shared" si="465"/>
        <v>0</v>
      </c>
      <c r="CB701" s="40">
        <f t="shared" si="465"/>
        <v>0</v>
      </c>
      <c r="CC701" s="40">
        <f t="shared" si="465"/>
        <v>0</v>
      </c>
      <c r="CD701" s="40">
        <f t="shared" si="465"/>
        <v>0</v>
      </c>
      <c r="CM701" s="857"/>
    </row>
    <row r="702" spans="2:99" s="25" customFormat="1">
      <c r="B702" s="661" t="s">
        <v>1442</v>
      </c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855"/>
      <c r="AW702" s="855"/>
      <c r="AX702" s="855"/>
      <c r="AY702" s="855"/>
      <c r="AZ702" s="855"/>
      <c r="BA702" s="855"/>
      <c r="BB702" s="855"/>
      <c r="BC702" s="855"/>
      <c r="BD702" s="855"/>
      <c r="BE702" s="855"/>
      <c r="BF702" s="855"/>
      <c r="BG702" s="855"/>
      <c r="BH702" s="855"/>
      <c r="BI702" s="855" t="s">
        <v>2219</v>
      </c>
      <c r="BJ702" s="855"/>
      <c r="BK702" s="855"/>
      <c r="BL702" s="857"/>
      <c r="BU702" s="40">
        <f t="shared" si="458"/>
        <v>0</v>
      </c>
      <c r="BV702" s="40">
        <f t="shared" si="465"/>
        <v>0</v>
      </c>
      <c r="BW702" s="40">
        <f t="shared" si="465"/>
        <v>0</v>
      </c>
      <c r="BX702" s="40">
        <f t="shared" si="465"/>
        <v>0</v>
      </c>
      <c r="BY702" s="40">
        <f t="shared" si="465"/>
        <v>0</v>
      </c>
      <c r="BZ702" s="40">
        <f t="shared" si="465"/>
        <v>0</v>
      </c>
      <c r="CA702" s="40">
        <f t="shared" si="465"/>
        <v>0</v>
      </c>
      <c r="CB702" s="40">
        <f t="shared" si="465"/>
        <v>0</v>
      </c>
      <c r="CC702" s="40">
        <f t="shared" si="465"/>
        <v>0</v>
      </c>
      <c r="CD702" s="40">
        <f t="shared" si="465"/>
        <v>0</v>
      </c>
      <c r="CM702" s="857"/>
    </row>
    <row r="703" spans="2:99" s="25" customFormat="1">
      <c r="B703" s="99" t="s">
        <v>284</v>
      </c>
      <c r="C703" s="25" t="s">
        <v>2359</v>
      </c>
      <c r="D703" s="12" t="s">
        <v>1271</v>
      </c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709"/>
      <c r="AW703" s="709"/>
      <c r="AX703" s="709"/>
      <c r="AY703" s="709"/>
      <c r="AZ703" s="709">
        <v>73.7</v>
      </c>
      <c r="BA703" s="709">
        <v>67.7</v>
      </c>
      <c r="BB703" s="487">
        <v>68.7</v>
      </c>
      <c r="BC703" s="859">
        <v>66.900000000000006</v>
      </c>
      <c r="BD703" s="859">
        <v>62</v>
      </c>
      <c r="BE703" s="859">
        <v>45</v>
      </c>
      <c r="BF703" s="709">
        <f>BF656</f>
        <v>79.5</v>
      </c>
      <c r="BG703" s="709">
        <f>BG656</f>
        <v>46.2</v>
      </c>
      <c r="BH703" s="709">
        <f>BH656</f>
        <v>21.8</v>
      </c>
      <c r="BI703" s="709">
        <f>BI656</f>
        <v>25</v>
      </c>
      <c r="BJ703" s="709">
        <f>BJ656</f>
        <v>130.4</v>
      </c>
      <c r="BK703" s="709"/>
      <c r="BU703" s="40">
        <f t="shared" si="458"/>
        <v>0</v>
      </c>
      <c r="BV703" s="40">
        <f t="shared" si="465"/>
        <v>0</v>
      </c>
      <c r="BW703" s="40">
        <f t="shared" si="465"/>
        <v>0</v>
      </c>
      <c r="BX703" s="40">
        <f t="shared" si="465"/>
        <v>0</v>
      </c>
      <c r="BY703" s="40">
        <f t="shared" si="465"/>
        <v>0</v>
      </c>
      <c r="BZ703" s="40">
        <f t="shared" si="465"/>
        <v>0</v>
      </c>
      <c r="CA703" s="40">
        <f t="shared" si="465"/>
        <v>0</v>
      </c>
      <c r="CB703" s="40">
        <f t="shared" si="465"/>
        <v>0</v>
      </c>
      <c r="CC703" s="40">
        <f t="shared" si="465"/>
        <v>0</v>
      </c>
      <c r="CD703" s="40">
        <f t="shared" si="465"/>
        <v>0</v>
      </c>
    </row>
    <row r="704" spans="2:99" s="25" customFormat="1">
      <c r="B704" s="99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855"/>
      <c r="AW704" s="855"/>
      <c r="AX704" s="855"/>
      <c r="AY704" s="855"/>
      <c r="AZ704" s="855"/>
      <c r="BA704" s="855"/>
      <c r="BB704" s="855"/>
      <c r="BC704" s="855"/>
      <c r="BD704" s="855"/>
      <c r="BE704" s="855"/>
      <c r="BF704" s="855"/>
      <c r="BG704" s="855"/>
      <c r="BH704" s="855"/>
      <c r="BI704" s="855"/>
      <c r="BJ704" s="855"/>
      <c r="BK704" s="855"/>
      <c r="BL704" s="857"/>
      <c r="BU704" s="40">
        <f t="shared" si="458"/>
        <v>0</v>
      </c>
      <c r="BV704" s="40">
        <f t="shared" si="465"/>
        <v>0</v>
      </c>
      <c r="BW704" s="40">
        <f t="shared" si="465"/>
        <v>0</v>
      </c>
      <c r="BX704" s="40">
        <f t="shared" si="465"/>
        <v>0</v>
      </c>
      <c r="BY704" s="40">
        <f t="shared" si="465"/>
        <v>0</v>
      </c>
      <c r="BZ704" s="40">
        <f t="shared" si="465"/>
        <v>0</v>
      </c>
      <c r="CA704" s="40">
        <f t="shared" si="465"/>
        <v>0</v>
      </c>
      <c r="CB704" s="40">
        <f t="shared" si="465"/>
        <v>0</v>
      </c>
      <c r="CC704" s="40">
        <f t="shared" si="465"/>
        <v>0</v>
      </c>
      <c r="CD704" s="40">
        <f t="shared" si="465"/>
        <v>0</v>
      </c>
      <c r="CM704" s="857"/>
    </row>
    <row r="705" spans="2:91" s="25" customFormat="1">
      <c r="B705" s="99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855"/>
      <c r="AW705" s="855"/>
      <c r="AX705" s="855"/>
      <c r="AY705" s="855"/>
      <c r="AZ705" s="855"/>
      <c r="BA705" s="855"/>
      <c r="BB705" s="855"/>
      <c r="BC705" s="855"/>
      <c r="BD705" s="855"/>
      <c r="BE705" s="855"/>
      <c r="BF705" s="855"/>
      <c r="BG705" s="855"/>
      <c r="BH705" s="855"/>
      <c r="BI705" s="855"/>
      <c r="BJ705" s="855"/>
      <c r="BK705" s="855"/>
      <c r="BL705" s="857"/>
      <c r="BU705" s="40">
        <f t="shared" si="458"/>
        <v>0</v>
      </c>
      <c r="BV705" s="40">
        <f t="shared" si="465"/>
        <v>0</v>
      </c>
      <c r="BW705" s="40">
        <f t="shared" si="465"/>
        <v>0</v>
      </c>
      <c r="BX705" s="40">
        <f t="shared" si="465"/>
        <v>0</v>
      </c>
      <c r="BY705" s="40">
        <f t="shared" si="465"/>
        <v>0</v>
      </c>
      <c r="BZ705" s="40">
        <f t="shared" si="465"/>
        <v>0</v>
      </c>
      <c r="CA705" s="40">
        <f t="shared" si="465"/>
        <v>0</v>
      </c>
      <c r="CB705" s="40">
        <f t="shared" si="465"/>
        <v>0</v>
      </c>
      <c r="CC705" s="40">
        <f t="shared" si="465"/>
        <v>0</v>
      </c>
      <c r="CD705" s="40">
        <f t="shared" si="465"/>
        <v>0</v>
      </c>
      <c r="CM705" s="857"/>
    </row>
    <row r="706" spans="2:91" s="289" customFormat="1">
      <c r="BG706" s="455"/>
      <c r="BH706" s="455"/>
      <c r="BI706" s="455"/>
      <c r="BJ706" s="455"/>
      <c r="BK706" s="455"/>
      <c r="BL706" s="455"/>
      <c r="BM706" s="455"/>
      <c r="BN706" s="455"/>
      <c r="BO706" s="455"/>
      <c r="BU706" s="40">
        <f t="shared" si="458"/>
        <v>0</v>
      </c>
      <c r="BV706" s="40">
        <f t="shared" si="465"/>
        <v>0</v>
      </c>
      <c r="BW706" s="40">
        <f t="shared" si="465"/>
        <v>0</v>
      </c>
      <c r="BX706" s="40">
        <f t="shared" si="465"/>
        <v>0</v>
      </c>
      <c r="BY706" s="40">
        <f t="shared" si="465"/>
        <v>0</v>
      </c>
      <c r="BZ706" s="40">
        <f t="shared" si="465"/>
        <v>0</v>
      </c>
      <c r="CA706" s="40">
        <f t="shared" si="465"/>
        <v>0</v>
      </c>
      <c r="CB706" s="40">
        <f t="shared" si="465"/>
        <v>0</v>
      </c>
      <c r="CC706" s="40">
        <f t="shared" si="465"/>
        <v>0</v>
      </c>
      <c r="CD706" s="40">
        <f t="shared" si="465"/>
        <v>0</v>
      </c>
      <c r="CM706" s="455"/>
    </row>
    <row r="707" spans="2:91" s="289" customFormat="1">
      <c r="B707" s="860" t="s">
        <v>1214</v>
      </c>
      <c r="BF707" s="407">
        <f>SUM(BF708+BF711+BF718+BF721)</f>
        <v>220.59999999999997</v>
      </c>
      <c r="BG707" s="407">
        <f t="shared" ref="BG707:BN707" si="477">SUM(BG708+BG711+BG718+BG721)</f>
        <v>324.60000000000008</v>
      </c>
      <c r="BH707" s="407">
        <f t="shared" si="477"/>
        <v>324.69999999999993</v>
      </c>
      <c r="BI707" s="407">
        <f t="shared" si="477"/>
        <v>111.29999999999987</v>
      </c>
      <c r="BJ707" s="407">
        <f t="shared" si="477"/>
        <v>650.69999999999982</v>
      </c>
      <c r="BK707" s="407">
        <f t="shared" si="477"/>
        <v>431.40000000000015</v>
      </c>
      <c r="BL707" s="407">
        <f t="shared" si="477"/>
        <v>169.0999999999998</v>
      </c>
      <c r="BM707" s="407">
        <f t="shared" si="477"/>
        <v>-175.70000000000002</v>
      </c>
      <c r="BN707" s="407">
        <f t="shared" si="477"/>
        <v>-384.89999999999981</v>
      </c>
      <c r="BO707" s="407">
        <f>SUM(BO708+BO711+BO718+BO721)</f>
        <v>-656.66666666666686</v>
      </c>
      <c r="BU707" s="40">
        <f t="shared" si="458"/>
        <v>0</v>
      </c>
      <c r="BV707" s="40">
        <f t="shared" ref="BV707:CD717" si="478">BU707</f>
        <v>0</v>
      </c>
      <c r="BW707" s="40">
        <f t="shared" si="478"/>
        <v>0</v>
      </c>
      <c r="BX707" s="40">
        <f t="shared" si="478"/>
        <v>0</v>
      </c>
      <c r="BY707" s="40">
        <f t="shared" si="478"/>
        <v>0</v>
      </c>
      <c r="BZ707" s="40">
        <f t="shared" si="478"/>
        <v>0</v>
      </c>
      <c r="CA707" s="40">
        <f t="shared" si="478"/>
        <v>0</v>
      </c>
      <c r="CB707" s="40">
        <f t="shared" si="478"/>
        <v>0</v>
      </c>
      <c r="CC707" s="40">
        <f t="shared" si="478"/>
        <v>0</v>
      </c>
      <c r="CD707" s="40">
        <f t="shared" si="478"/>
        <v>0</v>
      </c>
      <c r="CM707" s="407">
        <f>SUM(CM708+CM711+CM718+CM721)</f>
        <v>45.500000000000007</v>
      </c>
    </row>
    <row r="708" spans="2:91" s="289" customFormat="1">
      <c r="B708" s="289" t="s">
        <v>4264</v>
      </c>
      <c r="BF708" s="454">
        <f>BF709+BF710</f>
        <v>271.89999999999998</v>
      </c>
      <c r="BG708" s="454">
        <f t="shared" ref="BG708:BN708" si="479">BG709+BG710</f>
        <v>314.20000000000005</v>
      </c>
      <c r="BH708" s="454">
        <f t="shared" si="479"/>
        <v>336.79999999999995</v>
      </c>
      <c r="BI708" s="454">
        <f t="shared" si="479"/>
        <v>11.099999999999909</v>
      </c>
      <c r="BJ708" s="454">
        <f t="shared" si="479"/>
        <v>686.19999999999982</v>
      </c>
      <c r="BK708" s="454">
        <f t="shared" si="479"/>
        <v>967.80000000000018</v>
      </c>
      <c r="BL708" s="454">
        <f t="shared" si="479"/>
        <v>706.69999999999982</v>
      </c>
      <c r="BM708" s="454">
        <f t="shared" si="479"/>
        <v>242.5</v>
      </c>
      <c r="BN708" s="454">
        <f t="shared" si="479"/>
        <v>133.00000000000023</v>
      </c>
      <c r="BO708" s="454">
        <f>BO709+BO710</f>
        <v>-355.60000000000014</v>
      </c>
      <c r="BU708" s="40">
        <f t="shared" si="458"/>
        <v>0</v>
      </c>
      <c r="BV708" s="40">
        <f t="shared" si="478"/>
        <v>0</v>
      </c>
      <c r="BW708" s="40">
        <f t="shared" si="478"/>
        <v>0</v>
      </c>
      <c r="BX708" s="40">
        <f t="shared" si="478"/>
        <v>0</v>
      </c>
      <c r="BY708" s="40">
        <f t="shared" si="478"/>
        <v>0</v>
      </c>
      <c r="BZ708" s="40">
        <f t="shared" si="478"/>
        <v>0</v>
      </c>
      <c r="CA708" s="40">
        <f t="shared" si="478"/>
        <v>0</v>
      </c>
      <c r="CB708" s="40">
        <f t="shared" si="478"/>
        <v>0</v>
      </c>
      <c r="CC708" s="40">
        <f t="shared" si="478"/>
        <v>0</v>
      </c>
      <c r="CD708" s="40">
        <f t="shared" si="478"/>
        <v>0</v>
      </c>
      <c r="CM708" s="454">
        <f>CM709+CM710</f>
        <v>215.5</v>
      </c>
    </row>
    <row r="709" spans="2:91" s="289" customFormat="1">
      <c r="B709" s="791" t="s">
        <v>4265</v>
      </c>
      <c r="BF709" s="289">
        <v>1174.5</v>
      </c>
      <c r="BG709" s="454">
        <v>1359</v>
      </c>
      <c r="BH709" s="454">
        <v>1743.5</v>
      </c>
      <c r="BI709" s="454">
        <v>1401.8</v>
      </c>
      <c r="BJ709" s="454">
        <v>2084.1</v>
      </c>
      <c r="BK709" s="454">
        <v>2646.9</v>
      </c>
      <c r="BL709" s="843">
        <v>2700.2</v>
      </c>
      <c r="BM709" s="843">
        <v>2416.1999999999998</v>
      </c>
      <c r="BN709" s="455">
        <v>2145.3000000000002</v>
      </c>
      <c r="BO709" s="455">
        <f>4/3*(479.5+441.4+388.2)</f>
        <v>1745.4666666666665</v>
      </c>
      <c r="BU709" s="40">
        <f t="shared" si="458"/>
        <v>0</v>
      </c>
      <c r="BV709" s="40">
        <f t="shared" si="478"/>
        <v>0</v>
      </c>
      <c r="BW709" s="40">
        <f t="shared" si="478"/>
        <v>0</v>
      </c>
      <c r="BX709" s="40">
        <f t="shared" si="478"/>
        <v>0</v>
      </c>
      <c r="BY709" s="40">
        <f t="shared" si="478"/>
        <v>0</v>
      </c>
      <c r="BZ709" s="40">
        <f t="shared" si="478"/>
        <v>0</v>
      </c>
      <c r="CA709" s="40">
        <f t="shared" si="478"/>
        <v>0</v>
      </c>
      <c r="CB709" s="40">
        <f t="shared" si="478"/>
        <v>0</v>
      </c>
      <c r="CC709" s="40">
        <f t="shared" si="478"/>
        <v>0</v>
      </c>
      <c r="CD709" s="40">
        <f t="shared" si="478"/>
        <v>0</v>
      </c>
      <c r="CM709" s="843">
        <v>615.6</v>
      </c>
    </row>
    <row r="710" spans="2:91" s="289" customFormat="1">
      <c r="B710" s="791" t="s">
        <v>4266</v>
      </c>
      <c r="BF710" s="289">
        <v>-902.6</v>
      </c>
      <c r="BG710" s="454">
        <v>-1044.8</v>
      </c>
      <c r="BH710" s="454">
        <v>-1406.7</v>
      </c>
      <c r="BI710" s="454">
        <v>-1390.7</v>
      </c>
      <c r="BJ710" s="454">
        <v>-1397.9</v>
      </c>
      <c r="BK710" s="454">
        <v>-1679.1</v>
      </c>
      <c r="BL710" s="843">
        <v>-1993.5</v>
      </c>
      <c r="BM710" s="843">
        <v>-2173.6999999999998</v>
      </c>
      <c r="BN710" s="455">
        <v>-2012.3</v>
      </c>
      <c r="BO710" s="455">
        <f>4/3*(-529.6+-527.1+-519.1)</f>
        <v>-2101.0666666666666</v>
      </c>
      <c r="BU710" s="40">
        <f t="shared" si="458"/>
        <v>0</v>
      </c>
      <c r="BV710" s="40">
        <f t="shared" si="478"/>
        <v>0</v>
      </c>
      <c r="BW710" s="40">
        <f t="shared" si="478"/>
        <v>0</v>
      </c>
      <c r="BX710" s="40">
        <f t="shared" si="478"/>
        <v>0</v>
      </c>
      <c r="BY710" s="40">
        <f t="shared" si="478"/>
        <v>0</v>
      </c>
      <c r="BZ710" s="40">
        <f t="shared" si="478"/>
        <v>0</v>
      </c>
      <c r="CA710" s="40">
        <f t="shared" si="478"/>
        <v>0</v>
      </c>
      <c r="CB710" s="40">
        <f t="shared" si="478"/>
        <v>0</v>
      </c>
      <c r="CC710" s="40">
        <f t="shared" si="478"/>
        <v>0</v>
      </c>
      <c r="CD710" s="40">
        <f t="shared" si="478"/>
        <v>0</v>
      </c>
      <c r="CM710" s="843">
        <v>-400.1</v>
      </c>
    </row>
    <row r="711" spans="2:91" s="289" customFormat="1">
      <c r="B711" s="289" t="s">
        <v>4267</v>
      </c>
      <c r="BF711" s="407">
        <f>BF712+BF715</f>
        <v>-32.700000000000017</v>
      </c>
      <c r="BG711" s="407">
        <f t="shared" ref="BG711:BL711" si="480">BG712+BG715</f>
        <v>-64.399999999999977</v>
      </c>
      <c r="BH711" s="454">
        <f t="shared" si="480"/>
        <v>-123</v>
      </c>
      <c r="BI711" s="454">
        <f t="shared" si="480"/>
        <v>1.3999999999999773</v>
      </c>
      <c r="BJ711" s="407">
        <f t="shared" si="480"/>
        <v>-17.700000000000017</v>
      </c>
      <c r="BK711" s="454">
        <f t="shared" si="480"/>
        <v>-361.6</v>
      </c>
      <c r="BL711" s="454">
        <f t="shared" si="480"/>
        <v>-418.8</v>
      </c>
      <c r="BM711" s="454">
        <f>BM712+BM715</f>
        <v>-363</v>
      </c>
      <c r="BN711" s="454">
        <f>BN712+BN715</f>
        <v>-529.20000000000005</v>
      </c>
      <c r="BO711" s="454">
        <f>BO712+BO715</f>
        <v>-419.06666666666672</v>
      </c>
      <c r="BU711" s="40">
        <f t="shared" si="458"/>
        <v>0</v>
      </c>
      <c r="BV711" s="40">
        <f t="shared" si="478"/>
        <v>0</v>
      </c>
      <c r="BW711" s="40">
        <f t="shared" si="478"/>
        <v>0</v>
      </c>
      <c r="BX711" s="40">
        <f t="shared" si="478"/>
        <v>0</v>
      </c>
      <c r="BY711" s="40">
        <f t="shared" si="478"/>
        <v>0</v>
      </c>
      <c r="BZ711" s="40">
        <f t="shared" si="478"/>
        <v>0</v>
      </c>
      <c r="CA711" s="40">
        <f t="shared" si="478"/>
        <v>0</v>
      </c>
      <c r="CB711" s="40">
        <f t="shared" si="478"/>
        <v>0</v>
      </c>
      <c r="CC711" s="40">
        <f t="shared" si="478"/>
        <v>0</v>
      </c>
      <c r="CD711" s="40">
        <f t="shared" si="478"/>
        <v>0</v>
      </c>
      <c r="CM711" s="454">
        <f>CM712+CM715</f>
        <v>-142.1</v>
      </c>
    </row>
    <row r="712" spans="2:91" s="289" customFormat="1">
      <c r="B712" s="791" t="s">
        <v>4268</v>
      </c>
      <c r="BF712" s="407">
        <f>SUM(BF713:BF714)</f>
        <v>236.6</v>
      </c>
      <c r="BG712" s="407">
        <f t="shared" ref="BG712:BL712" si="481">SUM(BG713:BG714)</f>
        <v>253.5</v>
      </c>
      <c r="BH712" s="454">
        <f t="shared" si="481"/>
        <v>284.2</v>
      </c>
      <c r="BI712" s="454">
        <f t="shared" si="481"/>
        <v>286.7</v>
      </c>
      <c r="BJ712" s="454">
        <f t="shared" si="481"/>
        <v>241.4</v>
      </c>
      <c r="BK712" s="454">
        <f t="shared" si="481"/>
        <v>200.9</v>
      </c>
      <c r="BL712" s="454">
        <f t="shared" si="481"/>
        <v>175.3</v>
      </c>
      <c r="BM712" s="454">
        <f>SUM(BM713:BM714)</f>
        <v>178.5</v>
      </c>
      <c r="BN712" s="454">
        <f>SUM(BN713:BN714)</f>
        <v>210.7</v>
      </c>
      <c r="BO712" s="454">
        <f>SUM(BO713:BO714)</f>
        <v>214.13333333333333</v>
      </c>
      <c r="BU712" s="40">
        <f t="shared" si="458"/>
        <v>0</v>
      </c>
      <c r="BV712" s="40">
        <f t="shared" si="478"/>
        <v>0</v>
      </c>
      <c r="BW712" s="40">
        <f t="shared" si="478"/>
        <v>0</v>
      </c>
      <c r="BX712" s="40">
        <f t="shared" si="478"/>
        <v>0</v>
      </c>
      <c r="BY712" s="40">
        <f t="shared" si="478"/>
        <v>0</v>
      </c>
      <c r="BZ712" s="40">
        <f t="shared" si="478"/>
        <v>0</v>
      </c>
      <c r="CA712" s="40">
        <f t="shared" si="478"/>
        <v>0</v>
      </c>
      <c r="CB712" s="40">
        <f t="shared" si="478"/>
        <v>0</v>
      </c>
      <c r="CC712" s="40">
        <f t="shared" si="478"/>
        <v>0</v>
      </c>
      <c r="CD712" s="40">
        <f t="shared" si="478"/>
        <v>0</v>
      </c>
      <c r="CM712" s="454">
        <f>SUM(CM713:CM714)</f>
        <v>40.6</v>
      </c>
    </row>
    <row r="713" spans="2:91" s="289" customFormat="1">
      <c r="B713" s="289" t="s">
        <v>4269</v>
      </c>
      <c r="BF713" s="289">
        <v>24.6</v>
      </c>
      <c r="BG713" s="455">
        <v>20.399999999999999</v>
      </c>
      <c r="BH713" s="455">
        <v>19</v>
      </c>
      <c r="BI713" s="455">
        <v>19</v>
      </c>
      <c r="BJ713" s="455">
        <v>31</v>
      </c>
      <c r="BK713" s="455">
        <v>21.5</v>
      </c>
      <c r="BL713" s="843">
        <v>28.3</v>
      </c>
      <c r="BM713" s="843">
        <v>30.5</v>
      </c>
      <c r="BN713" s="455">
        <v>37.5</v>
      </c>
      <c r="BO713" s="455">
        <f>4/3*(10.5+10.6+9.6)</f>
        <v>40.933333333333337</v>
      </c>
      <c r="BU713" s="40">
        <f t="shared" si="458"/>
        <v>0</v>
      </c>
      <c r="BV713" s="40">
        <f t="shared" si="478"/>
        <v>0</v>
      </c>
      <c r="BW713" s="40">
        <f t="shared" si="478"/>
        <v>0</v>
      </c>
      <c r="BX713" s="40">
        <f t="shared" si="478"/>
        <v>0</v>
      </c>
      <c r="BY713" s="40">
        <f t="shared" si="478"/>
        <v>0</v>
      </c>
      <c r="BZ713" s="40">
        <f t="shared" si="478"/>
        <v>0</v>
      </c>
      <c r="CA713" s="40">
        <f t="shared" si="478"/>
        <v>0</v>
      </c>
      <c r="CB713" s="40">
        <f t="shared" si="478"/>
        <v>0</v>
      </c>
      <c r="CC713" s="40">
        <f t="shared" si="478"/>
        <v>0</v>
      </c>
      <c r="CD713" s="40">
        <f t="shared" si="478"/>
        <v>0</v>
      </c>
      <c r="CM713" s="843">
        <v>8</v>
      </c>
    </row>
    <row r="714" spans="2:91" s="289" customFormat="1">
      <c r="B714" s="289" t="s">
        <v>4270</v>
      </c>
      <c r="BF714" s="289">
        <v>212</v>
      </c>
      <c r="BG714" s="455">
        <v>233.1</v>
      </c>
      <c r="BH714" s="455">
        <v>265.2</v>
      </c>
      <c r="BI714" s="455">
        <v>267.7</v>
      </c>
      <c r="BJ714" s="455">
        <v>210.4</v>
      </c>
      <c r="BK714" s="455">
        <v>179.4</v>
      </c>
      <c r="BL714" s="843">
        <v>147</v>
      </c>
      <c r="BM714" s="843">
        <v>148</v>
      </c>
      <c r="BN714" s="455">
        <v>173.2</v>
      </c>
      <c r="BO714" s="455">
        <f>4/3*(51.5+43.8+34.6)</f>
        <v>173.2</v>
      </c>
      <c r="BU714" s="40">
        <f t="shared" si="458"/>
        <v>0</v>
      </c>
      <c r="BV714" s="40">
        <f t="shared" si="478"/>
        <v>0</v>
      </c>
      <c r="BW714" s="40">
        <f t="shared" si="478"/>
        <v>0</v>
      </c>
      <c r="BX714" s="40">
        <f t="shared" si="478"/>
        <v>0</v>
      </c>
      <c r="BY714" s="40">
        <f t="shared" si="478"/>
        <v>0</v>
      </c>
      <c r="BZ714" s="40">
        <f t="shared" si="478"/>
        <v>0</v>
      </c>
      <c r="CA714" s="40">
        <f t="shared" si="478"/>
        <v>0</v>
      </c>
      <c r="CB714" s="40">
        <f t="shared" si="478"/>
        <v>0</v>
      </c>
      <c r="CC714" s="40">
        <f t="shared" si="478"/>
        <v>0</v>
      </c>
      <c r="CD714" s="40">
        <f t="shared" si="478"/>
        <v>0</v>
      </c>
      <c r="CM714" s="843">
        <v>32.6</v>
      </c>
    </row>
    <row r="715" spans="2:91" s="289" customFormat="1">
      <c r="B715" s="289" t="s">
        <v>4271</v>
      </c>
      <c r="BF715" s="454">
        <f t="shared" ref="BF715:BM715" si="482">SUM(BF716:BF717)</f>
        <v>-269.3</v>
      </c>
      <c r="BG715" s="454">
        <f t="shared" si="482"/>
        <v>-317.89999999999998</v>
      </c>
      <c r="BH715" s="454">
        <f t="shared" si="482"/>
        <v>-407.2</v>
      </c>
      <c r="BI715" s="454">
        <f t="shared" si="482"/>
        <v>-285.3</v>
      </c>
      <c r="BJ715" s="407">
        <f t="shared" si="482"/>
        <v>-259.10000000000002</v>
      </c>
      <c r="BK715" s="454">
        <f t="shared" si="482"/>
        <v>-562.5</v>
      </c>
      <c r="BL715" s="454">
        <f t="shared" si="482"/>
        <v>-594.1</v>
      </c>
      <c r="BM715" s="454">
        <f t="shared" si="482"/>
        <v>-541.5</v>
      </c>
      <c r="BN715" s="454">
        <f>SUM(BN716:BN717)</f>
        <v>-739.9</v>
      </c>
      <c r="BO715" s="454">
        <f>SUM(BO716:BO717)</f>
        <v>-633.20000000000005</v>
      </c>
      <c r="BU715" s="40">
        <f t="shared" si="458"/>
        <v>0</v>
      </c>
      <c r="BV715" s="40">
        <f t="shared" si="478"/>
        <v>0</v>
      </c>
      <c r="BW715" s="40">
        <f t="shared" si="478"/>
        <v>0</v>
      </c>
      <c r="BX715" s="40">
        <f t="shared" si="478"/>
        <v>0</v>
      </c>
      <c r="BY715" s="40">
        <f t="shared" si="478"/>
        <v>0</v>
      </c>
      <c r="BZ715" s="40">
        <f t="shared" si="478"/>
        <v>0</v>
      </c>
      <c r="CA715" s="40">
        <f t="shared" si="478"/>
        <v>0</v>
      </c>
      <c r="CB715" s="40">
        <f t="shared" si="478"/>
        <v>0</v>
      </c>
      <c r="CC715" s="40">
        <f t="shared" si="478"/>
        <v>0</v>
      </c>
      <c r="CD715" s="40">
        <f t="shared" si="478"/>
        <v>0</v>
      </c>
      <c r="CM715" s="454">
        <f>SUM(CM716:CM717)</f>
        <v>-182.7</v>
      </c>
    </row>
    <row r="716" spans="2:91" s="289" customFormat="1">
      <c r="B716" s="791" t="s">
        <v>4269</v>
      </c>
      <c r="BF716" s="289">
        <v>-63.1</v>
      </c>
      <c r="BG716" s="455">
        <v>-65.599999999999994</v>
      </c>
      <c r="BH716" s="455">
        <v>-90</v>
      </c>
      <c r="BI716" s="455">
        <v>-63.1</v>
      </c>
      <c r="BJ716" s="455">
        <v>-73.400000000000006</v>
      </c>
      <c r="BK716" s="455">
        <v>-101.8</v>
      </c>
      <c r="BL716" s="843">
        <v>-96</v>
      </c>
      <c r="BM716" s="843">
        <v>-98.1</v>
      </c>
      <c r="BN716" s="455">
        <v>-89</v>
      </c>
      <c r="BO716" s="455">
        <f>4/3*(-22.5+-21.6+-18.1)</f>
        <v>-82.933333333333337</v>
      </c>
      <c r="BU716" s="40">
        <f t="shared" si="458"/>
        <v>0</v>
      </c>
      <c r="BV716" s="40">
        <f t="shared" si="478"/>
        <v>0</v>
      </c>
      <c r="BW716" s="40">
        <f t="shared" si="478"/>
        <v>0</v>
      </c>
      <c r="BX716" s="40">
        <f t="shared" si="478"/>
        <v>0</v>
      </c>
      <c r="BY716" s="40">
        <f t="shared" si="478"/>
        <v>0</v>
      </c>
      <c r="BZ716" s="40">
        <f t="shared" si="478"/>
        <v>0</v>
      </c>
      <c r="CA716" s="40">
        <f t="shared" si="478"/>
        <v>0</v>
      </c>
      <c r="CB716" s="40">
        <f t="shared" si="478"/>
        <v>0</v>
      </c>
      <c r="CC716" s="40">
        <f t="shared" si="478"/>
        <v>0</v>
      </c>
      <c r="CD716" s="40">
        <f t="shared" si="478"/>
        <v>0</v>
      </c>
      <c r="CM716" s="843">
        <v>-26</v>
      </c>
    </row>
    <row r="717" spans="2:91" s="289" customFormat="1">
      <c r="B717" s="791" t="s">
        <v>4270</v>
      </c>
      <c r="BF717" s="289">
        <v>-206.2</v>
      </c>
      <c r="BG717" s="455">
        <v>-252.3</v>
      </c>
      <c r="BH717" s="455">
        <v>-317.2</v>
      </c>
      <c r="BI717" s="455">
        <v>-222.2</v>
      </c>
      <c r="BJ717" s="455">
        <v>-185.7</v>
      </c>
      <c r="BK717" s="455">
        <v>-460.7</v>
      </c>
      <c r="BL717" s="843">
        <v>-498.1</v>
      </c>
      <c r="BM717" s="843">
        <v>-443.4</v>
      </c>
      <c r="BN717" s="455">
        <v>-650.9</v>
      </c>
      <c r="BO717" s="455">
        <f>4/3*(-143.5+-145.6+-123.6)</f>
        <v>-550.26666666666665</v>
      </c>
      <c r="BU717" s="40">
        <f t="shared" si="458"/>
        <v>0</v>
      </c>
      <c r="BV717" s="40">
        <f t="shared" si="478"/>
        <v>0</v>
      </c>
      <c r="BW717" s="40">
        <f t="shared" si="478"/>
        <v>0</v>
      </c>
      <c r="BX717" s="40">
        <f t="shared" si="478"/>
        <v>0</v>
      </c>
      <c r="BY717" s="40">
        <f t="shared" si="478"/>
        <v>0</v>
      </c>
      <c r="BZ717" s="40">
        <f t="shared" si="478"/>
        <v>0</v>
      </c>
      <c r="CA717" s="40">
        <f t="shared" si="478"/>
        <v>0</v>
      </c>
      <c r="CB717" s="40">
        <f t="shared" si="478"/>
        <v>0</v>
      </c>
      <c r="CC717" s="40">
        <f t="shared" si="478"/>
        <v>0</v>
      </c>
      <c r="CD717" s="40">
        <f t="shared" si="478"/>
        <v>0</v>
      </c>
      <c r="CM717" s="843">
        <v>-156.69999999999999</v>
      </c>
    </row>
    <row r="718" spans="2:91" s="289" customFormat="1">
      <c r="B718" s="289" t="s">
        <v>3751</v>
      </c>
      <c r="BF718" s="454">
        <f t="shared" ref="BF718:BM718" si="483">SUM(BF719:BF720)</f>
        <v>-54.5</v>
      </c>
      <c r="BG718" s="454">
        <f t="shared" si="483"/>
        <v>-2.6000000000000014</v>
      </c>
      <c r="BH718" s="454">
        <f t="shared" si="483"/>
        <v>20.400000000000002</v>
      </c>
      <c r="BI718" s="454">
        <f t="shared" si="483"/>
        <v>4.8000000000000007</v>
      </c>
      <c r="BJ718" s="454">
        <f t="shared" si="483"/>
        <v>-104.30000000000001</v>
      </c>
      <c r="BK718" s="454">
        <f t="shared" si="483"/>
        <v>-262.10000000000002</v>
      </c>
      <c r="BL718" s="454">
        <f t="shared" si="483"/>
        <v>-191.5</v>
      </c>
      <c r="BM718" s="454">
        <f t="shared" si="483"/>
        <v>-121.80000000000001</v>
      </c>
      <c r="BN718" s="454">
        <f>SUM(BN719:BN720)</f>
        <v>-59.9</v>
      </c>
      <c r="BO718" s="454">
        <f>SUM(BO719:BO720)</f>
        <v>52.533333333333331</v>
      </c>
      <c r="BU718" s="40">
        <f t="shared" si="458"/>
        <v>0</v>
      </c>
      <c r="BV718" s="40">
        <f t="shared" ref="BV718:CD718" si="484">BU718</f>
        <v>0</v>
      </c>
      <c r="BW718" s="40">
        <f t="shared" si="484"/>
        <v>0</v>
      </c>
      <c r="BX718" s="40">
        <f t="shared" si="484"/>
        <v>0</v>
      </c>
      <c r="BY718" s="40">
        <f t="shared" si="484"/>
        <v>0</v>
      </c>
      <c r="BZ718" s="40">
        <f t="shared" si="484"/>
        <v>0</v>
      </c>
      <c r="CA718" s="40">
        <f t="shared" si="484"/>
        <v>0</v>
      </c>
      <c r="CB718" s="40">
        <f t="shared" si="484"/>
        <v>0</v>
      </c>
      <c r="CC718" s="40">
        <f t="shared" si="484"/>
        <v>0</v>
      </c>
      <c r="CD718" s="40">
        <f t="shared" si="484"/>
        <v>0</v>
      </c>
      <c r="CM718" s="454">
        <f>SUM(CM719:CM720)</f>
        <v>-43.8</v>
      </c>
    </row>
    <row r="719" spans="2:91" s="289" customFormat="1">
      <c r="B719" s="289" t="s">
        <v>4272</v>
      </c>
      <c r="BF719" s="289">
        <v>25</v>
      </c>
      <c r="BG719" s="455">
        <v>43.6</v>
      </c>
      <c r="BH719" s="455">
        <v>42.2</v>
      </c>
      <c r="BI719" s="455">
        <v>29.8</v>
      </c>
      <c r="BJ719" s="455">
        <v>26.1</v>
      </c>
      <c r="BK719" s="455">
        <v>16.2</v>
      </c>
      <c r="BL719" s="843">
        <v>27.1</v>
      </c>
      <c r="BM719" s="843">
        <v>27.1</v>
      </c>
      <c r="BN719" s="455">
        <v>21.6</v>
      </c>
      <c r="BO719" s="455">
        <f>4/3*(3.6+3.6+3.2)</f>
        <v>13.866666666666667</v>
      </c>
      <c r="BU719" s="40">
        <f t="shared" si="458"/>
        <v>0</v>
      </c>
      <c r="BV719" s="40">
        <f t="shared" ref="BV719:CD719" si="485">BU719</f>
        <v>0</v>
      </c>
      <c r="BW719" s="40">
        <f t="shared" si="485"/>
        <v>0</v>
      </c>
      <c r="BX719" s="40">
        <f t="shared" si="485"/>
        <v>0</v>
      </c>
      <c r="BY719" s="40">
        <f t="shared" si="485"/>
        <v>0</v>
      </c>
      <c r="BZ719" s="40">
        <f t="shared" si="485"/>
        <v>0</v>
      </c>
      <c r="CA719" s="40">
        <f t="shared" si="485"/>
        <v>0</v>
      </c>
      <c r="CB719" s="40">
        <f t="shared" si="485"/>
        <v>0</v>
      </c>
      <c r="CC719" s="40">
        <f t="shared" si="485"/>
        <v>0</v>
      </c>
      <c r="CD719" s="40">
        <f t="shared" si="485"/>
        <v>0</v>
      </c>
      <c r="CM719" s="843">
        <v>4.7</v>
      </c>
    </row>
    <row r="720" spans="2:91" s="289" customFormat="1">
      <c r="B720" s="289" t="s">
        <v>4273</v>
      </c>
      <c r="BF720" s="289">
        <v>-79.5</v>
      </c>
      <c r="BG720" s="455">
        <v>-46.2</v>
      </c>
      <c r="BH720" s="455">
        <v>-21.8</v>
      </c>
      <c r="BI720" s="455">
        <v>-25</v>
      </c>
      <c r="BJ720" s="455">
        <v>-130.4</v>
      </c>
      <c r="BK720" s="455">
        <v>-278.3</v>
      </c>
      <c r="BL720" s="843">
        <v>-218.6</v>
      </c>
      <c r="BM720" s="843">
        <v>-148.9</v>
      </c>
      <c r="BN720" s="455">
        <v>-81.5</v>
      </c>
      <c r="BO720" s="455">
        <f>4/3*(-31.4+7.6+52.8)</f>
        <v>38.666666666666664</v>
      </c>
      <c r="BU720" s="40">
        <f t="shared" si="458"/>
        <v>0</v>
      </c>
      <c r="BV720" s="40">
        <f t="shared" ref="BV720:CD720" si="486">BU720</f>
        <v>0</v>
      </c>
      <c r="BW720" s="40">
        <f t="shared" si="486"/>
        <v>0</v>
      </c>
      <c r="BX720" s="40">
        <f t="shared" si="486"/>
        <v>0</v>
      </c>
      <c r="BY720" s="40">
        <f t="shared" si="486"/>
        <v>0</v>
      </c>
      <c r="BZ720" s="40">
        <f t="shared" si="486"/>
        <v>0</v>
      </c>
      <c r="CA720" s="40">
        <f t="shared" si="486"/>
        <v>0</v>
      </c>
      <c r="CB720" s="40">
        <f t="shared" si="486"/>
        <v>0</v>
      </c>
      <c r="CC720" s="40">
        <f t="shared" si="486"/>
        <v>0</v>
      </c>
      <c r="CD720" s="40">
        <f t="shared" si="486"/>
        <v>0</v>
      </c>
      <c r="CM720" s="454">
        <v>-48.5</v>
      </c>
    </row>
    <row r="721" spans="2:91" s="289" customFormat="1">
      <c r="B721" s="289" t="s">
        <v>4274</v>
      </c>
      <c r="BF721" s="407">
        <f t="shared" ref="BF721:BM721" si="487">SUM(BF722:BF723)</f>
        <v>35.9</v>
      </c>
      <c r="BG721" s="407">
        <f t="shared" si="487"/>
        <v>77.400000000000006</v>
      </c>
      <c r="BH721" s="407">
        <f t="shared" si="487"/>
        <v>90.5</v>
      </c>
      <c r="BI721" s="407">
        <f t="shared" si="487"/>
        <v>93.999999999999986</v>
      </c>
      <c r="BJ721" s="407">
        <f t="shared" si="487"/>
        <v>86.500000000000014</v>
      </c>
      <c r="BK721" s="407">
        <f t="shared" si="487"/>
        <v>87.300000000000011</v>
      </c>
      <c r="BL721" s="407">
        <f t="shared" si="487"/>
        <v>72.7</v>
      </c>
      <c r="BM721" s="407">
        <f t="shared" si="487"/>
        <v>66.599999999999994</v>
      </c>
      <c r="BN721" s="407">
        <f>SUM(BN722:BN723)</f>
        <v>71.2</v>
      </c>
      <c r="BO721" s="407">
        <f>SUM(BO722:BO723)</f>
        <v>65.466666666666669</v>
      </c>
      <c r="BU721" s="40">
        <f t="shared" si="458"/>
        <v>0</v>
      </c>
      <c r="BV721" s="40">
        <f t="shared" ref="BV721:CD721" si="488">BU721</f>
        <v>0</v>
      </c>
      <c r="BW721" s="40">
        <f t="shared" si="488"/>
        <v>0</v>
      </c>
      <c r="BX721" s="40">
        <f t="shared" si="488"/>
        <v>0</v>
      </c>
      <c r="BY721" s="40">
        <f t="shared" si="488"/>
        <v>0</v>
      </c>
      <c r="BZ721" s="40">
        <f t="shared" si="488"/>
        <v>0</v>
      </c>
      <c r="CA721" s="40">
        <f t="shared" si="488"/>
        <v>0</v>
      </c>
      <c r="CB721" s="40">
        <f t="shared" si="488"/>
        <v>0</v>
      </c>
      <c r="CC721" s="40">
        <f t="shared" si="488"/>
        <v>0</v>
      </c>
      <c r="CD721" s="40">
        <f t="shared" si="488"/>
        <v>0</v>
      </c>
      <c r="CM721" s="407">
        <f>SUM(CM722:CM723)</f>
        <v>15.899999999999999</v>
      </c>
    </row>
    <row r="722" spans="2:91" s="289" customFormat="1">
      <c r="B722" s="289" t="s">
        <v>4275</v>
      </c>
      <c r="BF722" s="289">
        <v>73.5</v>
      </c>
      <c r="BG722" s="455">
        <v>139.80000000000001</v>
      </c>
      <c r="BH722" s="455">
        <v>141</v>
      </c>
      <c r="BI722" s="455">
        <v>147.19999999999999</v>
      </c>
      <c r="BJ722" s="455">
        <v>141.80000000000001</v>
      </c>
      <c r="BK722" s="455">
        <v>159.4</v>
      </c>
      <c r="BL722" s="843">
        <v>145.5</v>
      </c>
      <c r="BM722" s="843">
        <v>153.19999999999999</v>
      </c>
      <c r="BN722" s="455">
        <v>151.4</v>
      </c>
      <c r="BO722" s="455">
        <f>4/3*(36.9+36.2+32)</f>
        <v>140.13333333333333</v>
      </c>
      <c r="BU722" s="40">
        <f t="shared" si="458"/>
        <v>0</v>
      </c>
      <c r="BV722" s="40">
        <f t="shared" ref="BV722:CD722" si="489">BU722</f>
        <v>0</v>
      </c>
      <c r="BW722" s="40">
        <f t="shared" si="489"/>
        <v>0</v>
      </c>
      <c r="BX722" s="40">
        <f t="shared" si="489"/>
        <v>0</v>
      </c>
      <c r="BY722" s="40">
        <f t="shared" si="489"/>
        <v>0</v>
      </c>
      <c r="BZ722" s="40">
        <f t="shared" si="489"/>
        <v>0</v>
      </c>
      <c r="CA722" s="40">
        <f t="shared" si="489"/>
        <v>0</v>
      </c>
      <c r="CB722" s="40">
        <f t="shared" si="489"/>
        <v>0</v>
      </c>
      <c r="CC722" s="40">
        <f t="shared" si="489"/>
        <v>0</v>
      </c>
      <c r="CD722" s="40">
        <f t="shared" si="489"/>
        <v>0</v>
      </c>
      <c r="CM722" s="843">
        <v>33.299999999999997</v>
      </c>
    </row>
    <row r="723" spans="2:91" s="289" customFormat="1">
      <c r="B723" s="289" t="s">
        <v>4276</v>
      </c>
      <c r="BF723" s="289">
        <v>-37.6</v>
      </c>
      <c r="BG723" s="455">
        <v>-62.4</v>
      </c>
      <c r="BH723" s="455">
        <v>-50.5</v>
      </c>
      <c r="BI723" s="455">
        <v>-53.2</v>
      </c>
      <c r="BJ723" s="455">
        <v>-55.3</v>
      </c>
      <c r="BK723" s="455">
        <v>-72.099999999999994</v>
      </c>
      <c r="BL723" s="843">
        <v>-72.8</v>
      </c>
      <c r="BM723" s="843">
        <v>-86.6</v>
      </c>
      <c r="BN723" s="455">
        <v>-80.2</v>
      </c>
      <c r="BO723" s="455">
        <f>4/3*(-19.1+-17.5+-19.4)</f>
        <v>-74.666666666666657</v>
      </c>
      <c r="BU723" s="40">
        <f t="shared" si="458"/>
        <v>0</v>
      </c>
      <c r="BV723" s="40">
        <f t="shared" ref="BV723:CD723" si="490">BU723</f>
        <v>0</v>
      </c>
      <c r="BW723" s="40">
        <f t="shared" si="490"/>
        <v>0</v>
      </c>
      <c r="BX723" s="40">
        <f t="shared" si="490"/>
        <v>0</v>
      </c>
      <c r="BY723" s="40">
        <f t="shared" si="490"/>
        <v>0</v>
      </c>
      <c r="BZ723" s="40">
        <f t="shared" si="490"/>
        <v>0</v>
      </c>
      <c r="CA723" s="40">
        <f t="shared" si="490"/>
        <v>0</v>
      </c>
      <c r="CB723" s="40">
        <f t="shared" si="490"/>
        <v>0</v>
      </c>
      <c r="CC723" s="40">
        <f t="shared" si="490"/>
        <v>0</v>
      </c>
      <c r="CD723" s="40">
        <f t="shared" si="490"/>
        <v>0</v>
      </c>
      <c r="CM723" s="843">
        <v>-17.399999999999999</v>
      </c>
    </row>
    <row r="724" spans="2:91" s="289" customFormat="1">
      <c r="BG724" s="455"/>
      <c r="BH724" s="455"/>
      <c r="BI724" s="455"/>
      <c r="BJ724" s="455"/>
      <c r="BK724" s="455"/>
      <c r="BL724" s="455"/>
      <c r="BM724" s="455"/>
      <c r="BN724" s="455"/>
      <c r="BO724" s="455"/>
      <c r="BU724" s="40">
        <f t="shared" si="458"/>
        <v>0</v>
      </c>
      <c r="BV724" s="40">
        <f t="shared" ref="BV724:CD724" si="491">BU724</f>
        <v>0</v>
      </c>
      <c r="BW724" s="40">
        <f t="shared" si="491"/>
        <v>0</v>
      </c>
      <c r="BX724" s="40">
        <f t="shared" si="491"/>
        <v>0</v>
      </c>
      <c r="BY724" s="40">
        <f t="shared" si="491"/>
        <v>0</v>
      </c>
      <c r="BZ724" s="40">
        <f t="shared" si="491"/>
        <v>0</v>
      </c>
      <c r="CA724" s="40">
        <f t="shared" si="491"/>
        <v>0</v>
      </c>
      <c r="CB724" s="40">
        <f t="shared" si="491"/>
        <v>0</v>
      </c>
      <c r="CC724" s="40">
        <f t="shared" si="491"/>
        <v>0</v>
      </c>
      <c r="CD724" s="40">
        <f t="shared" si="491"/>
        <v>0</v>
      </c>
      <c r="CM724" s="455"/>
    </row>
    <row r="725" spans="2:91" s="289" customFormat="1">
      <c r="B725" s="861" t="s">
        <v>4277</v>
      </c>
      <c r="BF725" s="454">
        <f t="shared" ref="BF725:BO725" si="492">BF726+BF727</f>
        <v>19.3</v>
      </c>
      <c r="BG725" s="454">
        <f t="shared" si="492"/>
        <v>8.1</v>
      </c>
      <c r="BH725" s="454">
        <f t="shared" si="492"/>
        <v>31.9</v>
      </c>
      <c r="BI725" s="454">
        <f t="shared" si="492"/>
        <v>87.4</v>
      </c>
      <c r="BJ725" s="454">
        <f t="shared" si="492"/>
        <v>53.9</v>
      </c>
      <c r="BK725" s="454">
        <f t="shared" si="492"/>
        <v>35</v>
      </c>
      <c r="BL725" s="454">
        <f t="shared" si="492"/>
        <v>-7</v>
      </c>
      <c r="BM725" s="454">
        <f t="shared" si="492"/>
        <v>0.1</v>
      </c>
      <c r="BN725" s="454">
        <f t="shared" si="492"/>
        <v>-0.5</v>
      </c>
      <c r="BO725" s="454">
        <f t="shared" si="492"/>
        <v>0</v>
      </c>
      <c r="BU725" s="40">
        <f t="shared" si="458"/>
        <v>0</v>
      </c>
      <c r="BV725" s="40">
        <f t="shared" ref="BV725:CD725" si="493">BU725</f>
        <v>0</v>
      </c>
      <c r="BW725" s="40">
        <f t="shared" si="493"/>
        <v>0</v>
      </c>
      <c r="BX725" s="40">
        <f t="shared" si="493"/>
        <v>0</v>
      </c>
      <c r="BY725" s="40">
        <f t="shared" si="493"/>
        <v>0</v>
      </c>
      <c r="BZ725" s="40">
        <f t="shared" si="493"/>
        <v>0</v>
      </c>
      <c r="CA725" s="40">
        <f t="shared" si="493"/>
        <v>0</v>
      </c>
      <c r="CB725" s="40">
        <f t="shared" si="493"/>
        <v>0</v>
      </c>
      <c r="CC725" s="40">
        <f t="shared" si="493"/>
        <v>0</v>
      </c>
      <c r="CD725" s="40">
        <f t="shared" si="493"/>
        <v>0</v>
      </c>
      <c r="CM725" s="454">
        <f>CM726+CM727</f>
        <v>0.1</v>
      </c>
    </row>
    <row r="726" spans="2:91" s="289" customFormat="1">
      <c r="B726" s="289" t="s">
        <v>4278</v>
      </c>
      <c r="BF726" s="289">
        <v>19.3</v>
      </c>
      <c r="BG726" s="455">
        <v>8.1</v>
      </c>
      <c r="BH726" s="455">
        <v>31.9</v>
      </c>
      <c r="BI726" s="455">
        <v>87.9</v>
      </c>
      <c r="BJ726" s="455">
        <v>53.9</v>
      </c>
      <c r="BK726" s="455">
        <v>35</v>
      </c>
      <c r="BL726" s="843">
        <v>0.8</v>
      </c>
      <c r="BM726" s="843">
        <v>0.1</v>
      </c>
      <c r="BN726" s="455">
        <v>0.1</v>
      </c>
      <c r="BO726" s="455">
        <f>4/3*(0+0+0)</f>
        <v>0</v>
      </c>
      <c r="BU726" s="40">
        <f t="shared" si="458"/>
        <v>0</v>
      </c>
      <c r="BV726" s="40">
        <f t="shared" ref="BV726:CD726" si="494">BU726</f>
        <v>0</v>
      </c>
      <c r="BW726" s="40">
        <f t="shared" si="494"/>
        <v>0</v>
      </c>
      <c r="BX726" s="40">
        <f t="shared" si="494"/>
        <v>0</v>
      </c>
      <c r="BY726" s="40">
        <f t="shared" si="494"/>
        <v>0</v>
      </c>
      <c r="BZ726" s="40">
        <f t="shared" si="494"/>
        <v>0</v>
      </c>
      <c r="CA726" s="40">
        <f t="shared" si="494"/>
        <v>0</v>
      </c>
      <c r="CB726" s="40">
        <f t="shared" si="494"/>
        <v>0</v>
      </c>
      <c r="CC726" s="40">
        <f t="shared" si="494"/>
        <v>0</v>
      </c>
      <c r="CD726" s="40">
        <f t="shared" si="494"/>
        <v>0</v>
      </c>
      <c r="CM726" s="843">
        <v>0.2</v>
      </c>
    </row>
    <row r="727" spans="2:91" s="289" customFormat="1">
      <c r="B727" s="289" t="s">
        <v>4279</v>
      </c>
      <c r="BF727" s="289">
        <v>0</v>
      </c>
      <c r="BG727" s="455">
        <v>0</v>
      </c>
      <c r="BH727" s="455">
        <v>0</v>
      </c>
      <c r="BI727" s="455">
        <v>-0.5</v>
      </c>
      <c r="BJ727" s="455">
        <v>0</v>
      </c>
      <c r="BK727" s="455">
        <v>0</v>
      </c>
      <c r="BL727" s="843">
        <v>-7.8</v>
      </c>
      <c r="BM727" s="843">
        <v>0</v>
      </c>
      <c r="BN727" s="455">
        <v>-0.6</v>
      </c>
      <c r="BO727" s="455">
        <f>4/3*(0+0+0)</f>
        <v>0</v>
      </c>
      <c r="BU727" s="40">
        <f t="shared" si="458"/>
        <v>0</v>
      </c>
      <c r="BV727" s="40">
        <f t="shared" ref="BV727:CD727" si="495">BU727</f>
        <v>0</v>
      </c>
      <c r="BW727" s="40">
        <f t="shared" si="495"/>
        <v>0</v>
      </c>
      <c r="BX727" s="40">
        <f t="shared" si="495"/>
        <v>0</v>
      </c>
      <c r="BY727" s="40">
        <f t="shared" si="495"/>
        <v>0</v>
      </c>
      <c r="BZ727" s="40">
        <f t="shared" si="495"/>
        <v>0</v>
      </c>
      <c r="CA727" s="40">
        <f t="shared" si="495"/>
        <v>0</v>
      </c>
      <c r="CB727" s="40">
        <f t="shared" si="495"/>
        <v>0</v>
      </c>
      <c r="CC727" s="40">
        <f t="shared" si="495"/>
        <v>0</v>
      </c>
      <c r="CD727" s="40">
        <f t="shared" si="495"/>
        <v>0</v>
      </c>
      <c r="CM727" s="843">
        <v>-0.1</v>
      </c>
    </row>
    <row r="728" spans="2:91" s="289" customFormat="1">
      <c r="BG728" s="455"/>
      <c r="BH728" s="455"/>
      <c r="BI728" s="455"/>
      <c r="BJ728" s="455"/>
      <c r="BK728" s="455"/>
      <c r="BL728" s="455"/>
      <c r="BM728" s="455"/>
      <c r="BN728" s="455"/>
      <c r="BO728" s="455"/>
      <c r="BU728" s="40">
        <f t="shared" si="458"/>
        <v>0</v>
      </c>
      <c r="BV728" s="40">
        <f t="shared" ref="BV728:CD728" si="496">BU728</f>
        <v>0</v>
      </c>
      <c r="BW728" s="40">
        <f t="shared" si="496"/>
        <v>0</v>
      </c>
      <c r="BX728" s="40">
        <f t="shared" si="496"/>
        <v>0</v>
      </c>
      <c r="BY728" s="40">
        <f t="shared" si="496"/>
        <v>0</v>
      </c>
      <c r="BZ728" s="40">
        <f t="shared" si="496"/>
        <v>0</v>
      </c>
      <c r="CA728" s="40">
        <f t="shared" si="496"/>
        <v>0</v>
      </c>
      <c r="CB728" s="40">
        <f t="shared" si="496"/>
        <v>0</v>
      </c>
      <c r="CC728" s="40">
        <f t="shared" si="496"/>
        <v>0</v>
      </c>
      <c r="CD728" s="40">
        <f t="shared" si="496"/>
        <v>0</v>
      </c>
      <c r="CM728" s="455"/>
    </row>
    <row r="729" spans="2:91" s="289" customFormat="1">
      <c r="B729" s="860" t="s">
        <v>4280</v>
      </c>
      <c r="BF729" s="407">
        <f t="shared" ref="BF729:BN729" si="497">BF707+BF725</f>
        <v>239.89999999999998</v>
      </c>
      <c r="BG729" s="407">
        <f t="shared" si="497"/>
        <v>332.7000000000001</v>
      </c>
      <c r="BH729" s="454">
        <f t="shared" si="497"/>
        <v>356.59999999999991</v>
      </c>
      <c r="BI729" s="454">
        <f t="shared" si="497"/>
        <v>198.69999999999987</v>
      </c>
      <c r="BJ729" s="407">
        <f t="shared" si="497"/>
        <v>704.5999999999998</v>
      </c>
      <c r="BK729" s="454">
        <f t="shared" si="497"/>
        <v>466.40000000000015</v>
      </c>
      <c r="BL729" s="454">
        <f t="shared" si="497"/>
        <v>162.0999999999998</v>
      </c>
      <c r="BM729" s="454">
        <f t="shared" si="497"/>
        <v>-175.60000000000002</v>
      </c>
      <c r="BN729" s="454">
        <f t="shared" si="497"/>
        <v>-385.39999999999981</v>
      </c>
      <c r="BO729" s="454">
        <f>BO707+BO725</f>
        <v>-656.66666666666686</v>
      </c>
      <c r="BU729" s="40">
        <f t="shared" si="458"/>
        <v>0</v>
      </c>
      <c r="BV729" s="40">
        <f t="shared" ref="BV729:CD729" si="498">BU729</f>
        <v>0</v>
      </c>
      <c r="BW729" s="40">
        <f t="shared" si="498"/>
        <v>0</v>
      </c>
      <c r="BX729" s="40">
        <f t="shared" si="498"/>
        <v>0</v>
      </c>
      <c r="BY729" s="40">
        <f t="shared" si="498"/>
        <v>0</v>
      </c>
      <c r="BZ729" s="40">
        <f t="shared" si="498"/>
        <v>0</v>
      </c>
      <c r="CA729" s="40">
        <f t="shared" si="498"/>
        <v>0</v>
      </c>
      <c r="CB729" s="40">
        <f t="shared" si="498"/>
        <v>0</v>
      </c>
      <c r="CC729" s="40">
        <f t="shared" si="498"/>
        <v>0</v>
      </c>
      <c r="CD729" s="40">
        <f t="shared" si="498"/>
        <v>0</v>
      </c>
      <c r="CM729" s="454">
        <f>CM707+CM725</f>
        <v>45.600000000000009</v>
      </c>
    </row>
    <row r="730" spans="2:91" s="289" customFormat="1">
      <c r="BG730" s="455"/>
      <c r="BH730" s="455"/>
      <c r="BI730" s="455"/>
      <c r="BJ730" s="455"/>
      <c r="BK730" s="455"/>
      <c r="BL730" s="455"/>
      <c r="BM730" s="455"/>
      <c r="BN730" s="455"/>
      <c r="BO730" s="455"/>
      <c r="BU730" s="40">
        <f t="shared" si="458"/>
        <v>0</v>
      </c>
      <c r="BV730" s="40">
        <f t="shared" ref="BV730:CD730" si="499">BU730</f>
        <v>0</v>
      </c>
      <c r="BW730" s="40">
        <f t="shared" si="499"/>
        <v>0</v>
      </c>
      <c r="BX730" s="40">
        <f t="shared" si="499"/>
        <v>0</v>
      </c>
      <c r="BY730" s="40">
        <f t="shared" si="499"/>
        <v>0</v>
      </c>
      <c r="BZ730" s="40">
        <f t="shared" si="499"/>
        <v>0</v>
      </c>
      <c r="CA730" s="40">
        <f t="shared" si="499"/>
        <v>0</v>
      </c>
      <c r="CB730" s="40">
        <f t="shared" si="499"/>
        <v>0</v>
      </c>
      <c r="CC730" s="40">
        <f t="shared" si="499"/>
        <v>0</v>
      </c>
      <c r="CD730" s="40">
        <f t="shared" si="499"/>
        <v>0</v>
      </c>
      <c r="CM730" s="455"/>
    </row>
    <row r="731" spans="2:91" s="289" customFormat="1">
      <c r="B731" s="860" t="s">
        <v>1215</v>
      </c>
      <c r="BF731" s="454">
        <f t="shared" ref="BF731:BL731" si="500">BF732+BF735+BF738+BF740+BF744</f>
        <v>-255.4</v>
      </c>
      <c r="BG731" s="454">
        <f t="shared" si="500"/>
        <v>-366.4</v>
      </c>
      <c r="BH731" s="454">
        <f t="shared" si="500"/>
        <v>-48.299999999999976</v>
      </c>
      <c r="BI731" s="454">
        <f t="shared" si="500"/>
        <v>-141.20000000000005</v>
      </c>
      <c r="BJ731" s="454">
        <f t="shared" si="500"/>
        <v>-501.59999999999997</v>
      </c>
      <c r="BK731" s="454">
        <f t="shared" si="500"/>
        <v>-84.900000000000034</v>
      </c>
      <c r="BL731" s="454">
        <f t="shared" si="500"/>
        <v>428.9</v>
      </c>
      <c r="BM731" s="454">
        <f>BM732+BM735+BM738+BM740+BM744</f>
        <v>386.30000000000007</v>
      </c>
      <c r="BN731" s="454">
        <f>BN732+BN735+BN738+BN740+BN744</f>
        <v>434.79999999999995</v>
      </c>
      <c r="BO731" s="454">
        <f>BO732+BO735+BO738+BO740+BO744</f>
        <v>420.26666666666671</v>
      </c>
      <c r="BU731" s="40">
        <f t="shared" si="458"/>
        <v>0</v>
      </c>
      <c r="BV731" s="40">
        <f t="shared" ref="BV731:CD731" si="501">BU731</f>
        <v>0</v>
      </c>
      <c r="BW731" s="40">
        <f t="shared" si="501"/>
        <v>0</v>
      </c>
      <c r="BX731" s="40">
        <f t="shared" si="501"/>
        <v>0</v>
      </c>
      <c r="BY731" s="40">
        <f t="shared" si="501"/>
        <v>0</v>
      </c>
      <c r="BZ731" s="40">
        <f t="shared" si="501"/>
        <v>0</v>
      </c>
      <c r="CA731" s="40">
        <f t="shared" si="501"/>
        <v>0</v>
      </c>
      <c r="CB731" s="40">
        <f t="shared" si="501"/>
        <v>0</v>
      </c>
      <c r="CC731" s="40">
        <f t="shared" si="501"/>
        <v>0</v>
      </c>
      <c r="CD731" s="40">
        <f t="shared" si="501"/>
        <v>0</v>
      </c>
      <c r="CM731" s="454">
        <f>CM732+CM735+CM738+CM740+CM744</f>
        <v>78.400000000000006</v>
      </c>
    </row>
    <row r="732" spans="2:91" s="289" customFormat="1">
      <c r="B732" s="289" t="s">
        <v>3752</v>
      </c>
      <c r="BF732" s="455">
        <f t="shared" ref="BF732:BL732" si="502">BF733+BF734</f>
        <v>-163.4</v>
      </c>
      <c r="BG732" s="455">
        <f t="shared" si="502"/>
        <v>-246.7</v>
      </c>
      <c r="BH732" s="455">
        <f t="shared" si="502"/>
        <v>-231.4</v>
      </c>
      <c r="BI732" s="455">
        <f t="shared" si="502"/>
        <v>-93.4</v>
      </c>
      <c r="BJ732" s="455">
        <f t="shared" si="502"/>
        <v>-247.7</v>
      </c>
      <c r="BK732" s="455">
        <f t="shared" si="502"/>
        <v>72.899999999999991</v>
      </c>
      <c r="BL732" s="455">
        <f t="shared" si="502"/>
        <v>120.39999999999999</v>
      </c>
      <c r="BM732" s="455">
        <f>BM733+BM734</f>
        <v>138.30000000000001</v>
      </c>
      <c r="BN732" s="455">
        <f>BN733+BN734</f>
        <v>14.2</v>
      </c>
      <c r="BO732" s="455">
        <f>BO733+BO734</f>
        <v>-138.53333333333333</v>
      </c>
      <c r="BU732" s="40">
        <f t="shared" si="458"/>
        <v>0</v>
      </c>
      <c r="BV732" s="40">
        <f t="shared" ref="BV732:CD732" si="503">BU732</f>
        <v>0</v>
      </c>
      <c r="BW732" s="40">
        <f t="shared" si="503"/>
        <v>0</v>
      </c>
      <c r="BX732" s="40">
        <f t="shared" si="503"/>
        <v>0</v>
      </c>
      <c r="BY732" s="40">
        <f t="shared" si="503"/>
        <v>0</v>
      </c>
      <c r="BZ732" s="40">
        <f t="shared" si="503"/>
        <v>0</v>
      </c>
      <c r="CA732" s="40">
        <f t="shared" si="503"/>
        <v>0</v>
      </c>
      <c r="CB732" s="40">
        <f t="shared" si="503"/>
        <v>0</v>
      </c>
      <c r="CC732" s="40">
        <f t="shared" si="503"/>
        <v>0</v>
      </c>
      <c r="CD732" s="40">
        <f t="shared" si="503"/>
        <v>0</v>
      </c>
      <c r="CM732" s="455">
        <f>CM733+CM734</f>
        <v>20.8</v>
      </c>
    </row>
    <row r="733" spans="2:91" s="289" customFormat="1">
      <c r="B733" s="289" t="s">
        <v>3753</v>
      </c>
      <c r="BF733" s="289">
        <v>0</v>
      </c>
      <c r="BG733" s="289">
        <v>0</v>
      </c>
      <c r="BH733" s="289">
        <v>0</v>
      </c>
      <c r="BI733" s="289">
        <v>0</v>
      </c>
      <c r="BJ733" s="289">
        <v>0</v>
      </c>
      <c r="BK733" s="482">
        <v>3.1</v>
      </c>
      <c r="BL733" s="843">
        <v>-0.9</v>
      </c>
      <c r="BM733" s="843">
        <v>0</v>
      </c>
      <c r="BN733" s="455">
        <v>0</v>
      </c>
      <c r="BO733" s="455">
        <f>4/3*(0+0+0)</f>
        <v>0</v>
      </c>
      <c r="BU733" s="40">
        <f t="shared" si="458"/>
        <v>0</v>
      </c>
      <c r="BV733" s="40">
        <f t="shared" ref="BV733:CD733" si="504">BU733</f>
        <v>0</v>
      </c>
      <c r="BW733" s="40">
        <f t="shared" si="504"/>
        <v>0</v>
      </c>
      <c r="BX733" s="40">
        <f t="shared" si="504"/>
        <v>0</v>
      </c>
      <c r="BY733" s="40">
        <f t="shared" si="504"/>
        <v>0</v>
      </c>
      <c r="BZ733" s="40">
        <f t="shared" si="504"/>
        <v>0</v>
      </c>
      <c r="CA733" s="40">
        <f t="shared" si="504"/>
        <v>0</v>
      </c>
      <c r="CB733" s="40">
        <f t="shared" si="504"/>
        <v>0</v>
      </c>
      <c r="CC733" s="40">
        <f t="shared" si="504"/>
        <v>0</v>
      </c>
      <c r="CD733" s="40">
        <f t="shared" si="504"/>
        <v>0</v>
      </c>
      <c r="CM733" s="843">
        <v>-0.5</v>
      </c>
    </row>
    <row r="734" spans="2:91" s="289" customFormat="1">
      <c r="B734" s="289" t="s">
        <v>4281</v>
      </c>
      <c r="BF734" s="289">
        <v>-163.4</v>
      </c>
      <c r="BG734" s="455">
        <v>-246.7</v>
      </c>
      <c r="BH734" s="455">
        <v>-231.4</v>
      </c>
      <c r="BI734" s="455">
        <v>-93.4</v>
      </c>
      <c r="BJ734" s="455">
        <v>-247.7</v>
      </c>
      <c r="BK734" s="455">
        <v>69.8</v>
      </c>
      <c r="BL734" s="843">
        <v>121.3</v>
      </c>
      <c r="BM734" s="843">
        <v>138.30000000000001</v>
      </c>
      <c r="BN734" s="455">
        <v>14.2</v>
      </c>
      <c r="BO734" s="455">
        <f>4/3*(19.7+-50.4+-73.2)</f>
        <v>-138.53333333333333</v>
      </c>
      <c r="BU734" s="40">
        <f t="shared" si="458"/>
        <v>0</v>
      </c>
      <c r="BV734" s="40">
        <f t="shared" ref="BV734:CD734" si="505">BU734</f>
        <v>0</v>
      </c>
      <c r="BW734" s="40">
        <f t="shared" si="505"/>
        <v>0</v>
      </c>
      <c r="BX734" s="40">
        <f t="shared" si="505"/>
        <v>0</v>
      </c>
      <c r="BY734" s="40">
        <f t="shared" si="505"/>
        <v>0</v>
      </c>
      <c r="BZ734" s="40">
        <f t="shared" si="505"/>
        <v>0</v>
      </c>
      <c r="CA734" s="40">
        <f t="shared" si="505"/>
        <v>0</v>
      </c>
      <c r="CB734" s="40">
        <f t="shared" si="505"/>
        <v>0</v>
      </c>
      <c r="CC734" s="40">
        <f t="shared" si="505"/>
        <v>0</v>
      </c>
      <c r="CD734" s="40">
        <f t="shared" si="505"/>
        <v>0</v>
      </c>
      <c r="CM734" s="843">
        <v>21.3</v>
      </c>
    </row>
    <row r="735" spans="2:91" s="289" customFormat="1">
      <c r="B735" s="289" t="s">
        <v>4282</v>
      </c>
      <c r="BF735" s="455">
        <f t="shared" ref="BF735:BO735" si="506">BF736+BF737</f>
        <v>0</v>
      </c>
      <c r="BG735" s="455">
        <f t="shared" si="506"/>
        <v>0</v>
      </c>
      <c r="BH735" s="455">
        <f t="shared" si="506"/>
        <v>-15.2</v>
      </c>
      <c r="BI735" s="455">
        <f t="shared" si="506"/>
        <v>-9.9</v>
      </c>
      <c r="BJ735" s="455">
        <f t="shared" si="506"/>
        <v>-2.2999999999999998</v>
      </c>
      <c r="BK735" s="455">
        <f t="shared" si="506"/>
        <v>5.5</v>
      </c>
      <c r="BL735" s="455">
        <f t="shared" si="506"/>
        <v>-5.8</v>
      </c>
      <c r="BM735" s="455">
        <f t="shared" si="506"/>
        <v>-1.2</v>
      </c>
      <c r="BN735" s="455">
        <f t="shared" si="506"/>
        <v>0.6</v>
      </c>
      <c r="BO735" s="455">
        <f t="shared" si="506"/>
        <v>-9.5999999999999979</v>
      </c>
      <c r="BU735" s="40">
        <f t="shared" si="458"/>
        <v>0</v>
      </c>
      <c r="BV735" s="40">
        <f t="shared" ref="BV735:CD735" si="507">BU735</f>
        <v>0</v>
      </c>
      <c r="BW735" s="40">
        <f t="shared" si="507"/>
        <v>0</v>
      </c>
      <c r="BX735" s="40">
        <f t="shared" si="507"/>
        <v>0</v>
      </c>
      <c r="BY735" s="40">
        <f t="shared" si="507"/>
        <v>0</v>
      </c>
      <c r="BZ735" s="40">
        <f t="shared" si="507"/>
        <v>0</v>
      </c>
      <c r="CA735" s="40">
        <f t="shared" si="507"/>
        <v>0</v>
      </c>
      <c r="CB735" s="40">
        <f t="shared" si="507"/>
        <v>0</v>
      </c>
      <c r="CC735" s="40">
        <f t="shared" si="507"/>
        <v>0</v>
      </c>
      <c r="CD735" s="40">
        <f t="shared" si="507"/>
        <v>0</v>
      </c>
      <c r="CM735" s="455">
        <f>CM736+CM737</f>
        <v>0</v>
      </c>
    </row>
    <row r="736" spans="2:91" s="289" customFormat="1">
      <c r="B736" s="289" t="s">
        <v>3754</v>
      </c>
      <c r="BF736" s="289">
        <v>0</v>
      </c>
      <c r="BG736" s="455">
        <v>0</v>
      </c>
      <c r="BH736" s="455">
        <v>0</v>
      </c>
      <c r="BI736" s="455">
        <v>0</v>
      </c>
      <c r="BJ736" s="455">
        <v>0</v>
      </c>
      <c r="BK736" s="455">
        <v>0</v>
      </c>
      <c r="BL736" s="843">
        <v>0</v>
      </c>
      <c r="BM736" s="843">
        <v>0</v>
      </c>
      <c r="BN736" s="455">
        <v>0</v>
      </c>
      <c r="BO736" s="455">
        <f>4/3*(0+0+0)</f>
        <v>0</v>
      </c>
      <c r="BU736" s="40">
        <f t="shared" si="458"/>
        <v>0</v>
      </c>
      <c r="BV736" s="40">
        <f t="shared" ref="BV736:CD736" si="508">BU736</f>
        <v>0</v>
      </c>
      <c r="BW736" s="40">
        <f t="shared" si="508"/>
        <v>0</v>
      </c>
      <c r="BX736" s="40">
        <f t="shared" si="508"/>
        <v>0</v>
      </c>
      <c r="BY736" s="40">
        <f t="shared" si="508"/>
        <v>0</v>
      </c>
      <c r="BZ736" s="40">
        <f t="shared" si="508"/>
        <v>0</v>
      </c>
      <c r="CA736" s="40">
        <f t="shared" si="508"/>
        <v>0</v>
      </c>
      <c r="CB736" s="40">
        <f t="shared" si="508"/>
        <v>0</v>
      </c>
      <c r="CC736" s="40">
        <f t="shared" si="508"/>
        <v>0</v>
      </c>
      <c r="CD736" s="40">
        <f t="shared" si="508"/>
        <v>0</v>
      </c>
      <c r="CM736" s="843">
        <v>0</v>
      </c>
    </row>
    <row r="737" spans="2:91" s="289" customFormat="1">
      <c r="B737" s="289" t="s">
        <v>4283</v>
      </c>
      <c r="BF737" s="289">
        <v>0</v>
      </c>
      <c r="BG737" s="455">
        <v>0</v>
      </c>
      <c r="BH737" s="455">
        <v>-15.2</v>
      </c>
      <c r="BI737" s="455">
        <v>-9.9</v>
      </c>
      <c r="BJ737" s="455">
        <v>-2.2999999999999998</v>
      </c>
      <c r="BK737" s="455">
        <v>5.5</v>
      </c>
      <c r="BL737" s="843">
        <v>-5.8</v>
      </c>
      <c r="BM737" s="843">
        <v>-1.2</v>
      </c>
      <c r="BN737" s="455">
        <v>0.6</v>
      </c>
      <c r="BO737" s="455">
        <f>4/3*(6.5+-4.1+-9.6)</f>
        <v>-9.5999999999999979</v>
      </c>
      <c r="BU737" s="40">
        <f t="shared" si="458"/>
        <v>0</v>
      </c>
      <c r="BV737" s="40">
        <f t="shared" ref="BV737:CD737" si="509">BU737</f>
        <v>0</v>
      </c>
      <c r="BW737" s="40">
        <f t="shared" si="509"/>
        <v>0</v>
      </c>
      <c r="BX737" s="40">
        <f t="shared" si="509"/>
        <v>0</v>
      </c>
      <c r="BY737" s="40">
        <f t="shared" si="509"/>
        <v>0</v>
      </c>
      <c r="BZ737" s="40">
        <f t="shared" si="509"/>
        <v>0</v>
      </c>
      <c r="CA737" s="40">
        <f t="shared" si="509"/>
        <v>0</v>
      </c>
      <c r="CB737" s="40">
        <f t="shared" si="509"/>
        <v>0</v>
      </c>
      <c r="CC737" s="40">
        <f t="shared" si="509"/>
        <v>0</v>
      </c>
      <c r="CD737" s="40">
        <f t="shared" si="509"/>
        <v>0</v>
      </c>
      <c r="CM737" s="843">
        <v>0</v>
      </c>
    </row>
    <row r="738" spans="2:91" s="289" customFormat="1">
      <c r="B738" s="289" t="s">
        <v>4284</v>
      </c>
      <c r="BF738" s="455">
        <f t="shared" ref="BF738:BO738" si="510">BF739</f>
        <v>-0.3</v>
      </c>
      <c r="BG738" s="455">
        <f t="shared" si="510"/>
        <v>-1.3</v>
      </c>
      <c r="BH738" s="455">
        <f t="shared" si="510"/>
        <v>-1.7</v>
      </c>
      <c r="BI738" s="455">
        <f t="shared" si="510"/>
        <v>-0.9</v>
      </c>
      <c r="BJ738" s="455">
        <f t="shared" si="510"/>
        <v>-9.6999999999999993</v>
      </c>
      <c r="BK738" s="455">
        <f t="shared" si="510"/>
        <v>0</v>
      </c>
      <c r="BL738" s="455">
        <f t="shared" si="510"/>
        <v>0</v>
      </c>
      <c r="BM738" s="455">
        <f t="shared" si="510"/>
        <v>0</v>
      </c>
      <c r="BN738" s="455">
        <f t="shared" si="510"/>
        <v>0</v>
      </c>
      <c r="BO738" s="455">
        <f t="shared" si="510"/>
        <v>0</v>
      </c>
      <c r="BU738" s="40">
        <f t="shared" si="458"/>
        <v>0</v>
      </c>
      <c r="BV738" s="40">
        <f t="shared" ref="BV738:CD738" si="511">BU738</f>
        <v>0</v>
      </c>
      <c r="BW738" s="40">
        <f t="shared" si="511"/>
        <v>0</v>
      </c>
      <c r="BX738" s="40">
        <f t="shared" si="511"/>
        <v>0</v>
      </c>
      <c r="BY738" s="40">
        <f t="shared" si="511"/>
        <v>0</v>
      </c>
      <c r="BZ738" s="40">
        <f t="shared" si="511"/>
        <v>0</v>
      </c>
      <c r="CA738" s="40">
        <f t="shared" si="511"/>
        <v>0</v>
      </c>
      <c r="CB738" s="40">
        <f t="shared" si="511"/>
        <v>0</v>
      </c>
      <c r="CC738" s="40">
        <f t="shared" si="511"/>
        <v>0</v>
      </c>
      <c r="CD738" s="40">
        <f t="shared" si="511"/>
        <v>0</v>
      </c>
      <c r="CM738" s="455">
        <f>CM739</f>
        <v>0</v>
      </c>
    </row>
    <row r="739" spans="2:91" s="289" customFormat="1">
      <c r="B739" s="289" t="s">
        <v>4285</v>
      </c>
      <c r="BF739" s="289">
        <v>-0.3</v>
      </c>
      <c r="BG739" s="455">
        <v>-1.3</v>
      </c>
      <c r="BH739" s="455">
        <v>-1.7</v>
      </c>
      <c r="BI739" s="455">
        <v>-0.9</v>
      </c>
      <c r="BJ739" s="455">
        <v>-9.6999999999999993</v>
      </c>
      <c r="BK739" s="455">
        <v>0</v>
      </c>
      <c r="BL739" s="843">
        <v>0</v>
      </c>
      <c r="BM739" s="843">
        <v>0</v>
      </c>
      <c r="BN739" s="455">
        <v>0</v>
      </c>
      <c r="BO739" s="455">
        <f>4/3*(0+0+0)</f>
        <v>0</v>
      </c>
      <c r="BU739" s="40">
        <f t="shared" ref="BU739:BU802" si="512">BT739</f>
        <v>0</v>
      </c>
      <c r="BV739" s="40">
        <f>BU739</f>
        <v>0</v>
      </c>
      <c r="BW739" s="40">
        <f>BV739</f>
        <v>0</v>
      </c>
      <c r="BX739" s="40">
        <f t="shared" ref="BV739:CD754" si="513">BW739</f>
        <v>0</v>
      </c>
      <c r="BY739" s="40">
        <f t="shared" si="513"/>
        <v>0</v>
      </c>
      <c r="BZ739" s="40">
        <f t="shared" si="513"/>
        <v>0</v>
      </c>
      <c r="CA739" s="40">
        <f t="shared" si="513"/>
        <v>0</v>
      </c>
      <c r="CB739" s="40">
        <f t="shared" si="513"/>
        <v>0</v>
      </c>
      <c r="CC739" s="40">
        <f t="shared" si="513"/>
        <v>0</v>
      </c>
      <c r="CD739" s="40">
        <f t="shared" si="513"/>
        <v>0</v>
      </c>
      <c r="CM739" s="843">
        <v>0</v>
      </c>
    </row>
    <row r="740" spans="2:91" s="289" customFormat="1">
      <c r="B740" s="289" t="s">
        <v>4286</v>
      </c>
      <c r="BF740" s="454">
        <f t="shared" ref="BF740:BM740" si="514">SUM(BF741:BF743)</f>
        <v>-88.600000000000009</v>
      </c>
      <c r="BG740" s="454">
        <f t="shared" si="514"/>
        <v>-37.200000000000003</v>
      </c>
      <c r="BH740" s="454">
        <f t="shared" si="514"/>
        <v>193.4</v>
      </c>
      <c r="BI740" s="454">
        <f t="shared" si="514"/>
        <v>-148.9</v>
      </c>
      <c r="BJ740" s="454">
        <f t="shared" si="514"/>
        <v>-289.10000000000002</v>
      </c>
      <c r="BK740" s="454">
        <f t="shared" si="514"/>
        <v>-483.2</v>
      </c>
      <c r="BL740" s="454">
        <f t="shared" si="514"/>
        <v>260.8</v>
      </c>
      <c r="BM740" s="454">
        <f t="shared" si="514"/>
        <v>42.5</v>
      </c>
      <c r="BN740" s="454">
        <f>SUM(BN741:BN743)</f>
        <v>-46.900000000000006</v>
      </c>
      <c r="BO740" s="454">
        <f>SUM(BO741:BO743)</f>
        <v>-2.6666666666666714</v>
      </c>
      <c r="BU740" s="40">
        <f t="shared" si="512"/>
        <v>0</v>
      </c>
      <c r="BV740" s="40">
        <f t="shared" si="513"/>
        <v>0</v>
      </c>
      <c r="BW740" s="40">
        <f t="shared" si="513"/>
        <v>0</v>
      </c>
      <c r="BX740" s="40">
        <f t="shared" si="513"/>
        <v>0</v>
      </c>
      <c r="BY740" s="40">
        <f t="shared" si="513"/>
        <v>0</v>
      </c>
      <c r="BZ740" s="40">
        <f t="shared" si="513"/>
        <v>0</v>
      </c>
      <c r="CA740" s="40">
        <f t="shared" si="513"/>
        <v>0</v>
      </c>
      <c r="CB740" s="40">
        <f t="shared" si="513"/>
        <v>0</v>
      </c>
      <c r="CC740" s="40">
        <f t="shared" si="513"/>
        <v>0</v>
      </c>
      <c r="CD740" s="40">
        <f t="shared" si="513"/>
        <v>0</v>
      </c>
      <c r="CM740" s="454">
        <f>SUM(CM741:CM743)</f>
        <v>66.400000000000006</v>
      </c>
    </row>
    <row r="741" spans="2:91" s="289" customFormat="1">
      <c r="B741" s="289" t="s">
        <v>3716</v>
      </c>
      <c r="BF741" s="289">
        <v>-30.6</v>
      </c>
      <c r="BG741" s="455">
        <v>-5.0999999999999996</v>
      </c>
      <c r="BH741" s="455">
        <v>-12.9</v>
      </c>
      <c r="BI741" s="455">
        <v>-15.5</v>
      </c>
      <c r="BJ741" s="455">
        <v>0.7</v>
      </c>
      <c r="BK741" s="455">
        <v>-57.9</v>
      </c>
      <c r="BL741" s="843">
        <v>74.400000000000006</v>
      </c>
      <c r="BM741" s="843">
        <v>2</v>
      </c>
      <c r="BN741" s="455">
        <v>24.1</v>
      </c>
      <c r="BO741" s="455">
        <f>4/3*(3.1+-6.9+0.1)</f>
        <v>-4.9333333333333336</v>
      </c>
      <c r="BU741" s="40">
        <f t="shared" si="512"/>
        <v>0</v>
      </c>
      <c r="BV741" s="40">
        <f t="shared" si="513"/>
        <v>0</v>
      </c>
      <c r="BW741" s="40">
        <f t="shared" si="513"/>
        <v>0</v>
      </c>
      <c r="BX741" s="40">
        <f t="shared" si="513"/>
        <v>0</v>
      </c>
      <c r="BY741" s="40">
        <f t="shared" si="513"/>
        <v>0</v>
      </c>
      <c r="BZ741" s="40">
        <f t="shared" si="513"/>
        <v>0</v>
      </c>
      <c r="CA741" s="40">
        <f t="shared" si="513"/>
        <v>0</v>
      </c>
      <c r="CB741" s="40">
        <f t="shared" si="513"/>
        <v>0</v>
      </c>
      <c r="CC741" s="40">
        <f t="shared" si="513"/>
        <v>0</v>
      </c>
      <c r="CD741" s="40">
        <f t="shared" si="513"/>
        <v>0</v>
      </c>
      <c r="CM741" s="843">
        <v>-0.1</v>
      </c>
    </row>
    <row r="742" spans="2:91" s="289" customFormat="1">
      <c r="B742" s="289" t="s">
        <v>3717</v>
      </c>
      <c r="BF742" s="289">
        <v>-64.7</v>
      </c>
      <c r="BG742" s="455">
        <v>-109.9</v>
      </c>
      <c r="BH742" s="455">
        <v>36.9</v>
      </c>
      <c r="BI742" s="455">
        <v>-137</v>
      </c>
      <c r="BJ742" s="455">
        <v>-11.3</v>
      </c>
      <c r="BK742" s="455">
        <v>-77.400000000000006</v>
      </c>
      <c r="BL742" s="843">
        <v>-96.6</v>
      </c>
      <c r="BM742" s="843">
        <v>-96</v>
      </c>
      <c r="BN742" s="455">
        <v>31.7</v>
      </c>
      <c r="BO742" s="455">
        <f>4/3*(-5.8+-36.7+-9.4)</f>
        <v>-69.199999999999989</v>
      </c>
      <c r="BU742" s="40">
        <f t="shared" si="512"/>
        <v>0</v>
      </c>
      <c r="BV742" s="40">
        <f t="shared" si="513"/>
        <v>0</v>
      </c>
      <c r="BW742" s="40">
        <f t="shared" si="513"/>
        <v>0</v>
      </c>
      <c r="BX742" s="40">
        <f t="shared" si="513"/>
        <v>0</v>
      </c>
      <c r="BY742" s="40">
        <f t="shared" si="513"/>
        <v>0</v>
      </c>
      <c r="BZ742" s="40">
        <f t="shared" si="513"/>
        <v>0</v>
      </c>
      <c r="CA742" s="40">
        <f t="shared" si="513"/>
        <v>0</v>
      </c>
      <c r="CB742" s="40">
        <f t="shared" si="513"/>
        <v>0</v>
      </c>
      <c r="CC742" s="40">
        <f t="shared" si="513"/>
        <v>0</v>
      </c>
      <c r="CD742" s="40">
        <f t="shared" si="513"/>
        <v>0</v>
      </c>
      <c r="CM742" s="843">
        <v>-5.7</v>
      </c>
    </row>
    <row r="743" spans="2:91" s="289" customFormat="1">
      <c r="B743" s="791" t="s">
        <v>3718</v>
      </c>
      <c r="BF743" s="289">
        <v>6.7</v>
      </c>
      <c r="BG743" s="455">
        <v>77.8</v>
      </c>
      <c r="BH743" s="455">
        <v>169.4</v>
      </c>
      <c r="BI743" s="455">
        <v>3.6</v>
      </c>
      <c r="BJ743" s="455">
        <v>-278.5</v>
      </c>
      <c r="BK743" s="455">
        <v>-347.9</v>
      </c>
      <c r="BL743" s="843">
        <v>283</v>
      </c>
      <c r="BM743" s="843">
        <v>136.5</v>
      </c>
      <c r="BN743" s="455">
        <v>-102.7</v>
      </c>
      <c r="BO743" s="455">
        <f>4/3*(-12.3+23.6+42.3)</f>
        <v>71.466666666666654</v>
      </c>
      <c r="BU743" s="40">
        <f t="shared" si="512"/>
        <v>0</v>
      </c>
      <c r="BV743" s="40">
        <f t="shared" si="513"/>
        <v>0</v>
      </c>
      <c r="BW743" s="40">
        <f t="shared" si="513"/>
        <v>0</v>
      </c>
      <c r="BX743" s="40">
        <f t="shared" si="513"/>
        <v>0</v>
      </c>
      <c r="BY743" s="40">
        <f t="shared" si="513"/>
        <v>0</v>
      </c>
      <c r="BZ743" s="40">
        <f t="shared" si="513"/>
        <v>0</v>
      </c>
      <c r="CA743" s="40">
        <f t="shared" si="513"/>
        <v>0</v>
      </c>
      <c r="CB743" s="40">
        <f t="shared" si="513"/>
        <v>0</v>
      </c>
      <c r="CC743" s="40">
        <f t="shared" si="513"/>
        <v>0</v>
      </c>
      <c r="CD743" s="40">
        <f t="shared" si="513"/>
        <v>0</v>
      </c>
      <c r="CM743" s="843">
        <v>72.2</v>
      </c>
    </row>
    <row r="744" spans="2:91" s="289" customFormat="1">
      <c r="B744" s="289" t="s">
        <v>3719</v>
      </c>
      <c r="BF744" s="454">
        <f t="shared" ref="BF744:BM744" si="515">SUM(BF745:BF748)</f>
        <v>-3.1</v>
      </c>
      <c r="BG744" s="454">
        <f t="shared" si="515"/>
        <v>-81.199999999999989</v>
      </c>
      <c r="BH744" s="454">
        <f t="shared" si="515"/>
        <v>6.6</v>
      </c>
      <c r="BI744" s="454">
        <f t="shared" si="515"/>
        <v>111.89999999999999</v>
      </c>
      <c r="BJ744" s="454">
        <f t="shared" si="515"/>
        <v>47.20000000000001</v>
      </c>
      <c r="BK744" s="454">
        <f t="shared" si="515"/>
        <v>319.89999999999998</v>
      </c>
      <c r="BL744" s="454">
        <f t="shared" si="515"/>
        <v>53.500000000000014</v>
      </c>
      <c r="BM744" s="454">
        <f t="shared" si="515"/>
        <v>206.70000000000002</v>
      </c>
      <c r="BN744" s="454">
        <f>SUM(BN745:BN748)</f>
        <v>466.9</v>
      </c>
      <c r="BO744" s="454">
        <f>SUM(BO745:BO748)</f>
        <v>571.06666666666672</v>
      </c>
      <c r="BU744" s="40">
        <f t="shared" si="512"/>
        <v>0</v>
      </c>
      <c r="BV744" s="40">
        <f t="shared" si="513"/>
        <v>0</v>
      </c>
      <c r="BW744" s="40">
        <f t="shared" si="513"/>
        <v>0</v>
      </c>
      <c r="BX744" s="40">
        <f t="shared" si="513"/>
        <v>0</v>
      </c>
      <c r="BY744" s="40">
        <f t="shared" si="513"/>
        <v>0</v>
      </c>
      <c r="BZ744" s="40">
        <f t="shared" si="513"/>
        <v>0</v>
      </c>
      <c r="CA744" s="40">
        <f t="shared" si="513"/>
        <v>0</v>
      </c>
      <c r="CB744" s="40">
        <f t="shared" si="513"/>
        <v>0</v>
      </c>
      <c r="CC744" s="40">
        <f t="shared" si="513"/>
        <v>0</v>
      </c>
      <c r="CD744" s="40">
        <f t="shared" si="513"/>
        <v>0</v>
      </c>
      <c r="CM744" s="454">
        <f>SUM(CM745:CM748)</f>
        <v>-8.8000000000000007</v>
      </c>
    </row>
    <row r="745" spans="2:91" s="289" customFormat="1">
      <c r="B745" s="289" t="s">
        <v>3720</v>
      </c>
      <c r="BF745" s="289">
        <v>0.8</v>
      </c>
      <c r="BG745" s="455">
        <v>-0.3</v>
      </c>
      <c r="BH745" s="455">
        <v>-0.4</v>
      </c>
      <c r="BI745" s="455">
        <v>126.3</v>
      </c>
      <c r="BJ745" s="455">
        <v>-2.7</v>
      </c>
      <c r="BK745" s="455">
        <v>-0.7</v>
      </c>
      <c r="BL745" s="843">
        <v>1</v>
      </c>
      <c r="BM745" s="843">
        <v>0</v>
      </c>
      <c r="BN745" s="455">
        <v>0</v>
      </c>
      <c r="BO745" s="455">
        <f>4/3*(0+156.8+0)</f>
        <v>209.06666666666666</v>
      </c>
      <c r="BU745" s="40">
        <f t="shared" si="512"/>
        <v>0</v>
      </c>
      <c r="BV745" s="40">
        <f t="shared" si="513"/>
        <v>0</v>
      </c>
      <c r="BW745" s="40">
        <f t="shared" si="513"/>
        <v>0</v>
      </c>
      <c r="BX745" s="40">
        <f t="shared" si="513"/>
        <v>0</v>
      </c>
      <c r="BY745" s="40">
        <f t="shared" si="513"/>
        <v>0</v>
      </c>
      <c r="BZ745" s="40">
        <f t="shared" si="513"/>
        <v>0</v>
      </c>
      <c r="CA745" s="40">
        <f t="shared" si="513"/>
        <v>0</v>
      </c>
      <c r="CB745" s="40">
        <f t="shared" si="513"/>
        <v>0</v>
      </c>
      <c r="CC745" s="40">
        <f t="shared" si="513"/>
        <v>0</v>
      </c>
      <c r="CD745" s="40">
        <f t="shared" si="513"/>
        <v>0</v>
      </c>
      <c r="CM745" s="843">
        <v>0</v>
      </c>
    </row>
    <row r="746" spans="2:91" s="289" customFormat="1">
      <c r="B746" s="791" t="s">
        <v>3721</v>
      </c>
      <c r="BF746" s="289">
        <v>-28.8</v>
      </c>
      <c r="BG746" s="454">
        <v>-98.1</v>
      </c>
      <c r="BH746" s="454">
        <v>12.2</v>
      </c>
      <c r="BI746" s="454">
        <v>-5.9</v>
      </c>
      <c r="BJ746" s="454">
        <v>66.400000000000006</v>
      </c>
      <c r="BK746" s="454">
        <v>120.7</v>
      </c>
      <c r="BL746" s="843">
        <v>103.4</v>
      </c>
      <c r="BM746" s="843">
        <v>164.9</v>
      </c>
      <c r="BN746" s="455">
        <v>79.7</v>
      </c>
      <c r="BO746" s="455">
        <f>4/3*(18.3+61.9+3)</f>
        <v>110.93333333333334</v>
      </c>
      <c r="BU746" s="40">
        <f t="shared" si="512"/>
        <v>0</v>
      </c>
      <c r="BV746" s="40">
        <f t="shared" si="513"/>
        <v>0</v>
      </c>
      <c r="BW746" s="40">
        <f t="shared" si="513"/>
        <v>0</v>
      </c>
      <c r="BX746" s="40">
        <f t="shared" si="513"/>
        <v>0</v>
      </c>
      <c r="BY746" s="40">
        <f t="shared" si="513"/>
        <v>0</v>
      </c>
      <c r="BZ746" s="40">
        <f t="shared" si="513"/>
        <v>0</v>
      </c>
      <c r="CA746" s="40">
        <f t="shared" si="513"/>
        <v>0</v>
      </c>
      <c r="CB746" s="40">
        <f t="shared" si="513"/>
        <v>0</v>
      </c>
      <c r="CC746" s="40">
        <f t="shared" si="513"/>
        <v>0</v>
      </c>
      <c r="CD746" s="40">
        <f t="shared" si="513"/>
        <v>0</v>
      </c>
      <c r="CM746" s="843">
        <v>12.6</v>
      </c>
    </row>
    <row r="747" spans="2:91" s="289" customFormat="1">
      <c r="B747" s="289" t="s">
        <v>3722</v>
      </c>
      <c r="BF747" s="289">
        <v>25</v>
      </c>
      <c r="BG747" s="455">
        <v>21.1</v>
      </c>
      <c r="BH747" s="455">
        <v>-2.2999999999999998</v>
      </c>
      <c r="BI747" s="455">
        <v>-5</v>
      </c>
      <c r="BJ747" s="455">
        <v>2.9</v>
      </c>
      <c r="BK747" s="455">
        <v>-1.5</v>
      </c>
      <c r="BL747" s="843">
        <v>4.9000000000000004</v>
      </c>
      <c r="BM747" s="843">
        <v>21</v>
      </c>
      <c r="BN747" s="455">
        <v>19.8</v>
      </c>
      <c r="BO747" s="455">
        <f>4/3*(-10.2+6.5+1.4)</f>
        <v>-3.0666666666666655</v>
      </c>
      <c r="BU747" s="40">
        <f t="shared" si="512"/>
        <v>0</v>
      </c>
      <c r="BV747" s="40">
        <f t="shared" si="513"/>
        <v>0</v>
      </c>
      <c r="BW747" s="40">
        <f t="shared" si="513"/>
        <v>0</v>
      </c>
      <c r="BX747" s="40">
        <f t="shared" si="513"/>
        <v>0</v>
      </c>
      <c r="BY747" s="40">
        <f t="shared" si="513"/>
        <v>0</v>
      </c>
      <c r="BZ747" s="40">
        <f t="shared" si="513"/>
        <v>0</v>
      </c>
      <c r="CA747" s="40">
        <f t="shared" si="513"/>
        <v>0</v>
      </c>
      <c r="CB747" s="40">
        <f t="shared" si="513"/>
        <v>0</v>
      </c>
      <c r="CC747" s="40">
        <f t="shared" si="513"/>
        <v>0</v>
      </c>
      <c r="CD747" s="40">
        <f t="shared" si="513"/>
        <v>0</v>
      </c>
      <c r="CM747" s="843">
        <v>2.4</v>
      </c>
    </row>
    <row r="748" spans="2:91" s="289" customFormat="1">
      <c r="B748" s="289" t="s">
        <v>3723</v>
      </c>
      <c r="BF748" s="289">
        <v>-0.1</v>
      </c>
      <c r="BG748" s="455">
        <v>-3.9</v>
      </c>
      <c r="BH748" s="455">
        <v>-2.9</v>
      </c>
      <c r="BI748" s="455">
        <v>-3.5</v>
      </c>
      <c r="BJ748" s="455">
        <v>-19.399999999999999</v>
      </c>
      <c r="BK748" s="455">
        <v>201.4</v>
      </c>
      <c r="BL748" s="843">
        <v>-55.8</v>
      </c>
      <c r="BM748" s="843">
        <v>20.8</v>
      </c>
      <c r="BN748" s="455">
        <v>367.4</v>
      </c>
      <c r="BO748" s="455">
        <f>4/3*(115.9+21.8+52.9)</f>
        <v>254.13333333333335</v>
      </c>
      <c r="BU748" s="40">
        <f t="shared" si="512"/>
        <v>0</v>
      </c>
      <c r="BV748" s="40">
        <f t="shared" si="513"/>
        <v>0</v>
      </c>
      <c r="BW748" s="40">
        <f t="shared" si="513"/>
        <v>0</v>
      </c>
      <c r="BX748" s="40">
        <f t="shared" si="513"/>
        <v>0</v>
      </c>
      <c r="BY748" s="40">
        <f t="shared" si="513"/>
        <v>0</v>
      </c>
      <c r="BZ748" s="40">
        <f t="shared" si="513"/>
        <v>0</v>
      </c>
      <c r="CA748" s="40">
        <f t="shared" si="513"/>
        <v>0</v>
      </c>
      <c r="CB748" s="40">
        <f t="shared" si="513"/>
        <v>0</v>
      </c>
      <c r="CC748" s="40">
        <f t="shared" si="513"/>
        <v>0</v>
      </c>
      <c r="CD748" s="40">
        <f t="shared" si="513"/>
        <v>0</v>
      </c>
      <c r="CM748" s="843">
        <v>-23.8</v>
      </c>
    </row>
    <row r="749" spans="2:91" s="289" customFormat="1">
      <c r="BG749" s="455"/>
      <c r="BH749" s="455"/>
      <c r="BI749" s="455"/>
      <c r="BJ749" s="455"/>
      <c r="BK749" s="455"/>
      <c r="BL749" s="455"/>
      <c r="BM749" s="455"/>
      <c r="BN749" s="455"/>
      <c r="BO749" s="455"/>
      <c r="BU749" s="40">
        <f t="shared" si="512"/>
        <v>0</v>
      </c>
      <c r="BV749" s="40">
        <f t="shared" si="513"/>
        <v>0</v>
      </c>
      <c r="BW749" s="40">
        <f t="shared" si="513"/>
        <v>0</v>
      </c>
      <c r="BX749" s="40">
        <f t="shared" si="513"/>
        <v>0</v>
      </c>
      <c r="BY749" s="40">
        <f t="shared" si="513"/>
        <v>0</v>
      </c>
      <c r="BZ749" s="40">
        <f t="shared" si="513"/>
        <v>0</v>
      </c>
      <c r="CA749" s="40">
        <f t="shared" si="513"/>
        <v>0</v>
      </c>
      <c r="CB749" s="40">
        <f t="shared" si="513"/>
        <v>0</v>
      </c>
      <c r="CC749" s="40">
        <f t="shared" si="513"/>
        <v>0</v>
      </c>
      <c r="CD749" s="40">
        <f t="shared" si="513"/>
        <v>0</v>
      </c>
      <c r="CM749" s="455"/>
    </row>
    <row r="750" spans="2:91" s="289" customFormat="1">
      <c r="B750" s="860" t="s">
        <v>3724</v>
      </c>
      <c r="BF750" s="407">
        <f t="shared" ref="BF750:BO750" si="516">BF707+BF725+BF731</f>
        <v>-15.500000000000028</v>
      </c>
      <c r="BG750" s="407">
        <f t="shared" si="516"/>
        <v>-33.699999999999875</v>
      </c>
      <c r="BH750" s="454">
        <f t="shared" si="516"/>
        <v>308.29999999999995</v>
      </c>
      <c r="BI750" s="454">
        <f t="shared" si="516"/>
        <v>57.499999999999829</v>
      </c>
      <c r="BJ750" s="407">
        <f t="shared" si="516"/>
        <v>202.99999999999983</v>
      </c>
      <c r="BK750" s="454">
        <f t="shared" si="516"/>
        <v>381.50000000000011</v>
      </c>
      <c r="BL750" s="454">
        <f t="shared" si="516"/>
        <v>590.99999999999977</v>
      </c>
      <c r="BM750" s="454">
        <f t="shared" si="516"/>
        <v>210.70000000000005</v>
      </c>
      <c r="BN750" s="454">
        <f t="shared" si="516"/>
        <v>49.400000000000148</v>
      </c>
      <c r="BO750" s="454">
        <f t="shared" si="516"/>
        <v>-236.40000000000015</v>
      </c>
      <c r="BU750" s="40">
        <f t="shared" si="512"/>
        <v>0</v>
      </c>
      <c r="BV750" s="40">
        <f t="shared" si="513"/>
        <v>0</v>
      </c>
      <c r="BW750" s="40">
        <f t="shared" si="513"/>
        <v>0</v>
      </c>
      <c r="BX750" s="40">
        <f t="shared" si="513"/>
        <v>0</v>
      </c>
      <c r="BY750" s="40">
        <f t="shared" si="513"/>
        <v>0</v>
      </c>
      <c r="BZ750" s="40">
        <f t="shared" si="513"/>
        <v>0</v>
      </c>
      <c r="CA750" s="40">
        <f t="shared" si="513"/>
        <v>0</v>
      </c>
      <c r="CB750" s="40">
        <f t="shared" si="513"/>
        <v>0</v>
      </c>
      <c r="CC750" s="40">
        <f t="shared" si="513"/>
        <v>0</v>
      </c>
      <c r="CD750" s="40">
        <f t="shared" si="513"/>
        <v>0</v>
      </c>
      <c r="CM750" s="454">
        <f>CM707+CM725+CM731</f>
        <v>124.00000000000001</v>
      </c>
    </row>
    <row r="751" spans="2:91" s="289" customFormat="1">
      <c r="BG751" s="455"/>
      <c r="BH751" s="455"/>
      <c r="BI751" s="455"/>
      <c r="BJ751" s="455"/>
      <c r="BK751" s="455"/>
      <c r="BL751" s="455"/>
      <c r="BM751" s="455"/>
      <c r="BN751" s="455"/>
      <c r="BO751" s="455"/>
      <c r="BU751" s="40">
        <f t="shared" si="512"/>
        <v>0</v>
      </c>
      <c r="BV751" s="40">
        <f t="shared" si="513"/>
        <v>0</v>
      </c>
      <c r="BW751" s="40">
        <f t="shared" si="513"/>
        <v>0</v>
      </c>
      <c r="BX751" s="40">
        <f t="shared" si="513"/>
        <v>0</v>
      </c>
      <c r="BY751" s="40">
        <f t="shared" si="513"/>
        <v>0</v>
      </c>
      <c r="BZ751" s="40">
        <f t="shared" si="513"/>
        <v>0</v>
      </c>
      <c r="CA751" s="40">
        <f t="shared" si="513"/>
        <v>0</v>
      </c>
      <c r="CB751" s="40">
        <f t="shared" si="513"/>
        <v>0</v>
      </c>
      <c r="CC751" s="40">
        <f t="shared" si="513"/>
        <v>0</v>
      </c>
      <c r="CD751" s="40">
        <f t="shared" si="513"/>
        <v>0</v>
      </c>
      <c r="CM751" s="455"/>
    </row>
    <row r="752" spans="2:91" s="289" customFormat="1">
      <c r="B752" s="860" t="s">
        <v>1216</v>
      </c>
      <c r="BF752" s="407">
        <f t="shared" ref="BF752:BO752" si="517">-(BF750+BF754)</f>
        <v>79.400000000000034</v>
      </c>
      <c r="BG752" s="407">
        <f t="shared" si="517"/>
        <v>179.79999999999987</v>
      </c>
      <c r="BH752" s="454">
        <f t="shared" si="517"/>
        <v>-99.899999999999949</v>
      </c>
      <c r="BI752" s="454">
        <f t="shared" si="517"/>
        <v>-18.999999999999829</v>
      </c>
      <c r="BJ752" s="407">
        <f t="shared" si="517"/>
        <v>-167.99999999999983</v>
      </c>
      <c r="BK752" s="454">
        <f t="shared" si="517"/>
        <v>-257.40000000000009</v>
      </c>
      <c r="BL752" s="454">
        <f t="shared" si="517"/>
        <v>-410.89999999999975</v>
      </c>
      <c r="BM752" s="454">
        <f t="shared" si="517"/>
        <v>-359.50000000000006</v>
      </c>
      <c r="BN752" s="454">
        <f t="shared" si="517"/>
        <v>-199.60000000000014</v>
      </c>
      <c r="BO752" s="454">
        <f t="shared" si="517"/>
        <v>-43.466666666666526</v>
      </c>
      <c r="BU752" s="40">
        <f t="shared" si="512"/>
        <v>0</v>
      </c>
      <c r="BV752" s="40">
        <f t="shared" si="513"/>
        <v>0</v>
      </c>
      <c r="BW752" s="40">
        <f t="shared" si="513"/>
        <v>0</v>
      </c>
      <c r="BX752" s="40">
        <f t="shared" si="513"/>
        <v>0</v>
      </c>
      <c r="BY752" s="40">
        <f t="shared" si="513"/>
        <v>0</v>
      </c>
      <c r="BZ752" s="40">
        <f t="shared" si="513"/>
        <v>0</v>
      </c>
      <c r="CA752" s="40">
        <f t="shared" si="513"/>
        <v>0</v>
      </c>
      <c r="CB752" s="40">
        <f t="shared" si="513"/>
        <v>0</v>
      </c>
      <c r="CC752" s="40">
        <f t="shared" si="513"/>
        <v>0</v>
      </c>
      <c r="CD752" s="40">
        <f t="shared" si="513"/>
        <v>0</v>
      </c>
      <c r="CM752" s="454">
        <f>-(CM750+CM754)</f>
        <v>-124.30000000000001</v>
      </c>
    </row>
    <row r="753" spans="2:91" s="289" customFormat="1">
      <c r="B753" s="860"/>
      <c r="BG753" s="455"/>
      <c r="BH753" s="455"/>
      <c r="BI753" s="455"/>
      <c r="BJ753" s="455"/>
      <c r="BK753" s="455"/>
      <c r="BL753" s="455"/>
      <c r="BM753" s="455"/>
      <c r="BN753" s="455"/>
      <c r="BO753" s="455"/>
      <c r="BU753" s="40">
        <f t="shared" si="512"/>
        <v>0</v>
      </c>
      <c r="BV753" s="40">
        <f t="shared" si="513"/>
        <v>0</v>
      </c>
      <c r="BW753" s="40">
        <f t="shared" si="513"/>
        <v>0</v>
      </c>
      <c r="BX753" s="40">
        <f t="shared" si="513"/>
        <v>0</v>
      </c>
      <c r="BY753" s="40">
        <f t="shared" si="513"/>
        <v>0</v>
      </c>
      <c r="BZ753" s="40">
        <f t="shared" si="513"/>
        <v>0</v>
      </c>
      <c r="CA753" s="40">
        <f t="shared" si="513"/>
        <v>0</v>
      </c>
      <c r="CB753" s="40">
        <f t="shared" si="513"/>
        <v>0</v>
      </c>
      <c r="CC753" s="40">
        <f t="shared" si="513"/>
        <v>0</v>
      </c>
      <c r="CD753" s="40">
        <f t="shared" si="513"/>
        <v>0</v>
      </c>
      <c r="CM753" s="455"/>
    </row>
    <row r="754" spans="2:91" s="289" customFormat="1">
      <c r="B754" s="860" t="s">
        <v>1217</v>
      </c>
      <c r="BF754" s="455">
        <f t="shared" ref="BF754:BO754" si="518">BF755</f>
        <v>-63.9</v>
      </c>
      <c r="BG754" s="455">
        <f t="shared" si="518"/>
        <v>-146.1</v>
      </c>
      <c r="BH754" s="455">
        <f t="shared" si="518"/>
        <v>-208.4</v>
      </c>
      <c r="BI754" s="455">
        <f t="shared" si="518"/>
        <v>-38.5</v>
      </c>
      <c r="BJ754" s="455">
        <f t="shared" si="518"/>
        <v>-35</v>
      </c>
      <c r="BK754" s="455">
        <f t="shared" si="518"/>
        <v>-124.1</v>
      </c>
      <c r="BL754" s="455">
        <f t="shared" si="518"/>
        <v>-180.1</v>
      </c>
      <c r="BM754" s="455">
        <f t="shared" si="518"/>
        <v>148.80000000000001</v>
      </c>
      <c r="BN754" s="455">
        <f t="shared" si="518"/>
        <v>150.19999999999999</v>
      </c>
      <c r="BO754" s="455">
        <f t="shared" si="518"/>
        <v>279.86666666666667</v>
      </c>
      <c r="BU754" s="40">
        <f t="shared" si="512"/>
        <v>0</v>
      </c>
      <c r="BV754" s="40">
        <f t="shared" si="513"/>
        <v>0</v>
      </c>
      <c r="BW754" s="40">
        <f t="shared" si="513"/>
        <v>0</v>
      </c>
      <c r="BX754" s="40">
        <f t="shared" si="513"/>
        <v>0</v>
      </c>
      <c r="BY754" s="40">
        <f t="shared" si="513"/>
        <v>0</v>
      </c>
      <c r="BZ754" s="40">
        <f t="shared" si="513"/>
        <v>0</v>
      </c>
      <c r="CA754" s="40">
        <f t="shared" si="513"/>
        <v>0</v>
      </c>
      <c r="CB754" s="40">
        <f t="shared" si="513"/>
        <v>0</v>
      </c>
      <c r="CC754" s="40">
        <f t="shared" si="513"/>
        <v>0</v>
      </c>
      <c r="CD754" s="40">
        <f t="shared" si="513"/>
        <v>0</v>
      </c>
      <c r="CM754" s="455">
        <f>CM755</f>
        <v>0.3</v>
      </c>
    </row>
    <row r="755" spans="2:91" s="289" customFormat="1">
      <c r="B755" s="289" t="s">
        <v>1218</v>
      </c>
      <c r="BF755" s="289">
        <v>-63.9</v>
      </c>
      <c r="BG755" s="455">
        <v>-146.1</v>
      </c>
      <c r="BH755" s="455">
        <v>-208.4</v>
      </c>
      <c r="BI755" s="455">
        <v>-38.5</v>
      </c>
      <c r="BJ755" s="455">
        <v>-35</v>
      </c>
      <c r="BK755" s="455">
        <v>-124.1</v>
      </c>
      <c r="BL755" s="843">
        <v>-180.1</v>
      </c>
      <c r="BM755" s="843">
        <v>148.80000000000001</v>
      </c>
      <c r="BN755" s="455">
        <v>150.19999999999999</v>
      </c>
      <c r="BO755" s="455">
        <f>4/3*(117.9+-7.9+99.9)</f>
        <v>279.86666666666667</v>
      </c>
      <c r="BU755" s="40">
        <f t="shared" si="512"/>
        <v>0</v>
      </c>
      <c r="BV755" s="40">
        <f t="shared" ref="BV755:CD770" si="519">BU755</f>
        <v>0</v>
      </c>
      <c r="BW755" s="40">
        <f t="shared" si="519"/>
        <v>0</v>
      </c>
      <c r="BX755" s="40">
        <f t="shared" si="519"/>
        <v>0</v>
      </c>
      <c r="BY755" s="40">
        <f t="shared" si="519"/>
        <v>0</v>
      </c>
      <c r="BZ755" s="40">
        <f t="shared" si="519"/>
        <v>0</v>
      </c>
      <c r="CA755" s="40">
        <f t="shared" si="519"/>
        <v>0</v>
      </c>
      <c r="CB755" s="40">
        <f t="shared" si="519"/>
        <v>0</v>
      </c>
      <c r="CC755" s="40">
        <f t="shared" si="519"/>
        <v>0</v>
      </c>
      <c r="CD755" s="40">
        <f t="shared" si="519"/>
        <v>0</v>
      </c>
      <c r="CM755" s="843">
        <v>0.3</v>
      </c>
    </row>
    <row r="756" spans="2:91" s="289" customFormat="1" hidden="1">
      <c r="BG756" s="455"/>
      <c r="BH756" s="455"/>
      <c r="BI756" s="455"/>
      <c r="BJ756" s="455"/>
      <c r="BK756" s="455"/>
      <c r="BL756" s="455"/>
      <c r="BM756" s="455"/>
      <c r="BN756" s="455"/>
      <c r="BO756" s="455"/>
      <c r="BU756" s="40">
        <f t="shared" si="512"/>
        <v>0</v>
      </c>
      <c r="BV756" s="40">
        <f t="shared" si="519"/>
        <v>0</v>
      </c>
      <c r="BW756" s="40">
        <f t="shared" si="519"/>
        <v>0</v>
      </c>
      <c r="BX756" s="40">
        <f t="shared" si="519"/>
        <v>0</v>
      </c>
      <c r="BY756" s="40">
        <f t="shared" si="519"/>
        <v>0</v>
      </c>
      <c r="BZ756" s="40">
        <f t="shared" si="519"/>
        <v>0</v>
      </c>
      <c r="CA756" s="40">
        <f t="shared" si="519"/>
        <v>0</v>
      </c>
      <c r="CB756" s="40">
        <f t="shared" si="519"/>
        <v>0</v>
      </c>
      <c r="CC756" s="40">
        <f t="shared" si="519"/>
        <v>0</v>
      </c>
      <c r="CD756" s="40">
        <f t="shared" si="519"/>
        <v>0</v>
      </c>
      <c r="CM756" s="455"/>
    </row>
    <row r="757" spans="2:91" s="289" customFormat="1" hidden="1">
      <c r="B757" s="289" t="s">
        <v>1219</v>
      </c>
      <c r="BG757" s="455"/>
      <c r="BH757" s="455"/>
      <c r="BI757" s="455"/>
      <c r="BJ757" s="455"/>
      <c r="BK757" s="455"/>
      <c r="BL757" s="455"/>
      <c r="BM757" s="455"/>
      <c r="BN757" s="455"/>
      <c r="BO757" s="455"/>
      <c r="BU757" s="40">
        <f t="shared" si="512"/>
        <v>0</v>
      </c>
      <c r="BV757" s="40">
        <f t="shared" si="519"/>
        <v>0</v>
      </c>
      <c r="BW757" s="40">
        <f t="shared" si="519"/>
        <v>0</v>
      </c>
      <c r="BX757" s="40">
        <f t="shared" si="519"/>
        <v>0</v>
      </c>
      <c r="BY757" s="40">
        <f t="shared" si="519"/>
        <v>0</v>
      </c>
      <c r="BZ757" s="40">
        <f t="shared" si="519"/>
        <v>0</v>
      </c>
      <c r="CA757" s="40">
        <f t="shared" si="519"/>
        <v>0</v>
      </c>
      <c r="CB757" s="40">
        <f t="shared" si="519"/>
        <v>0</v>
      </c>
      <c r="CC757" s="40">
        <f t="shared" si="519"/>
        <v>0</v>
      </c>
      <c r="CD757" s="40">
        <f t="shared" si="519"/>
        <v>0</v>
      </c>
      <c r="CM757" s="455"/>
    </row>
    <row r="758" spans="2:91" s="289" customFormat="1" hidden="1">
      <c r="B758" s="289" t="s">
        <v>1220</v>
      </c>
      <c r="BG758" s="455"/>
      <c r="BH758" s="455"/>
      <c r="BI758" s="455"/>
      <c r="BJ758" s="455"/>
      <c r="BK758" s="455"/>
      <c r="BL758" s="455"/>
      <c r="BM758" s="455"/>
      <c r="BN758" s="455"/>
      <c r="BO758" s="455"/>
      <c r="BU758" s="40">
        <f t="shared" si="512"/>
        <v>0</v>
      </c>
      <c r="BV758" s="40">
        <f t="shared" si="519"/>
        <v>0</v>
      </c>
      <c r="BW758" s="40">
        <f t="shared" si="519"/>
        <v>0</v>
      </c>
      <c r="BX758" s="40">
        <f t="shared" si="519"/>
        <v>0</v>
      </c>
      <c r="BY758" s="40">
        <f t="shared" si="519"/>
        <v>0</v>
      </c>
      <c r="BZ758" s="40">
        <f t="shared" si="519"/>
        <v>0</v>
      </c>
      <c r="CA758" s="40">
        <f t="shared" si="519"/>
        <v>0</v>
      </c>
      <c r="CB758" s="40">
        <f t="shared" si="519"/>
        <v>0</v>
      </c>
      <c r="CC758" s="40">
        <f t="shared" si="519"/>
        <v>0</v>
      </c>
      <c r="CD758" s="40">
        <f t="shared" si="519"/>
        <v>0</v>
      </c>
      <c r="CM758" s="455"/>
    </row>
    <row r="759" spans="2:91" s="289" customFormat="1" hidden="1">
      <c r="B759" s="289" t="s">
        <v>1221</v>
      </c>
      <c r="BU759" s="40">
        <f t="shared" si="512"/>
        <v>0</v>
      </c>
      <c r="BV759" s="40">
        <f t="shared" si="519"/>
        <v>0</v>
      </c>
      <c r="BW759" s="40">
        <f t="shared" si="519"/>
        <v>0</v>
      </c>
      <c r="BX759" s="40">
        <f t="shared" si="519"/>
        <v>0</v>
      </c>
      <c r="BY759" s="40">
        <f t="shared" si="519"/>
        <v>0</v>
      </c>
      <c r="BZ759" s="40">
        <f t="shared" si="519"/>
        <v>0</v>
      </c>
      <c r="CA759" s="40">
        <f t="shared" si="519"/>
        <v>0</v>
      </c>
      <c r="CB759" s="40">
        <f t="shared" si="519"/>
        <v>0</v>
      </c>
      <c r="CC759" s="40">
        <f t="shared" si="519"/>
        <v>0</v>
      </c>
      <c r="CD759" s="40">
        <f t="shared" si="519"/>
        <v>0</v>
      </c>
    </row>
    <row r="760" spans="2:91" s="289" customFormat="1" hidden="1">
      <c r="B760" s="289" t="s">
        <v>1222</v>
      </c>
      <c r="BU760" s="40">
        <f t="shared" si="512"/>
        <v>0</v>
      </c>
      <c r="BV760" s="40">
        <f t="shared" si="519"/>
        <v>0</v>
      </c>
      <c r="BW760" s="40">
        <f t="shared" si="519"/>
        <v>0</v>
      </c>
      <c r="BX760" s="40">
        <f t="shared" si="519"/>
        <v>0</v>
      </c>
      <c r="BY760" s="40">
        <f t="shared" si="519"/>
        <v>0</v>
      </c>
      <c r="BZ760" s="40">
        <f t="shared" si="519"/>
        <v>0</v>
      </c>
      <c r="CA760" s="40">
        <f t="shared" si="519"/>
        <v>0</v>
      </c>
      <c r="CB760" s="40">
        <f t="shared" si="519"/>
        <v>0</v>
      </c>
      <c r="CC760" s="40">
        <f t="shared" si="519"/>
        <v>0</v>
      </c>
      <c r="CD760" s="40">
        <f t="shared" si="519"/>
        <v>0</v>
      </c>
    </row>
    <row r="761" spans="2:91" s="289" customFormat="1">
      <c r="BU761" s="40">
        <f t="shared" si="512"/>
        <v>0</v>
      </c>
      <c r="BV761" s="40">
        <f t="shared" si="519"/>
        <v>0</v>
      </c>
      <c r="BW761" s="40">
        <f t="shared" si="519"/>
        <v>0</v>
      </c>
      <c r="BX761" s="40">
        <f t="shared" si="519"/>
        <v>0</v>
      </c>
      <c r="BY761" s="40">
        <f t="shared" si="519"/>
        <v>0</v>
      </c>
      <c r="BZ761" s="40">
        <f t="shared" si="519"/>
        <v>0</v>
      </c>
      <c r="CA761" s="40">
        <f t="shared" si="519"/>
        <v>0</v>
      </c>
      <c r="CB761" s="40">
        <f t="shared" si="519"/>
        <v>0</v>
      </c>
      <c r="CC761" s="40">
        <f t="shared" si="519"/>
        <v>0</v>
      </c>
      <c r="CD761" s="40">
        <f t="shared" si="519"/>
        <v>0</v>
      </c>
    </row>
    <row r="762" spans="2:91" s="289" customFormat="1">
      <c r="B762" s="480" t="s">
        <v>2090</v>
      </c>
      <c r="BF762" s="289">
        <v>-8.6999999999999993</v>
      </c>
      <c r="BG762" s="289">
        <v>-19.899999999999999</v>
      </c>
      <c r="BH762" s="289">
        <v>9.1</v>
      </c>
      <c r="BI762" s="289">
        <v>-16</v>
      </c>
      <c r="BJ762" s="289">
        <v>1.2</v>
      </c>
      <c r="BK762" s="289">
        <v>-1.9</v>
      </c>
      <c r="BL762" s="862">
        <v>-11.3</v>
      </c>
      <c r="BM762" s="862">
        <v>80.900000000000006</v>
      </c>
      <c r="BN762" s="289">
        <v>3.5</v>
      </c>
      <c r="BO762" s="455">
        <f>4/3*(13.6+-2.5+5.6)</f>
        <v>22.266666666666666</v>
      </c>
      <c r="BU762" s="40">
        <f t="shared" si="512"/>
        <v>0</v>
      </c>
      <c r="BV762" s="40">
        <f t="shared" si="519"/>
        <v>0</v>
      </c>
      <c r="BW762" s="40">
        <f t="shared" si="519"/>
        <v>0</v>
      </c>
      <c r="BX762" s="40">
        <f t="shared" si="519"/>
        <v>0</v>
      </c>
      <c r="BY762" s="40">
        <f t="shared" si="519"/>
        <v>0</v>
      </c>
      <c r="BZ762" s="40">
        <f t="shared" si="519"/>
        <v>0</v>
      </c>
      <c r="CA762" s="40">
        <f t="shared" si="519"/>
        <v>0</v>
      </c>
      <c r="CB762" s="40">
        <f t="shared" si="519"/>
        <v>0</v>
      </c>
      <c r="CC762" s="40">
        <f t="shared" si="519"/>
        <v>0</v>
      </c>
      <c r="CD762" s="40">
        <f t="shared" si="519"/>
        <v>0</v>
      </c>
      <c r="CM762" s="862">
        <v>-24.9</v>
      </c>
    </row>
    <row r="763" spans="2:91">
      <c r="B763" s="99"/>
      <c r="C763" s="863"/>
      <c r="D763" s="863"/>
      <c r="E763" s="863"/>
      <c r="F763" s="863"/>
      <c r="G763" s="863"/>
      <c r="H763" s="863"/>
      <c r="I763" s="863"/>
      <c r="J763" s="863"/>
      <c r="K763" s="863"/>
      <c r="L763" s="863"/>
      <c r="M763" s="863"/>
      <c r="N763" s="863"/>
      <c r="O763" s="863"/>
      <c r="P763" s="863"/>
      <c r="Q763" s="863"/>
      <c r="R763" s="863"/>
      <c r="S763" s="863"/>
      <c r="T763" s="863"/>
      <c r="U763" s="863"/>
      <c r="V763" s="863"/>
      <c r="W763" s="863"/>
      <c r="X763" s="863"/>
      <c r="Y763" s="863"/>
      <c r="Z763" s="863"/>
      <c r="AA763" s="863"/>
      <c r="AB763" s="863"/>
      <c r="AC763" s="863"/>
      <c r="AD763" s="863"/>
      <c r="AE763" s="863"/>
      <c r="AF763" s="863"/>
      <c r="AG763" s="863"/>
      <c r="AH763" s="863"/>
      <c r="AI763" s="863"/>
      <c r="AJ763" s="863"/>
      <c r="AK763" s="863"/>
      <c r="AL763" s="863"/>
      <c r="AM763" s="863"/>
      <c r="AN763" s="863"/>
      <c r="AO763" s="863"/>
      <c r="AP763" s="863"/>
      <c r="AQ763" s="863"/>
      <c r="AR763" s="863"/>
      <c r="AS763" s="863"/>
      <c r="AT763" s="863"/>
      <c r="AU763" s="863"/>
      <c r="AV763" s="682"/>
      <c r="AW763" s="682"/>
      <c r="AX763" s="682"/>
      <c r="AY763" s="682"/>
      <c r="AZ763" s="682"/>
      <c r="BA763" s="682"/>
      <c r="BB763" s="682"/>
      <c r="BC763" s="682"/>
      <c r="BD763" s="864"/>
      <c r="BE763" s="462"/>
      <c r="BF763" s="801"/>
      <c r="BG763" s="801"/>
      <c r="BH763" s="801"/>
      <c r="BI763" s="801"/>
      <c r="BJ763" s="801">
        <v>2.7450000000000001</v>
      </c>
      <c r="BK763" s="801"/>
      <c r="BU763" s="40">
        <f t="shared" si="512"/>
        <v>0</v>
      </c>
      <c r="BV763" s="40">
        <f t="shared" si="519"/>
        <v>0</v>
      </c>
      <c r="BW763" s="40">
        <f t="shared" si="519"/>
        <v>0</v>
      </c>
      <c r="BX763" s="40">
        <f t="shared" si="519"/>
        <v>0</v>
      </c>
      <c r="BY763" s="40">
        <f t="shared" si="519"/>
        <v>0</v>
      </c>
      <c r="BZ763" s="40">
        <f t="shared" si="519"/>
        <v>0</v>
      </c>
      <c r="CA763" s="40">
        <f t="shared" si="519"/>
        <v>0</v>
      </c>
      <c r="CB763" s="40">
        <f t="shared" si="519"/>
        <v>0</v>
      </c>
      <c r="CC763" s="40">
        <f t="shared" si="519"/>
        <v>0</v>
      </c>
      <c r="CD763" s="40">
        <f t="shared" si="519"/>
        <v>0</v>
      </c>
    </row>
    <row r="764" spans="2:91">
      <c r="B764" s="99" t="s">
        <v>4682</v>
      </c>
      <c r="C764" s="12" t="s">
        <v>817</v>
      </c>
      <c r="D764" s="865"/>
      <c r="E764" s="865"/>
      <c r="F764" s="865"/>
      <c r="G764" s="865"/>
      <c r="H764" s="865"/>
      <c r="I764" s="865"/>
      <c r="J764" s="865"/>
      <c r="K764" s="865"/>
      <c r="L764" s="865"/>
      <c r="M764" s="865"/>
      <c r="N764" s="865"/>
      <c r="O764" s="865"/>
      <c r="P764" s="865"/>
      <c r="Q764" s="865"/>
      <c r="R764" s="865"/>
      <c r="S764" s="865"/>
      <c r="T764" s="865"/>
      <c r="U764" s="865"/>
      <c r="V764" s="865"/>
      <c r="W764" s="865"/>
      <c r="X764" s="865"/>
      <c r="Y764" s="865"/>
      <c r="Z764" s="865"/>
      <c r="AA764" s="865"/>
      <c r="AB764" s="865"/>
      <c r="AC764" s="865"/>
      <c r="AD764" s="865"/>
      <c r="AE764" s="865"/>
      <c r="AF764" s="865"/>
      <c r="AG764" s="865"/>
      <c r="AH764" s="865"/>
      <c r="AI764" s="865"/>
      <c r="AJ764" s="865"/>
      <c r="AK764" s="865"/>
      <c r="AL764" s="865"/>
      <c r="AM764" s="865"/>
      <c r="AN764" s="865"/>
      <c r="AO764" s="865"/>
      <c r="AP764" s="865"/>
      <c r="AQ764" s="865"/>
      <c r="AR764" s="865"/>
      <c r="AS764" s="865"/>
      <c r="AT764" s="865"/>
      <c r="AU764" s="865"/>
      <c r="AV764" s="517">
        <v>0.40092499999999998</v>
      </c>
      <c r="AW764" s="517">
        <v>0.40100000000000002</v>
      </c>
      <c r="AX764" s="517">
        <v>0.40100000000000002</v>
      </c>
      <c r="AY764" s="517">
        <v>0.85990999999999995</v>
      </c>
      <c r="AZ764" s="517">
        <v>1.3263099999999999</v>
      </c>
      <c r="BA764" s="517">
        <v>2.1785000000000001</v>
      </c>
      <c r="BB764" s="517">
        <v>2.3269450000000003</v>
      </c>
      <c r="BC764" s="517">
        <v>2.6033299999999997</v>
      </c>
      <c r="BD764" s="517">
        <v>2.734</v>
      </c>
      <c r="BE764" s="517">
        <v>2.73</v>
      </c>
      <c r="BF764" s="306">
        <v>2.7425000000000002</v>
      </c>
      <c r="BG764" s="517">
        <v>2.7450000000000001</v>
      </c>
      <c r="BH764" s="517">
        <v>2.7450000000000001</v>
      </c>
      <c r="BI764" s="306">
        <v>2.85</v>
      </c>
      <c r="BJ764" s="801">
        <f>(2.8+3.3)/2</f>
        <v>3.05</v>
      </c>
      <c r="BK764" s="801">
        <v>3.25</v>
      </c>
      <c r="BL764" s="801">
        <v>3.35</v>
      </c>
      <c r="BM764" s="801">
        <v>3.35</v>
      </c>
      <c r="BN764" s="1081">
        <f t="shared" ref="BN764:BT764" si="520">BM764</f>
        <v>3.35</v>
      </c>
      <c r="BO764" s="1081">
        <f t="shared" si="520"/>
        <v>3.35</v>
      </c>
      <c r="BP764" s="1081">
        <v>4.2</v>
      </c>
      <c r="BQ764" s="801">
        <f t="shared" si="520"/>
        <v>4.2</v>
      </c>
      <c r="BR764" s="801">
        <f t="shared" si="520"/>
        <v>4.2</v>
      </c>
      <c r="BS764" s="801">
        <f t="shared" si="520"/>
        <v>4.2</v>
      </c>
      <c r="BT764" s="801">
        <f t="shared" si="520"/>
        <v>4.2</v>
      </c>
      <c r="BU764" s="40">
        <f t="shared" si="512"/>
        <v>4.2</v>
      </c>
      <c r="BV764" s="40">
        <f t="shared" si="519"/>
        <v>4.2</v>
      </c>
      <c r="BW764" s="40">
        <f t="shared" si="519"/>
        <v>4.2</v>
      </c>
      <c r="BX764" s="40">
        <f t="shared" si="519"/>
        <v>4.2</v>
      </c>
      <c r="BY764" s="40">
        <f t="shared" si="519"/>
        <v>4.2</v>
      </c>
      <c r="BZ764" s="40">
        <f t="shared" si="519"/>
        <v>4.2</v>
      </c>
      <c r="CA764" s="40">
        <f t="shared" si="519"/>
        <v>4.2</v>
      </c>
      <c r="CB764" s="40">
        <f t="shared" si="519"/>
        <v>4.2</v>
      </c>
      <c r="CC764" s="40">
        <f t="shared" si="519"/>
        <v>4.2</v>
      </c>
      <c r="CD764" s="40">
        <f t="shared" si="519"/>
        <v>4.2</v>
      </c>
      <c r="CM764" s="801">
        <f>CL764</f>
        <v>0</v>
      </c>
    </row>
    <row r="765" spans="2:91" s="25" customFormat="1">
      <c r="B765" s="866" t="s">
        <v>2422</v>
      </c>
      <c r="C765" s="844"/>
      <c r="D765" s="844" t="s">
        <v>2040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549">
        <v>34.9</v>
      </c>
      <c r="AW765" s="549">
        <v>28.8</v>
      </c>
      <c r="AX765" s="549">
        <v>25.7</v>
      </c>
      <c r="AY765" s="549">
        <v>28.5</v>
      </c>
      <c r="AZ765" s="549">
        <v>29</v>
      </c>
      <c r="BA765" s="549">
        <v>23.5</v>
      </c>
      <c r="BB765" s="549">
        <v>21.1</v>
      </c>
      <c r="BC765" s="549">
        <v>20.8</v>
      </c>
      <c r="BD765" s="549">
        <v>19</v>
      </c>
      <c r="BE765" s="549">
        <v>16.3</v>
      </c>
      <c r="BF765" s="867">
        <v>15.3</v>
      </c>
      <c r="BG765" s="868">
        <v>12.9</v>
      </c>
      <c r="BH765" s="389">
        <v>11.7</v>
      </c>
      <c r="BI765" s="389">
        <v>11.6</v>
      </c>
      <c r="BJ765" s="389">
        <v>11.8</v>
      </c>
      <c r="BK765" s="389">
        <v>11.8</v>
      </c>
      <c r="BL765" s="389">
        <v>11.8</v>
      </c>
      <c r="BM765" s="515">
        <v>12</v>
      </c>
      <c r="BN765" s="515">
        <v>12.5</v>
      </c>
      <c r="BO765" s="515">
        <v>12.6</v>
      </c>
      <c r="BU765" s="40">
        <f t="shared" si="512"/>
        <v>0</v>
      </c>
      <c r="BV765" s="40">
        <f t="shared" si="519"/>
        <v>0</v>
      </c>
      <c r="BW765" s="40">
        <f t="shared" si="519"/>
        <v>0</v>
      </c>
      <c r="BX765" s="40">
        <f t="shared" si="519"/>
        <v>0</v>
      </c>
      <c r="BY765" s="40">
        <f t="shared" si="519"/>
        <v>0</v>
      </c>
      <c r="BZ765" s="40">
        <f t="shared" si="519"/>
        <v>0</v>
      </c>
      <c r="CA765" s="40">
        <f t="shared" si="519"/>
        <v>0</v>
      </c>
      <c r="CB765" s="40">
        <f t="shared" si="519"/>
        <v>0</v>
      </c>
      <c r="CC765" s="40">
        <f t="shared" si="519"/>
        <v>0</v>
      </c>
      <c r="CD765" s="40">
        <f t="shared" si="519"/>
        <v>0</v>
      </c>
      <c r="CM765" s="25">
        <v>11.7</v>
      </c>
    </row>
    <row r="766" spans="2:91">
      <c r="B766" s="869" t="s">
        <v>3988</v>
      </c>
      <c r="C766" s="12" t="s">
        <v>2462</v>
      </c>
      <c r="D766" s="12" t="s">
        <v>2619</v>
      </c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517">
        <v>3.8</v>
      </c>
      <c r="AW766" s="517">
        <v>4</v>
      </c>
      <c r="AX766" s="517">
        <v>10.1</v>
      </c>
      <c r="AY766" s="517">
        <v>8.9</v>
      </c>
      <c r="AZ766" s="517">
        <f t="shared" ref="AZ766:BE766" si="521">SUM(AZ767:AZ768)/2</f>
        <v>10.5</v>
      </c>
      <c r="BA766" s="517">
        <f t="shared" si="521"/>
        <v>7.75</v>
      </c>
      <c r="BB766" s="517">
        <f t="shared" si="521"/>
        <v>8.5</v>
      </c>
      <c r="BC766" s="517">
        <f t="shared" si="521"/>
        <v>8.5</v>
      </c>
      <c r="BD766" s="517">
        <f t="shared" si="521"/>
        <v>8.5</v>
      </c>
      <c r="BE766" s="517">
        <f t="shared" si="521"/>
        <v>8.5</v>
      </c>
      <c r="BF766" s="517">
        <f>SUM(BF767:BF768)/2</f>
        <v>7.25</v>
      </c>
      <c r="BG766" s="307">
        <f>BF766</f>
        <v>7.25</v>
      </c>
      <c r="BH766" s="307">
        <f>BG766</f>
        <v>7.25</v>
      </c>
      <c r="BI766" s="307">
        <f>BH766</f>
        <v>7.25</v>
      </c>
      <c r="BJ766" s="307">
        <f>BI766</f>
        <v>7.25</v>
      </c>
      <c r="BK766" s="307"/>
      <c r="BU766" s="40">
        <f t="shared" si="512"/>
        <v>0</v>
      </c>
      <c r="BV766" s="40">
        <f t="shared" si="519"/>
        <v>0</v>
      </c>
      <c r="BW766" s="40">
        <f t="shared" si="519"/>
        <v>0</v>
      </c>
      <c r="BX766" s="40">
        <f t="shared" si="519"/>
        <v>0</v>
      </c>
      <c r="BY766" s="40">
        <f t="shared" si="519"/>
        <v>0</v>
      </c>
      <c r="BZ766" s="40">
        <f t="shared" si="519"/>
        <v>0</v>
      </c>
      <c r="CA766" s="40">
        <f t="shared" si="519"/>
        <v>0</v>
      </c>
      <c r="CB766" s="40">
        <f t="shared" si="519"/>
        <v>0</v>
      </c>
      <c r="CC766" s="40">
        <f t="shared" si="519"/>
        <v>0</v>
      </c>
      <c r="CD766" s="40">
        <f t="shared" si="519"/>
        <v>0</v>
      </c>
    </row>
    <row r="767" spans="2:91">
      <c r="B767" s="869" t="s">
        <v>2262</v>
      </c>
      <c r="C767" s="12" t="s">
        <v>2462</v>
      </c>
      <c r="D767" s="12" t="s">
        <v>503</v>
      </c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517"/>
      <c r="AW767" s="517"/>
      <c r="AX767" s="517"/>
      <c r="AY767" s="517"/>
      <c r="AZ767" s="517">
        <v>18</v>
      </c>
      <c r="BA767" s="517">
        <v>12.5</v>
      </c>
      <c r="BB767" s="517">
        <v>12.5</v>
      </c>
      <c r="BC767" s="517">
        <v>12.5</v>
      </c>
      <c r="BD767" s="517">
        <v>12.5</v>
      </c>
      <c r="BE767" s="517">
        <v>12.5</v>
      </c>
      <c r="BF767" s="517">
        <v>10</v>
      </c>
      <c r="BG767" s="307"/>
      <c r="BH767" s="307"/>
      <c r="BI767" s="307"/>
      <c r="BJ767" s="307"/>
      <c r="BK767" s="307"/>
      <c r="BU767" s="40">
        <f t="shared" si="512"/>
        <v>0</v>
      </c>
      <c r="BV767" s="40">
        <f t="shared" si="519"/>
        <v>0</v>
      </c>
      <c r="BW767" s="40">
        <f t="shared" si="519"/>
        <v>0</v>
      </c>
      <c r="BX767" s="40">
        <f t="shared" si="519"/>
        <v>0</v>
      </c>
      <c r="BY767" s="40">
        <f t="shared" si="519"/>
        <v>0</v>
      </c>
      <c r="BZ767" s="40">
        <f t="shared" si="519"/>
        <v>0</v>
      </c>
      <c r="CA767" s="40">
        <f t="shared" si="519"/>
        <v>0</v>
      </c>
      <c r="CB767" s="40">
        <f t="shared" si="519"/>
        <v>0</v>
      </c>
      <c r="CC767" s="40">
        <f t="shared" si="519"/>
        <v>0</v>
      </c>
      <c r="CD767" s="40">
        <f t="shared" si="519"/>
        <v>0</v>
      </c>
    </row>
    <row r="768" spans="2:91">
      <c r="B768" s="869" t="s">
        <v>772</v>
      </c>
      <c r="C768" s="12" t="s">
        <v>2462</v>
      </c>
      <c r="D768" s="12" t="s">
        <v>503</v>
      </c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517">
        <v>18</v>
      </c>
      <c r="AW768" s="517"/>
      <c r="AX768" s="517"/>
      <c r="AY768" s="517">
        <v>3</v>
      </c>
      <c r="AZ768" s="517">
        <v>3</v>
      </c>
      <c r="BA768" s="517">
        <v>3</v>
      </c>
      <c r="BB768" s="517">
        <v>4.5</v>
      </c>
      <c r="BC768" s="517">
        <v>4.5</v>
      </c>
      <c r="BD768" s="517">
        <v>4.5</v>
      </c>
      <c r="BE768" s="517">
        <v>4.5</v>
      </c>
      <c r="BF768" s="517">
        <v>4.5</v>
      </c>
      <c r="BG768" s="307"/>
      <c r="BH768" s="307"/>
      <c r="BI768" s="307"/>
      <c r="BJ768" s="307"/>
      <c r="BK768" s="307"/>
      <c r="BU768" s="40">
        <f t="shared" si="512"/>
        <v>0</v>
      </c>
      <c r="BV768" s="40">
        <f t="shared" si="519"/>
        <v>0</v>
      </c>
      <c r="BW768" s="40">
        <f t="shared" si="519"/>
        <v>0</v>
      </c>
      <c r="BX768" s="40">
        <f t="shared" si="519"/>
        <v>0</v>
      </c>
      <c r="BY768" s="40">
        <f t="shared" si="519"/>
        <v>0</v>
      </c>
      <c r="BZ768" s="40">
        <f t="shared" si="519"/>
        <v>0</v>
      </c>
      <c r="CA768" s="40">
        <f t="shared" si="519"/>
        <v>0</v>
      </c>
      <c r="CB768" s="40">
        <f t="shared" si="519"/>
        <v>0</v>
      </c>
      <c r="CC768" s="40">
        <f t="shared" si="519"/>
        <v>0</v>
      </c>
      <c r="CD768" s="40">
        <f t="shared" si="519"/>
        <v>0</v>
      </c>
    </row>
    <row r="769" spans="2:91">
      <c r="B769" s="99" t="s">
        <v>3989</v>
      </c>
      <c r="C769" s="12" t="s">
        <v>2462</v>
      </c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307"/>
      <c r="AW769" s="307"/>
      <c r="AX769" s="307"/>
      <c r="AY769" s="307"/>
      <c r="AZ769" s="307"/>
      <c r="BA769" s="307"/>
      <c r="BB769" s="307"/>
      <c r="BC769" s="307"/>
      <c r="BD769" s="307"/>
      <c r="BE769" s="348">
        <v>3</v>
      </c>
      <c r="BF769" s="348">
        <v>3</v>
      </c>
      <c r="BG769" s="307"/>
      <c r="BH769" s="307"/>
      <c r="BI769" s="307"/>
      <c r="BJ769" s="307"/>
      <c r="BK769" s="307"/>
      <c r="BU769" s="40">
        <f t="shared" si="512"/>
        <v>0</v>
      </c>
      <c r="BV769" s="40">
        <f t="shared" si="519"/>
        <v>0</v>
      </c>
      <c r="BW769" s="40">
        <f t="shared" si="519"/>
        <v>0</v>
      </c>
      <c r="BX769" s="40">
        <f t="shared" si="519"/>
        <v>0</v>
      </c>
      <c r="BY769" s="40">
        <f t="shared" si="519"/>
        <v>0</v>
      </c>
      <c r="BZ769" s="40">
        <f t="shared" si="519"/>
        <v>0</v>
      </c>
      <c r="CA769" s="40">
        <f t="shared" si="519"/>
        <v>0</v>
      </c>
      <c r="CB769" s="40">
        <f t="shared" si="519"/>
        <v>0</v>
      </c>
      <c r="CC769" s="40">
        <f t="shared" si="519"/>
        <v>0</v>
      </c>
      <c r="CD769" s="40">
        <f t="shared" si="519"/>
        <v>0</v>
      </c>
    </row>
    <row r="770" spans="2:91">
      <c r="B770" s="99" t="s">
        <v>3410</v>
      </c>
      <c r="C770" s="12" t="s">
        <v>817</v>
      </c>
      <c r="D770" s="12" t="s">
        <v>4409</v>
      </c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517">
        <v>5.0199999999999996</v>
      </c>
      <c r="AW770" s="517">
        <v>5.07</v>
      </c>
      <c r="AX770" s="517">
        <v>4.82</v>
      </c>
      <c r="AY770" s="517">
        <v>4.66</v>
      </c>
      <c r="AZ770" s="517">
        <v>5.84</v>
      </c>
      <c r="BA770" s="517">
        <v>3.45</v>
      </c>
      <c r="BB770" s="517">
        <v>1.61</v>
      </c>
      <c r="BC770" s="517">
        <v>1.61</v>
      </c>
      <c r="BD770" s="517">
        <v>2.5</v>
      </c>
      <c r="BE770" s="348">
        <v>3.75</v>
      </c>
      <c r="BF770" s="348">
        <v>3.75</v>
      </c>
      <c r="BG770" s="307"/>
      <c r="BH770" s="307"/>
      <c r="BI770" s="307"/>
      <c r="BJ770" s="307"/>
      <c r="BK770" s="307"/>
      <c r="BU770" s="40">
        <f t="shared" si="512"/>
        <v>0</v>
      </c>
      <c r="BV770" s="40">
        <f t="shared" si="519"/>
        <v>0</v>
      </c>
      <c r="BW770" s="40">
        <f t="shared" si="519"/>
        <v>0</v>
      </c>
      <c r="BX770" s="40">
        <f t="shared" si="519"/>
        <v>0</v>
      </c>
      <c r="BY770" s="40">
        <f t="shared" si="519"/>
        <v>0</v>
      </c>
      <c r="BZ770" s="40">
        <f t="shared" si="519"/>
        <v>0</v>
      </c>
      <c r="CA770" s="40">
        <f t="shared" si="519"/>
        <v>0</v>
      </c>
      <c r="CB770" s="40">
        <f t="shared" si="519"/>
        <v>0</v>
      </c>
      <c r="CC770" s="40">
        <f t="shared" si="519"/>
        <v>0</v>
      </c>
      <c r="CD770" s="40">
        <f t="shared" si="519"/>
        <v>0</v>
      </c>
      <c r="CM770" s="1">
        <v>4016.1</v>
      </c>
    </row>
    <row r="771" spans="2:91">
      <c r="B771" s="515" t="s">
        <v>2728</v>
      </c>
      <c r="C771" s="844" t="s">
        <v>2499</v>
      </c>
      <c r="D771" s="844" t="s">
        <v>2038</v>
      </c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517">
        <v>77.855000000000004</v>
      </c>
      <c r="AW771" s="517">
        <v>90.620099999999994</v>
      </c>
      <c r="AX771" s="517">
        <v>116.6203</v>
      </c>
      <c r="AY771" s="517">
        <v>160.90900000000002</v>
      </c>
      <c r="AZ771" s="517">
        <v>310.89999999999998</v>
      </c>
      <c r="BA771" s="517">
        <v>426.2</v>
      </c>
      <c r="BB771" s="517">
        <v>591.1</v>
      </c>
      <c r="BC771" s="517">
        <v>614.4</v>
      </c>
      <c r="BD771" s="517">
        <v>785.7</v>
      </c>
      <c r="BE771" s="517">
        <v>880.2</v>
      </c>
      <c r="BF771" s="517">
        <v>1550</v>
      </c>
      <c r="BG771" s="389">
        <v>1938.9</v>
      </c>
      <c r="BH771" s="389">
        <v>2434.1</v>
      </c>
      <c r="BI771" s="389">
        <v>2677.9</v>
      </c>
      <c r="BJ771" s="389">
        <v>3003.7</v>
      </c>
      <c r="BK771" s="389">
        <v>3546.5</v>
      </c>
      <c r="BL771" s="515">
        <v>4305.2</v>
      </c>
      <c r="BM771" s="515">
        <v>4466.3999999999996</v>
      </c>
      <c r="BN771" s="515">
        <v>4650.3</v>
      </c>
      <c r="BO771" s="515">
        <v>4405.7</v>
      </c>
      <c r="BU771" s="40">
        <f t="shared" si="512"/>
        <v>0</v>
      </c>
      <c r="BV771" s="40">
        <f t="shared" ref="BV771:CD781" si="522">BU771</f>
        <v>0</v>
      </c>
      <c r="BW771" s="40">
        <f t="shared" si="522"/>
        <v>0</v>
      </c>
      <c r="BX771" s="40">
        <f t="shared" si="522"/>
        <v>0</v>
      </c>
      <c r="BY771" s="40">
        <f t="shared" si="522"/>
        <v>0</v>
      </c>
      <c r="BZ771" s="40">
        <f t="shared" si="522"/>
        <v>0</v>
      </c>
      <c r="CA771" s="40">
        <f t="shared" si="522"/>
        <v>0</v>
      </c>
      <c r="CB771" s="40">
        <f t="shared" si="522"/>
        <v>0</v>
      </c>
      <c r="CC771" s="40">
        <f t="shared" si="522"/>
        <v>0</v>
      </c>
      <c r="CD771" s="40">
        <f t="shared" si="522"/>
        <v>0</v>
      </c>
      <c r="CM771" s="1">
        <v>4016.1</v>
      </c>
    </row>
    <row r="772" spans="2:91">
      <c r="B772" s="844" t="s">
        <v>831</v>
      </c>
      <c r="C772" s="844" t="s">
        <v>2499</v>
      </c>
      <c r="D772" s="844" t="s">
        <v>2038</v>
      </c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307"/>
      <c r="AW772" s="307"/>
      <c r="AX772" s="307"/>
      <c r="AY772" s="517">
        <v>104.9226</v>
      </c>
      <c r="AZ772" s="517">
        <v>254.72389999999999</v>
      </c>
      <c r="BA772" s="517">
        <v>368</v>
      </c>
      <c r="BB772" s="517">
        <v>486.1</v>
      </c>
      <c r="BC772" s="517">
        <v>697.8</v>
      </c>
      <c r="BD772" s="517">
        <v>965.9</v>
      </c>
      <c r="BE772" s="528">
        <v>1037.0999999999999</v>
      </c>
      <c r="BF772" s="528">
        <v>1333.2</v>
      </c>
      <c r="BG772" s="389">
        <v>1723.8</v>
      </c>
      <c r="BH772" s="389">
        <v>2180.1</v>
      </c>
      <c r="BI772" s="389">
        <v>2295.2999999999997</v>
      </c>
      <c r="BJ772" s="389">
        <v>2379.7999999999997</v>
      </c>
      <c r="BK772" s="389">
        <v>3291.7000000000007</v>
      </c>
      <c r="BL772" s="515">
        <v>3741.4</v>
      </c>
      <c r="BM772" s="515">
        <v>4274.2</v>
      </c>
      <c r="BN772" s="515">
        <v>4536.7</v>
      </c>
      <c r="BO772" s="515">
        <v>4705.8</v>
      </c>
      <c r="BU772" s="40">
        <f t="shared" si="512"/>
        <v>0</v>
      </c>
      <c r="BV772" s="40">
        <f t="shared" si="522"/>
        <v>0</v>
      </c>
      <c r="BW772" s="40">
        <f t="shared" si="522"/>
        <v>0</v>
      </c>
      <c r="BX772" s="40">
        <f t="shared" si="522"/>
        <v>0</v>
      </c>
      <c r="BY772" s="40">
        <f t="shared" si="522"/>
        <v>0</v>
      </c>
      <c r="BZ772" s="40">
        <f t="shared" si="522"/>
        <v>0</v>
      </c>
      <c r="CA772" s="40">
        <f t="shared" si="522"/>
        <v>0</v>
      </c>
      <c r="CB772" s="40">
        <f t="shared" si="522"/>
        <v>0</v>
      </c>
      <c r="CC772" s="40">
        <f t="shared" si="522"/>
        <v>0</v>
      </c>
      <c r="CD772" s="40">
        <f t="shared" si="522"/>
        <v>0</v>
      </c>
    </row>
    <row r="773" spans="2:91">
      <c r="B773" s="25" t="s">
        <v>832</v>
      </c>
      <c r="C773" s="12" t="s">
        <v>2499</v>
      </c>
      <c r="D773" s="12" t="s">
        <v>2866</v>
      </c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517">
        <v>16.048400000000008</v>
      </c>
      <c r="AW773" s="307"/>
      <c r="AX773" s="307"/>
      <c r="AY773" s="307"/>
      <c r="AZ773" s="307"/>
      <c r="BA773" s="307"/>
      <c r="BB773" s="307"/>
      <c r="BC773" s="307"/>
      <c r="BD773" s="307"/>
      <c r="BE773" s="307"/>
      <c r="BF773" s="307"/>
      <c r="BG773" s="307"/>
      <c r="BH773" s="307"/>
      <c r="BI773" s="307"/>
      <c r="BJ773" s="307"/>
      <c r="BK773" s="307"/>
      <c r="BU773" s="40">
        <f t="shared" si="512"/>
        <v>0</v>
      </c>
      <c r="BV773" s="40">
        <f t="shared" si="522"/>
        <v>0</v>
      </c>
      <c r="BW773" s="40">
        <f t="shared" si="522"/>
        <v>0</v>
      </c>
      <c r="BX773" s="40">
        <f t="shared" si="522"/>
        <v>0</v>
      </c>
      <c r="BY773" s="40">
        <f t="shared" si="522"/>
        <v>0</v>
      </c>
      <c r="BZ773" s="40">
        <f t="shared" si="522"/>
        <v>0</v>
      </c>
      <c r="CA773" s="40">
        <f t="shared" si="522"/>
        <v>0</v>
      </c>
      <c r="CB773" s="40">
        <f t="shared" si="522"/>
        <v>0</v>
      </c>
      <c r="CC773" s="40">
        <f t="shared" si="522"/>
        <v>0</v>
      </c>
      <c r="CD773" s="40">
        <f t="shared" si="522"/>
        <v>0</v>
      </c>
    </row>
    <row r="774" spans="2:91">
      <c r="B774" s="12" t="s">
        <v>1527</v>
      </c>
      <c r="C774" s="12" t="s">
        <v>817</v>
      </c>
      <c r="D774" s="12" t="s">
        <v>2866</v>
      </c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517">
        <v>0.25526731673410002</v>
      </c>
      <c r="AW774" s="517">
        <v>0.30488618088592501</v>
      </c>
      <c r="AX774" s="517">
        <v>0.285389895628128</v>
      </c>
      <c r="AY774" s="517">
        <v>0.26008731591648598</v>
      </c>
      <c r="AZ774" s="517">
        <v>0.32348350847986701</v>
      </c>
      <c r="BA774" s="517">
        <v>29.777125689932234</v>
      </c>
      <c r="BB774" s="517">
        <v>24.3</v>
      </c>
      <c r="BC774" s="517">
        <v>19.100000000000001</v>
      </c>
      <c r="BD774" s="517">
        <v>20.3</v>
      </c>
      <c r="BE774" s="517">
        <v>18.399999999999999</v>
      </c>
      <c r="BF774" s="517">
        <v>19</v>
      </c>
      <c r="BG774" s="517">
        <v>20.399999999999999</v>
      </c>
      <c r="BH774" s="517">
        <v>18.399999999999999</v>
      </c>
      <c r="BI774" s="517">
        <v>21.9</v>
      </c>
      <c r="BJ774" s="457">
        <v>18</v>
      </c>
      <c r="BK774" s="307"/>
      <c r="BU774" s="40">
        <f t="shared" si="512"/>
        <v>0</v>
      </c>
      <c r="BV774" s="40">
        <f t="shared" si="522"/>
        <v>0</v>
      </c>
      <c r="BW774" s="40">
        <f t="shared" si="522"/>
        <v>0</v>
      </c>
      <c r="BX774" s="40">
        <f t="shared" si="522"/>
        <v>0</v>
      </c>
      <c r="BY774" s="40">
        <f t="shared" si="522"/>
        <v>0</v>
      </c>
      <c r="BZ774" s="40">
        <f t="shared" si="522"/>
        <v>0</v>
      </c>
      <c r="CA774" s="40">
        <f t="shared" si="522"/>
        <v>0</v>
      </c>
      <c r="CB774" s="40">
        <f t="shared" si="522"/>
        <v>0</v>
      </c>
      <c r="CC774" s="40">
        <f t="shared" si="522"/>
        <v>0</v>
      </c>
      <c r="CD774" s="40">
        <f t="shared" si="522"/>
        <v>0</v>
      </c>
    </row>
    <row r="775" spans="2:91">
      <c r="AV775" s="285"/>
      <c r="AW775" s="285"/>
      <c r="AX775" s="285"/>
      <c r="AY775" s="285"/>
      <c r="AZ775" s="285"/>
      <c r="BA775" s="285"/>
      <c r="BB775" s="285"/>
      <c r="BC775" s="285"/>
      <c r="BD775" s="285"/>
      <c r="BE775" s="285"/>
      <c r="BH775" s="285"/>
      <c r="BI775" s="285"/>
      <c r="BJ775" s="285"/>
      <c r="BK775" s="285"/>
      <c r="BU775" s="40">
        <f t="shared" si="512"/>
        <v>0</v>
      </c>
      <c r="BV775" s="40">
        <f t="shared" si="522"/>
        <v>0</v>
      </c>
      <c r="BW775" s="40">
        <f t="shared" si="522"/>
        <v>0</v>
      </c>
      <c r="BX775" s="40">
        <f t="shared" si="522"/>
        <v>0</v>
      </c>
      <c r="BY775" s="40">
        <f t="shared" si="522"/>
        <v>0</v>
      </c>
      <c r="BZ775" s="40">
        <f t="shared" si="522"/>
        <v>0</v>
      </c>
      <c r="CA775" s="40">
        <f t="shared" si="522"/>
        <v>0</v>
      </c>
      <c r="CB775" s="40">
        <f t="shared" si="522"/>
        <v>0</v>
      </c>
      <c r="CC775" s="40">
        <f t="shared" si="522"/>
        <v>0</v>
      </c>
      <c r="CD775" s="40">
        <f t="shared" si="522"/>
        <v>0</v>
      </c>
    </row>
    <row r="776" spans="2:91">
      <c r="B776" s="25" t="s">
        <v>4645</v>
      </c>
      <c r="AV776" s="285"/>
      <c r="AW776" s="285"/>
      <c r="AX776" s="285"/>
      <c r="AY776" s="285"/>
      <c r="AZ776" s="285"/>
      <c r="BA776" s="285"/>
      <c r="BB776" s="285"/>
      <c r="BC776" s="285"/>
      <c r="BD776" s="285"/>
      <c r="BE776" s="285"/>
      <c r="BH776" s="285"/>
      <c r="BI776" s="285"/>
      <c r="BJ776" s="285"/>
      <c r="BK776" s="285"/>
      <c r="BU776" s="40">
        <f t="shared" si="512"/>
        <v>0</v>
      </c>
      <c r="BV776" s="40">
        <f t="shared" si="522"/>
        <v>0</v>
      </c>
      <c r="BW776" s="40">
        <f t="shared" si="522"/>
        <v>0</v>
      </c>
      <c r="BX776" s="40">
        <f t="shared" si="522"/>
        <v>0</v>
      </c>
      <c r="BY776" s="40">
        <f t="shared" si="522"/>
        <v>0</v>
      </c>
      <c r="BZ776" s="40">
        <f t="shared" si="522"/>
        <v>0</v>
      </c>
      <c r="CA776" s="40">
        <f t="shared" si="522"/>
        <v>0</v>
      </c>
      <c r="CB776" s="40">
        <f t="shared" si="522"/>
        <v>0</v>
      </c>
      <c r="CC776" s="40">
        <f t="shared" si="522"/>
        <v>0</v>
      </c>
      <c r="CD776" s="40">
        <f t="shared" si="522"/>
        <v>0</v>
      </c>
    </row>
    <row r="777" spans="2:91">
      <c r="B777" s="25" t="s">
        <v>2030</v>
      </c>
      <c r="C777" s="12" t="s">
        <v>2499</v>
      </c>
      <c r="D777" s="1" t="s">
        <v>4088</v>
      </c>
      <c r="AV777" s="517">
        <v>1.5042</v>
      </c>
      <c r="AW777" s="517">
        <v>5.6064999999999996</v>
      </c>
      <c r="AX777" s="517">
        <v>11.340199999999999</v>
      </c>
      <c r="AY777" s="517">
        <v>7.3102</v>
      </c>
      <c r="AZ777" s="517">
        <v>232.8</v>
      </c>
      <c r="BA777" s="517">
        <v>-162.1</v>
      </c>
      <c r="BB777" s="517">
        <v>244</v>
      </c>
      <c r="BC777" s="517">
        <v>20.9</v>
      </c>
      <c r="BD777" s="517">
        <v>103.3</v>
      </c>
      <c r="BE777" s="517">
        <v>25.4</v>
      </c>
      <c r="BF777" s="517">
        <v>-31.7</v>
      </c>
      <c r="BG777" s="517">
        <v>-114.4</v>
      </c>
      <c r="BH777" s="539">
        <v>-239.3</v>
      </c>
      <c r="BI777" s="539">
        <v>221.7</v>
      </c>
      <c r="BJ777" s="539">
        <v>90.5</v>
      </c>
      <c r="BK777" s="285"/>
      <c r="BU777" s="40">
        <f t="shared" si="512"/>
        <v>0</v>
      </c>
      <c r="BV777" s="40">
        <f t="shared" si="522"/>
        <v>0</v>
      </c>
      <c r="BW777" s="40">
        <f t="shared" si="522"/>
        <v>0</v>
      </c>
      <c r="BX777" s="40">
        <f t="shared" si="522"/>
        <v>0</v>
      </c>
      <c r="BY777" s="40">
        <f t="shared" si="522"/>
        <v>0</v>
      </c>
      <c r="BZ777" s="40">
        <f t="shared" si="522"/>
        <v>0</v>
      </c>
      <c r="CA777" s="40">
        <f t="shared" si="522"/>
        <v>0</v>
      </c>
      <c r="CB777" s="40">
        <f t="shared" si="522"/>
        <v>0</v>
      </c>
      <c r="CC777" s="40">
        <f t="shared" si="522"/>
        <v>0</v>
      </c>
      <c r="CD777" s="40">
        <f t="shared" si="522"/>
        <v>0</v>
      </c>
    </row>
    <row r="778" spans="2:91">
      <c r="B778" s="25" t="s">
        <v>2031</v>
      </c>
      <c r="C778" s="12" t="s">
        <v>2499</v>
      </c>
      <c r="AV778" s="517">
        <v>19.6111</v>
      </c>
      <c r="AW778" s="517">
        <v>11.7188</v>
      </c>
      <c r="AX778" s="517">
        <v>14.4863</v>
      </c>
      <c r="AY778" s="517">
        <v>12.5664</v>
      </c>
      <c r="AZ778" s="517">
        <v>3</v>
      </c>
      <c r="BA778" s="517">
        <v>37.200000000000003</v>
      </c>
      <c r="BB778" s="517">
        <v>39.799999999999997</v>
      </c>
      <c r="BC778" s="517">
        <v>77.7</v>
      </c>
      <c r="BD778" s="517">
        <v>23.2</v>
      </c>
      <c r="BE778" s="517">
        <v>54.4</v>
      </c>
      <c r="BF778" s="539">
        <v>52.9</v>
      </c>
      <c r="BG778" s="539">
        <v>141.19999999999999</v>
      </c>
      <c r="BH778" s="539">
        <v>213.5</v>
      </c>
      <c r="BI778" s="539">
        <v>172.3</v>
      </c>
      <c r="BJ778" s="539">
        <v>211.2</v>
      </c>
      <c r="BK778" s="285"/>
      <c r="BU778" s="40">
        <f t="shared" si="512"/>
        <v>0</v>
      </c>
      <c r="BV778" s="40">
        <f t="shared" si="522"/>
        <v>0</v>
      </c>
      <c r="BW778" s="40">
        <f t="shared" si="522"/>
        <v>0</v>
      </c>
      <c r="BX778" s="40">
        <f t="shared" si="522"/>
        <v>0</v>
      </c>
      <c r="BY778" s="40">
        <f t="shared" si="522"/>
        <v>0</v>
      </c>
      <c r="BZ778" s="40">
        <f t="shared" si="522"/>
        <v>0</v>
      </c>
      <c r="CA778" s="40">
        <f t="shared" si="522"/>
        <v>0</v>
      </c>
      <c r="CB778" s="40">
        <f t="shared" si="522"/>
        <v>0</v>
      </c>
      <c r="CC778" s="40">
        <f t="shared" si="522"/>
        <v>0</v>
      </c>
      <c r="CD778" s="40">
        <f t="shared" si="522"/>
        <v>0</v>
      </c>
    </row>
    <row r="779" spans="2:91">
      <c r="B779" s="25" t="s">
        <v>2032</v>
      </c>
      <c r="C779" s="12" t="s">
        <v>2499</v>
      </c>
      <c r="AV779" s="517">
        <v>-3.4489999999999998</v>
      </c>
      <c r="AW779" s="517">
        <v>19.6553</v>
      </c>
      <c r="AX779" s="517">
        <v>14.034000000000001</v>
      </c>
      <c r="AY779" s="517">
        <v>18.1479</v>
      </c>
      <c r="AZ779" s="517">
        <v>-64.599999999999994</v>
      </c>
      <c r="BA779" s="517">
        <v>27.3</v>
      </c>
      <c r="BB779" s="517">
        <v>-142.19999999999999</v>
      </c>
      <c r="BC779" s="517">
        <v>-89.6</v>
      </c>
      <c r="BD779" s="517">
        <v>-64.599999999999994</v>
      </c>
      <c r="BE779" s="517">
        <v>-41.7</v>
      </c>
      <c r="BF779" s="539">
        <v>-89.6</v>
      </c>
      <c r="BG779" s="539">
        <v>-208.2</v>
      </c>
      <c r="BH779" s="539">
        <v>63.7</v>
      </c>
      <c r="BI779" s="539">
        <v>-118.1</v>
      </c>
      <c r="BJ779" s="539">
        <v>4.0999999999999996</v>
      </c>
      <c r="BK779" s="285"/>
      <c r="BU779" s="40">
        <f t="shared" si="512"/>
        <v>0</v>
      </c>
      <c r="BV779" s="40">
        <f t="shared" si="522"/>
        <v>0</v>
      </c>
      <c r="BW779" s="40">
        <f t="shared" si="522"/>
        <v>0</v>
      </c>
      <c r="BX779" s="40">
        <f t="shared" si="522"/>
        <v>0</v>
      </c>
      <c r="BY779" s="40">
        <f t="shared" si="522"/>
        <v>0</v>
      </c>
      <c r="BZ779" s="40">
        <f t="shared" si="522"/>
        <v>0</v>
      </c>
      <c r="CA779" s="40">
        <f t="shared" si="522"/>
        <v>0</v>
      </c>
      <c r="CB779" s="40">
        <f t="shared" si="522"/>
        <v>0</v>
      </c>
      <c r="CC779" s="40">
        <f t="shared" si="522"/>
        <v>0</v>
      </c>
      <c r="CD779" s="40">
        <f t="shared" si="522"/>
        <v>0</v>
      </c>
    </row>
    <row r="780" spans="2:91">
      <c r="B780" s="25" t="s">
        <v>2033</v>
      </c>
      <c r="C780" s="12" t="s">
        <v>2499</v>
      </c>
      <c r="AV780" s="517">
        <v>-1.6178999999999999</v>
      </c>
      <c r="AW780" s="517">
        <v>-24.235299999999999</v>
      </c>
      <c r="AX780" s="517">
        <v>-13.860300000000001</v>
      </c>
      <c r="AY780" s="517">
        <v>5.6409000000000002</v>
      </c>
      <c r="AZ780" s="517">
        <v>-21.1</v>
      </c>
      <c r="BA780" s="517">
        <v>212.9</v>
      </c>
      <c r="BB780" s="517">
        <v>23.1</v>
      </c>
      <c r="BC780" s="517">
        <v>14.2</v>
      </c>
      <c r="BD780" s="517">
        <v>109.5</v>
      </c>
      <c r="BE780" s="517">
        <v>56.3</v>
      </c>
      <c r="BF780" s="517">
        <v>270.2</v>
      </c>
      <c r="BG780" s="539">
        <v>459.7</v>
      </c>
      <c r="BH780" s="539">
        <v>160.4</v>
      </c>
      <c r="BI780" s="539">
        <v>127.9</v>
      </c>
      <c r="BJ780" s="539">
        <v>29</v>
      </c>
      <c r="BK780" s="285"/>
      <c r="BU780" s="40">
        <f t="shared" si="512"/>
        <v>0</v>
      </c>
      <c r="BV780" s="40">
        <f t="shared" si="522"/>
        <v>0</v>
      </c>
      <c r="BW780" s="40">
        <f t="shared" si="522"/>
        <v>0</v>
      </c>
      <c r="BX780" s="40">
        <f t="shared" si="522"/>
        <v>0</v>
      </c>
      <c r="BY780" s="40">
        <f t="shared" si="522"/>
        <v>0</v>
      </c>
      <c r="BZ780" s="40">
        <f t="shared" si="522"/>
        <v>0</v>
      </c>
      <c r="CA780" s="40">
        <f t="shared" si="522"/>
        <v>0</v>
      </c>
      <c r="CB780" s="40">
        <f t="shared" si="522"/>
        <v>0</v>
      </c>
      <c r="CC780" s="40">
        <f t="shared" si="522"/>
        <v>0</v>
      </c>
      <c r="CD780" s="40">
        <f t="shared" si="522"/>
        <v>0</v>
      </c>
    </row>
    <row r="781" spans="2:91">
      <c r="B781" s="25" t="s">
        <v>4089</v>
      </c>
      <c r="C781" s="12" t="s">
        <v>2499</v>
      </c>
      <c r="AV781" s="285">
        <f t="shared" ref="AV781:BJ781" si="523">SUM(AV777:AV780)</f>
        <v>16.048400000000001</v>
      </c>
      <c r="AW781" s="285">
        <f t="shared" si="523"/>
        <v>12.745299999999997</v>
      </c>
      <c r="AX781" s="285">
        <f t="shared" si="523"/>
        <v>26.0002</v>
      </c>
      <c r="AY781" s="285">
        <f t="shared" si="523"/>
        <v>43.665400000000005</v>
      </c>
      <c r="AZ781" s="285">
        <f t="shared" si="523"/>
        <v>150.10000000000002</v>
      </c>
      <c r="BA781" s="285">
        <f t="shared" si="523"/>
        <v>115.30000000000001</v>
      </c>
      <c r="BB781" s="285">
        <f t="shared" si="523"/>
        <v>164.70000000000002</v>
      </c>
      <c r="BC781" s="285">
        <f t="shared" si="523"/>
        <v>23.2</v>
      </c>
      <c r="BD781" s="285">
        <f t="shared" si="523"/>
        <v>171.4</v>
      </c>
      <c r="BE781" s="285">
        <f t="shared" si="523"/>
        <v>94.399999999999991</v>
      </c>
      <c r="BF781" s="285">
        <f t="shared" si="523"/>
        <v>201.8</v>
      </c>
      <c r="BG781" s="285">
        <f t="shared" si="523"/>
        <v>278.29999999999995</v>
      </c>
      <c r="BH781" s="285">
        <f t="shared" si="523"/>
        <v>198.3</v>
      </c>
      <c r="BI781" s="285">
        <f t="shared" si="523"/>
        <v>403.79999999999995</v>
      </c>
      <c r="BJ781" s="285">
        <f t="shared" si="523"/>
        <v>334.8</v>
      </c>
      <c r="BK781" s="285"/>
      <c r="BU781" s="40">
        <f t="shared" si="512"/>
        <v>0</v>
      </c>
      <c r="BV781" s="40">
        <f t="shared" si="522"/>
        <v>0</v>
      </c>
      <c r="BW781" s="40">
        <f t="shared" si="522"/>
        <v>0</v>
      </c>
      <c r="BX781" s="40">
        <f t="shared" si="522"/>
        <v>0</v>
      </c>
      <c r="BY781" s="40">
        <f t="shared" si="522"/>
        <v>0</v>
      </c>
      <c r="BZ781" s="40">
        <f t="shared" si="522"/>
        <v>0</v>
      </c>
      <c r="CA781" s="40">
        <f t="shared" si="522"/>
        <v>0</v>
      </c>
      <c r="CB781" s="40">
        <f t="shared" si="522"/>
        <v>0</v>
      </c>
      <c r="CC781" s="40">
        <f t="shared" si="522"/>
        <v>0</v>
      </c>
      <c r="CD781" s="40">
        <f t="shared" si="522"/>
        <v>0</v>
      </c>
    </row>
    <row r="782" spans="2:91">
      <c r="AV782" s="285"/>
      <c r="AW782" s="285"/>
      <c r="AX782" s="285"/>
      <c r="AY782" s="285"/>
      <c r="AZ782" s="285"/>
      <c r="BA782" s="285"/>
      <c r="BB782" s="285"/>
      <c r="BC782" s="285"/>
      <c r="BD782" s="285"/>
      <c r="BE782" s="285"/>
      <c r="BH782" s="285"/>
      <c r="BI782" s="285"/>
      <c r="BJ782" s="285"/>
      <c r="BK782" s="285"/>
      <c r="BU782" s="40">
        <f t="shared" si="512"/>
        <v>0</v>
      </c>
      <c r="BV782" s="40">
        <f t="shared" ref="BV782:CD782" si="524">BU782</f>
        <v>0</v>
      </c>
      <c r="BW782" s="40">
        <f t="shared" si="524"/>
        <v>0</v>
      </c>
      <c r="BX782" s="40">
        <f t="shared" si="524"/>
        <v>0</v>
      </c>
      <c r="BY782" s="40">
        <f t="shared" si="524"/>
        <v>0</v>
      </c>
      <c r="BZ782" s="40">
        <f t="shared" si="524"/>
        <v>0</v>
      </c>
      <c r="CA782" s="40">
        <f t="shared" si="524"/>
        <v>0</v>
      </c>
      <c r="CB782" s="40">
        <f t="shared" si="524"/>
        <v>0</v>
      </c>
      <c r="CC782" s="40">
        <f t="shared" si="524"/>
        <v>0</v>
      </c>
      <c r="CD782" s="40">
        <f t="shared" si="524"/>
        <v>0</v>
      </c>
    </row>
    <row r="783" spans="2:91">
      <c r="B783" s="25" t="s">
        <v>3153</v>
      </c>
      <c r="C783" s="1" t="s">
        <v>2713</v>
      </c>
      <c r="D783" s="1" t="s">
        <v>503</v>
      </c>
      <c r="AV783" s="285"/>
      <c r="AW783" s="285"/>
      <c r="AX783" s="517">
        <v>160.9</v>
      </c>
      <c r="AY783" s="517">
        <v>123.3</v>
      </c>
      <c r="AZ783" s="517">
        <v>118.66666666666667</v>
      </c>
      <c r="BA783" s="517">
        <v>115.8</v>
      </c>
      <c r="BB783" s="517">
        <v>91.9</v>
      </c>
      <c r="BC783" s="517">
        <v>115.1</v>
      </c>
      <c r="BD783" s="517">
        <v>149.69999999999999</v>
      </c>
      <c r="BE783" s="348">
        <v>152.69399999999999</v>
      </c>
      <c r="BF783" s="348">
        <v>155.74787999999998</v>
      </c>
      <c r="BG783" s="487">
        <v>281</v>
      </c>
      <c r="BH783" s="487">
        <v>318</v>
      </c>
      <c r="BI783" s="487">
        <v>267</v>
      </c>
      <c r="BJ783" s="487">
        <v>280</v>
      </c>
      <c r="BK783" s="348"/>
      <c r="BU783" s="40">
        <f t="shared" si="512"/>
        <v>0</v>
      </c>
      <c r="BV783" s="40">
        <f t="shared" ref="BV783:CD783" si="525">BU783</f>
        <v>0</v>
      </c>
      <c r="BW783" s="40">
        <f t="shared" si="525"/>
        <v>0</v>
      </c>
      <c r="BX783" s="40">
        <f t="shared" si="525"/>
        <v>0</v>
      </c>
      <c r="BY783" s="40">
        <f t="shared" si="525"/>
        <v>0</v>
      </c>
      <c r="BZ783" s="40">
        <f t="shared" si="525"/>
        <v>0</v>
      </c>
      <c r="CA783" s="40">
        <f t="shared" si="525"/>
        <v>0</v>
      </c>
      <c r="CB783" s="40">
        <f t="shared" si="525"/>
        <v>0</v>
      </c>
      <c r="CC783" s="40">
        <f t="shared" si="525"/>
        <v>0</v>
      </c>
      <c r="CD783" s="40">
        <f t="shared" si="525"/>
        <v>0</v>
      </c>
    </row>
    <row r="784" spans="2:91">
      <c r="B784" s="25" t="s">
        <v>1461</v>
      </c>
      <c r="C784" s="1" t="s">
        <v>2713</v>
      </c>
      <c r="D784" s="1" t="s">
        <v>503</v>
      </c>
      <c r="AV784" s="285"/>
      <c r="AW784" s="285"/>
      <c r="AX784" s="517">
        <v>15</v>
      </c>
      <c r="AY784" s="517">
        <v>12.9</v>
      </c>
      <c r="AZ784" s="517">
        <v>26.524999999999999</v>
      </c>
      <c r="BA784" s="517">
        <v>34.677</v>
      </c>
      <c r="BB784" s="517">
        <v>35.034999999999997</v>
      </c>
      <c r="BC784" s="517">
        <v>29.501999999999999</v>
      </c>
      <c r="BD784" s="517">
        <v>38.9</v>
      </c>
      <c r="BE784" s="348">
        <v>38.9</v>
      </c>
      <c r="BF784" s="348">
        <v>38.9</v>
      </c>
      <c r="BG784" s="348">
        <v>39.9</v>
      </c>
      <c r="BH784" s="348">
        <v>40.9</v>
      </c>
      <c r="BI784" s="348">
        <v>41.9</v>
      </c>
      <c r="BJ784" s="348">
        <v>42.9</v>
      </c>
      <c r="BK784" s="348"/>
      <c r="BU784" s="40">
        <f t="shared" si="512"/>
        <v>0</v>
      </c>
      <c r="BV784" s="40">
        <f t="shared" ref="BV784:CD784" si="526">BU784</f>
        <v>0</v>
      </c>
      <c r="BW784" s="40">
        <f t="shared" si="526"/>
        <v>0</v>
      </c>
      <c r="BX784" s="40">
        <f t="shared" si="526"/>
        <v>0</v>
      </c>
      <c r="BY784" s="40">
        <f t="shared" si="526"/>
        <v>0</v>
      </c>
      <c r="BZ784" s="40">
        <f t="shared" si="526"/>
        <v>0</v>
      </c>
      <c r="CA784" s="40">
        <f t="shared" si="526"/>
        <v>0</v>
      </c>
      <c r="CB784" s="40">
        <f t="shared" si="526"/>
        <v>0</v>
      </c>
      <c r="CC784" s="40">
        <f t="shared" si="526"/>
        <v>0</v>
      </c>
      <c r="CD784" s="40">
        <f t="shared" si="526"/>
        <v>0</v>
      </c>
    </row>
    <row r="785" spans="2:91">
      <c r="B785" s="25" t="s">
        <v>2648</v>
      </c>
      <c r="C785" s="1" t="s">
        <v>2713</v>
      </c>
      <c r="D785" s="1" t="s">
        <v>503</v>
      </c>
      <c r="AV785" s="285"/>
      <c r="AW785" s="285"/>
      <c r="AX785" s="285">
        <f t="shared" ref="AX785:BJ785" si="527">0.3*AX787</f>
        <v>15.490065024000002</v>
      </c>
      <c r="AY785" s="285">
        <f t="shared" si="527"/>
        <v>15.887388275999996</v>
      </c>
      <c r="AZ785" s="285">
        <f t="shared" si="527"/>
        <v>16.44421267872</v>
      </c>
      <c r="BA785" s="285">
        <f t="shared" si="527"/>
        <v>11.194792116</v>
      </c>
      <c r="BB785" s="285">
        <f t="shared" si="527"/>
        <v>6.08073560424</v>
      </c>
      <c r="BC785" s="285">
        <f t="shared" si="527"/>
        <v>33.735921395760002</v>
      </c>
      <c r="BD785" s="285">
        <f t="shared" si="527"/>
        <v>38.704044462456778</v>
      </c>
      <c r="BE785" s="285">
        <f t="shared" si="527"/>
        <v>41.803206946920007</v>
      </c>
      <c r="BF785" s="285">
        <f t="shared" si="527"/>
        <v>42.848287120593007</v>
      </c>
      <c r="BG785" s="285">
        <f t="shared" si="527"/>
        <v>43.919494298607823</v>
      </c>
      <c r="BH785" s="285">
        <f t="shared" si="527"/>
        <v>45.017481656073031</v>
      </c>
      <c r="BI785" s="285">
        <f t="shared" si="527"/>
        <v>46.14291869747484</v>
      </c>
      <c r="BJ785" s="285">
        <f t="shared" si="527"/>
        <v>47.296491664911706</v>
      </c>
      <c r="BK785" s="285"/>
      <c r="BU785" s="40">
        <f t="shared" si="512"/>
        <v>0</v>
      </c>
      <c r="BV785" s="40">
        <f t="shared" ref="BV785:CD785" si="528">BU785</f>
        <v>0</v>
      </c>
      <c r="BW785" s="40">
        <f t="shared" si="528"/>
        <v>0</v>
      </c>
      <c r="BX785" s="40">
        <f t="shared" si="528"/>
        <v>0</v>
      </c>
      <c r="BY785" s="40">
        <f t="shared" si="528"/>
        <v>0</v>
      </c>
      <c r="BZ785" s="40">
        <f t="shared" si="528"/>
        <v>0</v>
      </c>
      <c r="CA785" s="40">
        <f t="shared" si="528"/>
        <v>0</v>
      </c>
      <c r="CB785" s="40">
        <f t="shared" si="528"/>
        <v>0</v>
      </c>
      <c r="CC785" s="40">
        <f t="shared" si="528"/>
        <v>0</v>
      </c>
      <c r="CD785" s="40">
        <f t="shared" si="528"/>
        <v>0</v>
      </c>
    </row>
    <row r="786" spans="2:91">
      <c r="B786" s="25" t="s">
        <v>2089</v>
      </c>
      <c r="AV786" s="285"/>
      <c r="AW786" s="285"/>
      <c r="AX786" s="285"/>
      <c r="AY786" s="285"/>
      <c r="AZ786" s="285"/>
      <c r="BA786" s="285"/>
      <c r="BB786" s="285"/>
      <c r="BC786" s="285"/>
      <c r="BD786" s="285"/>
      <c r="BE786" s="285"/>
      <c r="BG786" s="487">
        <v>281</v>
      </c>
      <c r="BH786" s="487">
        <v>336</v>
      </c>
      <c r="BI786" s="487">
        <v>287</v>
      </c>
      <c r="BJ786" s="487">
        <v>306</v>
      </c>
      <c r="BK786" s="285"/>
      <c r="BU786" s="40">
        <f t="shared" si="512"/>
        <v>0</v>
      </c>
      <c r="BV786" s="40">
        <f t="shared" ref="BV786:CD786" si="529">BU786</f>
        <v>0</v>
      </c>
      <c r="BW786" s="40">
        <f t="shared" si="529"/>
        <v>0</v>
      </c>
      <c r="BX786" s="40">
        <f t="shared" si="529"/>
        <v>0</v>
      </c>
      <c r="BY786" s="40">
        <f t="shared" si="529"/>
        <v>0</v>
      </c>
      <c r="BZ786" s="40">
        <f t="shared" si="529"/>
        <v>0</v>
      </c>
      <c r="CA786" s="40">
        <f t="shared" si="529"/>
        <v>0</v>
      </c>
      <c r="CB786" s="40">
        <f t="shared" si="529"/>
        <v>0</v>
      </c>
      <c r="CC786" s="40">
        <f t="shared" si="529"/>
        <v>0</v>
      </c>
      <c r="CD786" s="40">
        <f t="shared" si="529"/>
        <v>0</v>
      </c>
    </row>
    <row r="787" spans="2:91">
      <c r="B787" s="25" t="s">
        <v>2560</v>
      </c>
      <c r="C787" s="1" t="s">
        <v>2713</v>
      </c>
      <c r="D787" s="1" t="s">
        <v>503</v>
      </c>
      <c r="AV787" s="285"/>
      <c r="AW787" s="285"/>
      <c r="AX787" s="517">
        <v>51.633550080000006</v>
      </c>
      <c r="AY787" s="517">
        <v>52.957960919999991</v>
      </c>
      <c r="AZ787" s="517">
        <v>54.814042262400001</v>
      </c>
      <c r="BA787" s="517">
        <v>37.315973720000002</v>
      </c>
      <c r="BB787" s="517">
        <v>20.269118680800002</v>
      </c>
      <c r="BC787" s="517">
        <v>112.45307131920002</v>
      </c>
      <c r="BD787" s="517">
        <v>129.01348154152259</v>
      </c>
      <c r="BE787" s="348">
        <v>139.34402315640003</v>
      </c>
      <c r="BF787" s="348">
        <v>142.82762373531003</v>
      </c>
      <c r="BG787" s="348">
        <v>146.39831432869275</v>
      </c>
      <c r="BH787" s="348">
        <v>150.0582721869101</v>
      </c>
      <c r="BI787" s="348">
        <v>153.8097289915828</v>
      </c>
      <c r="BJ787" s="348">
        <v>157.65497221637236</v>
      </c>
      <c r="BK787" s="348"/>
      <c r="BU787" s="40">
        <f t="shared" si="512"/>
        <v>0</v>
      </c>
      <c r="BV787" s="40">
        <f t="shared" ref="BV787:CD787" si="530">BU787</f>
        <v>0</v>
      </c>
      <c r="BW787" s="40">
        <f t="shared" si="530"/>
        <v>0</v>
      </c>
      <c r="BX787" s="40">
        <f t="shared" si="530"/>
        <v>0</v>
      </c>
      <c r="BY787" s="40">
        <f t="shared" si="530"/>
        <v>0</v>
      </c>
      <c r="BZ787" s="40">
        <f t="shared" si="530"/>
        <v>0</v>
      </c>
      <c r="CA787" s="40">
        <f t="shared" si="530"/>
        <v>0</v>
      </c>
      <c r="CB787" s="40">
        <f t="shared" si="530"/>
        <v>0</v>
      </c>
      <c r="CC787" s="40">
        <f t="shared" si="530"/>
        <v>0</v>
      </c>
      <c r="CD787" s="40">
        <f t="shared" si="530"/>
        <v>0</v>
      </c>
    </row>
    <row r="788" spans="2:91">
      <c r="B788" s="25" t="s">
        <v>2453</v>
      </c>
      <c r="AV788" s="285"/>
      <c r="AW788" s="285"/>
      <c r="AX788" s="285"/>
      <c r="AY788" s="285"/>
      <c r="AZ788" s="285"/>
      <c r="BA788" s="285"/>
      <c r="BB788" s="285"/>
      <c r="BC788" s="285"/>
      <c r="BD788" s="285"/>
      <c r="BE788" s="285"/>
      <c r="BG788" s="487">
        <v>563</v>
      </c>
      <c r="BH788" s="487">
        <v>717</v>
      </c>
      <c r="BI788" s="487">
        <v>688</v>
      </c>
      <c r="BJ788" s="487">
        <v>726</v>
      </c>
      <c r="BK788" s="285"/>
      <c r="BU788" s="40">
        <f t="shared" si="512"/>
        <v>0</v>
      </c>
      <c r="BV788" s="40">
        <f t="shared" ref="BV788:CD788" si="531">BU788</f>
        <v>0</v>
      </c>
      <c r="BW788" s="40">
        <f t="shared" si="531"/>
        <v>0</v>
      </c>
      <c r="BX788" s="40">
        <f t="shared" si="531"/>
        <v>0</v>
      </c>
      <c r="BY788" s="40">
        <f t="shared" si="531"/>
        <v>0</v>
      </c>
      <c r="BZ788" s="40">
        <f t="shared" si="531"/>
        <v>0</v>
      </c>
      <c r="CA788" s="40">
        <f t="shared" si="531"/>
        <v>0</v>
      </c>
      <c r="CB788" s="40">
        <f t="shared" si="531"/>
        <v>0</v>
      </c>
      <c r="CC788" s="40">
        <f t="shared" si="531"/>
        <v>0</v>
      </c>
      <c r="CD788" s="40">
        <f t="shared" si="531"/>
        <v>0</v>
      </c>
    </row>
    <row r="789" spans="2:91">
      <c r="AV789" s="285"/>
      <c r="AW789" s="285"/>
      <c r="AX789" s="285"/>
      <c r="AY789" s="285"/>
      <c r="AZ789" s="285"/>
      <c r="BA789" s="285"/>
      <c r="BB789" s="285"/>
      <c r="BC789" s="285"/>
      <c r="BD789" s="285"/>
      <c r="BE789" s="285"/>
      <c r="BH789" s="285"/>
      <c r="BI789" s="285"/>
      <c r="BJ789" s="285"/>
      <c r="BK789" s="285"/>
      <c r="BU789" s="40">
        <f t="shared" si="512"/>
        <v>0</v>
      </c>
      <c r="BV789" s="40">
        <f t="shared" ref="BV789:CD789" si="532">BU789</f>
        <v>0</v>
      </c>
      <c r="BW789" s="40">
        <f t="shared" si="532"/>
        <v>0</v>
      </c>
      <c r="BX789" s="40">
        <f t="shared" si="532"/>
        <v>0</v>
      </c>
      <c r="BY789" s="40">
        <f t="shared" si="532"/>
        <v>0</v>
      </c>
      <c r="BZ789" s="40">
        <f t="shared" si="532"/>
        <v>0</v>
      </c>
      <c r="CA789" s="40">
        <f t="shared" si="532"/>
        <v>0</v>
      </c>
      <c r="CB789" s="40">
        <f t="shared" si="532"/>
        <v>0</v>
      </c>
      <c r="CC789" s="40">
        <f t="shared" si="532"/>
        <v>0</v>
      </c>
      <c r="CD789" s="40">
        <f t="shared" si="532"/>
        <v>0</v>
      </c>
    </row>
    <row r="790" spans="2:91">
      <c r="B790" s="238" t="s">
        <v>4194</v>
      </c>
      <c r="AV790" s="285"/>
      <c r="AW790" s="285"/>
      <c r="AX790" s="285"/>
      <c r="AY790" s="285"/>
      <c r="AZ790" s="285"/>
      <c r="BA790" s="285"/>
      <c r="BB790" s="285"/>
      <c r="BC790" s="285"/>
      <c r="BD790" s="285"/>
      <c r="BE790" s="285"/>
      <c r="BH790" s="285"/>
      <c r="BI790" s="285"/>
      <c r="BJ790" s="285"/>
      <c r="BK790" s="285"/>
      <c r="BU790" s="40">
        <f t="shared" si="512"/>
        <v>0</v>
      </c>
      <c r="BV790" s="40">
        <f t="shared" ref="BV790:CD790" si="533">BU790</f>
        <v>0</v>
      </c>
      <c r="BW790" s="40">
        <f t="shared" si="533"/>
        <v>0</v>
      </c>
      <c r="BX790" s="40">
        <f t="shared" si="533"/>
        <v>0</v>
      </c>
      <c r="BY790" s="40">
        <f t="shared" si="533"/>
        <v>0</v>
      </c>
      <c r="BZ790" s="40">
        <f t="shared" si="533"/>
        <v>0</v>
      </c>
      <c r="CA790" s="40">
        <f t="shared" si="533"/>
        <v>0</v>
      </c>
      <c r="CB790" s="40">
        <f t="shared" si="533"/>
        <v>0</v>
      </c>
      <c r="CC790" s="40">
        <f t="shared" si="533"/>
        <v>0</v>
      </c>
      <c r="CD790" s="40">
        <f t="shared" si="533"/>
        <v>0</v>
      </c>
    </row>
    <row r="791" spans="2:91">
      <c r="B791" s="118" t="s">
        <v>4098</v>
      </c>
      <c r="AV791" s="348">
        <v>-6</v>
      </c>
      <c r="AW791" s="285"/>
      <c r="AX791" s="285"/>
      <c r="AY791" s="285"/>
      <c r="AZ791" s="285"/>
      <c r="BA791" s="285"/>
      <c r="BB791" s="285"/>
      <c r="BC791" s="285"/>
      <c r="BD791" s="285"/>
      <c r="BE791" s="285"/>
      <c r="BH791" s="285"/>
      <c r="BI791" s="285"/>
      <c r="BJ791" s="285"/>
      <c r="BK791" s="285"/>
      <c r="BU791" s="40">
        <f t="shared" si="512"/>
        <v>0</v>
      </c>
      <c r="BV791" s="40">
        <f t="shared" ref="BV791:CD791" si="534">BU791</f>
        <v>0</v>
      </c>
      <c r="BW791" s="40">
        <f t="shared" si="534"/>
        <v>0</v>
      </c>
      <c r="BX791" s="40">
        <f t="shared" si="534"/>
        <v>0</v>
      </c>
      <c r="BY791" s="40">
        <f t="shared" si="534"/>
        <v>0</v>
      </c>
      <c r="BZ791" s="40">
        <f t="shared" si="534"/>
        <v>0</v>
      </c>
      <c r="CA791" s="40">
        <f t="shared" si="534"/>
        <v>0</v>
      </c>
      <c r="CB791" s="40">
        <f t="shared" si="534"/>
        <v>0</v>
      </c>
      <c r="CC791" s="40">
        <f t="shared" si="534"/>
        <v>0</v>
      </c>
      <c r="CD791" s="40">
        <f t="shared" si="534"/>
        <v>0</v>
      </c>
    </row>
    <row r="792" spans="2:91">
      <c r="AV792" s="285"/>
      <c r="AW792" s="285"/>
      <c r="AX792" s="285"/>
      <c r="AY792" s="285"/>
      <c r="AZ792" s="285"/>
      <c r="BA792" s="285"/>
      <c r="BB792" s="285"/>
      <c r="BC792" s="285"/>
      <c r="BD792" s="285"/>
      <c r="BE792" s="285"/>
      <c r="BH792" s="285"/>
      <c r="BI792" s="285"/>
      <c r="BJ792" s="285"/>
      <c r="BK792" s="285"/>
      <c r="BL792" s="150">
        <f>128881012.7/1000000</f>
        <v>128.88101270000001</v>
      </c>
      <c r="BU792" s="40">
        <f t="shared" si="512"/>
        <v>0</v>
      </c>
      <c r="BV792" s="40">
        <f t="shared" ref="BV792:CD792" si="535">BU792</f>
        <v>0</v>
      </c>
      <c r="BW792" s="40">
        <f t="shared" si="535"/>
        <v>0</v>
      </c>
      <c r="BX792" s="40">
        <f t="shared" si="535"/>
        <v>0</v>
      </c>
      <c r="BY792" s="40">
        <f t="shared" si="535"/>
        <v>0</v>
      </c>
      <c r="BZ792" s="40">
        <f t="shared" si="535"/>
        <v>0</v>
      </c>
      <c r="CA792" s="40">
        <f t="shared" si="535"/>
        <v>0</v>
      </c>
      <c r="CB792" s="40">
        <f t="shared" si="535"/>
        <v>0</v>
      </c>
      <c r="CC792" s="40">
        <f t="shared" si="535"/>
        <v>0</v>
      </c>
      <c r="CD792" s="40">
        <f t="shared" si="535"/>
        <v>0</v>
      </c>
    </row>
    <row r="793" spans="2:91" s="410" customFormat="1">
      <c r="B793" s="511" t="s">
        <v>181</v>
      </c>
      <c r="C793" s="511"/>
      <c r="D793" s="511"/>
      <c r="E793" s="511"/>
      <c r="F793" s="511"/>
      <c r="G793" s="511"/>
      <c r="H793" s="511"/>
      <c r="I793" s="511"/>
      <c r="J793" s="511"/>
      <c r="K793" s="511"/>
      <c r="L793" s="511"/>
      <c r="M793" s="511"/>
      <c r="N793" s="511"/>
      <c r="O793" s="511"/>
      <c r="P793" s="511"/>
      <c r="Q793" s="511"/>
      <c r="R793" s="511"/>
      <c r="S793" s="511"/>
      <c r="T793" s="511"/>
      <c r="U793" s="511"/>
      <c r="V793" s="511"/>
      <c r="W793" s="511"/>
      <c r="X793" s="511"/>
      <c r="Y793" s="511"/>
      <c r="Z793" s="511"/>
      <c r="AA793" s="511"/>
      <c r="AB793" s="511"/>
      <c r="AC793" s="511"/>
      <c r="AD793" s="511"/>
      <c r="AE793" s="511"/>
      <c r="AF793" s="511"/>
      <c r="AG793" s="511"/>
      <c r="AH793" s="511"/>
      <c r="AI793" s="511"/>
      <c r="AJ793" s="511"/>
      <c r="AK793" s="511"/>
      <c r="AL793" s="511"/>
      <c r="AM793" s="511"/>
      <c r="AN793" s="511"/>
      <c r="AO793" s="511"/>
      <c r="AP793" s="511"/>
      <c r="AQ793" s="511"/>
      <c r="AR793" s="511"/>
      <c r="AS793" s="511"/>
      <c r="AT793" s="511"/>
      <c r="AU793" s="511"/>
      <c r="AV793" s="512"/>
      <c r="AW793" s="512"/>
      <c r="AX793" s="512"/>
      <c r="AY793" s="465"/>
      <c r="AZ793" s="465"/>
      <c r="BA793" s="465"/>
      <c r="BB793" s="465"/>
      <c r="BC793" s="465"/>
      <c r="BD793" s="465"/>
      <c r="BE793" s="465"/>
      <c r="BF793" s="465"/>
      <c r="BG793" s="465"/>
      <c r="BH793" s="465"/>
      <c r="BI793" s="465"/>
      <c r="BJ793" s="465"/>
      <c r="BK793" s="465"/>
      <c r="BU793" s="40">
        <f t="shared" si="512"/>
        <v>0</v>
      </c>
      <c r="BV793" s="40">
        <f t="shared" ref="BV793:CD793" si="536">BU793</f>
        <v>0</v>
      </c>
      <c r="BW793" s="40">
        <f t="shared" si="536"/>
        <v>0</v>
      </c>
      <c r="BX793" s="40">
        <f t="shared" si="536"/>
        <v>0</v>
      </c>
      <c r="BY793" s="40">
        <f t="shared" si="536"/>
        <v>0</v>
      </c>
      <c r="BZ793" s="40">
        <f t="shared" si="536"/>
        <v>0</v>
      </c>
      <c r="CA793" s="40">
        <f t="shared" si="536"/>
        <v>0</v>
      </c>
      <c r="CB793" s="40">
        <f t="shared" si="536"/>
        <v>0</v>
      </c>
      <c r="CC793" s="40">
        <f t="shared" si="536"/>
        <v>0</v>
      </c>
      <c r="CD793" s="40">
        <f t="shared" si="536"/>
        <v>0</v>
      </c>
    </row>
    <row r="794" spans="2:91">
      <c r="AV794" s="285"/>
      <c r="AW794" s="285"/>
      <c r="AX794" s="285"/>
      <c r="AY794" s="285"/>
      <c r="AZ794" s="285"/>
      <c r="BA794" s="285"/>
      <c r="BB794" s="285"/>
      <c r="BC794" s="285"/>
      <c r="BD794" s="285"/>
      <c r="BE794" s="285"/>
      <c r="BG794" s="722">
        <v>-213.12180000000001</v>
      </c>
      <c r="BH794" s="285"/>
      <c r="BI794" s="285"/>
      <c r="BJ794" s="285"/>
      <c r="BK794" s="285"/>
      <c r="BU794" s="40">
        <f t="shared" si="512"/>
        <v>0</v>
      </c>
      <c r="BV794" s="40">
        <f t="shared" ref="BV794:CD794" si="537">BU794</f>
        <v>0</v>
      </c>
      <c r="BW794" s="40">
        <f t="shared" si="537"/>
        <v>0</v>
      </c>
      <c r="BX794" s="40">
        <f t="shared" si="537"/>
        <v>0</v>
      </c>
      <c r="BY794" s="40">
        <f t="shared" si="537"/>
        <v>0</v>
      </c>
      <c r="BZ794" s="40">
        <f t="shared" si="537"/>
        <v>0</v>
      </c>
      <c r="CA794" s="40">
        <f t="shared" si="537"/>
        <v>0</v>
      </c>
      <c r="CB794" s="40">
        <f t="shared" si="537"/>
        <v>0</v>
      </c>
      <c r="CC794" s="40">
        <f t="shared" si="537"/>
        <v>0</v>
      </c>
      <c r="CD794" s="40">
        <f t="shared" si="537"/>
        <v>0</v>
      </c>
    </row>
    <row r="795" spans="2:91">
      <c r="B795" s="238" t="s">
        <v>3097</v>
      </c>
      <c r="C795" s="4"/>
      <c r="D795" s="1" t="s">
        <v>4195</v>
      </c>
      <c r="AV795" s="285">
        <v>73</v>
      </c>
      <c r="AW795" s="285">
        <v>45</v>
      </c>
      <c r="AX795" s="285">
        <v>40</v>
      </c>
      <c r="AY795" s="285">
        <v>24</v>
      </c>
      <c r="AZ795" s="285">
        <v>14</v>
      </c>
      <c r="BA795" s="285">
        <v>13.9</v>
      </c>
      <c r="BB795" s="464">
        <v>16</v>
      </c>
      <c r="BC795" s="464">
        <v>15</v>
      </c>
      <c r="BD795" s="464">
        <v>130</v>
      </c>
      <c r="BE795" s="464">
        <v>163</v>
      </c>
      <c r="BF795" s="464">
        <v>109</v>
      </c>
      <c r="BG795" s="464">
        <v>31.36</v>
      </c>
      <c r="BH795" s="285">
        <v>86</v>
      </c>
      <c r="BI795" s="285">
        <v>18</v>
      </c>
      <c r="BJ795" s="285">
        <v>7.8940809999999999</v>
      </c>
      <c r="BK795" s="285">
        <v>3.3</v>
      </c>
      <c r="BL795" s="467">
        <v>8.6</v>
      </c>
      <c r="BM795" s="467">
        <v>2.2999999999999998</v>
      </c>
      <c r="BN795" s="905">
        <v>3.2</v>
      </c>
      <c r="BO795" s="905">
        <v>104.1</v>
      </c>
      <c r="BP795" s="905">
        <v>117.6</v>
      </c>
      <c r="BQ795" s="905">
        <v>19.2</v>
      </c>
      <c r="BR795" s="905">
        <v>30.6</v>
      </c>
      <c r="BS795" s="905">
        <v>30.7</v>
      </c>
      <c r="BT795" s="905">
        <v>0.4</v>
      </c>
      <c r="BU795" s="40">
        <f t="shared" si="512"/>
        <v>0.4</v>
      </c>
      <c r="BV795" s="40">
        <f t="shared" ref="BV795:CD795" si="538">BU795</f>
        <v>0.4</v>
      </c>
      <c r="BW795" s="40">
        <f t="shared" si="538"/>
        <v>0.4</v>
      </c>
      <c r="BX795" s="40">
        <f t="shared" si="538"/>
        <v>0.4</v>
      </c>
      <c r="BY795" s="40">
        <f t="shared" si="538"/>
        <v>0.4</v>
      </c>
      <c r="BZ795" s="40">
        <f t="shared" si="538"/>
        <v>0.4</v>
      </c>
      <c r="CA795" s="40">
        <f t="shared" si="538"/>
        <v>0.4</v>
      </c>
      <c r="CB795" s="40">
        <f t="shared" si="538"/>
        <v>0.4</v>
      </c>
      <c r="CC795" s="40">
        <f t="shared" si="538"/>
        <v>0.4</v>
      </c>
      <c r="CD795" s="40">
        <f t="shared" si="538"/>
        <v>0.4</v>
      </c>
      <c r="CM795" s="1">
        <v>96.736749000000003</v>
      </c>
    </row>
    <row r="796" spans="2:91">
      <c r="B796" s="238" t="s">
        <v>2554</v>
      </c>
      <c r="C796" s="4"/>
      <c r="D796" s="1" t="s">
        <v>4195</v>
      </c>
      <c r="AV796" s="285"/>
      <c r="AW796" s="285"/>
      <c r="AX796" s="285"/>
      <c r="AY796" s="285"/>
      <c r="AZ796" s="285"/>
      <c r="BA796" s="285">
        <v>7</v>
      </c>
      <c r="BB796" s="285"/>
      <c r="BC796" s="285"/>
      <c r="BD796" s="285"/>
      <c r="BE796" s="285"/>
      <c r="BG796" s="722"/>
      <c r="BH796" s="722"/>
      <c r="BI796" s="285"/>
      <c r="BJ796" s="285"/>
      <c r="BK796" s="285"/>
      <c r="BU796" s="40">
        <f t="shared" si="512"/>
        <v>0</v>
      </c>
      <c r="BV796" s="40">
        <f t="shared" ref="BV796:CD796" si="539">BU796</f>
        <v>0</v>
      </c>
      <c r="BW796" s="40">
        <f t="shared" si="539"/>
        <v>0</v>
      </c>
      <c r="BX796" s="40">
        <f t="shared" si="539"/>
        <v>0</v>
      </c>
      <c r="BY796" s="40">
        <f t="shared" si="539"/>
        <v>0</v>
      </c>
      <c r="BZ796" s="40">
        <f t="shared" si="539"/>
        <v>0</v>
      </c>
      <c r="CA796" s="40">
        <f t="shared" si="539"/>
        <v>0</v>
      </c>
      <c r="CB796" s="40">
        <f t="shared" si="539"/>
        <v>0</v>
      </c>
      <c r="CC796" s="40">
        <f t="shared" si="539"/>
        <v>0</v>
      </c>
      <c r="CD796" s="40">
        <f t="shared" si="539"/>
        <v>0</v>
      </c>
    </row>
    <row r="797" spans="2:91">
      <c r="B797" s="238" t="s">
        <v>2555</v>
      </c>
      <c r="C797" s="4"/>
      <c r="AV797" s="285"/>
      <c r="AW797" s="285"/>
      <c r="AX797" s="285"/>
      <c r="AY797" s="285"/>
      <c r="AZ797" s="285"/>
      <c r="BA797" s="285"/>
      <c r="BB797" s="285"/>
      <c r="BC797" s="285"/>
      <c r="BD797" s="285"/>
      <c r="BE797" s="285"/>
      <c r="BG797" s="870"/>
      <c r="BH797" s="285"/>
      <c r="BI797" s="285"/>
      <c r="BJ797" s="285"/>
      <c r="BK797" s="285"/>
      <c r="BU797" s="40">
        <f t="shared" si="512"/>
        <v>0</v>
      </c>
      <c r="BV797" s="40">
        <f t="shared" ref="BV797:CD797" si="540">BU797</f>
        <v>0</v>
      </c>
      <c r="BW797" s="40">
        <f t="shared" si="540"/>
        <v>0</v>
      </c>
      <c r="BX797" s="40">
        <f t="shared" si="540"/>
        <v>0</v>
      </c>
      <c r="BY797" s="40">
        <f t="shared" si="540"/>
        <v>0</v>
      </c>
      <c r="BZ797" s="40">
        <f t="shared" si="540"/>
        <v>0</v>
      </c>
      <c r="CA797" s="40">
        <f t="shared" si="540"/>
        <v>0</v>
      </c>
      <c r="CB797" s="40">
        <f t="shared" si="540"/>
        <v>0</v>
      </c>
      <c r="CC797" s="40">
        <f t="shared" si="540"/>
        <v>0</v>
      </c>
      <c r="CD797" s="40">
        <f t="shared" si="540"/>
        <v>0</v>
      </c>
    </row>
    <row r="798" spans="2:91">
      <c r="B798" s="238" t="s">
        <v>1780</v>
      </c>
      <c r="C798" s="4"/>
      <c r="D798" s="1" t="s">
        <v>4195</v>
      </c>
      <c r="AV798" s="285">
        <v>52.7</v>
      </c>
      <c r="AW798" s="285">
        <v>28.7</v>
      </c>
      <c r="AX798" s="285">
        <v>9</v>
      </c>
      <c r="AY798" s="285">
        <v>8.06</v>
      </c>
      <c r="AZ798" s="285">
        <v>19.510000000000002</v>
      </c>
      <c r="BA798" s="285">
        <v>39.78</v>
      </c>
      <c r="BB798" s="285">
        <v>26.7</v>
      </c>
      <c r="BC798" s="285">
        <v>27.39</v>
      </c>
      <c r="BD798" s="464">
        <v>37</v>
      </c>
      <c r="BE798" s="464">
        <v>65</v>
      </c>
      <c r="BF798" s="464">
        <v>72.2</v>
      </c>
      <c r="BG798" s="517">
        <f>BG979/1000</f>
        <v>62.756</v>
      </c>
      <c r="BH798" s="517">
        <f t="shared" ref="BH798:BR798" si="541">BH979/1000</f>
        <v>65.569999999999993</v>
      </c>
      <c r="BI798" s="517">
        <f t="shared" si="541"/>
        <v>135</v>
      </c>
      <c r="BJ798" s="517">
        <v>110</v>
      </c>
      <c r="BK798" s="517">
        <v>221</v>
      </c>
      <c r="BL798" s="517">
        <f t="shared" si="541"/>
        <v>469.87799999999999</v>
      </c>
      <c r="BM798" s="517">
        <f t="shared" si="541"/>
        <v>282.39999999999998</v>
      </c>
      <c r="BN798" s="517">
        <f t="shared" si="541"/>
        <v>452.2</v>
      </c>
      <c r="BO798" s="517">
        <f t="shared" si="541"/>
        <v>206.32</v>
      </c>
      <c r="BP798" s="517">
        <f t="shared" si="541"/>
        <v>220.90600000000001</v>
      </c>
      <c r="BQ798" s="517">
        <f t="shared" si="541"/>
        <v>270.161</v>
      </c>
      <c r="BR798" s="517">
        <f t="shared" si="541"/>
        <v>273.26799999999997</v>
      </c>
      <c r="BS798" s="517"/>
      <c r="BT798" s="517"/>
      <c r="BU798" s="40">
        <f t="shared" si="512"/>
        <v>0</v>
      </c>
      <c r="BV798" s="40">
        <f t="shared" ref="BV798:CD798" si="542">BU798</f>
        <v>0</v>
      </c>
      <c r="BW798" s="40">
        <f t="shared" si="542"/>
        <v>0</v>
      </c>
      <c r="BX798" s="40">
        <f t="shared" si="542"/>
        <v>0</v>
      </c>
      <c r="BY798" s="40">
        <f t="shared" si="542"/>
        <v>0</v>
      </c>
      <c r="BZ798" s="40">
        <f t="shared" si="542"/>
        <v>0</v>
      </c>
      <c r="CA798" s="40">
        <f t="shared" si="542"/>
        <v>0</v>
      </c>
      <c r="CB798" s="40">
        <f t="shared" si="542"/>
        <v>0</v>
      </c>
      <c r="CC798" s="40">
        <f t="shared" si="542"/>
        <v>0</v>
      </c>
      <c r="CD798" s="40">
        <f t="shared" si="542"/>
        <v>0</v>
      </c>
      <c r="CM798" s="517">
        <f>CM979/1000</f>
        <v>253.65100000000001</v>
      </c>
    </row>
    <row r="799" spans="2:91">
      <c r="B799" s="238" t="s">
        <v>3572</v>
      </c>
      <c r="C799" s="1" t="s">
        <v>2713</v>
      </c>
      <c r="D799" s="1" t="s">
        <v>4195</v>
      </c>
      <c r="AV799" s="871"/>
      <c r="AW799" s="285"/>
      <c r="AX799" s="871"/>
      <c r="AY799" s="285"/>
      <c r="AZ799" s="285"/>
      <c r="BA799" s="285"/>
      <c r="BB799" s="285"/>
      <c r="BC799" s="285">
        <v>87</v>
      </c>
      <c r="BD799" s="285">
        <f>105.8+15</f>
        <v>120.8</v>
      </c>
      <c r="BE799" s="464">
        <f>28.28517299+10</f>
        <v>38.28517299</v>
      </c>
      <c r="BF799" s="464">
        <f>28.03+10</f>
        <v>38.03</v>
      </c>
      <c r="BG799" s="517">
        <f>34.949963+10</f>
        <v>44.949962999999997</v>
      </c>
      <c r="BH799" s="517">
        <f>76.897013+10</f>
        <v>86.897013000000001</v>
      </c>
      <c r="BI799" s="285">
        <f>BI857+10</f>
        <v>78.912999999999997</v>
      </c>
      <c r="BJ799" s="285">
        <f>BJ857+12.5</f>
        <v>69.5</v>
      </c>
      <c r="BK799" s="285">
        <f>BK857+12.5</f>
        <v>107.67400000000001</v>
      </c>
      <c r="BL799" s="820">
        <f>128881012.7/1000000</f>
        <v>128.88101270000001</v>
      </c>
      <c r="BM799" s="1">
        <f>147458555/1000000</f>
        <v>147.45855499999999</v>
      </c>
      <c r="BN799" s="423">
        <v>117.30934000000001</v>
      </c>
      <c r="BO799" s="423">
        <f>BN799</f>
        <v>117.30934000000001</v>
      </c>
      <c r="BP799" s="423">
        <f>BO799</f>
        <v>117.30934000000001</v>
      </c>
      <c r="BQ799" s="285">
        <v>90</v>
      </c>
      <c r="BR799" s="285">
        <v>90</v>
      </c>
      <c r="BS799" s="285">
        <v>90</v>
      </c>
      <c r="BT799" s="285">
        <v>90</v>
      </c>
      <c r="BU799" s="40">
        <f t="shared" si="512"/>
        <v>90</v>
      </c>
      <c r="BV799" s="40">
        <f t="shared" ref="BV799:CD799" si="543">BU799</f>
        <v>90</v>
      </c>
      <c r="BW799" s="40">
        <f t="shared" si="543"/>
        <v>90</v>
      </c>
      <c r="BX799" s="40">
        <f t="shared" si="543"/>
        <v>90</v>
      </c>
      <c r="BY799" s="40">
        <f t="shared" si="543"/>
        <v>90</v>
      </c>
      <c r="BZ799" s="40">
        <f t="shared" si="543"/>
        <v>90</v>
      </c>
      <c r="CA799" s="40">
        <f t="shared" si="543"/>
        <v>90</v>
      </c>
      <c r="CB799" s="40">
        <f t="shared" si="543"/>
        <v>90</v>
      </c>
      <c r="CC799" s="40">
        <f t="shared" si="543"/>
        <v>90</v>
      </c>
      <c r="CD799" s="40">
        <f t="shared" si="543"/>
        <v>90</v>
      </c>
      <c r="CM799" s="285">
        <f>CM857</f>
        <v>141.191</v>
      </c>
    </row>
    <row r="800" spans="2:91">
      <c r="B800" s="238" t="s">
        <v>1781</v>
      </c>
      <c r="C800" s="4"/>
      <c r="AV800" s="871"/>
      <c r="AW800" s="285"/>
      <c r="AX800" s="871"/>
      <c r="AY800" s="285"/>
      <c r="AZ800" s="285"/>
      <c r="BA800" s="285"/>
      <c r="BB800" s="285"/>
      <c r="BC800" s="285"/>
      <c r="BD800" s="285"/>
      <c r="BE800" s="285"/>
      <c r="BH800" s="285"/>
      <c r="BI800" s="285"/>
      <c r="BJ800" s="285"/>
      <c r="BK800" s="285"/>
      <c r="BU800" s="40">
        <f t="shared" si="512"/>
        <v>0</v>
      </c>
      <c r="BV800" s="40">
        <f t="shared" ref="BV800:CD800" si="544">BU800</f>
        <v>0</v>
      </c>
      <c r="BW800" s="40">
        <f t="shared" si="544"/>
        <v>0</v>
      </c>
      <c r="BX800" s="40">
        <f t="shared" si="544"/>
        <v>0</v>
      </c>
      <c r="BY800" s="40">
        <f t="shared" si="544"/>
        <v>0</v>
      </c>
      <c r="BZ800" s="40">
        <f t="shared" si="544"/>
        <v>0</v>
      </c>
      <c r="CA800" s="40">
        <f t="shared" si="544"/>
        <v>0</v>
      </c>
      <c r="CB800" s="40">
        <f t="shared" si="544"/>
        <v>0</v>
      </c>
      <c r="CC800" s="40">
        <f t="shared" si="544"/>
        <v>0</v>
      </c>
      <c r="CD800" s="40">
        <f t="shared" si="544"/>
        <v>0</v>
      </c>
    </row>
    <row r="801" spans="2:91">
      <c r="B801" s="238" t="s">
        <v>2167</v>
      </c>
      <c r="C801" s="4"/>
      <c r="D801" s="1" t="s">
        <v>4195</v>
      </c>
      <c r="AV801" s="285"/>
      <c r="AW801" s="285"/>
      <c r="AX801" s="285"/>
      <c r="AY801" s="285"/>
      <c r="AZ801" s="285"/>
      <c r="BA801" s="285"/>
      <c r="BB801" s="285">
        <v>4.0999999999999996</v>
      </c>
      <c r="BC801" s="285"/>
      <c r="BD801" s="285">
        <v>2.1</v>
      </c>
      <c r="BE801" s="285"/>
      <c r="BF801" s="285">
        <v>0.66711600000000004</v>
      </c>
      <c r="BG801" s="285">
        <f>23.07206/2.75</f>
        <v>8.3898399999999995</v>
      </c>
      <c r="BH801" s="285">
        <f>29.1091/2.75</f>
        <v>10.585127272727274</v>
      </c>
      <c r="BI801" s="285">
        <f>30.66895/2.75</f>
        <v>11.152345454545454</v>
      </c>
      <c r="BJ801" s="285">
        <v>49.5</v>
      </c>
      <c r="BK801" s="285">
        <f>BJ801</f>
        <v>49.5</v>
      </c>
      <c r="BL801" s="1">
        <f>BK801</f>
        <v>49.5</v>
      </c>
      <c r="BM801" s="1">
        <f t="shared" ref="BM801:BT802" si="545">BL801</f>
        <v>49.5</v>
      </c>
      <c r="BN801" s="1">
        <f t="shared" si="545"/>
        <v>49.5</v>
      </c>
      <c r="BO801" s="1">
        <f t="shared" si="545"/>
        <v>49.5</v>
      </c>
      <c r="BP801" s="1">
        <f t="shared" si="545"/>
        <v>49.5</v>
      </c>
      <c r="BQ801" s="433">
        <f>BP801</f>
        <v>49.5</v>
      </c>
      <c r="BR801" s="433">
        <f t="shared" si="545"/>
        <v>49.5</v>
      </c>
      <c r="BS801" s="433">
        <f t="shared" si="545"/>
        <v>49.5</v>
      </c>
      <c r="BT801" s="433">
        <f t="shared" si="545"/>
        <v>49.5</v>
      </c>
      <c r="BU801" s="40">
        <f t="shared" si="512"/>
        <v>49.5</v>
      </c>
      <c r="BV801" s="40">
        <f t="shared" ref="BV801:CD801" si="546">BU801</f>
        <v>49.5</v>
      </c>
      <c r="BW801" s="40">
        <f t="shared" si="546"/>
        <v>49.5</v>
      </c>
      <c r="BX801" s="40">
        <f t="shared" si="546"/>
        <v>49.5</v>
      </c>
      <c r="BY801" s="40">
        <f t="shared" si="546"/>
        <v>49.5</v>
      </c>
      <c r="BZ801" s="40">
        <f t="shared" si="546"/>
        <v>49.5</v>
      </c>
      <c r="CA801" s="40">
        <f t="shared" si="546"/>
        <v>49.5</v>
      </c>
      <c r="CB801" s="40">
        <f t="shared" si="546"/>
        <v>49.5</v>
      </c>
      <c r="CC801" s="40">
        <f t="shared" si="546"/>
        <v>49.5</v>
      </c>
      <c r="CD801" s="40">
        <f t="shared" si="546"/>
        <v>49.5</v>
      </c>
      <c r="CM801" s="1">
        <f>CL801</f>
        <v>0</v>
      </c>
    </row>
    <row r="802" spans="2:91">
      <c r="B802" s="238" t="s">
        <v>306</v>
      </c>
      <c r="C802" s="4"/>
      <c r="D802" s="1" t="s">
        <v>4195</v>
      </c>
      <c r="AV802" s="285">
        <v>1.2</v>
      </c>
      <c r="AW802" s="285">
        <v>6.54</v>
      </c>
      <c r="AX802" s="285">
        <v>4.0999999999999996</v>
      </c>
      <c r="AY802" s="285">
        <v>1.2</v>
      </c>
      <c r="AZ802" s="285"/>
      <c r="BA802" s="285">
        <v>1.7</v>
      </c>
      <c r="BB802" s="285">
        <v>1.6</v>
      </c>
      <c r="BC802" s="285">
        <v>17.5</v>
      </c>
      <c r="BD802" s="285">
        <v>6.3</v>
      </c>
      <c r="BE802" s="285">
        <v>8.3000000000000007</v>
      </c>
      <c r="BF802" s="285">
        <v>4.0999999999999996</v>
      </c>
      <c r="BG802" s="285">
        <f>0.143382+4.125725*BG48</f>
        <v>5.7956252500000005</v>
      </c>
      <c r="BH802" s="285">
        <f>0.56211959+0.22140358*BH48</f>
        <v>0.88771308999999998</v>
      </c>
      <c r="BI802" s="285">
        <v>9.8780735100000001</v>
      </c>
      <c r="BJ802" s="285">
        <v>3.52609905</v>
      </c>
      <c r="BK802" s="285">
        <v>3.4765053899999998</v>
      </c>
      <c r="BL802" s="285">
        <v>1.76993304</v>
      </c>
      <c r="BM802" s="285">
        <v>0.67477799999999999</v>
      </c>
      <c r="BN802" s="285">
        <v>0.52480899999999997</v>
      </c>
      <c r="BO802" s="285">
        <f>12/7*0.103752</f>
        <v>0.17786057142857142</v>
      </c>
      <c r="BP802" s="285">
        <f t="shared" si="545"/>
        <v>0.17786057142857142</v>
      </c>
      <c r="BQ802" s="447">
        <f t="shared" si="545"/>
        <v>0.17786057142857142</v>
      </c>
      <c r="BR802" s="447">
        <f t="shared" si="545"/>
        <v>0.17786057142857142</v>
      </c>
      <c r="BS802" s="447">
        <f t="shared" si="545"/>
        <v>0.17786057142857142</v>
      </c>
      <c r="BT802" s="447">
        <f t="shared" si="545"/>
        <v>0.17786057142857142</v>
      </c>
      <c r="BU802" s="40">
        <f t="shared" si="512"/>
        <v>0.17786057142857142</v>
      </c>
      <c r="BV802" s="40">
        <f t="shared" ref="BV802:CD802" si="547">BU802</f>
        <v>0.17786057142857142</v>
      </c>
      <c r="BW802" s="40">
        <f t="shared" si="547"/>
        <v>0.17786057142857142</v>
      </c>
      <c r="BX802" s="40">
        <f t="shared" si="547"/>
        <v>0.17786057142857142</v>
      </c>
      <c r="BY802" s="40">
        <f t="shared" si="547"/>
        <v>0.17786057142857142</v>
      </c>
      <c r="BZ802" s="40">
        <f t="shared" si="547"/>
        <v>0.17786057142857142</v>
      </c>
      <c r="CA802" s="40">
        <f t="shared" si="547"/>
        <v>0.17786057142857142</v>
      </c>
      <c r="CB802" s="40">
        <f t="shared" si="547"/>
        <v>0.17786057142857142</v>
      </c>
      <c r="CC802" s="40">
        <f t="shared" si="547"/>
        <v>0.17786057142857142</v>
      </c>
      <c r="CD802" s="40">
        <f t="shared" si="547"/>
        <v>0.17786057142857142</v>
      </c>
      <c r="CM802" s="285">
        <v>1.359656</v>
      </c>
    </row>
    <row r="803" spans="2:91">
      <c r="B803" s="238" t="s">
        <v>2168</v>
      </c>
      <c r="C803" s="4"/>
      <c r="D803" s="1" t="s">
        <v>4195</v>
      </c>
      <c r="AV803" s="285"/>
      <c r="AW803" s="285"/>
      <c r="AX803" s="285"/>
      <c r="AY803" s="285"/>
      <c r="AZ803" s="285">
        <v>2.5</v>
      </c>
      <c r="BA803" s="285"/>
      <c r="BB803" s="285"/>
      <c r="BC803" s="285"/>
      <c r="BD803" s="285"/>
      <c r="BE803" s="285"/>
      <c r="BH803" s="285"/>
      <c r="BI803" s="285"/>
      <c r="BJ803" s="285"/>
      <c r="BK803" s="285"/>
      <c r="BU803" s="40">
        <f t="shared" ref="BU803:BU832" si="548">BT803</f>
        <v>0</v>
      </c>
      <c r="BV803" s="40">
        <f t="shared" ref="BV803:CD803" si="549">BU803</f>
        <v>0</v>
      </c>
      <c r="BW803" s="40">
        <f t="shared" si="549"/>
        <v>0</v>
      </c>
      <c r="BX803" s="40">
        <f t="shared" si="549"/>
        <v>0</v>
      </c>
      <c r="BY803" s="40">
        <f t="shared" si="549"/>
        <v>0</v>
      </c>
      <c r="BZ803" s="40">
        <f t="shared" si="549"/>
        <v>0</v>
      </c>
      <c r="CA803" s="40">
        <f t="shared" si="549"/>
        <v>0</v>
      </c>
      <c r="CB803" s="40">
        <f t="shared" si="549"/>
        <v>0</v>
      </c>
      <c r="CC803" s="40">
        <f t="shared" si="549"/>
        <v>0</v>
      </c>
      <c r="CD803" s="40">
        <f t="shared" si="549"/>
        <v>0</v>
      </c>
    </row>
    <row r="804" spans="2:91">
      <c r="B804" s="238" t="s">
        <v>2169</v>
      </c>
      <c r="C804" s="4"/>
      <c r="D804" s="1" t="s">
        <v>4195</v>
      </c>
      <c r="AV804" s="285"/>
      <c r="AW804" s="285"/>
      <c r="AX804" s="285"/>
      <c r="AY804" s="285"/>
      <c r="AZ804" s="285"/>
      <c r="BA804" s="285"/>
      <c r="BB804" s="285"/>
      <c r="BC804" s="285"/>
      <c r="BD804" s="285">
        <v>9.5</v>
      </c>
      <c r="BE804" s="285">
        <f>BD804</f>
        <v>9.5</v>
      </c>
      <c r="BF804" s="285">
        <f t="shared" ref="BF804:BT804" si="550">BE804</f>
        <v>9.5</v>
      </c>
      <c r="BG804" s="285">
        <f t="shared" si="550"/>
        <v>9.5</v>
      </c>
      <c r="BH804" s="285">
        <f t="shared" si="550"/>
        <v>9.5</v>
      </c>
      <c r="BI804" s="285">
        <f t="shared" si="550"/>
        <v>9.5</v>
      </c>
      <c r="BJ804" s="285">
        <f t="shared" si="550"/>
        <v>9.5</v>
      </c>
      <c r="BK804" s="285">
        <f t="shared" si="550"/>
        <v>9.5</v>
      </c>
      <c r="BL804" s="285">
        <f t="shared" si="550"/>
        <v>9.5</v>
      </c>
      <c r="BM804" s="285">
        <f t="shared" si="550"/>
        <v>9.5</v>
      </c>
      <c r="BN804" s="285">
        <f t="shared" si="550"/>
        <v>9.5</v>
      </c>
      <c r="BO804" s="285">
        <f t="shared" si="550"/>
        <v>9.5</v>
      </c>
      <c r="BP804" s="285">
        <f t="shared" si="550"/>
        <v>9.5</v>
      </c>
      <c r="BQ804" s="447">
        <f t="shared" si="550"/>
        <v>9.5</v>
      </c>
      <c r="BR804" s="447">
        <f t="shared" si="550"/>
        <v>9.5</v>
      </c>
      <c r="BS804" s="447">
        <f t="shared" si="550"/>
        <v>9.5</v>
      </c>
      <c r="BT804" s="447">
        <f t="shared" si="550"/>
        <v>9.5</v>
      </c>
      <c r="BU804" s="40">
        <f t="shared" si="548"/>
        <v>9.5</v>
      </c>
      <c r="BV804" s="40">
        <f>BU804</f>
        <v>9.5</v>
      </c>
      <c r="BW804" s="40">
        <f>BV804</f>
        <v>9.5</v>
      </c>
      <c r="BX804" s="40">
        <f>BW804</f>
        <v>9.5</v>
      </c>
      <c r="BY804" s="40">
        <f>BX804</f>
        <v>9.5</v>
      </c>
      <c r="BZ804" s="40">
        <f>BY804</f>
        <v>9.5</v>
      </c>
      <c r="CA804" s="40">
        <f t="shared" ref="BV804:CD818" si="551">BZ804</f>
        <v>9.5</v>
      </c>
      <c r="CB804" s="40">
        <f t="shared" si="551"/>
        <v>9.5</v>
      </c>
      <c r="CC804" s="40">
        <f t="shared" si="551"/>
        <v>9.5</v>
      </c>
      <c r="CD804" s="40">
        <f t="shared" si="551"/>
        <v>9.5</v>
      </c>
      <c r="CM804" s="285">
        <f>CL804</f>
        <v>0</v>
      </c>
    </row>
    <row r="805" spans="2:91">
      <c r="B805" s="238" t="s">
        <v>305</v>
      </c>
      <c r="C805" s="4"/>
      <c r="D805" s="1" t="s">
        <v>4195</v>
      </c>
      <c r="AV805" s="285"/>
      <c r="AW805" s="285"/>
      <c r="AX805" s="285"/>
      <c r="AY805" s="285"/>
      <c r="AZ805" s="285"/>
      <c r="BA805" s="285"/>
      <c r="BB805" s="285"/>
      <c r="BC805" s="285"/>
      <c r="BD805" s="285"/>
      <c r="BE805" s="285"/>
      <c r="BH805" s="285"/>
      <c r="BI805" s="285"/>
      <c r="BJ805" s="285"/>
      <c r="BK805" s="285"/>
      <c r="BU805" s="40">
        <f t="shared" si="548"/>
        <v>0</v>
      </c>
      <c r="BV805" s="40">
        <f t="shared" si="551"/>
        <v>0</v>
      </c>
      <c r="BW805" s="40">
        <f t="shared" si="551"/>
        <v>0</v>
      </c>
      <c r="BX805" s="40">
        <f t="shared" si="551"/>
        <v>0</v>
      </c>
      <c r="BY805" s="40">
        <f t="shared" si="551"/>
        <v>0</v>
      </c>
      <c r="BZ805" s="40">
        <f t="shared" si="551"/>
        <v>0</v>
      </c>
      <c r="CA805" s="40">
        <f t="shared" si="551"/>
        <v>0</v>
      </c>
      <c r="CB805" s="40">
        <f t="shared" si="551"/>
        <v>0</v>
      </c>
      <c r="CC805" s="40">
        <f t="shared" si="551"/>
        <v>0</v>
      </c>
      <c r="CD805" s="40">
        <f t="shared" si="551"/>
        <v>0</v>
      </c>
    </row>
    <row r="806" spans="2:91">
      <c r="B806" s="238" t="s">
        <v>1782</v>
      </c>
      <c r="AV806" s="285"/>
      <c r="AW806" s="285"/>
      <c r="AX806" s="285"/>
      <c r="AY806" s="285"/>
      <c r="AZ806" s="285"/>
      <c r="BA806" s="285"/>
      <c r="BB806" s="285"/>
      <c r="BC806" s="285"/>
      <c r="BD806" s="285"/>
      <c r="BE806" s="285"/>
      <c r="BH806" s="285"/>
      <c r="BI806" s="285"/>
      <c r="BJ806" s="285"/>
      <c r="BK806" s="285"/>
      <c r="BU806" s="40">
        <f t="shared" si="548"/>
        <v>0</v>
      </c>
      <c r="BV806" s="40">
        <f t="shared" si="551"/>
        <v>0</v>
      </c>
      <c r="BW806" s="40">
        <f t="shared" si="551"/>
        <v>0</v>
      </c>
      <c r="BX806" s="40">
        <f t="shared" si="551"/>
        <v>0</v>
      </c>
      <c r="BY806" s="40">
        <f t="shared" si="551"/>
        <v>0</v>
      </c>
      <c r="BZ806" s="40">
        <f t="shared" si="551"/>
        <v>0</v>
      </c>
      <c r="CA806" s="40">
        <f t="shared" si="551"/>
        <v>0</v>
      </c>
      <c r="CB806" s="40">
        <f t="shared" si="551"/>
        <v>0</v>
      </c>
      <c r="CC806" s="40">
        <f t="shared" si="551"/>
        <v>0</v>
      </c>
      <c r="CD806" s="40">
        <f t="shared" si="551"/>
        <v>0</v>
      </c>
    </row>
    <row r="807" spans="2:91">
      <c r="B807" s="238" t="s">
        <v>2170</v>
      </c>
      <c r="C807" s="4"/>
      <c r="D807" s="1" t="s">
        <v>4112</v>
      </c>
      <c r="AV807" s="285"/>
      <c r="AW807" s="285"/>
      <c r="AX807" s="285"/>
      <c r="AY807" s="285"/>
      <c r="AZ807" s="285"/>
      <c r="BA807" s="285"/>
      <c r="BB807" s="285"/>
      <c r="BC807" s="285"/>
      <c r="BD807" s="285">
        <v>1.9</v>
      </c>
      <c r="BE807" s="285"/>
      <c r="BG807" s="285">
        <v>33.9</v>
      </c>
      <c r="BH807" s="285"/>
      <c r="BI807" s="285"/>
      <c r="BJ807" s="285">
        <f>28.5/2</f>
        <v>14.25</v>
      </c>
      <c r="BK807" s="285">
        <f>28.5/2</f>
        <v>14.25</v>
      </c>
      <c r="BL807" s="1">
        <f>70/4</f>
        <v>17.5</v>
      </c>
      <c r="BM807" s="1">
        <f>70/4</f>
        <v>17.5</v>
      </c>
      <c r="BN807" s="1">
        <f>70/4</f>
        <v>17.5</v>
      </c>
      <c r="BO807" s="1">
        <f>70/4</f>
        <v>17.5</v>
      </c>
      <c r="BU807" s="40">
        <f t="shared" si="548"/>
        <v>0</v>
      </c>
      <c r="BV807" s="40">
        <f t="shared" si="551"/>
        <v>0</v>
      </c>
      <c r="BW807" s="40">
        <f t="shared" si="551"/>
        <v>0</v>
      </c>
      <c r="BX807" s="40">
        <f t="shared" si="551"/>
        <v>0</v>
      </c>
      <c r="BY807" s="40">
        <f t="shared" si="551"/>
        <v>0</v>
      </c>
      <c r="BZ807" s="40">
        <f t="shared" si="551"/>
        <v>0</v>
      </c>
      <c r="CA807" s="40">
        <f t="shared" si="551"/>
        <v>0</v>
      </c>
      <c r="CB807" s="40">
        <f t="shared" si="551"/>
        <v>0</v>
      </c>
      <c r="CC807" s="40">
        <f t="shared" si="551"/>
        <v>0</v>
      </c>
      <c r="CD807" s="40">
        <f t="shared" si="551"/>
        <v>0</v>
      </c>
      <c r="CM807" s="1">
        <f>70/4</f>
        <v>17.5</v>
      </c>
    </row>
    <row r="808" spans="2:91">
      <c r="B808" s="25" t="s">
        <v>638</v>
      </c>
      <c r="AV808" s="285">
        <v>0</v>
      </c>
      <c r="AW808" s="285">
        <v>0</v>
      </c>
      <c r="AX808" s="285">
        <v>0</v>
      </c>
      <c r="AY808" s="285">
        <v>0</v>
      </c>
      <c r="AZ808" s="285">
        <v>0</v>
      </c>
      <c r="BA808" s="285">
        <v>0</v>
      </c>
      <c r="BB808" s="285">
        <v>0</v>
      </c>
      <c r="BC808" s="285">
        <v>0</v>
      </c>
      <c r="BD808" s="285">
        <v>0</v>
      </c>
      <c r="BE808" s="285">
        <v>0</v>
      </c>
      <c r="BH808" s="285"/>
      <c r="BI808" s="285"/>
      <c r="BJ808" s="285"/>
      <c r="BK808" s="285"/>
      <c r="BU808" s="40">
        <f t="shared" si="548"/>
        <v>0</v>
      </c>
      <c r="BV808" s="40">
        <f t="shared" si="551"/>
        <v>0</v>
      </c>
      <c r="BW808" s="40">
        <f t="shared" si="551"/>
        <v>0</v>
      </c>
      <c r="BX808" s="40">
        <f t="shared" si="551"/>
        <v>0</v>
      </c>
      <c r="BY808" s="40">
        <f t="shared" si="551"/>
        <v>0</v>
      </c>
      <c r="BZ808" s="40">
        <f t="shared" si="551"/>
        <v>0</v>
      </c>
      <c r="CA808" s="40">
        <f t="shared" si="551"/>
        <v>0</v>
      </c>
      <c r="CB808" s="40">
        <f t="shared" si="551"/>
        <v>0</v>
      </c>
      <c r="CC808" s="40">
        <f t="shared" si="551"/>
        <v>0</v>
      </c>
      <c r="CD808" s="40">
        <f t="shared" si="551"/>
        <v>0</v>
      </c>
    </row>
    <row r="809" spans="2:91">
      <c r="B809" s="238" t="s">
        <v>2171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514">
        <f t="shared" ref="AV809:BJ809" si="552">SUM(AV795:AV807)</f>
        <v>126.9</v>
      </c>
      <c r="AW809" s="514">
        <f t="shared" si="552"/>
        <v>80.240000000000009</v>
      </c>
      <c r="AX809" s="514">
        <f t="shared" si="552"/>
        <v>53.1</v>
      </c>
      <c r="AY809" s="514">
        <f t="shared" si="552"/>
        <v>33.260000000000005</v>
      </c>
      <c r="AZ809" s="514">
        <f t="shared" si="552"/>
        <v>36.010000000000005</v>
      </c>
      <c r="BA809" s="514">
        <f t="shared" si="552"/>
        <v>62.38</v>
      </c>
      <c r="BB809" s="514">
        <f t="shared" si="552"/>
        <v>48.400000000000006</v>
      </c>
      <c r="BC809" s="514">
        <f t="shared" si="552"/>
        <v>146.88999999999999</v>
      </c>
      <c r="BD809" s="514">
        <f t="shared" si="552"/>
        <v>307.60000000000002</v>
      </c>
      <c r="BE809" s="514">
        <f t="shared" si="552"/>
        <v>284.08517298999999</v>
      </c>
      <c r="BF809" s="514">
        <f t="shared" si="552"/>
        <v>233.49711599999998</v>
      </c>
      <c r="BG809" s="514">
        <f t="shared" si="552"/>
        <v>196.65142825000001</v>
      </c>
      <c r="BH809" s="514">
        <f t="shared" si="552"/>
        <v>259.43985336272726</v>
      </c>
      <c r="BI809" s="514">
        <f t="shared" si="552"/>
        <v>262.44341896454546</v>
      </c>
      <c r="BJ809" s="514">
        <f t="shared" si="552"/>
        <v>264.17018005</v>
      </c>
      <c r="BK809" s="285"/>
      <c r="BU809" s="40">
        <f t="shared" si="548"/>
        <v>0</v>
      </c>
      <c r="BV809" s="40">
        <f t="shared" si="551"/>
        <v>0</v>
      </c>
      <c r="BW809" s="40">
        <f t="shared" si="551"/>
        <v>0</v>
      </c>
      <c r="BX809" s="40">
        <f t="shared" si="551"/>
        <v>0</v>
      </c>
      <c r="BY809" s="40">
        <f t="shared" si="551"/>
        <v>0</v>
      </c>
      <c r="BZ809" s="40">
        <f t="shared" si="551"/>
        <v>0</v>
      </c>
      <c r="CA809" s="40">
        <f t="shared" si="551"/>
        <v>0</v>
      </c>
      <c r="CB809" s="40">
        <f t="shared" si="551"/>
        <v>0</v>
      </c>
      <c r="CC809" s="40">
        <f t="shared" si="551"/>
        <v>0</v>
      </c>
      <c r="CD809" s="40">
        <f t="shared" si="551"/>
        <v>0</v>
      </c>
    </row>
    <row r="810" spans="2:91">
      <c r="AV810" s="285"/>
      <c r="AW810" s="285"/>
      <c r="AX810" s="285"/>
      <c r="AY810" s="285"/>
      <c r="AZ810" s="285"/>
      <c r="BA810" s="285"/>
      <c r="BB810" s="285"/>
      <c r="BC810" s="285"/>
      <c r="BD810" s="285"/>
      <c r="BE810" s="285"/>
      <c r="BH810" s="285"/>
      <c r="BI810" s="285"/>
      <c r="BJ810" s="285"/>
      <c r="BK810" s="285"/>
      <c r="BU810" s="40">
        <f t="shared" si="548"/>
        <v>0</v>
      </c>
      <c r="BV810" s="40">
        <f t="shared" si="551"/>
        <v>0</v>
      </c>
      <c r="BW810" s="40">
        <f t="shared" si="551"/>
        <v>0</v>
      </c>
      <c r="BX810" s="40">
        <f t="shared" si="551"/>
        <v>0</v>
      </c>
      <c r="BY810" s="40">
        <f t="shared" si="551"/>
        <v>0</v>
      </c>
      <c r="BZ810" s="40">
        <f t="shared" si="551"/>
        <v>0</v>
      </c>
      <c r="CA810" s="40">
        <f t="shared" si="551"/>
        <v>0</v>
      </c>
      <c r="CB810" s="40">
        <f t="shared" si="551"/>
        <v>0</v>
      </c>
      <c r="CC810" s="40">
        <f t="shared" si="551"/>
        <v>0</v>
      </c>
      <c r="CD810" s="40">
        <f t="shared" si="551"/>
        <v>0</v>
      </c>
    </row>
    <row r="811" spans="2:91">
      <c r="B811" s="238" t="s">
        <v>180</v>
      </c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285"/>
      <c r="AW811" s="285"/>
      <c r="AX811" s="285"/>
      <c r="AY811" s="285"/>
      <c r="AZ811" s="285"/>
      <c r="BA811" s="285"/>
      <c r="BB811" s="285"/>
      <c r="BC811" s="285"/>
      <c r="BD811" s="285"/>
      <c r="BE811" s="285"/>
      <c r="BH811" s="285"/>
      <c r="BI811" s="285"/>
      <c r="BJ811" s="285"/>
      <c r="BK811" s="285"/>
      <c r="BU811" s="40">
        <f t="shared" si="548"/>
        <v>0</v>
      </c>
      <c r="BV811" s="40">
        <f t="shared" si="551"/>
        <v>0</v>
      </c>
      <c r="BW811" s="40">
        <f t="shared" si="551"/>
        <v>0</v>
      </c>
      <c r="BX811" s="40">
        <f t="shared" si="551"/>
        <v>0</v>
      </c>
      <c r="BY811" s="40">
        <f t="shared" si="551"/>
        <v>0</v>
      </c>
      <c r="BZ811" s="40">
        <f t="shared" si="551"/>
        <v>0</v>
      </c>
      <c r="CA811" s="40">
        <f t="shared" si="551"/>
        <v>0</v>
      </c>
      <c r="CB811" s="40">
        <f t="shared" si="551"/>
        <v>0</v>
      </c>
      <c r="CC811" s="40">
        <f t="shared" si="551"/>
        <v>0</v>
      </c>
      <c r="CD811" s="40">
        <f t="shared" si="551"/>
        <v>0</v>
      </c>
    </row>
    <row r="812" spans="2:91">
      <c r="B812" s="25" t="s">
        <v>2219</v>
      </c>
      <c r="AV812" s="285"/>
      <c r="AW812" s="285"/>
      <c r="AX812" s="285"/>
      <c r="AY812" s="285"/>
      <c r="AZ812" s="285"/>
      <c r="BA812" s="285"/>
      <c r="BB812" s="285"/>
      <c r="BC812" s="285"/>
      <c r="BD812" s="285"/>
      <c r="BE812" s="285"/>
      <c r="BH812" s="285"/>
      <c r="BI812" s="285"/>
      <c r="BJ812" s="285"/>
      <c r="BK812" s="285"/>
      <c r="BU812" s="40">
        <f t="shared" si="548"/>
        <v>0</v>
      </c>
      <c r="BV812" s="40">
        <f t="shared" si="551"/>
        <v>0</v>
      </c>
      <c r="BW812" s="40">
        <f t="shared" si="551"/>
        <v>0</v>
      </c>
      <c r="BX812" s="40">
        <f t="shared" si="551"/>
        <v>0</v>
      </c>
      <c r="BY812" s="40">
        <f t="shared" si="551"/>
        <v>0</v>
      </c>
      <c r="BZ812" s="40">
        <f t="shared" si="551"/>
        <v>0</v>
      </c>
      <c r="CA812" s="40">
        <f t="shared" si="551"/>
        <v>0</v>
      </c>
      <c r="CB812" s="40">
        <f t="shared" si="551"/>
        <v>0</v>
      </c>
      <c r="CC812" s="40">
        <f t="shared" si="551"/>
        <v>0</v>
      </c>
      <c r="CD812" s="40">
        <f t="shared" si="551"/>
        <v>0</v>
      </c>
    </row>
    <row r="813" spans="2:91">
      <c r="B813" s="25" t="s">
        <v>2219</v>
      </c>
      <c r="AV813" s="285"/>
      <c r="AW813" s="285"/>
      <c r="AX813" s="285"/>
      <c r="AY813" s="285"/>
      <c r="AZ813" s="285"/>
      <c r="BA813" s="285"/>
      <c r="BB813" s="285"/>
      <c r="BC813" s="285"/>
      <c r="BD813" s="285"/>
      <c r="BE813" s="285"/>
      <c r="BH813" s="285"/>
      <c r="BI813" s="285"/>
      <c r="BJ813" s="285"/>
      <c r="BK813" s="285"/>
      <c r="BU813" s="40">
        <f t="shared" si="548"/>
        <v>0</v>
      </c>
      <c r="BV813" s="40">
        <f t="shared" si="551"/>
        <v>0</v>
      </c>
      <c r="BW813" s="40">
        <f t="shared" si="551"/>
        <v>0</v>
      </c>
      <c r="BX813" s="40">
        <f t="shared" si="551"/>
        <v>0</v>
      </c>
      <c r="BY813" s="40">
        <f t="shared" si="551"/>
        <v>0</v>
      </c>
      <c r="BZ813" s="40">
        <f t="shared" si="551"/>
        <v>0</v>
      </c>
      <c r="CA813" s="40">
        <f t="shared" si="551"/>
        <v>0</v>
      </c>
      <c r="CB813" s="40">
        <f t="shared" si="551"/>
        <v>0</v>
      </c>
      <c r="CC813" s="40">
        <f t="shared" si="551"/>
        <v>0</v>
      </c>
      <c r="CD813" s="40">
        <f t="shared" si="551"/>
        <v>0</v>
      </c>
    </row>
    <row r="814" spans="2:91" s="410" customFormat="1">
      <c r="B814" s="410" t="s">
        <v>1440</v>
      </c>
      <c r="AV814" s="465"/>
      <c r="AW814" s="465"/>
      <c r="AX814" s="465"/>
      <c r="AY814" s="465"/>
      <c r="AZ814" s="465"/>
      <c r="BA814" s="465"/>
      <c r="BB814" s="465"/>
      <c r="BC814" s="465"/>
      <c r="BD814" s="465"/>
      <c r="BE814" s="465"/>
      <c r="BF814" s="465"/>
      <c r="BG814" s="465"/>
      <c r="BH814" s="465"/>
      <c r="BI814" s="465"/>
      <c r="BJ814" s="465"/>
      <c r="BK814" s="465"/>
      <c r="BU814" s="40">
        <f t="shared" si="548"/>
        <v>0</v>
      </c>
      <c r="BV814" s="40">
        <f t="shared" si="551"/>
        <v>0</v>
      </c>
      <c r="BW814" s="40">
        <f t="shared" si="551"/>
        <v>0</v>
      </c>
      <c r="BX814" s="40">
        <f t="shared" si="551"/>
        <v>0</v>
      </c>
      <c r="BY814" s="40">
        <f t="shared" si="551"/>
        <v>0</v>
      </c>
      <c r="BZ814" s="40">
        <f t="shared" si="551"/>
        <v>0</v>
      </c>
      <c r="CA814" s="40">
        <f t="shared" si="551"/>
        <v>0</v>
      </c>
      <c r="CB814" s="40">
        <f t="shared" si="551"/>
        <v>0</v>
      </c>
      <c r="CC814" s="40">
        <f t="shared" si="551"/>
        <v>0</v>
      </c>
      <c r="CD814" s="40">
        <f t="shared" si="551"/>
        <v>0</v>
      </c>
    </row>
    <row r="815" spans="2:91" s="25" customFormat="1">
      <c r="B815" s="25" t="s">
        <v>460</v>
      </c>
      <c r="AV815" s="307"/>
      <c r="AW815" s="307"/>
      <c r="AX815" s="307"/>
      <c r="AY815" s="307"/>
      <c r="AZ815" s="307"/>
      <c r="BA815" s="307"/>
      <c r="BB815" s="307"/>
      <c r="BC815" s="307"/>
      <c r="BD815" s="307"/>
      <c r="BE815" s="307"/>
      <c r="BF815" s="307"/>
      <c r="BG815" s="307"/>
      <c r="BH815" s="307"/>
      <c r="BI815" s="307"/>
      <c r="BJ815" s="307"/>
      <c r="BK815" s="307"/>
      <c r="BL815" s="307"/>
      <c r="BM815" s="307"/>
      <c r="BN815" s="307"/>
      <c r="BO815" s="307"/>
      <c r="BU815" s="40">
        <f t="shared" si="548"/>
        <v>0</v>
      </c>
      <c r="BV815" s="40">
        <f t="shared" si="551"/>
        <v>0</v>
      </c>
      <c r="BW815" s="40">
        <f t="shared" si="551"/>
        <v>0</v>
      </c>
      <c r="BX815" s="40">
        <f t="shared" si="551"/>
        <v>0</v>
      </c>
      <c r="BY815" s="40">
        <f t="shared" si="551"/>
        <v>0</v>
      </c>
      <c r="BZ815" s="40">
        <f t="shared" si="551"/>
        <v>0</v>
      </c>
      <c r="CA815" s="40">
        <f t="shared" si="551"/>
        <v>0</v>
      </c>
      <c r="CB815" s="40">
        <f t="shared" si="551"/>
        <v>0</v>
      </c>
      <c r="CC815" s="40">
        <f t="shared" si="551"/>
        <v>0</v>
      </c>
      <c r="CD815" s="40">
        <f t="shared" si="551"/>
        <v>0</v>
      </c>
      <c r="CM815" s="307"/>
    </row>
    <row r="816" spans="2:91" s="25" customFormat="1">
      <c r="B816" s="467" t="s">
        <v>3818</v>
      </c>
      <c r="AV816" s="307"/>
      <c r="AW816" s="307"/>
      <c r="AX816" s="307"/>
      <c r="AY816" s="307"/>
      <c r="AZ816" s="307"/>
      <c r="BA816" s="307"/>
      <c r="BB816" s="307"/>
      <c r="BC816" s="307"/>
      <c r="BD816" s="307"/>
      <c r="BE816" s="307"/>
      <c r="BF816" s="307"/>
      <c r="BG816" s="307"/>
      <c r="BH816" s="307"/>
      <c r="BI816" s="307"/>
      <c r="BJ816" s="307"/>
      <c r="BK816" s="307"/>
      <c r="BL816" s="307"/>
      <c r="BM816" s="307"/>
      <c r="BN816" s="307"/>
      <c r="BO816" s="307"/>
      <c r="BU816" s="40">
        <f t="shared" si="548"/>
        <v>0</v>
      </c>
      <c r="BV816" s="40">
        <f t="shared" si="551"/>
        <v>0</v>
      </c>
      <c r="BW816" s="40">
        <f t="shared" si="551"/>
        <v>0</v>
      </c>
      <c r="BX816" s="40">
        <f t="shared" si="551"/>
        <v>0</v>
      </c>
      <c r="BY816" s="40">
        <f t="shared" si="551"/>
        <v>0</v>
      </c>
      <c r="BZ816" s="40">
        <f t="shared" si="551"/>
        <v>0</v>
      </c>
      <c r="CA816" s="40">
        <f t="shared" si="551"/>
        <v>0</v>
      </c>
      <c r="CB816" s="40">
        <f t="shared" si="551"/>
        <v>0</v>
      </c>
      <c r="CC816" s="40">
        <f t="shared" si="551"/>
        <v>0</v>
      </c>
      <c r="CD816" s="40">
        <f t="shared" si="551"/>
        <v>0</v>
      </c>
      <c r="CM816" s="307"/>
    </row>
    <row r="817" spans="2:91" s="25" customFormat="1">
      <c r="B817" s="467" t="s">
        <v>2019</v>
      </c>
      <c r="AV817" s="307"/>
      <c r="AW817" s="307"/>
      <c r="AX817" s="307"/>
      <c r="AY817" s="307"/>
      <c r="AZ817" s="307"/>
      <c r="BA817" s="307"/>
      <c r="BB817" s="307"/>
      <c r="BC817" s="307"/>
      <c r="BD817" s="307"/>
      <c r="BE817" s="307"/>
      <c r="BF817" s="307"/>
      <c r="BG817" s="307"/>
      <c r="BH817" s="307"/>
      <c r="BI817" s="307"/>
      <c r="BJ817" s="307"/>
      <c r="BK817" s="307"/>
      <c r="BL817" s="307"/>
      <c r="BM817" s="307"/>
      <c r="BN817" s="307"/>
      <c r="BO817" s="307"/>
      <c r="BU817" s="40">
        <f t="shared" si="548"/>
        <v>0</v>
      </c>
      <c r="BV817" s="40">
        <f t="shared" si="551"/>
        <v>0</v>
      </c>
      <c r="BW817" s="40">
        <f t="shared" si="551"/>
        <v>0</v>
      </c>
      <c r="BX817" s="40">
        <f t="shared" si="551"/>
        <v>0</v>
      </c>
      <c r="BY817" s="40">
        <f t="shared" si="551"/>
        <v>0</v>
      </c>
      <c r="BZ817" s="40">
        <f t="shared" si="551"/>
        <v>0</v>
      </c>
      <c r="CA817" s="40">
        <f t="shared" si="551"/>
        <v>0</v>
      </c>
      <c r="CB817" s="40">
        <f t="shared" si="551"/>
        <v>0</v>
      </c>
      <c r="CC817" s="40">
        <f t="shared" si="551"/>
        <v>0</v>
      </c>
      <c r="CD817" s="40">
        <f t="shared" si="551"/>
        <v>0</v>
      </c>
      <c r="CM817" s="307"/>
    </row>
    <row r="818" spans="2:91" s="25" customFormat="1">
      <c r="B818" s="25" t="s">
        <v>76</v>
      </c>
      <c r="AV818" s="307"/>
      <c r="AW818" s="307"/>
      <c r="AX818" s="307"/>
      <c r="AY818" s="307"/>
      <c r="AZ818" s="307"/>
      <c r="BA818" s="307"/>
      <c r="BB818" s="307"/>
      <c r="BC818" s="307"/>
      <c r="BD818" s="307"/>
      <c r="BE818" s="307">
        <v>620</v>
      </c>
      <c r="BF818" s="307"/>
      <c r="BG818" s="307"/>
      <c r="BH818" s="307"/>
      <c r="BI818" s="307"/>
      <c r="BJ818" s="307"/>
      <c r="BK818" s="307"/>
      <c r="BL818" s="307"/>
      <c r="BM818" s="307"/>
      <c r="BN818" s="307"/>
      <c r="BO818" s="307"/>
      <c r="BU818" s="40">
        <f t="shared" si="548"/>
        <v>0</v>
      </c>
      <c r="BV818" s="40">
        <f t="shared" si="551"/>
        <v>0</v>
      </c>
      <c r="BW818" s="40">
        <f t="shared" si="551"/>
        <v>0</v>
      </c>
      <c r="BX818" s="40">
        <f t="shared" si="551"/>
        <v>0</v>
      </c>
      <c r="BY818" s="40">
        <f t="shared" si="551"/>
        <v>0</v>
      </c>
      <c r="BZ818" s="40">
        <f t="shared" si="551"/>
        <v>0</v>
      </c>
      <c r="CA818" s="40">
        <f t="shared" si="551"/>
        <v>0</v>
      </c>
      <c r="CB818" s="40">
        <f t="shared" si="551"/>
        <v>0</v>
      </c>
      <c r="CC818" s="40">
        <f t="shared" si="551"/>
        <v>0</v>
      </c>
      <c r="CD818" s="40">
        <f t="shared" si="551"/>
        <v>0</v>
      </c>
      <c r="CM818" s="307">
        <f>CL818</f>
        <v>0</v>
      </c>
    </row>
    <row r="819" spans="2:91">
      <c r="B819" s="25" t="s">
        <v>1343</v>
      </c>
      <c r="AV819" s="285"/>
      <c r="AW819" s="285"/>
      <c r="AX819" s="285"/>
      <c r="AY819" s="285"/>
      <c r="AZ819" s="285"/>
      <c r="BA819" s="285"/>
      <c r="BB819" s="285"/>
      <c r="BC819" s="285"/>
      <c r="BD819" s="285"/>
      <c r="BE819" s="285"/>
      <c r="BH819" s="285"/>
      <c r="BI819" s="285"/>
      <c r="BJ819" s="285"/>
      <c r="BK819" s="285"/>
      <c r="BL819" s="285"/>
      <c r="BM819" s="285"/>
      <c r="BN819" s="285"/>
      <c r="BO819" s="285">
        <v>1100</v>
      </c>
      <c r="BP819" s="285">
        <v>1300</v>
      </c>
      <c r="BQ819" s="285"/>
      <c r="BR819" s="285"/>
      <c r="BS819" s="285"/>
      <c r="BT819" s="285"/>
      <c r="BU819" s="40"/>
      <c r="BV819" s="40"/>
      <c r="BW819" s="40"/>
      <c r="BX819" s="40"/>
      <c r="BY819" s="40"/>
      <c r="BZ819" s="40"/>
      <c r="CA819" s="40"/>
      <c r="CB819" s="40"/>
      <c r="CC819" s="40"/>
      <c r="CD819" s="40"/>
      <c r="CM819" s="348">
        <v>-2</v>
      </c>
    </row>
    <row r="820" spans="2:91">
      <c r="B820" s="25" t="s">
        <v>4386</v>
      </c>
      <c r="AV820" s="285"/>
      <c r="AW820" s="285"/>
      <c r="AX820" s="285"/>
      <c r="AY820" s="285"/>
      <c r="AZ820" s="285"/>
      <c r="BA820" s="285"/>
      <c r="BB820" s="285"/>
      <c r="BC820" s="285"/>
      <c r="BD820" s="285"/>
      <c r="BE820" s="285"/>
      <c r="BH820" s="285"/>
      <c r="BI820" s="285"/>
      <c r="BJ820" s="285"/>
      <c r="BK820" s="285"/>
      <c r="BL820" s="285"/>
      <c r="BM820" s="285"/>
      <c r="BN820" s="423"/>
      <c r="BO820" s="285">
        <v>300</v>
      </c>
      <c r="BP820" s="285">
        <v>0</v>
      </c>
      <c r="BQ820" s="285"/>
      <c r="BR820" s="285"/>
      <c r="BS820" s="285"/>
      <c r="BT820" s="285"/>
      <c r="BU820" s="40"/>
      <c r="BV820" s="40"/>
      <c r="BW820" s="40"/>
      <c r="BX820" s="40"/>
      <c r="BY820" s="40"/>
      <c r="BZ820" s="40"/>
      <c r="CA820" s="40"/>
      <c r="CB820" s="40"/>
      <c r="CC820" s="40"/>
      <c r="CD820" s="40"/>
      <c r="CM820" s="348">
        <v>-25</v>
      </c>
    </row>
    <row r="821" spans="2:91">
      <c r="B821" s="25" t="s">
        <v>1583</v>
      </c>
      <c r="AV821" s="285"/>
      <c r="AW821" s="285"/>
      <c r="AX821" s="285"/>
      <c r="AY821" s="285"/>
      <c r="AZ821" s="285"/>
      <c r="BA821" s="285"/>
      <c r="BB821" s="285"/>
      <c r="BC821" s="285"/>
      <c r="BD821" s="285"/>
      <c r="BE821" s="285"/>
      <c r="BH821" s="285"/>
      <c r="BI821" s="285"/>
      <c r="BJ821" s="285"/>
      <c r="BK821" s="285"/>
      <c r="BL821" s="285"/>
      <c r="BM821" s="285"/>
      <c r="BN821" s="285">
        <v>2</v>
      </c>
      <c r="BO821" s="285">
        <f t="shared" ref="BO821:BT821" si="553">BN821</f>
        <v>2</v>
      </c>
      <c r="BP821" s="285">
        <v>2</v>
      </c>
      <c r="BQ821" s="423">
        <v>2</v>
      </c>
      <c r="BR821" s="285">
        <v>2</v>
      </c>
      <c r="BS821" s="285">
        <f t="shared" si="553"/>
        <v>2</v>
      </c>
      <c r="BT821" s="285">
        <f t="shared" si="553"/>
        <v>2</v>
      </c>
      <c r="BU821" s="40">
        <f t="shared" si="548"/>
        <v>2</v>
      </c>
      <c r="BV821" s="40">
        <f t="shared" ref="BV821:CD821" si="554">BU821</f>
        <v>2</v>
      </c>
      <c r="BW821" s="40">
        <f t="shared" si="554"/>
        <v>2</v>
      </c>
      <c r="BX821" s="40">
        <f t="shared" si="554"/>
        <v>2</v>
      </c>
      <c r="BY821" s="40">
        <f t="shared" si="554"/>
        <v>2</v>
      </c>
      <c r="BZ821" s="40">
        <f t="shared" si="554"/>
        <v>2</v>
      </c>
      <c r="CA821" s="40">
        <f t="shared" si="554"/>
        <v>2</v>
      </c>
      <c r="CB821" s="40">
        <f t="shared" si="554"/>
        <v>2</v>
      </c>
      <c r="CC821" s="40">
        <f t="shared" si="554"/>
        <v>2</v>
      </c>
      <c r="CD821" s="40">
        <f t="shared" si="554"/>
        <v>2</v>
      </c>
      <c r="CM821" s="348"/>
    </row>
    <row r="822" spans="2:91">
      <c r="B822" s="25" t="s">
        <v>3403</v>
      </c>
      <c r="AV822" s="285"/>
      <c r="AW822" s="285"/>
      <c r="AX822" s="285"/>
      <c r="AY822" s="285"/>
      <c r="AZ822" s="285"/>
      <c r="BA822" s="285"/>
      <c r="BB822" s="285"/>
      <c r="BC822" s="285"/>
      <c r="BD822" s="285"/>
      <c r="BE822" s="285"/>
      <c r="BH822" s="285"/>
      <c r="BI822" s="285"/>
      <c r="BJ822" s="285"/>
      <c r="BK822" s="285"/>
      <c r="BL822" s="285"/>
      <c r="BU822" s="40">
        <f t="shared" si="548"/>
        <v>0</v>
      </c>
      <c r="BV822" s="40">
        <f t="shared" ref="BV822:CD822" si="555">BU822</f>
        <v>0</v>
      </c>
      <c r="BW822" s="40">
        <f t="shared" si="555"/>
        <v>0</v>
      </c>
      <c r="BX822" s="40">
        <f t="shared" si="555"/>
        <v>0</v>
      </c>
      <c r="BY822" s="40">
        <f t="shared" si="555"/>
        <v>0</v>
      </c>
      <c r="BZ822" s="40">
        <f t="shared" si="555"/>
        <v>0</v>
      </c>
      <c r="CA822" s="40">
        <f t="shared" si="555"/>
        <v>0</v>
      </c>
      <c r="CB822" s="40">
        <f t="shared" si="555"/>
        <v>0</v>
      </c>
      <c r="CC822" s="40">
        <f t="shared" si="555"/>
        <v>0</v>
      </c>
      <c r="CD822" s="40">
        <f t="shared" si="555"/>
        <v>0</v>
      </c>
    </row>
    <row r="823" spans="2:91">
      <c r="B823" s="25" t="s">
        <v>4644</v>
      </c>
      <c r="AV823" s="285"/>
      <c r="AW823" s="285"/>
      <c r="AX823" s="285"/>
      <c r="AY823" s="285"/>
      <c r="AZ823" s="285"/>
      <c r="BA823" s="285"/>
      <c r="BB823" s="285"/>
      <c r="BC823" s="285"/>
      <c r="BD823" s="285"/>
      <c r="BE823" s="285"/>
      <c r="BH823" s="285"/>
      <c r="BI823" s="285"/>
      <c r="BJ823" s="285"/>
      <c r="BK823" s="285"/>
      <c r="BL823" s="285"/>
      <c r="BM823" s="285"/>
      <c r="BN823" s="285"/>
      <c r="BO823" s="285"/>
      <c r="BP823" s="285"/>
      <c r="BQ823" s="285"/>
      <c r="BR823" s="285"/>
      <c r="BS823" s="285"/>
      <c r="BT823" s="285"/>
      <c r="BU823" s="40">
        <f t="shared" si="548"/>
        <v>0</v>
      </c>
      <c r="BV823" s="40">
        <f t="shared" ref="BV823:CD823" si="556">BU823</f>
        <v>0</v>
      </c>
      <c r="BW823" s="40">
        <f t="shared" si="556"/>
        <v>0</v>
      </c>
      <c r="BX823" s="40">
        <f t="shared" si="556"/>
        <v>0</v>
      </c>
      <c r="BY823" s="40">
        <f t="shared" si="556"/>
        <v>0</v>
      </c>
      <c r="BZ823" s="40">
        <f t="shared" si="556"/>
        <v>0</v>
      </c>
      <c r="CA823" s="40">
        <f t="shared" si="556"/>
        <v>0</v>
      </c>
      <c r="CB823" s="40">
        <f t="shared" si="556"/>
        <v>0</v>
      </c>
      <c r="CC823" s="40">
        <f t="shared" si="556"/>
        <v>0</v>
      </c>
      <c r="CD823" s="40">
        <f t="shared" si="556"/>
        <v>0</v>
      </c>
      <c r="CM823" s="348">
        <f>CL823</f>
        <v>0</v>
      </c>
    </row>
    <row r="824" spans="2:91">
      <c r="B824" s="25" t="s">
        <v>4099</v>
      </c>
      <c r="AV824" s="285"/>
      <c r="AW824" s="285"/>
      <c r="AX824" s="285"/>
      <c r="AY824" s="285"/>
      <c r="AZ824" s="285"/>
      <c r="BA824" s="285"/>
      <c r="BB824" s="285"/>
      <c r="BC824" s="285"/>
      <c r="BD824" s="285"/>
      <c r="BE824" s="285"/>
      <c r="BH824" s="285">
        <v>0.3</v>
      </c>
      <c r="BI824" s="285">
        <v>0.3</v>
      </c>
      <c r="BJ824" s="285"/>
      <c r="BK824" s="285"/>
      <c r="BL824" s="285"/>
      <c r="BM824" s="285"/>
      <c r="BN824" s="285"/>
      <c r="BO824" s="285"/>
      <c r="BP824" s="285">
        <f>13</f>
        <v>13</v>
      </c>
      <c r="BQ824" s="285"/>
      <c r="BR824" s="285"/>
      <c r="BS824" s="285"/>
      <c r="BT824" s="285"/>
      <c r="BU824" s="40">
        <v>0</v>
      </c>
      <c r="BV824" s="40">
        <f>BU824</f>
        <v>0</v>
      </c>
      <c r="BW824" s="40">
        <f t="shared" ref="BW824:CD824" si="557">BV824</f>
        <v>0</v>
      </c>
      <c r="BX824" s="40">
        <f t="shared" si="557"/>
        <v>0</v>
      </c>
      <c r="BY824" s="40">
        <f t="shared" si="557"/>
        <v>0</v>
      </c>
      <c r="BZ824" s="40">
        <f t="shared" si="557"/>
        <v>0</v>
      </c>
      <c r="CA824" s="40">
        <f t="shared" si="557"/>
        <v>0</v>
      </c>
      <c r="CB824" s="40">
        <f t="shared" si="557"/>
        <v>0</v>
      </c>
      <c r="CC824" s="40">
        <f t="shared" si="557"/>
        <v>0</v>
      </c>
      <c r="CD824" s="40">
        <f t="shared" si="557"/>
        <v>0</v>
      </c>
      <c r="CM824" s="285">
        <v>1.38</v>
      </c>
    </row>
    <row r="825" spans="2:91">
      <c r="B825" s="25" t="s">
        <v>2874</v>
      </c>
      <c r="AV825" s="285"/>
      <c r="AW825" s="285"/>
      <c r="AX825" s="285"/>
      <c r="AY825" s="285"/>
      <c r="AZ825" s="285"/>
      <c r="BA825" s="285"/>
      <c r="BB825" s="285"/>
      <c r="BC825" s="285"/>
      <c r="BD825" s="285"/>
      <c r="BE825" s="285"/>
      <c r="BH825" s="285"/>
      <c r="BI825" s="285"/>
      <c r="BJ825" s="285"/>
      <c r="BK825" s="285"/>
      <c r="BU825" s="40">
        <f t="shared" si="548"/>
        <v>0</v>
      </c>
      <c r="BV825" s="40">
        <f t="shared" ref="BV825:CD832" si="558">BU825</f>
        <v>0</v>
      </c>
      <c r="BW825" s="40">
        <f t="shared" si="558"/>
        <v>0</v>
      </c>
      <c r="BX825" s="40">
        <f t="shared" si="558"/>
        <v>0</v>
      </c>
      <c r="BY825" s="40">
        <f t="shared" si="558"/>
        <v>0</v>
      </c>
      <c r="BZ825" s="40">
        <f t="shared" si="558"/>
        <v>0</v>
      </c>
      <c r="CA825" s="40">
        <f t="shared" si="558"/>
        <v>0</v>
      </c>
      <c r="CB825" s="40">
        <f t="shared" si="558"/>
        <v>0</v>
      </c>
      <c r="CC825" s="40">
        <f t="shared" si="558"/>
        <v>0</v>
      </c>
      <c r="CD825" s="40">
        <f t="shared" si="558"/>
        <v>0</v>
      </c>
    </row>
    <row r="826" spans="2:91">
      <c r="B826" s="99" t="s">
        <v>1972</v>
      </c>
      <c r="BJ826" s="1">
        <v>-200</v>
      </c>
      <c r="BU826" s="40">
        <f t="shared" si="548"/>
        <v>0</v>
      </c>
      <c r="BV826" s="40">
        <f t="shared" si="558"/>
        <v>0</v>
      </c>
      <c r="BW826" s="40">
        <f t="shared" si="558"/>
        <v>0</v>
      </c>
      <c r="BX826" s="40">
        <f t="shared" si="558"/>
        <v>0</v>
      </c>
      <c r="BY826" s="40">
        <f t="shared" si="558"/>
        <v>0</v>
      </c>
      <c r="BZ826" s="40">
        <f t="shared" si="558"/>
        <v>0</v>
      </c>
      <c r="CA826" s="40">
        <f t="shared" si="558"/>
        <v>0</v>
      </c>
      <c r="CB826" s="40">
        <f t="shared" si="558"/>
        <v>0</v>
      </c>
      <c r="CC826" s="40">
        <f t="shared" si="558"/>
        <v>0</v>
      </c>
      <c r="CD826" s="40">
        <f t="shared" si="558"/>
        <v>0</v>
      </c>
    </row>
    <row r="827" spans="2:91">
      <c r="B827" s="99" t="s">
        <v>2241</v>
      </c>
      <c r="BU827" s="40">
        <f t="shared" si="548"/>
        <v>0</v>
      </c>
      <c r="BV827" s="40">
        <f t="shared" si="558"/>
        <v>0</v>
      </c>
      <c r="BW827" s="40">
        <f t="shared" si="558"/>
        <v>0</v>
      </c>
      <c r="BX827" s="40">
        <f t="shared" si="558"/>
        <v>0</v>
      </c>
      <c r="BY827" s="40">
        <f t="shared" si="558"/>
        <v>0</v>
      </c>
      <c r="BZ827" s="40">
        <f t="shared" si="558"/>
        <v>0</v>
      </c>
      <c r="CA827" s="40">
        <f t="shared" si="558"/>
        <v>0</v>
      </c>
      <c r="CB827" s="40">
        <f t="shared" si="558"/>
        <v>0</v>
      </c>
      <c r="CC827" s="40">
        <f t="shared" si="558"/>
        <v>0</v>
      </c>
      <c r="CD827" s="40">
        <f t="shared" si="558"/>
        <v>0</v>
      </c>
    </row>
    <row r="828" spans="2:91">
      <c r="B828" s="99" t="s">
        <v>4289</v>
      </c>
      <c r="BU828" s="40">
        <f t="shared" si="548"/>
        <v>0</v>
      </c>
      <c r="BV828" s="40">
        <f t="shared" si="558"/>
        <v>0</v>
      </c>
      <c r="BW828" s="40">
        <f t="shared" si="558"/>
        <v>0</v>
      </c>
      <c r="BX828" s="40">
        <f t="shared" si="558"/>
        <v>0</v>
      </c>
      <c r="BY828" s="40">
        <f t="shared" si="558"/>
        <v>0</v>
      </c>
      <c r="BZ828" s="40">
        <f t="shared" si="558"/>
        <v>0</v>
      </c>
      <c r="CA828" s="40">
        <f t="shared" si="558"/>
        <v>0</v>
      </c>
      <c r="CB828" s="40">
        <f t="shared" si="558"/>
        <v>0</v>
      </c>
      <c r="CC828" s="40">
        <f t="shared" si="558"/>
        <v>0</v>
      </c>
      <c r="CD828" s="40">
        <f t="shared" si="558"/>
        <v>0</v>
      </c>
      <c r="CM828" s="1">
        <v>1500</v>
      </c>
    </row>
    <row r="829" spans="2:91">
      <c r="B829" s="99" t="s">
        <v>2004</v>
      </c>
      <c r="BU829" s="40">
        <f t="shared" si="548"/>
        <v>0</v>
      </c>
      <c r="BV829" s="40">
        <f t="shared" si="558"/>
        <v>0</v>
      </c>
      <c r="BW829" s="40">
        <f t="shared" si="558"/>
        <v>0</v>
      </c>
      <c r="BX829" s="40">
        <f t="shared" si="558"/>
        <v>0</v>
      </c>
      <c r="BY829" s="40">
        <f t="shared" si="558"/>
        <v>0</v>
      </c>
      <c r="BZ829" s="40">
        <f t="shared" si="558"/>
        <v>0</v>
      </c>
      <c r="CA829" s="40">
        <f t="shared" si="558"/>
        <v>0</v>
      </c>
      <c r="CB829" s="40">
        <f t="shared" si="558"/>
        <v>0</v>
      </c>
      <c r="CC829" s="40">
        <f t="shared" si="558"/>
        <v>0</v>
      </c>
      <c r="CD829" s="40">
        <f t="shared" si="558"/>
        <v>0</v>
      </c>
      <c r="CM829" s="32">
        <f>-1*CM830</f>
        <v>0</v>
      </c>
    </row>
    <row r="830" spans="2:91">
      <c r="B830" s="99" t="s">
        <v>2005</v>
      </c>
      <c r="BU830" s="40">
        <f t="shared" si="548"/>
        <v>0</v>
      </c>
      <c r="BV830" s="40">
        <f t="shared" si="558"/>
        <v>0</v>
      </c>
      <c r="BW830" s="40">
        <f t="shared" si="558"/>
        <v>0</v>
      </c>
      <c r="BX830" s="40">
        <f t="shared" si="558"/>
        <v>0</v>
      </c>
      <c r="BY830" s="40">
        <f t="shared" si="558"/>
        <v>0</v>
      </c>
      <c r="BZ830" s="40">
        <f t="shared" si="558"/>
        <v>0</v>
      </c>
      <c r="CA830" s="40">
        <f t="shared" si="558"/>
        <v>0</v>
      </c>
      <c r="CB830" s="40">
        <f t="shared" si="558"/>
        <v>0</v>
      </c>
      <c r="CC830" s="40">
        <f t="shared" si="558"/>
        <v>0</v>
      </c>
      <c r="CD830" s="40">
        <f t="shared" si="558"/>
        <v>0</v>
      </c>
      <c r="CM830" s="32"/>
    </row>
    <row r="831" spans="2:91">
      <c r="B831" s="25" t="s">
        <v>54</v>
      </c>
      <c r="BD831" s="1">
        <v>190</v>
      </c>
      <c r="BE831" s="1">
        <v>190</v>
      </c>
      <c r="BF831" s="348">
        <f t="shared" ref="BF831:BN831" si="559">BE831+($BO831-$BE831)/10</f>
        <v>251</v>
      </c>
      <c r="BG831" s="348">
        <f t="shared" si="559"/>
        <v>312</v>
      </c>
      <c r="BH831" s="348">
        <f t="shared" si="559"/>
        <v>373</v>
      </c>
      <c r="BI831" s="348">
        <f t="shared" si="559"/>
        <v>434</v>
      </c>
      <c r="BJ831" s="348">
        <f t="shared" si="559"/>
        <v>495</v>
      </c>
      <c r="BK831" s="348">
        <f t="shared" si="559"/>
        <v>556</v>
      </c>
      <c r="BL831" s="348">
        <f t="shared" si="559"/>
        <v>617</v>
      </c>
      <c r="BM831" s="348">
        <f t="shared" si="559"/>
        <v>678</v>
      </c>
      <c r="BN831" s="348">
        <f t="shared" si="559"/>
        <v>739</v>
      </c>
      <c r="BO831" s="1">
        <f>800</f>
        <v>800</v>
      </c>
      <c r="BU831" s="40">
        <f t="shared" ref="BU831:CD831" si="560">BT831</f>
        <v>0</v>
      </c>
      <c r="BV831" s="40">
        <f t="shared" si="560"/>
        <v>0</v>
      </c>
      <c r="BW831" s="40">
        <f t="shared" si="560"/>
        <v>0</v>
      </c>
      <c r="BX831" s="40">
        <f t="shared" si="560"/>
        <v>0</v>
      </c>
      <c r="BY831" s="40">
        <f t="shared" si="560"/>
        <v>0</v>
      </c>
      <c r="BZ831" s="40">
        <f t="shared" si="560"/>
        <v>0</v>
      </c>
      <c r="CA831" s="40">
        <f t="shared" si="560"/>
        <v>0</v>
      </c>
      <c r="CB831" s="40">
        <f t="shared" si="560"/>
        <v>0</v>
      </c>
      <c r="CC831" s="40">
        <f t="shared" si="560"/>
        <v>0</v>
      </c>
      <c r="CD831" s="40">
        <f t="shared" si="560"/>
        <v>0</v>
      </c>
      <c r="CM831" s="1">
        <v>-14.633252406471655</v>
      </c>
    </row>
    <row r="832" spans="2:91">
      <c r="BU832" s="40">
        <f t="shared" si="548"/>
        <v>0</v>
      </c>
      <c r="BV832" s="40">
        <f t="shared" si="558"/>
        <v>0</v>
      </c>
      <c r="BW832" s="40">
        <f t="shared" si="558"/>
        <v>0</v>
      </c>
      <c r="BX832" s="40">
        <f t="shared" si="558"/>
        <v>0</v>
      </c>
      <c r="BY832" s="40">
        <f t="shared" si="558"/>
        <v>0</v>
      </c>
      <c r="BZ832" s="40">
        <f t="shared" si="558"/>
        <v>0</v>
      </c>
      <c r="CA832" s="40">
        <f t="shared" si="558"/>
        <v>0</v>
      </c>
      <c r="CB832" s="40">
        <f t="shared" si="558"/>
        <v>0</v>
      </c>
      <c r="CC832" s="40">
        <f t="shared" si="558"/>
        <v>0</v>
      </c>
      <c r="CD832" s="40">
        <f t="shared" si="558"/>
        <v>0</v>
      </c>
    </row>
    <row r="834" spans="2:91" s="511" customFormat="1">
      <c r="B834" s="511" t="s">
        <v>2042</v>
      </c>
      <c r="BF834" s="512"/>
      <c r="BG834" s="512"/>
    </row>
    <row r="835" spans="2:91">
      <c r="B835" s="532" t="s">
        <v>50</v>
      </c>
      <c r="BJ835" s="285">
        <v>6.9</v>
      </c>
      <c r="BK835" s="285">
        <f t="shared" ref="BK835:BP835" si="561">BK53</f>
        <v>17.70408555820573</v>
      </c>
      <c r="BL835" s="285">
        <f t="shared" si="561"/>
        <v>5.0137272846123571</v>
      </c>
      <c r="BM835" s="285">
        <f t="shared" si="561"/>
        <v>1.9309056956115844</v>
      </c>
      <c r="BN835" s="285">
        <f t="shared" si="561"/>
        <v>3.3697298353607907</v>
      </c>
      <c r="BO835" s="285">
        <f t="shared" si="561"/>
        <v>6.9</v>
      </c>
      <c r="BP835" s="285">
        <f t="shared" si="561"/>
        <v>6</v>
      </c>
      <c r="BQ835" s="285">
        <f>BQ53</f>
        <v>3.7</v>
      </c>
      <c r="BR835" s="285">
        <f>BR53</f>
        <v>3.7</v>
      </c>
      <c r="BS835" s="285">
        <f>BS53</f>
        <v>3.7</v>
      </c>
      <c r="BT835" s="285">
        <f>BT53</f>
        <v>3.7</v>
      </c>
      <c r="BU835" s="285">
        <f t="shared" ref="BU835:CD835" si="562">BU53</f>
        <v>3.7</v>
      </c>
      <c r="BV835" s="285">
        <f t="shared" si="562"/>
        <v>3.7</v>
      </c>
      <c r="BW835" s="285">
        <f t="shared" si="562"/>
        <v>3.7</v>
      </c>
      <c r="BX835" s="285">
        <f t="shared" si="562"/>
        <v>3.7</v>
      </c>
      <c r="BY835" s="285">
        <f t="shared" si="562"/>
        <v>3.7</v>
      </c>
      <c r="BZ835" s="285">
        <f t="shared" si="562"/>
        <v>3.7</v>
      </c>
      <c r="CA835" s="285">
        <f t="shared" si="562"/>
        <v>3.7</v>
      </c>
      <c r="CB835" s="285">
        <f t="shared" si="562"/>
        <v>3.7</v>
      </c>
      <c r="CC835" s="285">
        <f t="shared" si="562"/>
        <v>3.7</v>
      </c>
      <c r="CD835" s="285">
        <f t="shared" si="562"/>
        <v>3.7</v>
      </c>
      <c r="CM835" s="285">
        <f>CM53</f>
        <v>3.6</v>
      </c>
    </row>
    <row r="836" spans="2:91">
      <c r="B836" s="532" t="s">
        <v>51</v>
      </c>
      <c r="BJ836" s="285">
        <v>5.3</v>
      </c>
      <c r="BK836" s="285">
        <f t="shared" ref="BK836:BP836" si="563">BK120</f>
        <v>5.296146765048837</v>
      </c>
      <c r="BL836" s="285">
        <f t="shared" si="563"/>
        <v>3.1</v>
      </c>
      <c r="BM836" s="285">
        <f t="shared" si="563"/>
        <v>2.8</v>
      </c>
      <c r="BN836" s="285">
        <f t="shared" si="563"/>
        <v>1.8380236712362663</v>
      </c>
      <c r="BO836" s="285">
        <f t="shared" si="563"/>
        <v>2.2000000000000002</v>
      </c>
      <c r="BP836" s="285">
        <f t="shared" si="563"/>
        <v>2.6</v>
      </c>
      <c r="BQ836" s="285">
        <f>BQ120</f>
        <v>5.3</v>
      </c>
      <c r="BR836" s="285">
        <f>BR120</f>
        <v>3.3</v>
      </c>
      <c r="BS836" s="285">
        <f>BS120</f>
        <v>3.1</v>
      </c>
      <c r="BT836" s="285">
        <f>BT120</f>
        <v>3.1</v>
      </c>
      <c r="BU836" s="285">
        <f t="shared" ref="BU836:CD836" si="564">BU120</f>
        <v>3.1</v>
      </c>
      <c r="BV836" s="285">
        <f t="shared" si="564"/>
        <v>3.1</v>
      </c>
      <c r="BW836" s="285">
        <f t="shared" si="564"/>
        <v>3.1</v>
      </c>
      <c r="BX836" s="285">
        <f t="shared" si="564"/>
        <v>3.1</v>
      </c>
      <c r="BY836" s="285">
        <f t="shared" si="564"/>
        <v>3.1</v>
      </c>
      <c r="BZ836" s="285">
        <f t="shared" si="564"/>
        <v>3.1</v>
      </c>
      <c r="CA836" s="285">
        <f t="shared" si="564"/>
        <v>3.1</v>
      </c>
      <c r="CB836" s="285">
        <f t="shared" si="564"/>
        <v>3.1</v>
      </c>
      <c r="CC836" s="285">
        <f t="shared" si="564"/>
        <v>3.1</v>
      </c>
      <c r="CD836" s="285">
        <f t="shared" si="564"/>
        <v>3.1</v>
      </c>
      <c r="CM836" s="285">
        <f>CM120</f>
        <v>3.67</v>
      </c>
    </row>
    <row r="837" spans="2:91">
      <c r="B837" s="532" t="s">
        <v>4295</v>
      </c>
      <c r="BJ837" s="285">
        <f>BJ835-Model!BJ388</f>
        <v>-4.4787295318044151E-2</v>
      </c>
      <c r="BK837" s="285">
        <f>BK835-Model!BK388</f>
        <v>0</v>
      </c>
      <c r="BL837" s="285">
        <f>BL835-Model!BL388</f>
        <v>0</v>
      </c>
      <c r="BM837" s="285">
        <f>BM835-Model!BM388</f>
        <v>0</v>
      </c>
      <c r="BN837" s="944">
        <f>BN835-Model!BN388</f>
        <v>0</v>
      </c>
      <c r="BO837" s="944">
        <f>BO835-Model!BO388</f>
        <v>0</v>
      </c>
      <c r="BP837" s="944">
        <f ca="1">BP835-Model!BP388</f>
        <v>-30.355508223363927</v>
      </c>
      <c r="BQ837" s="944">
        <f ca="1">BQ835-Model!BQ388</f>
        <v>-7.7150298932252879</v>
      </c>
      <c r="BR837" s="944">
        <f ca="1">BR835-Model!BR388</f>
        <v>-1.5989819773361722</v>
      </c>
      <c r="BS837" s="944">
        <f ca="1">BS835-Model!BS388</f>
        <v>0.67107970576489695</v>
      </c>
      <c r="BT837" s="944">
        <f ca="1">BT835-Model!BT388</f>
        <v>0.26229484793390778</v>
      </c>
      <c r="BU837" s="944">
        <f ca="1">BU835-Model!BU388</f>
        <v>0.13676622685886919</v>
      </c>
      <c r="BV837" s="944">
        <f ca="1">BV835-Model!BV388</f>
        <v>0.10422367122066856</v>
      </c>
      <c r="BW837" s="944">
        <f ca="1">BW835-Model!BW388</f>
        <v>8.6669597338825177E-2</v>
      </c>
      <c r="BX837" s="944">
        <f ca="1">BX835-Model!BX388</f>
        <v>0.10420112214719524</v>
      </c>
      <c r="BY837" s="944">
        <f ca="1">BY835-Model!BY388</f>
        <v>0.12754202460647868</v>
      </c>
      <c r="BZ837" s="944">
        <f ca="1">BZ835-Model!BZ388</f>
        <v>0.14564507795097814</v>
      </c>
      <c r="CA837" s="944">
        <f ca="1">CA835-Model!CA388</f>
        <v>0.14977995938387423</v>
      </c>
      <c r="CB837" s="944">
        <f ca="1">CB835-Model!CB388</f>
        <v>0.14943040995434043</v>
      </c>
      <c r="CC837" s="944">
        <f ca="1">CC835-Model!CC388</f>
        <v>0.15847237214137078</v>
      </c>
      <c r="CD837" s="944">
        <f ca="1">CD835-Model!CD388</f>
        <v>0.16728078578798566</v>
      </c>
      <c r="CM837" s="285">
        <f>CM835-Model!DF388</f>
        <v>3.7</v>
      </c>
    </row>
    <row r="838" spans="2:91">
      <c r="B838" s="532" t="s">
        <v>4296</v>
      </c>
      <c r="BJ838" s="285">
        <f ca="1">BJ836-Model!BJ396</f>
        <v>0.20000000000000639</v>
      </c>
      <c r="BK838" s="285">
        <f ca="1">BK836-Model!BK396</f>
        <v>2.2204460492503131E-14</v>
      </c>
      <c r="BL838" s="285">
        <f ca="1">BL836-Model!BL396</f>
        <v>-1.3766765505351941E-14</v>
      </c>
      <c r="BM838" s="285">
        <f ca="1">BM836-Model!BM396</f>
        <v>0</v>
      </c>
      <c r="BN838" s="944">
        <f ca="1">BN836-Model!BN396</f>
        <v>0</v>
      </c>
      <c r="BO838" s="944">
        <f ca="1">BO836-Model!BO396</f>
        <v>5.2851487294900945</v>
      </c>
      <c r="BP838" s="944">
        <f ca="1">BP836-Model!BP396</f>
        <v>6.0235844071977223</v>
      </c>
      <c r="BQ838" s="944">
        <f ca="1">BQ836-Model!BQ396</f>
        <v>-5.5378736666789665</v>
      </c>
      <c r="BR838" s="944">
        <f ca="1">BR836-Model!BR396</f>
        <v>-1.2827680121705463</v>
      </c>
      <c r="BS838" s="944">
        <f ca="1">BS836-Model!BS396</f>
        <v>2.3790959824293441</v>
      </c>
      <c r="BT838" s="944">
        <f ca="1">BT836-Model!BT396</f>
        <v>2.3554287048557971</v>
      </c>
      <c r="BU838" s="944">
        <f ca="1">BU836-Model!BU396</f>
        <v>1.3936664040855891</v>
      </c>
      <c r="BV838" s="944">
        <f ca="1">BV836-Model!BV396</f>
        <v>1.3103444026730444</v>
      </c>
      <c r="BW838" s="944">
        <f ca="1">BW836-Model!BW396</f>
        <v>1.3538414090063262</v>
      </c>
      <c r="BX838" s="944">
        <f ca="1">BX836-Model!BX396</f>
        <v>1.3410915495230076</v>
      </c>
      <c r="BY838" s="944">
        <f ca="1">BY836-Model!BY396</f>
        <v>1.31940691496589</v>
      </c>
      <c r="BZ838" s="944">
        <f ca="1">BZ836-Model!BZ396</f>
        <v>1.1284051835630389</v>
      </c>
      <c r="CA838" s="944">
        <f ca="1">CA836-Model!CA396</f>
        <v>0.99941090934413124</v>
      </c>
      <c r="CB838" s="944">
        <f ca="1">CB836-Model!CB396</f>
        <v>0.98923547306769288</v>
      </c>
      <c r="CC838" s="944">
        <f ca="1">CC836-Model!CC396</f>
        <v>0.93815789036824926</v>
      </c>
      <c r="CD838" s="944">
        <f ca="1">CD836-Model!CD396</f>
        <v>0.87946478368113601</v>
      </c>
      <c r="CM838" s="285">
        <f>CM836-Model!DF396</f>
        <v>0.57056456232229991</v>
      </c>
    </row>
    <row r="840" spans="2:91">
      <c r="BL840" s="233">
        <v>3.0155372831175198</v>
      </c>
      <c r="BM840" s="233">
        <v>2.8774632179131343</v>
      </c>
      <c r="BN840" s="233">
        <v>3.438370903616228</v>
      </c>
      <c r="BO840" s="1078">
        <v>3.478450148808987</v>
      </c>
      <c r="BP840" s="233">
        <v>3.5365739097902082</v>
      </c>
      <c r="BQ840" s="233">
        <v>4.0500128508575761</v>
      </c>
      <c r="BR840" s="233">
        <v>3.1638490094227478</v>
      </c>
      <c r="BS840" s="233">
        <v>3.2337277551456545</v>
      </c>
    </row>
    <row r="842" spans="2:91">
      <c r="BK842" s="285"/>
      <c r="BL842" s="285"/>
      <c r="BM842" s="285"/>
      <c r="BN842" s="285"/>
      <c r="BO842" s="285"/>
      <c r="CM842" s="285">
        <v>2.165</v>
      </c>
    </row>
    <row r="844" spans="2:91" hidden="1">
      <c r="BN844" s="1">
        <v>-53</v>
      </c>
      <c r="BO844" s="1">
        <v>913</v>
      </c>
      <c r="BP844" s="1">
        <v>-108</v>
      </c>
      <c r="BQ844" s="1">
        <v>-167</v>
      </c>
    </row>
    <row r="845" spans="2:91" hidden="1">
      <c r="BK845" s="285"/>
      <c r="BL845" s="285"/>
      <c r="BM845" s="285"/>
      <c r="BN845" s="285">
        <v>3.76</v>
      </c>
      <c r="BO845" s="285">
        <v>3.91</v>
      </c>
      <c r="BP845" s="1">
        <v>1.66</v>
      </c>
      <c r="BQ845" s="1">
        <v>0.95</v>
      </c>
      <c r="CM845" s="285">
        <v>9.1</v>
      </c>
    </row>
    <row r="849" spans="2:91" s="410" customFormat="1" ht="22.5">
      <c r="B849" s="872" t="s">
        <v>773</v>
      </c>
      <c r="BF849" s="465"/>
      <c r="BG849" s="465"/>
    </row>
    <row r="850" spans="2:91">
      <c r="B850" s="537"/>
      <c r="C850" s="873"/>
      <c r="BI850" s="1" t="s">
        <v>122</v>
      </c>
      <c r="BJ850" s="1" t="s">
        <v>774</v>
      </c>
      <c r="BK850" s="1" t="s">
        <v>774</v>
      </c>
      <c r="BL850" s="1" t="s">
        <v>774</v>
      </c>
      <c r="BM850" s="1" t="s">
        <v>774</v>
      </c>
      <c r="BN850" s="1" t="s">
        <v>774</v>
      </c>
      <c r="BO850" s="1" t="s">
        <v>774</v>
      </c>
      <c r="BP850" s="1" t="s">
        <v>774</v>
      </c>
      <c r="CM850" s="1" t="s">
        <v>774</v>
      </c>
    </row>
    <row r="851" spans="2:91">
      <c r="B851" s="537" t="s">
        <v>775</v>
      </c>
      <c r="C851" s="873"/>
      <c r="D851" s="873" t="s">
        <v>776</v>
      </c>
      <c r="E851" s="873"/>
      <c r="F851" s="873"/>
      <c r="G851" s="873"/>
      <c r="H851" s="873"/>
      <c r="I851" s="873"/>
      <c r="J851" s="873"/>
      <c r="K851" s="873"/>
      <c r="L851" s="873"/>
      <c r="M851" s="873"/>
      <c r="N851" s="873"/>
      <c r="O851" s="873"/>
      <c r="P851" s="873"/>
      <c r="Q851" s="873"/>
      <c r="R851" s="873"/>
      <c r="S851" s="873"/>
      <c r="T851" s="873"/>
      <c r="U851" s="873"/>
      <c r="V851" s="873"/>
      <c r="W851" s="873"/>
      <c r="X851" s="873"/>
      <c r="Y851" s="873"/>
      <c r="Z851" s="873"/>
      <c r="AA851" s="873"/>
      <c r="AB851" s="873"/>
      <c r="AC851" s="873"/>
      <c r="AD851" s="873"/>
      <c r="AE851" s="873"/>
      <c r="AF851" s="873"/>
      <c r="AG851" s="873"/>
      <c r="AH851" s="873"/>
      <c r="AI851" s="873"/>
      <c r="AJ851" s="873"/>
      <c r="AK851" s="873"/>
      <c r="AL851" s="873"/>
      <c r="AM851" s="873"/>
      <c r="AN851" s="873"/>
      <c r="AO851" s="873"/>
      <c r="AP851" s="873"/>
      <c r="AQ851" s="873"/>
      <c r="AR851" s="873"/>
      <c r="AS851" s="873"/>
      <c r="AT851" s="873"/>
      <c r="AU851" s="873"/>
      <c r="BU851" s="40">
        <f t="shared" ref="BU851:CD851" si="565">BT851</f>
        <v>0</v>
      </c>
      <c r="BV851" s="40">
        <f t="shared" si="565"/>
        <v>0</v>
      </c>
      <c r="BW851" s="40">
        <f t="shared" si="565"/>
        <v>0</v>
      </c>
      <c r="BX851" s="40">
        <f t="shared" si="565"/>
        <v>0</v>
      </c>
      <c r="BY851" s="40">
        <f t="shared" si="565"/>
        <v>0</v>
      </c>
      <c r="BZ851" s="40">
        <f t="shared" si="565"/>
        <v>0</v>
      </c>
      <c r="CA851" s="40">
        <f t="shared" si="565"/>
        <v>0</v>
      </c>
      <c r="CB851" s="40">
        <f t="shared" si="565"/>
        <v>0</v>
      </c>
      <c r="CC851" s="40">
        <f t="shared" si="565"/>
        <v>0</v>
      </c>
      <c r="CD851" s="40">
        <f t="shared" si="565"/>
        <v>0</v>
      </c>
    </row>
    <row r="852" spans="2:91">
      <c r="B852" s="537" t="s">
        <v>777</v>
      </c>
      <c r="C852" s="873"/>
      <c r="D852" s="873" t="s">
        <v>779</v>
      </c>
      <c r="E852" s="873"/>
      <c r="F852" s="873"/>
      <c r="G852" s="873"/>
      <c r="H852" s="873"/>
      <c r="I852" s="873"/>
      <c r="J852" s="873"/>
      <c r="K852" s="873"/>
      <c r="L852" s="873"/>
      <c r="M852" s="873"/>
      <c r="N852" s="873"/>
      <c r="O852" s="873"/>
      <c r="P852" s="873"/>
      <c r="Q852" s="873"/>
      <c r="R852" s="873"/>
      <c r="S852" s="873"/>
      <c r="T852" s="873"/>
      <c r="U852" s="873"/>
      <c r="V852" s="873"/>
      <c r="W852" s="873"/>
      <c r="X852" s="873"/>
      <c r="Y852" s="873"/>
      <c r="Z852" s="873"/>
      <c r="AA852" s="873"/>
      <c r="AB852" s="873"/>
      <c r="AC852" s="873"/>
      <c r="AD852" s="873"/>
      <c r="AE852" s="873"/>
      <c r="AF852" s="873"/>
      <c r="AG852" s="873"/>
      <c r="AH852" s="873"/>
      <c r="AI852" s="873"/>
      <c r="AJ852" s="873"/>
      <c r="AK852" s="873"/>
      <c r="AL852" s="873"/>
      <c r="AM852" s="873"/>
      <c r="AN852" s="873"/>
      <c r="AO852" s="873"/>
      <c r="AP852" s="873"/>
      <c r="AQ852" s="873"/>
      <c r="AR852" s="873"/>
      <c r="AS852" s="873"/>
      <c r="AT852" s="873"/>
      <c r="AU852" s="873"/>
      <c r="BI852" s="1">
        <v>11093.074000000001</v>
      </c>
      <c r="BJ852" s="1">
        <v>12832.432000000001</v>
      </c>
      <c r="BK852" s="1">
        <v>12060.608</v>
      </c>
      <c r="BL852" s="1">
        <v>12754.894</v>
      </c>
      <c r="BM852" s="1">
        <v>12799.82</v>
      </c>
      <c r="BN852" s="1">
        <v>12799.82</v>
      </c>
      <c r="BO852" s="1">
        <v>13999.94</v>
      </c>
      <c r="BP852" s="1">
        <v>13999.866</v>
      </c>
      <c r="BU852" s="40">
        <f t="shared" ref="BU852:CD852" si="566">BT852</f>
        <v>0</v>
      </c>
      <c r="BV852" s="40">
        <f t="shared" si="566"/>
        <v>0</v>
      </c>
      <c r="BW852" s="40">
        <f t="shared" si="566"/>
        <v>0</v>
      </c>
      <c r="BX852" s="40">
        <f t="shared" si="566"/>
        <v>0</v>
      </c>
      <c r="BY852" s="40">
        <f t="shared" si="566"/>
        <v>0</v>
      </c>
      <c r="BZ852" s="40">
        <f t="shared" si="566"/>
        <v>0</v>
      </c>
      <c r="CA852" s="40">
        <f t="shared" si="566"/>
        <v>0</v>
      </c>
      <c r="CB852" s="40">
        <f t="shared" si="566"/>
        <v>0</v>
      </c>
      <c r="CC852" s="40">
        <f t="shared" si="566"/>
        <v>0</v>
      </c>
      <c r="CD852" s="40">
        <f t="shared" si="566"/>
        <v>0</v>
      </c>
      <c r="CM852" s="1">
        <v>12754.894</v>
      </c>
    </row>
    <row r="853" spans="2:91">
      <c r="B853" s="537" t="s">
        <v>780</v>
      </c>
      <c r="C853" s="873"/>
      <c r="D853" s="873" t="s">
        <v>781</v>
      </c>
      <c r="E853" s="873"/>
      <c r="F853" s="873"/>
      <c r="G853" s="873"/>
      <c r="H853" s="873"/>
      <c r="I853" s="873"/>
      <c r="J853" s="873"/>
      <c r="K853" s="873"/>
      <c r="L853" s="873"/>
      <c r="M853" s="873"/>
      <c r="N853" s="873"/>
      <c r="O853" s="873"/>
      <c r="P853" s="873"/>
      <c r="Q853" s="873"/>
      <c r="R853" s="873"/>
      <c r="S853" s="873"/>
      <c r="T853" s="873"/>
      <c r="U853" s="873"/>
      <c r="V853" s="873"/>
      <c r="W853" s="873"/>
      <c r="X853" s="873"/>
      <c r="Y853" s="873"/>
      <c r="Z853" s="873"/>
      <c r="AA853" s="873"/>
      <c r="AB853" s="873"/>
      <c r="AC853" s="873"/>
      <c r="AD853" s="873"/>
      <c r="AE853" s="873"/>
      <c r="AF853" s="873"/>
      <c r="AG853" s="873"/>
      <c r="AH853" s="873"/>
      <c r="AI853" s="873"/>
      <c r="AJ853" s="873"/>
      <c r="AK853" s="873"/>
      <c r="AL853" s="873"/>
      <c r="AM853" s="873"/>
      <c r="AN853" s="873"/>
      <c r="AO853" s="873"/>
      <c r="AP853" s="873"/>
      <c r="AQ853" s="873"/>
      <c r="AR853" s="873"/>
      <c r="AS853" s="873"/>
      <c r="AT853" s="873"/>
      <c r="AU853" s="873"/>
      <c r="BI853" s="1">
        <v>412.49154600000003</v>
      </c>
      <c r="BJ853" s="1">
        <v>415.52100000000002</v>
      </c>
      <c r="BK853" s="1">
        <v>388.483</v>
      </c>
      <c r="BL853" s="1">
        <v>399.279</v>
      </c>
      <c r="BM853" s="1">
        <v>381.28800000000001</v>
      </c>
      <c r="BN853" s="1">
        <v>355.48200000000003</v>
      </c>
      <c r="BO853" s="1">
        <v>390.48500000000001</v>
      </c>
      <c r="BP853" s="1">
        <v>390.96100000000001</v>
      </c>
      <c r="BU853" s="40">
        <f t="shared" ref="BU853:CD853" si="567">BT853</f>
        <v>0</v>
      </c>
      <c r="BV853" s="40">
        <f t="shared" si="567"/>
        <v>0</v>
      </c>
      <c r="BW853" s="40">
        <f t="shared" si="567"/>
        <v>0</v>
      </c>
      <c r="BX853" s="40">
        <f t="shared" si="567"/>
        <v>0</v>
      </c>
      <c r="BY853" s="40">
        <f t="shared" si="567"/>
        <v>0</v>
      </c>
      <c r="BZ853" s="40">
        <f t="shared" si="567"/>
        <v>0</v>
      </c>
      <c r="CA853" s="40">
        <f t="shared" si="567"/>
        <v>0</v>
      </c>
      <c r="CB853" s="40">
        <f t="shared" si="567"/>
        <v>0</v>
      </c>
      <c r="CC853" s="40">
        <f t="shared" si="567"/>
        <v>0</v>
      </c>
      <c r="CD853" s="40">
        <f t="shared" si="567"/>
        <v>0</v>
      </c>
      <c r="CM853" s="1">
        <v>399.279</v>
      </c>
    </row>
    <row r="854" spans="2:91">
      <c r="B854" s="537" t="s">
        <v>782</v>
      </c>
      <c r="C854" s="873"/>
      <c r="D854" s="873" t="s">
        <v>781</v>
      </c>
      <c r="E854" s="873"/>
      <c r="F854" s="873"/>
      <c r="G854" s="873"/>
      <c r="H854" s="873"/>
      <c r="I854" s="873"/>
      <c r="J854" s="873"/>
      <c r="K854" s="873"/>
      <c r="L854" s="873"/>
      <c r="M854" s="873"/>
      <c r="N854" s="873"/>
      <c r="O854" s="873"/>
      <c r="P854" s="873"/>
      <c r="Q854" s="873"/>
      <c r="R854" s="873"/>
      <c r="S854" s="873"/>
      <c r="T854" s="873"/>
      <c r="U854" s="873"/>
      <c r="V854" s="873"/>
      <c r="W854" s="873"/>
      <c r="X854" s="873"/>
      <c r="Y854" s="873"/>
      <c r="Z854" s="873"/>
      <c r="AA854" s="873"/>
      <c r="AB854" s="873"/>
      <c r="AC854" s="873"/>
      <c r="AD854" s="873"/>
      <c r="AE854" s="873"/>
      <c r="AF854" s="873"/>
      <c r="AG854" s="873"/>
      <c r="AH854" s="873"/>
      <c r="AI854" s="873"/>
      <c r="AJ854" s="873"/>
      <c r="AK854" s="873"/>
      <c r="AL854" s="873"/>
      <c r="AM854" s="873"/>
      <c r="AN854" s="873"/>
      <c r="AO854" s="873"/>
      <c r="AP854" s="873"/>
      <c r="AQ854" s="873"/>
      <c r="AR854" s="873"/>
      <c r="AS854" s="873"/>
      <c r="AT854" s="873"/>
      <c r="AU854" s="873"/>
      <c r="BI854" s="1">
        <v>389.17514299999999</v>
      </c>
      <c r="BJ854" s="1">
        <v>392.096</v>
      </c>
      <c r="BK854" s="1">
        <v>379.74200000000002</v>
      </c>
      <c r="BL854" s="1">
        <v>390.29500000000002</v>
      </c>
      <c r="BM854" s="1">
        <v>372.709</v>
      </c>
      <c r="BN854" s="1">
        <v>160.63937300000001</v>
      </c>
      <c r="BO854" s="1">
        <v>381.69900000000001</v>
      </c>
      <c r="BP854" s="1">
        <v>382.16399999999999</v>
      </c>
      <c r="BU854" s="40">
        <f t="shared" ref="BU854:CD854" si="568">BT854</f>
        <v>0</v>
      </c>
      <c r="BV854" s="40">
        <f t="shared" si="568"/>
        <v>0</v>
      </c>
      <c r="BW854" s="40">
        <f t="shared" si="568"/>
        <v>0</v>
      </c>
      <c r="BX854" s="40">
        <f t="shared" si="568"/>
        <v>0</v>
      </c>
      <c r="BY854" s="40">
        <f t="shared" si="568"/>
        <v>0</v>
      </c>
      <c r="BZ854" s="40">
        <f t="shared" si="568"/>
        <v>0</v>
      </c>
      <c r="CA854" s="40">
        <f t="shared" si="568"/>
        <v>0</v>
      </c>
      <c r="CB854" s="40">
        <f t="shared" si="568"/>
        <v>0</v>
      </c>
      <c r="CC854" s="40">
        <f t="shared" si="568"/>
        <v>0</v>
      </c>
      <c r="CD854" s="40">
        <f t="shared" si="568"/>
        <v>0</v>
      </c>
      <c r="CM854" s="1">
        <v>390.29500000000002</v>
      </c>
    </row>
    <row r="855" spans="2:91">
      <c r="B855" s="874" t="s">
        <v>2018</v>
      </c>
      <c r="C855" s="873"/>
      <c r="D855" s="873"/>
      <c r="E855" s="873"/>
      <c r="F855" s="873"/>
      <c r="G855" s="873"/>
      <c r="H855" s="873"/>
      <c r="I855" s="873"/>
      <c r="J855" s="873"/>
      <c r="K855" s="873"/>
      <c r="L855" s="873"/>
      <c r="M855" s="873"/>
      <c r="N855" s="873"/>
      <c r="O855" s="873"/>
      <c r="P855" s="873"/>
      <c r="Q855" s="873"/>
      <c r="R855" s="873"/>
      <c r="S855" s="873"/>
      <c r="T855" s="873"/>
      <c r="U855" s="873"/>
      <c r="V855" s="873"/>
      <c r="W855" s="873"/>
      <c r="X855" s="873"/>
      <c r="Y855" s="873"/>
      <c r="Z855" s="873"/>
      <c r="AA855" s="873"/>
      <c r="AB855" s="873"/>
      <c r="AC855" s="873"/>
      <c r="AD855" s="873"/>
      <c r="AE855" s="873"/>
      <c r="AF855" s="873"/>
      <c r="AG855" s="873"/>
      <c r="AH855" s="873"/>
      <c r="AI855" s="873"/>
      <c r="AJ855" s="873"/>
      <c r="AK855" s="873"/>
      <c r="AL855" s="873"/>
      <c r="AM855" s="873"/>
      <c r="AN855" s="873"/>
      <c r="AO855" s="873"/>
      <c r="AP855" s="873"/>
      <c r="AQ855" s="873"/>
      <c r="AR855" s="873"/>
      <c r="AS855" s="873"/>
      <c r="AT855" s="873"/>
      <c r="AU855" s="873"/>
      <c r="BJ855" s="875">
        <f t="shared" ref="BJ855:BP855" si="569">(BJ854/BI854-1)*100</f>
        <v>0.75052506629387228</v>
      </c>
      <c r="BK855" s="875">
        <f t="shared" si="569"/>
        <v>-3.1507589977964545</v>
      </c>
      <c r="BL855" s="875">
        <f t="shared" si="569"/>
        <v>2.7789920524988077</v>
      </c>
      <c r="BM855" s="875">
        <f t="shared" si="569"/>
        <v>-4.505822518863944</v>
      </c>
      <c r="BN855" s="875">
        <f t="shared" si="569"/>
        <v>-56.899518659329395</v>
      </c>
      <c r="BO855" s="875">
        <f t="shared" si="569"/>
        <v>137.61235671655666</v>
      </c>
      <c r="BP855" s="875">
        <f t="shared" si="569"/>
        <v>0.12182374069620305</v>
      </c>
      <c r="BU855" s="40">
        <f t="shared" ref="BU855:CD855" si="570">BT855</f>
        <v>0</v>
      </c>
      <c r="BV855" s="40">
        <f t="shared" si="570"/>
        <v>0</v>
      </c>
      <c r="BW855" s="40">
        <f t="shared" si="570"/>
        <v>0</v>
      </c>
      <c r="BX855" s="40">
        <f t="shared" si="570"/>
        <v>0</v>
      </c>
      <c r="BY855" s="40">
        <f t="shared" si="570"/>
        <v>0</v>
      </c>
      <c r="BZ855" s="40">
        <f t="shared" si="570"/>
        <v>0</v>
      </c>
      <c r="CA855" s="40">
        <f t="shared" si="570"/>
        <v>0</v>
      </c>
      <c r="CB855" s="40">
        <f t="shared" si="570"/>
        <v>0</v>
      </c>
      <c r="CC855" s="40">
        <f t="shared" si="570"/>
        <v>0</v>
      </c>
      <c r="CD855" s="40">
        <f t="shared" si="570"/>
        <v>0</v>
      </c>
      <c r="CM855" s="875" t="e">
        <f>(CM854/CL854-1)*100</f>
        <v>#DIV/0!</v>
      </c>
    </row>
    <row r="856" spans="2:91">
      <c r="B856" s="537" t="s">
        <v>783</v>
      </c>
      <c r="C856" s="873"/>
      <c r="D856" s="873" t="s">
        <v>784</v>
      </c>
      <c r="E856" s="873"/>
      <c r="F856" s="873"/>
      <c r="G856" s="873"/>
      <c r="H856" s="873"/>
      <c r="I856" s="873"/>
      <c r="J856" s="873"/>
      <c r="K856" s="873"/>
      <c r="L856" s="873"/>
      <c r="M856" s="873"/>
      <c r="N856" s="873"/>
      <c r="O856" s="873"/>
      <c r="P856" s="873"/>
      <c r="Q856" s="873"/>
      <c r="R856" s="873"/>
      <c r="S856" s="873"/>
      <c r="T856" s="873"/>
      <c r="U856" s="873"/>
      <c r="V856" s="873"/>
      <c r="W856" s="873"/>
      <c r="X856" s="873"/>
      <c r="Y856" s="873"/>
      <c r="Z856" s="873"/>
      <c r="AA856" s="873"/>
      <c r="AB856" s="873"/>
      <c r="AC856" s="873"/>
      <c r="AD856" s="873"/>
      <c r="AE856" s="873"/>
      <c r="AF856" s="873"/>
      <c r="AG856" s="873"/>
      <c r="AH856" s="873"/>
      <c r="AI856" s="873"/>
      <c r="AJ856" s="873"/>
      <c r="AK856" s="873"/>
      <c r="AL856" s="873"/>
      <c r="AM856" s="873"/>
      <c r="AN856" s="873"/>
      <c r="AO856" s="873"/>
      <c r="AP856" s="873"/>
      <c r="AQ856" s="873"/>
      <c r="AR856" s="873"/>
      <c r="AS856" s="873"/>
      <c r="AT856" s="873"/>
      <c r="AU856" s="873"/>
      <c r="BI856" s="1">
        <v>989</v>
      </c>
      <c r="BJ856" s="1">
        <v>1241</v>
      </c>
      <c r="BK856" s="1">
        <v>1300</v>
      </c>
      <c r="BL856" s="1">
        <v>1700</v>
      </c>
      <c r="BM856" s="1">
        <v>1700</v>
      </c>
      <c r="BN856" s="1">
        <v>1301.123520508263</v>
      </c>
      <c r="BO856" s="1">
        <v>1400</v>
      </c>
      <c r="BP856" s="1">
        <v>1400</v>
      </c>
      <c r="BU856" s="40">
        <f t="shared" ref="BU856:CD856" si="571">BT856</f>
        <v>0</v>
      </c>
      <c r="BV856" s="40">
        <f t="shared" si="571"/>
        <v>0</v>
      </c>
      <c r="BW856" s="40">
        <f t="shared" si="571"/>
        <v>0</v>
      </c>
      <c r="BX856" s="40">
        <f t="shared" si="571"/>
        <v>0</v>
      </c>
      <c r="BY856" s="40">
        <f t="shared" si="571"/>
        <v>0</v>
      </c>
      <c r="BZ856" s="40">
        <f t="shared" si="571"/>
        <v>0</v>
      </c>
      <c r="CA856" s="40">
        <f t="shared" si="571"/>
        <v>0</v>
      </c>
      <c r="CB856" s="40">
        <f t="shared" si="571"/>
        <v>0</v>
      </c>
      <c r="CC856" s="40">
        <f t="shared" si="571"/>
        <v>0</v>
      </c>
      <c r="CD856" s="40">
        <f t="shared" si="571"/>
        <v>0</v>
      </c>
      <c r="CM856" s="1">
        <v>1700</v>
      </c>
    </row>
    <row r="857" spans="2:91">
      <c r="B857" s="537" t="s">
        <v>1561</v>
      </c>
      <c r="C857" s="873"/>
      <c r="D857" s="873" t="s">
        <v>785</v>
      </c>
      <c r="E857" s="873"/>
      <c r="F857" s="873"/>
      <c r="G857" s="873"/>
      <c r="H857" s="873"/>
      <c r="I857" s="873"/>
      <c r="J857" s="873"/>
      <c r="K857" s="873"/>
      <c r="L857" s="873"/>
      <c r="M857" s="873"/>
      <c r="N857" s="873"/>
      <c r="O857" s="873"/>
      <c r="P857" s="873"/>
      <c r="Q857" s="873"/>
      <c r="R857" s="873"/>
      <c r="S857" s="873"/>
      <c r="T857" s="873"/>
      <c r="U857" s="873"/>
      <c r="V857" s="873"/>
      <c r="W857" s="873"/>
      <c r="X857" s="873"/>
      <c r="Y857" s="873"/>
      <c r="Z857" s="873"/>
      <c r="AA857" s="873"/>
      <c r="AB857" s="873"/>
      <c r="AC857" s="873"/>
      <c r="AD857" s="873"/>
      <c r="AE857" s="873"/>
      <c r="AF857" s="873"/>
      <c r="AG857" s="873"/>
      <c r="AH857" s="873"/>
      <c r="AI857" s="873"/>
      <c r="AJ857" s="873"/>
      <c r="AK857" s="873"/>
      <c r="AL857" s="873"/>
      <c r="AM857" s="873"/>
      <c r="AN857" s="873"/>
      <c r="AO857" s="873"/>
      <c r="AP857" s="873"/>
      <c r="AQ857" s="873"/>
      <c r="AR857" s="873"/>
      <c r="AS857" s="873"/>
      <c r="AT857" s="873"/>
      <c r="AU857" s="873"/>
      <c r="BI857" s="1">
        <v>68.912999999999997</v>
      </c>
      <c r="BJ857" s="1">
        <v>57</v>
      </c>
      <c r="BK857" s="1">
        <v>95.174000000000007</v>
      </c>
      <c r="BL857" s="1">
        <v>141.191</v>
      </c>
      <c r="BM857" s="1">
        <v>141.476</v>
      </c>
      <c r="BN857" s="1">
        <v>251.93299999999999</v>
      </c>
      <c r="BO857" s="1">
        <v>98.843000000000004</v>
      </c>
      <c r="BP857" s="1">
        <v>89.381</v>
      </c>
      <c r="BU857" s="40">
        <f t="shared" ref="BU857:CD857" si="572">BT857</f>
        <v>0</v>
      </c>
      <c r="BV857" s="40">
        <f t="shared" si="572"/>
        <v>0</v>
      </c>
      <c r="BW857" s="40">
        <f t="shared" si="572"/>
        <v>0</v>
      </c>
      <c r="BX857" s="40">
        <f t="shared" si="572"/>
        <v>0</v>
      </c>
      <c r="BY857" s="40">
        <f t="shared" si="572"/>
        <v>0</v>
      </c>
      <c r="BZ857" s="40">
        <f t="shared" si="572"/>
        <v>0</v>
      </c>
      <c r="CA857" s="40">
        <f t="shared" si="572"/>
        <v>0</v>
      </c>
      <c r="CB857" s="40">
        <f t="shared" si="572"/>
        <v>0</v>
      </c>
      <c r="CC857" s="40">
        <f t="shared" si="572"/>
        <v>0</v>
      </c>
      <c r="CD857" s="40">
        <f t="shared" si="572"/>
        <v>0</v>
      </c>
      <c r="CM857" s="1">
        <v>141.191</v>
      </c>
    </row>
    <row r="858" spans="2:91">
      <c r="B858" s="25" t="s">
        <v>3255</v>
      </c>
      <c r="C858" s="873"/>
      <c r="D858" s="873"/>
      <c r="E858" s="873"/>
      <c r="F858" s="873"/>
      <c r="G858" s="873"/>
      <c r="H858" s="873"/>
      <c r="I858" s="873"/>
      <c r="J858" s="873"/>
      <c r="K858" s="873"/>
      <c r="L858" s="873"/>
      <c r="M858" s="873"/>
      <c r="N858" s="873"/>
      <c r="O858" s="873"/>
      <c r="P858" s="873"/>
      <c r="Q858" s="873"/>
      <c r="R858" s="873"/>
      <c r="S858" s="873"/>
      <c r="T858" s="873"/>
      <c r="U858" s="873"/>
      <c r="V858" s="873"/>
      <c r="W858" s="873"/>
      <c r="X858" s="873"/>
      <c r="Y858" s="873"/>
      <c r="Z858" s="873"/>
      <c r="AA858" s="873"/>
      <c r="AB858" s="873"/>
      <c r="AC858" s="873"/>
      <c r="AD858" s="873"/>
      <c r="AE858" s="873"/>
      <c r="AF858" s="873"/>
      <c r="AG858" s="873"/>
      <c r="AH858" s="873"/>
      <c r="AI858" s="873"/>
      <c r="AJ858" s="873"/>
      <c r="AK858" s="873"/>
      <c r="AL858" s="873"/>
      <c r="AM858" s="873"/>
      <c r="AN858" s="873"/>
      <c r="AO858" s="873"/>
      <c r="AP858" s="873"/>
      <c r="AQ858" s="873"/>
      <c r="AR858" s="873"/>
      <c r="AS858" s="873"/>
      <c r="AT858" s="873"/>
      <c r="AU858" s="873"/>
      <c r="BJ858" s="285"/>
      <c r="BK858" s="285"/>
      <c r="BL858" s="285">
        <v>54.94</v>
      </c>
      <c r="BM858" s="1">
        <v>61.051000000000002</v>
      </c>
      <c r="BN858" s="1">
        <v>66.673000000000002</v>
      </c>
      <c r="BO858" s="1">
        <v>73.063000000000002</v>
      </c>
      <c r="BP858" s="1">
        <v>78.188000000000002</v>
      </c>
      <c r="BU858" s="40">
        <f t="shared" ref="BU858:CD858" si="573">BT858</f>
        <v>0</v>
      </c>
      <c r="BV858" s="40">
        <f t="shared" si="573"/>
        <v>0</v>
      </c>
      <c r="BW858" s="40">
        <f t="shared" si="573"/>
        <v>0</v>
      </c>
      <c r="BX858" s="40">
        <f t="shared" si="573"/>
        <v>0</v>
      </c>
      <c r="BY858" s="40">
        <f t="shared" si="573"/>
        <v>0</v>
      </c>
      <c r="BZ858" s="40">
        <f t="shared" si="573"/>
        <v>0</v>
      </c>
      <c r="CA858" s="40">
        <f t="shared" si="573"/>
        <v>0</v>
      </c>
      <c r="CB858" s="40">
        <f t="shared" si="573"/>
        <v>0</v>
      </c>
      <c r="CC858" s="40">
        <f t="shared" si="573"/>
        <v>0</v>
      </c>
      <c r="CD858" s="40">
        <f t="shared" si="573"/>
        <v>0</v>
      </c>
      <c r="CM858" s="285">
        <v>54.94</v>
      </c>
    </row>
    <row r="859" spans="2:91">
      <c r="B859" s="537" t="s">
        <v>786</v>
      </c>
      <c r="C859" s="873"/>
      <c r="D859" s="873"/>
      <c r="E859" s="873"/>
      <c r="F859" s="873"/>
      <c r="G859" s="873"/>
      <c r="H859" s="873"/>
      <c r="I859" s="873"/>
      <c r="J859" s="873"/>
      <c r="K859" s="873"/>
      <c r="L859" s="873"/>
      <c r="M859" s="873"/>
      <c r="N859" s="873"/>
      <c r="O859" s="873"/>
      <c r="P859" s="873"/>
      <c r="Q859" s="873"/>
      <c r="R859" s="873"/>
      <c r="S859" s="873"/>
      <c r="T859" s="873"/>
      <c r="U859" s="873"/>
      <c r="V859" s="873"/>
      <c r="W859" s="873"/>
      <c r="X859" s="873"/>
      <c r="Y859" s="873"/>
      <c r="Z859" s="873"/>
      <c r="AA859" s="873"/>
      <c r="AB859" s="873"/>
      <c r="AC859" s="873"/>
      <c r="AD859" s="873"/>
      <c r="AE859" s="873"/>
      <c r="AF859" s="873"/>
      <c r="AG859" s="873"/>
      <c r="AH859" s="873"/>
      <c r="AI859" s="873"/>
      <c r="AJ859" s="873"/>
      <c r="AK859" s="873"/>
      <c r="AL859" s="873"/>
      <c r="AM859" s="873"/>
      <c r="AN859" s="873"/>
      <c r="AO859" s="873"/>
      <c r="AP859" s="873"/>
      <c r="AQ859" s="873"/>
      <c r="AR859" s="873"/>
      <c r="AS859" s="873"/>
      <c r="AT859" s="873"/>
      <c r="AU859" s="873"/>
      <c r="BM859" s="1">
        <f>147458555/1000000</f>
        <v>147.45855499999999</v>
      </c>
      <c r="BU859" s="40">
        <f t="shared" ref="BU859:CD859" si="574">BT859</f>
        <v>0</v>
      </c>
      <c r="BV859" s="40">
        <f t="shared" si="574"/>
        <v>0</v>
      </c>
      <c r="BW859" s="40">
        <f t="shared" si="574"/>
        <v>0</v>
      </c>
      <c r="BX859" s="40">
        <f t="shared" si="574"/>
        <v>0</v>
      </c>
      <c r="BY859" s="40">
        <f t="shared" si="574"/>
        <v>0</v>
      </c>
      <c r="BZ859" s="40">
        <f t="shared" si="574"/>
        <v>0</v>
      </c>
      <c r="CA859" s="40">
        <f t="shared" si="574"/>
        <v>0</v>
      </c>
      <c r="CB859" s="40">
        <f t="shared" si="574"/>
        <v>0</v>
      </c>
      <c r="CC859" s="40">
        <f t="shared" si="574"/>
        <v>0</v>
      </c>
      <c r="CD859" s="40">
        <f t="shared" si="574"/>
        <v>0</v>
      </c>
    </row>
    <row r="860" spans="2:91">
      <c r="B860" s="537" t="s">
        <v>787</v>
      </c>
      <c r="C860" s="873"/>
      <c r="D860" s="873" t="s">
        <v>785</v>
      </c>
      <c r="E860" s="873"/>
      <c r="F860" s="873"/>
      <c r="G860" s="873"/>
      <c r="H860" s="873"/>
      <c r="I860" s="873"/>
      <c r="J860" s="873"/>
      <c r="K860" s="873"/>
      <c r="L860" s="873"/>
      <c r="M860" s="873"/>
      <c r="N860" s="873"/>
      <c r="O860" s="873"/>
      <c r="P860" s="873"/>
      <c r="Q860" s="873"/>
      <c r="R860" s="873"/>
      <c r="S860" s="873"/>
      <c r="T860" s="873"/>
      <c r="U860" s="873"/>
      <c r="V860" s="873"/>
      <c r="W860" s="873"/>
      <c r="X860" s="873"/>
      <c r="Y860" s="873"/>
      <c r="Z860" s="873"/>
      <c r="AA860" s="873"/>
      <c r="AB860" s="873"/>
      <c r="AC860" s="873"/>
      <c r="AD860" s="873"/>
      <c r="AE860" s="873"/>
      <c r="AF860" s="873"/>
      <c r="AG860" s="873"/>
      <c r="AH860" s="873"/>
      <c r="AI860" s="873"/>
      <c r="AJ860" s="873"/>
      <c r="AK860" s="873"/>
      <c r="AL860" s="873"/>
      <c r="AM860" s="873"/>
      <c r="AN860" s="873"/>
      <c r="AO860" s="873"/>
      <c r="AP860" s="873"/>
      <c r="AQ860" s="873"/>
      <c r="AR860" s="873"/>
      <c r="AS860" s="873"/>
      <c r="AT860" s="873"/>
      <c r="AU860" s="873"/>
      <c r="BI860" s="1">
        <v>62</v>
      </c>
      <c r="BJ860" s="1">
        <v>81.745999999999995</v>
      </c>
      <c r="BK860" s="1">
        <v>48.3</v>
      </c>
      <c r="BL860" s="1">
        <v>121.10299999999999</v>
      </c>
      <c r="BM860" s="1">
        <v>101.91200000000001</v>
      </c>
      <c r="BN860" s="1">
        <v>39.909999999999997</v>
      </c>
      <c r="BO860" s="1">
        <v>34.146000000000001</v>
      </c>
      <c r="BP860" s="1">
        <v>25.166</v>
      </c>
      <c r="BU860" s="40">
        <f t="shared" ref="BU860:CD860" si="575">BT860</f>
        <v>0</v>
      </c>
      <c r="BV860" s="40">
        <f t="shared" si="575"/>
        <v>0</v>
      </c>
      <c r="BW860" s="40">
        <f t="shared" si="575"/>
        <v>0</v>
      </c>
      <c r="BX860" s="40">
        <f t="shared" si="575"/>
        <v>0</v>
      </c>
      <c r="BY860" s="40">
        <f t="shared" si="575"/>
        <v>0</v>
      </c>
      <c r="BZ860" s="40">
        <f t="shared" si="575"/>
        <v>0</v>
      </c>
      <c r="CA860" s="40">
        <f t="shared" si="575"/>
        <v>0</v>
      </c>
      <c r="CB860" s="40">
        <f t="shared" si="575"/>
        <v>0</v>
      </c>
      <c r="CC860" s="40">
        <f t="shared" si="575"/>
        <v>0</v>
      </c>
      <c r="CD860" s="40">
        <f t="shared" si="575"/>
        <v>0</v>
      </c>
      <c r="CM860" s="1">
        <v>121.10299999999999</v>
      </c>
    </row>
    <row r="861" spans="2:91">
      <c r="B861" s="537" t="s">
        <v>2640</v>
      </c>
      <c r="C861" s="873"/>
      <c r="D861" s="873" t="s">
        <v>785</v>
      </c>
      <c r="E861" s="873"/>
      <c r="F861" s="873"/>
      <c r="G861" s="873"/>
      <c r="H861" s="873"/>
      <c r="I861" s="873"/>
      <c r="J861" s="873"/>
      <c r="K861" s="873"/>
      <c r="L861" s="873"/>
      <c r="M861" s="873"/>
      <c r="N861" s="873"/>
      <c r="O861" s="873"/>
      <c r="P861" s="873"/>
      <c r="Q861" s="873"/>
      <c r="R861" s="873"/>
      <c r="S861" s="873"/>
      <c r="T861" s="873"/>
      <c r="U861" s="873"/>
      <c r="V861" s="873"/>
      <c r="W861" s="873"/>
      <c r="X861" s="873"/>
      <c r="Y861" s="873"/>
      <c r="Z861" s="873"/>
      <c r="AA861" s="873"/>
      <c r="AB861" s="873"/>
      <c r="AC861" s="873"/>
      <c r="AD861" s="873"/>
      <c r="AE861" s="873"/>
      <c r="AF861" s="873"/>
      <c r="AG861" s="873"/>
      <c r="AH861" s="873"/>
      <c r="AI861" s="873"/>
      <c r="AJ861" s="873"/>
      <c r="AK861" s="873"/>
      <c r="AL861" s="873"/>
      <c r="AM861" s="873"/>
      <c r="AN861" s="873"/>
      <c r="AO861" s="873"/>
      <c r="AP861" s="873"/>
      <c r="AQ861" s="873"/>
      <c r="AR861" s="873"/>
      <c r="AS861" s="873"/>
      <c r="AT861" s="873"/>
      <c r="AU861" s="873"/>
      <c r="BI861" s="1">
        <v>9.7789999999999999</v>
      </c>
      <c r="BJ861" s="25">
        <v>14.321</v>
      </c>
      <c r="BK861" s="25">
        <v>19.657</v>
      </c>
      <c r="BL861" s="25">
        <v>19.228999999999999</v>
      </c>
      <c r="BM861" s="25">
        <v>21.3675</v>
      </c>
      <c r="BN861" s="25">
        <v>23.335550000000001</v>
      </c>
      <c r="BO861" s="25">
        <v>25.572050000000001</v>
      </c>
      <c r="BP861" s="1">
        <v>27.3658</v>
      </c>
      <c r="BU861" s="40">
        <f t="shared" ref="BU861:CD861" si="576">BT861</f>
        <v>0</v>
      </c>
      <c r="BV861" s="40">
        <f t="shared" si="576"/>
        <v>0</v>
      </c>
      <c r="BW861" s="40">
        <f t="shared" si="576"/>
        <v>0</v>
      </c>
      <c r="BX861" s="40">
        <f t="shared" si="576"/>
        <v>0</v>
      </c>
      <c r="BY861" s="40">
        <f t="shared" si="576"/>
        <v>0</v>
      </c>
      <c r="BZ861" s="40">
        <f t="shared" si="576"/>
        <v>0</v>
      </c>
      <c r="CA861" s="40">
        <f t="shared" si="576"/>
        <v>0</v>
      </c>
      <c r="CB861" s="40">
        <f t="shared" si="576"/>
        <v>0</v>
      </c>
      <c r="CC861" s="40">
        <f t="shared" si="576"/>
        <v>0</v>
      </c>
      <c r="CD861" s="40">
        <f t="shared" si="576"/>
        <v>0</v>
      </c>
      <c r="CM861" s="25">
        <v>19.228999999999999</v>
      </c>
    </row>
    <row r="862" spans="2:91">
      <c r="B862" s="537" t="s">
        <v>788</v>
      </c>
      <c r="C862" s="873"/>
      <c r="D862" s="873" t="s">
        <v>785</v>
      </c>
      <c r="E862" s="873"/>
      <c r="F862" s="873"/>
      <c r="G862" s="873"/>
      <c r="H862" s="873"/>
      <c r="I862" s="873"/>
      <c r="J862" s="873"/>
      <c r="K862" s="873"/>
      <c r="L862" s="873"/>
      <c r="M862" s="873"/>
      <c r="N862" s="873"/>
      <c r="O862" s="873"/>
      <c r="P862" s="873"/>
      <c r="Q862" s="873"/>
      <c r="R862" s="873"/>
      <c r="S862" s="873"/>
      <c r="T862" s="873"/>
      <c r="U862" s="873"/>
      <c r="V862" s="873"/>
      <c r="W862" s="873"/>
      <c r="X862" s="873"/>
      <c r="Y862" s="873"/>
      <c r="Z862" s="873"/>
      <c r="AA862" s="873"/>
      <c r="AB862" s="873"/>
      <c r="AC862" s="873"/>
      <c r="AD862" s="873"/>
      <c r="AE862" s="873"/>
      <c r="AF862" s="873"/>
      <c r="AG862" s="873"/>
      <c r="AH862" s="873"/>
      <c r="AI862" s="873"/>
      <c r="AJ862" s="873"/>
      <c r="AK862" s="873"/>
      <c r="AL862" s="873"/>
      <c r="AM862" s="873"/>
      <c r="AN862" s="873"/>
      <c r="AO862" s="873"/>
      <c r="AP862" s="873"/>
      <c r="AQ862" s="873"/>
      <c r="AR862" s="873"/>
      <c r="AS862" s="873"/>
      <c r="AT862" s="873"/>
      <c r="AU862" s="873"/>
      <c r="BJ862" s="25">
        <v>0.3</v>
      </c>
      <c r="BK862" s="25">
        <v>0.3</v>
      </c>
      <c r="BL862" s="25">
        <v>0.3</v>
      </c>
      <c r="BM862" s="25">
        <v>0.3</v>
      </c>
      <c r="BN862" s="25">
        <v>0.3</v>
      </c>
      <c r="BO862" s="25">
        <v>0.3</v>
      </c>
      <c r="BP862" s="1">
        <f>BO862</f>
        <v>0.3</v>
      </c>
      <c r="BU862" s="40">
        <f t="shared" ref="BU862:CD862" si="577">BT862</f>
        <v>0</v>
      </c>
      <c r="BV862" s="40">
        <f t="shared" si="577"/>
        <v>0</v>
      </c>
      <c r="BW862" s="40">
        <f t="shared" si="577"/>
        <v>0</v>
      </c>
      <c r="BX862" s="40">
        <f t="shared" si="577"/>
        <v>0</v>
      </c>
      <c r="BY862" s="40">
        <f t="shared" si="577"/>
        <v>0</v>
      </c>
      <c r="BZ862" s="40">
        <f t="shared" si="577"/>
        <v>0</v>
      </c>
      <c r="CA862" s="40">
        <f t="shared" si="577"/>
        <v>0</v>
      </c>
      <c r="CB862" s="40">
        <f t="shared" si="577"/>
        <v>0</v>
      </c>
      <c r="CC862" s="40">
        <f t="shared" si="577"/>
        <v>0</v>
      </c>
      <c r="CD862" s="40">
        <f t="shared" si="577"/>
        <v>0</v>
      </c>
      <c r="CM862" s="25">
        <v>0.3</v>
      </c>
    </row>
    <row r="863" spans="2:91">
      <c r="B863" s="537" t="s">
        <v>789</v>
      </c>
      <c r="C863" s="873"/>
      <c r="D863" s="873" t="s">
        <v>785</v>
      </c>
      <c r="E863" s="873"/>
      <c r="F863" s="873"/>
      <c r="G863" s="873"/>
      <c r="H863" s="873"/>
      <c r="I863" s="873"/>
      <c r="J863" s="873"/>
      <c r="K863" s="873"/>
      <c r="L863" s="873"/>
      <c r="M863" s="873"/>
      <c r="N863" s="873"/>
      <c r="O863" s="873"/>
      <c r="P863" s="873"/>
      <c r="Q863" s="873"/>
      <c r="R863" s="873"/>
      <c r="S863" s="873"/>
      <c r="T863" s="873"/>
      <c r="U863" s="873"/>
      <c r="V863" s="873"/>
      <c r="W863" s="873"/>
      <c r="X863" s="873"/>
      <c r="Y863" s="873"/>
      <c r="Z863" s="873"/>
      <c r="AA863" s="873"/>
      <c r="AB863" s="873"/>
      <c r="AC863" s="873"/>
      <c r="AD863" s="873"/>
      <c r="AE863" s="873"/>
      <c r="AF863" s="873"/>
      <c r="AG863" s="873"/>
      <c r="AH863" s="873"/>
      <c r="AI863" s="873"/>
      <c r="AJ863" s="873"/>
      <c r="AK863" s="873"/>
      <c r="AL863" s="873"/>
      <c r="AM863" s="873"/>
      <c r="AN863" s="873"/>
      <c r="AO863" s="873"/>
      <c r="AP863" s="873"/>
      <c r="AQ863" s="873"/>
      <c r="AR863" s="873"/>
      <c r="AS863" s="873"/>
      <c r="AT863" s="873"/>
      <c r="AU863" s="873"/>
      <c r="BI863" s="1">
        <v>2.38</v>
      </c>
      <c r="BJ863" s="1">
        <v>6.5339999999999998</v>
      </c>
      <c r="BL863" s="1">
        <v>8.6110000000000007</v>
      </c>
      <c r="BM863" s="1">
        <v>7.226</v>
      </c>
      <c r="BN863" s="1">
        <v>2.8370000000000002</v>
      </c>
      <c r="BO863" s="1">
        <v>2.4260000000000002</v>
      </c>
      <c r="BP863" s="1">
        <v>1.7889999999999999</v>
      </c>
      <c r="BU863" s="40">
        <f t="shared" ref="BU863:CD863" si="578">BT863</f>
        <v>0</v>
      </c>
      <c r="BV863" s="40">
        <f t="shared" si="578"/>
        <v>0</v>
      </c>
      <c r="BW863" s="40">
        <f t="shared" si="578"/>
        <v>0</v>
      </c>
      <c r="BX863" s="40">
        <f t="shared" si="578"/>
        <v>0</v>
      </c>
      <c r="BY863" s="40">
        <f t="shared" si="578"/>
        <v>0</v>
      </c>
      <c r="BZ863" s="40">
        <f t="shared" si="578"/>
        <v>0</v>
      </c>
      <c r="CA863" s="40">
        <f t="shared" si="578"/>
        <v>0</v>
      </c>
      <c r="CB863" s="40">
        <f t="shared" si="578"/>
        <v>0</v>
      </c>
      <c r="CC863" s="40">
        <f t="shared" si="578"/>
        <v>0</v>
      </c>
      <c r="CD863" s="40">
        <f t="shared" si="578"/>
        <v>0</v>
      </c>
      <c r="CM863" s="1">
        <v>8.6110000000000007</v>
      </c>
    </row>
    <row r="864" spans="2:91">
      <c r="B864" s="537" t="s">
        <v>790</v>
      </c>
      <c r="C864" s="873"/>
      <c r="D864" s="873" t="s">
        <v>785</v>
      </c>
      <c r="E864" s="873"/>
      <c r="F864" s="873"/>
      <c r="G864" s="873"/>
      <c r="H864" s="873"/>
      <c r="I864" s="873"/>
      <c r="J864" s="873"/>
      <c r="K864" s="873"/>
      <c r="L864" s="873"/>
      <c r="M864" s="873"/>
      <c r="N864" s="873"/>
      <c r="O864" s="873"/>
      <c r="P864" s="873"/>
      <c r="Q864" s="873"/>
      <c r="R864" s="873"/>
      <c r="S864" s="873"/>
      <c r="T864" s="873"/>
      <c r="U864" s="873"/>
      <c r="V864" s="873"/>
      <c r="W864" s="873"/>
      <c r="X864" s="873"/>
      <c r="Y864" s="873"/>
      <c r="Z864" s="873"/>
      <c r="AA864" s="873"/>
      <c r="AB864" s="873"/>
      <c r="AC864" s="873"/>
      <c r="AD864" s="873"/>
      <c r="AE864" s="873"/>
      <c r="AF864" s="873"/>
      <c r="AG864" s="873"/>
      <c r="AH864" s="873"/>
      <c r="AI864" s="873"/>
      <c r="AJ864" s="873"/>
      <c r="AK864" s="873"/>
      <c r="AL864" s="873"/>
      <c r="AM864" s="873"/>
      <c r="AN864" s="873"/>
      <c r="AO864" s="873"/>
      <c r="AP864" s="873"/>
      <c r="AQ864" s="873"/>
      <c r="AR864" s="873"/>
      <c r="AS864" s="873"/>
      <c r="AT864" s="873"/>
      <c r="AU864" s="873"/>
      <c r="BI864" s="1">
        <v>14.712</v>
      </c>
      <c r="BJ864" s="1">
        <v>19.024999999999999</v>
      </c>
      <c r="BK864" s="1">
        <v>27.055</v>
      </c>
      <c r="BL864" s="1">
        <v>39.537999999999997</v>
      </c>
      <c r="BM864" s="1">
        <v>38.688000000000002</v>
      </c>
      <c r="BN864" s="1">
        <v>30.437999999999999</v>
      </c>
      <c r="BO864" s="1">
        <v>33.817999999999998</v>
      </c>
      <c r="BP864" s="1">
        <v>34.584000000000003</v>
      </c>
      <c r="BU864" s="40">
        <f t="shared" ref="BU864:CD864" si="579">BT864</f>
        <v>0</v>
      </c>
      <c r="BV864" s="40">
        <f t="shared" si="579"/>
        <v>0</v>
      </c>
      <c r="BW864" s="40">
        <f t="shared" si="579"/>
        <v>0</v>
      </c>
      <c r="BX864" s="40">
        <f t="shared" si="579"/>
        <v>0</v>
      </c>
      <c r="BY864" s="40">
        <f t="shared" si="579"/>
        <v>0</v>
      </c>
      <c r="BZ864" s="40">
        <f t="shared" si="579"/>
        <v>0</v>
      </c>
      <c r="CA864" s="40">
        <f t="shared" si="579"/>
        <v>0</v>
      </c>
      <c r="CB864" s="40">
        <f t="shared" si="579"/>
        <v>0</v>
      </c>
      <c r="CC864" s="40">
        <f t="shared" si="579"/>
        <v>0</v>
      </c>
      <c r="CD864" s="40">
        <f t="shared" si="579"/>
        <v>0</v>
      </c>
      <c r="CM864" s="1">
        <v>39.537999999999997</v>
      </c>
    </row>
    <row r="865" spans="2:91">
      <c r="B865" s="537" t="s">
        <v>791</v>
      </c>
      <c r="C865" s="873"/>
      <c r="D865" s="873" t="s">
        <v>785</v>
      </c>
      <c r="E865" s="873"/>
      <c r="F865" s="873"/>
      <c r="G865" s="873"/>
      <c r="H865" s="873"/>
      <c r="I865" s="873"/>
      <c r="J865" s="873"/>
      <c r="K865" s="873"/>
      <c r="L865" s="873"/>
      <c r="M865" s="873"/>
      <c r="N865" s="873"/>
      <c r="O865" s="873"/>
      <c r="P865" s="873"/>
      <c r="Q865" s="873"/>
      <c r="R865" s="873"/>
      <c r="S865" s="873"/>
      <c r="T865" s="873"/>
      <c r="U865" s="873"/>
      <c r="V865" s="873"/>
      <c r="W865" s="873"/>
      <c r="X865" s="873"/>
      <c r="Y865" s="873"/>
      <c r="Z865" s="873"/>
      <c r="AA865" s="873"/>
      <c r="AB865" s="873"/>
      <c r="AC865" s="873"/>
      <c r="AD865" s="873"/>
      <c r="AE865" s="873"/>
      <c r="AF865" s="873"/>
      <c r="AG865" s="873"/>
      <c r="AH865" s="873"/>
      <c r="AI865" s="873"/>
      <c r="AJ865" s="873"/>
      <c r="AK865" s="873"/>
      <c r="AL865" s="873"/>
      <c r="AM865" s="873"/>
      <c r="AN865" s="873"/>
      <c r="AO865" s="873"/>
      <c r="AP865" s="873"/>
      <c r="AQ865" s="873"/>
      <c r="AR865" s="873"/>
      <c r="AS865" s="873"/>
      <c r="AT865" s="873"/>
      <c r="AU865" s="873"/>
      <c r="BI865" s="1">
        <v>6.7270000000000003</v>
      </c>
      <c r="BJ865" s="1">
        <v>11.448</v>
      </c>
      <c r="BK865" s="1">
        <v>11.363</v>
      </c>
      <c r="BL865" s="1">
        <v>8.9837775000000004</v>
      </c>
      <c r="BM865" s="1">
        <v>8.5789799999999996</v>
      </c>
      <c r="BN865" s="1">
        <v>7.9983449999999996</v>
      </c>
      <c r="BO865" s="1">
        <v>8.7859125000000002</v>
      </c>
      <c r="BP865" s="1">
        <v>8.7966224999999998</v>
      </c>
      <c r="BU865" s="40">
        <f t="shared" ref="BU865:CD865" si="580">BT865</f>
        <v>0</v>
      </c>
      <c r="BV865" s="40">
        <f t="shared" si="580"/>
        <v>0</v>
      </c>
      <c r="BW865" s="40">
        <f t="shared" si="580"/>
        <v>0</v>
      </c>
      <c r="BX865" s="40">
        <f t="shared" si="580"/>
        <v>0</v>
      </c>
      <c r="BY865" s="40">
        <f t="shared" si="580"/>
        <v>0</v>
      </c>
      <c r="BZ865" s="40">
        <f t="shared" si="580"/>
        <v>0</v>
      </c>
      <c r="CA865" s="40">
        <f t="shared" si="580"/>
        <v>0</v>
      </c>
      <c r="CB865" s="40">
        <f t="shared" si="580"/>
        <v>0</v>
      </c>
      <c r="CC865" s="40">
        <f t="shared" si="580"/>
        <v>0</v>
      </c>
      <c r="CD865" s="40">
        <f t="shared" si="580"/>
        <v>0</v>
      </c>
      <c r="CM865" s="1">
        <v>8.9837775000000004</v>
      </c>
    </row>
    <row r="866" spans="2:91">
      <c r="B866" s="537" t="s">
        <v>2748</v>
      </c>
      <c r="C866" s="873"/>
      <c r="D866" s="873" t="s">
        <v>785</v>
      </c>
      <c r="BJ866" s="1">
        <v>23.146000000000001</v>
      </c>
      <c r="BK866" s="1">
        <v>32.273000000000003</v>
      </c>
      <c r="BU866" s="40">
        <f t="shared" ref="BU866:CD866" si="581">BT866</f>
        <v>0</v>
      </c>
      <c r="BV866" s="40">
        <f t="shared" si="581"/>
        <v>0</v>
      </c>
      <c r="BW866" s="40">
        <f t="shared" si="581"/>
        <v>0</v>
      </c>
      <c r="BX866" s="40">
        <f t="shared" si="581"/>
        <v>0</v>
      </c>
      <c r="BY866" s="40">
        <f t="shared" si="581"/>
        <v>0</v>
      </c>
      <c r="BZ866" s="40">
        <f t="shared" si="581"/>
        <v>0</v>
      </c>
      <c r="CA866" s="40">
        <f t="shared" si="581"/>
        <v>0</v>
      </c>
      <c r="CB866" s="40">
        <f t="shared" si="581"/>
        <v>0</v>
      </c>
      <c r="CC866" s="40">
        <f t="shared" si="581"/>
        <v>0</v>
      </c>
      <c r="CD866" s="40">
        <f t="shared" si="581"/>
        <v>0</v>
      </c>
    </row>
    <row r="867" spans="2:91">
      <c r="B867" s="537" t="s">
        <v>4287</v>
      </c>
      <c r="C867" s="873"/>
      <c r="D867" s="873" t="s">
        <v>792</v>
      </c>
      <c r="E867" s="873"/>
      <c r="F867" s="873"/>
      <c r="G867" s="873"/>
      <c r="H867" s="873"/>
      <c r="I867" s="873"/>
      <c r="J867" s="873"/>
      <c r="K867" s="873"/>
      <c r="L867" s="873"/>
      <c r="M867" s="873"/>
      <c r="N867" s="873"/>
      <c r="O867" s="873"/>
      <c r="P867" s="873"/>
      <c r="Q867" s="873"/>
      <c r="R867" s="873"/>
      <c r="S867" s="873"/>
      <c r="T867" s="873"/>
      <c r="U867" s="873"/>
      <c r="V867" s="873"/>
      <c r="W867" s="873"/>
      <c r="X867" s="873"/>
      <c r="Y867" s="873"/>
      <c r="Z867" s="873"/>
      <c r="AA867" s="873"/>
      <c r="AB867" s="873"/>
      <c r="AC867" s="873"/>
      <c r="AD867" s="873"/>
      <c r="AE867" s="873"/>
      <c r="AF867" s="873"/>
      <c r="AG867" s="873"/>
      <c r="AH867" s="873"/>
      <c r="AI867" s="873"/>
      <c r="AJ867" s="873"/>
      <c r="AK867" s="873"/>
      <c r="AL867" s="873"/>
      <c r="AM867" s="873"/>
      <c r="AN867" s="873"/>
      <c r="AO867" s="873"/>
      <c r="AP867" s="873"/>
      <c r="AQ867" s="873"/>
      <c r="AR867" s="873"/>
      <c r="AS867" s="873"/>
      <c r="AT867" s="873"/>
      <c r="AU867" s="873"/>
      <c r="BI867" s="1">
        <v>1375</v>
      </c>
      <c r="BJ867" s="1">
        <v>1426</v>
      </c>
      <c r="BK867" s="1">
        <v>1426</v>
      </c>
      <c r="BL867" s="1">
        <v>1500</v>
      </c>
      <c r="BM867" s="1">
        <v>1500</v>
      </c>
      <c r="BN867" s="1">
        <v>1500</v>
      </c>
      <c r="BO867" s="1">
        <v>1500</v>
      </c>
      <c r="BP867" s="1">
        <v>1500</v>
      </c>
      <c r="BU867" s="40">
        <f t="shared" ref="BU867:CD867" si="582">BT867</f>
        <v>0</v>
      </c>
      <c r="BV867" s="40">
        <f t="shared" si="582"/>
        <v>0</v>
      </c>
      <c r="BW867" s="40">
        <f t="shared" si="582"/>
        <v>0</v>
      </c>
      <c r="BX867" s="40">
        <f t="shared" si="582"/>
        <v>0</v>
      </c>
      <c r="BY867" s="40">
        <f t="shared" si="582"/>
        <v>0</v>
      </c>
      <c r="BZ867" s="40">
        <f t="shared" si="582"/>
        <v>0</v>
      </c>
      <c r="CA867" s="40">
        <f t="shared" si="582"/>
        <v>0</v>
      </c>
      <c r="CB867" s="40">
        <f t="shared" si="582"/>
        <v>0</v>
      </c>
      <c r="CC867" s="40">
        <f t="shared" si="582"/>
        <v>0</v>
      </c>
      <c r="CD867" s="40">
        <f t="shared" si="582"/>
        <v>0</v>
      </c>
      <c r="CM867" s="1">
        <v>1500</v>
      </c>
    </row>
    <row r="868" spans="2:91">
      <c r="BU868" s="40">
        <f t="shared" ref="BU868:CD868" si="583">BT868</f>
        <v>0</v>
      </c>
      <c r="BV868" s="40">
        <f t="shared" si="583"/>
        <v>0</v>
      </c>
      <c r="BW868" s="40">
        <f t="shared" si="583"/>
        <v>0</v>
      </c>
      <c r="BX868" s="40">
        <f t="shared" si="583"/>
        <v>0</v>
      </c>
      <c r="BY868" s="40">
        <f t="shared" si="583"/>
        <v>0</v>
      </c>
      <c r="BZ868" s="40">
        <f t="shared" si="583"/>
        <v>0</v>
      </c>
      <c r="CA868" s="40">
        <f t="shared" si="583"/>
        <v>0</v>
      </c>
      <c r="CB868" s="40">
        <f t="shared" si="583"/>
        <v>0</v>
      </c>
      <c r="CC868" s="40">
        <f t="shared" si="583"/>
        <v>0</v>
      </c>
      <c r="CD868" s="40">
        <f t="shared" si="583"/>
        <v>0</v>
      </c>
    </row>
    <row r="869" spans="2:91">
      <c r="BU869" s="40">
        <f t="shared" ref="BU869:CD869" si="584">BT869</f>
        <v>0</v>
      </c>
      <c r="BV869" s="40">
        <f t="shared" si="584"/>
        <v>0</v>
      </c>
      <c r="BW869" s="40">
        <f t="shared" si="584"/>
        <v>0</v>
      </c>
      <c r="BX869" s="40">
        <f t="shared" si="584"/>
        <v>0</v>
      </c>
      <c r="BY869" s="40">
        <f t="shared" si="584"/>
        <v>0</v>
      </c>
      <c r="BZ869" s="40">
        <f t="shared" si="584"/>
        <v>0</v>
      </c>
      <c r="CA869" s="40">
        <f t="shared" si="584"/>
        <v>0</v>
      </c>
      <c r="CB869" s="40">
        <f t="shared" si="584"/>
        <v>0</v>
      </c>
      <c r="CC869" s="40">
        <f t="shared" si="584"/>
        <v>0</v>
      </c>
      <c r="CD869" s="40">
        <f t="shared" si="584"/>
        <v>0</v>
      </c>
    </row>
    <row r="870" spans="2:91" ht="18">
      <c r="B870" s="907" t="s">
        <v>1141</v>
      </c>
      <c r="D870" s="1" t="s">
        <v>1142</v>
      </c>
      <c r="BU870" s="40">
        <f t="shared" ref="BU870:CD870" si="585">BT870</f>
        <v>0</v>
      </c>
      <c r="BV870" s="40">
        <f t="shared" si="585"/>
        <v>0</v>
      </c>
      <c r="BW870" s="40">
        <f t="shared" si="585"/>
        <v>0</v>
      </c>
      <c r="BX870" s="40">
        <f t="shared" si="585"/>
        <v>0</v>
      </c>
      <c r="BY870" s="40">
        <f t="shared" si="585"/>
        <v>0</v>
      </c>
      <c r="BZ870" s="40">
        <f t="shared" si="585"/>
        <v>0</v>
      </c>
      <c r="CA870" s="40">
        <f t="shared" si="585"/>
        <v>0</v>
      </c>
      <c r="CB870" s="40">
        <f t="shared" si="585"/>
        <v>0</v>
      </c>
      <c r="CC870" s="40">
        <f t="shared" si="585"/>
        <v>0</v>
      </c>
      <c r="CD870" s="40">
        <f t="shared" si="585"/>
        <v>0</v>
      </c>
    </row>
    <row r="871" spans="2:91">
      <c r="BU871" s="40">
        <f t="shared" ref="BU871:CD871" si="586">BT871</f>
        <v>0</v>
      </c>
      <c r="BV871" s="40">
        <f t="shared" si="586"/>
        <v>0</v>
      </c>
      <c r="BW871" s="40">
        <f t="shared" si="586"/>
        <v>0</v>
      </c>
      <c r="BX871" s="40">
        <f t="shared" si="586"/>
        <v>0</v>
      </c>
      <c r="BY871" s="40">
        <f t="shared" si="586"/>
        <v>0</v>
      </c>
      <c r="BZ871" s="40">
        <f t="shared" si="586"/>
        <v>0</v>
      </c>
      <c r="CA871" s="40">
        <f t="shared" si="586"/>
        <v>0</v>
      </c>
      <c r="CB871" s="40">
        <f t="shared" si="586"/>
        <v>0</v>
      </c>
      <c r="CC871" s="40">
        <f t="shared" si="586"/>
        <v>0</v>
      </c>
      <c r="CD871" s="40">
        <f t="shared" si="586"/>
        <v>0</v>
      </c>
    </row>
    <row r="872" spans="2:91">
      <c r="B872" s="25" t="s">
        <v>1143</v>
      </c>
      <c r="C872" s="1" t="s">
        <v>1145</v>
      </c>
      <c r="BM872" s="314">
        <v>22090954.899999999</v>
      </c>
      <c r="BU872" s="40">
        <f>BT872</f>
        <v>0</v>
      </c>
      <c r="BV872" s="40">
        <f>BU872</f>
        <v>0</v>
      </c>
      <c r="BW872" s="40">
        <f>BV872</f>
        <v>0</v>
      </c>
      <c r="BX872" s="40">
        <f t="shared" ref="BV872:CD887" si="587">BW872</f>
        <v>0</v>
      </c>
      <c r="BY872" s="40">
        <f t="shared" si="587"/>
        <v>0</v>
      </c>
      <c r="BZ872" s="40">
        <f t="shared" si="587"/>
        <v>0</v>
      </c>
      <c r="CA872" s="40">
        <f t="shared" si="587"/>
        <v>0</v>
      </c>
      <c r="CB872" s="40">
        <f t="shared" si="587"/>
        <v>0</v>
      </c>
      <c r="CC872" s="40">
        <f t="shared" si="587"/>
        <v>0</v>
      </c>
      <c r="CD872" s="40">
        <f t="shared" si="587"/>
        <v>0</v>
      </c>
    </row>
    <row r="873" spans="2:91">
      <c r="B873" s="25" t="s">
        <v>1143</v>
      </c>
      <c r="C873" s="1" t="s">
        <v>1148</v>
      </c>
      <c r="BM873" s="307">
        <f>BM872/31.1035/1000</f>
        <v>710.24016268265621</v>
      </c>
      <c r="BU873" s="40">
        <f t="shared" ref="BU873:BU936" si="588">BT873</f>
        <v>0</v>
      </c>
      <c r="BV873" s="40">
        <f t="shared" si="587"/>
        <v>0</v>
      </c>
      <c r="BW873" s="40">
        <f t="shared" si="587"/>
        <v>0</v>
      </c>
      <c r="BX873" s="40">
        <f t="shared" si="587"/>
        <v>0</v>
      </c>
      <c r="BY873" s="40">
        <f t="shared" si="587"/>
        <v>0</v>
      </c>
      <c r="BZ873" s="40">
        <f t="shared" si="587"/>
        <v>0</v>
      </c>
      <c r="CA873" s="40">
        <f t="shared" si="587"/>
        <v>0</v>
      </c>
      <c r="CB873" s="40">
        <f t="shared" si="587"/>
        <v>0</v>
      </c>
      <c r="CC873" s="40">
        <f t="shared" si="587"/>
        <v>0</v>
      </c>
      <c r="CD873" s="40">
        <f t="shared" si="587"/>
        <v>0</v>
      </c>
    </row>
    <row r="874" spans="2:91">
      <c r="B874" s="25" t="s">
        <v>1144</v>
      </c>
      <c r="C874" s="1" t="s">
        <v>1146</v>
      </c>
      <c r="BM874" s="314">
        <v>940.42772433000005</v>
      </c>
      <c r="BU874" s="40">
        <f t="shared" si="588"/>
        <v>0</v>
      </c>
      <c r="BV874" s="40">
        <f t="shared" si="587"/>
        <v>0</v>
      </c>
      <c r="BW874" s="40">
        <f t="shared" si="587"/>
        <v>0</v>
      </c>
      <c r="BX874" s="40">
        <f t="shared" si="587"/>
        <v>0</v>
      </c>
      <c r="BY874" s="40">
        <f t="shared" si="587"/>
        <v>0</v>
      </c>
      <c r="BZ874" s="40">
        <f t="shared" si="587"/>
        <v>0</v>
      </c>
      <c r="CA874" s="40">
        <f t="shared" si="587"/>
        <v>0</v>
      </c>
      <c r="CB874" s="40">
        <f t="shared" si="587"/>
        <v>0</v>
      </c>
      <c r="CC874" s="40">
        <f t="shared" si="587"/>
        <v>0</v>
      </c>
      <c r="CD874" s="40">
        <f t="shared" si="587"/>
        <v>0</v>
      </c>
    </row>
    <row r="875" spans="2:91">
      <c r="B875" s="25" t="s">
        <v>274</v>
      </c>
      <c r="C875" s="1" t="s">
        <v>1146</v>
      </c>
      <c r="BM875" s="314">
        <v>9.5912310000000005</v>
      </c>
      <c r="BU875" s="40">
        <f t="shared" si="588"/>
        <v>0</v>
      </c>
      <c r="BV875" s="40">
        <f t="shared" si="587"/>
        <v>0</v>
      </c>
      <c r="BW875" s="40">
        <f t="shared" si="587"/>
        <v>0</v>
      </c>
      <c r="BX875" s="40">
        <f t="shared" si="587"/>
        <v>0</v>
      </c>
      <c r="BY875" s="40">
        <f t="shared" si="587"/>
        <v>0</v>
      </c>
      <c r="BZ875" s="40">
        <f t="shared" si="587"/>
        <v>0</v>
      </c>
      <c r="CA875" s="40">
        <f t="shared" si="587"/>
        <v>0</v>
      </c>
      <c r="CB875" s="40">
        <f t="shared" si="587"/>
        <v>0</v>
      </c>
      <c r="CC875" s="40">
        <f t="shared" si="587"/>
        <v>0</v>
      </c>
      <c r="CD875" s="40">
        <f t="shared" si="587"/>
        <v>0</v>
      </c>
    </row>
    <row r="876" spans="2:91">
      <c r="B876" s="25" t="s">
        <v>835</v>
      </c>
      <c r="C876" s="1" t="s">
        <v>1146</v>
      </c>
      <c r="BM876" s="314">
        <v>47.25649353</v>
      </c>
      <c r="BU876" s="40">
        <f t="shared" si="588"/>
        <v>0</v>
      </c>
      <c r="BV876" s="40">
        <f t="shared" si="587"/>
        <v>0</v>
      </c>
      <c r="BW876" s="40">
        <f t="shared" si="587"/>
        <v>0</v>
      </c>
      <c r="BX876" s="40">
        <f t="shared" si="587"/>
        <v>0</v>
      </c>
      <c r="BY876" s="40">
        <f t="shared" si="587"/>
        <v>0</v>
      </c>
      <c r="BZ876" s="40">
        <f t="shared" si="587"/>
        <v>0</v>
      </c>
      <c r="CA876" s="40">
        <f t="shared" si="587"/>
        <v>0</v>
      </c>
      <c r="CB876" s="40">
        <f t="shared" si="587"/>
        <v>0</v>
      </c>
      <c r="CC876" s="40">
        <f t="shared" si="587"/>
        <v>0</v>
      </c>
      <c r="CD876" s="40">
        <f t="shared" si="587"/>
        <v>0</v>
      </c>
    </row>
    <row r="877" spans="2:91">
      <c r="B877" s="25" t="s">
        <v>1147</v>
      </c>
      <c r="C877" s="1" t="s">
        <v>1146</v>
      </c>
      <c r="BM877" s="314">
        <v>0.10088977</v>
      </c>
      <c r="BU877" s="40">
        <f t="shared" si="588"/>
        <v>0</v>
      </c>
      <c r="BV877" s="40">
        <f t="shared" si="587"/>
        <v>0</v>
      </c>
      <c r="BW877" s="40">
        <f t="shared" si="587"/>
        <v>0</v>
      </c>
      <c r="BX877" s="40">
        <f t="shared" si="587"/>
        <v>0</v>
      </c>
      <c r="BY877" s="40">
        <f t="shared" si="587"/>
        <v>0</v>
      </c>
      <c r="BZ877" s="40">
        <f t="shared" si="587"/>
        <v>0</v>
      </c>
      <c r="CA877" s="40">
        <f t="shared" si="587"/>
        <v>0</v>
      </c>
      <c r="CB877" s="40">
        <f t="shared" si="587"/>
        <v>0</v>
      </c>
      <c r="CC877" s="40">
        <f t="shared" si="587"/>
        <v>0</v>
      </c>
      <c r="CD877" s="40">
        <f t="shared" si="587"/>
        <v>0</v>
      </c>
    </row>
    <row r="878" spans="2:91">
      <c r="BM878" s="275"/>
      <c r="BU878" s="40">
        <f t="shared" si="588"/>
        <v>0</v>
      </c>
      <c r="BV878" s="40">
        <f t="shared" si="587"/>
        <v>0</v>
      </c>
      <c r="BW878" s="40">
        <f t="shared" si="587"/>
        <v>0</v>
      </c>
      <c r="BX878" s="40">
        <f t="shared" si="587"/>
        <v>0</v>
      </c>
      <c r="BY878" s="40">
        <f t="shared" si="587"/>
        <v>0</v>
      </c>
      <c r="BZ878" s="40">
        <f t="shared" si="587"/>
        <v>0</v>
      </c>
      <c r="CA878" s="40">
        <f t="shared" si="587"/>
        <v>0</v>
      </c>
      <c r="CB878" s="40">
        <f t="shared" si="587"/>
        <v>0</v>
      </c>
      <c r="CC878" s="40">
        <f t="shared" si="587"/>
        <v>0</v>
      </c>
      <c r="CD878" s="40">
        <f t="shared" si="587"/>
        <v>0</v>
      </c>
    </row>
    <row r="879" spans="2:91">
      <c r="B879" s="25" t="s">
        <v>1149</v>
      </c>
      <c r="BL879" s="1">
        <v>167</v>
      </c>
      <c r="BM879" s="1">
        <v>55</v>
      </c>
      <c r="BU879" s="40">
        <f t="shared" si="588"/>
        <v>0</v>
      </c>
      <c r="BV879" s="40">
        <f t="shared" si="587"/>
        <v>0</v>
      </c>
      <c r="BW879" s="40">
        <f t="shared" si="587"/>
        <v>0</v>
      </c>
      <c r="BX879" s="40">
        <f t="shared" si="587"/>
        <v>0</v>
      </c>
      <c r="BY879" s="40">
        <f t="shared" si="587"/>
        <v>0</v>
      </c>
      <c r="BZ879" s="40">
        <f t="shared" si="587"/>
        <v>0</v>
      </c>
      <c r="CA879" s="40">
        <f t="shared" si="587"/>
        <v>0</v>
      </c>
      <c r="CB879" s="40">
        <f t="shared" si="587"/>
        <v>0</v>
      </c>
      <c r="CC879" s="40">
        <f t="shared" si="587"/>
        <v>0</v>
      </c>
      <c r="CD879" s="40">
        <f t="shared" si="587"/>
        <v>0</v>
      </c>
    </row>
    <row r="880" spans="2:91">
      <c r="BU880" s="40">
        <f t="shared" si="588"/>
        <v>0</v>
      </c>
      <c r="BV880" s="40">
        <f t="shared" si="587"/>
        <v>0</v>
      </c>
      <c r="BW880" s="40">
        <f t="shared" si="587"/>
        <v>0</v>
      </c>
      <c r="BX880" s="40">
        <f t="shared" si="587"/>
        <v>0</v>
      </c>
      <c r="BY880" s="40">
        <f t="shared" si="587"/>
        <v>0</v>
      </c>
      <c r="BZ880" s="40">
        <f t="shared" si="587"/>
        <v>0</v>
      </c>
      <c r="CA880" s="40">
        <f t="shared" si="587"/>
        <v>0</v>
      </c>
      <c r="CB880" s="40">
        <f t="shared" si="587"/>
        <v>0</v>
      </c>
      <c r="CC880" s="40">
        <f t="shared" si="587"/>
        <v>0</v>
      </c>
      <c r="CD880" s="40">
        <f t="shared" si="587"/>
        <v>0</v>
      </c>
    </row>
    <row r="881" spans="73:82">
      <c r="BU881" s="40">
        <f t="shared" si="588"/>
        <v>0</v>
      </c>
      <c r="BV881" s="40">
        <f t="shared" si="587"/>
        <v>0</v>
      </c>
      <c r="BW881" s="40">
        <f t="shared" si="587"/>
        <v>0</v>
      </c>
      <c r="BX881" s="40">
        <f t="shared" si="587"/>
        <v>0</v>
      </c>
      <c r="BY881" s="40">
        <f t="shared" si="587"/>
        <v>0</v>
      </c>
      <c r="BZ881" s="40">
        <f t="shared" si="587"/>
        <v>0</v>
      </c>
      <c r="CA881" s="40">
        <f t="shared" si="587"/>
        <v>0</v>
      </c>
      <c r="CB881" s="40">
        <f t="shared" si="587"/>
        <v>0</v>
      </c>
      <c r="CC881" s="40">
        <f t="shared" si="587"/>
        <v>0</v>
      </c>
      <c r="CD881" s="40">
        <f t="shared" si="587"/>
        <v>0</v>
      </c>
    </row>
    <row r="882" spans="73:82">
      <c r="BU882" s="40">
        <f t="shared" si="588"/>
        <v>0</v>
      </c>
      <c r="BV882" s="40">
        <f t="shared" si="587"/>
        <v>0</v>
      </c>
      <c r="BW882" s="40">
        <f t="shared" si="587"/>
        <v>0</v>
      </c>
      <c r="BX882" s="40">
        <f t="shared" si="587"/>
        <v>0</v>
      </c>
      <c r="BY882" s="40">
        <f t="shared" si="587"/>
        <v>0</v>
      </c>
      <c r="BZ882" s="40">
        <f t="shared" si="587"/>
        <v>0</v>
      </c>
      <c r="CA882" s="40">
        <f t="shared" si="587"/>
        <v>0</v>
      </c>
      <c r="CB882" s="40">
        <f t="shared" si="587"/>
        <v>0</v>
      </c>
      <c r="CC882" s="40">
        <f t="shared" si="587"/>
        <v>0</v>
      </c>
      <c r="CD882" s="40">
        <f t="shared" si="587"/>
        <v>0</v>
      </c>
    </row>
    <row r="883" spans="73:82">
      <c r="BU883" s="40">
        <f t="shared" si="588"/>
        <v>0</v>
      </c>
      <c r="BV883" s="40">
        <f t="shared" si="587"/>
        <v>0</v>
      </c>
      <c r="BW883" s="40">
        <f t="shared" si="587"/>
        <v>0</v>
      </c>
      <c r="BX883" s="40">
        <f t="shared" si="587"/>
        <v>0</v>
      </c>
      <c r="BY883" s="40">
        <f t="shared" si="587"/>
        <v>0</v>
      </c>
      <c r="BZ883" s="40">
        <f t="shared" si="587"/>
        <v>0</v>
      </c>
      <c r="CA883" s="40">
        <f t="shared" si="587"/>
        <v>0</v>
      </c>
      <c r="CB883" s="40">
        <f t="shared" si="587"/>
        <v>0</v>
      </c>
      <c r="CC883" s="40">
        <f t="shared" si="587"/>
        <v>0</v>
      </c>
      <c r="CD883" s="40">
        <f t="shared" si="587"/>
        <v>0</v>
      </c>
    </row>
    <row r="884" spans="73:82">
      <c r="BU884" s="40">
        <f t="shared" si="588"/>
        <v>0</v>
      </c>
      <c r="BV884" s="40">
        <f t="shared" si="587"/>
        <v>0</v>
      </c>
      <c r="BW884" s="40">
        <f t="shared" si="587"/>
        <v>0</v>
      </c>
      <c r="BX884" s="40">
        <f t="shared" si="587"/>
        <v>0</v>
      </c>
      <c r="BY884" s="40">
        <f t="shared" si="587"/>
        <v>0</v>
      </c>
      <c r="BZ884" s="40">
        <f t="shared" si="587"/>
        <v>0</v>
      </c>
      <c r="CA884" s="40">
        <f t="shared" si="587"/>
        <v>0</v>
      </c>
      <c r="CB884" s="40">
        <f t="shared" si="587"/>
        <v>0</v>
      </c>
      <c r="CC884" s="40">
        <f t="shared" si="587"/>
        <v>0</v>
      </c>
      <c r="CD884" s="40">
        <f t="shared" si="587"/>
        <v>0</v>
      </c>
    </row>
    <row r="885" spans="73:82">
      <c r="BU885" s="40">
        <f t="shared" si="588"/>
        <v>0</v>
      </c>
      <c r="BV885" s="40">
        <f t="shared" si="587"/>
        <v>0</v>
      </c>
      <c r="BW885" s="40">
        <f t="shared" si="587"/>
        <v>0</v>
      </c>
      <c r="BX885" s="40">
        <f t="shared" si="587"/>
        <v>0</v>
      </c>
      <c r="BY885" s="40">
        <f t="shared" si="587"/>
        <v>0</v>
      </c>
      <c r="BZ885" s="40">
        <f t="shared" si="587"/>
        <v>0</v>
      </c>
      <c r="CA885" s="40">
        <f t="shared" si="587"/>
        <v>0</v>
      </c>
      <c r="CB885" s="40">
        <f t="shared" si="587"/>
        <v>0</v>
      </c>
      <c r="CC885" s="40">
        <f t="shared" si="587"/>
        <v>0</v>
      </c>
      <c r="CD885" s="40">
        <f t="shared" si="587"/>
        <v>0</v>
      </c>
    </row>
    <row r="886" spans="73:82">
      <c r="BU886" s="40">
        <f t="shared" si="588"/>
        <v>0</v>
      </c>
      <c r="BV886" s="40">
        <f t="shared" si="587"/>
        <v>0</v>
      </c>
      <c r="BW886" s="40">
        <f t="shared" si="587"/>
        <v>0</v>
      </c>
      <c r="BX886" s="40">
        <f t="shared" si="587"/>
        <v>0</v>
      </c>
      <c r="BY886" s="40">
        <f t="shared" si="587"/>
        <v>0</v>
      </c>
      <c r="BZ886" s="40">
        <f t="shared" si="587"/>
        <v>0</v>
      </c>
      <c r="CA886" s="40">
        <f t="shared" si="587"/>
        <v>0</v>
      </c>
      <c r="CB886" s="40">
        <f t="shared" si="587"/>
        <v>0</v>
      </c>
      <c r="CC886" s="40">
        <f t="shared" si="587"/>
        <v>0</v>
      </c>
      <c r="CD886" s="40">
        <f t="shared" si="587"/>
        <v>0</v>
      </c>
    </row>
    <row r="887" spans="73:82">
      <c r="BU887" s="40">
        <f t="shared" si="588"/>
        <v>0</v>
      </c>
      <c r="BV887" s="40">
        <f t="shared" si="587"/>
        <v>0</v>
      </c>
      <c r="BW887" s="40">
        <f t="shared" si="587"/>
        <v>0</v>
      </c>
      <c r="BX887" s="40">
        <f t="shared" si="587"/>
        <v>0</v>
      </c>
      <c r="BY887" s="40">
        <f t="shared" si="587"/>
        <v>0</v>
      </c>
      <c r="BZ887" s="40">
        <f t="shared" si="587"/>
        <v>0</v>
      </c>
      <c r="CA887" s="40">
        <f t="shared" si="587"/>
        <v>0</v>
      </c>
      <c r="CB887" s="40">
        <f t="shared" si="587"/>
        <v>0</v>
      </c>
      <c r="CC887" s="40">
        <f t="shared" si="587"/>
        <v>0</v>
      </c>
      <c r="CD887" s="40">
        <f t="shared" si="587"/>
        <v>0</v>
      </c>
    </row>
    <row r="888" spans="73:82">
      <c r="BU888" s="40">
        <f t="shared" si="588"/>
        <v>0</v>
      </c>
      <c r="BV888" s="40">
        <f t="shared" ref="BV888:CD903" si="589">BU888</f>
        <v>0</v>
      </c>
      <c r="BW888" s="40">
        <f t="shared" si="589"/>
        <v>0</v>
      </c>
      <c r="BX888" s="40">
        <f t="shared" si="589"/>
        <v>0</v>
      </c>
      <c r="BY888" s="40">
        <f t="shared" si="589"/>
        <v>0</v>
      </c>
      <c r="BZ888" s="40">
        <f t="shared" si="589"/>
        <v>0</v>
      </c>
      <c r="CA888" s="40">
        <f t="shared" si="589"/>
        <v>0</v>
      </c>
      <c r="CB888" s="40">
        <f t="shared" si="589"/>
        <v>0</v>
      </c>
      <c r="CC888" s="40">
        <f t="shared" si="589"/>
        <v>0</v>
      </c>
      <c r="CD888" s="40">
        <f t="shared" si="589"/>
        <v>0</v>
      </c>
    </row>
    <row r="889" spans="73:82">
      <c r="BU889" s="40">
        <f t="shared" si="588"/>
        <v>0</v>
      </c>
      <c r="BV889" s="40">
        <f t="shared" si="589"/>
        <v>0</v>
      </c>
      <c r="BW889" s="40">
        <f t="shared" si="589"/>
        <v>0</v>
      </c>
      <c r="BX889" s="40">
        <f t="shared" si="589"/>
        <v>0</v>
      </c>
      <c r="BY889" s="40">
        <f t="shared" si="589"/>
        <v>0</v>
      </c>
      <c r="BZ889" s="40">
        <f t="shared" si="589"/>
        <v>0</v>
      </c>
      <c r="CA889" s="40">
        <f t="shared" si="589"/>
        <v>0</v>
      </c>
      <c r="CB889" s="40">
        <f t="shared" si="589"/>
        <v>0</v>
      </c>
      <c r="CC889" s="40">
        <f t="shared" si="589"/>
        <v>0</v>
      </c>
      <c r="CD889" s="40">
        <f t="shared" si="589"/>
        <v>0</v>
      </c>
    </row>
    <row r="890" spans="73:82">
      <c r="BU890" s="40">
        <f t="shared" si="588"/>
        <v>0</v>
      </c>
      <c r="BV890" s="40">
        <f t="shared" si="589"/>
        <v>0</v>
      </c>
      <c r="BW890" s="40">
        <f t="shared" si="589"/>
        <v>0</v>
      </c>
      <c r="BX890" s="40">
        <f t="shared" si="589"/>
        <v>0</v>
      </c>
      <c r="BY890" s="40">
        <f t="shared" si="589"/>
        <v>0</v>
      </c>
      <c r="BZ890" s="40">
        <f t="shared" si="589"/>
        <v>0</v>
      </c>
      <c r="CA890" s="40">
        <f t="shared" si="589"/>
        <v>0</v>
      </c>
      <c r="CB890" s="40">
        <f t="shared" si="589"/>
        <v>0</v>
      </c>
      <c r="CC890" s="40">
        <f t="shared" si="589"/>
        <v>0</v>
      </c>
      <c r="CD890" s="40">
        <f t="shared" si="589"/>
        <v>0</v>
      </c>
    </row>
    <row r="891" spans="73:82">
      <c r="BU891" s="40">
        <f t="shared" si="588"/>
        <v>0</v>
      </c>
      <c r="BV891" s="40">
        <f t="shared" si="589"/>
        <v>0</v>
      </c>
      <c r="BW891" s="40">
        <f t="shared" si="589"/>
        <v>0</v>
      </c>
      <c r="BX891" s="40">
        <f t="shared" si="589"/>
        <v>0</v>
      </c>
      <c r="BY891" s="40">
        <f t="shared" si="589"/>
        <v>0</v>
      </c>
      <c r="BZ891" s="40">
        <f t="shared" si="589"/>
        <v>0</v>
      </c>
      <c r="CA891" s="40">
        <f t="shared" si="589"/>
        <v>0</v>
      </c>
      <c r="CB891" s="40">
        <f t="shared" si="589"/>
        <v>0</v>
      </c>
      <c r="CC891" s="40">
        <f t="shared" si="589"/>
        <v>0</v>
      </c>
      <c r="CD891" s="40">
        <f t="shared" si="589"/>
        <v>0</v>
      </c>
    </row>
    <row r="892" spans="73:82">
      <c r="BU892" s="40">
        <f t="shared" si="588"/>
        <v>0</v>
      </c>
      <c r="BV892" s="40">
        <f t="shared" si="589"/>
        <v>0</v>
      </c>
      <c r="BW892" s="40">
        <f t="shared" si="589"/>
        <v>0</v>
      </c>
      <c r="BX892" s="40">
        <f t="shared" si="589"/>
        <v>0</v>
      </c>
      <c r="BY892" s="40">
        <f t="shared" si="589"/>
        <v>0</v>
      </c>
      <c r="BZ892" s="40">
        <f t="shared" si="589"/>
        <v>0</v>
      </c>
      <c r="CA892" s="40">
        <f t="shared" si="589"/>
        <v>0</v>
      </c>
      <c r="CB892" s="40">
        <f t="shared" si="589"/>
        <v>0</v>
      </c>
      <c r="CC892" s="40">
        <f t="shared" si="589"/>
        <v>0</v>
      </c>
      <c r="CD892" s="40">
        <f t="shared" si="589"/>
        <v>0</v>
      </c>
    </row>
    <row r="893" spans="73:82">
      <c r="BU893" s="40">
        <f t="shared" si="588"/>
        <v>0</v>
      </c>
      <c r="BV893" s="40">
        <f t="shared" si="589"/>
        <v>0</v>
      </c>
      <c r="BW893" s="40">
        <f t="shared" si="589"/>
        <v>0</v>
      </c>
      <c r="BX893" s="40">
        <f t="shared" si="589"/>
        <v>0</v>
      </c>
      <c r="BY893" s="40">
        <f t="shared" si="589"/>
        <v>0</v>
      </c>
      <c r="BZ893" s="40">
        <f t="shared" si="589"/>
        <v>0</v>
      </c>
      <c r="CA893" s="40">
        <f t="shared" si="589"/>
        <v>0</v>
      </c>
      <c r="CB893" s="40">
        <f t="shared" si="589"/>
        <v>0</v>
      </c>
      <c r="CC893" s="40">
        <f t="shared" si="589"/>
        <v>0</v>
      </c>
      <c r="CD893" s="40">
        <f t="shared" si="589"/>
        <v>0</v>
      </c>
    </row>
    <row r="894" spans="73:82">
      <c r="BU894" s="40">
        <f t="shared" si="588"/>
        <v>0</v>
      </c>
      <c r="BV894" s="40">
        <f t="shared" si="589"/>
        <v>0</v>
      </c>
      <c r="BW894" s="40">
        <f t="shared" si="589"/>
        <v>0</v>
      </c>
      <c r="BX894" s="40">
        <f t="shared" si="589"/>
        <v>0</v>
      </c>
      <c r="BY894" s="40">
        <f t="shared" si="589"/>
        <v>0</v>
      </c>
      <c r="BZ894" s="40">
        <f t="shared" si="589"/>
        <v>0</v>
      </c>
      <c r="CA894" s="40">
        <f t="shared" si="589"/>
        <v>0</v>
      </c>
      <c r="CB894" s="40">
        <f t="shared" si="589"/>
        <v>0</v>
      </c>
      <c r="CC894" s="40">
        <f t="shared" si="589"/>
        <v>0</v>
      </c>
      <c r="CD894" s="40">
        <f t="shared" si="589"/>
        <v>0</v>
      </c>
    </row>
    <row r="895" spans="73:82">
      <c r="BU895" s="40">
        <f t="shared" si="588"/>
        <v>0</v>
      </c>
      <c r="BV895" s="40">
        <f t="shared" si="589"/>
        <v>0</v>
      </c>
      <c r="BW895" s="40">
        <f t="shared" si="589"/>
        <v>0</v>
      </c>
      <c r="BX895" s="40">
        <f t="shared" si="589"/>
        <v>0</v>
      </c>
      <c r="BY895" s="40">
        <f t="shared" si="589"/>
        <v>0</v>
      </c>
      <c r="BZ895" s="40">
        <f t="shared" si="589"/>
        <v>0</v>
      </c>
      <c r="CA895" s="40">
        <f t="shared" si="589"/>
        <v>0</v>
      </c>
      <c r="CB895" s="40">
        <f t="shared" si="589"/>
        <v>0</v>
      </c>
      <c r="CC895" s="40">
        <f t="shared" si="589"/>
        <v>0</v>
      </c>
      <c r="CD895" s="40">
        <f t="shared" si="589"/>
        <v>0</v>
      </c>
    </row>
    <row r="896" spans="73:82">
      <c r="BU896" s="40">
        <f t="shared" si="588"/>
        <v>0</v>
      </c>
      <c r="BV896" s="40">
        <f t="shared" si="589"/>
        <v>0</v>
      </c>
      <c r="BW896" s="40">
        <f t="shared" si="589"/>
        <v>0</v>
      </c>
      <c r="BX896" s="40">
        <f t="shared" si="589"/>
        <v>0</v>
      </c>
      <c r="BY896" s="40">
        <f t="shared" si="589"/>
        <v>0</v>
      </c>
      <c r="BZ896" s="40">
        <f t="shared" si="589"/>
        <v>0</v>
      </c>
      <c r="CA896" s="40">
        <f t="shared" si="589"/>
        <v>0</v>
      </c>
      <c r="CB896" s="40">
        <f t="shared" si="589"/>
        <v>0</v>
      </c>
      <c r="CC896" s="40">
        <f t="shared" si="589"/>
        <v>0</v>
      </c>
      <c r="CD896" s="40">
        <f t="shared" si="589"/>
        <v>0</v>
      </c>
    </row>
    <row r="897" spans="2:82">
      <c r="BU897" s="40">
        <f t="shared" si="588"/>
        <v>0</v>
      </c>
      <c r="BV897" s="40">
        <f t="shared" si="589"/>
        <v>0</v>
      </c>
      <c r="BW897" s="40">
        <f t="shared" si="589"/>
        <v>0</v>
      </c>
      <c r="BX897" s="40">
        <f t="shared" si="589"/>
        <v>0</v>
      </c>
      <c r="BY897" s="40">
        <f t="shared" si="589"/>
        <v>0</v>
      </c>
      <c r="BZ897" s="40">
        <f t="shared" si="589"/>
        <v>0</v>
      </c>
      <c r="CA897" s="40">
        <f t="shared" si="589"/>
        <v>0</v>
      </c>
      <c r="CB897" s="40">
        <f t="shared" si="589"/>
        <v>0</v>
      </c>
      <c r="CC897" s="40">
        <f t="shared" si="589"/>
        <v>0</v>
      </c>
      <c r="CD897" s="40">
        <f t="shared" si="589"/>
        <v>0</v>
      </c>
    </row>
    <row r="898" spans="2:82">
      <c r="BU898" s="40">
        <f t="shared" si="588"/>
        <v>0</v>
      </c>
      <c r="BV898" s="40">
        <f t="shared" si="589"/>
        <v>0</v>
      </c>
      <c r="BW898" s="40">
        <f t="shared" si="589"/>
        <v>0</v>
      </c>
      <c r="BX898" s="40">
        <f t="shared" si="589"/>
        <v>0</v>
      </c>
      <c r="BY898" s="40">
        <f t="shared" si="589"/>
        <v>0</v>
      </c>
      <c r="BZ898" s="40">
        <f t="shared" si="589"/>
        <v>0</v>
      </c>
      <c r="CA898" s="40">
        <f t="shared" si="589"/>
        <v>0</v>
      </c>
      <c r="CB898" s="40">
        <f t="shared" si="589"/>
        <v>0</v>
      </c>
      <c r="CC898" s="40">
        <f t="shared" si="589"/>
        <v>0</v>
      </c>
      <c r="CD898" s="40">
        <f t="shared" si="589"/>
        <v>0</v>
      </c>
    </row>
    <row r="899" spans="2:82">
      <c r="B899" s="25" t="str">
        <f t="shared" ref="B899:D900" si="590">B561</f>
        <v>Goud (energielevering)</v>
      </c>
      <c r="C899" s="25">
        <f t="shared" si="590"/>
        <v>0</v>
      </c>
      <c r="D899" s="25">
        <f t="shared" si="590"/>
        <v>0</v>
      </c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  <c r="AR899" s="25"/>
      <c r="AS899" s="25"/>
      <c r="AT899" s="25"/>
      <c r="AU899" s="25"/>
      <c r="AV899" s="25">
        <f t="shared" ref="AV899:BJ900" si="591">AV561</f>
        <v>0</v>
      </c>
      <c r="AW899" s="25">
        <f t="shared" si="591"/>
        <v>0</v>
      </c>
      <c r="AX899" s="25">
        <f t="shared" si="591"/>
        <v>0</v>
      </c>
      <c r="AY899" s="25">
        <f t="shared" si="591"/>
        <v>0</v>
      </c>
      <c r="AZ899" s="25">
        <f t="shared" si="591"/>
        <v>0</v>
      </c>
      <c r="BA899" s="25">
        <f t="shared" si="591"/>
        <v>0</v>
      </c>
      <c r="BB899" s="25">
        <f t="shared" si="591"/>
        <v>0</v>
      </c>
      <c r="BC899" s="25">
        <f t="shared" si="591"/>
        <v>0</v>
      </c>
      <c r="BD899" s="25">
        <f t="shared" si="591"/>
        <v>0</v>
      </c>
      <c r="BE899" s="25">
        <f t="shared" si="591"/>
        <v>0</v>
      </c>
      <c r="BF899" s="25">
        <f t="shared" si="591"/>
        <v>0</v>
      </c>
      <c r="BG899" s="25">
        <f t="shared" si="591"/>
        <v>0</v>
      </c>
      <c r="BH899" s="25">
        <f t="shared" si="591"/>
        <v>0</v>
      </c>
      <c r="BI899" s="25">
        <f t="shared" si="591"/>
        <v>0</v>
      </c>
      <c r="BJ899" s="25">
        <f t="shared" si="591"/>
        <v>0</v>
      </c>
      <c r="BU899" s="40">
        <f t="shared" si="588"/>
        <v>0</v>
      </c>
      <c r="BV899" s="40">
        <f t="shared" si="589"/>
        <v>0</v>
      </c>
      <c r="BW899" s="40">
        <f t="shared" si="589"/>
        <v>0</v>
      </c>
      <c r="BX899" s="40">
        <f t="shared" si="589"/>
        <v>0</v>
      </c>
      <c r="BY899" s="40">
        <f t="shared" si="589"/>
        <v>0</v>
      </c>
      <c r="BZ899" s="40">
        <f t="shared" si="589"/>
        <v>0</v>
      </c>
      <c r="CA899" s="40">
        <f t="shared" si="589"/>
        <v>0</v>
      </c>
      <c r="CB899" s="40">
        <f t="shared" si="589"/>
        <v>0</v>
      </c>
      <c r="CC899" s="40">
        <f t="shared" si="589"/>
        <v>0</v>
      </c>
      <c r="CD899" s="40">
        <f t="shared" si="589"/>
        <v>0</v>
      </c>
    </row>
    <row r="900" spans="2:82">
      <c r="B900" s="25" t="str">
        <f t="shared" si="590"/>
        <v>Royalties</v>
      </c>
      <c r="C900" s="25">
        <f t="shared" si="590"/>
        <v>0</v>
      </c>
      <c r="D900" s="25">
        <f t="shared" si="590"/>
        <v>0</v>
      </c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  <c r="AQ900" s="25"/>
      <c r="AR900" s="25"/>
      <c r="AS900" s="25"/>
      <c r="AT900" s="25"/>
      <c r="AU900" s="25"/>
      <c r="AV900" s="25">
        <f t="shared" si="591"/>
        <v>0</v>
      </c>
      <c r="AW900" s="25">
        <f t="shared" si="591"/>
        <v>0</v>
      </c>
      <c r="AX900" s="25">
        <f t="shared" si="591"/>
        <v>0</v>
      </c>
      <c r="AY900" s="25">
        <f t="shared" si="591"/>
        <v>0</v>
      </c>
      <c r="AZ900" s="25">
        <f t="shared" si="591"/>
        <v>0</v>
      </c>
      <c r="BA900" s="25">
        <f t="shared" si="591"/>
        <v>0</v>
      </c>
      <c r="BB900" s="25">
        <f t="shared" si="591"/>
        <v>0</v>
      </c>
      <c r="BC900" s="25">
        <f t="shared" si="591"/>
        <v>0</v>
      </c>
      <c r="BD900" s="25">
        <f t="shared" si="591"/>
        <v>0</v>
      </c>
      <c r="BE900" s="25">
        <f t="shared" si="591"/>
        <v>0</v>
      </c>
      <c r="BF900" s="25">
        <f t="shared" si="591"/>
        <v>0</v>
      </c>
      <c r="BG900" s="25">
        <f t="shared" si="591"/>
        <v>0</v>
      </c>
      <c r="BH900" s="25">
        <f t="shared" si="591"/>
        <v>0</v>
      </c>
      <c r="BI900" s="25">
        <f t="shared" si="591"/>
        <v>0</v>
      </c>
      <c r="BJ900" s="25">
        <f t="shared" si="591"/>
        <v>0</v>
      </c>
      <c r="BU900" s="40">
        <f t="shared" si="588"/>
        <v>0</v>
      </c>
      <c r="BV900" s="40">
        <f t="shared" si="589"/>
        <v>0</v>
      </c>
      <c r="BW900" s="40">
        <f t="shared" si="589"/>
        <v>0</v>
      </c>
      <c r="BX900" s="40">
        <f t="shared" si="589"/>
        <v>0</v>
      </c>
      <c r="BY900" s="40">
        <f t="shared" si="589"/>
        <v>0</v>
      </c>
      <c r="BZ900" s="40">
        <f t="shared" si="589"/>
        <v>0</v>
      </c>
      <c r="CA900" s="40">
        <f t="shared" si="589"/>
        <v>0</v>
      </c>
      <c r="CB900" s="40">
        <f t="shared" si="589"/>
        <v>0</v>
      </c>
      <c r="CC900" s="40">
        <f t="shared" si="589"/>
        <v>0</v>
      </c>
      <c r="CD900" s="40">
        <f t="shared" si="589"/>
        <v>0</v>
      </c>
    </row>
    <row r="901" spans="2:82">
      <c r="BU901" s="40">
        <f t="shared" si="588"/>
        <v>0</v>
      </c>
      <c r="BV901" s="40">
        <f t="shared" si="589"/>
        <v>0</v>
      </c>
      <c r="BW901" s="40">
        <f t="shared" si="589"/>
        <v>0</v>
      </c>
      <c r="BX901" s="40">
        <f t="shared" si="589"/>
        <v>0</v>
      </c>
      <c r="BY901" s="40">
        <f t="shared" si="589"/>
        <v>0</v>
      </c>
      <c r="BZ901" s="40">
        <f t="shared" si="589"/>
        <v>0</v>
      </c>
      <c r="CA901" s="40">
        <f t="shared" si="589"/>
        <v>0</v>
      </c>
      <c r="CB901" s="40">
        <f t="shared" si="589"/>
        <v>0</v>
      </c>
      <c r="CC901" s="40">
        <f t="shared" si="589"/>
        <v>0</v>
      </c>
      <c r="CD901" s="40">
        <f t="shared" si="589"/>
        <v>0</v>
      </c>
    </row>
    <row r="902" spans="2:82">
      <c r="BU902" s="40">
        <f t="shared" si="588"/>
        <v>0</v>
      </c>
      <c r="BV902" s="40">
        <f t="shared" si="589"/>
        <v>0</v>
      </c>
      <c r="BW902" s="40">
        <f t="shared" si="589"/>
        <v>0</v>
      </c>
      <c r="BX902" s="40">
        <f t="shared" si="589"/>
        <v>0</v>
      </c>
      <c r="BY902" s="40">
        <f t="shared" si="589"/>
        <v>0</v>
      </c>
      <c r="BZ902" s="40">
        <f t="shared" si="589"/>
        <v>0</v>
      </c>
      <c r="CA902" s="40">
        <f t="shared" si="589"/>
        <v>0</v>
      </c>
      <c r="CB902" s="40">
        <f t="shared" si="589"/>
        <v>0</v>
      </c>
      <c r="CC902" s="40">
        <f t="shared" si="589"/>
        <v>0</v>
      </c>
      <c r="CD902" s="40">
        <f t="shared" si="589"/>
        <v>0</v>
      </c>
    </row>
    <row r="903" spans="2:82">
      <c r="BU903" s="40">
        <f t="shared" si="588"/>
        <v>0</v>
      </c>
      <c r="BV903" s="40">
        <f t="shared" si="589"/>
        <v>0</v>
      </c>
      <c r="BW903" s="40">
        <f t="shared" si="589"/>
        <v>0</v>
      </c>
      <c r="BX903" s="40">
        <f t="shared" si="589"/>
        <v>0</v>
      </c>
      <c r="BY903" s="40">
        <f t="shared" si="589"/>
        <v>0</v>
      </c>
      <c r="BZ903" s="40">
        <f t="shared" si="589"/>
        <v>0</v>
      </c>
      <c r="CA903" s="40">
        <f t="shared" si="589"/>
        <v>0</v>
      </c>
      <c r="CB903" s="40">
        <f t="shared" si="589"/>
        <v>0</v>
      </c>
      <c r="CC903" s="40">
        <f t="shared" si="589"/>
        <v>0</v>
      </c>
      <c r="CD903" s="40">
        <f t="shared" si="589"/>
        <v>0</v>
      </c>
    </row>
    <row r="904" spans="2:82">
      <c r="BU904" s="40">
        <f t="shared" si="588"/>
        <v>0</v>
      </c>
      <c r="BV904" s="40">
        <f t="shared" ref="BV904:CD914" si="592">BU904</f>
        <v>0</v>
      </c>
      <c r="BW904" s="40">
        <f t="shared" si="592"/>
        <v>0</v>
      </c>
      <c r="BX904" s="40">
        <f t="shared" si="592"/>
        <v>0</v>
      </c>
      <c r="BY904" s="40">
        <f t="shared" si="592"/>
        <v>0</v>
      </c>
      <c r="BZ904" s="40">
        <f t="shared" si="592"/>
        <v>0</v>
      </c>
      <c r="CA904" s="40">
        <f t="shared" si="592"/>
        <v>0</v>
      </c>
      <c r="CB904" s="40">
        <f t="shared" si="592"/>
        <v>0</v>
      </c>
      <c r="CC904" s="40">
        <f t="shared" si="592"/>
        <v>0</v>
      </c>
      <c r="CD904" s="40">
        <f t="shared" si="592"/>
        <v>0</v>
      </c>
    </row>
    <row r="905" spans="2:82">
      <c r="BU905" s="40">
        <f t="shared" si="588"/>
        <v>0</v>
      </c>
      <c r="BV905" s="40">
        <f t="shared" si="592"/>
        <v>0</v>
      </c>
      <c r="BW905" s="40">
        <f t="shared" si="592"/>
        <v>0</v>
      </c>
      <c r="BX905" s="40">
        <f t="shared" si="592"/>
        <v>0</v>
      </c>
      <c r="BY905" s="40">
        <f t="shared" si="592"/>
        <v>0</v>
      </c>
      <c r="BZ905" s="40">
        <f t="shared" si="592"/>
        <v>0</v>
      </c>
      <c r="CA905" s="40">
        <f t="shared" si="592"/>
        <v>0</v>
      </c>
      <c r="CB905" s="40">
        <f t="shared" si="592"/>
        <v>0</v>
      </c>
      <c r="CC905" s="40">
        <f t="shared" si="592"/>
        <v>0</v>
      </c>
      <c r="CD905" s="40">
        <f t="shared" si="592"/>
        <v>0</v>
      </c>
    </row>
    <row r="906" spans="2:82">
      <c r="BU906" s="40">
        <f t="shared" si="588"/>
        <v>0</v>
      </c>
      <c r="BV906" s="40">
        <f t="shared" si="592"/>
        <v>0</v>
      </c>
      <c r="BW906" s="40">
        <f t="shared" si="592"/>
        <v>0</v>
      </c>
      <c r="BX906" s="40">
        <f t="shared" si="592"/>
        <v>0</v>
      </c>
      <c r="BY906" s="40">
        <f t="shared" si="592"/>
        <v>0</v>
      </c>
      <c r="BZ906" s="40">
        <f t="shared" si="592"/>
        <v>0</v>
      </c>
      <c r="CA906" s="40">
        <f t="shared" si="592"/>
        <v>0</v>
      </c>
      <c r="CB906" s="40">
        <f t="shared" si="592"/>
        <v>0</v>
      </c>
      <c r="CC906" s="40">
        <f t="shared" si="592"/>
        <v>0</v>
      </c>
      <c r="CD906" s="40">
        <f t="shared" si="592"/>
        <v>0</v>
      </c>
    </row>
    <row r="907" spans="2:82">
      <c r="BU907" s="40">
        <f t="shared" si="588"/>
        <v>0</v>
      </c>
      <c r="BV907" s="40">
        <f t="shared" si="592"/>
        <v>0</v>
      </c>
      <c r="BW907" s="40">
        <f t="shared" si="592"/>
        <v>0</v>
      </c>
      <c r="BX907" s="40">
        <f t="shared" si="592"/>
        <v>0</v>
      </c>
      <c r="BY907" s="40">
        <f t="shared" si="592"/>
        <v>0</v>
      </c>
      <c r="BZ907" s="40">
        <f t="shared" si="592"/>
        <v>0</v>
      </c>
      <c r="CA907" s="40">
        <f t="shared" si="592"/>
        <v>0</v>
      </c>
      <c r="CB907" s="40">
        <f t="shared" si="592"/>
        <v>0</v>
      </c>
      <c r="CC907" s="40">
        <f t="shared" si="592"/>
        <v>0</v>
      </c>
      <c r="CD907" s="40">
        <f t="shared" si="592"/>
        <v>0</v>
      </c>
    </row>
    <row r="908" spans="2:82">
      <c r="BU908" s="40">
        <f t="shared" si="588"/>
        <v>0</v>
      </c>
      <c r="BV908" s="40">
        <f t="shared" si="592"/>
        <v>0</v>
      </c>
      <c r="BW908" s="40">
        <f t="shared" si="592"/>
        <v>0</v>
      </c>
      <c r="BX908" s="40">
        <f t="shared" si="592"/>
        <v>0</v>
      </c>
      <c r="BY908" s="40">
        <f t="shared" si="592"/>
        <v>0</v>
      </c>
      <c r="BZ908" s="40">
        <f t="shared" si="592"/>
        <v>0</v>
      </c>
      <c r="CA908" s="40">
        <f t="shared" si="592"/>
        <v>0</v>
      </c>
      <c r="CB908" s="40">
        <f t="shared" si="592"/>
        <v>0</v>
      </c>
      <c r="CC908" s="40">
        <f t="shared" si="592"/>
        <v>0</v>
      </c>
      <c r="CD908" s="40">
        <f t="shared" si="592"/>
        <v>0</v>
      </c>
    </row>
    <row r="909" spans="2:82">
      <c r="BU909" s="40">
        <f t="shared" si="588"/>
        <v>0</v>
      </c>
      <c r="BV909" s="40">
        <f t="shared" si="592"/>
        <v>0</v>
      </c>
      <c r="BW909" s="40">
        <f t="shared" si="592"/>
        <v>0</v>
      </c>
      <c r="BX909" s="40">
        <f t="shared" si="592"/>
        <v>0</v>
      </c>
      <c r="BY909" s="40">
        <f t="shared" si="592"/>
        <v>0</v>
      </c>
      <c r="BZ909" s="40">
        <f t="shared" si="592"/>
        <v>0</v>
      </c>
      <c r="CA909" s="40">
        <f t="shared" si="592"/>
        <v>0</v>
      </c>
      <c r="CB909" s="40">
        <f t="shared" si="592"/>
        <v>0</v>
      </c>
      <c r="CC909" s="40">
        <f t="shared" si="592"/>
        <v>0</v>
      </c>
      <c r="CD909" s="40">
        <f t="shared" si="592"/>
        <v>0</v>
      </c>
    </row>
    <row r="910" spans="2:82">
      <c r="BU910" s="40">
        <f t="shared" si="588"/>
        <v>0</v>
      </c>
      <c r="BV910" s="40">
        <f t="shared" si="592"/>
        <v>0</v>
      </c>
      <c r="BW910" s="40">
        <f t="shared" si="592"/>
        <v>0</v>
      </c>
      <c r="BX910" s="40">
        <f t="shared" si="592"/>
        <v>0</v>
      </c>
      <c r="BY910" s="40">
        <f t="shared" si="592"/>
        <v>0</v>
      </c>
      <c r="BZ910" s="40">
        <f t="shared" si="592"/>
        <v>0</v>
      </c>
      <c r="CA910" s="40">
        <f t="shared" si="592"/>
        <v>0</v>
      </c>
      <c r="CB910" s="40">
        <f t="shared" si="592"/>
        <v>0</v>
      </c>
      <c r="CC910" s="40">
        <f t="shared" si="592"/>
        <v>0</v>
      </c>
      <c r="CD910" s="40">
        <f t="shared" si="592"/>
        <v>0</v>
      </c>
    </row>
    <row r="911" spans="2:82">
      <c r="BU911" s="40">
        <f t="shared" si="588"/>
        <v>0</v>
      </c>
      <c r="BV911" s="40">
        <f t="shared" si="592"/>
        <v>0</v>
      </c>
      <c r="BW911" s="40">
        <f t="shared" si="592"/>
        <v>0</v>
      </c>
      <c r="BX911" s="40">
        <f t="shared" si="592"/>
        <v>0</v>
      </c>
      <c r="BY911" s="40">
        <f t="shared" si="592"/>
        <v>0</v>
      </c>
      <c r="BZ911" s="40">
        <f t="shared" si="592"/>
        <v>0</v>
      </c>
      <c r="CA911" s="40">
        <f t="shared" si="592"/>
        <v>0</v>
      </c>
      <c r="CB911" s="40">
        <f t="shared" si="592"/>
        <v>0</v>
      </c>
      <c r="CC911" s="40">
        <f t="shared" si="592"/>
        <v>0</v>
      </c>
      <c r="CD911" s="40">
        <f t="shared" si="592"/>
        <v>0</v>
      </c>
    </row>
    <row r="912" spans="2:82">
      <c r="BU912" s="40">
        <f t="shared" si="588"/>
        <v>0</v>
      </c>
      <c r="BV912" s="40">
        <f t="shared" si="592"/>
        <v>0</v>
      </c>
      <c r="BW912" s="40">
        <f t="shared" si="592"/>
        <v>0</v>
      </c>
      <c r="BX912" s="40">
        <f t="shared" si="592"/>
        <v>0</v>
      </c>
      <c r="BY912" s="40">
        <f t="shared" si="592"/>
        <v>0</v>
      </c>
      <c r="BZ912" s="40">
        <f t="shared" si="592"/>
        <v>0</v>
      </c>
      <c r="CA912" s="40">
        <f t="shared" si="592"/>
        <v>0</v>
      </c>
      <c r="CB912" s="40">
        <f t="shared" si="592"/>
        <v>0</v>
      </c>
      <c r="CC912" s="40">
        <f t="shared" si="592"/>
        <v>0</v>
      </c>
      <c r="CD912" s="40">
        <f t="shared" si="592"/>
        <v>0</v>
      </c>
    </row>
    <row r="913" spans="73:82">
      <c r="BU913" s="40">
        <f t="shared" si="588"/>
        <v>0</v>
      </c>
      <c r="BV913" s="40">
        <f t="shared" si="592"/>
        <v>0</v>
      </c>
      <c r="BW913" s="40">
        <f t="shared" si="592"/>
        <v>0</v>
      </c>
      <c r="BX913" s="40">
        <f t="shared" si="592"/>
        <v>0</v>
      </c>
      <c r="BY913" s="40">
        <f t="shared" si="592"/>
        <v>0</v>
      </c>
      <c r="BZ913" s="40">
        <f t="shared" si="592"/>
        <v>0</v>
      </c>
      <c r="CA913" s="40">
        <f t="shared" si="592"/>
        <v>0</v>
      </c>
      <c r="CB913" s="40">
        <f t="shared" si="592"/>
        <v>0</v>
      </c>
      <c r="CC913" s="40">
        <f t="shared" si="592"/>
        <v>0</v>
      </c>
      <c r="CD913" s="40">
        <f t="shared" si="592"/>
        <v>0</v>
      </c>
    </row>
    <row r="914" spans="73:82">
      <c r="BU914" s="40">
        <f t="shared" si="588"/>
        <v>0</v>
      </c>
      <c r="BV914" s="40">
        <f t="shared" si="592"/>
        <v>0</v>
      </c>
      <c r="BW914" s="40">
        <f t="shared" si="592"/>
        <v>0</v>
      </c>
      <c r="BX914" s="40">
        <f t="shared" si="592"/>
        <v>0</v>
      </c>
      <c r="BY914" s="40">
        <f t="shared" si="592"/>
        <v>0</v>
      </c>
      <c r="BZ914" s="40">
        <f t="shared" si="592"/>
        <v>0</v>
      </c>
      <c r="CA914" s="40">
        <f t="shared" si="592"/>
        <v>0</v>
      </c>
      <c r="CB914" s="40">
        <f t="shared" si="592"/>
        <v>0</v>
      </c>
      <c r="CC914" s="40">
        <f t="shared" si="592"/>
        <v>0</v>
      </c>
      <c r="CD914" s="40">
        <f t="shared" si="592"/>
        <v>0</v>
      </c>
    </row>
    <row r="915" spans="73:82">
      <c r="BU915" s="40">
        <f t="shared" si="588"/>
        <v>0</v>
      </c>
      <c r="BV915" s="40">
        <f t="shared" ref="BV915:CD915" si="593">BU915</f>
        <v>0</v>
      </c>
      <c r="BW915" s="40">
        <f t="shared" si="593"/>
        <v>0</v>
      </c>
      <c r="BX915" s="40">
        <f t="shared" si="593"/>
        <v>0</v>
      </c>
      <c r="BY915" s="40">
        <f t="shared" si="593"/>
        <v>0</v>
      </c>
      <c r="BZ915" s="40">
        <f t="shared" si="593"/>
        <v>0</v>
      </c>
      <c r="CA915" s="40">
        <f t="shared" si="593"/>
        <v>0</v>
      </c>
      <c r="CB915" s="40">
        <f t="shared" si="593"/>
        <v>0</v>
      </c>
      <c r="CC915" s="40">
        <f t="shared" si="593"/>
        <v>0</v>
      </c>
      <c r="CD915" s="40">
        <f t="shared" si="593"/>
        <v>0</v>
      </c>
    </row>
    <row r="916" spans="73:82">
      <c r="BU916" s="40">
        <f t="shared" si="588"/>
        <v>0</v>
      </c>
      <c r="BV916" s="40">
        <f t="shared" ref="BV916:CD916" si="594">BU916</f>
        <v>0</v>
      </c>
      <c r="BW916" s="40">
        <f t="shared" si="594"/>
        <v>0</v>
      </c>
      <c r="BX916" s="40">
        <f t="shared" si="594"/>
        <v>0</v>
      </c>
      <c r="BY916" s="40">
        <f t="shared" si="594"/>
        <v>0</v>
      </c>
      <c r="BZ916" s="40">
        <f t="shared" si="594"/>
        <v>0</v>
      </c>
      <c r="CA916" s="40">
        <f t="shared" si="594"/>
        <v>0</v>
      </c>
      <c r="CB916" s="40">
        <f t="shared" si="594"/>
        <v>0</v>
      </c>
      <c r="CC916" s="40">
        <f t="shared" si="594"/>
        <v>0</v>
      </c>
      <c r="CD916" s="40">
        <f t="shared" si="594"/>
        <v>0</v>
      </c>
    </row>
    <row r="917" spans="73:82">
      <c r="BU917" s="40">
        <f t="shared" si="588"/>
        <v>0</v>
      </c>
      <c r="BV917" s="40">
        <f t="shared" ref="BV917:CD917" si="595">BU917</f>
        <v>0</v>
      </c>
      <c r="BW917" s="40">
        <f t="shared" si="595"/>
        <v>0</v>
      </c>
      <c r="BX917" s="40">
        <f t="shared" si="595"/>
        <v>0</v>
      </c>
      <c r="BY917" s="40">
        <f t="shared" si="595"/>
        <v>0</v>
      </c>
      <c r="BZ917" s="40">
        <f t="shared" si="595"/>
        <v>0</v>
      </c>
      <c r="CA917" s="40">
        <f t="shared" si="595"/>
        <v>0</v>
      </c>
      <c r="CB917" s="40">
        <f t="shared" si="595"/>
        <v>0</v>
      </c>
      <c r="CC917" s="40">
        <f t="shared" si="595"/>
        <v>0</v>
      </c>
      <c r="CD917" s="40">
        <f t="shared" si="595"/>
        <v>0</v>
      </c>
    </row>
    <row r="918" spans="73:82">
      <c r="BU918" s="40">
        <f t="shared" si="588"/>
        <v>0</v>
      </c>
      <c r="BV918" s="40">
        <f t="shared" ref="BV918:CD918" si="596">BU918</f>
        <v>0</v>
      </c>
      <c r="BW918" s="40">
        <f t="shared" si="596"/>
        <v>0</v>
      </c>
      <c r="BX918" s="40">
        <f t="shared" si="596"/>
        <v>0</v>
      </c>
      <c r="BY918" s="40">
        <f t="shared" si="596"/>
        <v>0</v>
      </c>
      <c r="BZ918" s="40">
        <f t="shared" si="596"/>
        <v>0</v>
      </c>
      <c r="CA918" s="40">
        <f t="shared" si="596"/>
        <v>0</v>
      </c>
      <c r="CB918" s="40">
        <f t="shared" si="596"/>
        <v>0</v>
      </c>
      <c r="CC918" s="40">
        <f t="shared" si="596"/>
        <v>0</v>
      </c>
      <c r="CD918" s="40">
        <f t="shared" si="596"/>
        <v>0</v>
      </c>
    </row>
    <row r="919" spans="73:82">
      <c r="BU919" s="40">
        <f t="shared" si="588"/>
        <v>0</v>
      </c>
      <c r="BV919" s="40">
        <f t="shared" ref="BV919:CD919" si="597">BU919</f>
        <v>0</v>
      </c>
      <c r="BW919" s="40">
        <f t="shared" si="597"/>
        <v>0</v>
      </c>
      <c r="BX919" s="40">
        <f t="shared" si="597"/>
        <v>0</v>
      </c>
      <c r="BY919" s="40">
        <f t="shared" si="597"/>
        <v>0</v>
      </c>
      <c r="BZ919" s="40">
        <f t="shared" si="597"/>
        <v>0</v>
      </c>
      <c r="CA919" s="40">
        <f t="shared" si="597"/>
        <v>0</v>
      </c>
      <c r="CB919" s="40">
        <f t="shared" si="597"/>
        <v>0</v>
      </c>
      <c r="CC919" s="40">
        <f t="shared" si="597"/>
        <v>0</v>
      </c>
      <c r="CD919" s="40">
        <f t="shared" si="597"/>
        <v>0</v>
      </c>
    </row>
    <row r="920" spans="73:82">
      <c r="BU920" s="40">
        <f t="shared" si="588"/>
        <v>0</v>
      </c>
      <c r="BV920" s="40">
        <f t="shared" ref="BV920:CD920" si="598">BU920</f>
        <v>0</v>
      </c>
      <c r="BW920" s="40">
        <f t="shared" si="598"/>
        <v>0</v>
      </c>
      <c r="BX920" s="40">
        <f t="shared" si="598"/>
        <v>0</v>
      </c>
      <c r="BY920" s="40">
        <f t="shared" si="598"/>
        <v>0</v>
      </c>
      <c r="BZ920" s="40">
        <f t="shared" si="598"/>
        <v>0</v>
      </c>
      <c r="CA920" s="40">
        <f t="shared" si="598"/>
        <v>0</v>
      </c>
      <c r="CB920" s="40">
        <f t="shared" si="598"/>
        <v>0</v>
      </c>
      <c r="CC920" s="40">
        <f t="shared" si="598"/>
        <v>0</v>
      </c>
      <c r="CD920" s="40">
        <f t="shared" si="598"/>
        <v>0</v>
      </c>
    </row>
    <row r="921" spans="73:82">
      <c r="BU921" s="40">
        <f t="shared" si="588"/>
        <v>0</v>
      </c>
      <c r="BV921" s="40">
        <f t="shared" ref="BV921:CD921" si="599">BU921</f>
        <v>0</v>
      </c>
      <c r="BW921" s="40">
        <f t="shared" si="599"/>
        <v>0</v>
      </c>
      <c r="BX921" s="40">
        <f t="shared" si="599"/>
        <v>0</v>
      </c>
      <c r="BY921" s="40">
        <f t="shared" si="599"/>
        <v>0</v>
      </c>
      <c r="BZ921" s="40">
        <f t="shared" si="599"/>
        <v>0</v>
      </c>
      <c r="CA921" s="40">
        <f t="shared" si="599"/>
        <v>0</v>
      </c>
      <c r="CB921" s="40">
        <f t="shared" si="599"/>
        <v>0</v>
      </c>
      <c r="CC921" s="40">
        <f t="shared" si="599"/>
        <v>0</v>
      </c>
      <c r="CD921" s="40">
        <f t="shared" si="599"/>
        <v>0</v>
      </c>
    </row>
    <row r="922" spans="73:82">
      <c r="BU922" s="40">
        <f t="shared" si="588"/>
        <v>0</v>
      </c>
      <c r="BV922" s="40">
        <f t="shared" ref="BV922:CD922" si="600">BU922</f>
        <v>0</v>
      </c>
      <c r="BW922" s="40">
        <f t="shared" si="600"/>
        <v>0</v>
      </c>
      <c r="BX922" s="40">
        <f t="shared" si="600"/>
        <v>0</v>
      </c>
      <c r="BY922" s="40">
        <f t="shared" si="600"/>
        <v>0</v>
      </c>
      <c r="BZ922" s="40">
        <f t="shared" si="600"/>
        <v>0</v>
      </c>
      <c r="CA922" s="40">
        <f t="shared" si="600"/>
        <v>0</v>
      </c>
      <c r="CB922" s="40">
        <f t="shared" si="600"/>
        <v>0</v>
      </c>
      <c r="CC922" s="40">
        <f t="shared" si="600"/>
        <v>0</v>
      </c>
      <c r="CD922" s="40">
        <f t="shared" si="600"/>
        <v>0</v>
      </c>
    </row>
    <row r="923" spans="73:82">
      <c r="BU923" s="40">
        <f t="shared" si="588"/>
        <v>0</v>
      </c>
      <c r="BV923" s="40">
        <f t="shared" ref="BV923:CD923" si="601">BU923</f>
        <v>0</v>
      </c>
      <c r="BW923" s="40">
        <f t="shared" si="601"/>
        <v>0</v>
      </c>
      <c r="BX923" s="40">
        <f t="shared" si="601"/>
        <v>0</v>
      </c>
      <c r="BY923" s="40">
        <f t="shared" si="601"/>
        <v>0</v>
      </c>
      <c r="BZ923" s="40">
        <f t="shared" si="601"/>
        <v>0</v>
      </c>
      <c r="CA923" s="40">
        <f t="shared" si="601"/>
        <v>0</v>
      </c>
      <c r="CB923" s="40">
        <f t="shared" si="601"/>
        <v>0</v>
      </c>
      <c r="CC923" s="40">
        <f t="shared" si="601"/>
        <v>0</v>
      </c>
      <c r="CD923" s="40">
        <f t="shared" si="601"/>
        <v>0</v>
      </c>
    </row>
    <row r="924" spans="73:82">
      <c r="BU924" s="40">
        <f t="shared" si="588"/>
        <v>0</v>
      </c>
      <c r="BV924" s="40">
        <f t="shared" ref="BV924:CD924" si="602">BU924</f>
        <v>0</v>
      </c>
      <c r="BW924" s="40">
        <f t="shared" si="602"/>
        <v>0</v>
      </c>
      <c r="BX924" s="40">
        <f t="shared" si="602"/>
        <v>0</v>
      </c>
      <c r="BY924" s="40">
        <f t="shared" si="602"/>
        <v>0</v>
      </c>
      <c r="BZ924" s="40">
        <f t="shared" si="602"/>
        <v>0</v>
      </c>
      <c r="CA924" s="40">
        <f t="shared" si="602"/>
        <v>0</v>
      </c>
      <c r="CB924" s="40">
        <f t="shared" si="602"/>
        <v>0</v>
      </c>
      <c r="CC924" s="40">
        <f t="shared" si="602"/>
        <v>0</v>
      </c>
      <c r="CD924" s="40">
        <f t="shared" si="602"/>
        <v>0</v>
      </c>
    </row>
    <row r="925" spans="73:82">
      <c r="BU925" s="40">
        <f t="shared" si="588"/>
        <v>0</v>
      </c>
      <c r="BV925" s="40">
        <f t="shared" ref="BV925:CD925" si="603">BU925</f>
        <v>0</v>
      </c>
      <c r="BW925" s="40">
        <f t="shared" si="603"/>
        <v>0</v>
      </c>
      <c r="BX925" s="40">
        <f t="shared" si="603"/>
        <v>0</v>
      </c>
      <c r="BY925" s="40">
        <f t="shared" si="603"/>
        <v>0</v>
      </c>
      <c r="BZ925" s="40">
        <f t="shared" si="603"/>
        <v>0</v>
      </c>
      <c r="CA925" s="40">
        <f t="shared" si="603"/>
        <v>0</v>
      </c>
      <c r="CB925" s="40">
        <f t="shared" si="603"/>
        <v>0</v>
      </c>
      <c r="CC925" s="40">
        <f t="shared" si="603"/>
        <v>0</v>
      </c>
      <c r="CD925" s="40">
        <f t="shared" si="603"/>
        <v>0</v>
      </c>
    </row>
    <row r="926" spans="73:82">
      <c r="BU926" s="40">
        <f t="shared" si="588"/>
        <v>0</v>
      </c>
      <c r="BV926" s="40">
        <f t="shared" ref="BV926:CD926" si="604">BU926</f>
        <v>0</v>
      </c>
      <c r="BW926" s="40">
        <f t="shared" si="604"/>
        <v>0</v>
      </c>
      <c r="BX926" s="40">
        <f t="shared" si="604"/>
        <v>0</v>
      </c>
      <c r="BY926" s="40">
        <f t="shared" si="604"/>
        <v>0</v>
      </c>
      <c r="BZ926" s="40">
        <f t="shared" si="604"/>
        <v>0</v>
      </c>
      <c r="CA926" s="40">
        <f t="shared" si="604"/>
        <v>0</v>
      </c>
      <c r="CB926" s="40">
        <f t="shared" si="604"/>
        <v>0</v>
      </c>
      <c r="CC926" s="40">
        <f t="shared" si="604"/>
        <v>0</v>
      </c>
      <c r="CD926" s="40">
        <f t="shared" si="604"/>
        <v>0</v>
      </c>
    </row>
    <row r="927" spans="73:82">
      <c r="BU927" s="40">
        <f t="shared" si="588"/>
        <v>0</v>
      </c>
      <c r="BV927" s="40">
        <f t="shared" ref="BV927:CD927" si="605">BU927</f>
        <v>0</v>
      </c>
      <c r="BW927" s="40">
        <f t="shared" si="605"/>
        <v>0</v>
      </c>
      <c r="BX927" s="40">
        <f t="shared" si="605"/>
        <v>0</v>
      </c>
      <c r="BY927" s="40">
        <f t="shared" si="605"/>
        <v>0</v>
      </c>
      <c r="BZ927" s="40">
        <f t="shared" si="605"/>
        <v>0</v>
      </c>
      <c r="CA927" s="40">
        <f t="shared" si="605"/>
        <v>0</v>
      </c>
      <c r="CB927" s="40">
        <f t="shared" si="605"/>
        <v>0</v>
      </c>
      <c r="CC927" s="40">
        <f t="shared" si="605"/>
        <v>0</v>
      </c>
      <c r="CD927" s="40">
        <f t="shared" si="605"/>
        <v>0</v>
      </c>
    </row>
    <row r="928" spans="73:82">
      <c r="BU928" s="40">
        <f t="shared" si="588"/>
        <v>0</v>
      </c>
      <c r="BV928" s="40">
        <f t="shared" ref="BV928:CD928" si="606">BU928</f>
        <v>0</v>
      </c>
      <c r="BW928" s="40">
        <f t="shared" si="606"/>
        <v>0</v>
      </c>
      <c r="BX928" s="40">
        <f t="shared" si="606"/>
        <v>0</v>
      </c>
      <c r="BY928" s="40">
        <f t="shared" si="606"/>
        <v>0</v>
      </c>
      <c r="BZ928" s="40">
        <f t="shared" si="606"/>
        <v>0</v>
      </c>
      <c r="CA928" s="40">
        <f t="shared" si="606"/>
        <v>0</v>
      </c>
      <c r="CB928" s="40">
        <f t="shared" si="606"/>
        <v>0</v>
      </c>
      <c r="CC928" s="40">
        <f t="shared" si="606"/>
        <v>0</v>
      </c>
      <c r="CD928" s="40">
        <f t="shared" si="606"/>
        <v>0</v>
      </c>
    </row>
    <row r="929" spans="2:82">
      <c r="BU929" s="40">
        <f t="shared" si="588"/>
        <v>0</v>
      </c>
      <c r="BV929" s="40">
        <f t="shared" ref="BV929:CD929" si="607">BU929</f>
        <v>0</v>
      </c>
      <c r="BW929" s="40">
        <f t="shared" si="607"/>
        <v>0</v>
      </c>
      <c r="BX929" s="40">
        <f t="shared" si="607"/>
        <v>0</v>
      </c>
      <c r="BY929" s="40">
        <f t="shared" si="607"/>
        <v>0</v>
      </c>
      <c r="BZ929" s="40">
        <f t="shared" si="607"/>
        <v>0</v>
      </c>
      <c r="CA929" s="40">
        <f t="shared" si="607"/>
        <v>0</v>
      </c>
      <c r="CB929" s="40">
        <f t="shared" si="607"/>
        <v>0</v>
      </c>
      <c r="CC929" s="40">
        <f t="shared" si="607"/>
        <v>0</v>
      </c>
      <c r="CD929" s="40">
        <f t="shared" si="607"/>
        <v>0</v>
      </c>
    </row>
    <row r="930" spans="2:82">
      <c r="BU930" s="40">
        <f t="shared" si="588"/>
        <v>0</v>
      </c>
      <c r="BV930" s="40">
        <f t="shared" ref="BV930:CD930" si="608">BU930</f>
        <v>0</v>
      </c>
      <c r="BW930" s="40">
        <f t="shared" si="608"/>
        <v>0</v>
      </c>
      <c r="BX930" s="40">
        <f t="shared" si="608"/>
        <v>0</v>
      </c>
      <c r="BY930" s="40">
        <f t="shared" si="608"/>
        <v>0</v>
      </c>
      <c r="BZ930" s="40">
        <f t="shared" si="608"/>
        <v>0</v>
      </c>
      <c r="CA930" s="40">
        <f t="shared" si="608"/>
        <v>0</v>
      </c>
      <c r="CB930" s="40">
        <f t="shared" si="608"/>
        <v>0</v>
      </c>
      <c r="CC930" s="40">
        <f t="shared" si="608"/>
        <v>0</v>
      </c>
      <c r="CD930" s="40">
        <f t="shared" si="608"/>
        <v>0</v>
      </c>
    </row>
    <row r="931" spans="2:82">
      <c r="B931" s="25" t="s">
        <v>3285</v>
      </c>
      <c r="BU931" s="40">
        <f t="shared" si="588"/>
        <v>0</v>
      </c>
      <c r="BV931" s="40">
        <f t="shared" ref="BV931:CD931" si="609">BU931</f>
        <v>0</v>
      </c>
      <c r="BW931" s="40">
        <f t="shared" si="609"/>
        <v>0</v>
      </c>
      <c r="BX931" s="40">
        <f t="shared" si="609"/>
        <v>0</v>
      </c>
      <c r="BY931" s="40">
        <f t="shared" si="609"/>
        <v>0</v>
      </c>
      <c r="BZ931" s="40">
        <f t="shared" si="609"/>
        <v>0</v>
      </c>
      <c r="CA931" s="40">
        <f t="shared" si="609"/>
        <v>0</v>
      </c>
      <c r="CB931" s="40">
        <f t="shared" si="609"/>
        <v>0</v>
      </c>
      <c r="CC931" s="40">
        <f t="shared" si="609"/>
        <v>0</v>
      </c>
      <c r="CD931" s="40">
        <f t="shared" si="609"/>
        <v>0</v>
      </c>
    </row>
    <row r="932" spans="2:82">
      <c r="B932" s="25" t="str">
        <f>B356</f>
        <v>Inkomstbel. Bauxietmij. SAS</v>
      </c>
      <c r="C932" s="25">
        <f>C356</f>
        <v>0</v>
      </c>
      <c r="D932" s="25">
        <f>D356</f>
        <v>0</v>
      </c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  <c r="AQ932" s="25"/>
      <c r="AR932" s="25"/>
      <c r="AS932" s="25"/>
      <c r="AT932" s="25"/>
      <c r="AU932" s="25"/>
      <c r="AV932" s="25">
        <f t="shared" ref="AV932:BJ932" si="610">AV356</f>
        <v>0</v>
      </c>
      <c r="AW932" s="25">
        <f t="shared" si="610"/>
        <v>0</v>
      </c>
      <c r="AX932" s="25">
        <f t="shared" si="610"/>
        <v>0</v>
      </c>
      <c r="AY932" s="25">
        <f t="shared" si="610"/>
        <v>0</v>
      </c>
      <c r="AZ932" s="25">
        <f t="shared" si="610"/>
        <v>26.791081999999999</v>
      </c>
      <c r="BA932" s="25">
        <f t="shared" si="610"/>
        <v>80022.274000000005</v>
      </c>
      <c r="BB932" s="25">
        <f t="shared" si="610"/>
        <v>34325.194000000003</v>
      </c>
      <c r="BC932" s="25">
        <f t="shared" si="610"/>
        <v>56026.012000000002</v>
      </c>
      <c r="BD932" s="25">
        <f t="shared" si="610"/>
        <v>113.891182</v>
      </c>
      <c r="BE932" s="25">
        <f t="shared" si="610"/>
        <v>114.752122</v>
      </c>
      <c r="BF932" s="25">
        <f t="shared" si="610"/>
        <v>47.237707999999998</v>
      </c>
      <c r="BG932" s="25">
        <f t="shared" si="610"/>
        <v>123.979009</v>
      </c>
      <c r="BH932" s="25">
        <f t="shared" si="610"/>
        <v>26.901477</v>
      </c>
      <c r="BI932" s="25">
        <f t="shared" si="610"/>
        <v>12.876058</v>
      </c>
      <c r="BJ932" s="25">
        <f t="shared" si="610"/>
        <v>3.2519999999999998</v>
      </c>
      <c r="BU932" s="40">
        <f t="shared" si="588"/>
        <v>0</v>
      </c>
      <c r="BV932" s="40">
        <f t="shared" ref="BV932:CD932" si="611">BU932</f>
        <v>0</v>
      </c>
      <c r="BW932" s="40">
        <f t="shared" si="611"/>
        <v>0</v>
      </c>
      <c r="BX932" s="40">
        <f t="shared" si="611"/>
        <v>0</v>
      </c>
      <c r="BY932" s="40">
        <f t="shared" si="611"/>
        <v>0</v>
      </c>
      <c r="BZ932" s="40">
        <f t="shared" si="611"/>
        <v>0</v>
      </c>
      <c r="CA932" s="40">
        <f t="shared" si="611"/>
        <v>0</v>
      </c>
      <c r="CB932" s="40">
        <f t="shared" si="611"/>
        <v>0</v>
      </c>
      <c r="CC932" s="40">
        <f t="shared" si="611"/>
        <v>0</v>
      </c>
      <c r="CD932" s="40">
        <f t="shared" si="611"/>
        <v>0</v>
      </c>
    </row>
    <row r="933" spans="2:82">
      <c r="B933" s="25" t="s">
        <v>3284</v>
      </c>
      <c r="BU933" s="40">
        <f t="shared" si="588"/>
        <v>0</v>
      </c>
      <c r="BV933" s="40">
        <f t="shared" ref="BV933:CD933" si="612">BU933</f>
        <v>0</v>
      </c>
      <c r="BW933" s="40">
        <f t="shared" si="612"/>
        <v>0</v>
      </c>
      <c r="BX933" s="40">
        <f t="shared" si="612"/>
        <v>0</v>
      </c>
      <c r="BY933" s="40">
        <f t="shared" si="612"/>
        <v>0</v>
      </c>
      <c r="BZ933" s="40">
        <f t="shared" si="612"/>
        <v>0</v>
      </c>
      <c r="CA933" s="40">
        <f t="shared" si="612"/>
        <v>0</v>
      </c>
      <c r="CB933" s="40">
        <f t="shared" si="612"/>
        <v>0</v>
      </c>
      <c r="CC933" s="40">
        <f t="shared" si="612"/>
        <v>0</v>
      </c>
      <c r="CD933" s="40">
        <f t="shared" si="612"/>
        <v>0</v>
      </c>
    </row>
    <row r="934" spans="2:82">
      <c r="B934" s="25" t="str">
        <f>B550</f>
        <v>retributie (bauxiet)</v>
      </c>
      <c r="C934" s="25">
        <f>C550</f>
        <v>0</v>
      </c>
      <c r="D934" s="25">
        <f>D550</f>
        <v>0</v>
      </c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  <c r="AQ934" s="25"/>
      <c r="AR934" s="25"/>
      <c r="AS934" s="25"/>
      <c r="AT934" s="25"/>
      <c r="AU934" s="25"/>
      <c r="AV934" s="25">
        <f t="shared" ref="AV934:BJ934" si="613">AV550</f>
        <v>0</v>
      </c>
      <c r="AW934" s="25">
        <f t="shared" si="613"/>
        <v>0</v>
      </c>
      <c r="AX934" s="25">
        <f t="shared" si="613"/>
        <v>0</v>
      </c>
      <c r="AY934" s="25">
        <f t="shared" si="613"/>
        <v>0</v>
      </c>
      <c r="AZ934" s="25">
        <f t="shared" si="613"/>
        <v>0</v>
      </c>
      <c r="BA934" s="25">
        <f t="shared" si="613"/>
        <v>0</v>
      </c>
      <c r="BB934" s="25">
        <f t="shared" si="613"/>
        <v>0</v>
      </c>
      <c r="BC934" s="25">
        <f t="shared" si="613"/>
        <v>0</v>
      </c>
      <c r="BD934" s="25">
        <f t="shared" si="613"/>
        <v>0</v>
      </c>
      <c r="BE934" s="25">
        <f t="shared" si="613"/>
        <v>0</v>
      </c>
      <c r="BF934" s="25">
        <f t="shared" si="613"/>
        <v>0</v>
      </c>
      <c r="BG934" s="25">
        <f t="shared" si="613"/>
        <v>0</v>
      </c>
      <c r="BH934" s="25">
        <f t="shared" si="613"/>
        <v>3.9152300000000002</v>
      </c>
      <c r="BI934" s="25">
        <f t="shared" si="613"/>
        <v>2.198032</v>
      </c>
      <c r="BJ934" s="25">
        <f t="shared" si="613"/>
        <v>4.0179169999999997</v>
      </c>
      <c r="BU934" s="40">
        <f t="shared" si="588"/>
        <v>0</v>
      </c>
      <c r="BV934" s="40">
        <f t="shared" ref="BV934:CD934" si="614">BU934</f>
        <v>0</v>
      </c>
      <c r="BW934" s="40">
        <f t="shared" si="614"/>
        <v>0</v>
      </c>
      <c r="BX934" s="40">
        <f t="shared" si="614"/>
        <v>0</v>
      </c>
      <c r="BY934" s="40">
        <f t="shared" si="614"/>
        <v>0</v>
      </c>
      <c r="BZ934" s="40">
        <f t="shared" si="614"/>
        <v>0</v>
      </c>
      <c r="CA934" s="40">
        <f t="shared" si="614"/>
        <v>0</v>
      </c>
      <c r="CB934" s="40">
        <f t="shared" si="614"/>
        <v>0</v>
      </c>
      <c r="CC934" s="40">
        <f t="shared" si="614"/>
        <v>0</v>
      </c>
      <c r="CD934" s="40">
        <f t="shared" si="614"/>
        <v>0</v>
      </c>
    </row>
    <row r="935" spans="2:82">
      <c r="BU935" s="40">
        <f t="shared" si="588"/>
        <v>0</v>
      </c>
      <c r="BV935" s="40">
        <f t="shared" ref="BV935:CD935" si="615">BU935</f>
        <v>0</v>
      </c>
      <c r="BW935" s="40">
        <f t="shared" si="615"/>
        <v>0</v>
      </c>
      <c r="BX935" s="40">
        <f t="shared" si="615"/>
        <v>0</v>
      </c>
      <c r="BY935" s="40">
        <f t="shared" si="615"/>
        <v>0</v>
      </c>
      <c r="BZ935" s="40">
        <f t="shared" si="615"/>
        <v>0</v>
      </c>
      <c r="CA935" s="40">
        <f t="shared" si="615"/>
        <v>0</v>
      </c>
      <c r="CB935" s="40">
        <f t="shared" si="615"/>
        <v>0</v>
      </c>
      <c r="CC935" s="40">
        <f t="shared" si="615"/>
        <v>0</v>
      </c>
      <c r="CD935" s="40">
        <f t="shared" si="615"/>
        <v>0</v>
      </c>
    </row>
    <row r="936" spans="2:82">
      <c r="B936" s="25" t="s">
        <v>1154</v>
      </c>
      <c r="BH936" s="908"/>
      <c r="BI936" s="908"/>
      <c r="BJ936" s="908"/>
      <c r="BK936" s="908"/>
      <c r="BL936" s="908"/>
      <c r="BM936" s="908"/>
      <c r="BU936" s="40">
        <f t="shared" si="588"/>
        <v>0</v>
      </c>
      <c r="BV936" s="40">
        <f>BU936</f>
        <v>0</v>
      </c>
      <c r="BW936" s="40">
        <f>BV936</f>
        <v>0</v>
      </c>
      <c r="BX936" s="40">
        <f t="shared" ref="BV936:CD951" si="616">BW936</f>
        <v>0</v>
      </c>
      <c r="BY936" s="40">
        <f t="shared" si="616"/>
        <v>0</v>
      </c>
      <c r="BZ936" s="40">
        <f t="shared" si="616"/>
        <v>0</v>
      </c>
      <c r="CA936" s="40">
        <f t="shared" si="616"/>
        <v>0</v>
      </c>
      <c r="CB936" s="40">
        <f t="shared" si="616"/>
        <v>0</v>
      </c>
      <c r="CC936" s="40">
        <f t="shared" si="616"/>
        <v>0</v>
      </c>
      <c r="CD936" s="40">
        <f t="shared" si="616"/>
        <v>0</v>
      </c>
    </row>
    <row r="937" spans="2:82">
      <c r="B937" s="25" t="s">
        <v>1150</v>
      </c>
      <c r="C937" s="1" t="s">
        <v>3193</v>
      </c>
      <c r="BH937" s="908"/>
      <c r="BI937" s="908"/>
      <c r="BJ937" s="314">
        <v>0.91850399999999999</v>
      </c>
      <c r="BK937" s="314"/>
      <c r="BL937" s="314">
        <v>8.3359999999999988E-4</v>
      </c>
      <c r="BM937" s="314">
        <v>7.7099999999999998E-4</v>
      </c>
      <c r="BU937" s="40">
        <f t="shared" ref="BU937:BU1000" si="617">BT937</f>
        <v>0</v>
      </c>
      <c r="BV937" s="40">
        <f t="shared" si="616"/>
        <v>0</v>
      </c>
      <c r="BW937" s="40">
        <f t="shared" si="616"/>
        <v>0</v>
      </c>
      <c r="BX937" s="40">
        <f t="shared" si="616"/>
        <v>0</v>
      </c>
      <c r="BY937" s="40">
        <f t="shared" si="616"/>
        <v>0</v>
      </c>
      <c r="BZ937" s="40">
        <f t="shared" si="616"/>
        <v>0</v>
      </c>
      <c r="CA937" s="40">
        <f t="shared" si="616"/>
        <v>0</v>
      </c>
      <c r="CB937" s="40">
        <f t="shared" si="616"/>
        <v>0</v>
      </c>
      <c r="CC937" s="40">
        <f t="shared" si="616"/>
        <v>0</v>
      </c>
      <c r="CD937" s="40">
        <f t="shared" si="616"/>
        <v>0</v>
      </c>
    </row>
    <row r="938" spans="2:82">
      <c r="B938" s="25" t="s">
        <v>1151</v>
      </c>
      <c r="C938" s="1" t="s">
        <v>3193</v>
      </c>
      <c r="BH938" s="908"/>
      <c r="BI938" s="908"/>
      <c r="BJ938" s="314">
        <v>4.1256050000000002</v>
      </c>
      <c r="BK938" s="314"/>
      <c r="BL938" s="314">
        <v>3.7888000000000002E-3</v>
      </c>
      <c r="BM938" s="314">
        <v>3.6740000000000002E-3</v>
      </c>
      <c r="BU938" s="40">
        <f t="shared" si="617"/>
        <v>0</v>
      </c>
      <c r="BV938" s="40">
        <f t="shared" si="616"/>
        <v>0</v>
      </c>
      <c r="BW938" s="40">
        <f t="shared" si="616"/>
        <v>0</v>
      </c>
      <c r="BX938" s="40">
        <f t="shared" si="616"/>
        <v>0</v>
      </c>
      <c r="BY938" s="40">
        <f t="shared" si="616"/>
        <v>0</v>
      </c>
      <c r="BZ938" s="40">
        <f t="shared" si="616"/>
        <v>0</v>
      </c>
      <c r="CA938" s="40">
        <f t="shared" si="616"/>
        <v>0</v>
      </c>
      <c r="CB938" s="40">
        <f t="shared" si="616"/>
        <v>0</v>
      </c>
      <c r="CC938" s="40">
        <f t="shared" si="616"/>
        <v>0</v>
      </c>
      <c r="CD938" s="40">
        <f t="shared" si="616"/>
        <v>0</v>
      </c>
    </row>
    <row r="939" spans="2:82">
      <c r="B939" s="25" t="s">
        <v>1152</v>
      </c>
      <c r="C939" s="1" t="s">
        <v>3193</v>
      </c>
      <c r="BH939" s="908"/>
      <c r="BI939" s="908"/>
      <c r="BJ939" s="314">
        <v>3.6395999999999998E-2</v>
      </c>
      <c r="BK939" s="314"/>
      <c r="BL939" s="314">
        <v>8.2799999999999993E-5</v>
      </c>
      <c r="BM939" s="314">
        <v>3.6399999999999997E-5</v>
      </c>
      <c r="BU939" s="40">
        <f t="shared" si="617"/>
        <v>0</v>
      </c>
      <c r="BV939" s="40">
        <f t="shared" si="616"/>
        <v>0</v>
      </c>
      <c r="BW939" s="40">
        <f t="shared" si="616"/>
        <v>0</v>
      </c>
      <c r="BX939" s="40">
        <f t="shared" si="616"/>
        <v>0</v>
      </c>
      <c r="BY939" s="40">
        <f t="shared" si="616"/>
        <v>0</v>
      </c>
      <c r="BZ939" s="40">
        <f t="shared" si="616"/>
        <v>0</v>
      </c>
      <c r="CA939" s="40">
        <f t="shared" si="616"/>
        <v>0</v>
      </c>
      <c r="CB939" s="40">
        <f t="shared" si="616"/>
        <v>0</v>
      </c>
      <c r="CC939" s="40">
        <f t="shared" si="616"/>
        <v>0</v>
      </c>
      <c r="CD939" s="40">
        <f t="shared" si="616"/>
        <v>0</v>
      </c>
    </row>
    <row r="940" spans="2:82">
      <c r="B940" s="25" t="s">
        <v>2353</v>
      </c>
      <c r="C940" s="1" t="s">
        <v>3193</v>
      </c>
      <c r="BH940" s="908"/>
      <c r="BI940" s="908"/>
      <c r="BJ940" s="314">
        <v>0.240955</v>
      </c>
      <c r="BK940" s="314"/>
      <c r="BL940" s="314">
        <v>2.9849999999999999E-4</v>
      </c>
      <c r="BM940" s="314">
        <v>1.907E-4</v>
      </c>
      <c r="BU940" s="40">
        <f t="shared" si="617"/>
        <v>0</v>
      </c>
      <c r="BV940" s="40">
        <f t="shared" si="616"/>
        <v>0</v>
      </c>
      <c r="BW940" s="40">
        <f t="shared" si="616"/>
        <v>0</v>
      </c>
      <c r="BX940" s="40">
        <f t="shared" si="616"/>
        <v>0</v>
      </c>
      <c r="BY940" s="40">
        <f t="shared" si="616"/>
        <v>0</v>
      </c>
      <c r="BZ940" s="40">
        <f t="shared" si="616"/>
        <v>0</v>
      </c>
      <c r="CA940" s="40">
        <f t="shared" si="616"/>
        <v>0</v>
      </c>
      <c r="CB940" s="40">
        <f t="shared" si="616"/>
        <v>0</v>
      </c>
      <c r="CC940" s="40">
        <f t="shared" si="616"/>
        <v>0</v>
      </c>
      <c r="CD940" s="40">
        <f t="shared" si="616"/>
        <v>0</v>
      </c>
    </row>
    <row r="941" spans="2:82">
      <c r="B941" s="25" t="s">
        <v>908</v>
      </c>
      <c r="C941" s="1" t="s">
        <v>3193</v>
      </c>
      <c r="BH941" s="908"/>
      <c r="BI941" s="908"/>
      <c r="BJ941" s="314">
        <v>0.03</v>
      </c>
      <c r="BK941" s="314"/>
      <c r="BL941" s="314">
        <v>3.4639999999999996E-4</v>
      </c>
      <c r="BM941" s="314">
        <v>1.729E-4</v>
      </c>
      <c r="BU941" s="40">
        <f t="shared" si="617"/>
        <v>0</v>
      </c>
      <c r="BV941" s="40">
        <f t="shared" si="616"/>
        <v>0</v>
      </c>
      <c r="BW941" s="40">
        <f t="shared" si="616"/>
        <v>0</v>
      </c>
      <c r="BX941" s="40">
        <f t="shared" si="616"/>
        <v>0</v>
      </c>
      <c r="BY941" s="40">
        <f t="shared" si="616"/>
        <v>0</v>
      </c>
      <c r="BZ941" s="40">
        <f t="shared" si="616"/>
        <v>0</v>
      </c>
      <c r="CA941" s="40">
        <f t="shared" si="616"/>
        <v>0</v>
      </c>
      <c r="CB941" s="40">
        <f t="shared" si="616"/>
        <v>0</v>
      </c>
      <c r="CC941" s="40">
        <f t="shared" si="616"/>
        <v>0</v>
      </c>
      <c r="CD941" s="40">
        <f t="shared" si="616"/>
        <v>0</v>
      </c>
    </row>
    <row r="942" spans="2:82">
      <c r="B942" s="25" t="s">
        <v>1153</v>
      </c>
      <c r="C942" s="1" t="s">
        <v>3193</v>
      </c>
      <c r="BH942" s="908"/>
      <c r="BI942" s="908"/>
      <c r="BJ942" s="314">
        <v>0.71986899999999998</v>
      </c>
      <c r="BK942" s="314"/>
      <c r="BL942" s="314">
        <v>7.4229999999999999E-4</v>
      </c>
      <c r="BM942" s="314">
        <v>6.5370000000000001E-4</v>
      </c>
      <c r="BU942" s="40">
        <f t="shared" si="617"/>
        <v>0</v>
      </c>
      <c r="BV942" s="40">
        <f t="shared" si="616"/>
        <v>0</v>
      </c>
      <c r="BW942" s="40">
        <f t="shared" si="616"/>
        <v>0</v>
      </c>
      <c r="BX942" s="40">
        <f t="shared" si="616"/>
        <v>0</v>
      </c>
      <c r="BY942" s="40">
        <f t="shared" si="616"/>
        <v>0</v>
      </c>
      <c r="BZ942" s="40">
        <f t="shared" si="616"/>
        <v>0</v>
      </c>
      <c r="CA942" s="40">
        <f t="shared" si="616"/>
        <v>0</v>
      </c>
      <c r="CB942" s="40">
        <f t="shared" si="616"/>
        <v>0</v>
      </c>
      <c r="CC942" s="40">
        <f t="shared" si="616"/>
        <v>0</v>
      </c>
      <c r="CD942" s="40">
        <f t="shared" si="616"/>
        <v>0</v>
      </c>
    </row>
    <row r="943" spans="2:82">
      <c r="B943" s="25" t="s">
        <v>787</v>
      </c>
      <c r="C943" s="1" t="s">
        <v>3193</v>
      </c>
      <c r="BH943" s="908"/>
      <c r="BI943" s="908"/>
      <c r="BJ943" s="314">
        <v>1.2</v>
      </c>
      <c r="BK943" s="314"/>
      <c r="BL943" s="314">
        <v>1.3854999999999999E-2</v>
      </c>
      <c r="BM943" s="314">
        <v>6.9156E-3</v>
      </c>
      <c r="BU943" s="40">
        <f t="shared" si="617"/>
        <v>0</v>
      </c>
      <c r="BV943" s="40">
        <f t="shared" si="616"/>
        <v>0</v>
      </c>
      <c r="BW943" s="40">
        <f t="shared" si="616"/>
        <v>0</v>
      </c>
      <c r="BX943" s="40">
        <f t="shared" si="616"/>
        <v>0</v>
      </c>
      <c r="BY943" s="40">
        <f t="shared" si="616"/>
        <v>0</v>
      </c>
      <c r="BZ943" s="40">
        <f t="shared" si="616"/>
        <v>0</v>
      </c>
      <c r="CA943" s="40">
        <f t="shared" si="616"/>
        <v>0</v>
      </c>
      <c r="CB943" s="40">
        <f t="shared" si="616"/>
        <v>0</v>
      </c>
      <c r="CC943" s="40">
        <f t="shared" si="616"/>
        <v>0</v>
      </c>
      <c r="CD943" s="40">
        <f t="shared" si="616"/>
        <v>0</v>
      </c>
    </row>
    <row r="944" spans="2:82">
      <c r="BU944" s="40">
        <f t="shared" si="617"/>
        <v>0</v>
      </c>
      <c r="BV944" s="40">
        <f t="shared" si="616"/>
        <v>0</v>
      </c>
      <c r="BW944" s="40">
        <f t="shared" si="616"/>
        <v>0</v>
      </c>
      <c r="BX944" s="40">
        <f t="shared" si="616"/>
        <v>0</v>
      </c>
      <c r="BY944" s="40">
        <f t="shared" si="616"/>
        <v>0</v>
      </c>
      <c r="BZ944" s="40">
        <f t="shared" si="616"/>
        <v>0</v>
      </c>
      <c r="CA944" s="40">
        <f t="shared" si="616"/>
        <v>0</v>
      </c>
      <c r="CB944" s="40">
        <f t="shared" si="616"/>
        <v>0</v>
      </c>
      <c r="CC944" s="40">
        <f t="shared" si="616"/>
        <v>0</v>
      </c>
      <c r="CD944" s="40">
        <f t="shared" si="616"/>
        <v>0</v>
      </c>
    </row>
    <row r="945" spans="2:91">
      <c r="B945" s="25" t="s">
        <v>1158</v>
      </c>
      <c r="C945" s="1" t="s">
        <v>3193</v>
      </c>
      <c r="BU945" s="40">
        <f t="shared" si="617"/>
        <v>0</v>
      </c>
      <c r="BV945" s="40">
        <f t="shared" si="616"/>
        <v>0</v>
      </c>
      <c r="BW945" s="40">
        <f t="shared" si="616"/>
        <v>0</v>
      </c>
      <c r="BX945" s="40">
        <f t="shared" si="616"/>
        <v>0</v>
      </c>
      <c r="BY945" s="40">
        <f t="shared" si="616"/>
        <v>0</v>
      </c>
      <c r="BZ945" s="40">
        <f t="shared" si="616"/>
        <v>0</v>
      </c>
      <c r="CA945" s="40">
        <f t="shared" si="616"/>
        <v>0</v>
      </c>
      <c r="CB945" s="40">
        <f t="shared" si="616"/>
        <v>0</v>
      </c>
      <c r="CC945" s="40">
        <f t="shared" si="616"/>
        <v>0</v>
      </c>
      <c r="CD945" s="40">
        <f t="shared" si="616"/>
        <v>0</v>
      </c>
    </row>
    <row r="946" spans="2:91">
      <c r="B946" s="25" t="s">
        <v>1155</v>
      </c>
      <c r="C946" s="1" t="s">
        <v>3193</v>
      </c>
      <c r="BJ946" s="1">
        <v>7.3</v>
      </c>
      <c r="BL946" s="1">
        <v>1.9947400000000001E-2</v>
      </c>
      <c r="BM946" s="1">
        <v>1.24143E-2</v>
      </c>
      <c r="BU946" s="40">
        <f t="shared" si="617"/>
        <v>0</v>
      </c>
      <c r="BV946" s="40">
        <f t="shared" si="616"/>
        <v>0</v>
      </c>
      <c r="BW946" s="40">
        <f t="shared" si="616"/>
        <v>0</v>
      </c>
      <c r="BX946" s="40">
        <f t="shared" si="616"/>
        <v>0</v>
      </c>
      <c r="BY946" s="40">
        <f t="shared" si="616"/>
        <v>0</v>
      </c>
      <c r="BZ946" s="40">
        <f t="shared" si="616"/>
        <v>0</v>
      </c>
      <c r="CA946" s="40">
        <f t="shared" si="616"/>
        <v>0</v>
      </c>
      <c r="CB946" s="40">
        <f t="shared" si="616"/>
        <v>0</v>
      </c>
      <c r="CC946" s="40">
        <f t="shared" si="616"/>
        <v>0</v>
      </c>
      <c r="CD946" s="40">
        <f t="shared" si="616"/>
        <v>0</v>
      </c>
    </row>
    <row r="947" spans="2:91">
      <c r="B947" s="25" t="s">
        <v>1156</v>
      </c>
      <c r="C947" s="1" t="s">
        <v>3193</v>
      </c>
      <c r="BJ947" s="1">
        <v>33.5</v>
      </c>
      <c r="BL947" s="1">
        <v>4.2608E-2</v>
      </c>
      <c r="BM947" s="1">
        <v>4.0724600000000007E-2</v>
      </c>
      <c r="BU947" s="40">
        <f t="shared" si="617"/>
        <v>0</v>
      </c>
      <c r="BV947" s="40">
        <f t="shared" si="616"/>
        <v>0</v>
      </c>
      <c r="BW947" s="40">
        <f t="shared" si="616"/>
        <v>0</v>
      </c>
      <c r="BX947" s="40">
        <f t="shared" si="616"/>
        <v>0</v>
      </c>
      <c r="BY947" s="40">
        <f t="shared" si="616"/>
        <v>0</v>
      </c>
      <c r="BZ947" s="40">
        <f t="shared" si="616"/>
        <v>0</v>
      </c>
      <c r="CA947" s="40">
        <f t="shared" si="616"/>
        <v>0</v>
      </c>
      <c r="CB947" s="40">
        <f t="shared" si="616"/>
        <v>0</v>
      </c>
      <c r="CC947" s="40">
        <f t="shared" si="616"/>
        <v>0</v>
      </c>
      <c r="CD947" s="40">
        <f t="shared" si="616"/>
        <v>0</v>
      </c>
    </row>
    <row r="948" spans="2:91">
      <c r="B948" s="25" t="s">
        <v>1157</v>
      </c>
      <c r="C948" s="1" t="s">
        <v>3193</v>
      </c>
      <c r="BJ948" s="1">
        <v>189.2</v>
      </c>
      <c r="BL948" s="1">
        <v>0.231103</v>
      </c>
      <c r="BM948" s="1">
        <v>0.20056459999999998</v>
      </c>
      <c r="BU948" s="40">
        <f t="shared" si="617"/>
        <v>0</v>
      </c>
      <c r="BV948" s="40">
        <f t="shared" si="616"/>
        <v>0</v>
      </c>
      <c r="BW948" s="40">
        <f t="shared" si="616"/>
        <v>0</v>
      </c>
      <c r="BX948" s="40">
        <f t="shared" si="616"/>
        <v>0</v>
      </c>
      <c r="BY948" s="40">
        <f t="shared" si="616"/>
        <v>0</v>
      </c>
      <c r="BZ948" s="40">
        <f t="shared" si="616"/>
        <v>0</v>
      </c>
      <c r="CA948" s="40">
        <f t="shared" si="616"/>
        <v>0</v>
      </c>
      <c r="CB948" s="40">
        <f t="shared" si="616"/>
        <v>0</v>
      </c>
      <c r="CC948" s="40">
        <f t="shared" si="616"/>
        <v>0</v>
      </c>
      <c r="CD948" s="40">
        <f t="shared" si="616"/>
        <v>0</v>
      </c>
    </row>
    <row r="949" spans="2:91">
      <c r="B949" s="25" t="s">
        <v>3354</v>
      </c>
      <c r="C949" s="1" t="s">
        <v>3193</v>
      </c>
      <c r="BJ949" s="1">
        <f>SUM(BJ946:BJ948)</f>
        <v>230</v>
      </c>
      <c r="BK949" s="1">
        <f>SUM(BK946:BK948)</f>
        <v>0</v>
      </c>
      <c r="BL949" s="1">
        <f>SUM(BL946:BL948)</f>
        <v>0.29365839999999999</v>
      </c>
      <c r="BM949" s="1">
        <f>SUM(BM946:BM948)</f>
        <v>0.25370349999999997</v>
      </c>
      <c r="BU949" s="40">
        <f t="shared" si="617"/>
        <v>0</v>
      </c>
      <c r="BV949" s="40">
        <f t="shared" si="616"/>
        <v>0</v>
      </c>
      <c r="BW949" s="40">
        <f t="shared" si="616"/>
        <v>0</v>
      </c>
      <c r="BX949" s="40">
        <f t="shared" si="616"/>
        <v>0</v>
      </c>
      <c r="BY949" s="40">
        <f t="shared" si="616"/>
        <v>0</v>
      </c>
      <c r="BZ949" s="40">
        <f t="shared" si="616"/>
        <v>0</v>
      </c>
      <c r="CA949" s="40">
        <f t="shared" si="616"/>
        <v>0</v>
      </c>
      <c r="CB949" s="40">
        <f t="shared" si="616"/>
        <v>0</v>
      </c>
      <c r="CC949" s="40">
        <f t="shared" si="616"/>
        <v>0</v>
      </c>
      <c r="CD949" s="40">
        <f t="shared" si="616"/>
        <v>0</v>
      </c>
    </row>
    <row r="950" spans="2:91">
      <c r="BU950" s="40">
        <f t="shared" si="617"/>
        <v>0</v>
      </c>
      <c r="BV950" s="40">
        <f t="shared" si="616"/>
        <v>0</v>
      </c>
      <c r="BW950" s="40">
        <f t="shared" si="616"/>
        <v>0</v>
      </c>
      <c r="BX950" s="40">
        <f t="shared" si="616"/>
        <v>0</v>
      </c>
      <c r="BY950" s="40">
        <f t="shared" si="616"/>
        <v>0</v>
      </c>
      <c r="BZ950" s="40">
        <f t="shared" si="616"/>
        <v>0</v>
      </c>
      <c r="CA950" s="40">
        <f t="shared" si="616"/>
        <v>0</v>
      </c>
      <c r="CB950" s="40">
        <f t="shared" si="616"/>
        <v>0</v>
      </c>
      <c r="CC950" s="40">
        <f t="shared" si="616"/>
        <v>0</v>
      </c>
      <c r="CD950" s="40">
        <f t="shared" si="616"/>
        <v>0</v>
      </c>
    </row>
    <row r="951" spans="2:91">
      <c r="B951" s="25" t="s">
        <v>3282</v>
      </c>
      <c r="BU951" s="40">
        <f t="shared" si="617"/>
        <v>0</v>
      </c>
      <c r="BV951" s="40">
        <f t="shared" si="616"/>
        <v>0</v>
      </c>
      <c r="BW951" s="40">
        <f t="shared" si="616"/>
        <v>0</v>
      </c>
      <c r="BX951" s="40">
        <f t="shared" si="616"/>
        <v>0</v>
      </c>
      <c r="BY951" s="40">
        <f t="shared" si="616"/>
        <v>0</v>
      </c>
      <c r="BZ951" s="40">
        <f t="shared" si="616"/>
        <v>0</v>
      </c>
      <c r="CA951" s="40">
        <f t="shared" si="616"/>
        <v>0</v>
      </c>
      <c r="CB951" s="40">
        <f t="shared" si="616"/>
        <v>0</v>
      </c>
      <c r="CC951" s="40">
        <f t="shared" si="616"/>
        <v>0</v>
      </c>
      <c r="CD951" s="40">
        <f t="shared" si="616"/>
        <v>0</v>
      </c>
    </row>
    <row r="952" spans="2:91">
      <c r="B952" s="25" t="str">
        <f>B353</f>
        <v>Staatsolie</v>
      </c>
      <c r="C952" s="25">
        <f>C353</f>
        <v>0</v>
      </c>
      <c r="D952" s="25">
        <f>D353</f>
        <v>0</v>
      </c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  <c r="AQ952" s="25"/>
      <c r="AR952" s="25"/>
      <c r="AS952" s="25"/>
      <c r="AT952" s="25"/>
      <c r="AU952" s="25"/>
      <c r="AV952" s="25">
        <f t="shared" ref="AV952:BG952" si="618">AV353</f>
        <v>0</v>
      </c>
      <c r="AW952" s="25">
        <f t="shared" si="618"/>
        <v>0</v>
      </c>
      <c r="AX952" s="25">
        <f t="shared" si="618"/>
        <v>0</v>
      </c>
      <c r="AY952" s="25">
        <f t="shared" si="618"/>
        <v>0</v>
      </c>
      <c r="AZ952" s="25">
        <f t="shared" si="618"/>
        <v>0</v>
      </c>
      <c r="BA952" s="25">
        <f t="shared" si="618"/>
        <v>0</v>
      </c>
      <c r="BB952" s="25">
        <f t="shared" si="618"/>
        <v>0</v>
      </c>
      <c r="BC952" s="25">
        <f t="shared" si="618"/>
        <v>0</v>
      </c>
      <c r="BD952" s="25">
        <f t="shared" si="618"/>
        <v>0</v>
      </c>
      <c r="BE952" s="25">
        <f t="shared" si="618"/>
        <v>0</v>
      </c>
      <c r="BF952" s="25">
        <f t="shared" si="618"/>
        <v>0</v>
      </c>
      <c r="BG952" s="25">
        <f t="shared" si="618"/>
        <v>0</v>
      </c>
      <c r="BH952" s="25">
        <v>292.70408600000002</v>
      </c>
      <c r="BI952" s="25">
        <v>325.26</v>
      </c>
      <c r="BJ952" s="25">
        <v>83.4</v>
      </c>
      <c r="BK952" s="25"/>
      <c r="BL952" s="25"/>
      <c r="BM952" s="25"/>
      <c r="BN952" s="25"/>
      <c r="BO952" s="25"/>
      <c r="BP952" s="25">
        <f>BP353</f>
        <v>339.16</v>
      </c>
      <c r="BQ952" s="25"/>
      <c r="BR952" s="25"/>
      <c r="BS952" s="25"/>
      <c r="BT952" s="25"/>
      <c r="BU952" s="40">
        <f t="shared" si="617"/>
        <v>0</v>
      </c>
      <c r="BV952" s="40">
        <f t="shared" ref="BV952:CD967" si="619">BU952</f>
        <v>0</v>
      </c>
      <c r="BW952" s="40">
        <f t="shared" si="619"/>
        <v>0</v>
      </c>
      <c r="BX952" s="40">
        <f t="shared" si="619"/>
        <v>0</v>
      </c>
      <c r="BY952" s="40">
        <f t="shared" si="619"/>
        <v>0</v>
      </c>
      <c r="BZ952" s="40">
        <f t="shared" si="619"/>
        <v>0</v>
      </c>
      <c r="CA952" s="40">
        <f t="shared" si="619"/>
        <v>0</v>
      </c>
      <c r="CB952" s="40">
        <f t="shared" si="619"/>
        <v>0</v>
      </c>
      <c r="CC952" s="40">
        <f t="shared" si="619"/>
        <v>0</v>
      </c>
      <c r="CD952" s="40">
        <f t="shared" si="619"/>
        <v>0</v>
      </c>
      <c r="CE952" s="25"/>
      <c r="CF952" s="25"/>
      <c r="CG952" s="25"/>
      <c r="CM952" s="25"/>
    </row>
    <row r="953" spans="2:91">
      <c r="B953" s="25" t="s">
        <v>3283</v>
      </c>
      <c r="BU953" s="40">
        <f t="shared" si="617"/>
        <v>0</v>
      </c>
      <c r="BV953" s="40">
        <f t="shared" si="619"/>
        <v>0</v>
      </c>
      <c r="BW953" s="40">
        <f t="shared" si="619"/>
        <v>0</v>
      </c>
      <c r="BX953" s="40">
        <f t="shared" si="619"/>
        <v>0</v>
      </c>
      <c r="BY953" s="40">
        <f t="shared" si="619"/>
        <v>0</v>
      </c>
      <c r="BZ953" s="40">
        <f t="shared" si="619"/>
        <v>0</v>
      </c>
      <c r="CA953" s="40">
        <f t="shared" si="619"/>
        <v>0</v>
      </c>
      <c r="CB953" s="40">
        <f t="shared" si="619"/>
        <v>0</v>
      </c>
      <c r="CC953" s="40">
        <f t="shared" si="619"/>
        <v>0</v>
      </c>
      <c r="CD953" s="40">
        <f t="shared" si="619"/>
        <v>0</v>
      </c>
    </row>
    <row r="954" spans="2:91">
      <c r="B954" s="25" t="str">
        <f>B361</f>
        <v>Staatsolie</v>
      </c>
      <c r="C954" s="25">
        <f>C361</f>
        <v>0</v>
      </c>
      <c r="D954" s="25">
        <f>D361</f>
        <v>0</v>
      </c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  <c r="AQ954" s="25"/>
      <c r="AR954" s="25"/>
      <c r="AS954" s="25"/>
      <c r="AT954" s="25"/>
      <c r="AU954" s="25"/>
      <c r="AV954" s="25">
        <f t="shared" ref="AV954:BG954" si="620">AV361</f>
        <v>0</v>
      </c>
      <c r="AW954" s="25">
        <f t="shared" si="620"/>
        <v>0</v>
      </c>
      <c r="AX954" s="25">
        <f t="shared" si="620"/>
        <v>0</v>
      </c>
      <c r="AY954" s="25">
        <f t="shared" si="620"/>
        <v>0</v>
      </c>
      <c r="AZ954" s="25">
        <f t="shared" si="620"/>
        <v>0</v>
      </c>
      <c r="BA954" s="25">
        <f t="shared" si="620"/>
        <v>0</v>
      </c>
      <c r="BB954" s="25">
        <f t="shared" si="620"/>
        <v>0</v>
      </c>
      <c r="BC954" s="25">
        <f t="shared" si="620"/>
        <v>0</v>
      </c>
      <c r="BD954" s="25">
        <f t="shared" si="620"/>
        <v>0</v>
      </c>
      <c r="BE954" s="25">
        <f t="shared" si="620"/>
        <v>0</v>
      </c>
      <c r="BF954" s="25">
        <f t="shared" si="620"/>
        <v>0</v>
      </c>
      <c r="BG954" s="25">
        <f t="shared" si="620"/>
        <v>0</v>
      </c>
      <c r="BH954" s="25">
        <v>45.354702000000003</v>
      </c>
      <c r="BI954" s="25">
        <v>13.9</v>
      </c>
      <c r="BJ954" s="25">
        <v>25.02</v>
      </c>
      <c r="BU954" s="40">
        <f t="shared" si="617"/>
        <v>0</v>
      </c>
      <c r="BV954" s="40">
        <f t="shared" si="619"/>
        <v>0</v>
      </c>
      <c r="BW954" s="40">
        <f t="shared" si="619"/>
        <v>0</v>
      </c>
      <c r="BX954" s="40">
        <f t="shared" si="619"/>
        <v>0</v>
      </c>
      <c r="BY954" s="40">
        <f t="shared" si="619"/>
        <v>0</v>
      </c>
      <c r="BZ954" s="40">
        <f t="shared" si="619"/>
        <v>0</v>
      </c>
      <c r="CA954" s="40">
        <f t="shared" si="619"/>
        <v>0</v>
      </c>
      <c r="CB954" s="40">
        <f t="shared" si="619"/>
        <v>0</v>
      </c>
      <c r="CC954" s="40">
        <f t="shared" si="619"/>
        <v>0</v>
      </c>
      <c r="CD954" s="40">
        <f t="shared" si="619"/>
        <v>0</v>
      </c>
    </row>
    <row r="955" spans="2:91">
      <c r="B955" s="25" t="s">
        <v>3286</v>
      </c>
      <c r="BU955" s="40">
        <f t="shared" si="617"/>
        <v>0</v>
      </c>
      <c r="BV955" s="40">
        <f t="shared" si="619"/>
        <v>0</v>
      </c>
      <c r="BW955" s="40">
        <f t="shared" si="619"/>
        <v>0</v>
      </c>
      <c r="BX955" s="40">
        <f t="shared" si="619"/>
        <v>0</v>
      </c>
      <c r="BY955" s="40">
        <f t="shared" si="619"/>
        <v>0</v>
      </c>
      <c r="BZ955" s="40">
        <f t="shared" si="619"/>
        <v>0</v>
      </c>
      <c r="CA955" s="40">
        <f t="shared" si="619"/>
        <v>0</v>
      </c>
      <c r="CB955" s="40">
        <f t="shared" si="619"/>
        <v>0</v>
      </c>
      <c r="CC955" s="40">
        <f t="shared" si="619"/>
        <v>0</v>
      </c>
      <c r="CD955" s="40">
        <f t="shared" si="619"/>
        <v>0</v>
      </c>
    </row>
    <row r="956" spans="2:91">
      <c r="B956" s="25" t="str">
        <f>B554</f>
        <v>Staatsolie</v>
      </c>
      <c r="C956" s="25">
        <f>C554</f>
        <v>0</v>
      </c>
      <c r="D956" s="25">
        <f>D554</f>
        <v>0</v>
      </c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  <c r="AQ956" s="25"/>
      <c r="AR956" s="25"/>
      <c r="AS956" s="25"/>
      <c r="AT956" s="25"/>
      <c r="AU956" s="25"/>
      <c r="AV956" s="25">
        <f t="shared" ref="AV956:BG956" si="621">AV554</f>
        <v>0</v>
      </c>
      <c r="AW956" s="25">
        <f t="shared" si="621"/>
        <v>0</v>
      </c>
      <c r="AX956" s="25">
        <f t="shared" si="621"/>
        <v>0</v>
      </c>
      <c r="AY956" s="25">
        <f t="shared" si="621"/>
        <v>0</v>
      </c>
      <c r="AZ956" s="25">
        <f t="shared" si="621"/>
        <v>0</v>
      </c>
      <c r="BA956" s="25">
        <f t="shared" si="621"/>
        <v>0</v>
      </c>
      <c r="BB956" s="25">
        <f t="shared" si="621"/>
        <v>0</v>
      </c>
      <c r="BC956" s="25">
        <f t="shared" si="621"/>
        <v>0</v>
      </c>
      <c r="BD956" s="25">
        <f t="shared" si="621"/>
        <v>0</v>
      </c>
      <c r="BE956" s="25">
        <f t="shared" si="621"/>
        <v>0</v>
      </c>
      <c r="BF956" s="25">
        <f t="shared" si="621"/>
        <v>0</v>
      </c>
      <c r="BG956" s="25">
        <f t="shared" si="621"/>
        <v>0</v>
      </c>
      <c r="BH956" s="25">
        <v>149.66788</v>
      </c>
      <c r="BI956" s="25">
        <v>350.28</v>
      </c>
      <c r="BJ956" s="25">
        <v>75.06</v>
      </c>
      <c r="BU956" s="40">
        <f t="shared" si="617"/>
        <v>0</v>
      </c>
      <c r="BV956" s="40">
        <f t="shared" si="619"/>
        <v>0</v>
      </c>
      <c r="BW956" s="40">
        <f t="shared" si="619"/>
        <v>0</v>
      </c>
      <c r="BX956" s="40">
        <f t="shared" si="619"/>
        <v>0</v>
      </c>
      <c r="BY956" s="40">
        <f t="shared" si="619"/>
        <v>0</v>
      </c>
      <c r="BZ956" s="40">
        <f t="shared" si="619"/>
        <v>0</v>
      </c>
      <c r="CA956" s="40">
        <f t="shared" si="619"/>
        <v>0</v>
      </c>
      <c r="CB956" s="40">
        <f t="shared" si="619"/>
        <v>0</v>
      </c>
      <c r="CC956" s="40">
        <f t="shared" si="619"/>
        <v>0</v>
      </c>
      <c r="CD956" s="40">
        <f t="shared" si="619"/>
        <v>0</v>
      </c>
    </row>
    <row r="957" spans="2:91">
      <c r="BU957" s="40">
        <f t="shared" si="617"/>
        <v>0</v>
      </c>
      <c r="BV957" s="40">
        <f t="shared" si="619"/>
        <v>0</v>
      </c>
      <c r="BW957" s="40">
        <f t="shared" si="619"/>
        <v>0</v>
      </c>
      <c r="BX957" s="40">
        <f t="shared" si="619"/>
        <v>0</v>
      </c>
      <c r="BY957" s="40">
        <f t="shared" si="619"/>
        <v>0</v>
      </c>
      <c r="BZ957" s="40">
        <f t="shared" si="619"/>
        <v>0</v>
      </c>
      <c r="CA957" s="40">
        <f t="shared" si="619"/>
        <v>0</v>
      </c>
      <c r="CB957" s="40">
        <f t="shared" si="619"/>
        <v>0</v>
      </c>
      <c r="CC957" s="40">
        <f t="shared" si="619"/>
        <v>0</v>
      </c>
      <c r="CD957" s="40">
        <f t="shared" si="619"/>
        <v>0</v>
      </c>
    </row>
    <row r="958" spans="2:91">
      <c r="BU958" s="40">
        <f t="shared" si="617"/>
        <v>0</v>
      </c>
      <c r="BV958" s="40">
        <f t="shared" si="619"/>
        <v>0</v>
      </c>
      <c r="BW958" s="40">
        <f t="shared" si="619"/>
        <v>0</v>
      </c>
      <c r="BX958" s="40">
        <f t="shared" si="619"/>
        <v>0</v>
      </c>
      <c r="BY958" s="40">
        <f t="shared" si="619"/>
        <v>0</v>
      </c>
      <c r="BZ958" s="40">
        <f t="shared" si="619"/>
        <v>0</v>
      </c>
      <c r="CA958" s="40">
        <f t="shared" si="619"/>
        <v>0</v>
      </c>
      <c r="CB958" s="40">
        <f t="shared" si="619"/>
        <v>0</v>
      </c>
      <c r="CC958" s="40">
        <f t="shared" si="619"/>
        <v>0</v>
      </c>
      <c r="CD958" s="40">
        <f t="shared" si="619"/>
        <v>0</v>
      </c>
    </row>
    <row r="959" spans="2:91">
      <c r="BU959" s="40">
        <f t="shared" si="617"/>
        <v>0</v>
      </c>
      <c r="BV959" s="40">
        <f t="shared" si="619"/>
        <v>0</v>
      </c>
      <c r="BW959" s="40">
        <f t="shared" si="619"/>
        <v>0</v>
      </c>
      <c r="BX959" s="40">
        <f t="shared" si="619"/>
        <v>0</v>
      </c>
      <c r="BY959" s="40">
        <f t="shared" si="619"/>
        <v>0</v>
      </c>
      <c r="BZ959" s="40">
        <f t="shared" si="619"/>
        <v>0</v>
      </c>
      <c r="CA959" s="40">
        <f t="shared" si="619"/>
        <v>0</v>
      </c>
      <c r="CB959" s="40">
        <f t="shared" si="619"/>
        <v>0</v>
      </c>
      <c r="CC959" s="40">
        <f t="shared" si="619"/>
        <v>0</v>
      </c>
      <c r="CD959" s="40">
        <f t="shared" si="619"/>
        <v>0</v>
      </c>
    </row>
    <row r="960" spans="2:91">
      <c r="BU960" s="40">
        <f t="shared" si="617"/>
        <v>0</v>
      </c>
      <c r="BV960" s="40">
        <f t="shared" si="619"/>
        <v>0</v>
      </c>
      <c r="BW960" s="40">
        <f t="shared" si="619"/>
        <v>0</v>
      </c>
      <c r="BX960" s="40">
        <f t="shared" si="619"/>
        <v>0</v>
      </c>
      <c r="BY960" s="40">
        <f t="shared" si="619"/>
        <v>0</v>
      </c>
      <c r="BZ960" s="40">
        <f t="shared" si="619"/>
        <v>0</v>
      </c>
      <c r="CA960" s="40">
        <f t="shared" si="619"/>
        <v>0</v>
      </c>
      <c r="CB960" s="40">
        <f t="shared" si="619"/>
        <v>0</v>
      </c>
      <c r="CC960" s="40">
        <f t="shared" si="619"/>
        <v>0</v>
      </c>
      <c r="CD960" s="40">
        <f t="shared" si="619"/>
        <v>0</v>
      </c>
    </row>
    <row r="961" spans="2:91">
      <c r="BU961" s="40">
        <f t="shared" si="617"/>
        <v>0</v>
      </c>
      <c r="BV961" s="40">
        <f t="shared" si="619"/>
        <v>0</v>
      </c>
      <c r="BW961" s="40">
        <f t="shared" si="619"/>
        <v>0</v>
      </c>
      <c r="BX961" s="40">
        <f t="shared" si="619"/>
        <v>0</v>
      </c>
      <c r="BY961" s="40">
        <f t="shared" si="619"/>
        <v>0</v>
      </c>
      <c r="BZ961" s="40">
        <f t="shared" si="619"/>
        <v>0</v>
      </c>
      <c r="CA961" s="40">
        <f t="shared" si="619"/>
        <v>0</v>
      </c>
      <c r="CB961" s="40">
        <f t="shared" si="619"/>
        <v>0</v>
      </c>
      <c r="CC961" s="40">
        <f t="shared" si="619"/>
        <v>0</v>
      </c>
      <c r="CD961" s="40">
        <f t="shared" si="619"/>
        <v>0</v>
      </c>
    </row>
    <row r="962" spans="2:91">
      <c r="BU962" s="40">
        <f t="shared" si="617"/>
        <v>0</v>
      </c>
      <c r="BV962" s="40">
        <f t="shared" si="619"/>
        <v>0</v>
      </c>
      <c r="BW962" s="40">
        <f t="shared" si="619"/>
        <v>0</v>
      </c>
      <c r="BX962" s="40">
        <f t="shared" si="619"/>
        <v>0</v>
      </c>
      <c r="BY962" s="40">
        <f t="shared" si="619"/>
        <v>0</v>
      </c>
      <c r="BZ962" s="40">
        <f t="shared" si="619"/>
        <v>0</v>
      </c>
      <c r="CA962" s="40">
        <f t="shared" si="619"/>
        <v>0</v>
      </c>
      <c r="CB962" s="40">
        <f t="shared" si="619"/>
        <v>0</v>
      </c>
      <c r="CC962" s="40">
        <f t="shared" si="619"/>
        <v>0</v>
      </c>
      <c r="CD962" s="40">
        <f t="shared" si="619"/>
        <v>0</v>
      </c>
    </row>
    <row r="963" spans="2:91">
      <c r="BU963" s="40">
        <f t="shared" si="617"/>
        <v>0</v>
      </c>
      <c r="BV963" s="40">
        <f t="shared" si="619"/>
        <v>0</v>
      </c>
      <c r="BW963" s="40">
        <f t="shared" si="619"/>
        <v>0</v>
      </c>
      <c r="BX963" s="40">
        <f t="shared" si="619"/>
        <v>0</v>
      </c>
      <c r="BY963" s="40">
        <f t="shared" si="619"/>
        <v>0</v>
      </c>
      <c r="BZ963" s="40">
        <f t="shared" si="619"/>
        <v>0</v>
      </c>
      <c r="CA963" s="40">
        <f t="shared" si="619"/>
        <v>0</v>
      </c>
      <c r="CB963" s="40">
        <f t="shared" si="619"/>
        <v>0</v>
      </c>
      <c r="CC963" s="40">
        <f t="shared" si="619"/>
        <v>0</v>
      </c>
      <c r="CD963" s="40">
        <f t="shared" si="619"/>
        <v>0</v>
      </c>
    </row>
    <row r="964" spans="2:91" s="410" customFormat="1" ht="22.5">
      <c r="B964" s="872" t="s">
        <v>2160</v>
      </c>
      <c r="D964" s="410" t="s">
        <v>2161</v>
      </c>
      <c r="BF964" s="465"/>
      <c r="BG964" s="465"/>
      <c r="BL964" s="876" t="s">
        <v>4062</v>
      </c>
      <c r="BU964" s="40">
        <f t="shared" si="617"/>
        <v>0</v>
      </c>
      <c r="BV964" s="40">
        <f t="shared" si="619"/>
        <v>0</v>
      </c>
      <c r="BW964" s="40">
        <f t="shared" si="619"/>
        <v>0</v>
      </c>
      <c r="BX964" s="40">
        <f t="shared" si="619"/>
        <v>0</v>
      </c>
      <c r="BY964" s="40">
        <f t="shared" si="619"/>
        <v>0</v>
      </c>
      <c r="BZ964" s="40">
        <f t="shared" si="619"/>
        <v>0</v>
      </c>
      <c r="CA964" s="40">
        <f t="shared" si="619"/>
        <v>0</v>
      </c>
      <c r="CB964" s="40">
        <f t="shared" si="619"/>
        <v>0</v>
      </c>
      <c r="CC964" s="40">
        <f t="shared" si="619"/>
        <v>0</v>
      </c>
      <c r="CD964" s="40">
        <f t="shared" si="619"/>
        <v>0</v>
      </c>
    </row>
    <row r="965" spans="2:91" ht="18">
      <c r="B965" s="877"/>
      <c r="C965" s="877"/>
      <c r="BH965" s="1" t="s">
        <v>2159</v>
      </c>
      <c r="BU965" s="40">
        <f t="shared" si="617"/>
        <v>0</v>
      </c>
      <c r="BV965" s="40">
        <f t="shared" si="619"/>
        <v>0</v>
      </c>
      <c r="BW965" s="40">
        <f t="shared" si="619"/>
        <v>0</v>
      </c>
      <c r="BX965" s="40">
        <f t="shared" si="619"/>
        <v>0</v>
      </c>
      <c r="BY965" s="40">
        <f t="shared" si="619"/>
        <v>0</v>
      </c>
      <c r="BZ965" s="40">
        <f t="shared" si="619"/>
        <v>0</v>
      </c>
      <c r="CA965" s="40">
        <f t="shared" si="619"/>
        <v>0</v>
      </c>
      <c r="CB965" s="40">
        <f t="shared" si="619"/>
        <v>0</v>
      </c>
      <c r="CC965" s="40">
        <f t="shared" si="619"/>
        <v>0</v>
      </c>
      <c r="CD965" s="40">
        <f t="shared" si="619"/>
        <v>0</v>
      </c>
    </row>
    <row r="966" spans="2:91" ht="18">
      <c r="B966" s="878"/>
      <c r="C966" s="878" t="s">
        <v>226</v>
      </c>
      <c r="BH966" s="1">
        <v>2008</v>
      </c>
      <c r="BI966" s="1">
        <v>2009</v>
      </c>
      <c r="BJ966" s="1">
        <v>2010</v>
      </c>
      <c r="BK966" s="1">
        <v>2011</v>
      </c>
      <c r="BL966" s="1">
        <v>2012</v>
      </c>
      <c r="BM966" s="1">
        <v>2013</v>
      </c>
      <c r="BN966" s="1">
        <v>2014</v>
      </c>
      <c r="BO966" s="1">
        <v>2015</v>
      </c>
      <c r="BP966" s="1">
        <v>2016</v>
      </c>
      <c r="BQ966" s="1">
        <v>2017</v>
      </c>
      <c r="BR966" s="1">
        <v>2018</v>
      </c>
      <c r="BS966" s="1">
        <v>2019</v>
      </c>
      <c r="BT966" s="1">
        <v>2020</v>
      </c>
      <c r="BU966" s="40">
        <f t="shared" si="617"/>
        <v>2020</v>
      </c>
      <c r="BV966" s="40">
        <f t="shared" si="619"/>
        <v>2020</v>
      </c>
      <c r="BW966" s="40">
        <f t="shared" si="619"/>
        <v>2020</v>
      </c>
      <c r="BX966" s="40">
        <f t="shared" si="619"/>
        <v>2020</v>
      </c>
      <c r="BY966" s="40">
        <f t="shared" si="619"/>
        <v>2020</v>
      </c>
      <c r="BZ966" s="40">
        <f t="shared" si="619"/>
        <v>2020</v>
      </c>
      <c r="CA966" s="40">
        <f t="shared" si="619"/>
        <v>2020</v>
      </c>
      <c r="CB966" s="40">
        <f t="shared" si="619"/>
        <v>2020</v>
      </c>
      <c r="CC966" s="40">
        <f t="shared" si="619"/>
        <v>2020</v>
      </c>
      <c r="CD966" s="40">
        <f t="shared" si="619"/>
        <v>2020</v>
      </c>
      <c r="CM966" s="1">
        <v>2012</v>
      </c>
    </row>
    <row r="967" spans="2:91">
      <c r="B967" s="873"/>
      <c r="C967" s="873"/>
      <c r="BU967" s="40">
        <f t="shared" si="617"/>
        <v>0</v>
      </c>
      <c r="BV967" s="40">
        <f t="shared" si="619"/>
        <v>0</v>
      </c>
      <c r="BW967" s="40">
        <f t="shared" si="619"/>
        <v>0</v>
      </c>
      <c r="BX967" s="40">
        <f t="shared" si="619"/>
        <v>0</v>
      </c>
      <c r="BY967" s="40">
        <f t="shared" si="619"/>
        <v>0</v>
      </c>
      <c r="BZ967" s="40">
        <f t="shared" si="619"/>
        <v>0</v>
      </c>
      <c r="CA967" s="40">
        <f t="shared" si="619"/>
        <v>0</v>
      </c>
      <c r="CB967" s="40">
        <f t="shared" si="619"/>
        <v>0</v>
      </c>
      <c r="CC967" s="40">
        <f t="shared" si="619"/>
        <v>0</v>
      </c>
      <c r="CD967" s="40">
        <f t="shared" si="619"/>
        <v>0</v>
      </c>
    </row>
    <row r="968" spans="2:91">
      <c r="B968" s="879" t="s">
        <v>1713</v>
      </c>
      <c r="C968" s="873" t="s">
        <v>1714</v>
      </c>
      <c r="BG968" s="285">
        <v>5440</v>
      </c>
      <c r="BH968" s="285">
        <v>5900</v>
      </c>
      <c r="BI968" s="1">
        <v>5860</v>
      </c>
      <c r="BJ968" s="1">
        <v>5840</v>
      </c>
      <c r="BK968" s="1">
        <v>5840</v>
      </c>
      <c r="BL968" s="1">
        <v>5936</v>
      </c>
      <c r="BM968" s="1">
        <v>5980</v>
      </c>
      <c r="BN968" s="1">
        <v>6023</v>
      </c>
      <c r="BO968" s="1">
        <v>6220</v>
      </c>
      <c r="BP968" s="1">
        <v>6260</v>
      </c>
      <c r="BQ968" s="1">
        <v>6264</v>
      </c>
      <c r="BR968" s="1">
        <v>5986</v>
      </c>
      <c r="BU968" s="40">
        <f t="shared" si="617"/>
        <v>0</v>
      </c>
      <c r="BV968" s="40">
        <f t="shared" ref="BV968:CD978" si="622">BU968</f>
        <v>0</v>
      </c>
      <c r="BW968" s="40">
        <f t="shared" si="622"/>
        <v>0</v>
      </c>
      <c r="BX968" s="40">
        <f t="shared" si="622"/>
        <v>0</v>
      </c>
      <c r="BY968" s="40">
        <f t="shared" si="622"/>
        <v>0</v>
      </c>
      <c r="BZ968" s="40">
        <f t="shared" si="622"/>
        <v>0</v>
      </c>
      <c r="CA968" s="40">
        <f t="shared" si="622"/>
        <v>0</v>
      </c>
      <c r="CB968" s="40">
        <f t="shared" si="622"/>
        <v>0</v>
      </c>
      <c r="CC968" s="40">
        <f t="shared" si="622"/>
        <v>0</v>
      </c>
      <c r="CD968" s="40">
        <f t="shared" si="622"/>
        <v>0</v>
      </c>
      <c r="CM968" s="1">
        <v>5840</v>
      </c>
    </row>
    <row r="969" spans="2:91">
      <c r="B969" s="879" t="s">
        <v>1715</v>
      </c>
      <c r="C969" s="873" t="s">
        <v>1714</v>
      </c>
      <c r="D969" s="25"/>
      <c r="BG969" s="285">
        <v>5403</v>
      </c>
      <c r="BH969" s="1">
        <v>5839</v>
      </c>
      <c r="BI969" s="1">
        <v>5900</v>
      </c>
      <c r="BJ969" s="1">
        <v>5753</v>
      </c>
      <c r="BK969" s="1">
        <v>5753</v>
      </c>
      <c r="BL969" s="1">
        <v>5867</v>
      </c>
      <c r="BM969" s="1">
        <v>5987</v>
      </c>
      <c r="BN969" s="1">
        <f>BN968</f>
        <v>6023</v>
      </c>
      <c r="BO969" s="1">
        <f>BO968</f>
        <v>6220</v>
      </c>
      <c r="BP969" s="1">
        <f>BP968</f>
        <v>6260</v>
      </c>
      <c r="BQ969" s="1">
        <f>BQ968</f>
        <v>6264</v>
      </c>
      <c r="BR969" s="1">
        <f>BR968</f>
        <v>5986</v>
      </c>
      <c r="BU969" s="40">
        <f t="shared" si="617"/>
        <v>0</v>
      </c>
      <c r="BV969" s="40">
        <f t="shared" si="622"/>
        <v>0</v>
      </c>
      <c r="BW969" s="40">
        <f t="shared" si="622"/>
        <v>0</v>
      </c>
      <c r="BX969" s="40">
        <f t="shared" si="622"/>
        <v>0</v>
      </c>
      <c r="BY969" s="40">
        <f t="shared" si="622"/>
        <v>0</v>
      </c>
      <c r="BZ969" s="40">
        <f t="shared" si="622"/>
        <v>0</v>
      </c>
      <c r="CA969" s="40">
        <f t="shared" si="622"/>
        <v>0</v>
      </c>
      <c r="CB969" s="40">
        <f t="shared" si="622"/>
        <v>0</v>
      </c>
      <c r="CC969" s="40">
        <f t="shared" si="622"/>
        <v>0</v>
      </c>
      <c r="CD969" s="40">
        <f t="shared" si="622"/>
        <v>0</v>
      </c>
      <c r="CM969" s="1">
        <v>5753</v>
      </c>
    </row>
    <row r="970" spans="2:91">
      <c r="B970" s="879" t="s">
        <v>682</v>
      </c>
      <c r="C970" s="873" t="s">
        <v>1714</v>
      </c>
      <c r="BG970" s="285">
        <v>1435</v>
      </c>
      <c r="BH970" s="1">
        <v>2534</v>
      </c>
      <c r="BI970" s="1">
        <v>2543</v>
      </c>
      <c r="BJ970" s="1">
        <v>2434</v>
      </c>
      <c r="BK970" s="1">
        <f>BK972*BK971</f>
        <v>2298.0234721688976</v>
      </c>
      <c r="BL970" s="1">
        <v>2814</v>
      </c>
      <c r="BM970" s="1">
        <v>2768</v>
      </c>
      <c r="BN970" s="1">
        <v>2536</v>
      </c>
      <c r="BO970" s="1">
        <v>1570</v>
      </c>
      <c r="BP970" s="1">
        <v>1570</v>
      </c>
      <c r="BQ970" s="1">
        <v>1570</v>
      </c>
      <c r="BR970" s="1">
        <v>1570</v>
      </c>
      <c r="BU970" s="40">
        <f t="shared" si="617"/>
        <v>0</v>
      </c>
      <c r="BV970" s="40">
        <f t="shared" si="622"/>
        <v>0</v>
      </c>
      <c r="BW970" s="40">
        <f t="shared" si="622"/>
        <v>0</v>
      </c>
      <c r="BX970" s="40">
        <f t="shared" si="622"/>
        <v>0</v>
      </c>
      <c r="BY970" s="40">
        <f t="shared" si="622"/>
        <v>0</v>
      </c>
      <c r="BZ970" s="40">
        <f t="shared" si="622"/>
        <v>0</v>
      </c>
      <c r="CA970" s="40">
        <f t="shared" si="622"/>
        <v>0</v>
      </c>
      <c r="CB970" s="40">
        <f t="shared" si="622"/>
        <v>0</v>
      </c>
      <c r="CC970" s="40">
        <f t="shared" si="622"/>
        <v>0</v>
      </c>
      <c r="CD970" s="40">
        <f t="shared" si="622"/>
        <v>0</v>
      </c>
      <c r="CM970" s="1">
        <f>CM972*CM971</f>
        <v>0</v>
      </c>
    </row>
    <row r="971" spans="2:91" hidden="1">
      <c r="B971" s="880" t="s">
        <v>681</v>
      </c>
      <c r="C971" s="873" t="s">
        <v>1717</v>
      </c>
      <c r="BH971" s="285"/>
      <c r="BI971" s="1">
        <v>2732</v>
      </c>
      <c r="BJ971" s="1">
        <v>2719</v>
      </c>
      <c r="BK971" s="1">
        <v>2517</v>
      </c>
      <c r="BL971" s="233">
        <v>2517</v>
      </c>
      <c r="BM971" s="233">
        <v>2517</v>
      </c>
      <c r="BN971" s="233">
        <v>5558</v>
      </c>
      <c r="BO971" s="233">
        <v>5558</v>
      </c>
      <c r="BP971" s="233">
        <f>BO971</f>
        <v>5558</v>
      </c>
      <c r="BQ971" s="233"/>
      <c r="BR971" s="233"/>
      <c r="BU971" s="40">
        <f t="shared" si="617"/>
        <v>0</v>
      </c>
      <c r="BV971" s="40">
        <f t="shared" si="622"/>
        <v>0</v>
      </c>
      <c r="BW971" s="40">
        <f t="shared" si="622"/>
        <v>0</v>
      </c>
      <c r="BX971" s="40">
        <f t="shared" si="622"/>
        <v>0</v>
      </c>
      <c r="BY971" s="40">
        <f t="shared" si="622"/>
        <v>0</v>
      </c>
      <c r="BZ971" s="40">
        <f t="shared" si="622"/>
        <v>0</v>
      </c>
      <c r="CA971" s="40">
        <f t="shared" si="622"/>
        <v>0</v>
      </c>
      <c r="CB971" s="40">
        <f t="shared" si="622"/>
        <v>0</v>
      </c>
      <c r="CC971" s="40">
        <f t="shared" si="622"/>
        <v>0</v>
      </c>
      <c r="CD971" s="40">
        <f t="shared" si="622"/>
        <v>0</v>
      </c>
      <c r="CM971" s="1">
        <v>2517</v>
      </c>
    </row>
    <row r="972" spans="2:91" hidden="1">
      <c r="B972" s="880" t="s">
        <v>683</v>
      </c>
      <c r="C972" s="873"/>
      <c r="BH972" s="285"/>
      <c r="BI972" s="285">
        <f>BI970/BI971</f>
        <v>0.93081991215226945</v>
      </c>
      <c r="BJ972" s="285">
        <f>BJ970/BJ971</f>
        <v>0.89518205222508274</v>
      </c>
      <c r="BK972" s="1">
        <f>(BI972+BJ972)/2</f>
        <v>0.91300098218867609</v>
      </c>
      <c r="BL972" s="233">
        <f>BK972</f>
        <v>0.91300098218867609</v>
      </c>
      <c r="BM972" s="233">
        <f>BL972</f>
        <v>0.91300098218867609</v>
      </c>
      <c r="BN972" s="233">
        <f>BM972</f>
        <v>0.91300098218867609</v>
      </c>
      <c r="BO972" s="233">
        <f>BN972</f>
        <v>0.91300098218867609</v>
      </c>
      <c r="BP972" s="233">
        <f>BO972</f>
        <v>0.91300098218867609</v>
      </c>
      <c r="BQ972" s="233"/>
      <c r="BR972" s="233"/>
      <c r="BU972" s="40">
        <f t="shared" si="617"/>
        <v>0</v>
      </c>
      <c r="BV972" s="40">
        <f t="shared" si="622"/>
        <v>0</v>
      </c>
      <c r="BW972" s="40">
        <f t="shared" si="622"/>
        <v>0</v>
      </c>
      <c r="BX972" s="40">
        <f t="shared" si="622"/>
        <v>0</v>
      </c>
      <c r="BY972" s="40">
        <f t="shared" si="622"/>
        <v>0</v>
      </c>
      <c r="BZ972" s="40">
        <f t="shared" si="622"/>
        <v>0</v>
      </c>
      <c r="CA972" s="40">
        <f t="shared" si="622"/>
        <v>0</v>
      </c>
      <c r="CB972" s="40">
        <f t="shared" si="622"/>
        <v>0</v>
      </c>
      <c r="CC972" s="40">
        <f t="shared" si="622"/>
        <v>0</v>
      </c>
      <c r="CD972" s="40">
        <f t="shared" si="622"/>
        <v>0</v>
      </c>
      <c r="CM972" s="1">
        <f>CL972</f>
        <v>0</v>
      </c>
    </row>
    <row r="973" spans="2:91">
      <c r="B973" s="880"/>
      <c r="C973" s="873"/>
      <c r="BH973" s="285"/>
      <c r="BI973" s="285"/>
      <c r="BJ973" s="285"/>
      <c r="BL973" s="233"/>
      <c r="BM973" s="233"/>
      <c r="BN973" s="233"/>
      <c r="BO973" s="233"/>
      <c r="BP973" s="233"/>
      <c r="BQ973" s="233"/>
      <c r="BR973" s="233"/>
      <c r="BU973" s="40">
        <f t="shared" si="617"/>
        <v>0</v>
      </c>
      <c r="BV973" s="40">
        <f t="shared" si="622"/>
        <v>0</v>
      </c>
      <c r="BW973" s="40">
        <f t="shared" si="622"/>
        <v>0</v>
      </c>
      <c r="BX973" s="40">
        <f t="shared" si="622"/>
        <v>0</v>
      </c>
      <c r="BY973" s="40">
        <f t="shared" si="622"/>
        <v>0</v>
      </c>
      <c r="BZ973" s="40">
        <f t="shared" si="622"/>
        <v>0</v>
      </c>
      <c r="CA973" s="40">
        <f t="shared" si="622"/>
        <v>0</v>
      </c>
      <c r="CB973" s="40">
        <f t="shared" si="622"/>
        <v>0</v>
      </c>
      <c r="CC973" s="40">
        <f t="shared" si="622"/>
        <v>0</v>
      </c>
      <c r="CD973" s="40">
        <f t="shared" si="622"/>
        <v>0</v>
      </c>
    </row>
    <row r="974" spans="2:91">
      <c r="B974" s="879" t="s">
        <v>1106</v>
      </c>
      <c r="C974" s="873" t="s">
        <v>1714</v>
      </c>
      <c r="BH974" s="285"/>
      <c r="BM974" s="1">
        <v>2728</v>
      </c>
      <c r="BN974" s="1">
        <v>2670</v>
      </c>
      <c r="BO974" s="1">
        <v>5475</v>
      </c>
      <c r="BP974" s="1">
        <v>5475</v>
      </c>
      <c r="BQ974" s="1">
        <v>5475</v>
      </c>
      <c r="BR974" s="1">
        <v>5475</v>
      </c>
      <c r="BU974" s="40">
        <f t="shared" si="617"/>
        <v>0</v>
      </c>
      <c r="BV974" s="40">
        <f t="shared" si="622"/>
        <v>0</v>
      </c>
      <c r="BW974" s="40">
        <f t="shared" si="622"/>
        <v>0</v>
      </c>
      <c r="BX974" s="40">
        <f t="shared" si="622"/>
        <v>0</v>
      </c>
      <c r="BY974" s="40">
        <f t="shared" si="622"/>
        <v>0</v>
      </c>
      <c r="BZ974" s="40">
        <f t="shared" si="622"/>
        <v>0</v>
      </c>
      <c r="CA974" s="40">
        <f t="shared" si="622"/>
        <v>0</v>
      </c>
      <c r="CB974" s="40">
        <f t="shared" si="622"/>
        <v>0</v>
      </c>
      <c r="CC974" s="40">
        <f t="shared" si="622"/>
        <v>0</v>
      </c>
      <c r="CD974" s="40">
        <f t="shared" si="622"/>
        <v>0</v>
      </c>
    </row>
    <row r="975" spans="2:91">
      <c r="B975" s="879" t="s">
        <v>1107</v>
      </c>
      <c r="C975" s="873" t="s">
        <v>1714</v>
      </c>
      <c r="BH975" s="285"/>
      <c r="BM975" s="1">
        <v>5896</v>
      </c>
      <c r="BN975" s="1">
        <v>5808</v>
      </c>
      <c r="BO975" s="1">
        <v>6532</v>
      </c>
      <c r="BP975" s="1">
        <v>6572</v>
      </c>
      <c r="BQ975" s="1">
        <v>6575</v>
      </c>
      <c r="BR975" s="1">
        <v>6297</v>
      </c>
      <c r="BU975" s="40">
        <f t="shared" si="617"/>
        <v>0</v>
      </c>
      <c r="BV975" s="40">
        <f t="shared" si="622"/>
        <v>0</v>
      </c>
      <c r="BW975" s="40">
        <f t="shared" si="622"/>
        <v>0</v>
      </c>
      <c r="BX975" s="40">
        <f t="shared" si="622"/>
        <v>0</v>
      </c>
      <c r="BY975" s="40">
        <f t="shared" si="622"/>
        <v>0</v>
      </c>
      <c r="BZ975" s="40">
        <f t="shared" si="622"/>
        <v>0</v>
      </c>
      <c r="CA975" s="40">
        <f t="shared" si="622"/>
        <v>0</v>
      </c>
      <c r="CB975" s="40">
        <f t="shared" si="622"/>
        <v>0</v>
      </c>
      <c r="CC975" s="40">
        <f t="shared" si="622"/>
        <v>0</v>
      </c>
      <c r="CD975" s="40">
        <f t="shared" si="622"/>
        <v>0</v>
      </c>
    </row>
    <row r="976" spans="2:91">
      <c r="B976" s="879"/>
      <c r="C976" s="873"/>
      <c r="BH976" s="285"/>
      <c r="BU976" s="40">
        <f t="shared" si="617"/>
        <v>0</v>
      </c>
      <c r="BV976" s="40">
        <f t="shared" si="622"/>
        <v>0</v>
      </c>
      <c r="BW976" s="40">
        <f t="shared" si="622"/>
        <v>0</v>
      </c>
      <c r="BX976" s="40">
        <f t="shared" si="622"/>
        <v>0</v>
      </c>
      <c r="BY976" s="40">
        <f t="shared" si="622"/>
        <v>0</v>
      </c>
      <c r="BZ976" s="40">
        <f t="shared" si="622"/>
        <v>0</v>
      </c>
      <c r="CA976" s="40">
        <f t="shared" si="622"/>
        <v>0</v>
      </c>
      <c r="CB976" s="40">
        <f t="shared" si="622"/>
        <v>0</v>
      </c>
      <c r="CC976" s="40">
        <f t="shared" si="622"/>
        <v>0</v>
      </c>
      <c r="CD976" s="40">
        <f t="shared" si="622"/>
        <v>0</v>
      </c>
    </row>
    <row r="977" spans="2:91">
      <c r="B977" s="879" t="s">
        <v>1716</v>
      </c>
      <c r="C977" s="873" t="s">
        <v>1717</v>
      </c>
      <c r="BG977" s="285">
        <v>56.43</v>
      </c>
      <c r="BH977" s="1">
        <v>78.89</v>
      </c>
      <c r="BI977" s="1">
        <v>49.81</v>
      </c>
      <c r="BJ977" s="285">
        <v>63.5</v>
      </c>
      <c r="BK977" s="285">
        <v>67.83</v>
      </c>
      <c r="BL977" s="285">
        <v>103.38</v>
      </c>
      <c r="BM977" s="314">
        <v>95</v>
      </c>
      <c r="BN977" s="314">
        <v>82</v>
      </c>
      <c r="BO977" s="314">
        <v>145</v>
      </c>
      <c r="BP977" s="314">
        <v>147</v>
      </c>
      <c r="BQ977" s="314">
        <v>149</v>
      </c>
      <c r="BR977" s="314">
        <v>154</v>
      </c>
      <c r="BS977" s="285"/>
      <c r="BT977" s="285"/>
      <c r="BU977" s="40">
        <f t="shared" si="617"/>
        <v>0</v>
      </c>
      <c r="BV977" s="40">
        <f t="shared" si="622"/>
        <v>0</v>
      </c>
      <c r="BW977" s="40">
        <f t="shared" si="622"/>
        <v>0</v>
      </c>
      <c r="BX977" s="40">
        <f t="shared" si="622"/>
        <v>0</v>
      </c>
      <c r="BY977" s="40">
        <f t="shared" si="622"/>
        <v>0</v>
      </c>
      <c r="BZ977" s="40">
        <f t="shared" si="622"/>
        <v>0</v>
      </c>
      <c r="CA977" s="40">
        <f t="shared" si="622"/>
        <v>0</v>
      </c>
      <c r="CB977" s="40">
        <f t="shared" si="622"/>
        <v>0</v>
      </c>
      <c r="CC977" s="40">
        <f t="shared" si="622"/>
        <v>0</v>
      </c>
      <c r="CD977" s="40">
        <f t="shared" si="622"/>
        <v>0</v>
      </c>
      <c r="CM977" s="1">
        <v>49.77</v>
      </c>
    </row>
    <row r="978" spans="2:91">
      <c r="B978" s="879"/>
      <c r="C978" s="873"/>
      <c r="BH978" s="285"/>
      <c r="BU978" s="40">
        <f t="shared" si="617"/>
        <v>0</v>
      </c>
      <c r="BV978" s="40">
        <f t="shared" si="622"/>
        <v>0</v>
      </c>
      <c r="BW978" s="40">
        <f t="shared" si="622"/>
        <v>0</v>
      </c>
      <c r="BX978" s="40">
        <f t="shared" si="622"/>
        <v>0</v>
      </c>
      <c r="BY978" s="40">
        <f t="shared" si="622"/>
        <v>0</v>
      </c>
      <c r="BZ978" s="40">
        <f t="shared" si="622"/>
        <v>0</v>
      </c>
      <c r="CA978" s="40">
        <f t="shared" si="622"/>
        <v>0</v>
      </c>
      <c r="CB978" s="40">
        <f t="shared" si="622"/>
        <v>0</v>
      </c>
      <c r="CC978" s="40">
        <f t="shared" si="622"/>
        <v>0</v>
      </c>
      <c r="CD978" s="40">
        <f t="shared" si="622"/>
        <v>0</v>
      </c>
    </row>
    <row r="979" spans="2:91">
      <c r="B979" s="879" t="s">
        <v>1561</v>
      </c>
      <c r="C979" s="873" t="s">
        <v>1718</v>
      </c>
      <c r="BG979" s="285">
        <v>62756</v>
      </c>
      <c r="BH979" s="1">
        <v>65570</v>
      </c>
      <c r="BI979" s="1">
        <v>135000</v>
      </c>
      <c r="BJ979" s="467">
        <v>229900</v>
      </c>
      <c r="BK979" s="1">
        <v>371145</v>
      </c>
      <c r="BL979" s="1">
        <v>469878</v>
      </c>
      <c r="BM979" s="1">
        <v>282400</v>
      </c>
      <c r="BN979" s="1">
        <v>452200</v>
      </c>
      <c r="BO979" s="1">
        <v>206320</v>
      </c>
      <c r="BP979" s="1">
        <v>220906</v>
      </c>
      <c r="BQ979" s="1">
        <v>270161</v>
      </c>
      <c r="BR979" s="1">
        <v>273268</v>
      </c>
      <c r="BU979" s="40">
        <f t="shared" si="617"/>
        <v>0</v>
      </c>
      <c r="BV979" s="40">
        <f t="shared" ref="BV979:CD979" si="623">BU979</f>
        <v>0</v>
      </c>
      <c r="BW979" s="40">
        <f t="shared" si="623"/>
        <v>0</v>
      </c>
      <c r="BX979" s="40">
        <f t="shared" si="623"/>
        <v>0</v>
      </c>
      <c r="BY979" s="40">
        <f t="shared" si="623"/>
        <v>0</v>
      </c>
      <c r="BZ979" s="40">
        <f t="shared" si="623"/>
        <v>0</v>
      </c>
      <c r="CA979" s="40">
        <f t="shared" si="623"/>
        <v>0</v>
      </c>
      <c r="CB979" s="40">
        <f t="shared" si="623"/>
        <v>0</v>
      </c>
      <c r="CC979" s="40">
        <f t="shared" si="623"/>
        <v>0</v>
      </c>
      <c r="CD979" s="40">
        <f t="shared" si="623"/>
        <v>0</v>
      </c>
      <c r="CM979" s="1">
        <v>253651</v>
      </c>
    </row>
    <row r="980" spans="2:91">
      <c r="B980" s="879" t="s">
        <v>1719</v>
      </c>
      <c r="C980" s="873" t="s">
        <v>1718</v>
      </c>
      <c r="BG980" s="285">
        <v>331877</v>
      </c>
      <c r="BH980" s="1">
        <v>564947</v>
      </c>
      <c r="BI980" s="1">
        <v>413112</v>
      </c>
      <c r="BJ980" s="881">
        <v>392383</v>
      </c>
      <c r="BK980" s="1">
        <v>410400</v>
      </c>
      <c r="BL980" s="1">
        <v>813593</v>
      </c>
      <c r="BM980" s="1">
        <v>820786</v>
      </c>
      <c r="BN980" s="1">
        <v>663035</v>
      </c>
      <c r="BO980" s="1">
        <v>949930</v>
      </c>
      <c r="BP980" s="1">
        <v>966929</v>
      </c>
      <c r="BQ980" s="1">
        <v>981705</v>
      </c>
      <c r="BR980" s="1">
        <v>969068</v>
      </c>
      <c r="BU980" s="40">
        <f t="shared" si="617"/>
        <v>0</v>
      </c>
      <c r="BV980" s="40">
        <f t="shared" ref="BV980:CD980" si="624">BU980</f>
        <v>0</v>
      </c>
      <c r="BW980" s="40">
        <f t="shared" si="624"/>
        <v>0</v>
      </c>
      <c r="BX980" s="40">
        <f t="shared" si="624"/>
        <v>0</v>
      </c>
      <c r="BY980" s="40">
        <f t="shared" si="624"/>
        <v>0</v>
      </c>
      <c r="BZ980" s="40">
        <f t="shared" si="624"/>
        <v>0</v>
      </c>
      <c r="CA980" s="40">
        <f t="shared" si="624"/>
        <v>0</v>
      </c>
      <c r="CB980" s="40">
        <f t="shared" si="624"/>
        <v>0</v>
      </c>
      <c r="CC980" s="40">
        <f t="shared" si="624"/>
        <v>0</v>
      </c>
      <c r="CD980" s="40">
        <f t="shared" si="624"/>
        <v>0</v>
      </c>
      <c r="CM980" s="1">
        <v>307507</v>
      </c>
    </row>
    <row r="981" spans="2:91">
      <c r="B981" s="879"/>
      <c r="C981" s="873"/>
      <c r="BH981" s="285"/>
      <c r="BU981" s="40">
        <f t="shared" si="617"/>
        <v>0</v>
      </c>
      <c r="BV981" s="40">
        <f t="shared" ref="BV981:CD981" si="625">BU981</f>
        <v>0</v>
      </c>
      <c r="BW981" s="40">
        <f t="shared" si="625"/>
        <v>0</v>
      </c>
      <c r="BX981" s="40">
        <f t="shared" si="625"/>
        <v>0</v>
      </c>
      <c r="BY981" s="40">
        <f t="shared" si="625"/>
        <v>0</v>
      </c>
      <c r="BZ981" s="40">
        <f t="shared" si="625"/>
        <v>0</v>
      </c>
      <c r="CA981" s="40">
        <f t="shared" si="625"/>
        <v>0</v>
      </c>
      <c r="CB981" s="40">
        <f t="shared" si="625"/>
        <v>0</v>
      </c>
      <c r="CC981" s="40">
        <f t="shared" si="625"/>
        <v>0</v>
      </c>
      <c r="CD981" s="40">
        <f t="shared" si="625"/>
        <v>0</v>
      </c>
    </row>
    <row r="982" spans="2:91">
      <c r="B982" s="879" t="s">
        <v>2789</v>
      </c>
      <c r="C982" s="873"/>
      <c r="BH982" s="285"/>
      <c r="BU982" s="40">
        <f t="shared" si="617"/>
        <v>0</v>
      </c>
      <c r="BV982" s="40">
        <f t="shared" ref="BV982:CD982" si="626">BU982</f>
        <v>0</v>
      </c>
      <c r="BW982" s="40">
        <f t="shared" si="626"/>
        <v>0</v>
      </c>
      <c r="BX982" s="40">
        <f t="shared" si="626"/>
        <v>0</v>
      </c>
      <c r="BY982" s="40">
        <f t="shared" si="626"/>
        <v>0</v>
      </c>
      <c r="BZ982" s="40">
        <f t="shared" si="626"/>
        <v>0</v>
      </c>
      <c r="CA982" s="40">
        <f t="shared" si="626"/>
        <v>0</v>
      </c>
      <c r="CB982" s="40">
        <f t="shared" si="626"/>
        <v>0</v>
      </c>
      <c r="CC982" s="40">
        <f t="shared" si="626"/>
        <v>0</v>
      </c>
      <c r="CD982" s="40">
        <f t="shared" si="626"/>
        <v>0</v>
      </c>
    </row>
    <row r="983" spans="2:91">
      <c r="B983" s="879" t="s">
        <v>2790</v>
      </c>
      <c r="C983" s="873" t="s">
        <v>1718</v>
      </c>
      <c r="BG983" s="517">
        <v>6200</v>
      </c>
      <c r="BH983" s="881">
        <v>13424.740000000003</v>
      </c>
      <c r="BI983" s="1">
        <v>6451.1919646881252</v>
      </c>
      <c r="BJ983" s="1">
        <v>8800</v>
      </c>
      <c r="BK983" s="285">
        <v>9863</v>
      </c>
      <c r="BL983" s="285">
        <v>16216.399999999998</v>
      </c>
      <c r="BM983" s="285">
        <v>143318</v>
      </c>
      <c r="BN983" s="285">
        <v>89800</v>
      </c>
      <c r="BO983" s="285">
        <v>144251</v>
      </c>
      <c r="BP983" s="285">
        <v>142843</v>
      </c>
      <c r="BQ983" s="285">
        <v>145548</v>
      </c>
      <c r="BR983" s="285">
        <v>134884</v>
      </c>
      <c r="BU983" s="40">
        <f t="shared" si="617"/>
        <v>0</v>
      </c>
      <c r="BV983" s="40">
        <f t="shared" ref="BV983:CD983" si="627">BU983</f>
        <v>0</v>
      </c>
      <c r="BW983" s="40">
        <f t="shared" si="627"/>
        <v>0</v>
      </c>
      <c r="BX983" s="40">
        <f t="shared" si="627"/>
        <v>0</v>
      </c>
      <c r="BY983" s="40">
        <f t="shared" si="627"/>
        <v>0</v>
      </c>
      <c r="BZ983" s="40">
        <f t="shared" si="627"/>
        <v>0</v>
      </c>
      <c r="CA983" s="40">
        <f t="shared" si="627"/>
        <v>0</v>
      </c>
      <c r="CB983" s="40">
        <f t="shared" si="627"/>
        <v>0</v>
      </c>
      <c r="CC983" s="40">
        <f t="shared" si="627"/>
        <v>0</v>
      </c>
      <c r="CD983" s="40">
        <f t="shared" si="627"/>
        <v>0</v>
      </c>
      <c r="CM983" s="1">
        <v>60.94</v>
      </c>
    </row>
    <row r="984" spans="2:91">
      <c r="B984" s="879" t="s">
        <v>2125</v>
      </c>
      <c r="C984" s="873" t="s">
        <v>1718</v>
      </c>
      <c r="BH984" s="2">
        <v>400</v>
      </c>
      <c r="BI984" s="1">
        <v>919.99999999999989</v>
      </c>
      <c r="BJ984" s="1">
        <v>919.99999999999989</v>
      </c>
      <c r="BK984" s="1">
        <v>919.99999999999989</v>
      </c>
      <c r="BL984" s="285">
        <v>1098.4000000000001</v>
      </c>
      <c r="BM984" s="1">
        <v>12301</v>
      </c>
      <c r="BN984" s="1">
        <v>12547</v>
      </c>
      <c r="BO984" s="1">
        <v>12798</v>
      </c>
      <c r="BP984" s="1">
        <v>13054</v>
      </c>
      <c r="BQ984" s="1">
        <v>13315</v>
      </c>
      <c r="BR984" s="1">
        <v>13581</v>
      </c>
      <c r="BU984" s="40">
        <f t="shared" si="617"/>
        <v>0</v>
      </c>
      <c r="BV984" s="40">
        <f t="shared" ref="BV984:CD984" si="628">BU984</f>
        <v>0</v>
      </c>
      <c r="BW984" s="40">
        <f t="shared" si="628"/>
        <v>0</v>
      </c>
      <c r="BX984" s="40">
        <f t="shared" si="628"/>
        <v>0</v>
      </c>
      <c r="BY984" s="40">
        <f t="shared" si="628"/>
        <v>0</v>
      </c>
      <c r="BZ984" s="40">
        <f t="shared" si="628"/>
        <v>0</v>
      </c>
      <c r="CA984" s="40">
        <f t="shared" si="628"/>
        <v>0</v>
      </c>
      <c r="CB984" s="40">
        <f t="shared" si="628"/>
        <v>0</v>
      </c>
      <c r="CC984" s="40">
        <f t="shared" si="628"/>
        <v>0</v>
      </c>
      <c r="CD984" s="40">
        <f t="shared" si="628"/>
        <v>0</v>
      </c>
      <c r="CM984" s="1">
        <v>9.1999999999999993</v>
      </c>
    </row>
    <row r="985" spans="2:91">
      <c r="B985" s="879" t="s">
        <v>2126</v>
      </c>
      <c r="C985" s="873" t="s">
        <v>1718</v>
      </c>
      <c r="BH985" s="881">
        <v>5536.8</v>
      </c>
      <c r="BI985" s="1">
        <v>7500</v>
      </c>
      <c r="BJ985" s="25">
        <v>7800</v>
      </c>
      <c r="BK985" s="1">
        <v>10606.4</v>
      </c>
      <c r="BL985" s="285">
        <v>9414.5</v>
      </c>
      <c r="BM985" s="285">
        <v>140013</v>
      </c>
      <c r="BN985" s="285">
        <v>79800</v>
      </c>
      <c r="BO985" s="285">
        <v>128224</v>
      </c>
      <c r="BP985" s="285">
        <v>126972</v>
      </c>
      <c r="BQ985" s="285">
        <v>129376</v>
      </c>
      <c r="BR985" s="285">
        <v>119897</v>
      </c>
      <c r="BU985" s="40">
        <f t="shared" si="617"/>
        <v>0</v>
      </c>
      <c r="BV985" s="40">
        <f t="shared" ref="BV985:CD985" si="629">BU985</f>
        <v>0</v>
      </c>
      <c r="BW985" s="40">
        <f t="shared" si="629"/>
        <v>0</v>
      </c>
      <c r="BX985" s="40">
        <f t="shared" si="629"/>
        <v>0</v>
      </c>
      <c r="BY985" s="40">
        <f t="shared" si="629"/>
        <v>0</v>
      </c>
      <c r="BZ985" s="40">
        <f t="shared" si="629"/>
        <v>0</v>
      </c>
      <c r="CA985" s="40">
        <f t="shared" si="629"/>
        <v>0</v>
      </c>
      <c r="CB985" s="40">
        <f t="shared" si="629"/>
        <v>0</v>
      </c>
      <c r="CC985" s="40">
        <f t="shared" si="629"/>
        <v>0</v>
      </c>
      <c r="CD985" s="40">
        <f t="shared" si="629"/>
        <v>0</v>
      </c>
      <c r="CM985" s="1">
        <v>54.168999999999997</v>
      </c>
    </row>
    <row r="986" spans="2:91">
      <c r="B986" s="882" t="s">
        <v>3354</v>
      </c>
      <c r="C986" s="882" t="s">
        <v>1718</v>
      </c>
      <c r="BG986" s="1">
        <f>SUM(BG983:BG985)</f>
        <v>6200</v>
      </c>
      <c r="BH986" s="1">
        <f>SUM(BH983:BH985)</f>
        <v>19361.540000000005</v>
      </c>
      <c r="BI986" s="1">
        <f>SUM(BI983:BI985)</f>
        <v>14871.191964688125</v>
      </c>
      <c r="BJ986" s="1">
        <f t="shared" ref="BJ986:BR986" si="630">SUM(BJ983:BJ985)</f>
        <v>17520</v>
      </c>
      <c r="BK986" s="1">
        <f t="shared" si="630"/>
        <v>21389.4</v>
      </c>
      <c r="BL986" s="1">
        <f t="shared" si="630"/>
        <v>26729.3</v>
      </c>
      <c r="BM986" s="233">
        <f t="shared" si="630"/>
        <v>295632</v>
      </c>
      <c r="BN986" s="1">
        <f t="shared" si="630"/>
        <v>182147</v>
      </c>
      <c r="BO986" s="233">
        <f t="shared" si="630"/>
        <v>285273</v>
      </c>
      <c r="BP986" s="233">
        <f t="shared" si="630"/>
        <v>282869</v>
      </c>
      <c r="BQ986" s="233">
        <f t="shared" si="630"/>
        <v>288239</v>
      </c>
      <c r="BR986" s="233">
        <f t="shared" si="630"/>
        <v>268362</v>
      </c>
      <c r="BU986" s="40">
        <f t="shared" si="617"/>
        <v>0</v>
      </c>
      <c r="BV986" s="40">
        <f t="shared" ref="BV986:CD986" si="631">BU986</f>
        <v>0</v>
      </c>
      <c r="BW986" s="40">
        <f t="shared" si="631"/>
        <v>0</v>
      </c>
      <c r="BX986" s="40">
        <f t="shared" si="631"/>
        <v>0</v>
      </c>
      <c r="BY986" s="40">
        <f t="shared" si="631"/>
        <v>0</v>
      </c>
      <c r="BZ986" s="40">
        <f t="shared" si="631"/>
        <v>0</v>
      </c>
      <c r="CA986" s="40">
        <f t="shared" si="631"/>
        <v>0</v>
      </c>
      <c r="CB986" s="40">
        <f t="shared" si="631"/>
        <v>0</v>
      </c>
      <c r="CC986" s="40">
        <f t="shared" si="631"/>
        <v>0</v>
      </c>
      <c r="CD986" s="40">
        <f t="shared" si="631"/>
        <v>0</v>
      </c>
      <c r="CM986" s="1">
        <f>SUM(CM983:CM985)</f>
        <v>124.309</v>
      </c>
    </row>
    <row r="987" spans="2:91">
      <c r="B987" s="879"/>
      <c r="C987" s="873"/>
      <c r="BH987" s="285"/>
      <c r="BU987" s="40">
        <f t="shared" si="617"/>
        <v>0</v>
      </c>
      <c r="BV987" s="40">
        <f t="shared" ref="BV987:CD987" si="632">BU987</f>
        <v>0</v>
      </c>
      <c r="BW987" s="40">
        <f t="shared" si="632"/>
        <v>0</v>
      </c>
      <c r="BX987" s="40">
        <f t="shared" si="632"/>
        <v>0</v>
      </c>
      <c r="BY987" s="40">
        <f t="shared" si="632"/>
        <v>0</v>
      </c>
      <c r="BZ987" s="40">
        <f t="shared" si="632"/>
        <v>0</v>
      </c>
      <c r="CA987" s="40">
        <f t="shared" si="632"/>
        <v>0</v>
      </c>
      <c r="CB987" s="40">
        <f t="shared" si="632"/>
        <v>0</v>
      </c>
      <c r="CC987" s="40">
        <f t="shared" si="632"/>
        <v>0</v>
      </c>
      <c r="CD987" s="40">
        <f t="shared" si="632"/>
        <v>0</v>
      </c>
    </row>
    <row r="988" spans="2:91">
      <c r="B988" s="879" t="s">
        <v>2127</v>
      </c>
      <c r="C988" s="873"/>
      <c r="BH988" s="285"/>
      <c r="BU988" s="40">
        <f t="shared" si="617"/>
        <v>0</v>
      </c>
      <c r="BV988" s="40">
        <f t="shared" ref="BV988:CD988" si="633">BU988</f>
        <v>0</v>
      </c>
      <c r="BW988" s="40">
        <f t="shared" si="633"/>
        <v>0</v>
      </c>
      <c r="BX988" s="40">
        <f t="shared" si="633"/>
        <v>0</v>
      </c>
      <c r="BY988" s="40">
        <f t="shared" si="633"/>
        <v>0</v>
      </c>
      <c r="BZ988" s="40">
        <f t="shared" si="633"/>
        <v>0</v>
      </c>
      <c r="CA988" s="40">
        <f t="shared" si="633"/>
        <v>0</v>
      </c>
      <c r="CB988" s="40">
        <f t="shared" si="633"/>
        <v>0</v>
      </c>
      <c r="CC988" s="40">
        <f t="shared" si="633"/>
        <v>0</v>
      </c>
      <c r="CD988" s="40">
        <f t="shared" si="633"/>
        <v>0</v>
      </c>
    </row>
    <row r="989" spans="2:91">
      <c r="B989" s="879" t="s">
        <v>2156</v>
      </c>
      <c r="C989" s="873" t="s">
        <v>1717</v>
      </c>
      <c r="BG989" s="314">
        <v>56.43</v>
      </c>
      <c r="BH989" s="314">
        <v>78.89</v>
      </c>
      <c r="BI989" s="314">
        <v>49.81</v>
      </c>
      <c r="BJ989" s="314">
        <v>63.5</v>
      </c>
      <c r="BK989" s="314">
        <v>66.290000000000006</v>
      </c>
      <c r="BL989" s="314">
        <v>99.42</v>
      </c>
      <c r="BM989" s="314">
        <v>99.13</v>
      </c>
      <c r="BN989" s="314">
        <v>83</v>
      </c>
      <c r="BO989" s="314">
        <v>92.59</v>
      </c>
      <c r="BP989" s="314">
        <v>94.39</v>
      </c>
      <c r="BQ989" s="314">
        <v>95.94</v>
      </c>
      <c r="BR989" s="314">
        <v>97.44</v>
      </c>
      <c r="BU989" s="40">
        <f t="shared" si="617"/>
        <v>0</v>
      </c>
      <c r="BV989" s="40">
        <f t="shared" ref="BV989:CD989" si="634">BU989</f>
        <v>0</v>
      </c>
      <c r="BW989" s="40">
        <f t="shared" si="634"/>
        <v>0</v>
      </c>
      <c r="BX989" s="40">
        <f t="shared" si="634"/>
        <v>0</v>
      </c>
      <c r="BY989" s="40">
        <f t="shared" si="634"/>
        <v>0</v>
      </c>
      <c r="BZ989" s="40">
        <f t="shared" si="634"/>
        <v>0</v>
      </c>
      <c r="CA989" s="40">
        <f t="shared" si="634"/>
        <v>0</v>
      </c>
      <c r="CB989" s="40">
        <f t="shared" si="634"/>
        <v>0</v>
      </c>
      <c r="CC989" s="40">
        <f t="shared" si="634"/>
        <v>0</v>
      </c>
      <c r="CD989" s="40">
        <f t="shared" si="634"/>
        <v>0</v>
      </c>
      <c r="CM989" s="1">
        <v>57.85</v>
      </c>
    </row>
    <row r="990" spans="2:91">
      <c r="B990" s="873"/>
      <c r="C990" s="873"/>
      <c r="BH990" s="285"/>
      <c r="BP990" s="1">
        <f>BO990</f>
        <v>0</v>
      </c>
      <c r="BU990" s="40">
        <f t="shared" si="617"/>
        <v>0</v>
      </c>
      <c r="BV990" s="40">
        <f t="shared" ref="BV990:CD990" si="635">BU990</f>
        <v>0</v>
      </c>
      <c r="BW990" s="40">
        <f t="shared" si="635"/>
        <v>0</v>
      </c>
      <c r="BX990" s="40">
        <f t="shared" si="635"/>
        <v>0</v>
      </c>
      <c r="BY990" s="40">
        <f t="shared" si="635"/>
        <v>0</v>
      </c>
      <c r="BZ990" s="40">
        <f t="shared" si="635"/>
        <v>0</v>
      </c>
      <c r="CA990" s="40">
        <f t="shared" si="635"/>
        <v>0</v>
      </c>
      <c r="CB990" s="40">
        <f t="shared" si="635"/>
        <v>0</v>
      </c>
      <c r="CC990" s="40">
        <f t="shared" si="635"/>
        <v>0</v>
      </c>
      <c r="CD990" s="40">
        <f t="shared" si="635"/>
        <v>0</v>
      </c>
    </row>
    <row r="991" spans="2:91">
      <c r="B991" s="879" t="s">
        <v>2157</v>
      </c>
      <c r="C991" s="873" t="s">
        <v>2158</v>
      </c>
      <c r="BG991" s="285">
        <v>655</v>
      </c>
      <c r="BH991" s="1">
        <v>671</v>
      </c>
      <c r="BI991" s="1">
        <v>695</v>
      </c>
      <c r="BJ991" s="1">
        <v>771</v>
      </c>
      <c r="BK991" s="1">
        <v>783</v>
      </c>
      <c r="BL991" s="1">
        <v>866</v>
      </c>
      <c r="BM991" s="1">
        <v>944</v>
      </c>
      <c r="BU991" s="40">
        <f t="shared" si="617"/>
        <v>0</v>
      </c>
      <c r="BV991" s="40">
        <f t="shared" ref="BV991:CD991" si="636">BU991</f>
        <v>0</v>
      </c>
      <c r="BW991" s="40">
        <f t="shared" si="636"/>
        <v>0</v>
      </c>
      <c r="BX991" s="40">
        <f t="shared" si="636"/>
        <v>0</v>
      </c>
      <c r="BY991" s="40">
        <f t="shared" si="636"/>
        <v>0</v>
      </c>
      <c r="BZ991" s="40">
        <f t="shared" si="636"/>
        <v>0</v>
      </c>
      <c r="CA991" s="40">
        <f t="shared" si="636"/>
        <v>0</v>
      </c>
      <c r="CB991" s="40">
        <f t="shared" si="636"/>
        <v>0</v>
      </c>
      <c r="CC991" s="40">
        <f t="shared" si="636"/>
        <v>0</v>
      </c>
      <c r="CD991" s="40">
        <f t="shared" si="636"/>
        <v>0</v>
      </c>
      <c r="CM991" s="1">
        <v>793</v>
      </c>
    </row>
    <row r="992" spans="2:91">
      <c r="BU992" s="40">
        <f t="shared" si="617"/>
        <v>0</v>
      </c>
      <c r="BV992" s="40">
        <f t="shared" ref="BV992:CD992" si="637">BU992</f>
        <v>0</v>
      </c>
      <c r="BW992" s="40">
        <f t="shared" si="637"/>
        <v>0</v>
      </c>
      <c r="BX992" s="40">
        <f t="shared" si="637"/>
        <v>0</v>
      </c>
      <c r="BY992" s="40">
        <f t="shared" si="637"/>
        <v>0</v>
      </c>
      <c r="BZ992" s="40">
        <f t="shared" si="637"/>
        <v>0</v>
      </c>
      <c r="CA992" s="40">
        <f t="shared" si="637"/>
        <v>0</v>
      </c>
      <c r="CB992" s="40">
        <f t="shared" si="637"/>
        <v>0</v>
      </c>
      <c r="CC992" s="40">
        <f t="shared" si="637"/>
        <v>0</v>
      </c>
      <c r="CD992" s="40">
        <f t="shared" si="637"/>
        <v>0</v>
      </c>
    </row>
    <row r="993" spans="2:82" s="511" customFormat="1">
      <c r="B993" s="511" t="s">
        <v>2043</v>
      </c>
      <c r="BF993" s="512"/>
      <c r="BG993" s="512"/>
      <c r="BU993" s="40">
        <f t="shared" si="617"/>
        <v>0</v>
      </c>
      <c r="BV993" s="40">
        <f t="shared" ref="BV993:CD993" si="638">BU993</f>
        <v>0</v>
      </c>
      <c r="BW993" s="40">
        <f t="shared" si="638"/>
        <v>0</v>
      </c>
      <c r="BX993" s="40">
        <f t="shared" si="638"/>
        <v>0</v>
      </c>
      <c r="BY993" s="40">
        <f t="shared" si="638"/>
        <v>0</v>
      </c>
      <c r="BZ993" s="40">
        <f t="shared" si="638"/>
        <v>0</v>
      </c>
      <c r="CA993" s="40">
        <f t="shared" si="638"/>
        <v>0</v>
      </c>
      <c r="CB993" s="40">
        <f t="shared" si="638"/>
        <v>0</v>
      </c>
      <c r="CC993" s="40">
        <f t="shared" si="638"/>
        <v>0</v>
      </c>
      <c r="CD993" s="40">
        <f t="shared" si="638"/>
        <v>0</v>
      </c>
    </row>
    <row r="994" spans="2:82">
      <c r="BU994" s="40">
        <f t="shared" si="617"/>
        <v>0</v>
      </c>
      <c r="BV994" s="40">
        <f t="shared" ref="BV994:CD994" si="639">BU994</f>
        <v>0</v>
      </c>
      <c r="BW994" s="40">
        <f t="shared" si="639"/>
        <v>0</v>
      </c>
      <c r="BX994" s="40">
        <f t="shared" si="639"/>
        <v>0</v>
      </c>
      <c r="BY994" s="40">
        <f t="shared" si="639"/>
        <v>0</v>
      </c>
      <c r="BZ994" s="40">
        <f t="shared" si="639"/>
        <v>0</v>
      </c>
      <c r="CA994" s="40">
        <f t="shared" si="639"/>
        <v>0</v>
      </c>
      <c r="CB994" s="40">
        <f t="shared" si="639"/>
        <v>0</v>
      </c>
      <c r="CC994" s="40">
        <f t="shared" si="639"/>
        <v>0</v>
      </c>
      <c r="CD994" s="40">
        <f t="shared" si="639"/>
        <v>0</v>
      </c>
    </row>
    <row r="995" spans="2:82">
      <c r="BH995" s="285"/>
      <c r="BI995" s="285"/>
      <c r="BJ995" s="285"/>
      <c r="BK995" s="285"/>
      <c r="BL995" s="285"/>
      <c r="BU995" s="40">
        <f t="shared" si="617"/>
        <v>0</v>
      </c>
      <c r="BV995" s="40">
        <f t="shared" ref="BV995:CD995" si="640">BU995</f>
        <v>0</v>
      </c>
      <c r="BW995" s="40">
        <f t="shared" si="640"/>
        <v>0</v>
      </c>
      <c r="BX995" s="40">
        <f t="shared" si="640"/>
        <v>0</v>
      </c>
      <c r="BY995" s="40">
        <f t="shared" si="640"/>
        <v>0</v>
      </c>
      <c r="BZ995" s="40">
        <f t="shared" si="640"/>
        <v>0</v>
      </c>
      <c r="CA995" s="40">
        <f t="shared" si="640"/>
        <v>0</v>
      </c>
      <c r="CB995" s="40">
        <f t="shared" si="640"/>
        <v>0</v>
      </c>
      <c r="CC995" s="40">
        <f t="shared" si="640"/>
        <v>0</v>
      </c>
      <c r="CD995" s="40">
        <f t="shared" si="640"/>
        <v>0</v>
      </c>
    </row>
    <row r="996" spans="2:82">
      <c r="BH996" s="285"/>
      <c r="BI996" s="285"/>
      <c r="BJ996" s="285"/>
      <c r="BK996" s="285"/>
      <c r="BL996" s="285"/>
      <c r="BU996" s="40">
        <f t="shared" si="617"/>
        <v>0</v>
      </c>
      <c r="BV996" s="40">
        <f t="shared" ref="BV996:CD996" si="641">BU996</f>
        <v>0</v>
      </c>
      <c r="BW996" s="40">
        <f t="shared" si="641"/>
        <v>0</v>
      </c>
      <c r="BX996" s="40">
        <f t="shared" si="641"/>
        <v>0</v>
      </c>
      <c r="BY996" s="40">
        <f t="shared" si="641"/>
        <v>0</v>
      </c>
      <c r="BZ996" s="40">
        <f t="shared" si="641"/>
        <v>0</v>
      </c>
      <c r="CA996" s="40">
        <f t="shared" si="641"/>
        <v>0</v>
      </c>
      <c r="CB996" s="40">
        <f t="shared" si="641"/>
        <v>0</v>
      </c>
      <c r="CC996" s="40">
        <f t="shared" si="641"/>
        <v>0</v>
      </c>
      <c r="CD996" s="40">
        <f t="shared" si="641"/>
        <v>0</v>
      </c>
    </row>
    <row r="997" spans="2:82">
      <c r="B997" s="25" t="s">
        <v>1108</v>
      </c>
      <c r="BH997" s="285"/>
      <c r="BI997" s="285"/>
      <c r="BJ997" s="285"/>
      <c r="BK997" s="285"/>
      <c r="BL997" s="285"/>
      <c r="BU997" s="40">
        <f t="shared" si="617"/>
        <v>0</v>
      </c>
      <c r="BV997" s="40">
        <f t="shared" ref="BV997:CD997" si="642">BU997</f>
        <v>0</v>
      </c>
      <c r="BW997" s="40">
        <f t="shared" si="642"/>
        <v>0</v>
      </c>
      <c r="BX997" s="40">
        <f t="shared" si="642"/>
        <v>0</v>
      </c>
      <c r="BY997" s="40">
        <f t="shared" si="642"/>
        <v>0</v>
      </c>
      <c r="BZ997" s="40">
        <f t="shared" si="642"/>
        <v>0</v>
      </c>
      <c r="CA997" s="40">
        <f t="shared" si="642"/>
        <v>0</v>
      </c>
      <c r="CB997" s="40">
        <f t="shared" si="642"/>
        <v>0</v>
      </c>
      <c r="CC997" s="40">
        <f t="shared" si="642"/>
        <v>0</v>
      </c>
      <c r="CD997" s="40">
        <f t="shared" si="642"/>
        <v>0</v>
      </c>
    </row>
    <row r="998" spans="2:82">
      <c r="B998" s="25" t="s">
        <v>1111</v>
      </c>
      <c r="C998" s="1" t="s">
        <v>1122</v>
      </c>
      <c r="BP998" s="1">
        <v>197</v>
      </c>
      <c r="BQ998" s="1">
        <v>526</v>
      </c>
      <c r="BR998" s="1">
        <v>827</v>
      </c>
      <c r="BS998" s="997">
        <f t="shared" ref="BS998:BT1016" si="643">BR998</f>
        <v>827</v>
      </c>
      <c r="BT998" s="997">
        <f t="shared" si="643"/>
        <v>827</v>
      </c>
      <c r="BU998" s="40">
        <f t="shared" si="617"/>
        <v>827</v>
      </c>
      <c r="BV998" s="40">
        <f t="shared" ref="BV998:CD998" si="644">BU998</f>
        <v>827</v>
      </c>
      <c r="BW998" s="40">
        <f t="shared" si="644"/>
        <v>827</v>
      </c>
      <c r="BX998" s="40">
        <f t="shared" si="644"/>
        <v>827</v>
      </c>
      <c r="BY998" s="40">
        <f t="shared" si="644"/>
        <v>827</v>
      </c>
      <c r="BZ998" s="40">
        <f t="shared" si="644"/>
        <v>827</v>
      </c>
      <c r="CA998" s="40">
        <f t="shared" si="644"/>
        <v>827</v>
      </c>
      <c r="CB998" s="40">
        <f t="shared" si="644"/>
        <v>827</v>
      </c>
      <c r="CC998" s="40">
        <f t="shared" si="644"/>
        <v>827</v>
      </c>
      <c r="CD998" s="40">
        <f t="shared" si="644"/>
        <v>827</v>
      </c>
    </row>
    <row r="999" spans="2:82">
      <c r="B999" s="25" t="s">
        <v>1112</v>
      </c>
      <c r="C999" s="1" t="s">
        <v>1121</v>
      </c>
      <c r="BP999" s="1">
        <v>14</v>
      </c>
      <c r="BQ999" s="1">
        <v>40</v>
      </c>
      <c r="BR999" s="1">
        <v>44</v>
      </c>
      <c r="BS999" s="997">
        <f t="shared" si="643"/>
        <v>44</v>
      </c>
      <c r="BT999" s="997">
        <f t="shared" si="643"/>
        <v>44</v>
      </c>
      <c r="BU999" s="40">
        <f t="shared" si="617"/>
        <v>44</v>
      </c>
      <c r="BV999" s="40">
        <f t="shared" ref="BV999:CD999" si="645">BU999</f>
        <v>44</v>
      </c>
      <c r="BW999" s="40">
        <f t="shared" si="645"/>
        <v>44</v>
      </c>
      <c r="BX999" s="40">
        <f t="shared" si="645"/>
        <v>44</v>
      </c>
      <c r="BY999" s="40">
        <f t="shared" si="645"/>
        <v>44</v>
      </c>
      <c r="BZ999" s="40">
        <f t="shared" si="645"/>
        <v>44</v>
      </c>
      <c r="CA999" s="40">
        <f t="shared" si="645"/>
        <v>44</v>
      </c>
      <c r="CB999" s="40">
        <f t="shared" si="645"/>
        <v>44</v>
      </c>
      <c r="CC999" s="40">
        <f t="shared" si="645"/>
        <v>44</v>
      </c>
      <c r="CD999" s="40">
        <f t="shared" si="645"/>
        <v>44</v>
      </c>
    </row>
    <row r="1000" spans="2:82">
      <c r="B1000" s="25" t="s">
        <v>1113</v>
      </c>
      <c r="C1000" s="1" t="s">
        <v>1122</v>
      </c>
      <c r="BR1000" s="1">
        <v>21.8</v>
      </c>
      <c r="BS1000" s="997">
        <f t="shared" si="643"/>
        <v>21.8</v>
      </c>
      <c r="BT1000" s="997">
        <f t="shared" si="643"/>
        <v>21.8</v>
      </c>
      <c r="BU1000" s="40">
        <f t="shared" si="617"/>
        <v>21.8</v>
      </c>
      <c r="BV1000" s="40">
        <f>BU1000</f>
        <v>21.8</v>
      </c>
      <c r="BW1000" s="40">
        <f>BV1000</f>
        <v>21.8</v>
      </c>
      <c r="BX1000" s="40">
        <f t="shared" ref="BV1000:CD1015" si="646">BW1000</f>
        <v>21.8</v>
      </c>
      <c r="BY1000" s="40">
        <f t="shared" si="646"/>
        <v>21.8</v>
      </c>
      <c r="BZ1000" s="40">
        <f t="shared" si="646"/>
        <v>21.8</v>
      </c>
      <c r="CA1000" s="40">
        <f t="shared" si="646"/>
        <v>21.8</v>
      </c>
      <c r="CB1000" s="40">
        <f t="shared" si="646"/>
        <v>21.8</v>
      </c>
      <c r="CC1000" s="40">
        <f t="shared" si="646"/>
        <v>21.8</v>
      </c>
      <c r="CD1000" s="40">
        <f t="shared" si="646"/>
        <v>21.8</v>
      </c>
    </row>
    <row r="1001" spans="2:82">
      <c r="BS1001" s="997">
        <f t="shared" si="643"/>
        <v>0</v>
      </c>
      <c r="BT1001" s="997">
        <f t="shared" si="643"/>
        <v>0</v>
      </c>
      <c r="BU1001" s="40">
        <f t="shared" ref="BU1001:BU1060" si="647">BT1001</f>
        <v>0</v>
      </c>
      <c r="BV1001" s="40">
        <f t="shared" si="646"/>
        <v>0</v>
      </c>
      <c r="BW1001" s="40">
        <f t="shared" si="646"/>
        <v>0</v>
      </c>
      <c r="BX1001" s="40">
        <f t="shared" si="646"/>
        <v>0</v>
      </c>
      <c r="BY1001" s="40">
        <f t="shared" si="646"/>
        <v>0</v>
      </c>
      <c r="BZ1001" s="40">
        <f t="shared" si="646"/>
        <v>0</v>
      </c>
      <c r="CA1001" s="40">
        <f t="shared" si="646"/>
        <v>0</v>
      </c>
      <c r="CB1001" s="40">
        <f t="shared" si="646"/>
        <v>0</v>
      </c>
      <c r="CC1001" s="40">
        <f t="shared" si="646"/>
        <v>0</v>
      </c>
      <c r="CD1001" s="40">
        <f t="shared" si="646"/>
        <v>0</v>
      </c>
    </row>
    <row r="1002" spans="2:82">
      <c r="B1002" s="25" t="s">
        <v>1115</v>
      </c>
      <c r="BS1002" s="997">
        <f t="shared" si="643"/>
        <v>0</v>
      </c>
      <c r="BT1002" s="997">
        <f t="shared" si="643"/>
        <v>0</v>
      </c>
      <c r="BU1002" s="40">
        <f t="shared" si="647"/>
        <v>0</v>
      </c>
      <c r="BV1002" s="40">
        <f t="shared" si="646"/>
        <v>0</v>
      </c>
      <c r="BW1002" s="40">
        <f t="shared" si="646"/>
        <v>0</v>
      </c>
      <c r="BX1002" s="40">
        <f t="shared" si="646"/>
        <v>0</v>
      </c>
      <c r="BY1002" s="40">
        <f t="shared" si="646"/>
        <v>0</v>
      </c>
      <c r="BZ1002" s="40">
        <f t="shared" si="646"/>
        <v>0</v>
      </c>
      <c r="CA1002" s="40">
        <f t="shared" si="646"/>
        <v>0</v>
      </c>
      <c r="CB1002" s="40">
        <f t="shared" si="646"/>
        <v>0</v>
      </c>
      <c r="CC1002" s="40">
        <f t="shared" si="646"/>
        <v>0</v>
      </c>
      <c r="CD1002" s="40">
        <f t="shared" si="646"/>
        <v>0</v>
      </c>
    </row>
    <row r="1003" spans="2:82">
      <c r="B1003" s="25" t="s">
        <v>1112</v>
      </c>
      <c r="C1003" s="1" t="s">
        <v>1121</v>
      </c>
      <c r="BS1003" s="997">
        <f t="shared" si="643"/>
        <v>0</v>
      </c>
      <c r="BT1003" s="997">
        <f t="shared" si="643"/>
        <v>0</v>
      </c>
      <c r="BU1003" s="40">
        <f t="shared" si="647"/>
        <v>0</v>
      </c>
      <c r="BV1003" s="40">
        <f t="shared" si="646"/>
        <v>0</v>
      </c>
      <c r="BW1003" s="40">
        <f t="shared" si="646"/>
        <v>0</v>
      </c>
      <c r="BX1003" s="40">
        <f t="shared" si="646"/>
        <v>0</v>
      </c>
      <c r="BY1003" s="40">
        <f t="shared" si="646"/>
        <v>0</v>
      </c>
      <c r="BZ1003" s="40">
        <f t="shared" si="646"/>
        <v>0</v>
      </c>
      <c r="CA1003" s="40">
        <f t="shared" si="646"/>
        <v>0</v>
      </c>
      <c r="CB1003" s="40">
        <f t="shared" si="646"/>
        <v>0</v>
      </c>
      <c r="CC1003" s="40">
        <f t="shared" si="646"/>
        <v>0</v>
      </c>
      <c r="CD1003" s="40">
        <f t="shared" si="646"/>
        <v>0</v>
      </c>
    </row>
    <row r="1004" spans="2:82">
      <c r="B1004" s="25" t="s">
        <v>1113</v>
      </c>
      <c r="C1004" s="1" t="s">
        <v>1122</v>
      </c>
      <c r="BS1004" s="997">
        <f t="shared" si="643"/>
        <v>0</v>
      </c>
      <c r="BT1004" s="997">
        <f t="shared" si="643"/>
        <v>0</v>
      </c>
      <c r="BU1004" s="40">
        <f t="shared" si="647"/>
        <v>0</v>
      </c>
      <c r="BV1004" s="40">
        <f t="shared" si="646"/>
        <v>0</v>
      </c>
      <c r="BW1004" s="40">
        <f t="shared" si="646"/>
        <v>0</v>
      </c>
      <c r="BX1004" s="40">
        <f t="shared" si="646"/>
        <v>0</v>
      </c>
      <c r="BY1004" s="40">
        <f t="shared" si="646"/>
        <v>0</v>
      </c>
      <c r="BZ1004" s="40">
        <f t="shared" si="646"/>
        <v>0</v>
      </c>
      <c r="CA1004" s="40">
        <f t="shared" si="646"/>
        <v>0</v>
      </c>
      <c r="CB1004" s="40">
        <f t="shared" si="646"/>
        <v>0</v>
      </c>
      <c r="CC1004" s="40">
        <f t="shared" si="646"/>
        <v>0</v>
      </c>
      <c r="CD1004" s="40">
        <f t="shared" si="646"/>
        <v>0</v>
      </c>
    </row>
    <row r="1005" spans="2:82">
      <c r="BS1005" s="997">
        <f t="shared" si="643"/>
        <v>0</v>
      </c>
      <c r="BT1005" s="997">
        <f t="shared" si="643"/>
        <v>0</v>
      </c>
      <c r="BU1005" s="40">
        <f t="shared" si="647"/>
        <v>0</v>
      </c>
      <c r="BV1005" s="40">
        <f t="shared" si="646"/>
        <v>0</v>
      </c>
      <c r="BW1005" s="40">
        <f t="shared" si="646"/>
        <v>0</v>
      </c>
      <c r="BX1005" s="40">
        <f t="shared" si="646"/>
        <v>0</v>
      </c>
      <c r="BY1005" s="40">
        <f t="shared" si="646"/>
        <v>0</v>
      </c>
      <c r="BZ1005" s="40">
        <f t="shared" si="646"/>
        <v>0</v>
      </c>
      <c r="CA1005" s="40">
        <f t="shared" si="646"/>
        <v>0</v>
      </c>
      <c r="CB1005" s="40">
        <f t="shared" si="646"/>
        <v>0</v>
      </c>
      <c r="CC1005" s="40">
        <f t="shared" si="646"/>
        <v>0</v>
      </c>
      <c r="CD1005" s="40">
        <f t="shared" si="646"/>
        <v>0</v>
      </c>
    </row>
    <row r="1006" spans="2:82">
      <c r="B1006" s="25" t="s">
        <v>1114</v>
      </c>
      <c r="BS1006" s="997">
        <f t="shared" si="643"/>
        <v>0</v>
      </c>
      <c r="BT1006" s="997">
        <f t="shared" si="643"/>
        <v>0</v>
      </c>
      <c r="BU1006" s="40">
        <f t="shared" si="647"/>
        <v>0</v>
      </c>
      <c r="BV1006" s="40">
        <f t="shared" si="646"/>
        <v>0</v>
      </c>
      <c r="BW1006" s="40">
        <f t="shared" si="646"/>
        <v>0</v>
      </c>
      <c r="BX1006" s="40">
        <f t="shared" si="646"/>
        <v>0</v>
      </c>
      <c r="BY1006" s="40">
        <f t="shared" si="646"/>
        <v>0</v>
      </c>
      <c r="BZ1006" s="40">
        <f t="shared" si="646"/>
        <v>0</v>
      </c>
      <c r="CA1006" s="40">
        <f t="shared" si="646"/>
        <v>0</v>
      </c>
      <c r="CB1006" s="40">
        <f t="shared" si="646"/>
        <v>0</v>
      </c>
      <c r="CC1006" s="40">
        <f t="shared" si="646"/>
        <v>0</v>
      </c>
      <c r="CD1006" s="40">
        <f t="shared" si="646"/>
        <v>0</v>
      </c>
    </row>
    <row r="1007" spans="2:82">
      <c r="B1007" s="25" t="s">
        <v>1112</v>
      </c>
      <c r="C1007" s="1" t="s">
        <v>1121</v>
      </c>
      <c r="BQ1007" s="1">
        <v>5</v>
      </c>
      <c r="BR1007" s="1">
        <v>9</v>
      </c>
      <c r="BS1007" s="997">
        <f t="shared" si="643"/>
        <v>9</v>
      </c>
      <c r="BT1007" s="997">
        <f t="shared" si="643"/>
        <v>9</v>
      </c>
      <c r="BU1007" s="40">
        <f t="shared" si="647"/>
        <v>9</v>
      </c>
      <c r="BV1007" s="40">
        <f t="shared" si="646"/>
        <v>9</v>
      </c>
      <c r="BW1007" s="40">
        <f t="shared" si="646"/>
        <v>9</v>
      </c>
      <c r="BX1007" s="40">
        <f t="shared" si="646"/>
        <v>9</v>
      </c>
      <c r="BY1007" s="40">
        <f t="shared" si="646"/>
        <v>9</v>
      </c>
      <c r="BZ1007" s="40">
        <f t="shared" si="646"/>
        <v>9</v>
      </c>
      <c r="CA1007" s="40">
        <f t="shared" si="646"/>
        <v>9</v>
      </c>
      <c r="CB1007" s="40">
        <f t="shared" si="646"/>
        <v>9</v>
      </c>
      <c r="CC1007" s="40">
        <f t="shared" si="646"/>
        <v>9</v>
      </c>
      <c r="CD1007" s="40">
        <f t="shared" si="646"/>
        <v>9</v>
      </c>
    </row>
    <row r="1008" spans="2:82">
      <c r="B1008" s="25" t="s">
        <v>1113</v>
      </c>
      <c r="C1008" s="1" t="s">
        <v>1122</v>
      </c>
      <c r="BS1008" s="997"/>
      <c r="BT1008" s="997"/>
      <c r="BU1008" s="40"/>
      <c r="BV1008" s="40"/>
      <c r="BW1008" s="40"/>
      <c r="BX1008" s="40"/>
      <c r="BY1008" s="40"/>
      <c r="BZ1008" s="40"/>
      <c r="CA1008" s="40"/>
      <c r="CB1008" s="40"/>
      <c r="CC1008" s="40"/>
      <c r="CD1008" s="40"/>
    </row>
    <row r="1009" spans="2:82">
      <c r="BS1009" s="997">
        <f t="shared" si="643"/>
        <v>0</v>
      </c>
      <c r="BT1009" s="997">
        <f t="shared" si="643"/>
        <v>0</v>
      </c>
      <c r="BU1009" s="40">
        <f t="shared" si="647"/>
        <v>0</v>
      </c>
      <c r="BV1009" s="40">
        <f t="shared" si="646"/>
        <v>0</v>
      </c>
      <c r="BW1009" s="40">
        <f t="shared" si="646"/>
        <v>0</v>
      </c>
      <c r="BX1009" s="40">
        <f t="shared" si="646"/>
        <v>0</v>
      </c>
      <c r="BY1009" s="40">
        <f t="shared" si="646"/>
        <v>0</v>
      </c>
      <c r="BZ1009" s="40">
        <f t="shared" si="646"/>
        <v>0</v>
      </c>
      <c r="CA1009" s="40">
        <f t="shared" si="646"/>
        <v>0</v>
      </c>
      <c r="CB1009" s="40">
        <f t="shared" si="646"/>
        <v>0</v>
      </c>
      <c r="CC1009" s="40">
        <f t="shared" si="646"/>
        <v>0</v>
      </c>
      <c r="CD1009" s="40">
        <f t="shared" si="646"/>
        <v>0</v>
      </c>
    </row>
    <row r="1010" spans="2:82">
      <c r="B1010" s="25" t="s">
        <v>1116</v>
      </c>
      <c r="BS1010" s="997">
        <f t="shared" si="643"/>
        <v>0</v>
      </c>
      <c r="BT1010" s="997">
        <f t="shared" si="643"/>
        <v>0</v>
      </c>
      <c r="BU1010" s="40">
        <f t="shared" si="647"/>
        <v>0</v>
      </c>
      <c r="BV1010" s="40">
        <f t="shared" si="646"/>
        <v>0</v>
      </c>
      <c r="BW1010" s="40">
        <f t="shared" si="646"/>
        <v>0</v>
      </c>
      <c r="BX1010" s="40">
        <f t="shared" si="646"/>
        <v>0</v>
      </c>
      <c r="BY1010" s="40">
        <f t="shared" si="646"/>
        <v>0</v>
      </c>
      <c r="BZ1010" s="40">
        <f t="shared" si="646"/>
        <v>0</v>
      </c>
      <c r="CA1010" s="40">
        <f t="shared" si="646"/>
        <v>0</v>
      </c>
      <c r="CB1010" s="40">
        <f t="shared" si="646"/>
        <v>0</v>
      </c>
      <c r="CC1010" s="40">
        <f t="shared" si="646"/>
        <v>0</v>
      </c>
      <c r="CD1010" s="40">
        <f t="shared" si="646"/>
        <v>0</v>
      </c>
    </row>
    <row r="1011" spans="2:82">
      <c r="B1011" s="25" t="s">
        <v>1112</v>
      </c>
      <c r="C1011" s="1" t="s">
        <v>1123</v>
      </c>
      <c r="BP1011" s="1">
        <v>0.8</v>
      </c>
      <c r="BQ1011" s="1">
        <v>0.82</v>
      </c>
      <c r="BR1011" s="1">
        <v>0.84</v>
      </c>
      <c r="BS1011" s="997">
        <f t="shared" si="643"/>
        <v>0.84</v>
      </c>
      <c r="BT1011" s="997">
        <f t="shared" si="643"/>
        <v>0.84</v>
      </c>
      <c r="BU1011" s="40">
        <f t="shared" si="647"/>
        <v>0.84</v>
      </c>
      <c r="BV1011" s="40">
        <f t="shared" si="646"/>
        <v>0.84</v>
      </c>
      <c r="BW1011" s="40">
        <f t="shared" si="646"/>
        <v>0.84</v>
      </c>
      <c r="BX1011" s="40">
        <f t="shared" si="646"/>
        <v>0.84</v>
      </c>
      <c r="BY1011" s="40">
        <f t="shared" si="646"/>
        <v>0.84</v>
      </c>
      <c r="BZ1011" s="40">
        <f t="shared" si="646"/>
        <v>0.84</v>
      </c>
      <c r="CA1011" s="40">
        <f t="shared" si="646"/>
        <v>0.84</v>
      </c>
      <c r="CB1011" s="40">
        <f t="shared" si="646"/>
        <v>0.84</v>
      </c>
      <c r="CC1011" s="40">
        <f t="shared" si="646"/>
        <v>0.84</v>
      </c>
      <c r="CD1011" s="40">
        <f t="shared" si="646"/>
        <v>0.84</v>
      </c>
    </row>
    <row r="1012" spans="2:82">
      <c r="B1012" s="25" t="s">
        <v>1113</v>
      </c>
      <c r="C1012" s="1" t="s">
        <v>1124</v>
      </c>
      <c r="BP1012" s="1">
        <v>646</v>
      </c>
      <c r="BQ1012" s="1">
        <v>657</v>
      </c>
      <c r="BR1012" s="1">
        <v>688</v>
      </c>
      <c r="BS1012" s="997">
        <f t="shared" si="643"/>
        <v>688</v>
      </c>
      <c r="BT1012" s="997">
        <f t="shared" si="643"/>
        <v>688</v>
      </c>
      <c r="BU1012" s="40">
        <f t="shared" si="647"/>
        <v>688</v>
      </c>
      <c r="BV1012" s="40">
        <f t="shared" si="646"/>
        <v>688</v>
      </c>
      <c r="BW1012" s="40">
        <f t="shared" si="646"/>
        <v>688</v>
      </c>
      <c r="BX1012" s="40">
        <f t="shared" si="646"/>
        <v>688</v>
      </c>
      <c r="BY1012" s="40">
        <f t="shared" si="646"/>
        <v>688</v>
      </c>
      <c r="BZ1012" s="40">
        <f t="shared" si="646"/>
        <v>688</v>
      </c>
      <c r="CA1012" s="40">
        <f t="shared" si="646"/>
        <v>688</v>
      </c>
      <c r="CB1012" s="40">
        <f t="shared" si="646"/>
        <v>688</v>
      </c>
      <c r="CC1012" s="40">
        <f t="shared" si="646"/>
        <v>688</v>
      </c>
      <c r="CD1012" s="40">
        <f t="shared" si="646"/>
        <v>688</v>
      </c>
    </row>
    <row r="1013" spans="2:82">
      <c r="BS1013" s="997">
        <f t="shared" si="643"/>
        <v>0</v>
      </c>
      <c r="BT1013" s="997">
        <f t="shared" si="643"/>
        <v>0</v>
      </c>
      <c r="BU1013" s="40">
        <f t="shared" si="647"/>
        <v>0</v>
      </c>
      <c r="BV1013" s="40">
        <f t="shared" si="646"/>
        <v>0</v>
      </c>
      <c r="BW1013" s="40">
        <f t="shared" si="646"/>
        <v>0</v>
      </c>
      <c r="BX1013" s="40">
        <f t="shared" si="646"/>
        <v>0</v>
      </c>
      <c r="BY1013" s="40">
        <f t="shared" si="646"/>
        <v>0</v>
      </c>
      <c r="BZ1013" s="40">
        <f t="shared" si="646"/>
        <v>0</v>
      </c>
      <c r="CA1013" s="40">
        <f t="shared" si="646"/>
        <v>0</v>
      </c>
      <c r="CB1013" s="40">
        <f t="shared" si="646"/>
        <v>0</v>
      </c>
      <c r="CC1013" s="40">
        <f t="shared" si="646"/>
        <v>0</v>
      </c>
      <c r="CD1013" s="40">
        <f t="shared" si="646"/>
        <v>0</v>
      </c>
    </row>
    <row r="1014" spans="2:82">
      <c r="B1014" s="25" t="s">
        <v>1117</v>
      </c>
      <c r="BS1014" s="997">
        <f t="shared" si="643"/>
        <v>0</v>
      </c>
      <c r="BT1014" s="997">
        <f t="shared" si="643"/>
        <v>0</v>
      </c>
      <c r="BU1014" s="40">
        <f t="shared" si="647"/>
        <v>0</v>
      </c>
      <c r="BV1014" s="40">
        <f t="shared" si="646"/>
        <v>0</v>
      </c>
      <c r="BW1014" s="40">
        <f t="shared" si="646"/>
        <v>0</v>
      </c>
      <c r="BX1014" s="40">
        <f t="shared" si="646"/>
        <v>0</v>
      </c>
      <c r="BY1014" s="40">
        <f t="shared" si="646"/>
        <v>0</v>
      </c>
      <c r="BZ1014" s="40">
        <f t="shared" si="646"/>
        <v>0</v>
      </c>
      <c r="CA1014" s="40">
        <f t="shared" si="646"/>
        <v>0</v>
      </c>
      <c r="CB1014" s="40">
        <f t="shared" si="646"/>
        <v>0</v>
      </c>
      <c r="CC1014" s="40">
        <f t="shared" si="646"/>
        <v>0</v>
      </c>
      <c r="CD1014" s="40">
        <f t="shared" si="646"/>
        <v>0</v>
      </c>
    </row>
    <row r="1015" spans="2:82">
      <c r="B1015" s="25" t="s">
        <v>1112</v>
      </c>
      <c r="C1015" s="1" t="s">
        <v>1125</v>
      </c>
      <c r="BP1015" s="1">
        <v>0.68</v>
      </c>
      <c r="BQ1015" s="1">
        <v>0.7</v>
      </c>
      <c r="BR1015" s="1">
        <v>0.72</v>
      </c>
      <c r="BS1015" s="997">
        <f t="shared" si="643"/>
        <v>0.72</v>
      </c>
      <c r="BT1015" s="997">
        <f t="shared" si="643"/>
        <v>0.72</v>
      </c>
      <c r="BU1015" s="40">
        <f t="shared" si="647"/>
        <v>0.72</v>
      </c>
      <c r="BV1015" s="40">
        <f t="shared" si="646"/>
        <v>0.72</v>
      </c>
      <c r="BW1015" s="40">
        <f t="shared" si="646"/>
        <v>0.72</v>
      </c>
      <c r="BX1015" s="40">
        <f t="shared" si="646"/>
        <v>0.72</v>
      </c>
      <c r="BY1015" s="40">
        <f t="shared" si="646"/>
        <v>0.72</v>
      </c>
      <c r="BZ1015" s="40">
        <f t="shared" si="646"/>
        <v>0.72</v>
      </c>
      <c r="CA1015" s="40">
        <f t="shared" si="646"/>
        <v>0.72</v>
      </c>
      <c r="CB1015" s="40">
        <f t="shared" si="646"/>
        <v>0.72</v>
      </c>
      <c r="CC1015" s="40">
        <f t="shared" si="646"/>
        <v>0.72</v>
      </c>
      <c r="CD1015" s="40">
        <f t="shared" si="646"/>
        <v>0.72</v>
      </c>
    </row>
    <row r="1016" spans="2:82">
      <c r="B1016" s="25" t="s">
        <v>1113</v>
      </c>
      <c r="C1016" s="1" t="s">
        <v>3426</v>
      </c>
      <c r="BP1016" s="1">
        <v>546</v>
      </c>
      <c r="BQ1016" s="1">
        <v>557</v>
      </c>
      <c r="BR1016" s="1">
        <v>568</v>
      </c>
      <c r="BS1016" s="997">
        <f t="shared" si="643"/>
        <v>568</v>
      </c>
      <c r="BT1016" s="997">
        <f t="shared" si="643"/>
        <v>568</v>
      </c>
      <c r="BU1016" s="40">
        <f t="shared" si="647"/>
        <v>568</v>
      </c>
      <c r="BV1016" s="40">
        <f t="shared" ref="BV1016:CD1031" si="648">BU1016</f>
        <v>568</v>
      </c>
      <c r="BW1016" s="40">
        <f t="shared" si="648"/>
        <v>568</v>
      </c>
      <c r="BX1016" s="40">
        <f t="shared" si="648"/>
        <v>568</v>
      </c>
      <c r="BY1016" s="40">
        <f t="shared" si="648"/>
        <v>568</v>
      </c>
      <c r="BZ1016" s="40">
        <f t="shared" si="648"/>
        <v>568</v>
      </c>
      <c r="CA1016" s="40">
        <f t="shared" si="648"/>
        <v>568</v>
      </c>
      <c r="CB1016" s="40">
        <f t="shared" si="648"/>
        <v>568</v>
      </c>
      <c r="CC1016" s="40">
        <f t="shared" si="648"/>
        <v>568</v>
      </c>
      <c r="CD1016" s="40">
        <f t="shared" si="648"/>
        <v>568</v>
      </c>
    </row>
    <row r="1017" spans="2:82">
      <c r="BU1017" s="40">
        <f t="shared" si="647"/>
        <v>0</v>
      </c>
      <c r="BV1017" s="40">
        <f t="shared" si="648"/>
        <v>0</v>
      </c>
      <c r="BW1017" s="40">
        <f t="shared" si="648"/>
        <v>0</v>
      </c>
      <c r="BX1017" s="40">
        <f t="shared" si="648"/>
        <v>0</v>
      </c>
      <c r="BY1017" s="40">
        <f t="shared" si="648"/>
        <v>0</v>
      </c>
      <c r="BZ1017" s="40">
        <f t="shared" si="648"/>
        <v>0</v>
      </c>
      <c r="CA1017" s="40">
        <f t="shared" si="648"/>
        <v>0</v>
      </c>
      <c r="CB1017" s="40">
        <f t="shared" si="648"/>
        <v>0</v>
      </c>
      <c r="CC1017" s="40">
        <f t="shared" si="648"/>
        <v>0</v>
      </c>
      <c r="CD1017" s="40">
        <f t="shared" si="648"/>
        <v>0</v>
      </c>
    </row>
    <row r="1018" spans="2:82">
      <c r="B1018" s="25" t="s">
        <v>1118</v>
      </c>
      <c r="BU1018" s="40">
        <f t="shared" si="647"/>
        <v>0</v>
      </c>
      <c r="BV1018" s="40">
        <f t="shared" si="648"/>
        <v>0</v>
      </c>
      <c r="BW1018" s="40">
        <f t="shared" si="648"/>
        <v>0</v>
      </c>
      <c r="BX1018" s="40">
        <f t="shared" si="648"/>
        <v>0</v>
      </c>
      <c r="BY1018" s="40">
        <f t="shared" si="648"/>
        <v>0</v>
      </c>
      <c r="BZ1018" s="40">
        <f t="shared" si="648"/>
        <v>0</v>
      </c>
      <c r="CA1018" s="40">
        <f t="shared" si="648"/>
        <v>0</v>
      </c>
      <c r="CB1018" s="40">
        <f t="shared" si="648"/>
        <v>0</v>
      </c>
      <c r="CC1018" s="40">
        <f t="shared" si="648"/>
        <v>0</v>
      </c>
      <c r="CD1018" s="40">
        <f t="shared" si="648"/>
        <v>0</v>
      </c>
    </row>
    <row r="1019" spans="2:82">
      <c r="B1019" s="25" t="s">
        <v>1119</v>
      </c>
      <c r="BN1019" s="1">
        <v>36</v>
      </c>
      <c r="BO1019" s="1">
        <v>101</v>
      </c>
      <c r="BP1019" s="1">
        <v>173</v>
      </c>
      <c r="BQ1019" s="1">
        <v>228</v>
      </c>
      <c r="BR1019" s="1">
        <v>252</v>
      </c>
      <c r="BS1019" s="1">
        <v>278</v>
      </c>
      <c r="BT1019" s="1">
        <f>BS1019</f>
        <v>278</v>
      </c>
      <c r="BU1019" s="40">
        <f t="shared" si="647"/>
        <v>278</v>
      </c>
      <c r="BV1019" s="40">
        <f t="shared" si="648"/>
        <v>278</v>
      </c>
      <c r="BW1019" s="40">
        <f t="shared" si="648"/>
        <v>278</v>
      </c>
      <c r="BX1019" s="40">
        <f t="shared" si="648"/>
        <v>278</v>
      </c>
      <c r="BY1019" s="40">
        <f t="shared" si="648"/>
        <v>278</v>
      </c>
      <c r="BZ1019" s="40">
        <f t="shared" si="648"/>
        <v>278</v>
      </c>
      <c r="CA1019" s="40">
        <f t="shared" si="648"/>
        <v>278</v>
      </c>
      <c r="CB1019" s="40">
        <f t="shared" si="648"/>
        <v>278</v>
      </c>
      <c r="CC1019" s="40">
        <f t="shared" si="648"/>
        <v>278</v>
      </c>
      <c r="CD1019" s="40">
        <f t="shared" si="648"/>
        <v>278</v>
      </c>
    </row>
    <row r="1020" spans="2:82">
      <c r="B1020" s="25" t="s">
        <v>1120</v>
      </c>
      <c r="BN1020" s="1">
        <v>66</v>
      </c>
      <c r="BO1020" s="1">
        <v>99</v>
      </c>
      <c r="BP1020" s="1">
        <v>117</v>
      </c>
      <c r="BQ1020" s="1">
        <v>120</v>
      </c>
      <c r="BR1020" s="1">
        <v>125</v>
      </c>
      <c r="BS1020" s="1">
        <v>136</v>
      </c>
      <c r="BT1020" s="1">
        <f>BS1020</f>
        <v>136</v>
      </c>
      <c r="BU1020" s="40">
        <f t="shared" si="647"/>
        <v>136</v>
      </c>
      <c r="BV1020" s="40">
        <f t="shared" si="648"/>
        <v>136</v>
      </c>
      <c r="BW1020" s="40">
        <f t="shared" si="648"/>
        <v>136</v>
      </c>
      <c r="BX1020" s="40">
        <f t="shared" si="648"/>
        <v>136</v>
      </c>
      <c r="BY1020" s="40">
        <f t="shared" si="648"/>
        <v>136</v>
      </c>
      <c r="BZ1020" s="40">
        <f t="shared" si="648"/>
        <v>136</v>
      </c>
      <c r="CA1020" s="40">
        <f t="shared" si="648"/>
        <v>136</v>
      </c>
      <c r="CB1020" s="40">
        <f t="shared" si="648"/>
        <v>136</v>
      </c>
      <c r="CC1020" s="40">
        <f t="shared" si="648"/>
        <v>136</v>
      </c>
      <c r="CD1020" s="40">
        <f t="shared" si="648"/>
        <v>136</v>
      </c>
    </row>
    <row r="1021" spans="2:82">
      <c r="B1021" s="25" t="s">
        <v>3779</v>
      </c>
      <c r="BM1021" s="1">
        <f t="shared" ref="BM1021:BR1021" si="649">SUM(BM1019:BM1020)</f>
        <v>0</v>
      </c>
      <c r="BN1021" s="1">
        <f t="shared" si="649"/>
        <v>102</v>
      </c>
      <c r="BO1021" s="1">
        <f t="shared" si="649"/>
        <v>200</v>
      </c>
      <c r="BP1021" s="1">
        <f t="shared" si="649"/>
        <v>290</v>
      </c>
      <c r="BQ1021" s="1">
        <f t="shared" si="649"/>
        <v>348</v>
      </c>
      <c r="BR1021" s="1">
        <f t="shared" si="649"/>
        <v>377</v>
      </c>
      <c r="BS1021" s="1">
        <f>SUM(BS1019:BS1020)</f>
        <v>414</v>
      </c>
      <c r="BT1021" s="1">
        <f>BS1021</f>
        <v>414</v>
      </c>
      <c r="BU1021" s="40">
        <f t="shared" si="647"/>
        <v>414</v>
      </c>
      <c r="BV1021" s="40">
        <f t="shared" si="648"/>
        <v>414</v>
      </c>
      <c r="BW1021" s="40">
        <f t="shared" si="648"/>
        <v>414</v>
      </c>
      <c r="BX1021" s="40">
        <f t="shared" si="648"/>
        <v>414</v>
      </c>
      <c r="BY1021" s="40">
        <f t="shared" si="648"/>
        <v>414</v>
      </c>
      <c r="BZ1021" s="40">
        <f t="shared" si="648"/>
        <v>414</v>
      </c>
      <c r="CA1021" s="40">
        <f t="shared" si="648"/>
        <v>414</v>
      </c>
      <c r="CB1021" s="40">
        <f t="shared" si="648"/>
        <v>414</v>
      </c>
      <c r="CC1021" s="40">
        <f t="shared" si="648"/>
        <v>414</v>
      </c>
      <c r="CD1021" s="40">
        <f t="shared" si="648"/>
        <v>414</v>
      </c>
    </row>
    <row r="1022" spans="2:82">
      <c r="BU1022" s="40">
        <f t="shared" si="647"/>
        <v>0</v>
      </c>
      <c r="BV1022" s="40">
        <f t="shared" si="648"/>
        <v>0</v>
      </c>
      <c r="BW1022" s="40">
        <f t="shared" si="648"/>
        <v>0</v>
      </c>
      <c r="BX1022" s="40">
        <f t="shared" si="648"/>
        <v>0</v>
      </c>
      <c r="BY1022" s="40">
        <f t="shared" si="648"/>
        <v>0</v>
      </c>
      <c r="BZ1022" s="40">
        <f t="shared" si="648"/>
        <v>0</v>
      </c>
      <c r="CA1022" s="40">
        <f t="shared" si="648"/>
        <v>0</v>
      </c>
      <c r="CB1022" s="40">
        <f t="shared" si="648"/>
        <v>0</v>
      </c>
      <c r="CC1022" s="40">
        <f t="shared" si="648"/>
        <v>0</v>
      </c>
      <c r="CD1022" s="40">
        <f t="shared" si="648"/>
        <v>0</v>
      </c>
    </row>
    <row r="1023" spans="2:82">
      <c r="BU1023" s="40">
        <f t="shared" si="647"/>
        <v>0</v>
      </c>
      <c r="BV1023" s="40">
        <f t="shared" si="648"/>
        <v>0</v>
      </c>
      <c r="BW1023" s="40">
        <f t="shared" si="648"/>
        <v>0</v>
      </c>
      <c r="BX1023" s="40">
        <f t="shared" si="648"/>
        <v>0</v>
      </c>
      <c r="BY1023" s="40">
        <f t="shared" si="648"/>
        <v>0</v>
      </c>
      <c r="BZ1023" s="40">
        <f t="shared" si="648"/>
        <v>0</v>
      </c>
      <c r="CA1023" s="40">
        <f t="shared" si="648"/>
        <v>0</v>
      </c>
      <c r="CB1023" s="40">
        <f t="shared" si="648"/>
        <v>0</v>
      </c>
      <c r="CC1023" s="40">
        <f t="shared" si="648"/>
        <v>0</v>
      </c>
      <c r="CD1023" s="40">
        <f t="shared" si="648"/>
        <v>0</v>
      </c>
    </row>
    <row r="1024" spans="2:82">
      <c r="B1024" s="25" t="s">
        <v>378</v>
      </c>
      <c r="BU1024" s="40">
        <f t="shared" si="647"/>
        <v>0</v>
      </c>
      <c r="BV1024" s="40">
        <f t="shared" si="648"/>
        <v>0</v>
      </c>
      <c r="BW1024" s="40">
        <f t="shared" si="648"/>
        <v>0</v>
      </c>
      <c r="BX1024" s="40">
        <f t="shared" si="648"/>
        <v>0</v>
      </c>
      <c r="BY1024" s="40">
        <f t="shared" si="648"/>
        <v>0</v>
      </c>
      <c r="BZ1024" s="40">
        <f t="shared" si="648"/>
        <v>0</v>
      </c>
      <c r="CA1024" s="40">
        <f t="shared" si="648"/>
        <v>0</v>
      </c>
      <c r="CB1024" s="40">
        <f t="shared" si="648"/>
        <v>0</v>
      </c>
      <c r="CC1024" s="40">
        <f t="shared" si="648"/>
        <v>0</v>
      </c>
      <c r="CD1024" s="40">
        <f t="shared" si="648"/>
        <v>0</v>
      </c>
    </row>
    <row r="1025" spans="2:82">
      <c r="B1025" s="909" t="s">
        <v>1159</v>
      </c>
      <c r="BN1025" s="914">
        <v>2014</v>
      </c>
      <c r="BO1025" s="914">
        <v>2015</v>
      </c>
      <c r="BP1025" s="914">
        <v>2016</v>
      </c>
      <c r="BQ1025" s="914">
        <v>2017</v>
      </c>
      <c r="BR1025" s="914">
        <v>2018</v>
      </c>
      <c r="BS1025" s="914">
        <v>2019</v>
      </c>
      <c r="BT1025" s="914">
        <v>2020</v>
      </c>
      <c r="BU1025" s="40">
        <f t="shared" si="647"/>
        <v>2020</v>
      </c>
      <c r="BV1025" s="40">
        <f t="shared" si="648"/>
        <v>2020</v>
      </c>
      <c r="BW1025" s="40">
        <f t="shared" si="648"/>
        <v>2020</v>
      </c>
      <c r="BX1025" s="40">
        <f t="shared" si="648"/>
        <v>2020</v>
      </c>
      <c r="BY1025" s="40">
        <f t="shared" si="648"/>
        <v>2020</v>
      </c>
      <c r="BZ1025" s="40">
        <f t="shared" si="648"/>
        <v>2020</v>
      </c>
      <c r="CA1025" s="40">
        <f t="shared" si="648"/>
        <v>2020</v>
      </c>
      <c r="CB1025" s="40">
        <f t="shared" si="648"/>
        <v>2020</v>
      </c>
      <c r="CC1025" s="40">
        <f t="shared" si="648"/>
        <v>2020</v>
      </c>
      <c r="CD1025" s="40">
        <f t="shared" si="648"/>
        <v>2020</v>
      </c>
    </row>
    <row r="1026" spans="2:82">
      <c r="B1026"/>
      <c r="BN1026"/>
      <c r="BO1026"/>
      <c r="BP1026"/>
      <c r="BQ1026"/>
      <c r="BR1026"/>
      <c r="BS1026"/>
      <c r="BT1026"/>
      <c r="BU1026" s="40">
        <f t="shared" si="647"/>
        <v>0</v>
      </c>
      <c r="BV1026" s="40">
        <f t="shared" si="648"/>
        <v>0</v>
      </c>
      <c r="BW1026" s="40">
        <f t="shared" si="648"/>
        <v>0</v>
      </c>
      <c r="BX1026" s="40">
        <f t="shared" si="648"/>
        <v>0</v>
      </c>
      <c r="BY1026" s="40">
        <f t="shared" si="648"/>
        <v>0</v>
      </c>
      <c r="BZ1026" s="40">
        <f t="shared" si="648"/>
        <v>0</v>
      </c>
      <c r="CA1026" s="40">
        <f t="shared" si="648"/>
        <v>0</v>
      </c>
      <c r="CB1026" s="40">
        <f t="shared" si="648"/>
        <v>0</v>
      </c>
      <c r="CC1026" s="40">
        <f t="shared" si="648"/>
        <v>0</v>
      </c>
      <c r="CD1026" s="40">
        <f t="shared" si="648"/>
        <v>0</v>
      </c>
    </row>
    <row r="1027" spans="2:82">
      <c r="B1027" s="910" t="s">
        <v>2161</v>
      </c>
      <c r="BN1027"/>
      <c r="BO1027"/>
      <c r="BP1027"/>
      <c r="BQ1027"/>
      <c r="BR1027"/>
      <c r="BS1027"/>
      <c r="BT1027"/>
      <c r="BU1027" s="40">
        <f t="shared" si="647"/>
        <v>0</v>
      </c>
      <c r="BV1027" s="40">
        <f t="shared" si="648"/>
        <v>0</v>
      </c>
      <c r="BW1027" s="40">
        <f t="shared" si="648"/>
        <v>0</v>
      </c>
      <c r="BX1027" s="40">
        <f t="shared" si="648"/>
        <v>0</v>
      </c>
      <c r="BY1027" s="40">
        <f t="shared" si="648"/>
        <v>0</v>
      </c>
      <c r="BZ1027" s="40">
        <f t="shared" si="648"/>
        <v>0</v>
      </c>
      <c r="CA1027" s="40">
        <f t="shared" si="648"/>
        <v>0</v>
      </c>
      <c r="CB1027" s="40">
        <f t="shared" si="648"/>
        <v>0</v>
      </c>
      <c r="CC1027" s="40">
        <f t="shared" si="648"/>
        <v>0</v>
      </c>
      <c r="CD1027" s="40">
        <f t="shared" si="648"/>
        <v>0</v>
      </c>
    </row>
    <row r="1028" spans="2:82">
      <c r="B1028" s="910"/>
      <c r="BN1028"/>
      <c r="BO1028"/>
      <c r="BP1028"/>
      <c r="BQ1028"/>
      <c r="BR1028"/>
      <c r="BS1028"/>
      <c r="BT1028"/>
      <c r="BU1028" s="40">
        <f t="shared" si="647"/>
        <v>0</v>
      </c>
      <c r="BV1028" s="40">
        <f t="shared" si="648"/>
        <v>0</v>
      </c>
      <c r="BW1028" s="40">
        <f t="shared" si="648"/>
        <v>0</v>
      </c>
      <c r="BX1028" s="40">
        <f t="shared" si="648"/>
        <v>0</v>
      </c>
      <c r="BY1028" s="40">
        <f t="shared" si="648"/>
        <v>0</v>
      </c>
      <c r="BZ1028" s="40">
        <f t="shared" si="648"/>
        <v>0</v>
      </c>
      <c r="CA1028" s="40">
        <f t="shared" si="648"/>
        <v>0</v>
      </c>
      <c r="CB1028" s="40">
        <f t="shared" si="648"/>
        <v>0</v>
      </c>
      <c r="CC1028" s="40">
        <f t="shared" si="648"/>
        <v>0</v>
      </c>
      <c r="CD1028" s="40">
        <f t="shared" si="648"/>
        <v>0</v>
      </c>
    </row>
    <row r="1029" spans="2:82">
      <c r="B1029" t="s">
        <v>4603</v>
      </c>
      <c r="C1029" s="1" t="s">
        <v>3193</v>
      </c>
      <c r="BN1029" s="419">
        <v>19</v>
      </c>
      <c r="BO1029" s="1067"/>
      <c r="BP1029" s="1067"/>
      <c r="BQ1029" s="1067"/>
      <c r="BR1029" s="1067"/>
      <c r="BS1029" s="1067"/>
      <c r="BT1029" s="1067"/>
      <c r="BU1029" s="259">
        <v>50</v>
      </c>
      <c r="BV1029" s="40">
        <f t="shared" si="648"/>
        <v>50</v>
      </c>
      <c r="BW1029" s="40">
        <f t="shared" si="648"/>
        <v>50</v>
      </c>
      <c r="BX1029" s="40">
        <f t="shared" si="648"/>
        <v>50</v>
      </c>
      <c r="BY1029" s="40">
        <f t="shared" si="648"/>
        <v>50</v>
      </c>
      <c r="BZ1029" s="40">
        <f t="shared" si="648"/>
        <v>50</v>
      </c>
      <c r="CA1029" s="40">
        <f t="shared" si="648"/>
        <v>50</v>
      </c>
      <c r="CB1029" s="40">
        <f t="shared" si="648"/>
        <v>50</v>
      </c>
      <c r="CC1029" s="40">
        <f t="shared" si="648"/>
        <v>50</v>
      </c>
      <c r="CD1029" s="40">
        <f t="shared" si="648"/>
        <v>50</v>
      </c>
    </row>
    <row r="1030" spans="2:82">
      <c r="B1030" t="s">
        <v>1160</v>
      </c>
      <c r="BN1030" s="419">
        <v>95</v>
      </c>
      <c r="BO1030" s="419"/>
      <c r="BP1030" s="419"/>
      <c r="BQ1030" s="419"/>
      <c r="BR1030" s="419"/>
      <c r="BS1030" s="419"/>
      <c r="BT1030" s="419"/>
      <c r="BU1030" s="259">
        <v>71</v>
      </c>
      <c r="BV1030" s="40">
        <f t="shared" si="648"/>
        <v>71</v>
      </c>
      <c r="BW1030" s="40">
        <f t="shared" si="648"/>
        <v>71</v>
      </c>
      <c r="BX1030" s="40">
        <f t="shared" si="648"/>
        <v>71</v>
      </c>
      <c r="BY1030" s="40">
        <f t="shared" si="648"/>
        <v>71</v>
      </c>
      <c r="BZ1030" s="40">
        <f t="shared" si="648"/>
        <v>71</v>
      </c>
      <c r="CA1030" s="40">
        <f t="shared" si="648"/>
        <v>71</v>
      </c>
      <c r="CB1030" s="40">
        <f t="shared" si="648"/>
        <v>71</v>
      </c>
      <c r="CC1030" s="40">
        <f t="shared" si="648"/>
        <v>71</v>
      </c>
      <c r="CD1030" s="40">
        <f t="shared" si="648"/>
        <v>71</v>
      </c>
    </row>
    <row r="1031" spans="2:82">
      <c r="B1031"/>
      <c r="BN1031" s="419"/>
      <c r="BO1031" s="419"/>
      <c r="BP1031" s="419"/>
      <c r="BQ1031" s="419"/>
      <c r="BR1031" s="419"/>
      <c r="BS1031" s="419"/>
      <c r="BT1031" s="419"/>
      <c r="BU1031" s="259"/>
      <c r="BV1031" s="40">
        <f t="shared" si="648"/>
        <v>0</v>
      </c>
      <c r="BW1031" s="40">
        <f t="shared" si="648"/>
        <v>0</v>
      </c>
      <c r="BX1031" s="40">
        <f t="shared" si="648"/>
        <v>0</v>
      </c>
      <c r="BY1031" s="40">
        <f t="shared" si="648"/>
        <v>0</v>
      </c>
      <c r="BZ1031" s="40">
        <f t="shared" si="648"/>
        <v>0</v>
      </c>
      <c r="CA1031" s="40">
        <f t="shared" si="648"/>
        <v>0</v>
      </c>
      <c r="CB1031" s="40">
        <f t="shared" si="648"/>
        <v>0</v>
      </c>
      <c r="CC1031" s="40">
        <f t="shared" si="648"/>
        <v>0</v>
      </c>
      <c r="CD1031" s="40">
        <f t="shared" si="648"/>
        <v>0</v>
      </c>
    </row>
    <row r="1032" spans="2:82">
      <c r="B1032" t="s">
        <v>1161</v>
      </c>
      <c r="BN1032" s="419">
        <v>109</v>
      </c>
      <c r="BO1032" s="1038"/>
      <c r="BP1032" s="1038"/>
      <c r="BQ1032" s="1038"/>
      <c r="BR1032" s="1038"/>
      <c r="BS1032" s="1038"/>
      <c r="BT1032" s="1038"/>
      <c r="BU1032" s="259">
        <v>0</v>
      </c>
      <c r="BV1032" s="40">
        <f t="shared" ref="BV1032:CD1042" si="650">BU1032</f>
        <v>0</v>
      </c>
      <c r="BW1032" s="40">
        <f t="shared" si="650"/>
        <v>0</v>
      </c>
      <c r="BX1032" s="40">
        <f t="shared" si="650"/>
        <v>0</v>
      </c>
      <c r="BY1032" s="40">
        <f t="shared" si="650"/>
        <v>0</v>
      </c>
      <c r="BZ1032" s="40">
        <f t="shared" si="650"/>
        <v>0</v>
      </c>
      <c r="CA1032" s="40">
        <f t="shared" si="650"/>
        <v>0</v>
      </c>
      <c r="CB1032" s="40">
        <f t="shared" si="650"/>
        <v>0</v>
      </c>
      <c r="CC1032" s="40">
        <f t="shared" si="650"/>
        <v>0</v>
      </c>
      <c r="CD1032" s="40">
        <f t="shared" si="650"/>
        <v>0</v>
      </c>
    </row>
    <row r="1033" spans="2:82">
      <c r="B1033" s="911" t="s">
        <v>1162</v>
      </c>
      <c r="BN1033" s="419">
        <v>14</v>
      </c>
      <c r="BO1033" s="1038"/>
      <c r="BP1033" s="1038"/>
      <c r="BQ1033" s="1038"/>
      <c r="BR1033" s="1038"/>
      <c r="BS1033" s="1038"/>
      <c r="BT1033" s="1038"/>
      <c r="BU1033" s="259"/>
      <c r="BV1033" s="40">
        <f t="shared" si="650"/>
        <v>0</v>
      </c>
      <c r="BW1033" s="40">
        <f t="shared" si="650"/>
        <v>0</v>
      </c>
      <c r="BX1033" s="40">
        <f t="shared" si="650"/>
        <v>0</v>
      </c>
      <c r="BY1033" s="40">
        <f t="shared" si="650"/>
        <v>0</v>
      </c>
      <c r="BZ1033" s="40">
        <f t="shared" si="650"/>
        <v>0</v>
      </c>
      <c r="CA1033" s="40">
        <f t="shared" si="650"/>
        <v>0</v>
      </c>
      <c r="CB1033" s="40">
        <f t="shared" si="650"/>
        <v>0</v>
      </c>
      <c r="CC1033" s="40">
        <f t="shared" si="650"/>
        <v>0</v>
      </c>
      <c r="CD1033" s="40">
        <f t="shared" si="650"/>
        <v>0</v>
      </c>
    </row>
    <row r="1034" spans="2:82">
      <c r="B1034" s="911" t="s">
        <v>1163</v>
      </c>
      <c r="BN1034" s="419">
        <v>65</v>
      </c>
      <c r="BO1034" s="1038"/>
      <c r="BP1034" s="1038"/>
      <c r="BQ1034" s="1038"/>
      <c r="BR1034" s="1038"/>
      <c r="BS1034" s="1038"/>
      <c r="BT1034" s="1038"/>
      <c r="BU1034" s="259">
        <v>0</v>
      </c>
      <c r="BV1034" s="40">
        <f t="shared" si="650"/>
        <v>0</v>
      </c>
      <c r="BW1034" s="40">
        <f t="shared" si="650"/>
        <v>0</v>
      </c>
      <c r="BX1034" s="40">
        <f t="shared" si="650"/>
        <v>0</v>
      </c>
      <c r="BY1034" s="40">
        <f t="shared" si="650"/>
        <v>0</v>
      </c>
      <c r="BZ1034" s="40">
        <f t="shared" si="650"/>
        <v>0</v>
      </c>
      <c r="CA1034" s="40">
        <f t="shared" si="650"/>
        <v>0</v>
      </c>
      <c r="CB1034" s="40">
        <f t="shared" si="650"/>
        <v>0</v>
      </c>
      <c r="CC1034" s="40">
        <f t="shared" si="650"/>
        <v>0</v>
      </c>
      <c r="CD1034" s="40">
        <f t="shared" si="650"/>
        <v>0</v>
      </c>
    </row>
    <row r="1035" spans="2:82">
      <c r="B1035"/>
      <c r="BN1035" s="262"/>
      <c r="BO1035"/>
      <c r="BP1035"/>
      <c r="BQ1035"/>
      <c r="BR1035"/>
      <c r="BS1035"/>
      <c r="BT1035"/>
      <c r="BU1035" s="40">
        <f t="shared" si="647"/>
        <v>0</v>
      </c>
      <c r="BV1035" s="40">
        <f t="shared" si="650"/>
        <v>0</v>
      </c>
      <c r="BW1035" s="40">
        <f t="shared" si="650"/>
        <v>0</v>
      </c>
      <c r="BX1035" s="40">
        <f t="shared" si="650"/>
        <v>0</v>
      </c>
      <c r="BY1035" s="40">
        <f t="shared" si="650"/>
        <v>0</v>
      </c>
      <c r="BZ1035" s="40">
        <f t="shared" si="650"/>
        <v>0</v>
      </c>
      <c r="CA1035" s="40">
        <f t="shared" si="650"/>
        <v>0</v>
      </c>
      <c r="CB1035" s="40">
        <f t="shared" si="650"/>
        <v>0</v>
      </c>
      <c r="CC1035" s="40">
        <f t="shared" si="650"/>
        <v>0</v>
      </c>
      <c r="CD1035" s="40">
        <f t="shared" si="650"/>
        <v>0</v>
      </c>
    </row>
    <row r="1036" spans="2:82">
      <c r="B1036" t="s">
        <v>1164</v>
      </c>
      <c r="BN1036" s="262"/>
      <c r="BO1036"/>
      <c r="BP1036"/>
      <c r="BQ1036" s="915"/>
      <c r="BR1036" s="915"/>
      <c r="BS1036" s="915"/>
      <c r="BT1036" s="915"/>
      <c r="BU1036" s="40">
        <f t="shared" si="647"/>
        <v>0</v>
      </c>
      <c r="BV1036" s="40">
        <f t="shared" si="650"/>
        <v>0</v>
      </c>
      <c r="BW1036" s="40">
        <f t="shared" si="650"/>
        <v>0</v>
      </c>
      <c r="BX1036" s="40">
        <f t="shared" si="650"/>
        <v>0</v>
      </c>
      <c r="BY1036" s="40">
        <f t="shared" si="650"/>
        <v>0</v>
      </c>
      <c r="BZ1036" s="40">
        <f t="shared" si="650"/>
        <v>0</v>
      </c>
      <c r="CA1036" s="40">
        <f t="shared" si="650"/>
        <v>0</v>
      </c>
      <c r="CB1036" s="40">
        <f t="shared" si="650"/>
        <v>0</v>
      </c>
      <c r="CC1036" s="40">
        <f t="shared" si="650"/>
        <v>0</v>
      </c>
      <c r="CD1036" s="40">
        <f t="shared" si="650"/>
        <v>0</v>
      </c>
    </row>
    <row r="1037" spans="2:82">
      <c r="B1037" t="s">
        <v>1165</v>
      </c>
      <c r="BN1037" s="419">
        <v>51</v>
      </c>
      <c r="BO1037" s="1099">
        <v>218.893</v>
      </c>
      <c r="BP1037" s="1099">
        <v>62.2</v>
      </c>
      <c r="BQ1037" s="1099">
        <v>73</v>
      </c>
      <c r="BR1037" s="1099">
        <v>100.5</v>
      </c>
      <c r="BS1037" s="1099">
        <v>93.5</v>
      </c>
      <c r="BT1037" s="1099">
        <v>93.5</v>
      </c>
      <c r="BU1037" s="259">
        <v>5</v>
      </c>
      <c r="BV1037" s="40">
        <f t="shared" si="650"/>
        <v>5</v>
      </c>
      <c r="BW1037" s="40">
        <f t="shared" si="650"/>
        <v>5</v>
      </c>
      <c r="BX1037" s="40">
        <f t="shared" si="650"/>
        <v>5</v>
      </c>
      <c r="BY1037" s="40">
        <f t="shared" si="650"/>
        <v>5</v>
      </c>
      <c r="BZ1037" s="40">
        <f t="shared" si="650"/>
        <v>5</v>
      </c>
      <c r="CA1037" s="40">
        <f t="shared" si="650"/>
        <v>5</v>
      </c>
      <c r="CB1037" s="40">
        <f t="shared" si="650"/>
        <v>5</v>
      </c>
      <c r="CC1037" s="40">
        <f t="shared" si="650"/>
        <v>5</v>
      </c>
      <c r="CD1037" s="40">
        <f t="shared" si="650"/>
        <v>5</v>
      </c>
    </row>
    <row r="1038" spans="2:82">
      <c r="B1038"/>
      <c r="BN1038"/>
      <c r="BO1038"/>
      <c r="BP1038"/>
      <c r="BQ1038"/>
      <c r="BR1038"/>
      <c r="BS1038"/>
      <c r="BT1038"/>
      <c r="BU1038" s="40">
        <f t="shared" si="647"/>
        <v>0</v>
      </c>
      <c r="BV1038" s="40">
        <f t="shared" si="650"/>
        <v>0</v>
      </c>
      <c r="BW1038" s="40">
        <f t="shared" si="650"/>
        <v>0</v>
      </c>
      <c r="BX1038" s="40">
        <f t="shared" si="650"/>
        <v>0</v>
      </c>
      <c r="BY1038" s="40">
        <f t="shared" si="650"/>
        <v>0</v>
      </c>
      <c r="BZ1038" s="40">
        <f t="shared" si="650"/>
        <v>0</v>
      </c>
      <c r="CA1038" s="40">
        <f t="shared" si="650"/>
        <v>0</v>
      </c>
      <c r="CB1038" s="40">
        <f t="shared" si="650"/>
        <v>0</v>
      </c>
      <c r="CC1038" s="40">
        <f t="shared" si="650"/>
        <v>0</v>
      </c>
      <c r="CD1038" s="40">
        <f t="shared" si="650"/>
        <v>0</v>
      </c>
    </row>
    <row r="1039" spans="2:82">
      <c r="B1039" s="912" t="s">
        <v>1166</v>
      </c>
      <c r="BN1039" s="1039">
        <f t="shared" ref="BN1039:BU1039" si="651">SUM(BN1029:BN1037)</f>
        <v>353</v>
      </c>
      <c r="BO1039" s="1069">
        <f t="shared" si="651"/>
        <v>218.893</v>
      </c>
      <c r="BP1039" s="1069">
        <f t="shared" si="651"/>
        <v>62.2</v>
      </c>
      <c r="BQ1039" s="1069">
        <f t="shared" si="651"/>
        <v>73</v>
      </c>
      <c r="BR1039" s="1069">
        <f t="shared" si="651"/>
        <v>100.5</v>
      </c>
      <c r="BS1039" s="1069">
        <f t="shared" si="651"/>
        <v>93.5</v>
      </c>
      <c r="BT1039" s="1069">
        <f t="shared" si="651"/>
        <v>93.5</v>
      </c>
      <c r="BU1039" s="1039">
        <f t="shared" si="651"/>
        <v>126</v>
      </c>
      <c r="BV1039" s="40">
        <f t="shared" si="650"/>
        <v>126</v>
      </c>
      <c r="BW1039" s="40">
        <f t="shared" si="650"/>
        <v>126</v>
      </c>
      <c r="BX1039" s="40">
        <f t="shared" si="650"/>
        <v>126</v>
      </c>
      <c r="BY1039" s="40">
        <f t="shared" si="650"/>
        <v>126</v>
      </c>
      <c r="BZ1039" s="40">
        <f t="shared" si="650"/>
        <v>126</v>
      </c>
      <c r="CA1039" s="40">
        <f t="shared" si="650"/>
        <v>126</v>
      </c>
      <c r="CB1039" s="40">
        <f t="shared" si="650"/>
        <v>126</v>
      </c>
      <c r="CC1039" s="40">
        <f t="shared" si="650"/>
        <v>126</v>
      </c>
      <c r="CD1039" s="40">
        <f t="shared" si="650"/>
        <v>126</v>
      </c>
    </row>
    <row r="1040" spans="2:82">
      <c r="BN1040" s="262"/>
      <c r="BO1040" s="262"/>
      <c r="BP1040" s="262"/>
      <c r="BQ1040" s="262"/>
      <c r="BR1040" s="262"/>
      <c r="BS1040" s="262"/>
      <c r="BT1040" s="262"/>
      <c r="BU1040" s="40">
        <f t="shared" si="647"/>
        <v>0</v>
      </c>
      <c r="BV1040" s="40">
        <f t="shared" si="650"/>
        <v>0</v>
      </c>
      <c r="BW1040" s="40">
        <f t="shared" si="650"/>
        <v>0</v>
      </c>
      <c r="BX1040" s="40">
        <f t="shared" si="650"/>
        <v>0</v>
      </c>
      <c r="BY1040" s="40">
        <f t="shared" si="650"/>
        <v>0</v>
      </c>
      <c r="BZ1040" s="40">
        <f t="shared" si="650"/>
        <v>0</v>
      </c>
      <c r="CA1040" s="40">
        <f t="shared" si="650"/>
        <v>0</v>
      </c>
      <c r="CB1040" s="40">
        <f t="shared" si="650"/>
        <v>0</v>
      </c>
      <c r="CC1040" s="40">
        <f t="shared" si="650"/>
        <v>0</v>
      </c>
      <c r="CD1040" s="40">
        <f t="shared" si="650"/>
        <v>0</v>
      </c>
    </row>
    <row r="1041" spans="2:82">
      <c r="B1041" t="s">
        <v>1167</v>
      </c>
      <c r="BN1041" s="419">
        <v>38.812162124966207</v>
      </c>
      <c r="BO1041" s="1067"/>
      <c r="BP1041" s="1068"/>
      <c r="BQ1041" s="1068"/>
      <c r="BR1041" s="1038">
        <v>0</v>
      </c>
      <c r="BS1041" s="1038">
        <v>0</v>
      </c>
      <c r="BT1041" s="1038">
        <v>0</v>
      </c>
      <c r="BU1041" s="259">
        <v>0</v>
      </c>
      <c r="BV1041" s="40">
        <f t="shared" si="650"/>
        <v>0</v>
      </c>
      <c r="BW1041" s="40">
        <f t="shared" si="650"/>
        <v>0</v>
      </c>
      <c r="BX1041" s="40">
        <f t="shared" si="650"/>
        <v>0</v>
      </c>
      <c r="BY1041" s="40">
        <f t="shared" si="650"/>
        <v>0</v>
      </c>
      <c r="BZ1041" s="40">
        <f t="shared" si="650"/>
        <v>0</v>
      </c>
      <c r="CA1041" s="40">
        <f t="shared" si="650"/>
        <v>0</v>
      </c>
      <c r="CB1041" s="40">
        <f t="shared" si="650"/>
        <v>0</v>
      </c>
      <c r="CC1041" s="40">
        <f t="shared" si="650"/>
        <v>0</v>
      </c>
      <c r="CD1041" s="40">
        <f t="shared" si="650"/>
        <v>0</v>
      </c>
    </row>
    <row r="1042" spans="2:82">
      <c r="B1042" s="260" t="s">
        <v>4677</v>
      </c>
      <c r="BN1042" s="419">
        <v>10</v>
      </c>
      <c r="BO1042" s="1038"/>
      <c r="BP1042" s="1017">
        <v>0</v>
      </c>
      <c r="BQ1042" s="1038">
        <v>0</v>
      </c>
      <c r="BR1042" s="1038">
        <v>0</v>
      </c>
      <c r="BS1042" s="1038">
        <v>0</v>
      </c>
      <c r="BT1042" s="1038">
        <v>0</v>
      </c>
      <c r="BU1042" s="259">
        <v>0</v>
      </c>
      <c r="BV1042" s="40">
        <f t="shared" si="650"/>
        <v>0</v>
      </c>
      <c r="BW1042" s="40">
        <f t="shared" si="650"/>
        <v>0</v>
      </c>
      <c r="BX1042" s="40">
        <f t="shared" si="650"/>
        <v>0</v>
      </c>
      <c r="BY1042" s="40">
        <f t="shared" si="650"/>
        <v>0</v>
      </c>
      <c r="BZ1042" s="40">
        <f t="shared" si="650"/>
        <v>0</v>
      </c>
      <c r="CA1042" s="40">
        <f t="shared" si="650"/>
        <v>0</v>
      </c>
      <c r="CB1042" s="40">
        <f t="shared" si="650"/>
        <v>0</v>
      </c>
      <c r="CC1042" s="40">
        <f t="shared" si="650"/>
        <v>0</v>
      </c>
      <c r="CD1042" s="40">
        <f t="shared" si="650"/>
        <v>0</v>
      </c>
    </row>
    <row r="1043" spans="2:82">
      <c r="B1043"/>
      <c r="BN1043"/>
      <c r="BO1043" s="915"/>
      <c r="BP1043"/>
      <c r="BQ1043"/>
      <c r="BR1043"/>
      <c r="BS1043"/>
      <c r="BT1043"/>
      <c r="BU1043" s="40">
        <f t="shared" si="647"/>
        <v>0</v>
      </c>
      <c r="BV1043" s="40">
        <f t="shared" ref="BV1043:CD1043" si="652">BU1043</f>
        <v>0</v>
      </c>
      <c r="BW1043" s="40">
        <f t="shared" si="652"/>
        <v>0</v>
      </c>
      <c r="BX1043" s="40">
        <f t="shared" si="652"/>
        <v>0</v>
      </c>
      <c r="BY1043" s="40">
        <f t="shared" si="652"/>
        <v>0</v>
      </c>
      <c r="BZ1043" s="40">
        <f t="shared" si="652"/>
        <v>0</v>
      </c>
      <c r="CA1043" s="40">
        <f t="shared" si="652"/>
        <v>0</v>
      </c>
      <c r="CB1043" s="40">
        <f t="shared" si="652"/>
        <v>0</v>
      </c>
      <c r="CC1043" s="40">
        <f t="shared" si="652"/>
        <v>0</v>
      </c>
      <c r="CD1043" s="40">
        <f t="shared" si="652"/>
        <v>0</v>
      </c>
    </row>
    <row r="1044" spans="2:82">
      <c r="B1044" s="912" t="s">
        <v>1168</v>
      </c>
      <c r="BN1044" s="1039">
        <f>SUM(BN1041:BN1042)</f>
        <v>48.812162124966207</v>
      </c>
      <c r="BO1044" s="1069">
        <f t="shared" ref="BO1044:BT1044" si="653">SUM(BO1041:BO1042)</f>
        <v>0</v>
      </c>
      <c r="BP1044" s="1069">
        <f t="shared" si="653"/>
        <v>0</v>
      </c>
      <c r="BQ1044" s="1070">
        <f t="shared" si="653"/>
        <v>0</v>
      </c>
      <c r="BR1044" s="1040">
        <f t="shared" si="653"/>
        <v>0</v>
      </c>
      <c r="BS1044" s="1040">
        <f t="shared" si="653"/>
        <v>0</v>
      </c>
      <c r="BT1044" s="1040">
        <f t="shared" si="653"/>
        <v>0</v>
      </c>
      <c r="BU1044" s="259">
        <f t="shared" si="647"/>
        <v>0</v>
      </c>
      <c r="BV1044" s="40">
        <f t="shared" ref="BV1044:CD1044" si="654">BU1044</f>
        <v>0</v>
      </c>
      <c r="BW1044" s="40">
        <f t="shared" si="654"/>
        <v>0</v>
      </c>
      <c r="BX1044" s="40">
        <f t="shared" si="654"/>
        <v>0</v>
      </c>
      <c r="BY1044" s="40">
        <f t="shared" si="654"/>
        <v>0</v>
      </c>
      <c r="BZ1044" s="40">
        <f t="shared" si="654"/>
        <v>0</v>
      </c>
      <c r="CA1044" s="40">
        <f t="shared" si="654"/>
        <v>0</v>
      </c>
      <c r="CB1044" s="40">
        <f t="shared" si="654"/>
        <v>0</v>
      </c>
      <c r="CC1044" s="40">
        <f t="shared" si="654"/>
        <v>0</v>
      </c>
      <c r="CD1044" s="40">
        <f t="shared" si="654"/>
        <v>0</v>
      </c>
    </row>
    <row r="1045" spans="2:82">
      <c r="B1045"/>
      <c r="BN1045" s="915"/>
      <c r="BO1045" s="915"/>
      <c r="BP1045" s="915"/>
      <c r="BQ1045" s="915"/>
      <c r="BR1045" s="915"/>
      <c r="BS1045" s="915"/>
      <c r="BT1045" s="915"/>
      <c r="BU1045" s="40">
        <f t="shared" si="647"/>
        <v>0</v>
      </c>
      <c r="BV1045" s="40">
        <f t="shared" ref="BV1045:CD1045" si="655">BU1045</f>
        <v>0</v>
      </c>
      <c r="BW1045" s="40">
        <f t="shared" si="655"/>
        <v>0</v>
      </c>
      <c r="BX1045" s="40">
        <f t="shared" si="655"/>
        <v>0</v>
      </c>
      <c r="BY1045" s="40">
        <f t="shared" si="655"/>
        <v>0</v>
      </c>
      <c r="BZ1045" s="40">
        <f t="shared" si="655"/>
        <v>0</v>
      </c>
      <c r="CA1045" s="40">
        <f t="shared" si="655"/>
        <v>0</v>
      </c>
      <c r="CB1045" s="40">
        <f t="shared" si="655"/>
        <v>0</v>
      </c>
      <c r="CC1045" s="40">
        <f t="shared" si="655"/>
        <v>0</v>
      </c>
      <c r="CD1045" s="40">
        <f t="shared" si="655"/>
        <v>0</v>
      </c>
    </row>
    <row r="1046" spans="2:82">
      <c r="B1046" s="910" t="s">
        <v>1169</v>
      </c>
      <c r="BN1046" s="915"/>
      <c r="BO1046" s="915"/>
      <c r="BP1046" s="915"/>
      <c r="BQ1046" s="915"/>
      <c r="BR1046" s="915"/>
      <c r="BS1046" s="915"/>
      <c r="BT1046" s="915"/>
      <c r="BU1046" s="40">
        <f t="shared" si="647"/>
        <v>0</v>
      </c>
      <c r="BV1046" s="40">
        <f t="shared" ref="BV1046:CD1046" si="656">BU1046</f>
        <v>0</v>
      </c>
      <c r="BW1046" s="40">
        <f t="shared" si="656"/>
        <v>0</v>
      </c>
      <c r="BX1046" s="40">
        <f t="shared" si="656"/>
        <v>0</v>
      </c>
      <c r="BY1046" s="40">
        <f t="shared" si="656"/>
        <v>0</v>
      </c>
      <c r="BZ1046" s="40">
        <f t="shared" si="656"/>
        <v>0</v>
      </c>
      <c r="CA1046" s="40">
        <f t="shared" si="656"/>
        <v>0</v>
      </c>
      <c r="CB1046" s="40">
        <f t="shared" si="656"/>
        <v>0</v>
      </c>
      <c r="CC1046" s="40">
        <f t="shared" si="656"/>
        <v>0</v>
      </c>
      <c r="CD1046" s="40">
        <f t="shared" si="656"/>
        <v>0</v>
      </c>
    </row>
    <row r="1047" spans="2:82">
      <c r="B1047" s="910"/>
      <c r="BN1047" s="915"/>
      <c r="BO1047" s="915"/>
      <c r="BP1047" s="915"/>
      <c r="BQ1047" s="915"/>
      <c r="BR1047" s="915"/>
      <c r="BS1047" s="915"/>
      <c r="BT1047" s="915"/>
      <c r="BU1047" s="40">
        <f t="shared" si="647"/>
        <v>0</v>
      </c>
      <c r="BV1047" s="40">
        <f t="shared" ref="BV1047:CD1047" si="657">BU1047</f>
        <v>0</v>
      </c>
      <c r="BW1047" s="40">
        <f t="shared" si="657"/>
        <v>0</v>
      </c>
      <c r="BX1047" s="40">
        <f t="shared" si="657"/>
        <v>0</v>
      </c>
      <c r="BY1047" s="40">
        <f t="shared" si="657"/>
        <v>0</v>
      </c>
      <c r="BZ1047" s="40">
        <f t="shared" si="657"/>
        <v>0</v>
      </c>
      <c r="CA1047" s="40">
        <f t="shared" si="657"/>
        <v>0</v>
      </c>
      <c r="CB1047" s="40">
        <f t="shared" si="657"/>
        <v>0</v>
      </c>
      <c r="CC1047" s="40">
        <f t="shared" si="657"/>
        <v>0</v>
      </c>
      <c r="CD1047" s="40">
        <f t="shared" si="657"/>
        <v>0</v>
      </c>
    </row>
    <row r="1048" spans="2:82">
      <c r="B1048" t="s">
        <v>1112</v>
      </c>
      <c r="BN1048" s="419">
        <v>0</v>
      </c>
      <c r="BO1048" s="419">
        <v>0</v>
      </c>
      <c r="BP1048" s="419">
        <v>0</v>
      </c>
      <c r="BQ1048" s="419">
        <v>0</v>
      </c>
      <c r="BR1048" s="419">
        <v>0</v>
      </c>
      <c r="BS1048" s="419">
        <v>0</v>
      </c>
      <c r="BT1048" s="419">
        <v>0</v>
      </c>
      <c r="BU1048" s="419">
        <v>0</v>
      </c>
      <c r="BV1048" s="40">
        <f t="shared" ref="BV1048:CD1048" si="658">BU1048</f>
        <v>0</v>
      </c>
      <c r="BW1048" s="40">
        <f t="shared" si="658"/>
        <v>0</v>
      </c>
      <c r="BX1048" s="40">
        <f t="shared" si="658"/>
        <v>0</v>
      </c>
      <c r="BY1048" s="40">
        <f t="shared" si="658"/>
        <v>0</v>
      </c>
      <c r="BZ1048" s="40">
        <f t="shared" si="658"/>
        <v>0</v>
      </c>
      <c r="CA1048" s="40">
        <f t="shared" si="658"/>
        <v>0</v>
      </c>
      <c r="CB1048" s="40">
        <f t="shared" si="658"/>
        <v>0</v>
      </c>
      <c r="CC1048" s="40">
        <f t="shared" si="658"/>
        <v>0</v>
      </c>
      <c r="CD1048" s="40">
        <f t="shared" si="658"/>
        <v>0</v>
      </c>
    </row>
    <row r="1049" spans="2:82">
      <c r="B1049" t="s">
        <v>365</v>
      </c>
      <c r="BN1049" s="419">
        <v>0</v>
      </c>
      <c r="BO1049" s="419">
        <v>0</v>
      </c>
      <c r="BP1049" s="419">
        <v>0</v>
      </c>
      <c r="BQ1049" s="419">
        <v>0</v>
      </c>
      <c r="BR1049" s="419">
        <v>0</v>
      </c>
      <c r="BS1049" s="419">
        <v>0</v>
      </c>
      <c r="BT1049" s="419">
        <v>0</v>
      </c>
      <c r="BU1049" s="419">
        <v>0</v>
      </c>
      <c r="BV1049" s="40">
        <f t="shared" ref="BV1049:CD1049" si="659">BU1049</f>
        <v>0</v>
      </c>
      <c r="BW1049" s="40">
        <f t="shared" si="659"/>
        <v>0</v>
      </c>
      <c r="BX1049" s="40">
        <f t="shared" si="659"/>
        <v>0</v>
      </c>
      <c r="BY1049" s="40">
        <f t="shared" si="659"/>
        <v>0</v>
      </c>
      <c r="BZ1049" s="40">
        <f t="shared" si="659"/>
        <v>0</v>
      </c>
      <c r="CA1049" s="40">
        <f t="shared" si="659"/>
        <v>0</v>
      </c>
      <c r="CB1049" s="40">
        <f t="shared" si="659"/>
        <v>0</v>
      </c>
      <c r="CC1049" s="40">
        <f t="shared" si="659"/>
        <v>0</v>
      </c>
      <c r="CD1049" s="40">
        <f t="shared" si="659"/>
        <v>0</v>
      </c>
    </row>
    <row r="1050" spans="2:82">
      <c r="B1050" t="s">
        <v>366</v>
      </c>
      <c r="BN1050" s="915"/>
      <c r="BO1050" s="915"/>
      <c r="BP1050" s="915"/>
      <c r="BQ1050" s="915"/>
      <c r="BR1050" s="262"/>
      <c r="BS1050" s="262"/>
      <c r="BT1050" s="262"/>
      <c r="BU1050" s="40"/>
      <c r="BV1050" s="40">
        <f t="shared" ref="BV1050:CD1050" si="660">BU1050</f>
        <v>0</v>
      </c>
      <c r="BW1050" s="40">
        <f t="shared" si="660"/>
        <v>0</v>
      </c>
      <c r="BX1050" s="40">
        <f t="shared" si="660"/>
        <v>0</v>
      </c>
      <c r="BY1050" s="40">
        <f t="shared" si="660"/>
        <v>0</v>
      </c>
      <c r="BZ1050" s="40">
        <f t="shared" si="660"/>
        <v>0</v>
      </c>
      <c r="CA1050" s="40">
        <f t="shared" si="660"/>
        <v>0</v>
      </c>
      <c r="CB1050" s="40">
        <f t="shared" si="660"/>
        <v>0</v>
      </c>
      <c r="CC1050" s="40">
        <f t="shared" si="660"/>
        <v>0</v>
      </c>
      <c r="CD1050" s="40">
        <f t="shared" si="660"/>
        <v>0</v>
      </c>
    </row>
    <row r="1051" spans="2:82">
      <c r="B1051" s="260" t="s">
        <v>53</v>
      </c>
      <c r="BN1051" s="1038">
        <v>108.01249999999999</v>
      </c>
      <c r="BO1051" s="1094">
        <v>128.59</v>
      </c>
      <c r="BP1051" s="1099">
        <v>70</v>
      </c>
      <c r="BQ1051" s="1099">
        <v>15.25</v>
      </c>
      <c r="BR1051" s="1099">
        <v>8.5</v>
      </c>
      <c r="BS1051" s="1099">
        <v>4.75</v>
      </c>
      <c r="BT1051" s="1099">
        <v>4</v>
      </c>
      <c r="BU1051" s="259">
        <v>0</v>
      </c>
      <c r="BV1051" s="40">
        <f t="shared" ref="BV1051:CD1051" si="661">BU1051</f>
        <v>0</v>
      </c>
      <c r="BW1051" s="40">
        <f t="shared" si="661"/>
        <v>0</v>
      </c>
      <c r="BX1051" s="40">
        <f t="shared" si="661"/>
        <v>0</v>
      </c>
      <c r="BY1051" s="40">
        <f t="shared" si="661"/>
        <v>0</v>
      </c>
      <c r="BZ1051" s="40">
        <f t="shared" si="661"/>
        <v>0</v>
      </c>
      <c r="CA1051" s="40">
        <f t="shared" si="661"/>
        <v>0</v>
      </c>
      <c r="CB1051" s="40">
        <f t="shared" si="661"/>
        <v>0</v>
      </c>
      <c r="CC1051" s="40">
        <f t="shared" si="661"/>
        <v>0</v>
      </c>
      <c r="CD1051" s="40">
        <f t="shared" si="661"/>
        <v>0</v>
      </c>
    </row>
    <row r="1052" spans="2:82">
      <c r="B1052" s="912" t="s">
        <v>367</v>
      </c>
      <c r="BN1052" s="1039">
        <f t="shared" ref="BN1052:BT1052" si="662">SUM(BN1048:BN1051)</f>
        <v>108.01249999999999</v>
      </c>
      <c r="BO1052" s="1039">
        <f t="shared" si="662"/>
        <v>128.59</v>
      </c>
      <c r="BP1052" s="1039">
        <f t="shared" si="662"/>
        <v>70</v>
      </c>
      <c r="BQ1052" s="1039">
        <f t="shared" si="662"/>
        <v>15.25</v>
      </c>
      <c r="BR1052" s="1039">
        <f t="shared" si="662"/>
        <v>8.5</v>
      </c>
      <c r="BS1052" s="1039">
        <f t="shared" si="662"/>
        <v>4.75</v>
      </c>
      <c r="BT1052" s="1039">
        <f t="shared" si="662"/>
        <v>4</v>
      </c>
      <c r="BU1052" s="259">
        <f t="shared" si="647"/>
        <v>4</v>
      </c>
      <c r="BV1052" s="40">
        <f t="shared" ref="BV1052:CD1052" si="663">BU1052</f>
        <v>4</v>
      </c>
      <c r="BW1052" s="40">
        <f t="shared" si="663"/>
        <v>4</v>
      </c>
      <c r="BX1052" s="40">
        <f t="shared" si="663"/>
        <v>4</v>
      </c>
      <c r="BY1052" s="40">
        <f t="shared" si="663"/>
        <v>4</v>
      </c>
      <c r="BZ1052" s="40">
        <f t="shared" si="663"/>
        <v>4</v>
      </c>
      <c r="CA1052" s="40">
        <f t="shared" si="663"/>
        <v>4</v>
      </c>
      <c r="CB1052" s="40">
        <f t="shared" si="663"/>
        <v>4</v>
      </c>
      <c r="CC1052" s="40">
        <f t="shared" si="663"/>
        <v>4</v>
      </c>
      <c r="CD1052" s="40">
        <f t="shared" si="663"/>
        <v>4</v>
      </c>
    </row>
    <row r="1053" spans="2:82">
      <c r="B1053" s="913"/>
      <c r="BN1053" s="916"/>
      <c r="BO1053" s="916"/>
      <c r="BP1053" s="916"/>
      <c r="BQ1053" s="916"/>
      <c r="BR1053" s="916"/>
      <c r="BS1053" s="916"/>
      <c r="BT1053" s="916"/>
      <c r="BU1053" s="40">
        <f t="shared" si="647"/>
        <v>0</v>
      </c>
      <c r="BV1053" s="40">
        <f t="shared" ref="BV1053:CD1053" si="664">BU1053</f>
        <v>0</v>
      </c>
      <c r="BW1053" s="40">
        <f t="shared" si="664"/>
        <v>0</v>
      </c>
      <c r="BX1053" s="40">
        <f t="shared" si="664"/>
        <v>0</v>
      </c>
      <c r="BY1053" s="40">
        <f t="shared" si="664"/>
        <v>0</v>
      </c>
      <c r="BZ1053" s="40">
        <f t="shared" si="664"/>
        <v>0</v>
      </c>
      <c r="CA1053" s="40">
        <f t="shared" si="664"/>
        <v>0</v>
      </c>
      <c r="CB1053" s="40">
        <f t="shared" si="664"/>
        <v>0</v>
      </c>
      <c r="CC1053" s="40">
        <f t="shared" si="664"/>
        <v>0</v>
      </c>
      <c r="CD1053" s="40">
        <f t="shared" si="664"/>
        <v>0</v>
      </c>
    </row>
    <row r="1054" spans="2:82">
      <c r="B1054" s="909" t="s">
        <v>368</v>
      </c>
      <c r="BN1054" s="917">
        <f>BN1039+BN1044+BN1052</f>
        <v>509.82466212496621</v>
      </c>
      <c r="BO1054" s="917">
        <f t="shared" ref="BO1054:BU1054" si="665">BO1039+BO1044+BO1052</f>
        <v>347.483</v>
      </c>
      <c r="BP1054" s="917">
        <f t="shared" si="665"/>
        <v>132.19999999999999</v>
      </c>
      <c r="BQ1054" s="917">
        <f t="shared" si="665"/>
        <v>88.25</v>
      </c>
      <c r="BR1054" s="917">
        <f t="shared" si="665"/>
        <v>109</v>
      </c>
      <c r="BS1054" s="917">
        <f t="shared" si="665"/>
        <v>98.25</v>
      </c>
      <c r="BT1054" s="917">
        <f t="shared" si="665"/>
        <v>97.5</v>
      </c>
      <c r="BU1054" s="917">
        <f t="shared" si="665"/>
        <v>130</v>
      </c>
      <c r="BV1054" s="40">
        <f t="shared" ref="BV1054:CD1054" si="666">BU1054</f>
        <v>130</v>
      </c>
      <c r="BW1054" s="40">
        <f t="shared" si="666"/>
        <v>130</v>
      </c>
      <c r="BX1054" s="40">
        <f t="shared" si="666"/>
        <v>130</v>
      </c>
      <c r="BY1054" s="40">
        <f t="shared" si="666"/>
        <v>130</v>
      </c>
      <c r="BZ1054" s="40">
        <f t="shared" si="666"/>
        <v>130</v>
      </c>
      <c r="CA1054" s="40">
        <f t="shared" si="666"/>
        <v>130</v>
      </c>
      <c r="CB1054" s="40">
        <f t="shared" si="666"/>
        <v>130</v>
      </c>
      <c r="CC1054" s="40">
        <f t="shared" si="666"/>
        <v>130</v>
      </c>
      <c r="CD1054" s="40">
        <f t="shared" si="666"/>
        <v>130</v>
      </c>
    </row>
    <row r="1055" spans="2:82">
      <c r="B1055"/>
      <c r="BN1055"/>
      <c r="BO1055"/>
      <c r="BP1055"/>
      <c r="BQ1055"/>
      <c r="BR1055"/>
      <c r="BS1055"/>
      <c r="BT1055"/>
      <c r="BU1055" s="40">
        <f t="shared" si="647"/>
        <v>0</v>
      </c>
      <c r="BV1055" s="40">
        <f t="shared" ref="BV1055:CD1055" si="667">BU1055</f>
        <v>0</v>
      </c>
      <c r="BW1055" s="40">
        <f t="shared" si="667"/>
        <v>0</v>
      </c>
      <c r="BX1055" s="40">
        <f t="shared" si="667"/>
        <v>0</v>
      </c>
      <c r="BY1055" s="40">
        <f t="shared" si="667"/>
        <v>0</v>
      </c>
      <c r="BZ1055" s="40">
        <f t="shared" si="667"/>
        <v>0</v>
      </c>
      <c r="CA1055" s="40">
        <f t="shared" si="667"/>
        <v>0</v>
      </c>
      <c r="CB1055" s="40">
        <f t="shared" si="667"/>
        <v>0</v>
      </c>
      <c r="CC1055" s="40">
        <f t="shared" si="667"/>
        <v>0</v>
      </c>
      <c r="CD1055" s="40">
        <f t="shared" si="667"/>
        <v>0</v>
      </c>
    </row>
    <row r="1056" spans="2:82">
      <c r="B1056" s="909" t="s">
        <v>369</v>
      </c>
      <c r="BN1056" s="917">
        <f t="shared" ref="BN1056:BU1056" si="668">BN1054-0.55*BN1048-0.6*BN1049</f>
        <v>509.82466212496621</v>
      </c>
      <c r="BO1056" s="917">
        <f t="shared" si="668"/>
        <v>347.483</v>
      </c>
      <c r="BP1056" s="917">
        <f t="shared" si="668"/>
        <v>132.19999999999999</v>
      </c>
      <c r="BQ1056" s="917">
        <f t="shared" si="668"/>
        <v>88.25</v>
      </c>
      <c r="BR1056" s="917">
        <f t="shared" si="668"/>
        <v>109</v>
      </c>
      <c r="BS1056" s="917">
        <f t="shared" si="668"/>
        <v>98.25</v>
      </c>
      <c r="BT1056" s="917">
        <f t="shared" si="668"/>
        <v>97.5</v>
      </c>
      <c r="BU1056" s="917">
        <f t="shared" si="668"/>
        <v>130</v>
      </c>
      <c r="BV1056" s="40">
        <f t="shared" ref="BV1056:CD1056" si="669">BU1056</f>
        <v>130</v>
      </c>
      <c r="BW1056" s="40">
        <f t="shared" si="669"/>
        <v>130</v>
      </c>
      <c r="BX1056" s="40">
        <f t="shared" si="669"/>
        <v>130</v>
      </c>
      <c r="BY1056" s="40">
        <f t="shared" si="669"/>
        <v>130</v>
      </c>
      <c r="BZ1056" s="40">
        <f t="shared" si="669"/>
        <v>130</v>
      </c>
      <c r="CA1056" s="40">
        <f t="shared" si="669"/>
        <v>130</v>
      </c>
      <c r="CB1056" s="40">
        <f t="shared" si="669"/>
        <v>130</v>
      </c>
      <c r="CC1056" s="40">
        <f t="shared" si="669"/>
        <v>130</v>
      </c>
      <c r="CD1056" s="40">
        <f t="shared" si="669"/>
        <v>130</v>
      </c>
    </row>
    <row r="1057" spans="2:82">
      <c r="B1057"/>
      <c r="BN1057"/>
      <c r="BO1057"/>
      <c r="BP1057"/>
      <c r="BQ1057"/>
      <c r="BR1057"/>
      <c r="BS1057"/>
      <c r="BT1057"/>
      <c r="BU1057" s="40">
        <f t="shared" si="647"/>
        <v>0</v>
      </c>
      <c r="BV1057" s="40">
        <f t="shared" ref="BV1057:CD1057" si="670">BU1057</f>
        <v>0</v>
      </c>
      <c r="BW1057" s="40">
        <f t="shared" si="670"/>
        <v>0</v>
      </c>
      <c r="BX1057" s="40">
        <f t="shared" si="670"/>
        <v>0</v>
      </c>
      <c r="BY1057" s="40">
        <f t="shared" si="670"/>
        <v>0</v>
      </c>
      <c r="BZ1057" s="40">
        <f t="shared" si="670"/>
        <v>0</v>
      </c>
      <c r="CA1057" s="40">
        <f t="shared" si="670"/>
        <v>0</v>
      </c>
      <c r="CB1057" s="40">
        <f t="shared" si="670"/>
        <v>0</v>
      </c>
      <c r="CC1057" s="40">
        <f t="shared" si="670"/>
        <v>0</v>
      </c>
      <c r="CD1057" s="40">
        <f t="shared" si="670"/>
        <v>0</v>
      </c>
    </row>
    <row r="1058" spans="2:82">
      <c r="B1058" t="s">
        <v>370</v>
      </c>
      <c r="BN1058" s="918">
        <v>6022.5</v>
      </c>
      <c r="BO1058" s="918">
        <v>6220.3300000000008</v>
      </c>
      <c r="BP1058" s="918">
        <v>6260.4800000000005</v>
      </c>
      <c r="BQ1058" s="918">
        <v>6263.7650000000003</v>
      </c>
      <c r="BR1058" s="918">
        <v>5985.6350000000002</v>
      </c>
      <c r="BS1058" s="918">
        <v>5985.6350000000002</v>
      </c>
      <c r="BT1058" s="918">
        <v>5985.6350000000002</v>
      </c>
      <c r="BU1058" s="40">
        <f t="shared" si="647"/>
        <v>5985.6350000000002</v>
      </c>
      <c r="BV1058" s="40">
        <f t="shared" ref="BV1058:CD1058" si="671">BU1058</f>
        <v>5985.6350000000002</v>
      </c>
      <c r="BW1058" s="40">
        <f t="shared" si="671"/>
        <v>5985.6350000000002</v>
      </c>
      <c r="BX1058" s="40">
        <f t="shared" si="671"/>
        <v>5985.6350000000002</v>
      </c>
      <c r="BY1058" s="40">
        <f t="shared" si="671"/>
        <v>5985.6350000000002</v>
      </c>
      <c r="BZ1058" s="40">
        <f t="shared" si="671"/>
        <v>5985.6350000000002</v>
      </c>
      <c r="CA1058" s="40">
        <f t="shared" si="671"/>
        <v>5985.6350000000002</v>
      </c>
      <c r="CB1058" s="40">
        <f t="shared" si="671"/>
        <v>5985.6350000000002</v>
      </c>
      <c r="CC1058" s="40">
        <f t="shared" si="671"/>
        <v>5985.6350000000002</v>
      </c>
      <c r="CD1058" s="40">
        <f t="shared" si="671"/>
        <v>5985.6350000000002</v>
      </c>
    </row>
    <row r="1059" spans="2:82">
      <c r="B1059"/>
      <c r="BN1059"/>
      <c r="BO1059"/>
      <c r="BP1059"/>
      <c r="BQ1059"/>
      <c r="BR1059"/>
      <c r="BS1059"/>
      <c r="BT1059"/>
      <c r="BU1059" s="40">
        <f t="shared" si="647"/>
        <v>0</v>
      </c>
      <c r="BV1059" s="40">
        <f t="shared" ref="BV1059:CD1059" si="672">BU1059</f>
        <v>0</v>
      </c>
      <c r="BW1059" s="40">
        <f t="shared" si="672"/>
        <v>0</v>
      </c>
      <c r="BX1059" s="40">
        <f t="shared" si="672"/>
        <v>0</v>
      </c>
      <c r="BY1059" s="40">
        <f t="shared" si="672"/>
        <v>0</v>
      </c>
      <c r="BZ1059" s="40">
        <f t="shared" si="672"/>
        <v>0</v>
      </c>
      <c r="CA1059" s="40">
        <f t="shared" si="672"/>
        <v>0</v>
      </c>
      <c r="CB1059" s="40">
        <f t="shared" si="672"/>
        <v>0</v>
      </c>
      <c r="CC1059" s="40">
        <f t="shared" si="672"/>
        <v>0</v>
      </c>
      <c r="CD1059" s="40">
        <f t="shared" si="672"/>
        <v>0</v>
      </c>
    </row>
    <row r="1060" spans="2:82">
      <c r="B1060" s="910" t="s">
        <v>371</v>
      </c>
      <c r="BN1060" s="263">
        <f t="shared" ref="BN1060:BT1060" si="673">SUM(BN1061:BN1067)</f>
        <v>2327</v>
      </c>
      <c r="BO1060" s="263">
        <f t="shared" si="673"/>
        <v>6124</v>
      </c>
      <c r="BP1060" s="263">
        <f t="shared" si="673"/>
        <v>6111.0239999999994</v>
      </c>
      <c r="BQ1060" s="263">
        <f t="shared" si="673"/>
        <v>6112.6</v>
      </c>
      <c r="BR1060" s="263">
        <f t="shared" si="673"/>
        <v>6112.6</v>
      </c>
      <c r="BS1060" s="263">
        <f t="shared" si="673"/>
        <v>6112.6</v>
      </c>
      <c r="BT1060" s="263">
        <f t="shared" si="673"/>
        <v>6112.6</v>
      </c>
      <c r="BU1060" s="40">
        <f t="shared" si="647"/>
        <v>6112.6</v>
      </c>
      <c r="BV1060" s="40">
        <f t="shared" ref="BV1060:CD1060" si="674">BU1060</f>
        <v>6112.6</v>
      </c>
      <c r="BW1060" s="40">
        <f t="shared" si="674"/>
        <v>6112.6</v>
      </c>
      <c r="BX1060" s="40">
        <f t="shared" si="674"/>
        <v>6112.6</v>
      </c>
      <c r="BY1060" s="40">
        <f t="shared" si="674"/>
        <v>6112.6</v>
      </c>
      <c r="BZ1060" s="40">
        <f t="shared" si="674"/>
        <v>6112.6</v>
      </c>
      <c r="CA1060" s="40">
        <f t="shared" si="674"/>
        <v>6112.6</v>
      </c>
      <c r="CB1060" s="40">
        <f t="shared" si="674"/>
        <v>6112.6</v>
      </c>
      <c r="CC1060" s="40">
        <f t="shared" si="674"/>
        <v>6112.6</v>
      </c>
      <c r="CD1060" s="40">
        <f t="shared" si="674"/>
        <v>6112.6</v>
      </c>
    </row>
    <row r="1061" spans="2:82">
      <c r="B1061" s="1074" t="s">
        <v>4604</v>
      </c>
      <c r="BN1061"/>
      <c r="BO1061" s="1080"/>
      <c r="BP1061" s="1080"/>
      <c r="BQ1061" s="1080"/>
      <c r="BR1061" s="1080"/>
      <c r="BS1061" s="1080"/>
      <c r="BT1061" s="1080"/>
      <c r="BU1061" s="40"/>
      <c r="BV1061" s="40"/>
      <c r="BW1061" s="40"/>
      <c r="BX1061" s="40"/>
      <c r="BY1061" s="40"/>
      <c r="BZ1061" s="40"/>
      <c r="CA1061" s="40"/>
      <c r="CB1061" s="40"/>
      <c r="CC1061" s="40"/>
      <c r="CD1061" s="40"/>
    </row>
    <row r="1062" spans="2:82">
      <c r="B1062" t="s">
        <v>372</v>
      </c>
      <c r="BN1062" s="1017">
        <v>2076</v>
      </c>
      <c r="BO1062" s="1090">
        <v>5051</v>
      </c>
      <c r="BP1062" s="1090">
        <v>3288.4319999999998</v>
      </c>
      <c r="BQ1062" s="1090">
        <v>2375</v>
      </c>
      <c r="BR1062" s="1090">
        <v>2375</v>
      </c>
      <c r="BS1062" s="1090">
        <v>2375</v>
      </c>
      <c r="BT1062" s="1090">
        <v>2375</v>
      </c>
      <c r="BU1062" s="259">
        <v>1752</v>
      </c>
      <c r="BV1062" s="40">
        <f t="shared" ref="BV1062:CD1062" si="675">BU1062</f>
        <v>1752</v>
      </c>
      <c r="BW1062" s="40">
        <f t="shared" si="675"/>
        <v>1752</v>
      </c>
      <c r="BX1062" s="40">
        <f t="shared" si="675"/>
        <v>1752</v>
      </c>
      <c r="BY1062" s="40">
        <f t="shared" si="675"/>
        <v>1752</v>
      </c>
      <c r="BZ1062" s="40">
        <f t="shared" si="675"/>
        <v>1752</v>
      </c>
      <c r="CA1062" s="40">
        <f t="shared" si="675"/>
        <v>1752</v>
      </c>
      <c r="CB1062" s="40">
        <f t="shared" si="675"/>
        <v>1752</v>
      </c>
      <c r="CC1062" s="40">
        <f t="shared" si="675"/>
        <v>1752</v>
      </c>
      <c r="CD1062" s="40">
        <f t="shared" si="675"/>
        <v>1752</v>
      </c>
    </row>
    <row r="1063" spans="2:82">
      <c r="B1063" s="260" t="s">
        <v>4675</v>
      </c>
      <c r="BN1063" s="1017">
        <v>181</v>
      </c>
      <c r="BO1063" s="1090">
        <v>149</v>
      </c>
      <c r="BP1063" s="1091">
        <v>0</v>
      </c>
      <c r="BQ1063" s="1091">
        <v>0</v>
      </c>
      <c r="BR1063" s="1091">
        <v>0</v>
      </c>
      <c r="BS1063" s="1091">
        <v>0</v>
      </c>
      <c r="BT1063" s="1091">
        <v>0</v>
      </c>
      <c r="BU1063" s="259">
        <v>310.25</v>
      </c>
      <c r="BV1063" s="40">
        <f t="shared" ref="BV1063:CD1063" si="676">BU1063</f>
        <v>310.25</v>
      </c>
      <c r="BW1063" s="40">
        <f t="shared" si="676"/>
        <v>310.25</v>
      </c>
      <c r="BX1063" s="40">
        <f t="shared" si="676"/>
        <v>310.25</v>
      </c>
      <c r="BY1063" s="40">
        <f t="shared" si="676"/>
        <v>310.25</v>
      </c>
      <c r="BZ1063" s="40">
        <f t="shared" si="676"/>
        <v>310.25</v>
      </c>
      <c r="CA1063" s="40">
        <f t="shared" si="676"/>
        <v>310.25</v>
      </c>
      <c r="CB1063" s="40">
        <f t="shared" si="676"/>
        <v>310.25</v>
      </c>
      <c r="CC1063" s="40">
        <f t="shared" si="676"/>
        <v>310.25</v>
      </c>
      <c r="CD1063" s="40">
        <f t="shared" si="676"/>
        <v>310.25</v>
      </c>
    </row>
    <row r="1064" spans="2:82">
      <c r="B1064" s="260" t="s">
        <v>4674</v>
      </c>
      <c r="BN1064" s="915">
        <v>0</v>
      </c>
      <c r="BO1064" s="1090">
        <v>202</v>
      </c>
      <c r="BP1064" s="1090">
        <v>523.74599999999998</v>
      </c>
      <c r="BQ1064" s="1090">
        <v>805</v>
      </c>
      <c r="BR1064" s="1090">
        <v>805</v>
      </c>
      <c r="BS1064" s="1090">
        <v>805</v>
      </c>
      <c r="BT1064" s="1090">
        <v>805</v>
      </c>
      <c r="BU1064" s="259">
        <v>803</v>
      </c>
      <c r="BV1064" s="40">
        <f t="shared" ref="BV1064:CD1064" si="677">BU1064</f>
        <v>803</v>
      </c>
      <c r="BW1064" s="40">
        <f t="shared" si="677"/>
        <v>803</v>
      </c>
      <c r="BX1064" s="40">
        <f t="shared" si="677"/>
        <v>803</v>
      </c>
      <c r="BY1064" s="40">
        <f t="shared" si="677"/>
        <v>803</v>
      </c>
      <c r="BZ1064" s="40">
        <f t="shared" si="677"/>
        <v>803</v>
      </c>
      <c r="CA1064" s="40">
        <f t="shared" si="677"/>
        <v>803</v>
      </c>
      <c r="CB1064" s="40">
        <f t="shared" si="677"/>
        <v>803</v>
      </c>
      <c r="CC1064" s="40">
        <f t="shared" si="677"/>
        <v>803</v>
      </c>
      <c r="CD1064" s="40">
        <f t="shared" si="677"/>
        <v>803</v>
      </c>
    </row>
    <row r="1065" spans="2:82">
      <c r="B1065" t="s">
        <v>375</v>
      </c>
      <c r="BN1065" s="1017">
        <v>70</v>
      </c>
      <c r="BO1065" s="1090">
        <v>24</v>
      </c>
      <c r="BP1065" s="1090">
        <v>36.6</v>
      </c>
      <c r="BQ1065" s="1090">
        <v>36.6</v>
      </c>
      <c r="BR1065" s="1090">
        <v>36.6</v>
      </c>
      <c r="BS1065" s="1090">
        <v>36.6</v>
      </c>
      <c r="BT1065" s="1090">
        <v>36.6</v>
      </c>
      <c r="BU1065" s="259">
        <v>109.5</v>
      </c>
      <c r="BV1065" s="40">
        <f>BU1065</f>
        <v>109.5</v>
      </c>
      <c r="BW1065" s="40">
        <f>BV1065</f>
        <v>109.5</v>
      </c>
      <c r="BX1065" s="40">
        <f t="shared" ref="BV1065:CD1082" si="678">BW1065</f>
        <v>109.5</v>
      </c>
      <c r="BY1065" s="40">
        <f t="shared" si="678"/>
        <v>109.5</v>
      </c>
      <c r="BZ1065" s="40">
        <f t="shared" si="678"/>
        <v>109.5</v>
      </c>
      <c r="CA1065" s="40">
        <f t="shared" si="678"/>
        <v>109.5</v>
      </c>
      <c r="CB1065" s="40">
        <f t="shared" si="678"/>
        <v>109.5</v>
      </c>
      <c r="CC1065" s="40">
        <f t="shared" si="678"/>
        <v>109.5</v>
      </c>
      <c r="CD1065" s="40">
        <f t="shared" si="678"/>
        <v>109.5</v>
      </c>
    </row>
    <row r="1066" spans="2:82">
      <c r="B1066" t="s">
        <v>376</v>
      </c>
      <c r="BN1066" s="915">
        <v>0</v>
      </c>
      <c r="BO1066" s="1091">
        <v>0</v>
      </c>
      <c r="BP1066" s="1091">
        <v>0</v>
      </c>
      <c r="BQ1066" s="1091">
        <v>0</v>
      </c>
      <c r="BR1066" s="1091">
        <v>0</v>
      </c>
      <c r="BS1066" s="1091">
        <v>0</v>
      </c>
      <c r="BT1066" s="1091">
        <v>0</v>
      </c>
      <c r="BU1066" s="259">
        <v>42.34</v>
      </c>
      <c r="BV1066" s="40">
        <f t="shared" si="678"/>
        <v>42.34</v>
      </c>
      <c r="BW1066" s="40">
        <f t="shared" si="678"/>
        <v>42.34</v>
      </c>
      <c r="BX1066" s="40">
        <f t="shared" si="678"/>
        <v>42.34</v>
      </c>
      <c r="BY1066" s="40">
        <f t="shared" si="678"/>
        <v>42.34</v>
      </c>
      <c r="BZ1066" s="40">
        <f t="shared" si="678"/>
        <v>42.34</v>
      </c>
      <c r="CA1066" s="40">
        <f t="shared" si="678"/>
        <v>42.34</v>
      </c>
      <c r="CB1066" s="40">
        <f t="shared" si="678"/>
        <v>42.34</v>
      </c>
      <c r="CC1066" s="40">
        <f t="shared" si="678"/>
        <v>42.34</v>
      </c>
      <c r="CD1066" s="40">
        <f t="shared" si="678"/>
        <v>42.34</v>
      </c>
    </row>
    <row r="1067" spans="2:82">
      <c r="B1067" s="1037" t="s">
        <v>4676</v>
      </c>
      <c r="BO1067" s="1092">
        <v>698</v>
      </c>
      <c r="BP1067" s="1092">
        <v>2262.2460000000001</v>
      </c>
      <c r="BQ1067" s="1090">
        <v>2896</v>
      </c>
      <c r="BR1067" s="1090">
        <v>2896</v>
      </c>
      <c r="BS1067" s="1090">
        <v>2896</v>
      </c>
      <c r="BT1067" s="1090">
        <v>2896</v>
      </c>
      <c r="BU1067" s="259">
        <v>2617.0500000000002</v>
      </c>
      <c r="BV1067" s="40">
        <f t="shared" si="678"/>
        <v>2617.0500000000002</v>
      </c>
      <c r="BW1067" s="40">
        <f t="shared" si="678"/>
        <v>2617.0500000000002</v>
      </c>
      <c r="BX1067" s="40">
        <f t="shared" si="678"/>
        <v>2617.0500000000002</v>
      </c>
      <c r="BY1067" s="40">
        <f t="shared" si="678"/>
        <v>2617.0500000000002</v>
      </c>
      <c r="BZ1067" s="40">
        <f t="shared" si="678"/>
        <v>2617.0500000000002</v>
      </c>
      <c r="CA1067" s="40">
        <f t="shared" si="678"/>
        <v>2617.0500000000002</v>
      </c>
      <c r="CB1067" s="40">
        <f t="shared" si="678"/>
        <v>2617.0500000000002</v>
      </c>
      <c r="CC1067" s="40">
        <f t="shared" si="678"/>
        <v>2617.0500000000002</v>
      </c>
      <c r="CD1067" s="40">
        <f t="shared" si="678"/>
        <v>2617.0500000000002</v>
      </c>
    </row>
    <row r="1068" spans="2:82">
      <c r="B1068"/>
      <c r="BQ1068"/>
      <c r="BR1068"/>
      <c r="BS1068"/>
      <c r="BT1068"/>
      <c r="BU1068" s="40">
        <f t="shared" ref="BU1068:BU1114" si="679">BT1068</f>
        <v>0</v>
      </c>
      <c r="BV1068" s="40">
        <f t="shared" si="678"/>
        <v>0</v>
      </c>
      <c r="BW1068" s="40">
        <f t="shared" si="678"/>
        <v>0</v>
      </c>
      <c r="BX1068" s="40">
        <f t="shared" si="678"/>
        <v>0</v>
      </c>
      <c r="BY1068" s="40">
        <f t="shared" si="678"/>
        <v>0</v>
      </c>
      <c r="BZ1068" s="40">
        <f t="shared" si="678"/>
        <v>0</v>
      </c>
      <c r="CA1068" s="40">
        <f t="shared" si="678"/>
        <v>0</v>
      </c>
      <c r="CB1068" s="40">
        <f t="shared" si="678"/>
        <v>0</v>
      </c>
      <c r="CC1068" s="40">
        <f t="shared" si="678"/>
        <v>0</v>
      </c>
      <c r="CD1068" s="40">
        <f t="shared" si="678"/>
        <v>0</v>
      </c>
    </row>
    <row r="1069" spans="2:82">
      <c r="B1069" s="910" t="s">
        <v>377</v>
      </c>
      <c r="BN1069" s="1075">
        <f t="shared" ref="BN1069:BT1069" si="680">SUM(BN1070:BN1076)</f>
        <v>3057.9</v>
      </c>
      <c r="BO1069" s="1075">
        <f t="shared" si="680"/>
        <v>2275</v>
      </c>
      <c r="BP1069" s="1075">
        <f t="shared" si="680"/>
        <v>3813</v>
      </c>
      <c r="BQ1069" s="1075">
        <f t="shared" si="680"/>
        <v>3445</v>
      </c>
      <c r="BR1069" s="1075">
        <f t="shared" si="680"/>
        <v>3445</v>
      </c>
      <c r="BS1069" s="1075">
        <f t="shared" si="680"/>
        <v>3445</v>
      </c>
      <c r="BT1069" s="1075">
        <f t="shared" si="680"/>
        <v>3445</v>
      </c>
      <c r="BU1069" s="40">
        <f t="shared" si="679"/>
        <v>3445</v>
      </c>
      <c r="BV1069" s="40">
        <f t="shared" si="678"/>
        <v>3445</v>
      </c>
      <c r="BW1069" s="40">
        <f t="shared" si="678"/>
        <v>3445</v>
      </c>
      <c r="BX1069" s="40">
        <f t="shared" si="678"/>
        <v>3445</v>
      </c>
      <c r="BY1069" s="40">
        <f t="shared" si="678"/>
        <v>3445</v>
      </c>
      <c r="BZ1069" s="40">
        <f t="shared" si="678"/>
        <v>3445</v>
      </c>
      <c r="CA1069" s="40">
        <f t="shared" si="678"/>
        <v>3445</v>
      </c>
      <c r="CB1069" s="40">
        <f t="shared" si="678"/>
        <v>3445</v>
      </c>
      <c r="CC1069" s="40">
        <f t="shared" si="678"/>
        <v>3445</v>
      </c>
      <c r="CD1069" s="40">
        <f t="shared" si="678"/>
        <v>3445</v>
      </c>
    </row>
    <row r="1070" spans="2:82">
      <c r="B1070" s="1074" t="s">
        <v>4604</v>
      </c>
      <c r="BN1070" s="1066">
        <v>3005</v>
      </c>
      <c r="BO1070" s="1095">
        <v>0</v>
      </c>
      <c r="BP1070" s="1095">
        <v>0</v>
      </c>
      <c r="BQ1070" s="1095">
        <v>0</v>
      </c>
      <c r="BR1070" s="1095">
        <v>0</v>
      </c>
      <c r="BS1070" s="1095">
        <v>0</v>
      </c>
      <c r="BT1070" s="1095">
        <v>0</v>
      </c>
      <c r="BU1070" s="40"/>
      <c r="BV1070" s="40"/>
      <c r="BW1070" s="40"/>
      <c r="BX1070" s="40"/>
      <c r="BY1070" s="40"/>
      <c r="BZ1070" s="40"/>
      <c r="CA1070" s="40"/>
      <c r="CB1070" s="40"/>
      <c r="CC1070" s="40"/>
      <c r="CD1070" s="40"/>
    </row>
    <row r="1071" spans="2:82">
      <c r="B1071" t="s">
        <v>372</v>
      </c>
      <c r="BN1071" s="1066"/>
      <c r="BO1071" s="1093">
        <v>2168</v>
      </c>
      <c r="BP1071" s="1093">
        <v>2640</v>
      </c>
      <c r="BQ1071" s="1093">
        <v>1859</v>
      </c>
      <c r="BR1071" s="1093">
        <f>BQ1071</f>
        <v>1859</v>
      </c>
      <c r="BS1071" s="1093">
        <f t="shared" ref="BS1071:CD1071" si="681">BR1071</f>
        <v>1859</v>
      </c>
      <c r="BT1071" s="1093">
        <f t="shared" si="681"/>
        <v>1859</v>
      </c>
      <c r="BU1071" s="1093">
        <f t="shared" si="681"/>
        <v>1859</v>
      </c>
      <c r="BV1071" s="1093">
        <f t="shared" si="681"/>
        <v>1859</v>
      </c>
      <c r="BW1071" s="1093">
        <f t="shared" si="681"/>
        <v>1859</v>
      </c>
      <c r="BX1071" s="1093">
        <f t="shared" si="681"/>
        <v>1859</v>
      </c>
      <c r="BY1071" s="1093">
        <f t="shared" si="681"/>
        <v>1859</v>
      </c>
      <c r="BZ1071" s="1093">
        <f t="shared" si="681"/>
        <v>1859</v>
      </c>
      <c r="CA1071" s="1093">
        <f t="shared" si="681"/>
        <v>1859</v>
      </c>
      <c r="CB1071" s="1093">
        <f t="shared" si="681"/>
        <v>1859</v>
      </c>
      <c r="CC1071" s="1093">
        <f t="shared" si="681"/>
        <v>1859</v>
      </c>
      <c r="CD1071" s="1093">
        <f t="shared" si="681"/>
        <v>1859</v>
      </c>
    </row>
    <row r="1072" spans="2:82">
      <c r="B1072" s="260" t="s">
        <v>4675</v>
      </c>
      <c r="BN1072" s="1068">
        <v>49</v>
      </c>
      <c r="BO1072" s="1066">
        <v>0</v>
      </c>
      <c r="BP1072" s="1066">
        <v>0</v>
      </c>
      <c r="BQ1072" s="1066">
        <v>0</v>
      </c>
      <c r="BR1072" s="1066">
        <v>0</v>
      </c>
      <c r="BS1072" s="1066">
        <v>0</v>
      </c>
      <c r="BT1072" s="1066">
        <v>0</v>
      </c>
      <c r="BU1072" s="40">
        <f t="shared" si="679"/>
        <v>0</v>
      </c>
      <c r="BV1072" s="40">
        <f t="shared" si="678"/>
        <v>0</v>
      </c>
      <c r="BW1072" s="40">
        <f t="shared" si="678"/>
        <v>0</v>
      </c>
      <c r="BX1072" s="40">
        <f t="shared" si="678"/>
        <v>0</v>
      </c>
      <c r="BY1072" s="40">
        <f t="shared" si="678"/>
        <v>0</v>
      </c>
      <c r="BZ1072" s="40">
        <f t="shared" si="678"/>
        <v>0</v>
      </c>
      <c r="CA1072" s="40">
        <f t="shared" si="678"/>
        <v>0</v>
      </c>
      <c r="CB1072" s="40">
        <f t="shared" si="678"/>
        <v>0</v>
      </c>
      <c r="CC1072" s="40">
        <f t="shared" si="678"/>
        <v>0</v>
      </c>
      <c r="CD1072" s="40">
        <f t="shared" si="678"/>
        <v>0</v>
      </c>
    </row>
    <row r="1073" spans="2:82">
      <c r="B1073" s="260" t="s">
        <v>4674</v>
      </c>
      <c r="BO1073" s="915"/>
      <c r="BP1073" s="915"/>
      <c r="BQ1073" s="915"/>
      <c r="BR1073" s="915"/>
      <c r="BS1073" s="915"/>
      <c r="BT1073" s="915"/>
      <c r="BU1073" s="40">
        <f t="shared" si="679"/>
        <v>0</v>
      </c>
      <c r="BV1073" s="40">
        <f t="shared" si="678"/>
        <v>0</v>
      </c>
      <c r="BW1073" s="40">
        <f t="shared" si="678"/>
        <v>0</v>
      </c>
      <c r="BX1073" s="40">
        <f t="shared" si="678"/>
        <v>0</v>
      </c>
      <c r="BY1073" s="40">
        <f t="shared" si="678"/>
        <v>0</v>
      </c>
      <c r="BZ1073" s="40">
        <f t="shared" si="678"/>
        <v>0</v>
      </c>
      <c r="CA1073" s="40">
        <f t="shared" si="678"/>
        <v>0</v>
      </c>
      <c r="CB1073" s="40">
        <f t="shared" si="678"/>
        <v>0</v>
      </c>
      <c r="CC1073" s="40">
        <f t="shared" si="678"/>
        <v>0</v>
      </c>
      <c r="CD1073" s="40">
        <f t="shared" si="678"/>
        <v>0</v>
      </c>
    </row>
    <row r="1074" spans="2:82">
      <c r="B1074" t="s">
        <v>375</v>
      </c>
      <c r="BN1074" s="1073">
        <v>3.9</v>
      </c>
      <c r="BO1074" s="915">
        <v>0</v>
      </c>
      <c r="BP1074" s="915">
        <v>0</v>
      </c>
      <c r="BQ1074" s="915">
        <v>0</v>
      </c>
      <c r="BR1074" s="915">
        <v>0</v>
      </c>
      <c r="BS1074" s="915">
        <v>0</v>
      </c>
      <c r="BT1074" s="915">
        <v>0</v>
      </c>
      <c r="BU1074" s="40">
        <f t="shared" si="679"/>
        <v>0</v>
      </c>
      <c r="BV1074" s="40">
        <f t="shared" si="678"/>
        <v>0</v>
      </c>
      <c r="BW1074" s="40">
        <f t="shared" si="678"/>
        <v>0</v>
      </c>
      <c r="BX1074" s="40">
        <f t="shared" si="678"/>
        <v>0</v>
      </c>
      <c r="BY1074" s="40">
        <f t="shared" si="678"/>
        <v>0</v>
      </c>
      <c r="BZ1074" s="40">
        <f t="shared" si="678"/>
        <v>0</v>
      </c>
      <c r="CA1074" s="40">
        <f t="shared" si="678"/>
        <v>0</v>
      </c>
      <c r="CB1074" s="40">
        <f t="shared" si="678"/>
        <v>0</v>
      </c>
      <c r="CC1074" s="40">
        <f t="shared" si="678"/>
        <v>0</v>
      </c>
      <c r="CD1074" s="40">
        <f t="shared" si="678"/>
        <v>0</v>
      </c>
    </row>
    <row r="1075" spans="2:82">
      <c r="B1075" t="s">
        <v>376</v>
      </c>
      <c r="BN1075" s="915">
        <f>BN1066</f>
        <v>0</v>
      </c>
      <c r="BO1075" s="1095">
        <v>0</v>
      </c>
      <c r="BP1075" s="1095">
        <v>0</v>
      </c>
      <c r="BQ1075" s="1095">
        <v>0</v>
      </c>
      <c r="BR1075" s="1095">
        <v>0</v>
      </c>
      <c r="BS1075" s="1095">
        <v>0</v>
      </c>
      <c r="BT1075" s="1095">
        <v>0</v>
      </c>
      <c r="BU1075" s="40">
        <f t="shared" si="679"/>
        <v>0</v>
      </c>
      <c r="BV1075" s="40">
        <f t="shared" si="678"/>
        <v>0</v>
      </c>
      <c r="BW1075" s="40">
        <f t="shared" si="678"/>
        <v>0</v>
      </c>
      <c r="BX1075" s="40">
        <f t="shared" si="678"/>
        <v>0</v>
      </c>
      <c r="BY1075" s="40">
        <f t="shared" si="678"/>
        <v>0</v>
      </c>
      <c r="BZ1075" s="40">
        <f t="shared" si="678"/>
        <v>0</v>
      </c>
      <c r="CA1075" s="40">
        <f t="shared" si="678"/>
        <v>0</v>
      </c>
      <c r="CB1075" s="40">
        <f t="shared" si="678"/>
        <v>0</v>
      </c>
      <c r="CC1075" s="40">
        <f t="shared" si="678"/>
        <v>0</v>
      </c>
      <c r="CD1075" s="40">
        <f t="shared" si="678"/>
        <v>0</v>
      </c>
    </row>
    <row r="1076" spans="2:82">
      <c r="B1076" s="1037" t="s">
        <v>4602</v>
      </c>
      <c r="BO1076" s="510">
        <v>107</v>
      </c>
      <c r="BP1076" s="510">
        <v>1173</v>
      </c>
      <c r="BQ1076" s="510">
        <v>1586</v>
      </c>
      <c r="BR1076" s="510">
        <f>BQ1076</f>
        <v>1586</v>
      </c>
      <c r="BS1076" s="510">
        <f>BR1076</f>
        <v>1586</v>
      </c>
      <c r="BT1076" s="510">
        <f>BS1076</f>
        <v>1586</v>
      </c>
      <c r="BU1076" s="510">
        <f t="shared" si="679"/>
        <v>1586</v>
      </c>
      <c r="BV1076" s="510">
        <f t="shared" si="678"/>
        <v>1586</v>
      </c>
      <c r="BW1076" s="510">
        <f t="shared" si="678"/>
        <v>1586</v>
      </c>
      <c r="BX1076" s="510">
        <f t="shared" si="678"/>
        <v>1586</v>
      </c>
      <c r="BY1076" s="510">
        <f t="shared" si="678"/>
        <v>1586</v>
      </c>
      <c r="BZ1076" s="510">
        <f t="shared" si="678"/>
        <v>1586</v>
      </c>
      <c r="CA1076" s="510">
        <f t="shared" si="678"/>
        <v>1586</v>
      </c>
      <c r="CB1076" s="510">
        <f t="shared" si="678"/>
        <v>1586</v>
      </c>
      <c r="CC1076" s="510">
        <f t="shared" si="678"/>
        <v>1586</v>
      </c>
      <c r="CD1076" s="510">
        <f t="shared" si="678"/>
        <v>1586</v>
      </c>
    </row>
    <row r="1077" spans="2:82">
      <c r="B1077" s="467" t="s">
        <v>2341</v>
      </c>
      <c r="BK1077" s="467"/>
      <c r="BL1077" s="962">
        <f>BL1078-BK1078</f>
        <v>-140197077.99999988</v>
      </c>
      <c r="BM1077" s="962">
        <f>BM1078-BL1078</f>
        <v>-93636922</v>
      </c>
      <c r="BN1077" s="963">
        <f>BN1078*3.35-BM1078</f>
        <v>819449194.99999988</v>
      </c>
      <c r="BO1077" s="1097">
        <f t="shared" ref="BO1077:BT1077" si="682">(BO1078-BN1078)*BO764</f>
        <v>231937810.22005039</v>
      </c>
      <c r="BP1077" s="1097">
        <f t="shared" si="682"/>
        <v>61060084.186627798</v>
      </c>
      <c r="BQ1077" s="1097">
        <f t="shared" si="682"/>
        <v>169010210.31088957</v>
      </c>
      <c r="BR1077" s="1097">
        <f t="shared" si="682"/>
        <v>86712814.237948686</v>
      </c>
      <c r="BS1077" s="1097">
        <f t="shared" si="682"/>
        <v>105276526.58974493</v>
      </c>
      <c r="BT1077" s="1097">
        <f t="shared" si="682"/>
        <v>97016615.833420023</v>
      </c>
      <c r="BU1077" s="40">
        <f t="shared" si="679"/>
        <v>97016615.833420023</v>
      </c>
      <c r="BV1077" s="40">
        <f t="shared" si="678"/>
        <v>97016615.833420023</v>
      </c>
      <c r="BW1077" s="40">
        <f t="shared" si="678"/>
        <v>97016615.833420023</v>
      </c>
      <c r="BX1077" s="40">
        <f t="shared" si="678"/>
        <v>97016615.833420023</v>
      </c>
      <c r="BY1077" s="40">
        <f t="shared" si="678"/>
        <v>97016615.833420023</v>
      </c>
      <c r="BZ1077" s="40">
        <f t="shared" si="678"/>
        <v>97016615.833420023</v>
      </c>
      <c r="CA1077" s="40">
        <f t="shared" si="678"/>
        <v>97016615.833420023</v>
      </c>
      <c r="CB1077" s="40">
        <f t="shared" si="678"/>
        <v>97016615.833420023</v>
      </c>
      <c r="CC1077" s="40">
        <f t="shared" si="678"/>
        <v>97016615.833420023</v>
      </c>
      <c r="CD1077" s="40">
        <f t="shared" si="678"/>
        <v>97016615.833420023</v>
      </c>
    </row>
    <row r="1078" spans="2:82">
      <c r="B1078" s="961" t="s">
        <v>384</v>
      </c>
      <c r="BK1078" s="370">
        <f>Model!BK78*1000000</f>
        <v>1114750000</v>
      </c>
      <c r="BL1078" s="370">
        <f>Model!BL78*1000000</f>
        <v>974552922.00000012</v>
      </c>
      <c r="BM1078" s="370">
        <f>Model!BM78*1000000</f>
        <v>880916000.00000012</v>
      </c>
      <c r="BN1078" s="964">
        <f>SUM(BN1080:BN1084)-BN1083</f>
        <v>507571700</v>
      </c>
      <c r="BO1078" s="963">
        <f t="shared" ref="BO1078:BT1078" si="683">SUM(BO1080:BO1085)-BO1083</f>
        <v>576806867.22986579</v>
      </c>
      <c r="BP1078" s="963">
        <f t="shared" si="683"/>
        <v>591344982.51239622</v>
      </c>
      <c r="BQ1078" s="963">
        <f t="shared" si="683"/>
        <v>631585508.77689373</v>
      </c>
      <c r="BR1078" s="963">
        <f t="shared" si="683"/>
        <v>652231416.92878628</v>
      </c>
      <c r="BS1078" s="963">
        <f t="shared" si="683"/>
        <v>677297256.59301126</v>
      </c>
      <c r="BT1078" s="963">
        <f t="shared" si="683"/>
        <v>700396450.83906364</v>
      </c>
      <c r="BU1078" s="40">
        <f t="shared" si="679"/>
        <v>700396450.83906364</v>
      </c>
      <c r="BV1078" s="40">
        <f t="shared" si="678"/>
        <v>700396450.83906364</v>
      </c>
      <c r="BW1078" s="40">
        <f t="shared" si="678"/>
        <v>700396450.83906364</v>
      </c>
      <c r="BX1078" s="40">
        <f t="shared" si="678"/>
        <v>700396450.83906364</v>
      </c>
      <c r="BY1078" s="40">
        <f t="shared" si="678"/>
        <v>700396450.83906364</v>
      </c>
      <c r="BZ1078" s="40">
        <f t="shared" si="678"/>
        <v>700396450.83906364</v>
      </c>
      <c r="CA1078" s="40">
        <f t="shared" si="678"/>
        <v>700396450.83906364</v>
      </c>
      <c r="CB1078" s="40">
        <f t="shared" si="678"/>
        <v>700396450.83906364</v>
      </c>
      <c r="CC1078" s="40">
        <f t="shared" si="678"/>
        <v>700396450.83906364</v>
      </c>
      <c r="CD1078" s="40">
        <f t="shared" si="678"/>
        <v>700396450.83906364</v>
      </c>
    </row>
    <row r="1079" spans="2:82">
      <c r="B1079" s="1074" t="s">
        <v>4604</v>
      </c>
      <c r="BK1079" s="370"/>
      <c r="BL1079" s="370"/>
      <c r="BM1079" s="370"/>
      <c r="BN1079" s="964"/>
      <c r="BO1079" s="963"/>
      <c r="BP1079" s="959"/>
      <c r="BQ1079" s="959"/>
      <c r="BR1079" s="959"/>
      <c r="BS1079" s="959"/>
      <c r="BT1079" s="959"/>
      <c r="BU1079" s="40"/>
      <c r="BV1079" s="40"/>
      <c r="BW1079" s="40"/>
      <c r="BX1079" s="40"/>
      <c r="BY1079" s="40"/>
      <c r="BZ1079" s="40"/>
      <c r="CA1079" s="40"/>
      <c r="CB1079" s="40"/>
      <c r="CC1079" s="40"/>
      <c r="CD1079" s="40"/>
    </row>
    <row r="1080" spans="2:82">
      <c r="B1080" t="s">
        <v>372</v>
      </c>
      <c r="BN1080" s="915">
        <v>487353000</v>
      </c>
      <c r="BO1080" s="1094">
        <f t="shared" ref="BO1080:BT1080" si="684">BO1071*BO1090*1000</f>
        <v>94763280</v>
      </c>
      <c r="BP1080" s="1094">
        <f t="shared" si="684"/>
        <v>92127519.316969052</v>
      </c>
      <c r="BQ1080" s="1094">
        <f t="shared" si="684"/>
        <v>91737364.88157016</v>
      </c>
      <c r="BR1080" s="1094">
        <f t="shared" si="684"/>
        <v>100266435.31832808</v>
      </c>
      <c r="BS1080" s="1094">
        <f t="shared" si="684"/>
        <v>110999986.86565457</v>
      </c>
      <c r="BT1080" s="1094">
        <f t="shared" si="684"/>
        <v>116443700.87630865</v>
      </c>
      <c r="BU1080" s="40">
        <f t="shared" si="679"/>
        <v>116443700.87630865</v>
      </c>
      <c r="BV1080" s="40">
        <f t="shared" si="678"/>
        <v>116443700.87630865</v>
      </c>
      <c r="BW1080" s="40">
        <f t="shared" si="678"/>
        <v>116443700.87630865</v>
      </c>
      <c r="BX1080" s="40">
        <f t="shared" si="678"/>
        <v>116443700.87630865</v>
      </c>
      <c r="BY1080" s="40">
        <f t="shared" si="678"/>
        <v>116443700.87630865</v>
      </c>
      <c r="BZ1080" s="40">
        <f t="shared" si="678"/>
        <v>116443700.87630865</v>
      </c>
      <c r="CA1080" s="40">
        <f t="shared" si="678"/>
        <v>116443700.87630865</v>
      </c>
      <c r="CB1080" s="40">
        <f t="shared" si="678"/>
        <v>116443700.87630865</v>
      </c>
      <c r="CC1080" s="40">
        <f t="shared" si="678"/>
        <v>116443700.87630865</v>
      </c>
      <c r="CD1080" s="40">
        <f t="shared" si="678"/>
        <v>116443700.87630865</v>
      </c>
    </row>
    <row r="1081" spans="2:82">
      <c r="B1081" t="s">
        <v>373</v>
      </c>
      <c r="BN1081" s="915">
        <v>20218700</v>
      </c>
      <c r="BO1081" s="918">
        <v>359697062.77348483</v>
      </c>
      <c r="BP1081" s="918">
        <v>365264968.07043761</v>
      </c>
      <c r="BQ1081" s="918">
        <v>371233446.62262356</v>
      </c>
      <c r="BR1081" s="918">
        <v>378051854.62202942</v>
      </c>
      <c r="BS1081" s="918">
        <v>386556316.32916838</v>
      </c>
      <c r="BT1081" s="918">
        <v>397860563.06423092</v>
      </c>
      <c r="BU1081" s="40">
        <f t="shared" si="679"/>
        <v>397860563.06423092</v>
      </c>
      <c r="BV1081" s="40">
        <f t="shared" si="678"/>
        <v>397860563.06423092</v>
      </c>
      <c r="BW1081" s="40">
        <f t="shared" si="678"/>
        <v>397860563.06423092</v>
      </c>
      <c r="BX1081" s="40">
        <f t="shared" si="678"/>
        <v>397860563.06423092</v>
      </c>
      <c r="BY1081" s="40">
        <f t="shared" si="678"/>
        <v>397860563.06423092</v>
      </c>
      <c r="BZ1081" s="40">
        <f t="shared" si="678"/>
        <v>397860563.06423092</v>
      </c>
      <c r="CA1081" s="40">
        <f t="shared" si="678"/>
        <v>397860563.06423092</v>
      </c>
      <c r="CB1081" s="40">
        <f t="shared" si="678"/>
        <v>397860563.06423092</v>
      </c>
      <c r="CC1081" s="40">
        <f t="shared" si="678"/>
        <v>397860563.06423092</v>
      </c>
      <c r="CD1081" s="40">
        <f t="shared" si="678"/>
        <v>397860563.06423092</v>
      </c>
    </row>
    <row r="1082" spans="2:82">
      <c r="B1082" t="s">
        <v>374</v>
      </c>
      <c r="BN1082" s="915">
        <v>0</v>
      </c>
      <c r="BO1082" s="918">
        <v>112954584.45638096</v>
      </c>
      <c r="BP1082" s="918">
        <v>112921659.10698959</v>
      </c>
      <c r="BQ1082" s="918">
        <v>113754117.27270004</v>
      </c>
      <c r="BR1082" s="918">
        <v>115599146.9884288</v>
      </c>
      <c r="BS1082" s="918">
        <v>117494553.39818832</v>
      </c>
      <c r="BT1082" s="918">
        <v>119529036.89852402</v>
      </c>
      <c r="BU1082" s="40">
        <f t="shared" si="679"/>
        <v>119529036.89852402</v>
      </c>
      <c r="BV1082" s="40">
        <f t="shared" si="678"/>
        <v>119529036.89852402</v>
      </c>
      <c r="BW1082" s="40">
        <f t="shared" si="678"/>
        <v>119529036.89852402</v>
      </c>
      <c r="BX1082" s="40">
        <f t="shared" si="678"/>
        <v>119529036.89852402</v>
      </c>
      <c r="BY1082" s="40">
        <f t="shared" si="678"/>
        <v>119529036.89852402</v>
      </c>
      <c r="BZ1082" s="40">
        <f t="shared" si="678"/>
        <v>119529036.89852402</v>
      </c>
      <c r="CA1082" s="40">
        <f t="shared" si="678"/>
        <v>119529036.89852402</v>
      </c>
      <c r="CB1082" s="40">
        <f t="shared" si="678"/>
        <v>119529036.89852402</v>
      </c>
      <c r="CC1082" s="40">
        <f t="shared" si="678"/>
        <v>119529036.89852402</v>
      </c>
      <c r="CD1082" s="40">
        <f t="shared" si="678"/>
        <v>119529036.89852402</v>
      </c>
    </row>
    <row r="1083" spans="2:82">
      <c r="B1083" t="s">
        <v>375</v>
      </c>
      <c r="BN1083" s="915">
        <v>7739000</v>
      </c>
      <c r="BO1083" s="918">
        <v>10904010</v>
      </c>
      <c r="BP1083" s="918">
        <v>10904010</v>
      </c>
      <c r="BQ1083" s="918">
        <v>10904010</v>
      </c>
      <c r="BR1083" s="918">
        <v>10904010</v>
      </c>
      <c r="BS1083" s="918">
        <v>10904010</v>
      </c>
      <c r="BT1083" s="918">
        <v>10904010</v>
      </c>
      <c r="BU1083" s="40">
        <f t="shared" si="679"/>
        <v>10904010</v>
      </c>
      <c r="BV1083" s="40">
        <f t="shared" ref="BV1083:CD1101" si="685">BU1083</f>
        <v>10904010</v>
      </c>
      <c r="BW1083" s="40">
        <f t="shared" si="685"/>
        <v>10904010</v>
      </c>
      <c r="BX1083" s="40">
        <f t="shared" si="685"/>
        <v>10904010</v>
      </c>
      <c r="BY1083" s="40">
        <f t="shared" si="685"/>
        <v>10904010</v>
      </c>
      <c r="BZ1083" s="40">
        <f t="shared" si="685"/>
        <v>10904010</v>
      </c>
      <c r="CA1083" s="40">
        <f t="shared" si="685"/>
        <v>10904010</v>
      </c>
      <c r="CB1083" s="40">
        <f t="shared" si="685"/>
        <v>10904010</v>
      </c>
      <c r="CC1083" s="40">
        <f t="shared" si="685"/>
        <v>10904010</v>
      </c>
      <c r="CD1083" s="40">
        <f t="shared" si="685"/>
        <v>10904010</v>
      </c>
    </row>
    <row r="1084" spans="2:82">
      <c r="B1084" t="s">
        <v>376</v>
      </c>
      <c r="BN1084" s="915">
        <v>0</v>
      </c>
      <c r="BO1084" s="918">
        <v>3650000</v>
      </c>
      <c r="BP1084" s="918">
        <v>3650000</v>
      </c>
      <c r="BQ1084" s="918">
        <v>3650000</v>
      </c>
      <c r="BR1084" s="918">
        <v>3650000</v>
      </c>
      <c r="BS1084" s="918">
        <v>3650000</v>
      </c>
      <c r="BT1084" s="918">
        <v>3650000</v>
      </c>
      <c r="BU1084" s="40">
        <f t="shared" si="679"/>
        <v>3650000</v>
      </c>
      <c r="BV1084" s="40">
        <f t="shared" si="685"/>
        <v>3650000</v>
      </c>
      <c r="BW1084" s="40">
        <f t="shared" si="685"/>
        <v>3650000</v>
      </c>
      <c r="BX1084" s="40">
        <f t="shared" si="685"/>
        <v>3650000</v>
      </c>
      <c r="BY1084" s="40">
        <f t="shared" si="685"/>
        <v>3650000</v>
      </c>
      <c r="BZ1084" s="40">
        <f t="shared" si="685"/>
        <v>3650000</v>
      </c>
      <c r="CA1084" s="40">
        <f t="shared" si="685"/>
        <v>3650000</v>
      </c>
      <c r="CB1084" s="40">
        <f t="shared" si="685"/>
        <v>3650000</v>
      </c>
      <c r="CC1084" s="40">
        <f t="shared" si="685"/>
        <v>3650000</v>
      </c>
      <c r="CD1084" s="40">
        <f t="shared" si="685"/>
        <v>3650000</v>
      </c>
    </row>
    <row r="1085" spans="2:82">
      <c r="B1085" s="1037" t="s">
        <v>4676</v>
      </c>
      <c r="BN1085" s="915"/>
      <c r="BO1085" s="1098">
        <v>5741940.0000000009</v>
      </c>
      <c r="BP1085" s="1098">
        <v>17380836.017999999</v>
      </c>
      <c r="BQ1085" s="1098">
        <v>51210580</v>
      </c>
      <c r="BR1085" s="1098">
        <v>54663980</v>
      </c>
      <c r="BS1085" s="1098">
        <v>58596400</v>
      </c>
      <c r="BT1085" s="1098">
        <v>62913150</v>
      </c>
      <c r="BU1085" s="40"/>
      <c r="BV1085" s="40"/>
      <c r="BW1085" s="40"/>
      <c r="BX1085" s="40"/>
      <c r="BY1085" s="40"/>
      <c r="BZ1085" s="40"/>
      <c r="CA1085" s="40"/>
      <c r="CB1085" s="40"/>
      <c r="CC1085" s="40"/>
      <c r="CD1085" s="40"/>
    </row>
    <row r="1086" spans="2:82">
      <c r="B1086" s="960" t="s">
        <v>2330</v>
      </c>
      <c r="BN1086" s="952"/>
      <c r="BO1086" s="962">
        <f t="shared" ref="BO1086:BT1086" si="686">BO1078-BN1078</f>
        <v>69235167.229865789</v>
      </c>
      <c r="BP1086" s="962">
        <f t="shared" si="686"/>
        <v>14538115.282530427</v>
      </c>
      <c r="BQ1086" s="962">
        <f t="shared" si="686"/>
        <v>40240526.264497519</v>
      </c>
      <c r="BR1086" s="962">
        <f t="shared" si="686"/>
        <v>20645908.151892543</v>
      </c>
      <c r="BS1086" s="962">
        <f t="shared" si="686"/>
        <v>25065839.664224982</v>
      </c>
      <c r="BT1086" s="962">
        <f t="shared" si="686"/>
        <v>23099194.246052384</v>
      </c>
      <c r="BU1086" s="40">
        <f t="shared" si="679"/>
        <v>23099194.246052384</v>
      </c>
      <c r="BV1086" s="40">
        <f t="shared" si="685"/>
        <v>23099194.246052384</v>
      </c>
      <c r="BW1086" s="40">
        <f t="shared" si="685"/>
        <v>23099194.246052384</v>
      </c>
      <c r="BX1086" s="40">
        <f t="shared" si="685"/>
        <v>23099194.246052384</v>
      </c>
      <c r="BY1086" s="40">
        <f t="shared" si="685"/>
        <v>23099194.246052384</v>
      </c>
      <c r="BZ1086" s="40">
        <f t="shared" si="685"/>
        <v>23099194.246052384</v>
      </c>
      <c r="CA1086" s="40">
        <f t="shared" si="685"/>
        <v>23099194.246052384</v>
      </c>
      <c r="CB1086" s="40">
        <f t="shared" si="685"/>
        <v>23099194.246052384</v>
      </c>
      <c r="CC1086" s="40">
        <f t="shared" si="685"/>
        <v>23099194.246052384</v>
      </c>
      <c r="CD1086" s="40">
        <f t="shared" si="685"/>
        <v>23099194.246052384</v>
      </c>
    </row>
    <row r="1087" spans="2:82">
      <c r="B1087" s="467"/>
      <c r="BN1087" s="953">
        <f>3.35*BN1086</f>
        <v>0</v>
      </c>
      <c r="BO1087" s="1097">
        <f>DataInput!BO1086*DataInput!BO764</f>
        <v>231937810.22005039</v>
      </c>
      <c r="BP1087" s="1097">
        <f>DataInput!BP1086*DataInput!BP764</f>
        <v>61060084.186627798</v>
      </c>
      <c r="BQ1087" s="1097">
        <f>DataInput!BQ1086*DataInput!BQ764</f>
        <v>169010210.31088957</v>
      </c>
      <c r="BR1087" s="1097">
        <f>DataInput!BR1086*DataInput!BR764</f>
        <v>86712814.237948686</v>
      </c>
      <c r="BS1087" s="1097">
        <f>DataInput!BS1086*DataInput!BS764</f>
        <v>105276526.58974493</v>
      </c>
      <c r="BT1087" s="1097">
        <f>DataInput!BT1086*DataInput!BT764</f>
        <v>97016615.833420023</v>
      </c>
      <c r="BU1087" s="40">
        <f t="shared" si="679"/>
        <v>97016615.833420023</v>
      </c>
      <c r="BV1087" s="40">
        <f t="shared" si="685"/>
        <v>97016615.833420023</v>
      </c>
      <c r="BW1087" s="40">
        <f t="shared" si="685"/>
        <v>97016615.833420023</v>
      </c>
      <c r="BX1087" s="40">
        <f t="shared" si="685"/>
        <v>97016615.833420023</v>
      </c>
      <c r="BY1087" s="40">
        <f t="shared" si="685"/>
        <v>97016615.833420023</v>
      </c>
      <c r="BZ1087" s="40">
        <f t="shared" si="685"/>
        <v>97016615.833420023</v>
      </c>
      <c r="CA1087" s="40">
        <f t="shared" si="685"/>
        <v>97016615.833420023</v>
      </c>
      <c r="CB1087" s="40">
        <f t="shared" si="685"/>
        <v>97016615.833420023</v>
      </c>
      <c r="CC1087" s="40">
        <f t="shared" si="685"/>
        <v>97016615.833420023</v>
      </c>
      <c r="CD1087" s="40">
        <f t="shared" si="685"/>
        <v>97016615.833420023</v>
      </c>
    </row>
    <row r="1088" spans="2:82">
      <c r="B1088" s="919" t="s">
        <v>385</v>
      </c>
      <c r="BU1088" s="40">
        <f t="shared" si="679"/>
        <v>0</v>
      </c>
      <c r="BV1088" s="40">
        <f t="shared" si="685"/>
        <v>0</v>
      </c>
      <c r="BW1088" s="40">
        <f t="shared" si="685"/>
        <v>0</v>
      </c>
      <c r="BX1088" s="40">
        <f t="shared" si="685"/>
        <v>0</v>
      </c>
      <c r="BY1088" s="40">
        <f t="shared" si="685"/>
        <v>0</v>
      </c>
      <c r="BZ1088" s="40">
        <f t="shared" si="685"/>
        <v>0</v>
      </c>
      <c r="CA1088" s="40">
        <f t="shared" si="685"/>
        <v>0</v>
      </c>
      <c r="CB1088" s="40">
        <f t="shared" si="685"/>
        <v>0</v>
      </c>
      <c r="CC1088" s="40">
        <f t="shared" si="685"/>
        <v>0</v>
      </c>
      <c r="CD1088" s="40">
        <f t="shared" si="685"/>
        <v>0</v>
      </c>
    </row>
    <row r="1089" spans="2:82">
      <c r="B1089" s="1074" t="s">
        <v>4604</v>
      </c>
      <c r="BM1089" s="1">
        <f>BM87</f>
        <v>95</v>
      </c>
      <c r="BN1089" s="1">
        <f>BN87</f>
        <v>82</v>
      </c>
      <c r="BO1089" s="509">
        <f t="shared" ref="BO1089:BT1089" si="687">BO1090</f>
        <v>43.71</v>
      </c>
      <c r="BP1089" s="509">
        <f t="shared" si="687"/>
        <v>34.896787620064032</v>
      </c>
      <c r="BQ1089" s="509">
        <f t="shared" si="687"/>
        <v>49.347694933604174</v>
      </c>
      <c r="BR1089" s="509">
        <f t="shared" si="687"/>
        <v>53.935683334227043</v>
      </c>
      <c r="BS1089" s="509">
        <f t="shared" si="687"/>
        <v>59.709514182708219</v>
      </c>
      <c r="BT1089" s="509">
        <f t="shared" si="687"/>
        <v>62.637816501510841</v>
      </c>
      <c r="BU1089" s="40">
        <f>BT1089</f>
        <v>62.637816501510841</v>
      </c>
      <c r="BV1089" s="40">
        <f t="shared" si="685"/>
        <v>62.637816501510841</v>
      </c>
      <c r="BW1089" s="40">
        <f t="shared" si="685"/>
        <v>62.637816501510841</v>
      </c>
      <c r="BX1089" s="40">
        <f t="shared" si="685"/>
        <v>62.637816501510841</v>
      </c>
      <c r="BY1089" s="40">
        <f t="shared" si="685"/>
        <v>62.637816501510841</v>
      </c>
      <c r="BZ1089" s="40">
        <f t="shared" si="685"/>
        <v>62.637816501510841</v>
      </c>
      <c r="CA1089" s="40">
        <f t="shared" si="685"/>
        <v>62.637816501510841</v>
      </c>
      <c r="CB1089" s="40">
        <f t="shared" si="685"/>
        <v>62.637816501510841</v>
      </c>
      <c r="CC1089" s="40">
        <f t="shared" si="685"/>
        <v>62.637816501510841</v>
      </c>
      <c r="CD1089" s="40">
        <f t="shared" si="685"/>
        <v>62.637816501510841</v>
      </c>
    </row>
    <row r="1090" spans="2:82">
      <c r="B1090" s="25" t="s">
        <v>372</v>
      </c>
      <c r="D1090" s="52"/>
      <c r="BN1090" s="233">
        <f>BN1089</f>
        <v>82</v>
      </c>
      <c r="BO1090" s="1096">
        <v>43.71</v>
      </c>
      <c r="BP1090" s="1096">
        <f>BO1090*BP$89/BO$89-11.41</f>
        <v>34.896787620064032</v>
      </c>
      <c r="BQ1090" s="1096">
        <f>BP1090*BQ$89/BP$89+12.16</f>
        <v>49.347694933604174</v>
      </c>
      <c r="BR1090" s="1096">
        <f>BQ1090*BR$89/BQ$89+2.1</f>
        <v>53.935683334227043</v>
      </c>
      <c r="BS1090" s="1096">
        <f>BR1090*BS$89/BR$89+4.35</f>
        <v>59.709514182708219</v>
      </c>
      <c r="BT1090" s="1096">
        <f>BS1090*BT$89/BS$89-7.08</f>
        <v>62.637816501510841</v>
      </c>
      <c r="BU1090" s="40">
        <f t="shared" si="679"/>
        <v>62.637816501510841</v>
      </c>
      <c r="BV1090" s="40">
        <f t="shared" si="685"/>
        <v>62.637816501510841</v>
      </c>
      <c r="BW1090" s="40">
        <f t="shared" si="685"/>
        <v>62.637816501510841</v>
      </c>
      <c r="BX1090" s="40">
        <f t="shared" si="685"/>
        <v>62.637816501510841</v>
      </c>
      <c r="BY1090" s="40">
        <f t="shared" si="685"/>
        <v>62.637816501510841</v>
      </c>
      <c r="BZ1090" s="40">
        <f t="shared" si="685"/>
        <v>62.637816501510841</v>
      </c>
      <c r="CA1090" s="40">
        <f t="shared" si="685"/>
        <v>62.637816501510841</v>
      </c>
      <c r="CB1090" s="40">
        <f t="shared" si="685"/>
        <v>62.637816501510841</v>
      </c>
      <c r="CC1090" s="40">
        <f t="shared" si="685"/>
        <v>62.637816501510841</v>
      </c>
      <c r="CD1090" s="40">
        <f t="shared" si="685"/>
        <v>62.637816501510841</v>
      </c>
    </row>
    <row r="1091" spans="2:82">
      <c r="B1091" s="25" t="s">
        <v>4680</v>
      </c>
      <c r="D1091" s="52"/>
      <c r="BM1091" s="1" t="s">
        <v>2219</v>
      </c>
      <c r="BN1091" s="233">
        <f>BN1081/(BN1063*1000)</f>
        <v>111.70552486187846</v>
      </c>
      <c r="BO1091" s="1021">
        <v>76.56</v>
      </c>
      <c r="BP1091" s="1096">
        <f>BO1091*BP$89/BO$89+10.21</f>
        <v>91.318388473852735</v>
      </c>
      <c r="BQ1091" s="1096">
        <f>BP1091*BQ$89/BP$89-1.71</f>
        <v>95.603265890453869</v>
      </c>
      <c r="BR1091" s="1096">
        <f>BQ1091*BR$89/BQ$89+10.21-10.38</f>
        <v>100.25334546898628</v>
      </c>
      <c r="BS1091" s="1096">
        <f>BR1091*BS$89/BR$89+10.21-8.21</f>
        <v>104.89990146156791</v>
      </c>
      <c r="BT1091" s="1096">
        <f>BS1091*BT$89/BS$89+10.21-22.98</f>
        <v>109.7128602481262</v>
      </c>
      <c r="BU1091" s="40">
        <f t="shared" si="679"/>
        <v>109.7128602481262</v>
      </c>
      <c r="BV1091" s="40">
        <f t="shared" si="685"/>
        <v>109.7128602481262</v>
      </c>
      <c r="BW1091" s="40">
        <f t="shared" si="685"/>
        <v>109.7128602481262</v>
      </c>
      <c r="BX1091" s="40">
        <f t="shared" si="685"/>
        <v>109.7128602481262</v>
      </c>
      <c r="BY1091" s="40">
        <f t="shared" si="685"/>
        <v>109.7128602481262</v>
      </c>
      <c r="BZ1091" s="40">
        <f t="shared" si="685"/>
        <v>109.7128602481262</v>
      </c>
      <c r="CA1091" s="40">
        <f t="shared" si="685"/>
        <v>109.7128602481262</v>
      </c>
      <c r="CB1091" s="40">
        <f t="shared" si="685"/>
        <v>109.7128602481262</v>
      </c>
      <c r="CC1091" s="40">
        <f t="shared" si="685"/>
        <v>109.7128602481262</v>
      </c>
      <c r="CD1091" s="40">
        <f t="shared" si="685"/>
        <v>109.7128602481262</v>
      </c>
    </row>
    <row r="1092" spans="2:82">
      <c r="B1092" s="25" t="s">
        <v>374</v>
      </c>
      <c r="D1092" s="52"/>
      <c r="BN1092" s="1023">
        <v>123.78584597959558</v>
      </c>
      <c r="BO1092" s="1021">
        <v>73.540000000000006</v>
      </c>
      <c r="BP1092" s="1021">
        <f>BO1092*BP$89/BO$89-8.41</f>
        <v>69.498971896122384</v>
      </c>
      <c r="BQ1092" s="1021">
        <f>BP1092*BQ$89/BP$89+4.34</f>
        <v>78.401446377550158</v>
      </c>
      <c r="BR1092" s="1021">
        <f>BQ1092*BR$89/BQ$89+0.78</f>
        <v>83.134252875236641</v>
      </c>
      <c r="BS1092" s="1021">
        <f>BR1092*BS$89/BR$89+4.1</f>
        <v>89.428887419415688</v>
      </c>
      <c r="BT1092" s="1021">
        <f>BS1092*BT$89/BS$89-10.41</f>
        <v>94.008648323999907</v>
      </c>
      <c r="BU1092" s="40">
        <f t="shared" si="679"/>
        <v>94.008648323999907</v>
      </c>
      <c r="BV1092" s="40">
        <f t="shared" si="685"/>
        <v>94.008648323999907</v>
      </c>
      <c r="BW1092" s="40">
        <f t="shared" si="685"/>
        <v>94.008648323999907</v>
      </c>
      <c r="BX1092" s="40">
        <f t="shared" si="685"/>
        <v>94.008648323999907</v>
      </c>
      <c r="BY1092" s="40">
        <f t="shared" si="685"/>
        <v>94.008648323999907</v>
      </c>
      <c r="BZ1092" s="40">
        <f t="shared" si="685"/>
        <v>94.008648323999907</v>
      </c>
      <c r="CA1092" s="40">
        <f t="shared" si="685"/>
        <v>94.008648323999907</v>
      </c>
      <c r="CB1092" s="40">
        <f t="shared" si="685"/>
        <v>94.008648323999907</v>
      </c>
      <c r="CC1092" s="40">
        <f t="shared" si="685"/>
        <v>94.008648323999907</v>
      </c>
      <c r="CD1092" s="40">
        <f t="shared" si="685"/>
        <v>94.008648323999907</v>
      </c>
    </row>
    <row r="1093" spans="2:82">
      <c r="B1093" s="25" t="s">
        <v>375</v>
      </c>
      <c r="D1093" s="52"/>
      <c r="BN1093" s="233">
        <f>0.4*BN1089</f>
        <v>32.800000000000004</v>
      </c>
      <c r="BO1093" s="1021">
        <f t="shared" ref="BO1093:BT1093" si="688">BO1090</f>
        <v>43.71</v>
      </c>
      <c r="BP1093" s="1021">
        <f t="shared" si="688"/>
        <v>34.896787620064032</v>
      </c>
      <c r="BQ1093" s="1021">
        <f t="shared" si="688"/>
        <v>49.347694933604174</v>
      </c>
      <c r="BR1093" s="1021">
        <f t="shared" si="688"/>
        <v>53.935683334227043</v>
      </c>
      <c r="BS1093" s="1021">
        <f t="shared" si="688"/>
        <v>59.709514182708219</v>
      </c>
      <c r="BT1093" s="1021">
        <f t="shared" si="688"/>
        <v>62.637816501510841</v>
      </c>
      <c r="BU1093" s="40">
        <f t="shared" si="679"/>
        <v>62.637816501510841</v>
      </c>
      <c r="BV1093" s="40">
        <f t="shared" si="685"/>
        <v>62.637816501510841</v>
      </c>
      <c r="BW1093" s="40">
        <f t="shared" si="685"/>
        <v>62.637816501510841</v>
      </c>
      <c r="BX1093" s="40">
        <f t="shared" si="685"/>
        <v>62.637816501510841</v>
      </c>
      <c r="BY1093" s="40">
        <f t="shared" si="685"/>
        <v>62.637816501510841</v>
      </c>
      <c r="BZ1093" s="40">
        <f t="shared" si="685"/>
        <v>62.637816501510841</v>
      </c>
      <c r="CA1093" s="40">
        <f t="shared" si="685"/>
        <v>62.637816501510841</v>
      </c>
      <c r="CB1093" s="40">
        <f t="shared" si="685"/>
        <v>62.637816501510841</v>
      </c>
      <c r="CC1093" s="40">
        <f t="shared" si="685"/>
        <v>62.637816501510841</v>
      </c>
      <c r="CD1093" s="40">
        <f t="shared" si="685"/>
        <v>62.637816501510841</v>
      </c>
    </row>
    <row r="1094" spans="2:82">
      <c r="B1094" s="25" t="s">
        <v>376</v>
      </c>
      <c r="D1094" s="52"/>
      <c r="BN1094" s="233">
        <f>0.5*BN1089</f>
        <v>41</v>
      </c>
      <c r="BO1094" s="1071">
        <v>24.33</v>
      </c>
      <c r="BP1094" s="1071">
        <f>BO1094*BP$89/BO$89-0.47</f>
        <v>25.305432230522946</v>
      </c>
      <c r="BQ1094" s="1071">
        <f>BP1094*BQ$89/BP$89-0.65</f>
        <v>26.316685420941763</v>
      </c>
      <c r="BR1094" s="1071">
        <f>BQ1094*BR$89/BQ$89-0.27</f>
        <v>27.373507436807742</v>
      </c>
      <c r="BS1094" s="1071">
        <f>BR1094*BS$89/BR$89+0.37</f>
        <v>28.466131901916214</v>
      </c>
      <c r="BT1094" s="1071">
        <f>BS1094*BT$89/BS$89-6.64</f>
        <v>26.597526508301996</v>
      </c>
      <c r="BU1094" s="40">
        <f t="shared" si="679"/>
        <v>26.597526508301996</v>
      </c>
      <c r="BV1094" s="40">
        <f t="shared" si="685"/>
        <v>26.597526508301996</v>
      </c>
      <c r="BW1094" s="40">
        <f t="shared" si="685"/>
        <v>26.597526508301996</v>
      </c>
      <c r="BX1094" s="40">
        <f t="shared" si="685"/>
        <v>26.597526508301996</v>
      </c>
      <c r="BY1094" s="40">
        <f t="shared" si="685"/>
        <v>26.597526508301996</v>
      </c>
      <c r="BZ1094" s="40">
        <f t="shared" si="685"/>
        <v>26.597526508301996</v>
      </c>
      <c r="CA1094" s="40">
        <f t="shared" si="685"/>
        <v>26.597526508301996</v>
      </c>
      <c r="CB1094" s="40">
        <f t="shared" si="685"/>
        <v>26.597526508301996</v>
      </c>
      <c r="CC1094" s="40">
        <f t="shared" si="685"/>
        <v>26.597526508301996</v>
      </c>
      <c r="CD1094" s="40">
        <f t="shared" si="685"/>
        <v>26.597526508301996</v>
      </c>
    </row>
    <row r="1095" spans="2:82">
      <c r="B1095" s="1037" t="str">
        <f>B1076</f>
        <v>Low Sulfur Diesel (Automotive Diesel)</v>
      </c>
      <c r="BN1095" s="1">
        <v>105</v>
      </c>
      <c r="BO1095" s="1096">
        <v>76.52</v>
      </c>
      <c r="BP1095" s="1096">
        <f>BO1095*BP$89/BO$89-15.92</f>
        <v>65.146012095339742</v>
      </c>
      <c r="BQ1095" s="1096">
        <f>BP1095*BQ$89/BP$89+8.97</f>
        <v>78.392723097569061</v>
      </c>
      <c r="BR1095" s="1096">
        <f>BQ1095*BR$89/BQ$89+0.78</f>
        <v>83.125089789111854</v>
      </c>
      <c r="BS1095" s="1096">
        <f>BR1095*BS$89/BR$89+4.1</f>
        <v>89.41948243991186</v>
      </c>
      <c r="BT1095" s="1096">
        <f>BS1095*BT$89/BS$89-10.32</f>
        <v>94.087666914349796</v>
      </c>
      <c r="BU1095" s="40">
        <f t="shared" si="679"/>
        <v>94.087666914349796</v>
      </c>
      <c r="BV1095" s="40">
        <f t="shared" si="685"/>
        <v>94.087666914349796</v>
      </c>
      <c r="BW1095" s="40">
        <f t="shared" si="685"/>
        <v>94.087666914349796</v>
      </c>
      <c r="BX1095" s="40">
        <f t="shared" si="685"/>
        <v>94.087666914349796</v>
      </c>
      <c r="BY1095" s="40">
        <f t="shared" si="685"/>
        <v>94.087666914349796</v>
      </c>
      <c r="BZ1095" s="40">
        <f t="shared" si="685"/>
        <v>94.087666914349796</v>
      </c>
      <c r="CA1095" s="40">
        <f t="shared" si="685"/>
        <v>94.087666914349796</v>
      </c>
      <c r="CB1095" s="40">
        <f t="shared" si="685"/>
        <v>94.087666914349796</v>
      </c>
      <c r="CC1095" s="40">
        <f t="shared" si="685"/>
        <v>94.087666914349796</v>
      </c>
      <c r="CD1095" s="40">
        <f t="shared" si="685"/>
        <v>94.087666914349796</v>
      </c>
    </row>
    <row r="1096" spans="2:82">
      <c r="BU1096" s="40">
        <f t="shared" si="679"/>
        <v>0</v>
      </c>
      <c r="BV1096" s="40">
        <f t="shared" si="685"/>
        <v>0</v>
      </c>
      <c r="BW1096" s="40">
        <f t="shared" si="685"/>
        <v>0</v>
      </c>
      <c r="BX1096" s="40">
        <f t="shared" si="685"/>
        <v>0</v>
      </c>
      <c r="BY1096" s="40">
        <f t="shared" si="685"/>
        <v>0</v>
      </c>
      <c r="BZ1096" s="40">
        <f t="shared" si="685"/>
        <v>0</v>
      </c>
      <c r="CA1096" s="40">
        <f t="shared" si="685"/>
        <v>0</v>
      </c>
      <c r="CB1096" s="40">
        <f t="shared" si="685"/>
        <v>0</v>
      </c>
      <c r="CC1096" s="40">
        <f t="shared" si="685"/>
        <v>0</v>
      </c>
      <c r="CD1096" s="40">
        <f t="shared" si="685"/>
        <v>0</v>
      </c>
    </row>
    <row r="1097" spans="2:82">
      <c r="B1097" s="919" t="s">
        <v>1170</v>
      </c>
      <c r="BP1097" s="52"/>
      <c r="BQ1097" s="52"/>
      <c r="BR1097" s="52"/>
      <c r="BS1097" s="52"/>
      <c r="BT1097" s="52"/>
      <c r="BU1097" s="40">
        <f t="shared" si="679"/>
        <v>0</v>
      </c>
      <c r="BV1097" s="40">
        <f t="shared" si="685"/>
        <v>0</v>
      </c>
      <c r="BW1097" s="40">
        <f t="shared" si="685"/>
        <v>0</v>
      </c>
      <c r="BX1097" s="40">
        <f t="shared" si="685"/>
        <v>0</v>
      </c>
      <c r="BY1097" s="40">
        <f t="shared" si="685"/>
        <v>0</v>
      </c>
      <c r="BZ1097" s="40">
        <f t="shared" si="685"/>
        <v>0</v>
      </c>
      <c r="CA1097" s="40">
        <f t="shared" si="685"/>
        <v>0</v>
      </c>
      <c r="CB1097" s="40">
        <f t="shared" si="685"/>
        <v>0</v>
      </c>
      <c r="CC1097" s="40">
        <f t="shared" si="685"/>
        <v>0</v>
      </c>
      <c r="CD1097" s="40">
        <f t="shared" si="685"/>
        <v>0</v>
      </c>
    </row>
    <row r="1098" spans="2:82">
      <c r="BP1098" s="1100">
        <f>BP1097-BP1095</f>
        <v>-65.146012095339742</v>
      </c>
      <c r="BQ1098" s="1100">
        <f>BQ1097-BQ1095</f>
        <v>-78.392723097569061</v>
      </c>
      <c r="BR1098" s="1100">
        <f>BR1097-BR1095</f>
        <v>-83.125089789111854</v>
      </c>
      <c r="BS1098" s="1100">
        <f>BS1097-BS1095</f>
        <v>-89.41948243991186</v>
      </c>
      <c r="BT1098" s="1100">
        <f>BT1097-BT1095</f>
        <v>-94.087666914349796</v>
      </c>
      <c r="BU1098" s="40">
        <f t="shared" si="679"/>
        <v>-94.087666914349796</v>
      </c>
      <c r="BV1098" s="40">
        <f t="shared" si="685"/>
        <v>-94.087666914349796</v>
      </c>
      <c r="BW1098" s="40">
        <f t="shared" si="685"/>
        <v>-94.087666914349796</v>
      </c>
      <c r="BX1098" s="40">
        <f t="shared" si="685"/>
        <v>-94.087666914349796</v>
      </c>
      <c r="BY1098" s="40">
        <f t="shared" si="685"/>
        <v>-94.087666914349796</v>
      </c>
      <c r="BZ1098" s="40">
        <f t="shared" si="685"/>
        <v>-94.087666914349796</v>
      </c>
      <c r="CA1098" s="40">
        <f t="shared" si="685"/>
        <v>-94.087666914349796</v>
      </c>
      <c r="CB1098" s="40">
        <f t="shared" si="685"/>
        <v>-94.087666914349796</v>
      </c>
      <c r="CC1098" s="40">
        <f t="shared" si="685"/>
        <v>-94.087666914349796</v>
      </c>
      <c r="CD1098" s="40">
        <f t="shared" si="685"/>
        <v>-94.087666914349796</v>
      </c>
    </row>
    <row r="1099" spans="2:82">
      <c r="B1099" s="25" t="s">
        <v>1171</v>
      </c>
      <c r="BN1099" s="4">
        <f t="shared" ref="BN1099:BT1099" si="689">BN1060-BN1069</f>
        <v>-730.90000000000009</v>
      </c>
      <c r="BO1099" s="4">
        <f t="shared" si="689"/>
        <v>3849</v>
      </c>
      <c r="BP1099" s="4">
        <f t="shared" si="689"/>
        <v>2298.0239999999994</v>
      </c>
      <c r="BQ1099" s="4">
        <f t="shared" si="689"/>
        <v>2667.6000000000004</v>
      </c>
      <c r="BR1099" s="4">
        <f t="shared" si="689"/>
        <v>2667.6000000000004</v>
      </c>
      <c r="BS1099" s="4">
        <f t="shared" si="689"/>
        <v>2667.6000000000004</v>
      </c>
      <c r="BT1099" s="4">
        <f t="shared" si="689"/>
        <v>2667.6000000000004</v>
      </c>
      <c r="BU1099" s="40">
        <f t="shared" si="679"/>
        <v>2667.6000000000004</v>
      </c>
      <c r="BV1099" s="40">
        <f t="shared" si="685"/>
        <v>2667.6000000000004</v>
      </c>
      <c r="BW1099" s="40">
        <f t="shared" si="685"/>
        <v>2667.6000000000004</v>
      </c>
      <c r="BX1099" s="40">
        <f t="shared" si="685"/>
        <v>2667.6000000000004</v>
      </c>
      <c r="BY1099" s="40">
        <f t="shared" si="685"/>
        <v>2667.6000000000004</v>
      </c>
      <c r="BZ1099" s="40">
        <f t="shared" si="685"/>
        <v>2667.6000000000004</v>
      </c>
      <c r="CA1099" s="40">
        <f t="shared" si="685"/>
        <v>2667.6000000000004</v>
      </c>
      <c r="CB1099" s="40">
        <f t="shared" si="685"/>
        <v>2667.6000000000004</v>
      </c>
      <c r="CC1099" s="40">
        <f t="shared" si="685"/>
        <v>2667.6000000000004</v>
      </c>
      <c r="CD1099" s="40">
        <f t="shared" si="685"/>
        <v>2667.6000000000004</v>
      </c>
    </row>
    <row r="1100" spans="2:82">
      <c r="B1100" s="25" t="str">
        <f t="shared" ref="B1100:B1106" si="690">B1061</f>
        <v>Crude bypass</v>
      </c>
      <c r="BN1100" s="467">
        <f t="shared" ref="BN1100:BT1106" si="691">BN1061-BN1070</f>
        <v>-3005</v>
      </c>
      <c r="BO1100" s="1">
        <f t="shared" ref="BO1100:BT1100" si="692">BO1061-BO1070</f>
        <v>0</v>
      </c>
      <c r="BP1100" s="1">
        <f t="shared" si="692"/>
        <v>0</v>
      </c>
      <c r="BQ1100" s="1">
        <f t="shared" si="692"/>
        <v>0</v>
      </c>
      <c r="BR1100" s="1">
        <f t="shared" si="692"/>
        <v>0</v>
      </c>
      <c r="BS1100" s="1">
        <f t="shared" si="692"/>
        <v>0</v>
      </c>
      <c r="BT1100" s="1">
        <f t="shared" si="692"/>
        <v>0</v>
      </c>
      <c r="BU1100" s="40"/>
      <c r="BV1100" s="40"/>
      <c r="BW1100" s="40"/>
      <c r="BX1100" s="40"/>
      <c r="BY1100" s="40"/>
      <c r="BZ1100" s="40"/>
      <c r="CA1100" s="40"/>
      <c r="CB1100" s="40"/>
      <c r="CC1100" s="40"/>
      <c r="CD1100" s="40"/>
    </row>
    <row r="1101" spans="2:82">
      <c r="B1101" s="25" t="str">
        <f t="shared" si="690"/>
        <v>Fuel Oil</v>
      </c>
      <c r="BN1101" s="467">
        <f t="shared" si="691"/>
        <v>2076</v>
      </c>
      <c r="BO1101" s="1">
        <f t="shared" si="691"/>
        <v>2883</v>
      </c>
      <c r="BP1101" s="1">
        <f t="shared" si="691"/>
        <v>648.43199999999979</v>
      </c>
      <c r="BQ1101" s="1">
        <f t="shared" si="691"/>
        <v>516</v>
      </c>
      <c r="BR1101" s="1">
        <f t="shared" si="691"/>
        <v>516</v>
      </c>
      <c r="BS1101" s="1">
        <f t="shared" si="691"/>
        <v>516</v>
      </c>
      <c r="BT1101" s="1">
        <f t="shared" si="691"/>
        <v>516</v>
      </c>
      <c r="BU1101" s="40">
        <f t="shared" si="679"/>
        <v>516</v>
      </c>
      <c r="BV1101" s="40">
        <f t="shared" si="685"/>
        <v>516</v>
      </c>
      <c r="BW1101" s="40">
        <f t="shared" si="685"/>
        <v>516</v>
      </c>
      <c r="BX1101" s="40">
        <f t="shared" si="685"/>
        <v>516</v>
      </c>
      <c r="BY1101" s="40">
        <f t="shared" si="685"/>
        <v>516</v>
      </c>
      <c r="BZ1101" s="40">
        <f t="shared" si="685"/>
        <v>516</v>
      </c>
      <c r="CA1101" s="40">
        <f t="shared" si="685"/>
        <v>516</v>
      </c>
      <c r="CB1101" s="40">
        <f t="shared" si="685"/>
        <v>516</v>
      </c>
      <c r="CC1101" s="40">
        <f t="shared" si="685"/>
        <v>516</v>
      </c>
      <c r="CD1101" s="40">
        <f t="shared" si="685"/>
        <v>516</v>
      </c>
    </row>
    <row r="1102" spans="2:82">
      <c r="B1102" s="25" t="str">
        <f t="shared" si="690"/>
        <v>SO-Diesel (Gasoil)</v>
      </c>
      <c r="BN1102" s="467">
        <f t="shared" si="691"/>
        <v>132</v>
      </c>
      <c r="BO1102" s="1">
        <f t="shared" si="691"/>
        <v>149</v>
      </c>
      <c r="BP1102" s="1">
        <f t="shared" si="691"/>
        <v>0</v>
      </c>
      <c r="BQ1102" s="1">
        <f t="shared" si="691"/>
        <v>0</v>
      </c>
      <c r="BR1102" s="1">
        <f t="shared" si="691"/>
        <v>0</v>
      </c>
      <c r="BS1102" s="1">
        <f t="shared" si="691"/>
        <v>0</v>
      </c>
      <c r="BT1102" s="1">
        <f t="shared" si="691"/>
        <v>0</v>
      </c>
      <c r="BU1102" s="40">
        <f t="shared" si="679"/>
        <v>0</v>
      </c>
      <c r="BV1102" s="40">
        <f t="shared" ref="BV1102:CD1114" si="693">BU1102</f>
        <v>0</v>
      </c>
      <c r="BW1102" s="40">
        <f t="shared" si="693"/>
        <v>0</v>
      </c>
      <c r="BX1102" s="40">
        <f t="shared" si="693"/>
        <v>0</v>
      </c>
      <c r="BY1102" s="40">
        <f t="shared" si="693"/>
        <v>0</v>
      </c>
      <c r="BZ1102" s="40">
        <f t="shared" si="693"/>
        <v>0</v>
      </c>
      <c r="CA1102" s="40">
        <f t="shared" si="693"/>
        <v>0</v>
      </c>
      <c r="CB1102" s="40">
        <f t="shared" si="693"/>
        <v>0</v>
      </c>
      <c r="CC1102" s="40">
        <f t="shared" si="693"/>
        <v>0</v>
      </c>
      <c r="CD1102" s="40">
        <f t="shared" si="693"/>
        <v>0</v>
      </c>
    </row>
    <row r="1103" spans="2:82">
      <c r="B1103" s="25" t="str">
        <f t="shared" si="690"/>
        <v>Gasoline 95 Ron</v>
      </c>
      <c r="BN1103" s="467">
        <f t="shared" si="691"/>
        <v>0</v>
      </c>
      <c r="BO1103" s="1">
        <f t="shared" si="691"/>
        <v>202</v>
      </c>
      <c r="BP1103" s="1">
        <f t="shared" si="691"/>
        <v>523.74599999999998</v>
      </c>
      <c r="BQ1103" s="1">
        <f t="shared" si="691"/>
        <v>805</v>
      </c>
      <c r="BR1103" s="1">
        <f t="shared" si="691"/>
        <v>805</v>
      </c>
      <c r="BS1103" s="1">
        <f t="shared" si="691"/>
        <v>805</v>
      </c>
      <c r="BT1103" s="1">
        <f t="shared" si="691"/>
        <v>805</v>
      </c>
      <c r="BU1103" s="40">
        <f t="shared" si="679"/>
        <v>805</v>
      </c>
      <c r="BV1103" s="40">
        <f t="shared" si="693"/>
        <v>805</v>
      </c>
      <c r="BW1103" s="40">
        <f t="shared" si="693"/>
        <v>805</v>
      </c>
      <c r="BX1103" s="40">
        <f t="shared" si="693"/>
        <v>805</v>
      </c>
      <c r="BY1103" s="40">
        <f t="shared" si="693"/>
        <v>805</v>
      </c>
      <c r="BZ1103" s="40">
        <f t="shared" si="693"/>
        <v>805</v>
      </c>
      <c r="CA1103" s="40">
        <f t="shared" si="693"/>
        <v>805</v>
      </c>
      <c r="CB1103" s="40">
        <f t="shared" si="693"/>
        <v>805</v>
      </c>
      <c r="CC1103" s="40">
        <f t="shared" si="693"/>
        <v>805</v>
      </c>
      <c r="CD1103" s="40">
        <f t="shared" si="693"/>
        <v>805</v>
      </c>
    </row>
    <row r="1104" spans="2:82">
      <c r="B1104" s="25" t="str">
        <f t="shared" si="690"/>
        <v>Bitumen</v>
      </c>
      <c r="BN1104" s="467">
        <f t="shared" si="691"/>
        <v>66.099999999999994</v>
      </c>
      <c r="BO1104" s="1">
        <f t="shared" si="691"/>
        <v>24</v>
      </c>
      <c r="BP1104" s="1">
        <f t="shared" si="691"/>
        <v>36.6</v>
      </c>
      <c r="BQ1104" s="1">
        <f t="shared" si="691"/>
        <v>36.6</v>
      </c>
      <c r="BR1104" s="1">
        <f t="shared" si="691"/>
        <v>36.6</v>
      </c>
      <c r="BS1104" s="1">
        <f t="shared" si="691"/>
        <v>36.6</v>
      </c>
      <c r="BT1104" s="1">
        <f t="shared" si="691"/>
        <v>36.6</v>
      </c>
      <c r="BU1104" s="40">
        <f t="shared" si="679"/>
        <v>36.6</v>
      </c>
      <c r="BV1104" s="40">
        <f t="shared" si="693"/>
        <v>36.6</v>
      </c>
      <c r="BW1104" s="40">
        <f t="shared" si="693"/>
        <v>36.6</v>
      </c>
      <c r="BX1104" s="40">
        <f t="shared" si="693"/>
        <v>36.6</v>
      </c>
      <c r="BY1104" s="40">
        <f t="shared" si="693"/>
        <v>36.6</v>
      </c>
      <c r="BZ1104" s="40">
        <f t="shared" si="693"/>
        <v>36.6</v>
      </c>
      <c r="CA1104" s="40">
        <f t="shared" si="693"/>
        <v>36.6</v>
      </c>
      <c r="CB1104" s="40">
        <f t="shared" si="693"/>
        <v>36.6</v>
      </c>
      <c r="CC1104" s="40">
        <f t="shared" si="693"/>
        <v>36.6</v>
      </c>
      <c r="CD1104" s="40">
        <f t="shared" si="693"/>
        <v>36.6</v>
      </c>
    </row>
    <row r="1105" spans="2:82">
      <c r="B1105" s="25" t="str">
        <f t="shared" si="690"/>
        <v>Sulfuric Acid</v>
      </c>
      <c r="BN1105" s="467">
        <f t="shared" si="691"/>
        <v>0</v>
      </c>
      <c r="BO1105" s="1">
        <f t="shared" si="691"/>
        <v>0</v>
      </c>
      <c r="BP1105" s="1">
        <f t="shared" si="691"/>
        <v>0</v>
      </c>
      <c r="BQ1105" s="1">
        <f t="shared" si="691"/>
        <v>0</v>
      </c>
      <c r="BR1105" s="1">
        <f t="shared" si="691"/>
        <v>0</v>
      </c>
      <c r="BS1105" s="1">
        <f t="shared" si="691"/>
        <v>0</v>
      </c>
      <c r="BT1105" s="1">
        <f t="shared" si="691"/>
        <v>0</v>
      </c>
      <c r="BU1105" s="40">
        <f t="shared" si="679"/>
        <v>0</v>
      </c>
      <c r="BV1105" s="40">
        <f t="shared" si="693"/>
        <v>0</v>
      </c>
      <c r="BW1105" s="40">
        <f t="shared" si="693"/>
        <v>0</v>
      </c>
      <c r="BX1105" s="40">
        <f t="shared" si="693"/>
        <v>0</v>
      </c>
      <c r="BY1105" s="40">
        <f t="shared" si="693"/>
        <v>0</v>
      </c>
      <c r="BZ1105" s="40">
        <f t="shared" si="693"/>
        <v>0</v>
      </c>
      <c r="CA1105" s="40">
        <f t="shared" si="693"/>
        <v>0</v>
      </c>
      <c r="CB1105" s="40">
        <f t="shared" si="693"/>
        <v>0</v>
      </c>
      <c r="CC1105" s="40">
        <f t="shared" si="693"/>
        <v>0</v>
      </c>
      <c r="CD1105" s="40">
        <f t="shared" si="693"/>
        <v>0</v>
      </c>
    </row>
    <row r="1106" spans="2:82">
      <c r="B1106" s="259" t="str">
        <f t="shared" si="690"/>
        <v>Low Sulfur Diesel</v>
      </c>
      <c r="BN1106" s="467">
        <f t="shared" si="691"/>
        <v>0</v>
      </c>
      <c r="BO1106" s="1">
        <f t="shared" si="691"/>
        <v>591</v>
      </c>
      <c r="BP1106" s="1">
        <f t="shared" si="691"/>
        <v>1089.2460000000001</v>
      </c>
      <c r="BQ1106" s="1">
        <f t="shared" si="691"/>
        <v>1310</v>
      </c>
      <c r="BR1106" s="1">
        <f t="shared" si="691"/>
        <v>1310</v>
      </c>
      <c r="BS1106" s="1">
        <f t="shared" si="691"/>
        <v>1310</v>
      </c>
      <c r="BT1106" s="1">
        <f t="shared" si="691"/>
        <v>1310</v>
      </c>
      <c r="BU1106" s="40"/>
      <c r="BV1106" s="40"/>
      <c r="BW1106" s="40"/>
      <c r="BX1106" s="40"/>
      <c r="BY1106" s="40"/>
      <c r="BZ1106" s="40"/>
      <c r="CA1106" s="40"/>
      <c r="CB1106" s="40"/>
      <c r="CC1106" s="40"/>
      <c r="CD1106" s="40"/>
    </row>
    <row r="1107" spans="2:82">
      <c r="B1107" s="25" t="str">
        <f>B1003</f>
        <v>Ethanol</v>
      </c>
      <c r="C1107" s="25" t="str">
        <f>C1003</f>
        <v>MML</v>
      </c>
      <c r="D1107" s="25"/>
      <c r="BN1107" s="951"/>
      <c r="BO1107" s="25"/>
      <c r="BP1107" s="25">
        <f t="shared" ref="BP1107:BT1108" si="694">BP1003</f>
        <v>0</v>
      </c>
      <c r="BQ1107" s="25">
        <f t="shared" si="694"/>
        <v>0</v>
      </c>
      <c r="BR1107" s="25">
        <f t="shared" si="694"/>
        <v>0</v>
      </c>
      <c r="BS1107" s="25">
        <f t="shared" si="694"/>
        <v>0</v>
      </c>
      <c r="BT1107" s="25">
        <f t="shared" si="694"/>
        <v>0</v>
      </c>
      <c r="BU1107" s="40">
        <f t="shared" si="679"/>
        <v>0</v>
      </c>
      <c r="BV1107" s="40">
        <f t="shared" si="693"/>
        <v>0</v>
      </c>
      <c r="BW1107" s="40">
        <f t="shared" si="693"/>
        <v>0</v>
      </c>
      <c r="BX1107" s="40">
        <f t="shared" si="693"/>
        <v>0</v>
      </c>
      <c r="BY1107" s="40">
        <f t="shared" si="693"/>
        <v>0</v>
      </c>
      <c r="BZ1107" s="40">
        <f t="shared" si="693"/>
        <v>0</v>
      </c>
      <c r="CA1107" s="40">
        <f t="shared" si="693"/>
        <v>0</v>
      </c>
      <c r="CB1107" s="40">
        <f t="shared" si="693"/>
        <v>0</v>
      </c>
      <c r="CC1107" s="40">
        <f t="shared" si="693"/>
        <v>0</v>
      </c>
      <c r="CD1107" s="40">
        <f t="shared" si="693"/>
        <v>0</v>
      </c>
    </row>
    <row r="1108" spans="2:82">
      <c r="B1108" s="25" t="str">
        <f>B1004</f>
        <v>Suiker</v>
      </c>
      <c r="C1108" s="25" t="str">
        <f>C1004</f>
        <v>(x1000 ton)</v>
      </c>
      <c r="D1108" s="25"/>
      <c r="BN1108" s="951"/>
      <c r="BO1108" s="25"/>
      <c r="BP1108" s="25">
        <f t="shared" si="694"/>
        <v>0</v>
      </c>
      <c r="BQ1108" s="25">
        <f t="shared" si="694"/>
        <v>0</v>
      </c>
      <c r="BR1108" s="25">
        <f t="shared" si="694"/>
        <v>0</v>
      </c>
      <c r="BS1108" s="25">
        <f t="shared" si="694"/>
        <v>0</v>
      </c>
      <c r="BT1108" s="25">
        <f t="shared" si="694"/>
        <v>0</v>
      </c>
      <c r="BU1108" s="40">
        <f t="shared" si="679"/>
        <v>0</v>
      </c>
      <c r="BV1108" s="40">
        <f t="shared" si="693"/>
        <v>0</v>
      </c>
      <c r="BW1108" s="40">
        <f t="shared" si="693"/>
        <v>0</v>
      </c>
      <c r="BX1108" s="40">
        <f t="shared" si="693"/>
        <v>0</v>
      </c>
      <c r="BY1108" s="40">
        <f t="shared" si="693"/>
        <v>0</v>
      </c>
      <c r="BZ1108" s="40">
        <f t="shared" si="693"/>
        <v>0</v>
      </c>
      <c r="CA1108" s="40">
        <f t="shared" si="693"/>
        <v>0</v>
      </c>
      <c r="CB1108" s="40">
        <f t="shared" si="693"/>
        <v>0</v>
      </c>
      <c r="CC1108" s="40">
        <f t="shared" si="693"/>
        <v>0</v>
      </c>
      <c r="CD1108" s="40">
        <f t="shared" si="693"/>
        <v>0</v>
      </c>
    </row>
    <row r="1109" spans="2:82">
      <c r="BU1109" s="40">
        <f t="shared" si="679"/>
        <v>0</v>
      </c>
      <c r="BV1109" s="40">
        <f t="shared" si="693"/>
        <v>0</v>
      </c>
      <c r="BW1109" s="40">
        <f t="shared" si="693"/>
        <v>0</v>
      </c>
      <c r="BX1109" s="40">
        <f t="shared" si="693"/>
        <v>0</v>
      </c>
      <c r="BY1109" s="40">
        <f t="shared" si="693"/>
        <v>0</v>
      </c>
      <c r="BZ1109" s="40">
        <f t="shared" si="693"/>
        <v>0</v>
      </c>
      <c r="CA1109" s="40">
        <f t="shared" si="693"/>
        <v>0</v>
      </c>
      <c r="CB1109" s="40">
        <f t="shared" si="693"/>
        <v>0</v>
      </c>
      <c r="CC1109" s="40">
        <f t="shared" si="693"/>
        <v>0</v>
      </c>
      <c r="CD1109" s="40">
        <f t="shared" si="693"/>
        <v>0</v>
      </c>
    </row>
    <row r="1110" spans="2:82">
      <c r="BU1110" s="40">
        <f t="shared" si="679"/>
        <v>0</v>
      </c>
      <c r="BV1110" s="40">
        <f t="shared" si="693"/>
        <v>0</v>
      </c>
      <c r="BW1110" s="40">
        <f t="shared" si="693"/>
        <v>0</v>
      </c>
      <c r="BX1110" s="40">
        <f t="shared" si="693"/>
        <v>0</v>
      </c>
      <c r="BY1110" s="40">
        <f t="shared" si="693"/>
        <v>0</v>
      </c>
      <c r="BZ1110" s="40">
        <f t="shared" si="693"/>
        <v>0</v>
      </c>
      <c r="CA1110" s="40">
        <f t="shared" si="693"/>
        <v>0</v>
      </c>
      <c r="CB1110" s="40">
        <f t="shared" si="693"/>
        <v>0</v>
      </c>
      <c r="CC1110" s="40">
        <f t="shared" si="693"/>
        <v>0</v>
      </c>
      <c r="CD1110" s="40">
        <f t="shared" si="693"/>
        <v>0</v>
      </c>
    </row>
    <row r="1111" spans="2:82">
      <c r="B1111" s="25" t="s">
        <v>379</v>
      </c>
      <c r="BU1111" s="40">
        <f t="shared" si="679"/>
        <v>0</v>
      </c>
      <c r="BV1111" s="40">
        <f t="shared" si="693"/>
        <v>0</v>
      </c>
      <c r="BW1111" s="40">
        <f t="shared" si="693"/>
        <v>0</v>
      </c>
      <c r="BX1111" s="40">
        <f t="shared" si="693"/>
        <v>0</v>
      </c>
      <c r="BY1111" s="40">
        <f t="shared" si="693"/>
        <v>0</v>
      </c>
      <c r="BZ1111" s="40">
        <f t="shared" si="693"/>
        <v>0</v>
      </c>
      <c r="CA1111" s="40">
        <f t="shared" si="693"/>
        <v>0</v>
      </c>
      <c r="CB1111" s="40">
        <f t="shared" si="693"/>
        <v>0</v>
      </c>
      <c r="CC1111" s="40">
        <f t="shared" si="693"/>
        <v>0</v>
      </c>
      <c r="CD1111" s="40">
        <f t="shared" si="693"/>
        <v>0</v>
      </c>
    </row>
    <row r="1112" spans="2:82">
      <c r="B1112" s="25" t="str">
        <f t="shared" ref="B1112:B1118" si="695">B1100</f>
        <v>Crude bypass</v>
      </c>
      <c r="BN1112" s="467">
        <f t="shared" ref="BN1112:BT1115" si="696">BN1100*BN1089</f>
        <v>-246410</v>
      </c>
      <c r="BO1112" s="1">
        <f t="shared" si="696"/>
        <v>0</v>
      </c>
      <c r="BP1112" s="1">
        <f t="shared" si="696"/>
        <v>0</v>
      </c>
      <c r="BQ1112" s="1">
        <f t="shared" si="696"/>
        <v>0</v>
      </c>
      <c r="BR1112" s="1">
        <f t="shared" si="696"/>
        <v>0</v>
      </c>
      <c r="BS1112" s="1">
        <f t="shared" si="696"/>
        <v>0</v>
      </c>
      <c r="BT1112" s="1">
        <f t="shared" si="696"/>
        <v>0</v>
      </c>
      <c r="BU1112" s="40">
        <f>BT1112</f>
        <v>0</v>
      </c>
      <c r="BV1112" s="40">
        <f t="shared" si="693"/>
        <v>0</v>
      </c>
      <c r="BW1112" s="40">
        <f t="shared" si="693"/>
        <v>0</v>
      </c>
      <c r="BX1112" s="40">
        <f t="shared" si="693"/>
        <v>0</v>
      </c>
      <c r="BY1112" s="40">
        <f t="shared" si="693"/>
        <v>0</v>
      </c>
      <c r="BZ1112" s="40">
        <f t="shared" si="693"/>
        <v>0</v>
      </c>
      <c r="CA1112" s="40">
        <f t="shared" si="693"/>
        <v>0</v>
      </c>
      <c r="CB1112" s="40">
        <f t="shared" si="693"/>
        <v>0</v>
      </c>
      <c r="CC1112" s="40">
        <f t="shared" si="693"/>
        <v>0</v>
      </c>
      <c r="CD1112" s="40">
        <f t="shared" si="693"/>
        <v>0</v>
      </c>
    </row>
    <row r="1113" spans="2:82">
      <c r="B1113" s="25" t="str">
        <f t="shared" si="695"/>
        <v>Fuel Oil</v>
      </c>
      <c r="BN1113" s="467">
        <f t="shared" si="696"/>
        <v>170232</v>
      </c>
      <c r="BO1113" s="1">
        <f t="shared" si="696"/>
        <v>126015.93000000001</v>
      </c>
      <c r="BP1113" s="1">
        <f t="shared" si="696"/>
        <v>22628.193790053352</v>
      </c>
      <c r="BQ1113" s="1">
        <f t="shared" si="696"/>
        <v>25463.410585739755</v>
      </c>
      <c r="BR1113" s="1">
        <f t="shared" si="696"/>
        <v>27830.812600461155</v>
      </c>
      <c r="BS1113" s="1">
        <f t="shared" si="696"/>
        <v>30810.109318277442</v>
      </c>
      <c r="BT1113" s="1">
        <f t="shared" si="696"/>
        <v>32321.113314779595</v>
      </c>
      <c r="BU1113" s="40">
        <f t="shared" si="679"/>
        <v>32321.113314779595</v>
      </c>
      <c r="BV1113" s="40">
        <f t="shared" si="693"/>
        <v>32321.113314779595</v>
      </c>
      <c r="BW1113" s="40">
        <f t="shared" si="693"/>
        <v>32321.113314779595</v>
      </c>
      <c r="BX1113" s="40">
        <f t="shared" si="693"/>
        <v>32321.113314779595</v>
      </c>
      <c r="BY1113" s="40">
        <f t="shared" si="693"/>
        <v>32321.113314779595</v>
      </c>
      <c r="BZ1113" s="40">
        <f t="shared" si="693"/>
        <v>32321.113314779595</v>
      </c>
      <c r="CA1113" s="40">
        <f t="shared" si="693"/>
        <v>32321.113314779595</v>
      </c>
      <c r="CB1113" s="40">
        <f t="shared" si="693"/>
        <v>32321.113314779595</v>
      </c>
      <c r="CC1113" s="40">
        <f t="shared" si="693"/>
        <v>32321.113314779595</v>
      </c>
      <c r="CD1113" s="40">
        <f t="shared" si="693"/>
        <v>32321.113314779595</v>
      </c>
    </row>
    <row r="1114" spans="2:82">
      <c r="B1114" s="25" t="str">
        <f t="shared" si="695"/>
        <v>SO-Diesel (Gasoil)</v>
      </c>
      <c r="BN1114" s="467">
        <f t="shared" si="696"/>
        <v>14745.129281767957</v>
      </c>
      <c r="BO1114" s="1">
        <f t="shared" si="696"/>
        <v>11407.44</v>
      </c>
      <c r="BP1114" s="1">
        <f t="shared" si="696"/>
        <v>0</v>
      </c>
      <c r="BQ1114" s="1">
        <f t="shared" si="696"/>
        <v>0</v>
      </c>
      <c r="BR1114" s="1">
        <f t="shared" si="696"/>
        <v>0</v>
      </c>
      <c r="BS1114" s="1">
        <f t="shared" si="696"/>
        <v>0</v>
      </c>
      <c r="BT1114" s="1">
        <f t="shared" si="696"/>
        <v>0</v>
      </c>
      <c r="BU1114" s="40">
        <f t="shared" si="679"/>
        <v>0</v>
      </c>
      <c r="BV1114" s="40">
        <f t="shared" si="693"/>
        <v>0</v>
      </c>
      <c r="BW1114" s="40">
        <f t="shared" si="693"/>
        <v>0</v>
      </c>
      <c r="BX1114" s="40">
        <f t="shared" si="693"/>
        <v>0</v>
      </c>
      <c r="BY1114" s="40">
        <f t="shared" si="693"/>
        <v>0</v>
      </c>
      <c r="BZ1114" s="40">
        <f t="shared" si="693"/>
        <v>0</v>
      </c>
      <c r="CA1114" s="40">
        <f t="shared" si="693"/>
        <v>0</v>
      </c>
      <c r="CB1114" s="40">
        <f t="shared" si="693"/>
        <v>0</v>
      </c>
      <c r="CC1114" s="40">
        <f t="shared" si="693"/>
        <v>0</v>
      </c>
      <c r="CD1114" s="40">
        <f t="shared" si="693"/>
        <v>0</v>
      </c>
    </row>
    <row r="1115" spans="2:82">
      <c r="B1115" s="25" t="str">
        <f t="shared" si="695"/>
        <v>Gasoline 95 Ron</v>
      </c>
      <c r="BN1115" s="467">
        <f t="shared" si="696"/>
        <v>0</v>
      </c>
      <c r="BO1115" s="1">
        <f t="shared" si="696"/>
        <v>14855.080000000002</v>
      </c>
      <c r="BP1115" s="1">
        <f t="shared" si="696"/>
        <v>36399.808534706513</v>
      </c>
      <c r="BQ1115" s="1">
        <f t="shared" si="696"/>
        <v>63113.164333927874</v>
      </c>
      <c r="BR1115" s="1">
        <f t="shared" si="696"/>
        <v>66923.073564565493</v>
      </c>
      <c r="BS1115" s="1">
        <f t="shared" si="696"/>
        <v>71990.254372629628</v>
      </c>
      <c r="BT1115" s="1">
        <f t="shared" si="696"/>
        <v>75676.961900819922</v>
      </c>
      <c r="BU1115" s="40">
        <f t="shared" ref="BU1115:CD1137" si="697">BT1115</f>
        <v>75676.961900819922</v>
      </c>
      <c r="BV1115" s="40">
        <f t="shared" si="697"/>
        <v>75676.961900819922</v>
      </c>
      <c r="BW1115" s="40">
        <f t="shared" si="697"/>
        <v>75676.961900819922</v>
      </c>
      <c r="BX1115" s="40">
        <f t="shared" si="697"/>
        <v>75676.961900819922</v>
      </c>
      <c r="BY1115" s="40">
        <f t="shared" si="697"/>
        <v>75676.961900819922</v>
      </c>
      <c r="BZ1115" s="40">
        <f t="shared" si="697"/>
        <v>75676.961900819922</v>
      </c>
      <c r="CA1115" s="40">
        <f t="shared" si="697"/>
        <v>75676.961900819922</v>
      </c>
      <c r="CB1115" s="40">
        <f t="shared" si="697"/>
        <v>75676.961900819922</v>
      </c>
      <c r="CC1115" s="40">
        <f t="shared" si="697"/>
        <v>75676.961900819922</v>
      </c>
      <c r="CD1115" s="40">
        <f t="shared" si="697"/>
        <v>75676.961900819922</v>
      </c>
    </row>
    <row r="1116" spans="2:82">
      <c r="B1116" s="25" t="str">
        <f t="shared" si="695"/>
        <v>Bitumen</v>
      </c>
      <c r="BU1116" s="40">
        <f t="shared" si="697"/>
        <v>0</v>
      </c>
      <c r="BV1116" s="40">
        <f t="shared" si="697"/>
        <v>0</v>
      </c>
      <c r="BW1116" s="40">
        <f t="shared" si="697"/>
        <v>0</v>
      </c>
      <c r="BX1116" s="40">
        <f t="shared" si="697"/>
        <v>0</v>
      </c>
      <c r="BY1116" s="40">
        <f t="shared" si="697"/>
        <v>0</v>
      </c>
      <c r="BZ1116" s="40">
        <f t="shared" si="697"/>
        <v>0</v>
      </c>
      <c r="CA1116" s="40">
        <f t="shared" si="697"/>
        <v>0</v>
      </c>
      <c r="CB1116" s="40">
        <f t="shared" si="697"/>
        <v>0</v>
      </c>
      <c r="CC1116" s="40">
        <f t="shared" si="697"/>
        <v>0</v>
      </c>
      <c r="CD1116" s="40">
        <f t="shared" si="697"/>
        <v>0</v>
      </c>
    </row>
    <row r="1117" spans="2:82">
      <c r="B1117" s="25" t="str">
        <f t="shared" si="695"/>
        <v>Sulfuric Acid</v>
      </c>
      <c r="BU1117" s="40">
        <f t="shared" si="697"/>
        <v>0</v>
      </c>
      <c r="BV1117" s="40">
        <f t="shared" si="697"/>
        <v>0</v>
      </c>
      <c r="BW1117" s="40">
        <f t="shared" si="697"/>
        <v>0</v>
      </c>
      <c r="BX1117" s="40">
        <f t="shared" si="697"/>
        <v>0</v>
      </c>
      <c r="BY1117" s="40">
        <f t="shared" si="697"/>
        <v>0</v>
      </c>
      <c r="BZ1117" s="40">
        <f t="shared" si="697"/>
        <v>0</v>
      </c>
      <c r="CA1117" s="40">
        <f t="shared" si="697"/>
        <v>0</v>
      </c>
      <c r="CB1117" s="40">
        <f t="shared" si="697"/>
        <v>0</v>
      </c>
      <c r="CC1117" s="40">
        <f t="shared" si="697"/>
        <v>0</v>
      </c>
      <c r="CD1117" s="40">
        <f t="shared" si="697"/>
        <v>0</v>
      </c>
    </row>
    <row r="1118" spans="2:82">
      <c r="B1118" s="259" t="str">
        <f t="shared" si="695"/>
        <v>Low Sulfur Diesel</v>
      </c>
      <c r="BN1118" s="467">
        <f>BN1106*BN1095</f>
        <v>0</v>
      </c>
      <c r="BO1118" s="1">
        <f t="shared" ref="BO1118:BT1118" si="698">BO1106*BO1095</f>
        <v>45223.32</v>
      </c>
      <c r="BP1118" s="1">
        <f t="shared" si="698"/>
        <v>70960.03309080044</v>
      </c>
      <c r="BQ1118" s="1">
        <f t="shared" si="698"/>
        <v>102694.46725781547</v>
      </c>
      <c r="BR1118" s="1">
        <f t="shared" si="698"/>
        <v>108893.86762373653</v>
      </c>
      <c r="BS1118" s="1">
        <f t="shared" si="698"/>
        <v>117139.52199628454</v>
      </c>
      <c r="BT1118" s="1">
        <f t="shared" si="698"/>
        <v>123254.84365779824</v>
      </c>
      <c r="BU1118" s="40"/>
      <c r="BV1118" s="40"/>
      <c r="BW1118" s="40"/>
      <c r="BX1118" s="40"/>
      <c r="BY1118" s="40"/>
      <c r="BZ1118" s="40"/>
      <c r="CA1118" s="40"/>
      <c r="CB1118" s="40"/>
      <c r="CC1118" s="40"/>
      <c r="CD1118" s="40"/>
    </row>
    <row r="1119" spans="2:82">
      <c r="B1119" s="25" t="str">
        <f>B1107</f>
        <v>Ethanol</v>
      </c>
      <c r="BN1119" s="467">
        <f t="shared" ref="BN1119:BT1119" si="699">BN1003*BN1011*1000</f>
        <v>0</v>
      </c>
      <c r="BO1119" s="1">
        <f t="shared" si="699"/>
        <v>0</v>
      </c>
      <c r="BP1119" s="1">
        <f t="shared" si="699"/>
        <v>0</v>
      </c>
      <c r="BQ1119" s="1">
        <f t="shared" si="699"/>
        <v>0</v>
      </c>
      <c r="BR1119" s="1">
        <f t="shared" si="699"/>
        <v>0</v>
      </c>
      <c r="BS1119" s="1">
        <f t="shared" si="699"/>
        <v>0</v>
      </c>
      <c r="BT1119" s="1">
        <f t="shared" si="699"/>
        <v>0</v>
      </c>
      <c r="BU1119" s="40">
        <f t="shared" si="697"/>
        <v>0</v>
      </c>
      <c r="BV1119" s="40">
        <f t="shared" si="697"/>
        <v>0</v>
      </c>
      <c r="BW1119" s="40">
        <f t="shared" si="697"/>
        <v>0</v>
      </c>
      <c r="BX1119" s="40">
        <f t="shared" si="697"/>
        <v>0</v>
      </c>
      <c r="BY1119" s="40">
        <f t="shared" si="697"/>
        <v>0</v>
      </c>
      <c r="BZ1119" s="40">
        <f t="shared" si="697"/>
        <v>0</v>
      </c>
      <c r="CA1119" s="40">
        <f t="shared" si="697"/>
        <v>0</v>
      </c>
      <c r="CB1119" s="40">
        <f t="shared" si="697"/>
        <v>0</v>
      </c>
      <c r="CC1119" s="40">
        <f t="shared" si="697"/>
        <v>0</v>
      </c>
      <c r="CD1119" s="40">
        <f t="shared" si="697"/>
        <v>0</v>
      </c>
    </row>
    <row r="1120" spans="2:82">
      <c r="B1120" s="25" t="str">
        <f>B1108</f>
        <v>Suiker</v>
      </c>
      <c r="BN1120" s="467">
        <f>BN1004*BN1012</f>
        <v>0</v>
      </c>
      <c r="BO1120" s="1">
        <f t="shared" ref="BO1120:BT1120" si="700">BO1004*BO1012</f>
        <v>0</v>
      </c>
      <c r="BP1120" s="1">
        <f t="shared" si="700"/>
        <v>0</v>
      </c>
      <c r="BQ1120" s="1">
        <f t="shared" si="700"/>
        <v>0</v>
      </c>
      <c r="BR1120" s="1">
        <f t="shared" si="700"/>
        <v>0</v>
      </c>
      <c r="BS1120" s="1">
        <f t="shared" si="700"/>
        <v>0</v>
      </c>
      <c r="BT1120" s="1">
        <f t="shared" si="700"/>
        <v>0</v>
      </c>
      <c r="BU1120" s="40">
        <f t="shared" si="697"/>
        <v>0</v>
      </c>
      <c r="BV1120" s="40">
        <f t="shared" si="697"/>
        <v>0</v>
      </c>
      <c r="BW1120" s="40">
        <f t="shared" si="697"/>
        <v>0</v>
      </c>
      <c r="BX1120" s="40">
        <f t="shared" si="697"/>
        <v>0</v>
      </c>
      <c r="BY1120" s="40">
        <f t="shared" si="697"/>
        <v>0</v>
      </c>
      <c r="BZ1120" s="40">
        <f t="shared" si="697"/>
        <v>0</v>
      </c>
      <c r="CA1120" s="40">
        <f t="shared" si="697"/>
        <v>0</v>
      </c>
      <c r="CB1120" s="40">
        <f t="shared" si="697"/>
        <v>0</v>
      </c>
      <c r="CC1120" s="40">
        <f t="shared" si="697"/>
        <v>0</v>
      </c>
      <c r="CD1120" s="40">
        <f t="shared" si="697"/>
        <v>0</v>
      </c>
    </row>
    <row r="1121" spans="2:82">
      <c r="B1121" s="25" t="s">
        <v>380</v>
      </c>
      <c r="C1121" s="1" t="s">
        <v>381</v>
      </c>
      <c r="BN1121" s="508">
        <v>0</v>
      </c>
      <c r="BO1121" s="1">
        <f t="shared" ref="BO1121:BT1121" si="701">SUM(BO1112:BO1120)</f>
        <v>197501.77000000002</v>
      </c>
      <c r="BP1121" s="1">
        <f t="shared" si="701"/>
        <v>129988.0354155603</v>
      </c>
      <c r="BQ1121" s="1">
        <f t="shared" si="701"/>
        <v>191271.04217748309</v>
      </c>
      <c r="BR1121" s="1">
        <f t="shared" si="701"/>
        <v>203647.75378876319</v>
      </c>
      <c r="BS1121" s="1">
        <f t="shared" si="701"/>
        <v>219939.88568719162</v>
      </c>
      <c r="BT1121" s="1">
        <f t="shared" si="701"/>
        <v>231252.91887339775</v>
      </c>
      <c r="BU1121" s="40">
        <f t="shared" si="697"/>
        <v>231252.91887339775</v>
      </c>
      <c r="BV1121" s="40">
        <f t="shared" si="697"/>
        <v>231252.91887339775</v>
      </c>
      <c r="BW1121" s="40">
        <f t="shared" si="697"/>
        <v>231252.91887339775</v>
      </c>
      <c r="BX1121" s="40">
        <f t="shared" si="697"/>
        <v>231252.91887339775</v>
      </c>
      <c r="BY1121" s="40">
        <f t="shared" si="697"/>
        <v>231252.91887339775</v>
      </c>
      <c r="BZ1121" s="40">
        <f t="shared" si="697"/>
        <v>231252.91887339775</v>
      </c>
      <c r="CA1121" s="40">
        <f t="shared" si="697"/>
        <v>231252.91887339775</v>
      </c>
      <c r="CB1121" s="40">
        <f t="shared" si="697"/>
        <v>231252.91887339775</v>
      </c>
      <c r="CC1121" s="40">
        <f t="shared" si="697"/>
        <v>231252.91887339775</v>
      </c>
      <c r="CD1121" s="40">
        <f t="shared" si="697"/>
        <v>231252.91887339775</v>
      </c>
    </row>
    <row r="1122" spans="2:82">
      <c r="B1122" s="25" t="s">
        <v>380</v>
      </c>
      <c r="C1122" s="1" t="s">
        <v>382</v>
      </c>
      <c r="BN1122" s="467">
        <f>BN1121*3.35</f>
        <v>0</v>
      </c>
      <c r="BO1122" s="510">
        <f t="shared" ref="BO1122:BT1122" si="702">BO1121*BO764</f>
        <v>661630.92950000009</v>
      </c>
      <c r="BP1122" s="1111">
        <f>BP1121*BP764*0.33+0.66*BQ1122</f>
        <v>710366.74600194977</v>
      </c>
      <c r="BQ1122" s="510">
        <f t="shared" si="702"/>
        <v>803338.37714542903</v>
      </c>
      <c r="BR1122" s="510">
        <f t="shared" si="702"/>
        <v>855320.5659128055</v>
      </c>
      <c r="BS1122" s="510">
        <f t="shared" si="702"/>
        <v>923747.51988620486</v>
      </c>
      <c r="BT1122" s="510">
        <f t="shared" si="702"/>
        <v>971262.25926827057</v>
      </c>
      <c r="BU1122" s="40">
        <f t="shared" si="697"/>
        <v>971262.25926827057</v>
      </c>
      <c r="BV1122" s="40">
        <f t="shared" si="697"/>
        <v>971262.25926827057</v>
      </c>
      <c r="BW1122" s="40">
        <f t="shared" si="697"/>
        <v>971262.25926827057</v>
      </c>
      <c r="BX1122" s="40">
        <f t="shared" si="697"/>
        <v>971262.25926827057</v>
      </c>
      <c r="BY1122" s="40">
        <f t="shared" si="697"/>
        <v>971262.25926827057</v>
      </c>
      <c r="BZ1122" s="40">
        <f t="shared" si="697"/>
        <v>971262.25926827057</v>
      </c>
      <c r="CA1122" s="40">
        <f t="shared" si="697"/>
        <v>971262.25926827057</v>
      </c>
      <c r="CB1122" s="40">
        <f t="shared" si="697"/>
        <v>971262.25926827057</v>
      </c>
      <c r="CC1122" s="40">
        <f t="shared" si="697"/>
        <v>971262.25926827057</v>
      </c>
      <c r="CD1122" s="40">
        <f t="shared" si="697"/>
        <v>971262.25926827057</v>
      </c>
    </row>
    <row r="1123" spans="2:82">
      <c r="B1123" s="25" t="s">
        <v>383</v>
      </c>
      <c r="C1123" s="1" t="s">
        <v>382</v>
      </c>
      <c r="BN1123" s="958">
        <v>0</v>
      </c>
      <c r="BO1123" s="1022">
        <f>(BO1122-BN1122*BO87/BN87)</f>
        <v>661630.92950000009</v>
      </c>
      <c r="BP1123" s="495">
        <f>(BP1122-BO1122)</f>
        <v>48735.816501949681</v>
      </c>
      <c r="BQ1123" s="495">
        <f>(BQ1122-BP1122)</f>
        <v>92971.631143479259</v>
      </c>
      <c r="BR1123" s="495">
        <f>(BR1122-BQ1122)</f>
        <v>51982.188767376472</v>
      </c>
      <c r="BS1123" s="495">
        <f>(BS1122-BR1122)</f>
        <v>68426.953973399359</v>
      </c>
      <c r="BT1123" s="495">
        <f>(BT1122-BS1122)</f>
        <v>47514.739382065716</v>
      </c>
      <c r="BU1123" s="495">
        <f t="shared" ref="BU1123:CD1123" si="703">(BU1122-BT1122)</f>
        <v>0</v>
      </c>
      <c r="BV1123" s="495">
        <f t="shared" si="703"/>
        <v>0</v>
      </c>
      <c r="BW1123" s="495">
        <f t="shared" si="703"/>
        <v>0</v>
      </c>
      <c r="BX1123" s="495">
        <f t="shared" si="703"/>
        <v>0</v>
      </c>
      <c r="BY1123" s="495">
        <f t="shared" si="703"/>
        <v>0</v>
      </c>
      <c r="BZ1123" s="495">
        <f t="shared" si="703"/>
        <v>0</v>
      </c>
      <c r="CA1123" s="495">
        <f t="shared" si="703"/>
        <v>0</v>
      </c>
      <c r="CB1123" s="495">
        <f t="shared" si="703"/>
        <v>0</v>
      </c>
      <c r="CC1123" s="495">
        <f t="shared" si="703"/>
        <v>0</v>
      </c>
      <c r="CD1123" s="495">
        <f t="shared" si="703"/>
        <v>0</v>
      </c>
    </row>
    <row r="1124" spans="2:82">
      <c r="B1124" s="25" t="s">
        <v>4679</v>
      </c>
      <c r="BO1124" s="275"/>
      <c r="BP1124" s="275">
        <f>BP1123/4.2</f>
        <v>11603.765833797543</v>
      </c>
      <c r="BQ1124" s="275">
        <f>BQ1123/4.2</f>
        <v>22136.102653209346</v>
      </c>
      <c r="BR1124" s="275">
        <f>BR1123/4.2</f>
        <v>12376.711611280112</v>
      </c>
      <c r="BS1124" s="275">
        <f>BS1123/4.2</f>
        <v>16292.131898428419</v>
      </c>
      <c r="BT1124" s="275">
        <f>BT1123/4.2</f>
        <v>11313.033186206123</v>
      </c>
      <c r="BU1124" s="40">
        <f t="shared" si="697"/>
        <v>11313.033186206123</v>
      </c>
      <c r="BV1124" s="40">
        <f t="shared" si="697"/>
        <v>11313.033186206123</v>
      </c>
      <c r="BW1124" s="40">
        <f t="shared" si="697"/>
        <v>11313.033186206123</v>
      </c>
      <c r="BX1124" s="40">
        <f t="shared" si="697"/>
        <v>11313.033186206123</v>
      </c>
      <c r="BY1124" s="40">
        <f t="shared" si="697"/>
        <v>11313.033186206123</v>
      </c>
      <c r="BZ1124" s="40">
        <f t="shared" si="697"/>
        <v>11313.033186206123</v>
      </c>
      <c r="CA1124" s="40">
        <f t="shared" si="697"/>
        <v>11313.033186206123</v>
      </c>
      <c r="CB1124" s="40">
        <f t="shared" si="697"/>
        <v>11313.033186206123</v>
      </c>
      <c r="CC1124" s="40">
        <f t="shared" si="697"/>
        <v>11313.033186206123</v>
      </c>
      <c r="CD1124" s="40">
        <f t="shared" si="697"/>
        <v>11313.033186206123</v>
      </c>
    </row>
    <row r="1125" spans="2:82">
      <c r="B1125" s="467" t="s">
        <v>2338</v>
      </c>
      <c r="C1125" s="467" t="s">
        <v>3193</v>
      </c>
      <c r="D1125" s="467"/>
      <c r="BL1125" s="959">
        <f>BK1123/1000+Model!BL77</f>
        <v>-140.19707799999992</v>
      </c>
      <c r="BM1125" s="959">
        <f>BM1123/1000+Model!BM77</f>
        <v>-93.636921999999913</v>
      </c>
      <c r="BN1125" s="959">
        <f>BN1123/1000+Model!BN77</f>
        <v>-36.677506093922602</v>
      </c>
      <c r="BO1125" s="959">
        <f>BO1123/1000+Model!BO77</f>
        <v>162.27801759392253</v>
      </c>
      <c r="BP1125" s="959">
        <f>BP1123/1000+Model!BP77</f>
        <v>411.73415882212043</v>
      </c>
      <c r="BQ1125" s="959">
        <f>BQ1123/1000+Model!BQ77</f>
        <v>292.57424642343028</v>
      </c>
      <c r="BR1125" s="959">
        <f>BR1123/1000+Model!BR77</f>
        <v>119.32752560746465</v>
      </c>
      <c r="BS1125" s="959">
        <f>BS1123/1000+Model!BS77</f>
        <v>155.43607879767956</v>
      </c>
      <c r="BT1125" s="959">
        <f>BT1123/1000+Model!BT77</f>
        <v>101.47404864793883</v>
      </c>
      <c r="BU1125" s="40">
        <f t="shared" si="697"/>
        <v>101.47404864793883</v>
      </c>
      <c r="BV1125" s="40">
        <f t="shared" si="697"/>
        <v>101.47404864793883</v>
      </c>
      <c r="BW1125" s="40">
        <f t="shared" si="697"/>
        <v>101.47404864793883</v>
      </c>
      <c r="BX1125" s="40">
        <f t="shared" si="697"/>
        <v>101.47404864793883</v>
      </c>
      <c r="BY1125" s="40">
        <f t="shared" si="697"/>
        <v>101.47404864793883</v>
      </c>
      <c r="BZ1125" s="40">
        <f t="shared" si="697"/>
        <v>101.47404864793883</v>
      </c>
      <c r="CA1125" s="40">
        <f t="shared" si="697"/>
        <v>101.47404864793883</v>
      </c>
      <c r="CB1125" s="40">
        <f t="shared" si="697"/>
        <v>101.47404864793883</v>
      </c>
      <c r="CC1125" s="40">
        <f t="shared" si="697"/>
        <v>101.47404864793883</v>
      </c>
      <c r="CD1125" s="40">
        <f t="shared" si="697"/>
        <v>101.47404864793883</v>
      </c>
    </row>
    <row r="1126" spans="2:82">
      <c r="B1126" s="467" t="s">
        <v>2339</v>
      </c>
      <c r="C1126" s="467" t="s">
        <v>3193</v>
      </c>
      <c r="D1126" s="467"/>
      <c r="BL1126" s="467">
        <f>BL1125-(((BL1119+BL1120)-(BJ1119+BJ1120))/1000)*3.35</f>
        <v>-140.19707799999992</v>
      </c>
      <c r="BM1126" s="467">
        <f>BM1125-(((BM1119+BM1120)-(BK1119+BK1120))/1000)*3.35</f>
        <v>-93.636921999999913</v>
      </c>
      <c r="BN1126" s="467">
        <f t="shared" ref="BN1126:BT1126" si="704">BN1125-(((BN1119+BN1120)-(BM1119+BM1120))/1000)*3.35</f>
        <v>-36.677506093922602</v>
      </c>
      <c r="BO1126" s="467">
        <f t="shared" si="704"/>
        <v>162.27801759392253</v>
      </c>
      <c r="BP1126" s="467">
        <f t="shared" si="704"/>
        <v>411.73415882212043</v>
      </c>
      <c r="BQ1126" s="467">
        <f t="shared" si="704"/>
        <v>292.57424642343028</v>
      </c>
      <c r="BR1126" s="467">
        <f t="shared" si="704"/>
        <v>119.32752560746465</v>
      </c>
      <c r="BS1126" s="467">
        <f t="shared" si="704"/>
        <v>155.43607879767956</v>
      </c>
      <c r="BT1126" s="467">
        <f t="shared" si="704"/>
        <v>101.47404864793883</v>
      </c>
      <c r="BU1126" s="40">
        <f t="shared" si="697"/>
        <v>101.47404864793883</v>
      </c>
      <c r="BV1126" s="40">
        <f t="shared" si="697"/>
        <v>101.47404864793883</v>
      </c>
      <c r="BW1126" s="40">
        <f t="shared" si="697"/>
        <v>101.47404864793883</v>
      </c>
      <c r="BX1126" s="40">
        <f t="shared" si="697"/>
        <v>101.47404864793883</v>
      </c>
      <c r="BY1126" s="40">
        <f t="shared" si="697"/>
        <v>101.47404864793883</v>
      </c>
      <c r="BZ1126" s="40">
        <f t="shared" si="697"/>
        <v>101.47404864793883</v>
      </c>
      <c r="CA1126" s="40">
        <f t="shared" si="697"/>
        <v>101.47404864793883</v>
      </c>
      <c r="CB1126" s="40">
        <f t="shared" si="697"/>
        <v>101.47404864793883</v>
      </c>
      <c r="CC1126" s="40">
        <f t="shared" si="697"/>
        <v>101.47404864793883</v>
      </c>
      <c r="CD1126" s="40">
        <f t="shared" si="697"/>
        <v>101.47404864793883</v>
      </c>
    </row>
    <row r="1127" spans="2:82">
      <c r="B1127" s="467" t="s">
        <v>2339</v>
      </c>
      <c r="C1127" s="467" t="s">
        <v>3193</v>
      </c>
      <c r="D1127" s="467"/>
      <c r="BL1127" s="467"/>
      <c r="BM1127" s="467">
        <f>BM1126-(Model!BM88+Model!BM89)</f>
        <v>-93.636921999999913</v>
      </c>
      <c r="BN1127" s="467">
        <f>BN1126-(Model!BN88+Model!BN89)</f>
        <v>-37.106038093922599</v>
      </c>
      <c r="BO1127" s="467">
        <f>BO1126-(Model!BO88+Model!BO89)</f>
        <v>162.27801759392253</v>
      </c>
      <c r="BP1127" s="467">
        <f>BP1126-(Model!BP88+Model!BP89)</f>
        <v>411.73415882212043</v>
      </c>
      <c r="BQ1127" s="467">
        <f>BQ1126-(Model!BQ88+Model!BQ89)</f>
        <v>292.57424642343028</v>
      </c>
      <c r="BR1127" s="467">
        <f>BR1126-(Model!BR88+Model!BR89)</f>
        <v>119.32752560746465</v>
      </c>
      <c r="BS1127" s="467">
        <f>BS1126-(Model!BS88+Model!BS89)</f>
        <v>155.43607879767956</v>
      </c>
      <c r="BT1127" s="467">
        <f>BT1126-(Model!BT88+Model!BT89)</f>
        <v>101.47404864793883</v>
      </c>
      <c r="BU1127" s="40">
        <f t="shared" si="697"/>
        <v>101.47404864793883</v>
      </c>
      <c r="BV1127" s="40">
        <f t="shared" si="697"/>
        <v>101.47404864793883</v>
      </c>
      <c r="BW1127" s="40">
        <f t="shared" si="697"/>
        <v>101.47404864793883</v>
      </c>
      <c r="BX1127" s="40">
        <f t="shared" si="697"/>
        <v>101.47404864793883</v>
      </c>
      <c r="BY1127" s="40">
        <f t="shared" si="697"/>
        <v>101.47404864793883</v>
      </c>
      <c r="BZ1127" s="40">
        <f t="shared" si="697"/>
        <v>101.47404864793883</v>
      </c>
      <c r="CA1127" s="40">
        <f t="shared" si="697"/>
        <v>101.47404864793883</v>
      </c>
      <c r="CB1127" s="40">
        <f t="shared" si="697"/>
        <v>101.47404864793883</v>
      </c>
      <c r="CC1127" s="40">
        <f t="shared" si="697"/>
        <v>101.47404864793883</v>
      </c>
      <c r="CD1127" s="40">
        <f t="shared" si="697"/>
        <v>101.47404864793883</v>
      </c>
    </row>
    <row r="1128" spans="2:82">
      <c r="B1128" s="467" t="s">
        <v>2340</v>
      </c>
      <c r="C1128" s="467" t="s">
        <v>3193</v>
      </c>
      <c r="D1128" s="467"/>
      <c r="BL1128" s="467">
        <f t="shared" ref="BL1128:BT1128" si="705">BL1077/1000000</f>
        <v>-140.19707799999989</v>
      </c>
      <c r="BM1128" s="467">
        <f t="shared" si="705"/>
        <v>-93.636921999999998</v>
      </c>
      <c r="BN1128" s="467">
        <f t="shared" si="705"/>
        <v>819.44919499999992</v>
      </c>
      <c r="BO1128" s="467">
        <f t="shared" si="705"/>
        <v>231.93781022005038</v>
      </c>
      <c r="BP1128" s="467">
        <f t="shared" si="705"/>
        <v>61.060084186627797</v>
      </c>
      <c r="BQ1128" s="467">
        <f t="shared" si="705"/>
        <v>169.01021031088956</v>
      </c>
      <c r="BR1128" s="467">
        <f t="shared" si="705"/>
        <v>86.712814237948692</v>
      </c>
      <c r="BS1128" s="467">
        <f t="shared" si="705"/>
        <v>105.27652658974493</v>
      </c>
      <c r="BT1128" s="467">
        <f t="shared" si="705"/>
        <v>97.016615833420019</v>
      </c>
      <c r="BU1128" s="40">
        <f t="shared" si="697"/>
        <v>97.016615833420019</v>
      </c>
      <c r="BV1128" s="40">
        <f t="shared" si="697"/>
        <v>97.016615833420019</v>
      </c>
      <c r="BW1128" s="40">
        <f t="shared" si="697"/>
        <v>97.016615833420019</v>
      </c>
      <c r="BX1128" s="40">
        <f t="shared" si="697"/>
        <v>97.016615833420019</v>
      </c>
      <c r="BY1128" s="40">
        <f t="shared" si="697"/>
        <v>97.016615833420019</v>
      </c>
      <c r="BZ1128" s="40">
        <f t="shared" si="697"/>
        <v>97.016615833420019</v>
      </c>
      <c r="CA1128" s="40">
        <f t="shared" si="697"/>
        <v>97.016615833420019</v>
      </c>
      <c r="CB1128" s="40">
        <f t="shared" si="697"/>
        <v>97.016615833420019</v>
      </c>
      <c r="CC1128" s="40">
        <f t="shared" si="697"/>
        <v>97.016615833420019</v>
      </c>
      <c r="CD1128" s="40">
        <f t="shared" si="697"/>
        <v>97.016615833420019</v>
      </c>
    </row>
    <row r="1129" spans="2:82">
      <c r="BU1129" s="40">
        <f t="shared" si="697"/>
        <v>0</v>
      </c>
      <c r="BV1129" s="40">
        <f t="shared" si="697"/>
        <v>0</v>
      </c>
      <c r="BW1129" s="40">
        <f t="shared" si="697"/>
        <v>0</v>
      </c>
      <c r="BX1129" s="40">
        <f t="shared" si="697"/>
        <v>0</v>
      </c>
      <c r="BY1129" s="40">
        <f t="shared" si="697"/>
        <v>0</v>
      </c>
      <c r="BZ1129" s="40">
        <f t="shared" si="697"/>
        <v>0</v>
      </c>
      <c r="CA1129" s="40">
        <f t="shared" si="697"/>
        <v>0</v>
      </c>
      <c r="CB1129" s="40">
        <f t="shared" si="697"/>
        <v>0</v>
      </c>
      <c r="CC1129" s="40">
        <f t="shared" si="697"/>
        <v>0</v>
      </c>
      <c r="CD1129" s="40">
        <f t="shared" si="697"/>
        <v>0</v>
      </c>
    </row>
    <row r="1130" spans="2:82" hidden="1">
      <c r="BO1130" s="956">
        <f>Model!BO78*1000000+DataInput!BO1122</f>
        <v>345547212.92949998</v>
      </c>
      <c r="BP1130" s="956">
        <f>Model!BP78*1000000+DataInput!BP1122</f>
        <v>708594291.06617272</v>
      </c>
      <c r="BQ1130" s="956">
        <f>Model!BQ78*1000000+DataInput!BQ1122</f>
        <v>908289877.97726715</v>
      </c>
      <c r="BU1130" s="40">
        <f t="shared" si="697"/>
        <v>0</v>
      </c>
      <c r="BV1130" s="40">
        <f t="shared" si="697"/>
        <v>0</v>
      </c>
      <c r="BW1130" s="40">
        <f t="shared" si="697"/>
        <v>0</v>
      </c>
      <c r="BX1130" s="40">
        <f t="shared" si="697"/>
        <v>0</v>
      </c>
      <c r="BY1130" s="40">
        <f t="shared" si="697"/>
        <v>0</v>
      </c>
      <c r="BZ1130" s="40">
        <f t="shared" si="697"/>
        <v>0</v>
      </c>
      <c r="CA1130" s="40">
        <f t="shared" si="697"/>
        <v>0</v>
      </c>
      <c r="CB1130" s="40">
        <f t="shared" si="697"/>
        <v>0</v>
      </c>
      <c r="CC1130" s="40">
        <f t="shared" si="697"/>
        <v>0</v>
      </c>
      <c r="CD1130" s="40">
        <f t="shared" si="697"/>
        <v>0</v>
      </c>
    </row>
    <row r="1131" spans="2:82" s="410" customFormat="1">
      <c r="B1131" s="410" t="s">
        <v>26</v>
      </c>
      <c r="BF1131" s="465"/>
      <c r="BG1131" s="465"/>
      <c r="BO1131" s="1102"/>
      <c r="BU1131" s="410">
        <f t="shared" si="697"/>
        <v>0</v>
      </c>
      <c r="BV1131" s="410">
        <f t="shared" si="697"/>
        <v>0</v>
      </c>
      <c r="BW1131" s="410">
        <f t="shared" si="697"/>
        <v>0</v>
      </c>
      <c r="BX1131" s="410">
        <f t="shared" si="697"/>
        <v>0</v>
      </c>
      <c r="BY1131" s="410">
        <f t="shared" si="697"/>
        <v>0</v>
      </c>
      <c r="BZ1131" s="410">
        <f t="shared" si="697"/>
        <v>0</v>
      </c>
      <c r="CA1131" s="410">
        <f t="shared" si="697"/>
        <v>0</v>
      </c>
      <c r="CB1131" s="410">
        <f t="shared" si="697"/>
        <v>0</v>
      </c>
      <c r="CC1131" s="410">
        <f t="shared" si="697"/>
        <v>0</v>
      </c>
      <c r="CD1131" s="410">
        <f t="shared" si="697"/>
        <v>0</v>
      </c>
    </row>
    <row r="1132" spans="2:82">
      <c r="B1132" s="25" t="s">
        <v>4243</v>
      </c>
      <c r="C1132" s="1" t="s">
        <v>4244</v>
      </c>
      <c r="BN1132" s="1">
        <v>3119</v>
      </c>
      <c r="BO1132" s="370">
        <f t="shared" ref="BO1132:BO1137" si="706">BN1132</f>
        <v>3119</v>
      </c>
      <c r="BP1132" s="1104">
        <f>0.33*BO1132+0.66*BQ1132</f>
        <v>1186.3499999999999</v>
      </c>
      <c r="BQ1132" s="275">
        <v>238</v>
      </c>
      <c r="BR1132" s="275">
        <v>238</v>
      </c>
      <c r="BS1132" s="275">
        <v>238</v>
      </c>
      <c r="BT1132" s="275">
        <v>238</v>
      </c>
      <c r="BU1132" s="40">
        <f t="shared" si="697"/>
        <v>238</v>
      </c>
      <c r="BV1132" s="40">
        <f t="shared" si="697"/>
        <v>238</v>
      </c>
      <c r="BW1132" s="40">
        <f t="shared" si="697"/>
        <v>238</v>
      </c>
      <c r="BX1132" s="40">
        <f t="shared" si="697"/>
        <v>238</v>
      </c>
      <c r="BY1132" s="40">
        <f t="shared" si="697"/>
        <v>238</v>
      </c>
      <c r="BZ1132" s="40">
        <f t="shared" si="697"/>
        <v>238</v>
      </c>
      <c r="CA1132" s="40">
        <f t="shared" si="697"/>
        <v>238</v>
      </c>
      <c r="CB1132" s="40">
        <f t="shared" si="697"/>
        <v>238</v>
      </c>
      <c r="CC1132" s="40">
        <f t="shared" si="697"/>
        <v>238</v>
      </c>
      <c r="CD1132" s="40">
        <f t="shared" si="697"/>
        <v>238</v>
      </c>
    </row>
    <row r="1133" spans="2:82">
      <c r="B1133" s="25" t="s">
        <v>27</v>
      </c>
      <c r="C1133" s="1" t="s">
        <v>4244</v>
      </c>
      <c r="BN1133" s="1">
        <v>769</v>
      </c>
      <c r="BO1133" s="370">
        <f t="shared" si="706"/>
        <v>769</v>
      </c>
      <c r="BP1133" s="1104">
        <f t="shared" ref="BP1133:BP1140" si="707">0.33*BO1133+0.66*BQ1133</f>
        <v>995.78128244749473</v>
      </c>
      <c r="BQ1133" s="1">
        <v>1124.2595188598405</v>
      </c>
      <c r="BR1133" s="1">
        <v>837.19566693328318</v>
      </c>
      <c r="BS1133" s="1">
        <v>683.97716898994088</v>
      </c>
      <c r="BT1133" s="1">
        <v>561.1654423363625</v>
      </c>
      <c r="BU1133" s="40">
        <f t="shared" si="697"/>
        <v>561.1654423363625</v>
      </c>
      <c r="BV1133" s="40">
        <f t="shared" si="697"/>
        <v>561.1654423363625</v>
      </c>
      <c r="BW1133" s="40">
        <f t="shared" si="697"/>
        <v>561.1654423363625</v>
      </c>
      <c r="BX1133" s="40">
        <f t="shared" si="697"/>
        <v>561.1654423363625</v>
      </c>
      <c r="BY1133" s="40">
        <f t="shared" si="697"/>
        <v>561.1654423363625</v>
      </c>
      <c r="BZ1133" s="40">
        <f t="shared" si="697"/>
        <v>561.1654423363625</v>
      </c>
      <c r="CA1133" s="40">
        <f t="shared" si="697"/>
        <v>561.1654423363625</v>
      </c>
      <c r="CB1133" s="40">
        <f t="shared" si="697"/>
        <v>561.1654423363625</v>
      </c>
      <c r="CC1133" s="40">
        <f t="shared" si="697"/>
        <v>561.1654423363625</v>
      </c>
      <c r="CD1133" s="40">
        <f t="shared" si="697"/>
        <v>561.1654423363625</v>
      </c>
    </row>
    <row r="1134" spans="2:82">
      <c r="B1134" s="25" t="s">
        <v>28</v>
      </c>
      <c r="C1134" s="1" t="s">
        <v>4244</v>
      </c>
      <c r="BN1134" s="1">
        <v>0</v>
      </c>
      <c r="BO1134" s="370">
        <f t="shared" si="706"/>
        <v>0</v>
      </c>
      <c r="BP1134" s="1104">
        <f t="shared" si="707"/>
        <v>872.98181826652421</v>
      </c>
      <c r="BQ1134" s="1">
        <v>1322.6997246462488</v>
      </c>
      <c r="BR1134" s="1">
        <v>1218.0368840521526</v>
      </c>
      <c r="BS1134" s="1">
        <v>1169.5849394422048</v>
      </c>
      <c r="BT1134" s="1">
        <v>1146.1893283036331</v>
      </c>
      <c r="BU1134" s="40">
        <f t="shared" si="697"/>
        <v>1146.1893283036331</v>
      </c>
      <c r="BV1134" s="40">
        <f t="shared" si="697"/>
        <v>1146.1893283036331</v>
      </c>
      <c r="BW1134" s="40">
        <f t="shared" si="697"/>
        <v>1146.1893283036331</v>
      </c>
      <c r="BX1134" s="40">
        <f t="shared" si="697"/>
        <v>1146.1893283036331</v>
      </c>
      <c r="BY1134" s="40">
        <f t="shared" si="697"/>
        <v>1146.1893283036331</v>
      </c>
      <c r="BZ1134" s="40">
        <f t="shared" si="697"/>
        <v>1146.1893283036331</v>
      </c>
      <c r="CA1134" s="40">
        <f t="shared" si="697"/>
        <v>1146.1893283036331</v>
      </c>
      <c r="CB1134" s="40">
        <f t="shared" si="697"/>
        <v>1146.1893283036331</v>
      </c>
      <c r="CC1134" s="40">
        <f t="shared" si="697"/>
        <v>1146.1893283036331</v>
      </c>
      <c r="CD1134" s="40">
        <f t="shared" si="697"/>
        <v>1146.1893283036331</v>
      </c>
    </row>
    <row r="1135" spans="2:82">
      <c r="B1135" s="25" t="s">
        <v>31</v>
      </c>
      <c r="C1135" s="1" t="s">
        <v>4244</v>
      </c>
      <c r="BN1135" s="1">
        <v>0</v>
      </c>
      <c r="BO1135" s="370">
        <f t="shared" si="706"/>
        <v>0</v>
      </c>
      <c r="BP1135" s="1104">
        <f t="shared" si="707"/>
        <v>24.189</v>
      </c>
      <c r="BQ1135" s="1">
        <v>36.65</v>
      </c>
      <c r="BR1135" s="1">
        <v>36.65</v>
      </c>
      <c r="BS1135" s="1">
        <v>36.65</v>
      </c>
      <c r="BT1135" s="1">
        <v>36.65</v>
      </c>
      <c r="BU1135" s="40">
        <f t="shared" ref="BU1135:CD1135" si="708">BT1135</f>
        <v>36.65</v>
      </c>
      <c r="BV1135" s="40">
        <f t="shared" si="708"/>
        <v>36.65</v>
      </c>
      <c r="BW1135" s="40">
        <f t="shared" si="708"/>
        <v>36.65</v>
      </c>
      <c r="BX1135" s="40">
        <f t="shared" si="708"/>
        <v>36.65</v>
      </c>
      <c r="BY1135" s="40">
        <f t="shared" si="708"/>
        <v>36.65</v>
      </c>
      <c r="BZ1135" s="40">
        <f t="shared" si="708"/>
        <v>36.65</v>
      </c>
      <c r="CA1135" s="40">
        <f t="shared" si="708"/>
        <v>36.65</v>
      </c>
      <c r="CB1135" s="40">
        <f t="shared" si="708"/>
        <v>36.65</v>
      </c>
      <c r="CC1135" s="40">
        <f t="shared" si="708"/>
        <v>36.65</v>
      </c>
      <c r="CD1135" s="40">
        <f t="shared" si="708"/>
        <v>36.65</v>
      </c>
    </row>
    <row r="1136" spans="2:82">
      <c r="B1136" s="25" t="s">
        <v>29</v>
      </c>
      <c r="C1136" s="1" t="s">
        <v>4244</v>
      </c>
      <c r="BN1136" s="1">
        <v>0</v>
      </c>
      <c r="BO1136" s="370">
        <f t="shared" si="706"/>
        <v>0</v>
      </c>
      <c r="BP1136" s="1104">
        <f t="shared" si="707"/>
        <v>0</v>
      </c>
      <c r="BQ1136" s="1">
        <v>0</v>
      </c>
      <c r="BR1136" s="1">
        <v>0</v>
      </c>
      <c r="BS1136" s="1">
        <v>0</v>
      </c>
      <c r="BT1136" s="1">
        <v>0</v>
      </c>
      <c r="BU1136" s="40">
        <f t="shared" si="697"/>
        <v>0</v>
      </c>
      <c r="BV1136" s="40">
        <f t="shared" si="697"/>
        <v>0</v>
      </c>
      <c r="BW1136" s="40">
        <f t="shared" si="697"/>
        <v>0</v>
      </c>
      <c r="BX1136" s="40">
        <f t="shared" si="697"/>
        <v>0</v>
      </c>
      <c r="BY1136" s="40">
        <f t="shared" si="697"/>
        <v>0</v>
      </c>
      <c r="BZ1136" s="40">
        <f t="shared" si="697"/>
        <v>0</v>
      </c>
      <c r="CA1136" s="40">
        <f t="shared" si="697"/>
        <v>0</v>
      </c>
      <c r="CB1136" s="40">
        <f t="shared" si="697"/>
        <v>0</v>
      </c>
      <c r="CC1136" s="40">
        <f t="shared" si="697"/>
        <v>0</v>
      </c>
      <c r="CD1136" s="40">
        <f t="shared" si="697"/>
        <v>0</v>
      </c>
    </row>
    <row r="1137" spans="2:82">
      <c r="B1137" s="25" t="s">
        <v>30</v>
      </c>
      <c r="C1137" s="1" t="s">
        <v>4244</v>
      </c>
      <c r="BN1137" s="1">
        <v>0</v>
      </c>
      <c r="BO1137" s="370">
        <f t="shared" si="706"/>
        <v>0</v>
      </c>
      <c r="BP1137" s="1104">
        <f t="shared" si="707"/>
        <v>0</v>
      </c>
      <c r="BQ1137" s="1">
        <v>0</v>
      </c>
      <c r="BR1137" s="1">
        <v>0</v>
      </c>
      <c r="BS1137" s="1">
        <v>0</v>
      </c>
      <c r="BT1137" s="1">
        <v>0</v>
      </c>
      <c r="BU1137" s="40">
        <f t="shared" si="697"/>
        <v>0</v>
      </c>
      <c r="BV1137" s="40">
        <f t="shared" si="697"/>
        <v>0</v>
      </c>
      <c r="BW1137" s="40">
        <f t="shared" si="697"/>
        <v>0</v>
      </c>
      <c r="BX1137" s="40">
        <f t="shared" si="697"/>
        <v>0</v>
      </c>
      <c r="BY1137" s="40">
        <f t="shared" si="697"/>
        <v>0</v>
      </c>
      <c r="BZ1137" s="40">
        <f t="shared" si="697"/>
        <v>0</v>
      </c>
      <c r="CA1137" s="40">
        <f t="shared" si="697"/>
        <v>0</v>
      </c>
      <c r="CB1137" s="40">
        <f t="shared" si="697"/>
        <v>0</v>
      </c>
      <c r="CC1137" s="40">
        <f t="shared" si="697"/>
        <v>0</v>
      </c>
      <c r="CD1137" s="40">
        <f t="shared" si="697"/>
        <v>0</v>
      </c>
    </row>
    <row r="1138" spans="2:82">
      <c r="B1138" s="25" t="s">
        <v>35</v>
      </c>
      <c r="C1138" s="1" t="s">
        <v>4244</v>
      </c>
      <c r="BN1138" s="1">
        <f>SUM(BN1132:BN1137)</f>
        <v>3888</v>
      </c>
      <c r="BO1138" s="1">
        <f t="shared" ref="BO1138:CD1138" si="709">SUM(BO1132:BO1137)</f>
        <v>3888</v>
      </c>
      <c r="BP1138" s="1104">
        <f t="shared" si="707"/>
        <v>3079.3021007140192</v>
      </c>
      <c r="BQ1138" s="1">
        <f t="shared" si="709"/>
        <v>2721.6092435060896</v>
      </c>
      <c r="BR1138" s="1">
        <f t="shared" si="709"/>
        <v>2329.8825509854355</v>
      </c>
      <c r="BS1138" s="1">
        <f t="shared" si="709"/>
        <v>2128.2121084321457</v>
      </c>
      <c r="BT1138" s="1">
        <f t="shared" si="709"/>
        <v>1982.0047706399957</v>
      </c>
      <c r="BU1138" s="1">
        <f t="shared" si="709"/>
        <v>1982.0047706399957</v>
      </c>
      <c r="BV1138" s="1">
        <f t="shared" si="709"/>
        <v>1982.0047706399957</v>
      </c>
      <c r="BW1138" s="1">
        <f t="shared" si="709"/>
        <v>1982.0047706399957</v>
      </c>
      <c r="BX1138" s="1">
        <f t="shared" si="709"/>
        <v>1982.0047706399957</v>
      </c>
      <c r="BY1138" s="1">
        <f t="shared" si="709"/>
        <v>1982.0047706399957</v>
      </c>
      <c r="BZ1138" s="1">
        <f t="shared" si="709"/>
        <v>1982.0047706399957</v>
      </c>
      <c r="CA1138" s="1">
        <f t="shared" si="709"/>
        <v>1982.0047706399957</v>
      </c>
      <c r="CB1138" s="1">
        <f t="shared" si="709"/>
        <v>1982.0047706399957</v>
      </c>
      <c r="CC1138" s="1">
        <f t="shared" si="709"/>
        <v>1982.0047706399957</v>
      </c>
      <c r="CD1138" s="1">
        <f t="shared" si="709"/>
        <v>1982.0047706399957</v>
      </c>
    </row>
    <row r="1139" spans="2:82">
      <c r="BO1139" s="275"/>
      <c r="BP1139" s="1104">
        <f t="shared" si="707"/>
        <v>0</v>
      </c>
    </row>
    <row r="1140" spans="2:82">
      <c r="B1140" s="25" t="s">
        <v>522</v>
      </c>
      <c r="C1140" s="1" t="s">
        <v>32</v>
      </c>
      <c r="BN1140" s="1">
        <v>974.95552500000008</v>
      </c>
      <c r="BO1140" s="370">
        <f>BN1140</f>
        <v>974.95552500000008</v>
      </c>
      <c r="BP1140" s="1104">
        <f t="shared" si="707"/>
        <v>495.88095962771746</v>
      </c>
      <c r="BQ1140" s="1">
        <v>263.85702481472339</v>
      </c>
      <c r="BR1140" s="1">
        <v>308.67393133393551</v>
      </c>
      <c r="BS1140" s="1">
        <v>333.33892692686283</v>
      </c>
      <c r="BT1140" s="1">
        <v>390.27443041445247</v>
      </c>
      <c r="BU1140" s="40">
        <f t="shared" ref="BU1140:CD1140" si="710">BT1140</f>
        <v>390.27443041445247</v>
      </c>
      <c r="BV1140" s="40">
        <f t="shared" si="710"/>
        <v>390.27443041445247</v>
      </c>
      <c r="BW1140" s="40">
        <f t="shared" si="710"/>
        <v>390.27443041445247</v>
      </c>
      <c r="BX1140" s="40">
        <f t="shared" si="710"/>
        <v>390.27443041445247</v>
      </c>
      <c r="BY1140" s="40">
        <f t="shared" si="710"/>
        <v>390.27443041445247</v>
      </c>
      <c r="BZ1140" s="40">
        <f t="shared" si="710"/>
        <v>390.27443041445247</v>
      </c>
      <c r="CA1140" s="40">
        <f t="shared" si="710"/>
        <v>390.27443041445247</v>
      </c>
      <c r="CB1140" s="40">
        <f t="shared" si="710"/>
        <v>390.27443041445247</v>
      </c>
      <c r="CC1140" s="40">
        <f t="shared" si="710"/>
        <v>390.27443041445247</v>
      </c>
      <c r="CD1140" s="40">
        <f t="shared" si="710"/>
        <v>390.27443041445247</v>
      </c>
    </row>
    <row r="1141" spans="2:82">
      <c r="B1141" s="25" t="s">
        <v>33</v>
      </c>
      <c r="C1141" s="1" t="s">
        <v>382</v>
      </c>
      <c r="BN1141" s="1">
        <v>0</v>
      </c>
      <c r="BO1141" s="275">
        <f>(BN1140-BO1140)*1000</f>
        <v>0</v>
      </c>
      <c r="BP1141" s="275">
        <f t="shared" ref="BP1141:CD1141" si="711">(BO1140-BP1140)*1000</f>
        <v>479074.56537228264</v>
      </c>
      <c r="BQ1141" s="275">
        <f t="shared" si="711"/>
        <v>232023.93481299406</v>
      </c>
      <c r="BR1141" s="275">
        <f t="shared" si="711"/>
        <v>-44816.906519212127</v>
      </c>
      <c r="BS1141" s="275">
        <f t="shared" si="711"/>
        <v>-24664.995592927313</v>
      </c>
      <c r="BT1141" s="275">
        <f t="shared" si="711"/>
        <v>-56935.503487589645</v>
      </c>
      <c r="BU1141" s="275">
        <f t="shared" si="711"/>
        <v>0</v>
      </c>
      <c r="BV1141" s="275">
        <f t="shared" si="711"/>
        <v>0</v>
      </c>
      <c r="BW1141" s="275">
        <f t="shared" si="711"/>
        <v>0</v>
      </c>
      <c r="BX1141" s="275">
        <f t="shared" si="711"/>
        <v>0</v>
      </c>
      <c r="BY1141" s="275">
        <f t="shared" si="711"/>
        <v>0</v>
      </c>
      <c r="BZ1141" s="275">
        <f t="shared" si="711"/>
        <v>0</v>
      </c>
      <c r="CA1141" s="275">
        <f t="shared" si="711"/>
        <v>0</v>
      </c>
      <c r="CB1141" s="275">
        <f t="shared" si="711"/>
        <v>0</v>
      </c>
      <c r="CC1141" s="275">
        <f t="shared" si="711"/>
        <v>0</v>
      </c>
      <c r="CD1141" s="275">
        <f t="shared" si="711"/>
        <v>0</v>
      </c>
    </row>
    <row r="1142" spans="2:82">
      <c r="BO1142" s="275"/>
      <c r="BP1142" s="275"/>
      <c r="BQ1142" s="275"/>
      <c r="BR1142" s="275"/>
      <c r="BS1142" s="275"/>
      <c r="BT1142" s="275"/>
    </row>
    <row r="1143" spans="2:82">
      <c r="BO1143" s="275"/>
    </row>
    <row r="1144" spans="2:82">
      <c r="BO1144" s="275"/>
    </row>
    <row r="1145" spans="2:82">
      <c r="BO1145" s="275"/>
    </row>
    <row r="1146" spans="2:82">
      <c r="BO1146" s="275"/>
    </row>
    <row r="1147" spans="2:82">
      <c r="BO1147" s="275"/>
    </row>
    <row r="1148" spans="2:82">
      <c r="BO1148" s="275"/>
    </row>
    <row r="1149" spans="2:82">
      <c r="BO1149" s="275"/>
    </row>
    <row r="1150" spans="2:82">
      <c r="BO1150" s="275"/>
    </row>
    <row r="1151" spans="2:82">
      <c r="BO1151" s="275"/>
    </row>
    <row r="1152" spans="2:82">
      <c r="BO1152" s="275"/>
    </row>
    <row r="1153" spans="2:82">
      <c r="BO1153" s="275"/>
    </row>
    <row r="1154" spans="2:82">
      <c r="BO1154" s="275"/>
    </row>
    <row r="1155" spans="2:82">
      <c r="BO1155" s="275"/>
    </row>
    <row r="1156" spans="2:82">
      <c r="BO1156" s="275"/>
    </row>
    <row r="1157" spans="2:82" hidden="1">
      <c r="BO1157" s="957">
        <f t="shared" ref="BO1157:BT1157" si="712">BO1078</f>
        <v>576806867.22986579</v>
      </c>
      <c r="BP1157" s="957">
        <f t="shared" si="712"/>
        <v>591344982.51239622</v>
      </c>
      <c r="BQ1157" s="957">
        <f t="shared" si="712"/>
        <v>631585508.77689373</v>
      </c>
      <c r="BR1157" s="957">
        <f t="shared" si="712"/>
        <v>652231416.92878628</v>
      </c>
      <c r="BS1157" s="957">
        <f t="shared" si="712"/>
        <v>677297256.59301126</v>
      </c>
      <c r="BT1157" s="957">
        <f t="shared" si="712"/>
        <v>700396450.83906364</v>
      </c>
      <c r="BU1157" s="957">
        <f t="shared" ref="BU1157:CD1157" si="713">BU1078</f>
        <v>700396450.83906364</v>
      </c>
      <c r="BV1157" s="957">
        <f t="shared" si="713"/>
        <v>700396450.83906364</v>
      </c>
      <c r="BW1157" s="957">
        <f t="shared" si="713"/>
        <v>700396450.83906364</v>
      </c>
      <c r="BX1157" s="957">
        <f t="shared" si="713"/>
        <v>700396450.83906364</v>
      </c>
      <c r="BY1157" s="957">
        <f t="shared" si="713"/>
        <v>700396450.83906364</v>
      </c>
      <c r="BZ1157" s="957">
        <f t="shared" si="713"/>
        <v>700396450.83906364</v>
      </c>
      <c r="CA1157" s="957">
        <f t="shared" si="713"/>
        <v>700396450.83906364</v>
      </c>
      <c r="CB1157" s="957">
        <f t="shared" si="713"/>
        <v>700396450.83906364</v>
      </c>
      <c r="CC1157" s="957">
        <f t="shared" si="713"/>
        <v>700396450.83906364</v>
      </c>
      <c r="CD1157" s="957">
        <f t="shared" si="713"/>
        <v>700396450.83906364</v>
      </c>
    </row>
    <row r="1158" spans="2:82" hidden="1">
      <c r="B1158" s="25" t="s">
        <v>2328</v>
      </c>
      <c r="BO1158" s="275">
        <f t="shared" ref="BO1158:BT1158" si="714">SUM(BO1159:BO1163)-BO1162</f>
        <v>247041730</v>
      </c>
      <c r="BP1158" s="1">
        <f t="shared" si="714"/>
        <v>151155521.64172891</v>
      </c>
      <c r="BQ1158" s="1">
        <f t="shared" si="714"/>
        <v>180313939.80123779</v>
      </c>
      <c r="BR1158" s="1">
        <f t="shared" si="714"/>
        <v>195020321.48335475</v>
      </c>
      <c r="BS1158" s="1">
        <f t="shared" si="714"/>
        <v>213800350.55656165</v>
      </c>
      <c r="BT1158" s="1">
        <f t="shared" si="714"/>
        <v>224441776.09190819</v>
      </c>
      <c r="BU1158" s="1">
        <f t="shared" ref="BU1158:CD1158" si="715">SUM(BU1159:BU1163)-BU1162</f>
        <v>224441776.09190819</v>
      </c>
      <c r="BV1158" s="1">
        <f t="shared" si="715"/>
        <v>224441776.09190819</v>
      </c>
      <c r="BW1158" s="1">
        <f t="shared" si="715"/>
        <v>224441776.09190819</v>
      </c>
      <c r="BX1158" s="1">
        <f t="shared" si="715"/>
        <v>224441776.09190819</v>
      </c>
      <c r="BY1158" s="1">
        <f t="shared" si="715"/>
        <v>224441776.09190819</v>
      </c>
      <c r="BZ1158" s="1">
        <f t="shared" si="715"/>
        <v>224441776.09190819</v>
      </c>
      <c r="CA1158" s="1">
        <f t="shared" si="715"/>
        <v>224441776.09190819</v>
      </c>
      <c r="CB1158" s="1">
        <f t="shared" si="715"/>
        <v>224441776.09190819</v>
      </c>
      <c r="CC1158" s="1">
        <f t="shared" si="715"/>
        <v>224441776.09190819</v>
      </c>
      <c r="CD1158" s="1">
        <f t="shared" si="715"/>
        <v>224441776.09190819</v>
      </c>
    </row>
    <row r="1159" spans="2:82" hidden="1">
      <c r="B1159" s="25" t="s">
        <v>372</v>
      </c>
      <c r="BN1159" s="951">
        <f>(BN1071+BN1101)*BN1090</f>
        <v>170232</v>
      </c>
      <c r="BO1159" s="1">
        <f t="shared" ref="BO1159:BT1159" si="716">(BO1071+BO1101)*BO1090*1000</f>
        <v>220779210</v>
      </c>
      <c r="BP1159" s="1">
        <f t="shared" si="716"/>
        <v>114755713.1070224</v>
      </c>
      <c r="BQ1159" s="1">
        <f t="shared" si="716"/>
        <v>117200775.46730991</v>
      </c>
      <c r="BR1159" s="1">
        <f t="shared" si="716"/>
        <v>128097247.91878924</v>
      </c>
      <c r="BS1159" s="1">
        <f t="shared" si="716"/>
        <v>141810096.18393201</v>
      </c>
      <c r="BT1159" s="1">
        <f t="shared" si="716"/>
        <v>148764814.19108826</v>
      </c>
      <c r="BU1159" s="1">
        <f t="shared" ref="BU1159:CD1159" si="717">(BU1071+BU1101)*BU1090*1000</f>
        <v>148764814.19108826</v>
      </c>
      <c r="BV1159" s="1">
        <f t="shared" si="717"/>
        <v>148764814.19108826</v>
      </c>
      <c r="BW1159" s="1">
        <f t="shared" si="717"/>
        <v>148764814.19108826</v>
      </c>
      <c r="BX1159" s="1">
        <f t="shared" si="717"/>
        <v>148764814.19108826</v>
      </c>
      <c r="BY1159" s="1">
        <f t="shared" si="717"/>
        <v>148764814.19108826</v>
      </c>
      <c r="BZ1159" s="1">
        <f t="shared" si="717"/>
        <v>148764814.19108826</v>
      </c>
      <c r="CA1159" s="1">
        <f t="shared" si="717"/>
        <v>148764814.19108826</v>
      </c>
      <c r="CB1159" s="1">
        <f t="shared" si="717"/>
        <v>148764814.19108826</v>
      </c>
      <c r="CC1159" s="1">
        <f t="shared" si="717"/>
        <v>148764814.19108826</v>
      </c>
      <c r="CD1159" s="1">
        <f t="shared" si="717"/>
        <v>148764814.19108826</v>
      </c>
    </row>
    <row r="1160" spans="2:82" hidden="1">
      <c r="B1160" s="25" t="s">
        <v>373</v>
      </c>
      <c r="BN1160" s="951">
        <f>(BN1072+BN1102)*BN1091</f>
        <v>20218.7</v>
      </c>
      <c r="BO1160" s="1">
        <f t="shared" ref="BO1160:BT1163" si="718">(BO1072+BO1102)*BO1091*1000</f>
        <v>11407440</v>
      </c>
      <c r="BP1160" s="1">
        <f t="shared" si="718"/>
        <v>0</v>
      </c>
      <c r="BQ1160" s="1">
        <f t="shared" si="718"/>
        <v>0</v>
      </c>
      <c r="BR1160" s="1">
        <f t="shared" si="718"/>
        <v>0</v>
      </c>
      <c r="BS1160" s="1">
        <f t="shared" si="718"/>
        <v>0</v>
      </c>
      <c r="BT1160" s="1">
        <f t="shared" si="718"/>
        <v>0</v>
      </c>
      <c r="BU1160" s="1">
        <f t="shared" ref="BU1160:CD1160" si="719">(BU1072+BU1102)*BU1091*1000</f>
        <v>0</v>
      </c>
      <c r="BV1160" s="1">
        <f t="shared" si="719"/>
        <v>0</v>
      </c>
      <c r="BW1160" s="1">
        <f t="shared" si="719"/>
        <v>0</v>
      </c>
      <c r="BX1160" s="1">
        <f t="shared" si="719"/>
        <v>0</v>
      </c>
      <c r="BY1160" s="1">
        <f t="shared" si="719"/>
        <v>0</v>
      </c>
      <c r="BZ1160" s="1">
        <f t="shared" si="719"/>
        <v>0</v>
      </c>
      <c r="CA1160" s="1">
        <f t="shared" si="719"/>
        <v>0</v>
      </c>
      <c r="CB1160" s="1">
        <f t="shared" si="719"/>
        <v>0</v>
      </c>
      <c r="CC1160" s="1">
        <f t="shared" si="719"/>
        <v>0</v>
      </c>
      <c r="CD1160" s="1">
        <f t="shared" si="719"/>
        <v>0</v>
      </c>
    </row>
    <row r="1161" spans="2:82" hidden="1">
      <c r="B1161" s="949" t="s">
        <v>374</v>
      </c>
      <c r="BN1161" s="951">
        <f>(BN1073+BN1103)*BN1092</f>
        <v>0</v>
      </c>
      <c r="BO1161" s="1">
        <f t="shared" si="718"/>
        <v>14855080.000000002</v>
      </c>
      <c r="BP1161" s="1">
        <f t="shared" si="718"/>
        <v>36399808.534706511</v>
      </c>
      <c r="BQ1161" s="1">
        <f t="shared" si="718"/>
        <v>63113164.333927877</v>
      </c>
      <c r="BR1161" s="1">
        <f t="shared" si="718"/>
        <v>66923073.564565495</v>
      </c>
      <c r="BS1161" s="1">
        <f t="shared" si="718"/>
        <v>71990254.372629628</v>
      </c>
      <c r="BT1161" s="1">
        <f t="shared" si="718"/>
        <v>75676961.900819927</v>
      </c>
      <c r="BU1161" s="1">
        <f t="shared" ref="BU1161:CD1161" si="720">(BU1073+BU1103)*BU1092*1000</f>
        <v>75676961.900819927</v>
      </c>
      <c r="BV1161" s="1">
        <f t="shared" si="720"/>
        <v>75676961.900819927</v>
      </c>
      <c r="BW1161" s="1">
        <f t="shared" si="720"/>
        <v>75676961.900819927</v>
      </c>
      <c r="BX1161" s="1">
        <f t="shared" si="720"/>
        <v>75676961.900819927</v>
      </c>
      <c r="BY1161" s="1">
        <f t="shared" si="720"/>
        <v>75676961.900819927</v>
      </c>
      <c r="BZ1161" s="1">
        <f t="shared" si="720"/>
        <v>75676961.900819927</v>
      </c>
      <c r="CA1161" s="1">
        <f t="shared" si="720"/>
        <v>75676961.900819927</v>
      </c>
      <c r="CB1161" s="1">
        <f t="shared" si="720"/>
        <v>75676961.900819927</v>
      </c>
      <c r="CC1161" s="1">
        <f t="shared" si="720"/>
        <v>75676961.900819927</v>
      </c>
      <c r="CD1161" s="1">
        <f t="shared" si="720"/>
        <v>75676961.900819927</v>
      </c>
    </row>
    <row r="1162" spans="2:82" hidden="1">
      <c r="B1162" s="950" t="s">
        <v>375</v>
      </c>
      <c r="BN1162" s="951">
        <f>(BN1074+BN1104)*BN1093</f>
        <v>2296.0000000000005</v>
      </c>
      <c r="BO1162" s="1">
        <f t="shared" si="718"/>
        <v>1049040</v>
      </c>
      <c r="BP1162" s="1">
        <f t="shared" si="718"/>
        <v>1277222.4268943437</v>
      </c>
      <c r="BQ1162" s="233">
        <f t="shared" si="718"/>
        <v>1806125.6345699127</v>
      </c>
      <c r="BR1162" s="233">
        <f t="shared" si="718"/>
        <v>1974046.0100327097</v>
      </c>
      <c r="BS1162" s="233">
        <f t="shared" si="718"/>
        <v>2185368.2190871211</v>
      </c>
      <c r="BT1162" s="233">
        <f t="shared" si="718"/>
        <v>2292544.0839552972</v>
      </c>
      <c r="BU1162" s="233">
        <f t="shared" ref="BU1162:CD1162" si="721">(BU1074+BU1104)*BU1093*1000</f>
        <v>2292544.0839552972</v>
      </c>
      <c r="BV1162" s="233">
        <f t="shared" si="721"/>
        <v>2292544.0839552972</v>
      </c>
      <c r="BW1162" s="233">
        <f t="shared" si="721"/>
        <v>2292544.0839552972</v>
      </c>
      <c r="BX1162" s="233">
        <f t="shared" si="721"/>
        <v>2292544.0839552972</v>
      </c>
      <c r="BY1162" s="233">
        <f t="shared" si="721"/>
        <v>2292544.0839552972</v>
      </c>
      <c r="BZ1162" s="233">
        <f t="shared" si="721"/>
        <v>2292544.0839552972</v>
      </c>
      <c r="CA1162" s="233">
        <f t="shared" si="721"/>
        <v>2292544.0839552972</v>
      </c>
      <c r="CB1162" s="233">
        <f t="shared" si="721"/>
        <v>2292544.0839552972</v>
      </c>
      <c r="CC1162" s="233">
        <f t="shared" si="721"/>
        <v>2292544.0839552972</v>
      </c>
      <c r="CD1162" s="233">
        <f t="shared" si="721"/>
        <v>2292544.0839552972</v>
      </c>
    </row>
    <row r="1163" spans="2:82" hidden="1">
      <c r="B1163" s="950" t="s">
        <v>376</v>
      </c>
      <c r="BN1163" s="951">
        <f>(BN1075+BN1105)*BN1094</f>
        <v>0</v>
      </c>
      <c r="BO1163" s="1">
        <f t="shared" si="718"/>
        <v>0</v>
      </c>
      <c r="BP1163" s="1">
        <f t="shared" si="718"/>
        <v>0</v>
      </c>
      <c r="BQ1163" s="1">
        <f t="shared" si="718"/>
        <v>0</v>
      </c>
      <c r="BR1163" s="1">
        <f t="shared" si="718"/>
        <v>0</v>
      </c>
      <c r="BS1163" s="1">
        <f t="shared" si="718"/>
        <v>0</v>
      </c>
      <c r="BT1163" s="1">
        <f t="shared" si="718"/>
        <v>0</v>
      </c>
      <c r="BU1163" s="1">
        <f t="shared" ref="BU1163:CD1163" si="722">(BU1075+BU1105)*BU1094*1000</f>
        <v>0</v>
      </c>
      <c r="BV1163" s="1">
        <f t="shared" si="722"/>
        <v>0</v>
      </c>
      <c r="BW1163" s="1">
        <f t="shared" si="722"/>
        <v>0</v>
      </c>
      <c r="BX1163" s="1">
        <f t="shared" si="722"/>
        <v>0</v>
      </c>
      <c r="BY1163" s="1">
        <f t="shared" si="722"/>
        <v>0</v>
      </c>
      <c r="BZ1163" s="1">
        <f t="shared" si="722"/>
        <v>0</v>
      </c>
      <c r="CA1163" s="1">
        <f t="shared" si="722"/>
        <v>0</v>
      </c>
      <c r="CB1163" s="1">
        <f t="shared" si="722"/>
        <v>0</v>
      </c>
      <c r="CC1163" s="1">
        <f t="shared" si="722"/>
        <v>0</v>
      </c>
      <c r="CD1163" s="1">
        <f t="shared" si="722"/>
        <v>0</v>
      </c>
    </row>
    <row r="1164" spans="2:82" hidden="1">
      <c r="B1164" s="949" t="s">
        <v>1112</v>
      </c>
      <c r="BN1164" s="1">
        <f>(BN1076+BN1107)*BN1095</f>
        <v>0</v>
      </c>
    </row>
    <row r="1165" spans="2:82" hidden="1">
      <c r="B1165" s="949" t="s">
        <v>1113</v>
      </c>
      <c r="BN1165" s="1">
        <f>(BN1077+BN1108)*BN1096</f>
        <v>0</v>
      </c>
    </row>
    <row r="1166" spans="2:82" hidden="1">
      <c r="B1166" s="25" t="s">
        <v>380</v>
      </c>
    </row>
    <row r="1167" spans="2:82" hidden="1">
      <c r="B1167" s="25" t="s">
        <v>380</v>
      </c>
    </row>
    <row r="1168" spans="2:82" hidden="1">
      <c r="B1168" s="25" t="s">
        <v>383</v>
      </c>
    </row>
    <row r="1169" spans="2:82" hidden="1"/>
    <row r="1170" spans="2:82" hidden="1"/>
    <row r="1171" spans="2:82" hidden="1">
      <c r="B1171" s="25" t="s">
        <v>2337</v>
      </c>
      <c r="BO1171" s="275">
        <f t="shared" ref="BO1171:BT1171" si="723">SUM(BO1113:BO1117)*3.35</f>
        <v>510132.80750000005</v>
      </c>
      <c r="BP1171" s="275">
        <f t="shared" si="723"/>
        <v>197743.80778794555</v>
      </c>
      <c r="BQ1171" s="275">
        <f t="shared" si="723"/>
        <v>296731.5259808866</v>
      </c>
      <c r="BR1171" s="275">
        <f t="shared" si="723"/>
        <v>317425.5186528393</v>
      </c>
      <c r="BS1171" s="275">
        <f t="shared" si="723"/>
        <v>344381.21836453874</v>
      </c>
      <c r="BT1171" s="275">
        <f t="shared" si="723"/>
        <v>361793.55197225837</v>
      </c>
      <c r="BU1171" s="275">
        <f t="shared" ref="BU1171:CD1171" si="724">SUM(BU1113:BU1117)*3.35</f>
        <v>361793.55197225837</v>
      </c>
      <c r="BV1171" s="275">
        <f t="shared" si="724"/>
        <v>361793.55197225837</v>
      </c>
      <c r="BW1171" s="275">
        <f t="shared" si="724"/>
        <v>361793.55197225837</v>
      </c>
      <c r="BX1171" s="275">
        <f t="shared" si="724"/>
        <v>361793.55197225837</v>
      </c>
      <c r="BY1171" s="275">
        <f t="shared" si="724"/>
        <v>361793.55197225837</v>
      </c>
      <c r="BZ1171" s="275">
        <f t="shared" si="724"/>
        <v>361793.55197225837</v>
      </c>
      <c r="CA1171" s="275">
        <f t="shared" si="724"/>
        <v>361793.55197225837</v>
      </c>
      <c r="CB1171" s="275">
        <f t="shared" si="724"/>
        <v>361793.55197225837</v>
      </c>
      <c r="CC1171" s="275">
        <f t="shared" si="724"/>
        <v>361793.55197225837</v>
      </c>
      <c r="CD1171" s="275">
        <f t="shared" si="724"/>
        <v>361793.55197225837</v>
      </c>
    </row>
    <row r="1172" spans="2:82" hidden="1">
      <c r="B1172" s="25" t="s">
        <v>2331</v>
      </c>
      <c r="BN1172" s="275">
        <f t="shared" ref="BN1172:BT1172" si="725">SUM(BN1113:BN1120)*3.35</f>
        <v>619673.38309392275</v>
      </c>
      <c r="BO1172" s="275">
        <f t="shared" si="725"/>
        <v>661630.92950000009</v>
      </c>
      <c r="BP1172" s="275">
        <f t="shared" si="725"/>
        <v>435459.91864212701</v>
      </c>
      <c r="BQ1172" s="275">
        <f t="shared" si="725"/>
        <v>640757.9912945684</v>
      </c>
      <c r="BR1172" s="275">
        <f t="shared" si="725"/>
        <v>682219.97519235674</v>
      </c>
      <c r="BS1172" s="275">
        <f t="shared" si="725"/>
        <v>736798.61705209198</v>
      </c>
      <c r="BT1172" s="275">
        <f t="shared" si="725"/>
        <v>774697.27822588244</v>
      </c>
      <c r="BU1172" s="275">
        <f t="shared" ref="BU1172:CD1172" si="726">SUM(BU1113:BU1120)*3.35</f>
        <v>361793.55197225837</v>
      </c>
      <c r="BV1172" s="275">
        <f t="shared" si="726"/>
        <v>361793.55197225837</v>
      </c>
      <c r="BW1172" s="275">
        <f t="shared" si="726"/>
        <v>361793.55197225837</v>
      </c>
      <c r="BX1172" s="275">
        <f t="shared" si="726"/>
        <v>361793.55197225837</v>
      </c>
      <c r="BY1172" s="275">
        <f t="shared" si="726"/>
        <v>361793.55197225837</v>
      </c>
      <c r="BZ1172" s="275">
        <f t="shared" si="726"/>
        <v>361793.55197225837</v>
      </c>
      <c r="CA1172" s="275">
        <f t="shared" si="726"/>
        <v>361793.55197225837</v>
      </c>
      <c r="CB1172" s="275">
        <f t="shared" si="726"/>
        <v>361793.55197225837</v>
      </c>
      <c r="CC1172" s="275">
        <f t="shared" si="726"/>
        <v>361793.55197225837</v>
      </c>
      <c r="CD1172" s="275">
        <f t="shared" si="726"/>
        <v>361793.55197225837</v>
      </c>
    </row>
    <row r="1173" spans="2:82" hidden="1">
      <c r="B1173" s="25" t="s">
        <v>2332</v>
      </c>
      <c r="BN1173" s="275">
        <f>Model!BN78*1000</f>
        <v>844238.49390607758</v>
      </c>
      <c r="BO1173" s="275">
        <f>Model!BO78*1000</f>
        <v>344885.58199999999</v>
      </c>
      <c r="BP1173" s="275">
        <f>Model!BP78*1000</f>
        <v>707883.92432017077</v>
      </c>
      <c r="BQ1173" s="275">
        <f>Model!BQ78*1000</f>
        <v>907486.53960012179</v>
      </c>
      <c r="BR1173" s="275">
        <f>Model!BR78*1000</f>
        <v>974831.87644020992</v>
      </c>
      <c r="BS1173" s="275">
        <f>Model!BS78*1000</f>
        <v>1061841.0012644902</v>
      </c>
      <c r="BT1173" s="275">
        <f>Model!BT78*1000</f>
        <v>1115800.3105303633</v>
      </c>
      <c r="BU1173" s="275">
        <f>Model!BU78*1000</f>
        <v>1115800.3105303633</v>
      </c>
      <c r="BV1173" s="275">
        <f>Model!BV78*1000</f>
        <v>1115800.3105303633</v>
      </c>
      <c r="BW1173" s="275">
        <f>Model!BW78*1000</f>
        <v>1115800.3105303633</v>
      </c>
      <c r="BX1173" s="275">
        <f>Model!BX78*1000</f>
        <v>1115800.3105303633</v>
      </c>
      <c r="BY1173" s="275">
        <f>Model!BY78*1000</f>
        <v>1115800.3105303633</v>
      </c>
      <c r="BZ1173" s="275">
        <f>Model!BZ78*1000</f>
        <v>1115800.3105303633</v>
      </c>
      <c r="CA1173" s="275">
        <f>Model!CA78*1000</f>
        <v>1115800.3105303633</v>
      </c>
      <c r="CB1173" s="275">
        <f>Model!CB78*1000</f>
        <v>1115800.3105303633</v>
      </c>
      <c r="CC1173" s="275">
        <f>Model!CC78*1000</f>
        <v>1115800.3105303633</v>
      </c>
      <c r="CD1173" s="275">
        <f>Model!CD78*1000</f>
        <v>1115800.3105303633</v>
      </c>
    </row>
    <row r="1174" spans="2:82" hidden="1">
      <c r="B1174" s="25" t="s">
        <v>2335</v>
      </c>
      <c r="BN1174" s="275">
        <f>SUM(BN1172:BN1173)</f>
        <v>1463911.8770000003</v>
      </c>
      <c r="BO1174" s="275">
        <f t="shared" ref="BO1174:BT1174" si="727">SUM(BO1171+BO1173)</f>
        <v>855018.38950000005</v>
      </c>
      <c r="BP1174" s="275">
        <f t="shared" si="727"/>
        <v>905627.73210811638</v>
      </c>
      <c r="BQ1174" s="275">
        <f t="shared" si="727"/>
        <v>1204218.0655810083</v>
      </c>
      <c r="BR1174" s="275">
        <f t="shared" si="727"/>
        <v>1292257.3950930492</v>
      </c>
      <c r="BS1174" s="275">
        <f t="shared" si="727"/>
        <v>1406222.2196290288</v>
      </c>
      <c r="BT1174" s="275">
        <f t="shared" si="727"/>
        <v>1477593.8625026217</v>
      </c>
      <c r="BU1174" s="275">
        <f t="shared" ref="BU1174:CD1174" si="728">SUM(BU1171+BU1173)</f>
        <v>1477593.8625026217</v>
      </c>
      <c r="BV1174" s="275">
        <f t="shared" si="728"/>
        <v>1477593.8625026217</v>
      </c>
      <c r="BW1174" s="275">
        <f t="shared" si="728"/>
        <v>1477593.8625026217</v>
      </c>
      <c r="BX1174" s="275">
        <f t="shared" si="728"/>
        <v>1477593.8625026217</v>
      </c>
      <c r="BY1174" s="275">
        <f t="shared" si="728"/>
        <v>1477593.8625026217</v>
      </c>
      <c r="BZ1174" s="275">
        <f t="shared" si="728"/>
        <v>1477593.8625026217</v>
      </c>
      <c r="CA1174" s="275">
        <f t="shared" si="728"/>
        <v>1477593.8625026217</v>
      </c>
      <c r="CB1174" s="275">
        <f t="shared" si="728"/>
        <v>1477593.8625026217</v>
      </c>
      <c r="CC1174" s="275">
        <f t="shared" si="728"/>
        <v>1477593.8625026217</v>
      </c>
      <c r="CD1174" s="275">
        <f t="shared" si="728"/>
        <v>1477593.8625026217</v>
      </c>
    </row>
    <row r="1175" spans="2:82" hidden="1">
      <c r="B1175" s="25" t="s">
        <v>2336</v>
      </c>
      <c r="BN1175" s="275"/>
      <c r="BO1175" s="275">
        <f t="shared" ref="BO1175:BT1175" si="729">BO1078*3.35</f>
        <v>1932303005.2200503</v>
      </c>
      <c r="BP1175" s="275">
        <f t="shared" si="729"/>
        <v>1981005691.4165273</v>
      </c>
      <c r="BQ1175" s="275">
        <f t="shared" si="729"/>
        <v>2115811454.4025941</v>
      </c>
      <c r="BR1175" s="275">
        <f t="shared" si="729"/>
        <v>2184975246.7114339</v>
      </c>
      <c r="BS1175" s="275">
        <f t="shared" si="729"/>
        <v>2268945809.5865879</v>
      </c>
      <c r="BT1175" s="275">
        <f t="shared" si="729"/>
        <v>2346328110.3108635</v>
      </c>
      <c r="BU1175" s="275">
        <f t="shared" ref="BU1175:CD1175" si="730">BU1078*3.35</f>
        <v>2346328110.3108635</v>
      </c>
      <c r="BV1175" s="275">
        <f t="shared" si="730"/>
        <v>2346328110.3108635</v>
      </c>
      <c r="BW1175" s="275">
        <f t="shared" si="730"/>
        <v>2346328110.3108635</v>
      </c>
      <c r="BX1175" s="275">
        <f t="shared" si="730"/>
        <v>2346328110.3108635</v>
      </c>
      <c r="BY1175" s="275">
        <f t="shared" si="730"/>
        <v>2346328110.3108635</v>
      </c>
      <c r="BZ1175" s="275">
        <f t="shared" si="730"/>
        <v>2346328110.3108635</v>
      </c>
      <c r="CA1175" s="275">
        <f t="shared" si="730"/>
        <v>2346328110.3108635</v>
      </c>
      <c r="CB1175" s="275">
        <f t="shared" si="730"/>
        <v>2346328110.3108635</v>
      </c>
      <c r="CC1175" s="275">
        <f t="shared" si="730"/>
        <v>2346328110.3108635</v>
      </c>
      <c r="CD1175" s="275">
        <f t="shared" si="730"/>
        <v>2346328110.3108635</v>
      </c>
    </row>
    <row r="1176" spans="2:82" hidden="1">
      <c r="B1176" s="25" t="s">
        <v>2333</v>
      </c>
      <c r="BN1176" s="275"/>
      <c r="BO1176" s="275">
        <f t="shared" ref="BO1176:BT1176" si="731">(BO1071*BO1090+BO1072*BO1091+BO1073*BO1092+BO1074*BO1093+BO1075*BO1094)*3.35</f>
        <v>317456.98800000001</v>
      </c>
      <c r="BP1176" s="275">
        <f t="shared" si="731"/>
        <v>308627.18971184629</v>
      </c>
      <c r="BQ1176" s="275">
        <f t="shared" si="731"/>
        <v>307320.17235326004</v>
      </c>
      <c r="BR1176" s="275">
        <f t="shared" si="731"/>
        <v>335892.55831639905</v>
      </c>
      <c r="BS1176" s="275">
        <f t="shared" si="731"/>
        <v>371849.95599994285</v>
      </c>
      <c r="BT1176" s="275">
        <f t="shared" si="731"/>
        <v>390086.39793563396</v>
      </c>
      <c r="BU1176" s="275">
        <f t="shared" ref="BU1176:CD1176" si="732">(BU1071*BU1090+BU1072*BU1091+BU1073*BU1092+BU1074*BU1093+BU1075*BU1094)*3.35</f>
        <v>390086.39793563396</v>
      </c>
      <c r="BV1176" s="275">
        <f t="shared" si="732"/>
        <v>390086.39793563396</v>
      </c>
      <c r="BW1176" s="275">
        <f t="shared" si="732"/>
        <v>390086.39793563396</v>
      </c>
      <c r="BX1176" s="275">
        <f t="shared" si="732"/>
        <v>390086.39793563396</v>
      </c>
      <c r="BY1176" s="275">
        <f t="shared" si="732"/>
        <v>390086.39793563396</v>
      </c>
      <c r="BZ1176" s="275">
        <f t="shared" si="732"/>
        <v>390086.39793563396</v>
      </c>
      <c r="CA1176" s="275">
        <f t="shared" si="732"/>
        <v>390086.39793563396</v>
      </c>
      <c r="CB1176" s="275">
        <f t="shared" si="732"/>
        <v>390086.39793563396</v>
      </c>
      <c r="CC1176" s="275">
        <f t="shared" si="732"/>
        <v>390086.39793563396</v>
      </c>
      <c r="CD1176" s="275">
        <f t="shared" si="732"/>
        <v>390086.39793563396</v>
      </c>
    </row>
    <row r="1177" spans="2:82" hidden="1">
      <c r="B1177" s="25" t="s">
        <v>2334</v>
      </c>
      <c r="BN1177" s="275"/>
      <c r="BO1177" s="370">
        <f>(BO1101*BO1090+BO1102*BO1091+BO1103*BO1092+BO1104*BO1093+BO1105*BO1094)*3.35-(BO1104*BO1093)*3.35</f>
        <v>510132.80750000011</v>
      </c>
      <c r="BP1177" s="370">
        <f>(BP1101*BP1090+BP1102*BP1091+BP1103*BP1092+BP1104*BP1093+BP1105*BP1094)*3.35-(BP1104*BP1093)*3.35</f>
        <v>197743.80778794555</v>
      </c>
      <c r="BQ1177" s="370">
        <f>(BQ1101*BQ1090+BQ1102*BQ1091+BQ1103*BQ1092+BQ1104*BQ1093+BQ1105*BQ1094)*3.35-(BQ1104*BQ1093)*3.35</f>
        <v>296731.5259808866</v>
      </c>
      <c r="BR1177" s="370">
        <f>(BR1101*BR1090+BR1102*BR1091+BR1103*BR1092+BR1104*BR1093+BR1105*BR1094)*3.35-(BR1104*BR1093)*3.35</f>
        <v>317425.51865283924</v>
      </c>
      <c r="BS1177" s="370">
        <f>(BS1101*BS1090+BS1102*BS1091+BS1103*BS1092+BS1104*BS1093+BS1105*BS1094)*3.35-(BS1104*BS1093)*3.35</f>
        <v>344381.21836453874</v>
      </c>
      <c r="BT1177" s="275">
        <f>(BT1101*BT1090+BT1102*BT1091+BT1103*BT1092+BT1104*BT1093+BT1105*BT1094)*3.35</f>
        <v>369473.57465350861</v>
      </c>
      <c r="BU1177" s="370">
        <f>(BU1101*BU1090+BU1102*BU1091+BU1103*BU1092+BU1104*BU1093+BU1105*BU1094)*3.35-(BU1104*BU1093)*3.35</f>
        <v>361793.55197225837</v>
      </c>
      <c r="BV1177" s="275">
        <f>(BV1101*BV1090+BV1102*BV1091+BV1103*BV1092+BV1104*BV1093+BV1105*BV1094)*3.35</f>
        <v>369473.57465350861</v>
      </c>
      <c r="BW1177" s="370">
        <f>(BW1101*BW1090+BW1102*BW1091+BW1103*BW1092+BW1104*BW1093+BW1105*BW1094)*3.35-(BW1104*BW1093)*3.35</f>
        <v>361793.55197225837</v>
      </c>
      <c r="BX1177" s="275">
        <f>(BX1101*BX1090+BX1102*BX1091+BX1103*BX1092+BX1104*BX1093+BX1105*BX1094)*3.35</f>
        <v>369473.57465350861</v>
      </c>
      <c r="BY1177" s="370">
        <f>(BY1101*BY1090+BY1102*BY1091+BY1103*BY1092+BY1104*BY1093+BY1105*BY1094)*3.35-(BY1104*BY1093)*3.35</f>
        <v>361793.55197225837</v>
      </c>
      <c r="BZ1177" s="275">
        <f>(BZ1101*BZ1090+BZ1102*BZ1091+BZ1103*BZ1092+BZ1104*BZ1093+BZ1105*BZ1094)*3.35</f>
        <v>369473.57465350861</v>
      </c>
      <c r="CA1177" s="370">
        <f>(CA1101*CA1090+CA1102*CA1091+CA1103*CA1092+CA1104*CA1093+CA1105*CA1094)*3.35-(CA1104*CA1093)*3.35</f>
        <v>361793.55197225837</v>
      </c>
      <c r="CB1177" s="275">
        <f>(CB1101*CB1090+CB1102*CB1091+CB1103*CB1092+CB1104*CB1093+CB1105*CB1094)*3.35</f>
        <v>369473.57465350861</v>
      </c>
      <c r="CC1177" s="370">
        <f>(CC1101*CC1090+CC1102*CC1091+CC1103*CC1092+CC1104*CC1093+CC1105*CC1094)*3.35-(CC1104*CC1093)*3.35</f>
        <v>361793.55197225837</v>
      </c>
      <c r="CD1177" s="275">
        <f>(CD1101*CD1090+CD1102*CD1091+CD1103*CD1092+CD1104*CD1093+CD1105*CD1094)*3.35</f>
        <v>369473.57465350861</v>
      </c>
    </row>
    <row r="1178" spans="2:82" hidden="1"/>
    <row r="1179" spans="2:82" hidden="1">
      <c r="BO1179" s="275">
        <f t="shared" ref="BO1179:BT1179" si="733">BO1177+BO1176</f>
        <v>827589.79550000012</v>
      </c>
      <c r="BP1179" s="275">
        <f t="shared" si="733"/>
        <v>506370.99749979185</v>
      </c>
      <c r="BQ1179" s="275">
        <f t="shared" si="733"/>
        <v>604051.69833414664</v>
      </c>
      <c r="BR1179" s="275">
        <f t="shared" si="733"/>
        <v>653318.07696923823</v>
      </c>
      <c r="BS1179" s="275">
        <f t="shared" si="733"/>
        <v>716231.17436448159</v>
      </c>
      <c r="BT1179" s="275">
        <f t="shared" si="733"/>
        <v>759559.97258914262</v>
      </c>
      <c r="BU1179" s="275">
        <f t="shared" ref="BU1179:CD1179" si="734">BU1177+BU1176</f>
        <v>751879.94990789238</v>
      </c>
      <c r="BV1179" s="275">
        <f t="shared" si="734"/>
        <v>759559.97258914262</v>
      </c>
      <c r="BW1179" s="275">
        <f t="shared" si="734"/>
        <v>751879.94990789238</v>
      </c>
      <c r="BX1179" s="275">
        <f t="shared" si="734"/>
        <v>759559.97258914262</v>
      </c>
      <c r="BY1179" s="275">
        <f t="shared" si="734"/>
        <v>751879.94990789238</v>
      </c>
      <c r="BZ1179" s="275">
        <f t="shared" si="734"/>
        <v>759559.97258914262</v>
      </c>
      <c r="CA1179" s="275">
        <f t="shared" si="734"/>
        <v>751879.94990789238</v>
      </c>
      <c r="CB1179" s="275">
        <f t="shared" si="734"/>
        <v>759559.97258914262</v>
      </c>
      <c r="CC1179" s="275">
        <f t="shared" si="734"/>
        <v>751879.94990789238</v>
      </c>
      <c r="CD1179" s="275">
        <f t="shared" si="734"/>
        <v>759559.97258914262</v>
      </c>
    </row>
    <row r="1180" spans="2:82" hidden="1"/>
    <row r="1181" spans="2:82" hidden="1">
      <c r="B1181" s="25" t="s">
        <v>2329</v>
      </c>
    </row>
    <row r="1182" spans="2:82" hidden="1">
      <c r="B1182" s="25" t="s">
        <v>2329</v>
      </c>
      <c r="BO1182" s="1">
        <f t="shared" ref="BO1182:CD1182" si="735">BO1080-BO1159</f>
        <v>-126015930</v>
      </c>
      <c r="BP1182" s="1">
        <f t="shared" si="735"/>
        <v>-22628193.790053353</v>
      </c>
      <c r="BQ1182" s="1">
        <f t="shared" si="735"/>
        <v>-25463410.585739747</v>
      </c>
      <c r="BR1182" s="1">
        <f t="shared" si="735"/>
        <v>-27830812.600461155</v>
      </c>
      <c r="BS1182" s="1">
        <f t="shared" si="735"/>
        <v>-30810109.318277434</v>
      </c>
      <c r="BT1182" s="1">
        <f t="shared" si="735"/>
        <v>-32321113.314779609</v>
      </c>
      <c r="BU1182" s="1">
        <f t="shared" si="735"/>
        <v>-32321113.314779609</v>
      </c>
      <c r="BV1182" s="1">
        <f t="shared" si="735"/>
        <v>-32321113.314779609</v>
      </c>
      <c r="BW1182" s="1">
        <f t="shared" si="735"/>
        <v>-32321113.314779609</v>
      </c>
      <c r="BX1182" s="1">
        <f t="shared" si="735"/>
        <v>-32321113.314779609</v>
      </c>
      <c r="BY1182" s="1">
        <f t="shared" si="735"/>
        <v>-32321113.314779609</v>
      </c>
      <c r="BZ1182" s="1">
        <f t="shared" si="735"/>
        <v>-32321113.314779609</v>
      </c>
      <c r="CA1182" s="1">
        <f t="shared" si="735"/>
        <v>-32321113.314779609</v>
      </c>
      <c r="CB1182" s="1">
        <f t="shared" si="735"/>
        <v>-32321113.314779609</v>
      </c>
      <c r="CC1182" s="1">
        <f t="shared" si="735"/>
        <v>-32321113.314779609</v>
      </c>
      <c r="CD1182" s="1">
        <f t="shared" si="735"/>
        <v>-32321113.314779609</v>
      </c>
    </row>
    <row r="1183" spans="2:82" hidden="1">
      <c r="BO1183" s="1">
        <f t="shared" ref="BO1183:CD1183" si="736">BO1081-BO1160</f>
        <v>348289622.77348483</v>
      </c>
      <c r="BP1183" s="1">
        <f t="shared" si="736"/>
        <v>365264968.07043761</v>
      </c>
      <c r="BQ1183" s="1">
        <f t="shared" si="736"/>
        <v>371233446.62262356</v>
      </c>
      <c r="BR1183" s="1">
        <f t="shared" si="736"/>
        <v>378051854.62202942</v>
      </c>
      <c r="BS1183" s="1">
        <f t="shared" si="736"/>
        <v>386556316.32916838</v>
      </c>
      <c r="BT1183" s="1">
        <f t="shared" si="736"/>
        <v>397860563.06423092</v>
      </c>
      <c r="BU1183" s="1">
        <f t="shared" si="736"/>
        <v>397860563.06423092</v>
      </c>
      <c r="BV1183" s="1">
        <f t="shared" si="736"/>
        <v>397860563.06423092</v>
      </c>
      <c r="BW1183" s="1">
        <f t="shared" si="736"/>
        <v>397860563.06423092</v>
      </c>
      <c r="BX1183" s="1">
        <f t="shared" si="736"/>
        <v>397860563.06423092</v>
      </c>
      <c r="BY1183" s="1">
        <f t="shared" si="736"/>
        <v>397860563.06423092</v>
      </c>
      <c r="BZ1183" s="1">
        <f t="shared" si="736"/>
        <v>397860563.06423092</v>
      </c>
      <c r="CA1183" s="1">
        <f t="shared" si="736"/>
        <v>397860563.06423092</v>
      </c>
      <c r="CB1183" s="1">
        <f t="shared" si="736"/>
        <v>397860563.06423092</v>
      </c>
      <c r="CC1183" s="1">
        <f t="shared" si="736"/>
        <v>397860563.06423092</v>
      </c>
      <c r="CD1183" s="1">
        <f t="shared" si="736"/>
        <v>397860563.06423092</v>
      </c>
    </row>
    <row r="1184" spans="2:82" hidden="1">
      <c r="BO1184" s="1">
        <f t="shared" ref="BO1184:CD1184" si="737">BO1082-BO1161</f>
        <v>98099504.456380963</v>
      </c>
      <c r="BP1184" s="1">
        <f t="shared" si="737"/>
        <v>76521850.572283089</v>
      </c>
      <c r="BQ1184" s="1">
        <f t="shared" si="737"/>
        <v>50640952.938772164</v>
      </c>
      <c r="BR1184" s="1">
        <f t="shared" si="737"/>
        <v>48676073.423863307</v>
      </c>
      <c r="BS1184" s="1">
        <f t="shared" si="737"/>
        <v>45504299.025558695</v>
      </c>
      <c r="BT1184" s="1">
        <f t="shared" si="737"/>
        <v>43852074.997704089</v>
      </c>
      <c r="BU1184" s="1">
        <f t="shared" si="737"/>
        <v>43852074.997704089</v>
      </c>
      <c r="BV1184" s="1">
        <f t="shared" si="737"/>
        <v>43852074.997704089</v>
      </c>
      <c r="BW1184" s="1">
        <f t="shared" si="737"/>
        <v>43852074.997704089</v>
      </c>
      <c r="BX1184" s="1">
        <f t="shared" si="737"/>
        <v>43852074.997704089</v>
      </c>
      <c r="BY1184" s="1">
        <f t="shared" si="737"/>
        <v>43852074.997704089</v>
      </c>
      <c r="BZ1184" s="1">
        <f t="shared" si="737"/>
        <v>43852074.997704089</v>
      </c>
      <c r="CA1184" s="1">
        <f t="shared" si="737"/>
        <v>43852074.997704089</v>
      </c>
      <c r="CB1184" s="1">
        <f t="shared" si="737"/>
        <v>43852074.997704089</v>
      </c>
      <c r="CC1184" s="1">
        <f t="shared" si="737"/>
        <v>43852074.997704089</v>
      </c>
      <c r="CD1184" s="1">
        <f t="shared" si="737"/>
        <v>43852074.997704089</v>
      </c>
    </row>
    <row r="1185" spans="67:82" hidden="1">
      <c r="BO1185" s="1">
        <f t="shared" ref="BO1185:CD1185" si="738">BO1083-BO1162</f>
        <v>9854970</v>
      </c>
      <c r="BP1185" s="1">
        <f t="shared" si="738"/>
        <v>9626787.5731056556</v>
      </c>
      <c r="BQ1185" s="1">
        <f t="shared" si="738"/>
        <v>9097884.3654300869</v>
      </c>
      <c r="BR1185" s="1">
        <f t="shared" si="738"/>
        <v>8929963.9899672903</v>
      </c>
      <c r="BS1185" s="1">
        <f t="shared" si="738"/>
        <v>8718641.7809128799</v>
      </c>
      <c r="BT1185" s="1">
        <f t="shared" si="738"/>
        <v>8611465.9160447028</v>
      </c>
      <c r="BU1185" s="1">
        <f t="shared" si="738"/>
        <v>8611465.9160447028</v>
      </c>
      <c r="BV1185" s="1">
        <f t="shared" si="738"/>
        <v>8611465.9160447028</v>
      </c>
      <c r="BW1185" s="1">
        <f t="shared" si="738"/>
        <v>8611465.9160447028</v>
      </c>
      <c r="BX1185" s="1">
        <f t="shared" si="738"/>
        <v>8611465.9160447028</v>
      </c>
      <c r="BY1185" s="1">
        <f t="shared" si="738"/>
        <v>8611465.9160447028</v>
      </c>
      <c r="BZ1185" s="1">
        <f t="shared" si="738"/>
        <v>8611465.9160447028</v>
      </c>
      <c r="CA1185" s="1">
        <f t="shared" si="738"/>
        <v>8611465.9160447028</v>
      </c>
      <c r="CB1185" s="1">
        <f t="shared" si="738"/>
        <v>8611465.9160447028</v>
      </c>
      <c r="CC1185" s="1">
        <f t="shared" si="738"/>
        <v>8611465.9160447028</v>
      </c>
      <c r="CD1185" s="1">
        <f t="shared" si="738"/>
        <v>8611465.9160447028</v>
      </c>
    </row>
    <row r="1186" spans="67:82" hidden="1">
      <c r="BO1186" s="1">
        <f t="shared" ref="BO1186:CD1186" si="739">BO1084-BO1163</f>
        <v>3650000</v>
      </c>
      <c r="BP1186" s="1">
        <f t="shared" si="739"/>
        <v>3650000</v>
      </c>
      <c r="BQ1186" s="1">
        <f t="shared" si="739"/>
        <v>3650000</v>
      </c>
      <c r="BR1186" s="1">
        <f t="shared" si="739"/>
        <v>3650000</v>
      </c>
      <c r="BS1186" s="1">
        <f t="shared" si="739"/>
        <v>3650000</v>
      </c>
      <c r="BT1186" s="1">
        <f t="shared" si="739"/>
        <v>3650000</v>
      </c>
      <c r="BU1186" s="1">
        <f t="shared" si="739"/>
        <v>3650000</v>
      </c>
      <c r="BV1186" s="1">
        <f t="shared" si="739"/>
        <v>3650000</v>
      </c>
      <c r="BW1186" s="1">
        <f t="shared" si="739"/>
        <v>3650000</v>
      </c>
      <c r="BX1186" s="1">
        <f t="shared" si="739"/>
        <v>3650000</v>
      </c>
      <c r="BY1186" s="1">
        <f t="shared" si="739"/>
        <v>3650000</v>
      </c>
      <c r="BZ1186" s="1">
        <f t="shared" si="739"/>
        <v>3650000</v>
      </c>
      <c r="CA1186" s="1">
        <f t="shared" si="739"/>
        <v>3650000</v>
      </c>
      <c r="CB1186" s="1">
        <f t="shared" si="739"/>
        <v>3650000</v>
      </c>
      <c r="CC1186" s="1">
        <f t="shared" si="739"/>
        <v>3650000</v>
      </c>
      <c r="CD1186" s="1">
        <f t="shared" si="739"/>
        <v>3650000</v>
      </c>
    </row>
    <row r="1187" spans="67:82" hidden="1"/>
    <row r="1188" spans="67:82" hidden="1"/>
  </sheetData>
  <phoneticPr fontId="104" type="noConversion"/>
  <hyperlinks>
    <hyperlink ref="B2" location="DataInput!BO812" display="naar add factoren"/>
  </hyperlinks>
  <pageMargins left="0.75" right="0.75" top="1" bottom="1" header="0.5" footer="0.5"/>
  <pageSetup paperSize="9" orientation="portrait" horizontalDpi="4294967293" vertic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8"/>
  </sheetPr>
  <dimension ref="A1:GE4270"/>
  <sheetViews>
    <sheetView zoomScale="110" zoomScaleNormal="110" workbookViewId="0">
      <pane xSplit="2" ySplit="1" topLeftCell="AR23" activePane="bottomRight" state="frozen"/>
      <selection activeCell="X25" sqref="X25"/>
      <selection pane="topRight" activeCell="X25" sqref="X25"/>
      <selection pane="bottomLeft" activeCell="X25" sqref="X25"/>
      <selection pane="bottomRight" activeCell="AX1" sqref="AX1:AX65536"/>
    </sheetView>
  </sheetViews>
  <sheetFormatPr defaultRowHeight="15.75"/>
  <cols>
    <col min="1" max="1" width="30.42578125" style="3" customWidth="1"/>
    <col min="2" max="2" width="8.42578125" style="3" customWidth="1"/>
    <col min="3" max="13" width="0.85546875" style="3" customWidth="1"/>
    <col min="14" max="15" width="1.28515625" style="18" customWidth="1"/>
    <col min="16" max="16" width="5" style="10" customWidth="1"/>
    <col min="17" max="17" width="6.28515625" style="18" customWidth="1"/>
    <col min="18" max="18" width="5.5703125" style="18" customWidth="1"/>
    <col min="19" max="19" width="6.28515625" style="18" customWidth="1"/>
    <col min="20" max="22" width="5" style="18" customWidth="1"/>
    <col min="23" max="23" width="5.7109375" style="18" customWidth="1"/>
    <col min="24" max="24" width="5.28515625" style="18" customWidth="1"/>
    <col min="25" max="26" width="5.7109375" style="18" customWidth="1"/>
    <col min="27" max="40" width="5" style="18" customWidth="1"/>
    <col min="41" max="41" width="5.5703125" style="18" customWidth="1"/>
    <col min="42" max="45" width="5.140625" style="18" customWidth="1"/>
    <col min="46" max="47" width="7" style="18" customWidth="1"/>
    <col min="48" max="48" width="6.85546875" style="18" customWidth="1"/>
    <col min="49" max="49" width="6" style="18" customWidth="1"/>
    <col min="50" max="50" width="9.140625" style="1108"/>
    <col min="51" max="51" width="6.140625" style="18" customWidth="1"/>
    <col min="52" max="52" width="6.85546875" style="18" customWidth="1"/>
    <col min="53" max="61" width="6.140625" style="18" customWidth="1"/>
    <col min="62" max="64" width="6.5703125" style="18" customWidth="1"/>
    <col min="65" max="65" width="5.140625" style="18" customWidth="1"/>
    <col min="66" max="66" width="5.140625" style="18" hidden="1" customWidth="1"/>
    <col min="67" max="67" width="7.85546875" style="18" hidden="1" customWidth="1"/>
    <col min="68" max="70" width="5.140625" style="18" hidden="1" customWidth="1"/>
    <col min="71" max="71" width="7.140625" style="18" hidden="1" customWidth="1"/>
    <col min="72" max="72" width="8.42578125" style="18" hidden="1" customWidth="1"/>
    <col min="73" max="73" width="6.85546875" style="18" hidden="1" customWidth="1"/>
    <col min="74" max="74" width="6" style="18" hidden="1" customWidth="1"/>
    <col min="75" max="80" width="5.42578125" style="18" hidden="1" customWidth="1"/>
    <col min="81" max="81" width="5.7109375" style="18" customWidth="1"/>
    <col min="82" max="89" width="7.140625" style="18" customWidth="1"/>
    <col min="90" max="90" width="8.85546875" style="18" customWidth="1"/>
    <col min="91" max="91" width="5.140625" style="18" customWidth="1"/>
    <col min="92" max="92" width="5.42578125" style="1031" customWidth="1"/>
    <col min="93" max="93" width="7.140625" style="18" customWidth="1"/>
    <col min="94" max="94" width="8.42578125" style="18" customWidth="1"/>
    <col min="95" max="95" width="6.85546875" style="18" customWidth="1"/>
    <col min="96" max="96" width="5.7109375" style="18" customWidth="1"/>
    <col min="97" max="97" width="5.140625" style="18" customWidth="1"/>
    <col min="98" max="98" width="2.140625" style="18" customWidth="1"/>
    <col min="99" max="99" width="6.85546875" style="18" customWidth="1"/>
    <col min="100" max="100" width="10.5703125" style="18" customWidth="1"/>
    <col min="101" max="101" width="5.42578125" style="18" customWidth="1"/>
    <col min="102" max="102" width="6.140625" style="18" customWidth="1"/>
    <col min="103" max="103" width="6.85546875" style="18" customWidth="1"/>
    <col min="104" max="105" width="6.140625" style="18" customWidth="1"/>
    <col min="106" max="129" width="5.140625" style="18" customWidth="1"/>
    <col min="130" max="130" width="4.42578125" style="18" customWidth="1"/>
    <col min="131" max="131" width="5.5703125" style="18" customWidth="1"/>
    <col min="132" max="132" width="6" style="18" customWidth="1"/>
    <col min="133" max="133" width="5.42578125" style="18" customWidth="1"/>
    <col min="134" max="134" width="6.140625" style="18" customWidth="1"/>
    <col min="135" max="135" width="6.85546875" style="18" customWidth="1"/>
    <col min="136" max="144" width="6.140625" style="18" customWidth="1"/>
    <col min="145" max="147" width="6.5703125" style="18" customWidth="1"/>
    <col min="148" max="148" width="7.7109375" style="18" customWidth="1"/>
    <col min="149" max="149" width="7" style="18" customWidth="1"/>
    <col min="150" max="150" width="3" style="18" customWidth="1"/>
    <col min="151" max="151" width="9.28515625" style="18" customWidth="1"/>
    <col min="152" max="153" width="7.7109375" style="18" customWidth="1"/>
    <col min="154" max="154" width="7" style="446" customWidth="1"/>
    <col min="155" max="155" width="5.140625" style="446" customWidth="1"/>
    <col min="156" max="156" width="4.5703125" style="18" customWidth="1"/>
    <col min="157" max="157" width="7" style="287" customWidth="1"/>
    <col min="158" max="158" width="5.140625" style="287" customWidth="1"/>
    <col min="159" max="159" width="7.7109375" style="18" customWidth="1"/>
    <col min="160" max="160" width="9.140625" style="18"/>
    <col min="161" max="161" width="7.7109375" style="18" customWidth="1"/>
    <col min="162" max="163" width="9.140625" style="18"/>
    <col min="164" max="168" width="7.7109375" style="18" customWidth="1"/>
    <col min="169" max="170" width="9.140625" style="18"/>
    <col min="171" max="175" width="7.7109375" style="18" customWidth="1"/>
    <col min="176" max="179" width="9.140625" style="18"/>
    <col min="180" max="180" width="6.85546875" style="18" customWidth="1"/>
    <col min="181" max="181" width="3.85546875" style="18" customWidth="1"/>
    <col min="182" max="182" width="5.5703125" style="18" customWidth="1"/>
    <col min="183" max="183" width="3.5703125" style="18" customWidth="1"/>
    <col min="184" max="184" width="5.5703125" style="18" customWidth="1"/>
    <col min="185" max="186" width="8.85546875" customWidth="1"/>
    <col min="187" max="187" width="9.140625" style="1108"/>
    <col min="188" max="16384" width="9.140625" style="18"/>
  </cols>
  <sheetData>
    <row r="1" spans="1:187" s="19" customFormat="1">
      <c r="A1" s="132" t="s">
        <v>2181</v>
      </c>
      <c r="C1" s="62"/>
      <c r="D1" s="44">
        <f>E1-1</f>
        <v>1996</v>
      </c>
      <c r="E1" s="44">
        <f>F1-1</f>
        <v>1997</v>
      </c>
      <c r="F1" s="44">
        <f>G1-1</f>
        <v>1998</v>
      </c>
      <c r="G1" s="44">
        <f>H1-1</f>
        <v>1999</v>
      </c>
      <c r="H1" s="44">
        <f>I1-1</f>
        <v>2000</v>
      </c>
      <c r="I1" s="45">
        <v>2001</v>
      </c>
      <c r="J1" s="45">
        <v>2002</v>
      </c>
      <c r="K1" s="45">
        <v>2003</v>
      </c>
      <c r="L1" s="45">
        <v>2004</v>
      </c>
      <c r="M1" s="45">
        <v>2005</v>
      </c>
      <c r="N1" s="45"/>
      <c r="O1" s="45"/>
      <c r="P1" s="365" t="s">
        <v>4147</v>
      </c>
      <c r="Q1" s="365" t="s">
        <v>4148</v>
      </c>
      <c r="R1" s="365" t="s">
        <v>4149</v>
      </c>
      <c r="S1" s="365" t="s">
        <v>4150</v>
      </c>
      <c r="T1" s="365" t="s">
        <v>4151</v>
      </c>
      <c r="U1" s="365" t="s">
        <v>4152</v>
      </c>
      <c r="V1" s="365" t="s">
        <v>4153</v>
      </c>
      <c r="W1" s="365" t="s">
        <v>4154</v>
      </c>
      <c r="X1" s="365" t="s">
        <v>2348</v>
      </c>
      <c r="Y1" s="365" t="s">
        <v>4482</v>
      </c>
      <c r="Z1" s="365" t="s">
        <v>4483</v>
      </c>
      <c r="AA1" s="365" t="s">
        <v>4484</v>
      </c>
      <c r="AB1" s="365" t="s">
        <v>4485</v>
      </c>
      <c r="AC1" s="365" t="s">
        <v>4486</v>
      </c>
      <c r="AD1" s="365" t="s">
        <v>3423</v>
      </c>
      <c r="AE1" s="365" t="s">
        <v>4249</v>
      </c>
      <c r="AF1" s="365" t="s">
        <v>4250</v>
      </c>
      <c r="AG1" s="365" t="s">
        <v>4251</v>
      </c>
      <c r="AH1" s="365" t="s">
        <v>4252</v>
      </c>
      <c r="AI1" s="365" t="s">
        <v>4253</v>
      </c>
      <c r="AJ1" s="365" t="s">
        <v>4254</v>
      </c>
      <c r="AK1" s="365" t="s">
        <v>4255</v>
      </c>
      <c r="AL1" s="365" t="s">
        <v>4256</v>
      </c>
      <c r="AM1" s="365"/>
      <c r="AN1" s="365"/>
      <c r="AO1" s="291"/>
      <c r="AP1" s="341" t="str">
        <f>P1</f>
        <v>08</v>
      </c>
      <c r="AQ1" s="341" t="s">
        <v>4148</v>
      </c>
      <c r="AR1" s="341" t="s">
        <v>4149</v>
      </c>
      <c r="AS1" s="341" t="s">
        <v>4150</v>
      </c>
      <c r="AT1" s="341" t="s">
        <v>4151</v>
      </c>
      <c r="AU1" s="341" t="s">
        <v>4152</v>
      </c>
      <c r="AV1" s="397">
        <v>14</v>
      </c>
      <c r="AW1" s="341" t="s">
        <v>4154</v>
      </c>
      <c r="AX1" s="1107"/>
      <c r="AY1" s="341" t="s">
        <v>4482</v>
      </c>
      <c r="AZ1" s="341" t="s">
        <v>4483</v>
      </c>
      <c r="BA1" s="341" t="s">
        <v>4484</v>
      </c>
      <c r="BB1" s="341" t="s">
        <v>4485</v>
      </c>
      <c r="BC1" s="341" t="s">
        <v>4486</v>
      </c>
      <c r="BD1" s="341" t="s">
        <v>3423</v>
      </c>
      <c r="BE1" s="341" t="s">
        <v>4249</v>
      </c>
      <c r="BF1" s="341" t="s">
        <v>4250</v>
      </c>
      <c r="BG1" s="341" t="s">
        <v>4251</v>
      </c>
      <c r="BH1" s="341" t="s">
        <v>4252</v>
      </c>
      <c r="BI1" s="341" t="s">
        <v>4253</v>
      </c>
      <c r="BJ1" s="341" t="s">
        <v>4254</v>
      </c>
      <c r="BK1" s="341" t="s">
        <v>4255</v>
      </c>
      <c r="BL1" s="341" t="s">
        <v>4256</v>
      </c>
      <c r="BM1" s="385">
        <v>11</v>
      </c>
      <c r="BN1" s="45">
        <v>12</v>
      </c>
      <c r="BO1" s="386" t="s">
        <v>4150</v>
      </c>
      <c r="BP1" s="45"/>
      <c r="BQ1" s="387" t="s">
        <v>4150</v>
      </c>
      <c r="BR1" s="387"/>
      <c r="BS1" s="392" t="s">
        <v>4150</v>
      </c>
      <c r="BT1" s="291"/>
      <c r="BU1" s="391" t="s">
        <v>4150</v>
      </c>
      <c r="BV1" s="341" t="s">
        <v>4154</v>
      </c>
      <c r="BW1" s="341" t="s">
        <v>2348</v>
      </c>
      <c r="BX1" s="341">
        <v>17</v>
      </c>
      <c r="BY1" s="341">
        <v>18</v>
      </c>
      <c r="BZ1" s="341">
        <v>19</v>
      </c>
      <c r="CA1" s="341">
        <v>20</v>
      </c>
      <c r="CB1" s="341">
        <v>21</v>
      </c>
      <c r="CC1" s="291"/>
      <c r="CD1" s="341" t="s">
        <v>2348</v>
      </c>
      <c r="CE1" s="45"/>
      <c r="CF1" s="341" t="s">
        <v>2348</v>
      </c>
      <c r="CG1" s="45"/>
      <c r="CH1" s="341" t="s">
        <v>2348</v>
      </c>
      <c r="CI1" s="45"/>
      <c r="CJ1" s="45" t="s">
        <v>2219</v>
      </c>
      <c r="CK1" s="45"/>
      <c r="CL1" s="45"/>
      <c r="CM1" s="390" t="s">
        <v>4150</v>
      </c>
      <c r="CN1" s="1034" t="s">
        <v>2348</v>
      </c>
      <c r="CO1" s="392" t="s">
        <v>4150</v>
      </c>
      <c r="CP1" s="291"/>
      <c r="CQ1" s="391" t="s">
        <v>4150</v>
      </c>
      <c r="CR1" s="291"/>
      <c r="CS1" s="393" t="s">
        <v>4150</v>
      </c>
      <c r="CT1" s="291"/>
      <c r="CU1" s="397">
        <v>14</v>
      </c>
      <c r="CV1" s="341" t="s">
        <v>4154</v>
      </c>
      <c r="CW1" s="341" t="s">
        <v>2348</v>
      </c>
      <c r="CX1" s="341" t="s">
        <v>4482</v>
      </c>
      <c r="CY1" s="341" t="s">
        <v>4483</v>
      </c>
      <c r="CZ1" s="341" t="s">
        <v>4484</v>
      </c>
      <c r="DA1" s="341" t="s">
        <v>4485</v>
      </c>
      <c r="DB1" s="45"/>
      <c r="DC1" s="45"/>
      <c r="DD1" s="45"/>
      <c r="DE1" s="45"/>
      <c r="DF1" s="45"/>
      <c r="DG1" s="397" t="s">
        <v>4150</v>
      </c>
      <c r="DH1" s="397" t="s">
        <v>4150</v>
      </c>
      <c r="DI1" s="45"/>
      <c r="DJ1" s="45"/>
      <c r="DK1" s="394" t="s">
        <v>4150</v>
      </c>
      <c r="DL1" s="45"/>
      <c r="DM1" s="385" t="s">
        <v>4150</v>
      </c>
      <c r="DN1" s="45"/>
      <c r="DO1" s="398" t="s">
        <v>4150</v>
      </c>
      <c r="DP1" s="45"/>
      <c r="DQ1" s="397" t="s">
        <v>4150</v>
      </c>
      <c r="DR1" s="45"/>
      <c r="DS1" s="45"/>
      <c r="DT1" s="45"/>
      <c r="DU1" s="45"/>
      <c r="DV1" s="45"/>
      <c r="DW1" s="45" t="s">
        <v>1988</v>
      </c>
      <c r="DX1" s="45"/>
      <c r="DY1" s="45"/>
      <c r="DZ1" s="291"/>
      <c r="EA1" s="38" t="s">
        <v>4673</v>
      </c>
      <c r="EB1" s="341" t="s">
        <v>4154</v>
      </c>
      <c r="EC1" s="341" t="s">
        <v>2348</v>
      </c>
      <c r="ED1" s="341" t="s">
        <v>4482</v>
      </c>
      <c r="EE1" s="341" t="s">
        <v>4483</v>
      </c>
      <c r="EF1" s="341" t="s">
        <v>4484</v>
      </c>
      <c r="EG1" s="341" t="s">
        <v>4485</v>
      </c>
      <c r="EH1" s="341" t="s">
        <v>4486</v>
      </c>
      <c r="EI1" s="341" t="s">
        <v>3423</v>
      </c>
      <c r="EJ1" s="341" t="s">
        <v>4249</v>
      </c>
      <c r="EK1" s="341" t="s">
        <v>4250</v>
      </c>
      <c r="EL1" s="341" t="s">
        <v>4251</v>
      </c>
      <c r="EM1" s="341" t="s">
        <v>4252</v>
      </c>
      <c r="EN1" s="341" t="s">
        <v>4253</v>
      </c>
      <c r="EO1" s="341" t="s">
        <v>4254</v>
      </c>
      <c r="EP1" s="341" t="s">
        <v>4255</v>
      </c>
      <c r="EQ1" s="341" t="s">
        <v>4256</v>
      </c>
      <c r="ER1" s="291"/>
      <c r="ES1" s="341" t="s">
        <v>4151</v>
      </c>
      <c r="ET1" s="44"/>
      <c r="EU1" s="291">
        <v>13</v>
      </c>
      <c r="EV1" s="291"/>
      <c r="EW1" s="291"/>
      <c r="EX1" s="477">
        <v>12</v>
      </c>
      <c r="EY1" s="477" t="s">
        <v>4152</v>
      </c>
      <c r="EZ1" s="45"/>
      <c r="FA1" s="394" t="s">
        <v>4151</v>
      </c>
      <c r="FB1" s="394" t="s">
        <v>4152</v>
      </c>
      <c r="FC1" s="291"/>
      <c r="FD1" s="291">
        <v>2014</v>
      </c>
      <c r="FE1" s="291">
        <v>2015</v>
      </c>
      <c r="FF1" s="291">
        <v>2016</v>
      </c>
      <c r="FG1" s="291">
        <v>2017</v>
      </c>
      <c r="FH1" s="291">
        <v>2018</v>
      </c>
      <c r="FI1" s="291">
        <v>2019</v>
      </c>
      <c r="FJ1" s="291">
        <v>2020</v>
      </c>
      <c r="FK1" s="291">
        <v>2021</v>
      </c>
      <c r="FL1" s="291">
        <v>2022</v>
      </c>
      <c r="FM1" s="291">
        <v>2014</v>
      </c>
      <c r="FN1" s="19">
        <v>2015</v>
      </c>
      <c r="FO1" s="291">
        <v>2016</v>
      </c>
      <c r="FP1" s="19">
        <v>2017</v>
      </c>
      <c r="FQ1" s="291">
        <v>2018</v>
      </c>
      <c r="FR1" s="19">
        <v>2019</v>
      </c>
      <c r="FS1" s="291">
        <v>2020</v>
      </c>
      <c r="FT1" s="19">
        <v>2021</v>
      </c>
      <c r="FU1" s="19" t="s">
        <v>231</v>
      </c>
      <c r="FX1" s="365" t="s">
        <v>4149</v>
      </c>
      <c r="FZ1" s="365" t="s">
        <v>4149</v>
      </c>
      <c r="GB1" s="365" t="s">
        <v>4149</v>
      </c>
      <c r="GD1" s="19" t="s">
        <v>4681</v>
      </c>
      <c r="GE1" s="1107" t="s">
        <v>4678</v>
      </c>
    </row>
    <row r="2" spans="1:187">
      <c r="L2" s="3">
        <v>0</v>
      </c>
      <c r="N2" s="356"/>
      <c r="P2" s="342"/>
      <c r="Q2" s="142"/>
      <c r="R2" s="142" t="s">
        <v>3227</v>
      </c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P2" s="26"/>
      <c r="AQ2" s="26"/>
      <c r="AR2" s="26"/>
      <c r="AS2" s="26"/>
      <c r="AT2" s="26"/>
      <c r="AU2" s="26"/>
      <c r="AV2" s="26"/>
      <c r="AW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18" t="s">
        <v>3460</v>
      </c>
      <c r="BQ2" s="26"/>
      <c r="BR2" s="26"/>
      <c r="BS2" s="26" t="s">
        <v>2253</v>
      </c>
      <c r="BU2" s="26" t="s">
        <v>134</v>
      </c>
      <c r="BV2" s="26"/>
      <c r="BW2" s="26"/>
      <c r="BX2" s="26"/>
      <c r="BY2" s="26"/>
      <c r="BZ2" s="26"/>
      <c r="CA2" s="26"/>
      <c r="CB2" s="26"/>
      <c r="CD2" s="26" t="s">
        <v>4665</v>
      </c>
      <c r="CF2" s="26" t="s">
        <v>4664</v>
      </c>
      <c r="CH2" s="26" t="s">
        <v>4666</v>
      </c>
      <c r="CM2" s="26" t="s">
        <v>2253</v>
      </c>
      <c r="CO2" s="26" t="s">
        <v>2253</v>
      </c>
      <c r="CQ2" s="26" t="s">
        <v>134</v>
      </c>
      <c r="CS2" s="26" t="s">
        <v>2253</v>
      </c>
      <c r="CU2" s="26"/>
      <c r="CV2" s="26"/>
      <c r="CW2" s="26"/>
      <c r="CX2" s="26"/>
      <c r="CY2" s="26"/>
      <c r="CZ2" s="26"/>
      <c r="DA2" s="26"/>
      <c r="DG2" s="26" t="s">
        <v>1005</v>
      </c>
      <c r="DH2" s="26" t="s">
        <v>1005</v>
      </c>
      <c r="DK2" s="26" t="s">
        <v>1991</v>
      </c>
      <c r="DM2" s="26" t="s">
        <v>1990</v>
      </c>
      <c r="DO2" s="26" t="s">
        <v>1989</v>
      </c>
      <c r="DQ2" s="26" t="s">
        <v>1992</v>
      </c>
      <c r="EA2" s="38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S2" s="26"/>
      <c r="EV2" s="149"/>
      <c r="EX2" s="478" t="s">
        <v>1614</v>
      </c>
      <c r="FA2" s="479" t="s">
        <v>1615</v>
      </c>
      <c r="FX2" s="142" t="s">
        <v>2137</v>
      </c>
      <c r="FZ2" s="142" t="s">
        <v>3226</v>
      </c>
      <c r="GB2" s="142" t="s">
        <v>3227</v>
      </c>
    </row>
    <row r="3" spans="1:187">
      <c r="A3" s="3" t="s">
        <v>3159</v>
      </c>
      <c r="B3" s="3" t="s">
        <v>2182</v>
      </c>
      <c r="P3" s="142">
        <v>0</v>
      </c>
      <c r="Q3" s="142">
        <v>0</v>
      </c>
      <c r="R3" s="155">
        <v>0</v>
      </c>
      <c r="S3" s="155">
        <v>0</v>
      </c>
      <c r="T3" s="337">
        <f t="shared" ref="T3:AC3" si="0">AT3</f>
        <v>0</v>
      </c>
      <c r="U3" s="337">
        <f t="shared" si="0"/>
        <v>0</v>
      </c>
      <c r="V3" s="337">
        <f t="shared" si="0"/>
        <v>0</v>
      </c>
      <c r="W3" s="337">
        <f t="shared" si="0"/>
        <v>0</v>
      </c>
      <c r="X3" s="337">
        <f t="shared" si="0"/>
        <v>0</v>
      </c>
      <c r="Y3" s="337">
        <f t="shared" si="0"/>
        <v>0</v>
      </c>
      <c r="Z3" s="337">
        <f t="shared" si="0"/>
        <v>0</v>
      </c>
      <c r="AA3" s="337">
        <f t="shared" si="0"/>
        <v>0</v>
      </c>
      <c r="AB3" s="337">
        <f t="shared" si="0"/>
        <v>0</v>
      </c>
      <c r="AC3" s="337">
        <f t="shared" si="0"/>
        <v>0</v>
      </c>
      <c r="AD3" s="337">
        <f t="shared" ref="AD3:AL3" si="1">BD3</f>
        <v>0</v>
      </c>
      <c r="AE3" s="337">
        <f t="shared" si="1"/>
        <v>0</v>
      </c>
      <c r="AF3" s="337">
        <f t="shared" si="1"/>
        <v>0</v>
      </c>
      <c r="AG3" s="337">
        <f t="shared" si="1"/>
        <v>0</v>
      </c>
      <c r="AH3" s="337">
        <f t="shared" si="1"/>
        <v>0</v>
      </c>
      <c r="AI3" s="337">
        <f t="shared" si="1"/>
        <v>0</v>
      </c>
      <c r="AJ3" s="337">
        <f t="shared" si="1"/>
        <v>0</v>
      </c>
      <c r="AK3" s="337">
        <f t="shared" si="1"/>
        <v>0</v>
      </c>
      <c r="AL3" s="337">
        <f t="shared" si="1"/>
        <v>0</v>
      </c>
      <c r="AM3" s="337"/>
      <c r="AN3" s="155"/>
      <c r="AP3" s="26"/>
      <c r="AQ3" s="26"/>
      <c r="AR3" s="26"/>
      <c r="AS3" s="396"/>
      <c r="AT3" s="26"/>
      <c r="AU3" s="26"/>
      <c r="AV3" s="26"/>
      <c r="AW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N3" s="251">
        <v>2</v>
      </c>
      <c r="BV3" s="26"/>
      <c r="BW3" s="26"/>
      <c r="BX3" s="26"/>
      <c r="BY3" s="26"/>
      <c r="BZ3" s="26"/>
      <c r="CA3" s="26"/>
      <c r="CB3" s="26"/>
      <c r="CD3" s="26"/>
      <c r="CF3" s="26"/>
      <c r="CH3" s="26"/>
      <c r="CS3" s="395"/>
      <c r="CU3" s="26"/>
      <c r="CV3" s="26"/>
      <c r="CW3" s="26"/>
      <c r="CX3" s="26"/>
      <c r="CY3" s="26"/>
      <c r="CZ3" s="26"/>
      <c r="DA3" s="26"/>
      <c r="DB3" s="395"/>
      <c r="DC3" s="395"/>
      <c r="DD3" s="395"/>
      <c r="DE3" s="395"/>
      <c r="DF3" s="395"/>
      <c r="DG3" s="474"/>
      <c r="DH3" s="474"/>
      <c r="DI3" s="395"/>
      <c r="DJ3" s="395"/>
      <c r="DK3" s="474"/>
      <c r="DL3" s="395"/>
      <c r="DM3" s="474"/>
      <c r="DN3" s="395"/>
      <c r="DO3" s="474"/>
      <c r="DP3" s="395"/>
      <c r="DQ3" s="474"/>
      <c r="DR3" s="395"/>
      <c r="DS3" s="395"/>
      <c r="DT3" s="395"/>
      <c r="DU3" s="395"/>
      <c r="DV3" s="395"/>
      <c r="DW3" s="395"/>
      <c r="DX3" s="395"/>
      <c r="DY3" s="395"/>
      <c r="EA3" s="38"/>
      <c r="EB3" s="26"/>
      <c r="EC3" s="26">
        <v>2</v>
      </c>
      <c r="ED3" s="26">
        <v>2</v>
      </c>
      <c r="EE3" s="26">
        <v>2</v>
      </c>
      <c r="EF3" s="26">
        <v>2</v>
      </c>
      <c r="EG3" s="26">
        <v>2</v>
      </c>
      <c r="EH3" s="26">
        <v>2</v>
      </c>
      <c r="EI3" s="26">
        <v>2</v>
      </c>
      <c r="EJ3" s="26">
        <v>2</v>
      </c>
      <c r="EK3" s="26">
        <v>2</v>
      </c>
      <c r="EL3" s="26">
        <v>2</v>
      </c>
      <c r="EM3" s="26">
        <v>2</v>
      </c>
      <c r="EN3" s="26">
        <v>2</v>
      </c>
      <c r="EO3" s="26">
        <v>2</v>
      </c>
      <c r="EP3" s="26">
        <v>2</v>
      </c>
      <c r="EQ3" s="26">
        <v>2</v>
      </c>
      <c r="ES3" s="26"/>
      <c r="FX3" s="142">
        <v>0</v>
      </c>
      <c r="FZ3" s="142">
        <v>0</v>
      </c>
      <c r="GB3" s="142">
        <v>0</v>
      </c>
    </row>
    <row r="4" spans="1:187">
      <c r="A4" s="124" t="s">
        <v>3160</v>
      </c>
      <c r="B4" s="3" t="s">
        <v>2219</v>
      </c>
      <c r="P4" s="142"/>
      <c r="Q4" s="142"/>
      <c r="R4" s="155"/>
      <c r="S4" s="155"/>
      <c r="T4" s="155"/>
      <c r="U4" s="155"/>
      <c r="V4" s="155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J4" s="337"/>
      <c r="AK4" s="337"/>
      <c r="AL4" s="337"/>
      <c r="AM4" s="155"/>
      <c r="AN4" s="155"/>
      <c r="AP4" s="26"/>
      <c r="AQ4" s="26"/>
      <c r="AR4" s="26"/>
      <c r="AS4" s="26"/>
      <c r="AT4" s="26"/>
      <c r="AU4" s="26"/>
      <c r="AV4" s="26"/>
      <c r="AW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V4" s="26"/>
      <c r="BW4" s="26"/>
      <c r="BX4" s="26"/>
      <c r="BY4" s="26"/>
      <c r="BZ4" s="26"/>
      <c r="CA4" s="26"/>
      <c r="CB4" s="26"/>
      <c r="CD4" s="26"/>
      <c r="CF4" s="26"/>
      <c r="CH4" s="26"/>
      <c r="CU4" s="26"/>
      <c r="CV4" s="26"/>
      <c r="CW4" s="26"/>
      <c r="CX4" s="26"/>
      <c r="CY4" s="26"/>
      <c r="CZ4" s="26"/>
      <c r="DA4" s="26"/>
      <c r="EA4" s="38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S4" s="26"/>
      <c r="FX4" s="142"/>
      <c r="FZ4" s="142"/>
      <c r="GB4" s="142"/>
    </row>
    <row r="5" spans="1:187">
      <c r="A5" s="73" t="s">
        <v>2072</v>
      </c>
      <c r="B5" s="3" t="s">
        <v>2182</v>
      </c>
      <c r="P5" s="142">
        <f t="shared" ref="P5:Q10" si="2">AP5</f>
        <v>0</v>
      </c>
      <c r="Q5" s="142">
        <f t="shared" si="2"/>
        <v>0</v>
      </c>
      <c r="R5" s="337">
        <f t="shared" ref="R5:U6" si="3">AR5+0</f>
        <v>0</v>
      </c>
      <c r="S5" s="337">
        <f t="shared" si="3"/>
        <v>0</v>
      </c>
      <c r="T5" s="337">
        <f t="shared" si="3"/>
        <v>0</v>
      </c>
      <c r="U5" s="337">
        <f t="shared" si="3"/>
        <v>0</v>
      </c>
      <c r="V5" s="927">
        <f>AV5+0</f>
        <v>0</v>
      </c>
      <c r="W5" s="337">
        <f>AW5-33</f>
        <v>-33</v>
      </c>
      <c r="X5" s="337">
        <f>AX5-50-49.999999</f>
        <v>-99.999999000000003</v>
      </c>
      <c r="Y5" s="337">
        <f>AY5+0</f>
        <v>0</v>
      </c>
      <c r="Z5" s="337">
        <f>AZ5</f>
        <v>0</v>
      </c>
      <c r="AA5" s="337">
        <f t="shared" ref="Z5:AC6" si="4">BA5+0</f>
        <v>0</v>
      </c>
      <c r="AB5" s="337">
        <f t="shared" si="4"/>
        <v>0</v>
      </c>
      <c r="AC5" s="337">
        <f t="shared" si="4"/>
        <v>0</v>
      </c>
      <c r="AD5" s="337">
        <f t="shared" ref="AD5:AL6" si="5">BD5+0</f>
        <v>0</v>
      </c>
      <c r="AE5" s="337">
        <f t="shared" si="5"/>
        <v>0</v>
      </c>
      <c r="AF5" s="337">
        <f t="shared" si="5"/>
        <v>0</v>
      </c>
      <c r="AG5" s="337">
        <f t="shared" si="5"/>
        <v>0</v>
      </c>
      <c r="AH5" s="337">
        <f t="shared" si="5"/>
        <v>0</v>
      </c>
      <c r="AI5" s="337">
        <f t="shared" si="5"/>
        <v>0</v>
      </c>
      <c r="AJ5" s="337">
        <f t="shared" si="5"/>
        <v>0</v>
      </c>
      <c r="AK5" s="337">
        <f t="shared" si="5"/>
        <v>0</v>
      </c>
      <c r="AL5" s="337">
        <f t="shared" si="5"/>
        <v>0</v>
      </c>
      <c r="AM5" s="337"/>
      <c r="AN5" s="337"/>
      <c r="AP5" s="26"/>
      <c r="AQ5" s="26"/>
      <c r="AR5" s="26"/>
      <c r="AS5" s="26"/>
      <c r="AT5" s="26"/>
      <c r="AU5" s="26"/>
      <c r="AV5" s="26"/>
      <c r="AW5" s="26"/>
      <c r="AY5" s="251"/>
      <c r="AZ5" s="251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N5" s="251">
        <v>-33</v>
      </c>
      <c r="BO5" s="251">
        <v>-50</v>
      </c>
      <c r="BP5" s="251"/>
      <c r="BQ5" s="251">
        <v>200</v>
      </c>
      <c r="BR5" s="251"/>
      <c r="BS5" s="967">
        <v>-67</v>
      </c>
      <c r="BU5" s="287">
        <v>-49.999000000000002</v>
      </c>
      <c r="BV5" s="26"/>
      <c r="BW5" s="287">
        <v>-49.999999000000003</v>
      </c>
      <c r="BX5" s="287"/>
      <c r="BY5" s="287"/>
      <c r="BZ5" s="287"/>
      <c r="CA5" s="287"/>
      <c r="CB5" s="287"/>
      <c r="CD5" s="287"/>
      <c r="CF5" s="287"/>
      <c r="CH5" s="287"/>
      <c r="CL5" s="1031">
        <v>-66</v>
      </c>
      <c r="CM5" s="1031">
        <v>-49.999999000000003</v>
      </c>
      <c r="CN5" s="1031">
        <v>-49.999999000000003</v>
      </c>
      <c r="CO5" s="967">
        <v>-67</v>
      </c>
      <c r="CQ5" s="1031">
        <v>-32.1</v>
      </c>
      <c r="CR5" s="26">
        <v>-49.999000000000002</v>
      </c>
      <c r="CU5" s="508"/>
      <c r="CV5" s="967">
        <v>-67</v>
      </c>
      <c r="CW5" s="26"/>
      <c r="CX5" s="26"/>
      <c r="CY5" s="26"/>
      <c r="CZ5" s="26"/>
      <c r="DA5" s="26"/>
      <c r="EA5" s="277"/>
      <c r="EB5" s="1031"/>
      <c r="EC5" s="26"/>
      <c r="ED5" s="251"/>
      <c r="EE5" s="251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S5" s="26"/>
      <c r="EW5" s="38"/>
      <c r="FD5" s="967">
        <v>-68.578000000000003</v>
      </c>
      <c r="FH5" s="966"/>
      <c r="FJ5" s="489">
        <v>-99</v>
      </c>
      <c r="FL5" s="26">
        <v>-10</v>
      </c>
      <c r="FM5" s="508">
        <v>-34.299999999999997</v>
      </c>
      <c r="FN5" s="967">
        <v>-52.2</v>
      </c>
      <c r="FX5" s="142">
        <f>GG5+0</f>
        <v>0</v>
      </c>
      <c r="FZ5" s="142">
        <f>GJ5+0</f>
        <v>0</v>
      </c>
      <c r="GB5" s="142">
        <f>GM5+0</f>
        <v>0</v>
      </c>
    </row>
    <row r="6" spans="1:187">
      <c r="A6" s="73" t="s">
        <v>4574</v>
      </c>
      <c r="B6" s="3" t="s">
        <v>2182</v>
      </c>
      <c r="P6" s="142">
        <f t="shared" si="2"/>
        <v>0</v>
      </c>
      <c r="Q6" s="142">
        <f>AQ6</f>
        <v>0</v>
      </c>
      <c r="R6" s="337">
        <f t="shared" si="3"/>
        <v>0</v>
      </c>
      <c r="S6" s="337">
        <f t="shared" si="3"/>
        <v>0</v>
      </c>
      <c r="T6" s="337">
        <f t="shared" si="3"/>
        <v>0</v>
      </c>
      <c r="U6" s="337">
        <f t="shared" si="3"/>
        <v>0</v>
      </c>
      <c r="V6" s="337">
        <f>AV6</f>
        <v>0</v>
      </c>
      <c r="W6" s="337">
        <f>AW6</f>
        <v>0</v>
      </c>
      <c r="X6" s="337">
        <f>AX6</f>
        <v>0</v>
      </c>
      <c r="Y6" s="337">
        <f>AY6</f>
        <v>0</v>
      </c>
      <c r="Z6" s="337">
        <f t="shared" si="4"/>
        <v>0</v>
      </c>
      <c r="AA6" s="337">
        <f t="shared" si="4"/>
        <v>0</v>
      </c>
      <c r="AB6" s="337">
        <f t="shared" si="4"/>
        <v>0</v>
      </c>
      <c r="AC6" s="337">
        <f t="shared" si="4"/>
        <v>0</v>
      </c>
      <c r="AD6" s="337">
        <f t="shared" si="5"/>
        <v>0</v>
      </c>
      <c r="AE6" s="337">
        <f t="shared" si="5"/>
        <v>0</v>
      </c>
      <c r="AF6" s="337">
        <f t="shared" si="5"/>
        <v>0</v>
      </c>
      <c r="AG6" s="337">
        <f t="shared" si="5"/>
        <v>0</v>
      </c>
      <c r="AH6" s="337">
        <f t="shared" si="5"/>
        <v>0</v>
      </c>
      <c r="AI6" s="337">
        <f t="shared" si="5"/>
        <v>0</v>
      </c>
      <c r="AJ6" s="337">
        <f t="shared" si="5"/>
        <v>0</v>
      </c>
      <c r="AK6" s="337">
        <f t="shared" si="5"/>
        <v>0</v>
      </c>
      <c r="AL6" s="337">
        <f t="shared" si="5"/>
        <v>0</v>
      </c>
      <c r="AM6" s="337"/>
      <c r="AN6" s="337"/>
      <c r="AP6" s="26"/>
      <c r="AQ6" s="26"/>
      <c r="AR6" s="26"/>
      <c r="AS6" s="26"/>
      <c r="AT6" s="26"/>
      <c r="AU6" s="26"/>
      <c r="AV6" s="26"/>
      <c r="AW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V6" s="26"/>
      <c r="BW6" s="26"/>
      <c r="BX6" s="26"/>
      <c r="BY6" s="26"/>
      <c r="BZ6" s="26"/>
      <c r="CA6" s="26"/>
      <c r="CB6" s="26"/>
      <c r="CD6" s="26"/>
      <c r="CF6" s="26"/>
      <c r="CH6" s="26"/>
      <c r="CU6" s="26"/>
      <c r="CV6" s="26"/>
      <c r="CW6" s="26"/>
      <c r="CX6" s="26"/>
      <c r="CY6" s="26"/>
      <c r="CZ6" s="26"/>
      <c r="DA6" s="26"/>
      <c r="EA6" s="277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S6" s="26"/>
      <c r="EU6" s="26">
        <v>15</v>
      </c>
      <c r="EV6" s="26">
        <v>15</v>
      </c>
      <c r="EW6" s="26">
        <v>15</v>
      </c>
      <c r="FJ6" s="26"/>
      <c r="FL6" s="26">
        <v>-10</v>
      </c>
      <c r="FM6" s="25"/>
      <c r="FX6" s="142">
        <f>GG6</f>
        <v>0</v>
      </c>
      <c r="FZ6" s="142">
        <f>GJ6</f>
        <v>0</v>
      </c>
      <c r="GB6" s="142">
        <f>GM6</f>
        <v>0</v>
      </c>
    </row>
    <row r="7" spans="1:187">
      <c r="A7" s="73" t="s">
        <v>2104</v>
      </c>
      <c r="B7" s="3" t="s">
        <v>2182</v>
      </c>
      <c r="P7" s="142">
        <f t="shared" si="2"/>
        <v>0</v>
      </c>
      <c r="Q7" s="142">
        <f>AQ7</f>
        <v>0</v>
      </c>
      <c r="R7" s="337">
        <f>AR7</f>
        <v>0</v>
      </c>
      <c r="S7" s="337">
        <f>AS7</f>
        <v>0</v>
      </c>
      <c r="T7" s="337">
        <f>AT7</f>
        <v>0</v>
      </c>
      <c r="U7" s="337">
        <f>AU7</f>
        <v>0</v>
      </c>
      <c r="V7" s="927">
        <f>AV7+0</f>
        <v>0</v>
      </c>
      <c r="W7" s="927">
        <f>AW7+0</f>
        <v>0</v>
      </c>
      <c r="X7" s="337">
        <f>AX7</f>
        <v>0</v>
      </c>
      <c r="Y7" s="337">
        <f>AY7</f>
        <v>0</v>
      </c>
      <c r="Z7" s="337">
        <f>AZ7</f>
        <v>0</v>
      </c>
      <c r="AA7" s="337">
        <f>BA7</f>
        <v>0</v>
      </c>
      <c r="AB7" s="337">
        <f>BB7</f>
        <v>0</v>
      </c>
      <c r="AC7" s="337">
        <f t="shared" ref="AC7:AL7" si="6">BC7+4</f>
        <v>4</v>
      </c>
      <c r="AD7" s="337">
        <f t="shared" si="6"/>
        <v>4</v>
      </c>
      <c r="AE7" s="337">
        <f t="shared" si="6"/>
        <v>4</v>
      </c>
      <c r="AF7" s="337">
        <f t="shared" si="6"/>
        <v>4</v>
      </c>
      <c r="AG7" s="337">
        <f t="shared" si="6"/>
        <v>4</v>
      </c>
      <c r="AH7" s="337">
        <f t="shared" si="6"/>
        <v>4</v>
      </c>
      <c r="AI7" s="337">
        <f t="shared" si="6"/>
        <v>4</v>
      </c>
      <c r="AJ7" s="337">
        <f t="shared" si="6"/>
        <v>4</v>
      </c>
      <c r="AK7" s="337">
        <f t="shared" si="6"/>
        <v>4</v>
      </c>
      <c r="AL7" s="337">
        <f t="shared" si="6"/>
        <v>4</v>
      </c>
      <c r="AM7" s="337"/>
      <c r="AN7" s="337"/>
      <c r="AP7" s="26"/>
      <c r="AQ7" s="26"/>
      <c r="AR7" s="26"/>
      <c r="AS7" s="26"/>
      <c r="AT7" s="26"/>
      <c r="AU7" s="26"/>
      <c r="AV7" s="26"/>
      <c r="AW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S7" s="26">
        <v>28.85</v>
      </c>
      <c r="BT7" s="25"/>
      <c r="BU7" s="287">
        <v>-103.999</v>
      </c>
      <c r="BV7" s="26"/>
      <c r="BW7" s="26"/>
      <c r="BX7" s="26"/>
      <c r="BY7" s="26"/>
      <c r="BZ7" s="26"/>
      <c r="CA7" s="26"/>
      <c r="CB7" s="26"/>
      <c r="CC7" s="25"/>
      <c r="CD7" s="26"/>
      <c r="CF7" s="26"/>
      <c r="CH7" s="26"/>
      <c r="CN7" s="1031">
        <v>5</v>
      </c>
      <c r="CO7" s="26">
        <v>28.85</v>
      </c>
      <c r="CP7" s="25"/>
      <c r="CR7" s="25"/>
      <c r="CT7" s="25"/>
      <c r="CU7" s="26"/>
      <c r="CV7" s="26"/>
      <c r="CW7" s="26"/>
      <c r="CX7" s="26">
        <v>28.85</v>
      </c>
      <c r="CY7" s="26"/>
      <c r="CZ7" s="26"/>
      <c r="DA7" s="26"/>
      <c r="DZ7" s="25"/>
      <c r="EA7" s="277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5"/>
      <c r="ES7" s="26"/>
      <c r="EU7" s="26">
        <v>5</v>
      </c>
      <c r="EV7" s="26">
        <v>10</v>
      </c>
      <c r="EW7" s="26">
        <v>10</v>
      </c>
      <c r="EZ7" s="25"/>
      <c r="FC7" s="25"/>
      <c r="FE7" s="25"/>
      <c r="FH7" s="25"/>
      <c r="FI7" s="25"/>
      <c r="FJ7" s="26"/>
      <c r="FK7" s="25"/>
      <c r="FL7" s="26">
        <v>-10</v>
      </c>
      <c r="FM7" s="508"/>
      <c r="FN7" s="967"/>
      <c r="FS7" s="25"/>
      <c r="FX7" s="142">
        <f>GG7</f>
        <v>0</v>
      </c>
      <c r="FZ7" s="142">
        <f>GJ7</f>
        <v>0</v>
      </c>
      <c r="GB7" s="142">
        <f>GM7</f>
        <v>0</v>
      </c>
    </row>
    <row r="8" spans="1:187">
      <c r="A8" s="73" t="s">
        <v>1404</v>
      </c>
      <c r="B8" s="3" t="s">
        <v>2182</v>
      </c>
      <c r="P8" s="142">
        <f t="shared" si="2"/>
        <v>0</v>
      </c>
      <c r="Q8" s="142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7"/>
      <c r="AI8" s="337"/>
      <c r="AJ8" s="337"/>
      <c r="AK8" s="337"/>
      <c r="AL8" s="337"/>
      <c r="AM8" s="337"/>
      <c r="AN8" s="337"/>
      <c r="AP8" s="26"/>
      <c r="AQ8" s="26"/>
      <c r="AR8" s="26"/>
      <c r="AS8" s="26"/>
      <c r="AT8" s="26"/>
      <c r="AU8" s="26"/>
      <c r="AV8" s="26"/>
      <c r="AW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V8" s="26"/>
      <c r="BW8" s="26"/>
      <c r="BX8" s="26"/>
      <c r="BY8" s="26"/>
      <c r="BZ8" s="26"/>
      <c r="CA8" s="26"/>
      <c r="CB8" s="26"/>
      <c r="CD8" s="26"/>
      <c r="CF8" s="26"/>
      <c r="CH8" s="26"/>
      <c r="CU8" s="26"/>
      <c r="CV8" s="26"/>
      <c r="CW8" s="26"/>
      <c r="CX8" s="26"/>
      <c r="CY8" s="26"/>
      <c r="CZ8" s="26"/>
      <c r="DA8" s="26"/>
      <c r="EA8" s="277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S8" s="26"/>
      <c r="FJ8" s="26"/>
      <c r="FX8" s="142"/>
      <c r="FZ8" s="142"/>
      <c r="GB8" s="142"/>
    </row>
    <row r="9" spans="1:187">
      <c r="A9" s="73" t="s">
        <v>2210</v>
      </c>
      <c r="B9" s="3" t="s">
        <v>2182</v>
      </c>
      <c r="P9" s="142">
        <f t="shared" si="2"/>
        <v>0</v>
      </c>
      <c r="Q9" s="142">
        <f>AQ9</f>
        <v>0</v>
      </c>
      <c r="R9" s="142">
        <f>AR9</f>
        <v>0</v>
      </c>
      <c r="S9" s="142">
        <f>AS9</f>
        <v>0</v>
      </c>
      <c r="T9" s="142">
        <f>AT9</f>
        <v>0</v>
      </c>
      <c r="U9" s="926">
        <f>AU9+12.8</f>
        <v>12.8</v>
      </c>
      <c r="V9" s="926">
        <f>AV9+6</f>
        <v>6</v>
      </c>
      <c r="W9" s="155">
        <f>AW9+5-15</f>
        <v>-10</v>
      </c>
      <c r="X9" s="155">
        <f>AX9+5-15</f>
        <v>-10</v>
      </c>
      <c r="Y9" s="1042">
        <f t="shared" ref="Y9:AL9" si="7">AY9+5</f>
        <v>5</v>
      </c>
      <c r="Z9" s="1042">
        <f t="shared" si="7"/>
        <v>5</v>
      </c>
      <c r="AA9" s="1042">
        <f t="shared" si="7"/>
        <v>5</v>
      </c>
      <c r="AB9" s="1042">
        <f t="shared" si="7"/>
        <v>5</v>
      </c>
      <c r="AC9" s="926">
        <f t="shared" si="7"/>
        <v>5</v>
      </c>
      <c r="AD9" s="926">
        <f t="shared" si="7"/>
        <v>5</v>
      </c>
      <c r="AE9" s="926">
        <f t="shared" si="7"/>
        <v>5</v>
      </c>
      <c r="AF9" s="926">
        <f t="shared" si="7"/>
        <v>5</v>
      </c>
      <c r="AG9" s="926">
        <f t="shared" si="7"/>
        <v>5</v>
      </c>
      <c r="AH9" s="926">
        <f t="shared" si="7"/>
        <v>5</v>
      </c>
      <c r="AI9" s="926">
        <f t="shared" si="7"/>
        <v>5</v>
      </c>
      <c r="AJ9" s="926">
        <f t="shared" si="7"/>
        <v>5</v>
      </c>
      <c r="AK9" s="926">
        <f t="shared" si="7"/>
        <v>5</v>
      </c>
      <c r="AL9" s="926">
        <f t="shared" si="7"/>
        <v>5</v>
      </c>
      <c r="AM9" s="926"/>
      <c r="AN9" s="337"/>
      <c r="AP9" s="26"/>
      <c r="AQ9" s="26"/>
      <c r="AR9" s="26"/>
      <c r="AS9" s="26"/>
      <c r="AT9" s="26"/>
      <c r="AU9" s="26"/>
      <c r="AV9" s="26"/>
      <c r="AW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V9" s="26"/>
      <c r="BW9" s="287">
        <v>-15</v>
      </c>
      <c r="BX9" s="287"/>
      <c r="BY9" s="287"/>
      <c r="BZ9" s="287"/>
      <c r="CA9" s="287"/>
      <c r="CB9" s="287"/>
      <c r="CD9" s="287"/>
      <c r="CF9" s="287"/>
      <c r="CH9" s="287"/>
      <c r="CU9" s="26"/>
      <c r="CV9" s="26"/>
      <c r="CW9" s="26"/>
      <c r="CX9" s="26"/>
      <c r="CY9" s="26"/>
      <c r="CZ9" s="26"/>
      <c r="DA9" s="26"/>
      <c r="EA9" s="277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S9" s="26"/>
      <c r="EU9" s="26">
        <v>5</v>
      </c>
      <c r="EV9" s="26">
        <v>5</v>
      </c>
      <c r="EW9" s="26">
        <v>5</v>
      </c>
      <c r="FJ9" s="490">
        <v>140</v>
      </c>
      <c r="FK9" s="490">
        <v>-30</v>
      </c>
      <c r="FL9" s="490">
        <v>10</v>
      </c>
      <c r="FX9" s="142">
        <f>GG9</f>
        <v>0</v>
      </c>
      <c r="FZ9" s="142">
        <f>GJ9</f>
        <v>0</v>
      </c>
      <c r="GB9" s="142">
        <f>GM9</f>
        <v>0</v>
      </c>
    </row>
    <row r="10" spans="1:187">
      <c r="A10" s="73" t="s">
        <v>2857</v>
      </c>
      <c r="B10" s="3" t="s">
        <v>2182</v>
      </c>
      <c r="P10" s="142">
        <f t="shared" si="2"/>
        <v>0</v>
      </c>
      <c r="Q10" s="142">
        <f t="shared" ref="Q10:T13" si="8">AQ10+0</f>
        <v>0</v>
      </c>
      <c r="R10" s="142">
        <f t="shared" si="8"/>
        <v>0</v>
      </c>
      <c r="S10" s="337">
        <f t="shared" si="8"/>
        <v>0</v>
      </c>
      <c r="T10" s="337">
        <f t="shared" si="8"/>
        <v>0</v>
      </c>
      <c r="U10" s="927">
        <f>AU10-5.2</f>
        <v>-5.2</v>
      </c>
      <c r="V10" s="927">
        <f>AV10+0</f>
        <v>0</v>
      </c>
      <c r="W10" s="337">
        <f>AW10-21.2</f>
        <v>-21.2</v>
      </c>
      <c r="X10" s="927">
        <f t="shared" ref="X10:AC10" si="9">AX10+0</f>
        <v>0</v>
      </c>
      <c r="Y10" s="927">
        <f t="shared" si="9"/>
        <v>0</v>
      </c>
      <c r="Z10" s="927">
        <f t="shared" si="9"/>
        <v>0</v>
      </c>
      <c r="AA10" s="927">
        <f>BA10+0</f>
        <v>0</v>
      </c>
      <c r="AB10" s="927">
        <f>BB10+0</f>
        <v>0</v>
      </c>
      <c r="AC10" s="927">
        <f t="shared" si="9"/>
        <v>0</v>
      </c>
      <c r="AD10" s="927">
        <f t="shared" ref="AD10:AL10" si="10">BD10+0</f>
        <v>0</v>
      </c>
      <c r="AE10" s="927">
        <f t="shared" si="10"/>
        <v>0</v>
      </c>
      <c r="AF10" s="927">
        <f t="shared" si="10"/>
        <v>0</v>
      </c>
      <c r="AG10" s="927">
        <f t="shared" si="10"/>
        <v>0</v>
      </c>
      <c r="AH10" s="927">
        <f t="shared" si="10"/>
        <v>0</v>
      </c>
      <c r="AI10" s="927">
        <f t="shared" si="10"/>
        <v>0</v>
      </c>
      <c r="AJ10" s="927">
        <f t="shared" si="10"/>
        <v>0</v>
      </c>
      <c r="AK10" s="927">
        <f t="shared" si="10"/>
        <v>0</v>
      </c>
      <c r="AL10" s="927">
        <f t="shared" si="10"/>
        <v>0</v>
      </c>
      <c r="AM10" s="927"/>
      <c r="AN10" s="337"/>
      <c r="AP10" s="26"/>
      <c r="AQ10" s="26"/>
      <c r="AR10" s="26"/>
      <c r="AS10" s="26"/>
      <c r="AT10" s="26"/>
      <c r="AU10" s="26"/>
      <c r="AV10" s="26"/>
      <c r="AW10" s="287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V10" s="287">
        <v>-21.2</v>
      </c>
      <c r="BW10" s="26"/>
      <c r="BX10" s="26"/>
      <c r="BY10" s="26"/>
      <c r="BZ10" s="26"/>
      <c r="CA10" s="26"/>
      <c r="CB10" s="26"/>
      <c r="CD10" s="26"/>
      <c r="CF10" s="26"/>
      <c r="CH10" s="26"/>
      <c r="CU10" s="26"/>
      <c r="CV10" s="26"/>
      <c r="CW10" s="26"/>
      <c r="CX10" s="26"/>
      <c r="CY10" s="26"/>
      <c r="CZ10" s="26"/>
      <c r="DA10" s="26"/>
      <c r="EA10" s="277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S10" s="26"/>
      <c r="FJ10" s="490">
        <v>110</v>
      </c>
      <c r="FK10" s="490"/>
      <c r="FL10" s="490"/>
      <c r="FX10" s="142">
        <f>GG10+0</f>
        <v>0</v>
      </c>
      <c r="FZ10" s="142">
        <f>GJ10+0</f>
        <v>0</v>
      </c>
      <c r="GB10" s="142">
        <f>GM10+0</f>
        <v>0</v>
      </c>
    </row>
    <row r="11" spans="1:187">
      <c r="A11" s="73" t="s">
        <v>2212</v>
      </c>
      <c r="B11" s="3" t="s">
        <v>2182</v>
      </c>
      <c r="P11" s="142">
        <f>AP11+0</f>
        <v>0</v>
      </c>
      <c r="Q11" s="142">
        <f t="shared" si="8"/>
        <v>0</v>
      </c>
      <c r="R11" s="337">
        <f t="shared" si="8"/>
        <v>0</v>
      </c>
      <c r="S11" s="337">
        <f t="shared" si="8"/>
        <v>0</v>
      </c>
      <c r="T11" s="337">
        <f t="shared" si="8"/>
        <v>0</v>
      </c>
      <c r="U11" s="337">
        <f>AU11+1</f>
        <v>1</v>
      </c>
      <c r="V11" s="927">
        <f t="shared" ref="V11:Z12" si="11">AV11+2.6</f>
        <v>2.6</v>
      </c>
      <c r="W11" s="927">
        <f t="shared" si="11"/>
        <v>2.6</v>
      </c>
      <c r="X11" s="927">
        <f t="shared" si="11"/>
        <v>2.6</v>
      </c>
      <c r="Y11" s="927">
        <f t="shared" si="11"/>
        <v>2.6</v>
      </c>
      <c r="Z11" s="927">
        <f t="shared" si="11"/>
        <v>2.6</v>
      </c>
      <c r="AA11" s="927">
        <f t="shared" ref="AA11:AC12" si="12">BA11+1.3</f>
        <v>1.3</v>
      </c>
      <c r="AB11" s="927">
        <f t="shared" si="12"/>
        <v>1.3</v>
      </c>
      <c r="AC11" s="927">
        <f t="shared" si="12"/>
        <v>1.3</v>
      </c>
      <c r="AD11" s="927">
        <f t="shared" ref="AD11:AL12" si="13">BD11+1.3</f>
        <v>1.3</v>
      </c>
      <c r="AE11" s="927">
        <f t="shared" si="13"/>
        <v>1.3</v>
      </c>
      <c r="AF11" s="927">
        <f t="shared" si="13"/>
        <v>1.3</v>
      </c>
      <c r="AG11" s="927">
        <f t="shared" si="13"/>
        <v>1.3</v>
      </c>
      <c r="AH11" s="927">
        <f t="shared" si="13"/>
        <v>1.3</v>
      </c>
      <c r="AI11" s="927">
        <f t="shared" si="13"/>
        <v>1.3</v>
      </c>
      <c r="AJ11" s="927">
        <f t="shared" si="13"/>
        <v>1.3</v>
      </c>
      <c r="AK11" s="927">
        <f t="shared" si="13"/>
        <v>1.3</v>
      </c>
      <c r="AL11" s="927">
        <f t="shared" si="13"/>
        <v>1.3</v>
      </c>
      <c r="AM11" s="927"/>
      <c r="AN11" s="337"/>
      <c r="AP11" s="26"/>
      <c r="AQ11" s="26"/>
      <c r="AR11" s="26"/>
      <c r="AS11" s="26"/>
      <c r="AT11" s="26"/>
      <c r="AU11" s="26"/>
      <c r="AV11" s="26"/>
      <c r="AW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V11" s="26"/>
      <c r="BW11" s="26"/>
      <c r="BX11" s="26"/>
      <c r="BY11" s="26"/>
      <c r="BZ11" s="26"/>
      <c r="CA11" s="26"/>
      <c r="CB11" s="26"/>
      <c r="CD11" s="26"/>
      <c r="CF11" s="26"/>
      <c r="CH11" s="26"/>
      <c r="CU11" s="26"/>
      <c r="CV11" s="26"/>
      <c r="CW11" s="26"/>
      <c r="CX11" s="26"/>
      <c r="CY11" s="26"/>
      <c r="CZ11" s="26"/>
      <c r="DA11" s="26"/>
      <c r="EA11" s="277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S11" s="26"/>
      <c r="EU11" s="26">
        <v>2</v>
      </c>
      <c r="EV11" s="26">
        <v>2</v>
      </c>
      <c r="EW11" s="26">
        <v>2</v>
      </c>
      <c r="FJ11" s="490">
        <v>110</v>
      </c>
      <c r="FK11" s="490"/>
      <c r="FL11" s="490"/>
      <c r="FX11" s="142">
        <f>GG11+0</f>
        <v>0</v>
      </c>
      <c r="FZ11" s="142">
        <f>GJ11+0</f>
        <v>0</v>
      </c>
      <c r="GB11" s="142">
        <f>GM11+0</f>
        <v>0</v>
      </c>
    </row>
    <row r="12" spans="1:187">
      <c r="A12" s="73" t="s">
        <v>2214</v>
      </c>
      <c r="B12" s="3" t="s">
        <v>2182</v>
      </c>
      <c r="P12" s="142">
        <f>AP12+0</f>
        <v>0</v>
      </c>
      <c r="Q12" s="142">
        <f t="shared" si="8"/>
        <v>0</v>
      </c>
      <c r="R12" s="337">
        <f t="shared" si="8"/>
        <v>0</v>
      </c>
      <c r="S12" s="337">
        <f t="shared" si="8"/>
        <v>0</v>
      </c>
      <c r="T12" s="337">
        <f t="shared" si="8"/>
        <v>0</v>
      </c>
      <c r="U12" s="337">
        <f>AU12+1</f>
        <v>1</v>
      </c>
      <c r="V12" s="927">
        <f t="shared" si="11"/>
        <v>2.6</v>
      </c>
      <c r="W12" s="927">
        <f t="shared" si="11"/>
        <v>2.6</v>
      </c>
      <c r="X12" s="927">
        <f t="shared" si="11"/>
        <v>2.6</v>
      </c>
      <c r="Y12" s="927">
        <f t="shared" si="11"/>
        <v>2.6</v>
      </c>
      <c r="Z12" s="927">
        <f t="shared" si="11"/>
        <v>2.6</v>
      </c>
      <c r="AA12" s="927">
        <f t="shared" si="12"/>
        <v>1.3</v>
      </c>
      <c r="AB12" s="927">
        <f t="shared" si="12"/>
        <v>1.3</v>
      </c>
      <c r="AC12" s="927">
        <f t="shared" si="12"/>
        <v>1.3</v>
      </c>
      <c r="AD12" s="927">
        <f t="shared" si="13"/>
        <v>1.3</v>
      </c>
      <c r="AE12" s="927">
        <f t="shared" si="13"/>
        <v>1.3</v>
      </c>
      <c r="AF12" s="927">
        <f t="shared" si="13"/>
        <v>1.3</v>
      </c>
      <c r="AG12" s="927">
        <f t="shared" si="13"/>
        <v>1.3</v>
      </c>
      <c r="AH12" s="927">
        <f t="shared" si="13"/>
        <v>1.3</v>
      </c>
      <c r="AI12" s="927">
        <f t="shared" si="13"/>
        <v>1.3</v>
      </c>
      <c r="AJ12" s="927">
        <f t="shared" si="13"/>
        <v>1.3</v>
      </c>
      <c r="AK12" s="927">
        <f t="shared" si="13"/>
        <v>1.3</v>
      </c>
      <c r="AL12" s="927">
        <f t="shared" si="13"/>
        <v>1.3</v>
      </c>
      <c r="AM12" s="927"/>
      <c r="AN12" s="337"/>
      <c r="AP12" s="26"/>
      <c r="AQ12" s="26"/>
      <c r="AR12" s="26"/>
      <c r="AS12" s="26"/>
      <c r="AT12" s="26"/>
      <c r="AU12" s="26"/>
      <c r="AV12" s="26"/>
      <c r="AW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V12" s="26"/>
      <c r="BW12" s="26"/>
      <c r="BX12" s="26"/>
      <c r="BY12" s="26"/>
      <c r="BZ12" s="26"/>
      <c r="CA12" s="26"/>
      <c r="CB12" s="26"/>
      <c r="CD12" s="26"/>
      <c r="CF12" s="26"/>
      <c r="CH12" s="26"/>
      <c r="CU12" s="26"/>
      <c r="CV12" s="26"/>
      <c r="CW12" s="26"/>
      <c r="CX12" s="26"/>
      <c r="CY12" s="26"/>
      <c r="CZ12" s="26"/>
      <c r="DA12" s="26"/>
      <c r="EA12" s="277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S12" s="26"/>
      <c r="EU12" s="26">
        <v>2</v>
      </c>
      <c r="EV12" s="26">
        <v>2</v>
      </c>
      <c r="EW12" s="26">
        <v>2</v>
      </c>
      <c r="FJ12" s="490">
        <v>110</v>
      </c>
      <c r="FK12" s="490"/>
      <c r="FL12" s="490"/>
      <c r="FX12" s="142">
        <f>GG12+0</f>
        <v>0</v>
      </c>
      <c r="FZ12" s="142">
        <f>GJ12+0</f>
        <v>0</v>
      </c>
      <c r="GB12" s="142">
        <f>GM12+0</f>
        <v>0</v>
      </c>
    </row>
    <row r="13" spans="1:187">
      <c r="A13" s="73" t="s">
        <v>2213</v>
      </c>
      <c r="B13" s="3" t="s">
        <v>2182</v>
      </c>
      <c r="P13" s="142">
        <f>AP13+0</f>
        <v>0</v>
      </c>
      <c r="Q13" s="142">
        <f t="shared" si="8"/>
        <v>0</v>
      </c>
      <c r="R13" s="337">
        <f t="shared" si="8"/>
        <v>0</v>
      </c>
      <c r="S13" s="337">
        <f t="shared" si="8"/>
        <v>0</v>
      </c>
      <c r="T13" s="337">
        <f t="shared" si="8"/>
        <v>0</v>
      </c>
      <c r="U13" s="927">
        <f>AU13-17</f>
        <v>-17</v>
      </c>
      <c r="V13" s="927">
        <f>AV13+15</f>
        <v>15</v>
      </c>
      <c r="W13" s="927">
        <f>AW13+15</f>
        <v>15</v>
      </c>
      <c r="X13" s="927">
        <f>AX13+15</f>
        <v>15</v>
      </c>
      <c r="Y13" s="927">
        <f>AY13+15</f>
        <v>15</v>
      </c>
      <c r="Z13" s="927">
        <f>AZ13+15</f>
        <v>15</v>
      </c>
      <c r="AA13" s="927">
        <f>BA13+7.5</f>
        <v>7.5</v>
      </c>
      <c r="AB13" s="927">
        <f>BB13+7.5</f>
        <v>7.5</v>
      </c>
      <c r="AC13" s="927">
        <f>BC13+7.5</f>
        <v>7.5</v>
      </c>
      <c r="AD13" s="927">
        <f t="shared" ref="AD13:AL13" si="14">BD13+7.5</f>
        <v>7.5</v>
      </c>
      <c r="AE13" s="927">
        <f t="shared" si="14"/>
        <v>7.5</v>
      </c>
      <c r="AF13" s="927">
        <f t="shared" si="14"/>
        <v>7.5</v>
      </c>
      <c r="AG13" s="927">
        <f t="shared" si="14"/>
        <v>7.5</v>
      </c>
      <c r="AH13" s="927">
        <f t="shared" si="14"/>
        <v>7.5</v>
      </c>
      <c r="AI13" s="927">
        <f t="shared" si="14"/>
        <v>7.5</v>
      </c>
      <c r="AJ13" s="927">
        <f t="shared" si="14"/>
        <v>7.5</v>
      </c>
      <c r="AK13" s="927">
        <f t="shared" si="14"/>
        <v>7.5</v>
      </c>
      <c r="AL13" s="927">
        <f t="shared" si="14"/>
        <v>7.5</v>
      </c>
      <c r="AM13" s="927"/>
      <c r="AN13" s="337"/>
      <c r="AP13" s="26"/>
      <c r="AQ13" s="26"/>
      <c r="AR13" s="26"/>
      <c r="AS13" s="26"/>
      <c r="AT13" s="26"/>
      <c r="AU13" s="26"/>
      <c r="AV13" s="26"/>
      <c r="AW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U13" s="287">
        <v>-114.999</v>
      </c>
      <c r="BV13" s="26"/>
      <c r="BW13" s="26"/>
      <c r="BX13" s="26"/>
      <c r="BY13" s="26"/>
      <c r="BZ13" s="26"/>
      <c r="CA13" s="26"/>
      <c r="CB13" s="26"/>
      <c r="CD13" s="26"/>
      <c r="CF13" s="26"/>
      <c r="CH13" s="26"/>
      <c r="CU13" s="26"/>
      <c r="CV13" s="26"/>
      <c r="CW13" s="26"/>
      <c r="CX13" s="26"/>
      <c r="CY13" s="26"/>
      <c r="CZ13" s="26"/>
      <c r="DA13" s="26"/>
      <c r="EA13" s="277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S13" s="26"/>
      <c r="EU13" s="26">
        <v>20</v>
      </c>
      <c r="EV13" s="26">
        <v>20</v>
      </c>
      <c r="EW13" s="26">
        <v>20</v>
      </c>
      <c r="FJ13" s="490">
        <v>110</v>
      </c>
      <c r="FK13" s="490"/>
      <c r="FL13" s="490"/>
      <c r="FX13" s="142">
        <f>GG13+0</f>
        <v>0</v>
      </c>
      <c r="FZ13" s="142">
        <f>GJ13+0</f>
        <v>0</v>
      </c>
      <c r="GB13" s="142">
        <f>GM13+0</f>
        <v>0</v>
      </c>
    </row>
    <row r="14" spans="1:187">
      <c r="A14" s="73" t="s">
        <v>2858</v>
      </c>
      <c r="B14" s="3" t="s">
        <v>2182</v>
      </c>
      <c r="P14" s="142">
        <f t="shared" ref="P14:T15" si="15">AP14</f>
        <v>0</v>
      </c>
      <c r="Q14" s="142">
        <f t="shared" si="15"/>
        <v>0</v>
      </c>
      <c r="R14" s="337">
        <f>AR14</f>
        <v>0</v>
      </c>
      <c r="S14" s="337">
        <f t="shared" si="15"/>
        <v>0</v>
      </c>
      <c r="T14" s="337">
        <f t="shared" si="15"/>
        <v>0</v>
      </c>
      <c r="U14" s="337">
        <f>AU14+0</f>
        <v>0</v>
      </c>
      <c r="V14" s="337">
        <f t="shared" ref="V14:AC14" si="16">AV14+0</f>
        <v>0</v>
      </c>
      <c r="W14" s="337">
        <f t="shared" si="16"/>
        <v>0</v>
      </c>
      <c r="X14" s="337">
        <f t="shared" si="16"/>
        <v>0</v>
      </c>
      <c r="Y14" s="337">
        <f t="shared" si="16"/>
        <v>0</v>
      </c>
      <c r="Z14" s="337">
        <f t="shared" si="16"/>
        <v>0</v>
      </c>
      <c r="AA14" s="337">
        <f>BA14+0</f>
        <v>0</v>
      </c>
      <c r="AB14" s="337">
        <f>BB14+0</f>
        <v>0</v>
      </c>
      <c r="AC14" s="337">
        <f t="shared" si="16"/>
        <v>0</v>
      </c>
      <c r="AD14" s="337">
        <f t="shared" ref="AD14:AL14" si="17">BD14+0</f>
        <v>0</v>
      </c>
      <c r="AE14" s="337">
        <f t="shared" si="17"/>
        <v>0</v>
      </c>
      <c r="AF14" s="337">
        <f t="shared" si="17"/>
        <v>0</v>
      </c>
      <c r="AG14" s="337">
        <f t="shared" si="17"/>
        <v>0</v>
      </c>
      <c r="AH14" s="337">
        <f t="shared" si="17"/>
        <v>0</v>
      </c>
      <c r="AI14" s="337">
        <f t="shared" si="17"/>
        <v>0</v>
      </c>
      <c r="AJ14" s="337">
        <f t="shared" si="17"/>
        <v>0</v>
      </c>
      <c r="AK14" s="337">
        <f t="shared" si="17"/>
        <v>0</v>
      </c>
      <c r="AL14" s="337">
        <f t="shared" si="17"/>
        <v>0</v>
      </c>
      <c r="AM14" s="337"/>
      <c r="AN14" s="337"/>
      <c r="AP14" s="26"/>
      <c r="AQ14" s="26"/>
      <c r="AR14" s="26"/>
      <c r="AS14" s="26"/>
      <c r="AT14" s="26"/>
      <c r="AU14" s="26"/>
      <c r="AV14" s="26"/>
      <c r="AW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V14" s="26"/>
      <c r="BW14" s="26"/>
      <c r="BX14" s="26"/>
      <c r="BY14" s="26"/>
      <c r="BZ14" s="26"/>
      <c r="CA14" s="26"/>
      <c r="CB14" s="26"/>
      <c r="CD14" s="26"/>
      <c r="CF14" s="26"/>
      <c r="CH14" s="26"/>
      <c r="CU14" s="26"/>
      <c r="CV14" s="26"/>
      <c r="CW14" s="26"/>
      <c r="CX14" s="26"/>
      <c r="CY14" s="26"/>
      <c r="CZ14" s="26"/>
      <c r="DA14" s="26"/>
      <c r="EA14" s="277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S14" s="26"/>
      <c r="FJ14" s="490">
        <v>110</v>
      </c>
      <c r="FK14" s="490"/>
      <c r="FL14" s="490"/>
      <c r="FX14" s="142">
        <f>GG14</f>
        <v>0</v>
      </c>
      <c r="FZ14" s="142">
        <f>GJ14</f>
        <v>0</v>
      </c>
      <c r="GB14" s="142">
        <f>GM14</f>
        <v>0</v>
      </c>
    </row>
    <row r="15" spans="1:187">
      <c r="A15" s="73" t="s">
        <v>2859</v>
      </c>
      <c r="B15" s="3" t="s">
        <v>2182</v>
      </c>
      <c r="P15" s="142">
        <f>AP15+0</f>
        <v>0</v>
      </c>
      <c r="Q15" s="142">
        <f>AQ15+0</f>
        <v>0</v>
      </c>
      <c r="R15" s="337">
        <f>AR15</f>
        <v>0</v>
      </c>
      <c r="S15" s="337">
        <f t="shared" si="15"/>
        <v>0</v>
      </c>
      <c r="T15" s="337">
        <f t="shared" si="15"/>
        <v>0</v>
      </c>
      <c r="U15" s="337">
        <f t="shared" ref="U15:Z15" si="18">AU15+6.943</f>
        <v>6.9429999999999996</v>
      </c>
      <c r="V15" s="337">
        <f t="shared" si="18"/>
        <v>6.9429999999999996</v>
      </c>
      <c r="W15" s="337">
        <f t="shared" si="18"/>
        <v>6.9429999999999996</v>
      </c>
      <c r="X15" s="337">
        <f t="shared" si="18"/>
        <v>6.9429999999999996</v>
      </c>
      <c r="Y15" s="337">
        <f t="shared" si="18"/>
        <v>6.9429999999999996</v>
      </c>
      <c r="Z15" s="337">
        <f t="shared" si="18"/>
        <v>6.9429999999999996</v>
      </c>
      <c r="AA15" s="337">
        <f>BA15+3.5</f>
        <v>3.5</v>
      </c>
      <c r="AB15" s="337">
        <f>BB15+3.5</f>
        <v>3.5</v>
      </c>
      <c r="AC15" s="337">
        <f>BC15+3.5</f>
        <v>3.5</v>
      </c>
      <c r="AD15" s="337">
        <f t="shared" ref="AD15:AL15" si="19">BD15+3.5</f>
        <v>3.5</v>
      </c>
      <c r="AE15" s="337">
        <f t="shared" si="19"/>
        <v>3.5</v>
      </c>
      <c r="AF15" s="337">
        <f t="shared" si="19"/>
        <v>3.5</v>
      </c>
      <c r="AG15" s="337">
        <f t="shared" si="19"/>
        <v>3.5</v>
      </c>
      <c r="AH15" s="337">
        <f t="shared" si="19"/>
        <v>3.5</v>
      </c>
      <c r="AI15" s="337">
        <f t="shared" si="19"/>
        <v>3.5</v>
      </c>
      <c r="AJ15" s="337">
        <f t="shared" si="19"/>
        <v>3.5</v>
      </c>
      <c r="AK15" s="337">
        <f t="shared" si="19"/>
        <v>3.5</v>
      </c>
      <c r="AL15" s="337">
        <f t="shared" si="19"/>
        <v>3.5</v>
      </c>
      <c r="AM15" s="337"/>
      <c r="AN15" s="337"/>
      <c r="AP15" s="26"/>
      <c r="AQ15" s="26"/>
      <c r="AR15" s="26"/>
      <c r="AS15" s="26"/>
      <c r="AT15" s="26"/>
      <c r="AU15" s="26"/>
      <c r="AV15" s="26"/>
      <c r="AW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V15" s="26"/>
      <c r="BW15" s="26"/>
      <c r="BX15" s="26"/>
      <c r="BY15" s="26"/>
      <c r="BZ15" s="26"/>
      <c r="CA15" s="26"/>
      <c r="CB15" s="26"/>
      <c r="CD15" s="26"/>
      <c r="CF15" s="26"/>
      <c r="CH15" s="26"/>
      <c r="CN15" s="1031">
        <v>10</v>
      </c>
      <c r="CU15" s="26"/>
      <c r="CV15" s="26"/>
      <c r="CW15" s="26"/>
      <c r="CX15" s="26"/>
      <c r="CY15" s="26"/>
      <c r="CZ15" s="26"/>
      <c r="DA15" s="26"/>
      <c r="EA15" s="277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S15" s="26"/>
      <c r="EU15" s="26">
        <v>5</v>
      </c>
      <c r="EV15" s="26">
        <v>5</v>
      </c>
      <c r="EW15" s="26">
        <v>10</v>
      </c>
      <c r="FJ15" s="490">
        <v>130</v>
      </c>
      <c r="FK15" s="490"/>
      <c r="FL15" s="490"/>
      <c r="FX15" s="142">
        <f>GG15+0</f>
        <v>0</v>
      </c>
      <c r="FZ15" s="142">
        <f>GJ15+0</f>
        <v>0</v>
      </c>
      <c r="GB15" s="142">
        <f>GM15+0</f>
        <v>0</v>
      </c>
    </row>
    <row r="16" spans="1:187">
      <c r="A16" s="87" t="s">
        <v>638</v>
      </c>
      <c r="B16" s="3" t="s">
        <v>204</v>
      </c>
      <c r="P16" s="142">
        <f>AP16+0</f>
        <v>0</v>
      </c>
      <c r="Q16" s="142">
        <f>AQ16+0</f>
        <v>0</v>
      </c>
      <c r="R16" s="337">
        <f t="shared" ref="R16:X16" si="20">AR16+0</f>
        <v>0</v>
      </c>
      <c r="S16" s="337">
        <f t="shared" si="20"/>
        <v>0</v>
      </c>
      <c r="T16" s="337">
        <f t="shared" si="20"/>
        <v>0</v>
      </c>
      <c r="U16" s="337">
        <f t="shared" si="20"/>
        <v>0</v>
      </c>
      <c r="V16" s="337">
        <f t="shared" si="20"/>
        <v>0</v>
      </c>
      <c r="W16" s="337">
        <f t="shared" si="20"/>
        <v>0</v>
      </c>
      <c r="X16" s="337">
        <f t="shared" si="20"/>
        <v>0</v>
      </c>
      <c r="Y16" s="337">
        <f>AY16+0</f>
        <v>0</v>
      </c>
      <c r="Z16" s="337">
        <f>AZ16+0</f>
        <v>0</v>
      </c>
      <c r="AA16" s="337">
        <f>BA16+0</f>
        <v>0</v>
      </c>
      <c r="AB16" s="337">
        <f>BB16+0</f>
        <v>0</v>
      </c>
      <c r="AC16" s="337">
        <f>BC16+0</f>
        <v>0</v>
      </c>
      <c r="AD16" s="337">
        <f t="shared" ref="AD16:AL16" si="21">BD16+0</f>
        <v>0</v>
      </c>
      <c r="AE16" s="337">
        <f t="shared" si="21"/>
        <v>0</v>
      </c>
      <c r="AF16" s="337">
        <f t="shared" si="21"/>
        <v>0</v>
      </c>
      <c r="AG16" s="337">
        <f t="shared" si="21"/>
        <v>0</v>
      </c>
      <c r="AH16" s="337">
        <f t="shared" si="21"/>
        <v>0</v>
      </c>
      <c r="AI16" s="337">
        <f t="shared" si="21"/>
        <v>0</v>
      </c>
      <c r="AJ16" s="337">
        <f t="shared" si="21"/>
        <v>0</v>
      </c>
      <c r="AK16" s="337">
        <f t="shared" si="21"/>
        <v>0</v>
      </c>
      <c r="AL16" s="337">
        <f t="shared" si="21"/>
        <v>0</v>
      </c>
      <c r="AM16" s="337"/>
      <c r="AN16" s="337"/>
      <c r="AP16" s="26"/>
      <c r="AQ16" s="26"/>
      <c r="AR16" s="26"/>
      <c r="AS16" s="26"/>
      <c r="AT16" s="26"/>
      <c r="AU16" s="26"/>
      <c r="AV16" s="26"/>
      <c r="AW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V16" s="26"/>
      <c r="BW16" s="26"/>
      <c r="BX16" s="26"/>
      <c r="BY16" s="26"/>
      <c r="BZ16" s="26"/>
      <c r="CA16" s="26"/>
      <c r="CB16" s="26"/>
      <c r="CD16" s="26"/>
      <c r="CF16" s="26"/>
      <c r="CH16" s="26"/>
      <c r="CU16" s="26"/>
      <c r="CV16" s="26"/>
      <c r="CW16" s="26"/>
      <c r="CX16" s="26"/>
      <c r="CY16" s="26"/>
      <c r="CZ16" s="26"/>
      <c r="DA16" s="26"/>
      <c r="EA16" s="277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S16" s="26"/>
      <c r="FM16" s="967">
        <v>-2.84</v>
      </c>
      <c r="FN16" s="967">
        <v>-337.91500000000002</v>
      </c>
      <c r="FO16" s="972">
        <v>-36.050000000000004</v>
      </c>
      <c r="FP16" s="972">
        <v>343.43</v>
      </c>
      <c r="FQ16" s="973">
        <v>-35.950000000000003</v>
      </c>
      <c r="FR16" s="973">
        <v>3.29</v>
      </c>
      <c r="FS16" s="972">
        <v>104.97</v>
      </c>
      <c r="FT16" s="972">
        <v>-0.2</v>
      </c>
      <c r="FX16" s="142">
        <f>GG16+0</f>
        <v>0</v>
      </c>
      <c r="FZ16" s="142">
        <f>GJ16+0</f>
        <v>0</v>
      </c>
      <c r="GB16" s="142">
        <f>GM16+0</f>
        <v>0</v>
      </c>
    </row>
    <row r="17" spans="1:184">
      <c r="A17" s="194" t="s">
        <v>3161</v>
      </c>
      <c r="P17" s="142"/>
      <c r="Q17" s="142"/>
      <c r="R17" s="337"/>
      <c r="S17" s="337"/>
      <c r="T17" s="337"/>
      <c r="U17" s="337"/>
      <c r="V17" s="337"/>
      <c r="W17" s="337"/>
      <c r="X17" s="337"/>
      <c r="Y17" s="337"/>
      <c r="Z17" s="337"/>
      <c r="AA17" s="337"/>
      <c r="AB17" s="337"/>
      <c r="AC17" s="337"/>
      <c r="AD17" s="337"/>
      <c r="AE17" s="337"/>
      <c r="AF17" s="337"/>
      <c r="AG17" s="337"/>
      <c r="AH17" s="337"/>
      <c r="AI17" s="337"/>
      <c r="AJ17" s="337"/>
      <c r="AK17" s="337"/>
      <c r="AL17" s="337"/>
      <c r="AM17" s="337"/>
      <c r="AN17" s="337"/>
      <c r="AP17" s="26"/>
      <c r="AQ17" s="26"/>
      <c r="AR17" s="26"/>
      <c r="AS17" s="26"/>
      <c r="AT17" s="26"/>
      <c r="AU17" s="26"/>
      <c r="AV17" s="26"/>
      <c r="AW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V17" s="26"/>
      <c r="BW17" s="26"/>
      <c r="BX17" s="26"/>
      <c r="BY17" s="26"/>
      <c r="BZ17" s="26"/>
      <c r="CA17" s="26"/>
      <c r="CB17" s="26"/>
      <c r="CD17" s="26"/>
      <c r="CF17" s="26"/>
      <c r="CH17" s="26"/>
      <c r="CU17" s="26"/>
      <c r="CV17" s="26"/>
      <c r="CW17" s="26"/>
      <c r="CX17" s="26"/>
      <c r="CY17" s="26"/>
      <c r="CZ17" s="26"/>
      <c r="DA17" s="26"/>
      <c r="EA17" s="277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S17" s="26"/>
      <c r="FX17" s="142"/>
      <c r="FZ17" s="142"/>
      <c r="GB17" s="142"/>
    </row>
    <row r="18" spans="1:184">
      <c r="A18" s="73" t="s">
        <v>2072</v>
      </c>
      <c r="B18" s="3" t="s">
        <v>2046</v>
      </c>
      <c r="P18" s="142">
        <f t="shared" ref="P18:W18" si="22">AP18+0</f>
        <v>0</v>
      </c>
      <c r="Q18" s="142">
        <f t="shared" si="22"/>
        <v>0</v>
      </c>
      <c r="R18" s="337">
        <f t="shared" si="22"/>
        <v>0</v>
      </c>
      <c r="S18" s="337">
        <f t="shared" si="22"/>
        <v>0</v>
      </c>
      <c r="T18" s="337">
        <f t="shared" si="22"/>
        <v>0</v>
      </c>
      <c r="U18" s="337">
        <f t="shared" si="22"/>
        <v>0</v>
      </c>
      <c r="V18" s="337">
        <f t="shared" si="22"/>
        <v>0</v>
      </c>
      <c r="W18" s="337">
        <f t="shared" si="22"/>
        <v>0</v>
      </c>
      <c r="X18" s="337">
        <f>AX18-6.899</f>
        <v>-6.899</v>
      </c>
      <c r="Y18" s="337">
        <f t="shared" ref="Y18:AI18" si="23">AY18+0</f>
        <v>0</v>
      </c>
      <c r="Z18" s="337">
        <f t="shared" si="23"/>
        <v>0</v>
      </c>
      <c r="AA18" s="337">
        <f t="shared" si="23"/>
        <v>0</v>
      </c>
      <c r="AB18" s="337">
        <f t="shared" si="23"/>
        <v>0</v>
      </c>
      <c r="AC18" s="337">
        <f t="shared" si="23"/>
        <v>0</v>
      </c>
      <c r="AD18" s="337">
        <f t="shared" si="23"/>
        <v>0</v>
      </c>
      <c r="AE18" s="337">
        <f t="shared" si="23"/>
        <v>0</v>
      </c>
      <c r="AF18" s="337">
        <f t="shared" si="23"/>
        <v>0</v>
      </c>
      <c r="AG18" s="337">
        <f t="shared" si="23"/>
        <v>0</v>
      </c>
      <c r="AH18" s="337">
        <f t="shared" si="23"/>
        <v>0</v>
      </c>
      <c r="AI18" s="337">
        <f t="shared" si="23"/>
        <v>0</v>
      </c>
      <c r="AJ18" s="337">
        <f>BJ18-0.05</f>
        <v>-0.05</v>
      </c>
      <c r="AK18" s="337">
        <f>BK18-0.05</f>
        <v>-0.05</v>
      </c>
      <c r="AL18" s="337">
        <f>BL18-0.05</f>
        <v>-0.05</v>
      </c>
      <c r="AM18" s="337"/>
      <c r="AN18" s="337"/>
      <c r="AP18" s="26"/>
      <c r="AQ18" s="26"/>
      <c r="AR18" s="26"/>
      <c r="AS18" s="26"/>
      <c r="AT18" s="26"/>
      <c r="AU18" s="26"/>
      <c r="AV18" s="26"/>
      <c r="AW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S18" s="1016">
        <f>0.67*-349</f>
        <v>-233.83</v>
      </c>
      <c r="BV18" s="26"/>
      <c r="BW18" s="26"/>
      <c r="BX18" s="26"/>
      <c r="BY18" s="26"/>
      <c r="BZ18" s="26"/>
      <c r="CA18" s="26"/>
      <c r="CB18" s="26"/>
      <c r="CD18" s="26"/>
      <c r="CF18" s="26"/>
      <c r="CH18" s="26"/>
      <c r="CO18" s="1016">
        <f>0.67*-349</f>
        <v>-233.83</v>
      </c>
      <c r="CU18" s="967"/>
      <c r="CV18" s="1016">
        <f>0.67*-349</f>
        <v>-233.83</v>
      </c>
      <c r="CW18" s="972"/>
      <c r="CX18" s="972"/>
      <c r="CY18" s="973"/>
      <c r="CZ18" s="973"/>
      <c r="DA18" s="972"/>
      <c r="EA18" s="277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S18" s="26"/>
      <c r="FD18" s="967">
        <v>-2.84</v>
      </c>
      <c r="FE18" s="967">
        <v>-337.91500000000002</v>
      </c>
      <c r="FF18" s="967">
        <v>-28.42</v>
      </c>
      <c r="FG18" s="967">
        <v>343.16</v>
      </c>
      <c r="FH18" s="967">
        <v>-36.17</v>
      </c>
      <c r="FI18" s="967">
        <v>3.06</v>
      </c>
      <c r="FJ18" s="967">
        <v>104.97</v>
      </c>
      <c r="FK18" s="967">
        <v>-0.2</v>
      </c>
      <c r="FM18" s="967">
        <v>-2.84</v>
      </c>
      <c r="FN18" s="967">
        <v>-337.91500000000002</v>
      </c>
      <c r="FO18" s="967">
        <v>-28.42</v>
      </c>
      <c r="FP18" s="967">
        <v>343.16</v>
      </c>
      <c r="FQ18" s="967">
        <v>-36.17</v>
      </c>
      <c r="FR18" s="967">
        <v>3.06</v>
      </c>
      <c r="FS18" s="967">
        <v>104.97</v>
      </c>
      <c r="FT18" s="967">
        <v>-0.2</v>
      </c>
      <c r="FX18" s="142">
        <f>GG18+0</f>
        <v>0</v>
      </c>
      <c r="FZ18" s="142">
        <f>GJ18+0</f>
        <v>0</v>
      </c>
      <c r="GB18" s="142">
        <f>GM18+0</f>
        <v>0</v>
      </c>
    </row>
    <row r="19" spans="1:184">
      <c r="A19" s="73" t="s">
        <v>1209</v>
      </c>
      <c r="B19" s="3" t="s">
        <v>2046</v>
      </c>
      <c r="P19" s="142">
        <f t="shared" ref="P19:X29" si="24">AP19</f>
        <v>0</v>
      </c>
      <c r="Q19" s="142">
        <f t="shared" si="24"/>
        <v>0</v>
      </c>
      <c r="R19" s="337">
        <f t="shared" si="24"/>
        <v>0</v>
      </c>
      <c r="S19" s="337">
        <f t="shared" si="24"/>
        <v>0</v>
      </c>
      <c r="T19" s="337">
        <f t="shared" si="24"/>
        <v>0</v>
      </c>
      <c r="U19" s="337">
        <f>AU19-202.26</f>
        <v>-202.26</v>
      </c>
      <c r="V19" s="337">
        <f>AV19-475.97</f>
        <v>-475.97</v>
      </c>
      <c r="W19" s="337">
        <f>AW19-316.25</f>
        <v>-316.25</v>
      </c>
      <c r="X19" s="337">
        <f>AX19-74.58</f>
        <v>-74.58</v>
      </c>
      <c r="Y19" s="337">
        <f>AY19-114.25</f>
        <v>-114.25</v>
      </c>
      <c r="Z19" s="337">
        <f>AZ19-117.53</f>
        <v>-117.53</v>
      </c>
      <c r="AA19" s="337">
        <f t="shared" ref="AA19:AA29" si="25">BA19</f>
        <v>0</v>
      </c>
      <c r="AB19" s="337">
        <f t="shared" ref="AB19:AB29" si="26">BB19</f>
        <v>0</v>
      </c>
      <c r="AC19" s="337">
        <f t="shared" ref="AC19:AC29" si="27">BC19</f>
        <v>0</v>
      </c>
      <c r="AD19" s="337">
        <f t="shared" ref="AD19:AL19" si="28">BD19</f>
        <v>0</v>
      </c>
      <c r="AE19" s="337">
        <f t="shared" si="28"/>
        <v>0</v>
      </c>
      <c r="AF19" s="337">
        <f t="shared" si="28"/>
        <v>0</v>
      </c>
      <c r="AG19" s="337">
        <f t="shared" si="28"/>
        <v>0</v>
      </c>
      <c r="AH19" s="337">
        <f t="shared" si="28"/>
        <v>0</v>
      </c>
      <c r="AI19" s="337">
        <f t="shared" si="28"/>
        <v>0</v>
      </c>
      <c r="AJ19" s="337">
        <f t="shared" si="28"/>
        <v>0</v>
      </c>
      <c r="AK19" s="337">
        <f t="shared" si="28"/>
        <v>0</v>
      </c>
      <c r="AL19" s="337">
        <f t="shared" si="28"/>
        <v>0</v>
      </c>
      <c r="AM19" s="337"/>
      <c r="AN19" s="337"/>
      <c r="AP19" s="26"/>
      <c r="AQ19" s="26"/>
      <c r="AR19" s="26"/>
      <c r="AS19" s="26"/>
      <c r="AT19" s="26"/>
      <c r="AU19" s="26"/>
      <c r="AV19" s="26"/>
      <c r="AW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T19" s="247"/>
      <c r="BV19" s="26"/>
      <c r="BW19" s="26"/>
      <c r="BX19" s="26"/>
      <c r="BY19" s="26"/>
      <c r="BZ19" s="26"/>
      <c r="CA19" s="26"/>
      <c r="CB19" s="26"/>
      <c r="CC19" s="247"/>
      <c r="CD19" s="26"/>
      <c r="CF19" s="26"/>
      <c r="CH19" s="26"/>
      <c r="CP19" s="247"/>
      <c r="CR19" s="247"/>
      <c r="CT19" s="247"/>
      <c r="CU19" s="26"/>
      <c r="CV19" s="26"/>
      <c r="CW19" s="26"/>
      <c r="CX19" s="26"/>
      <c r="CY19" s="26"/>
      <c r="CZ19" s="26"/>
      <c r="DA19" s="26"/>
      <c r="DZ19" s="247"/>
      <c r="EA19" s="277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372"/>
      <c r="ES19" s="26"/>
      <c r="EV19" s="372"/>
      <c r="EW19" s="247"/>
      <c r="EZ19" s="247"/>
      <c r="FC19" s="247"/>
      <c r="FD19" s="968">
        <f>180/5*3.35</f>
        <v>120.60000000000001</v>
      </c>
      <c r="FE19" s="968">
        <f t="shared" ref="FE19:FK19" si="29">180/5*3.35</f>
        <v>120.60000000000001</v>
      </c>
      <c r="FF19" s="968">
        <f t="shared" si="29"/>
        <v>120.60000000000001</v>
      </c>
      <c r="FG19" s="968">
        <f t="shared" si="29"/>
        <v>120.60000000000001</v>
      </c>
      <c r="FH19" s="968">
        <f t="shared" si="29"/>
        <v>120.60000000000001</v>
      </c>
      <c r="FI19" s="968">
        <f t="shared" si="29"/>
        <v>120.60000000000001</v>
      </c>
      <c r="FJ19" s="968">
        <f t="shared" si="29"/>
        <v>120.60000000000001</v>
      </c>
      <c r="FK19" s="968">
        <f t="shared" si="29"/>
        <v>120.60000000000001</v>
      </c>
      <c r="FL19" s="247"/>
      <c r="FM19" s="247"/>
      <c r="FO19" s="247"/>
      <c r="FP19" s="247"/>
      <c r="FQ19" s="247"/>
      <c r="FR19" s="247"/>
      <c r="FS19" s="247"/>
      <c r="FT19" s="247"/>
      <c r="FX19" s="142">
        <f t="shared" ref="FX19:FX29" si="30">GG19</f>
        <v>0</v>
      </c>
      <c r="FZ19" s="142">
        <f t="shared" ref="FZ19:FZ29" si="31">GJ19</f>
        <v>0</v>
      </c>
      <c r="GB19" s="142">
        <f t="shared" ref="GB19:GB29" si="32">GM19</f>
        <v>0</v>
      </c>
    </row>
    <row r="20" spans="1:184">
      <c r="A20" s="73" t="s">
        <v>2104</v>
      </c>
      <c r="B20" s="3" t="s">
        <v>2046</v>
      </c>
      <c r="P20" s="142">
        <f t="shared" si="24"/>
        <v>0</v>
      </c>
      <c r="Q20" s="142">
        <f t="shared" si="24"/>
        <v>0</v>
      </c>
      <c r="R20" s="337">
        <f t="shared" si="24"/>
        <v>0</v>
      </c>
      <c r="S20" s="337">
        <f t="shared" si="24"/>
        <v>0</v>
      </c>
      <c r="T20" s="337">
        <f t="shared" si="24"/>
        <v>0</v>
      </c>
      <c r="U20" s="337">
        <f t="shared" si="24"/>
        <v>0</v>
      </c>
      <c r="V20" s="337">
        <f t="shared" si="24"/>
        <v>0</v>
      </c>
      <c r="W20" s="337">
        <f>AW20+700</f>
        <v>700</v>
      </c>
      <c r="X20" s="337">
        <f>AX20+0</f>
        <v>0</v>
      </c>
      <c r="Y20" s="337">
        <f>AY20+0</f>
        <v>0</v>
      </c>
      <c r="Z20" s="337">
        <f>AZ20-700</f>
        <v>-700</v>
      </c>
      <c r="AA20" s="337">
        <f t="shared" ref="AA20:AL20" si="33">BA20+0</f>
        <v>0</v>
      </c>
      <c r="AB20" s="337">
        <f t="shared" si="33"/>
        <v>0</v>
      </c>
      <c r="AC20" s="337">
        <f t="shared" si="33"/>
        <v>0</v>
      </c>
      <c r="AD20" s="337">
        <f t="shared" si="33"/>
        <v>0</v>
      </c>
      <c r="AE20" s="337">
        <f t="shared" si="33"/>
        <v>0</v>
      </c>
      <c r="AF20" s="337">
        <f t="shared" si="33"/>
        <v>0</v>
      </c>
      <c r="AG20" s="337">
        <f t="shared" si="33"/>
        <v>0</v>
      </c>
      <c r="AH20" s="337">
        <f t="shared" si="33"/>
        <v>0</v>
      </c>
      <c r="AI20" s="337">
        <f t="shared" si="33"/>
        <v>0</v>
      </c>
      <c r="AJ20" s="337">
        <f t="shared" si="33"/>
        <v>0</v>
      </c>
      <c r="AK20" s="337">
        <f t="shared" si="33"/>
        <v>0</v>
      </c>
      <c r="AL20" s="337">
        <f t="shared" si="33"/>
        <v>0</v>
      </c>
      <c r="AM20" s="337"/>
      <c r="AN20" s="337"/>
      <c r="AP20" s="26"/>
      <c r="AQ20" s="26"/>
      <c r="AR20" s="26"/>
      <c r="AS20" s="26"/>
      <c r="AT20" s="26"/>
      <c r="AU20" s="26"/>
      <c r="AV20" s="26"/>
      <c r="AW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S20" s="26">
        <f>0.5*900*3.35</f>
        <v>1507.5</v>
      </c>
      <c r="BT20" s="26">
        <f>-0.25*900*3.35</f>
        <v>-753.75</v>
      </c>
      <c r="BU20" s="26"/>
      <c r="BV20" s="26"/>
      <c r="BW20" s="26"/>
      <c r="BX20" s="26"/>
      <c r="BY20" s="26"/>
      <c r="BZ20" s="26"/>
      <c r="CA20" s="26"/>
      <c r="CB20" s="26"/>
      <c r="CC20" s="26">
        <f>-0.25*900*3.35</f>
        <v>-753.75</v>
      </c>
      <c r="CD20" s="26"/>
      <c r="CF20" s="26"/>
      <c r="CH20" s="26"/>
      <c r="CO20" s="26">
        <f>0.5*900*3.35</f>
        <v>1507.5</v>
      </c>
      <c r="CP20" s="26">
        <f>-0.25*900*3.35</f>
        <v>-753.75</v>
      </c>
      <c r="CQ20" s="26"/>
      <c r="CR20" s="26">
        <f>-0.25*900*3.35</f>
        <v>-753.75</v>
      </c>
      <c r="CU20" s="26"/>
      <c r="CV20" s="26"/>
      <c r="CW20" s="26"/>
      <c r="CX20" s="26">
        <f>0.5*900*3.35</f>
        <v>1507.5</v>
      </c>
      <c r="CY20" s="26">
        <f>-0.25*900*3.35</f>
        <v>-753.75</v>
      </c>
      <c r="CZ20" s="26"/>
      <c r="DA20" s="26">
        <f>-0.25*900*3.35</f>
        <v>-753.75</v>
      </c>
      <c r="EA20" s="277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S20" s="26"/>
      <c r="FD20" s="14">
        <f>200*3.35</f>
        <v>670</v>
      </c>
      <c r="FE20" s="14">
        <f>300*3.35</f>
        <v>1005</v>
      </c>
      <c r="FF20" s="14">
        <f>150*3.35</f>
        <v>502.5</v>
      </c>
      <c r="FG20" s="14">
        <f>150*3.35</f>
        <v>502.5</v>
      </c>
      <c r="FH20" s="14"/>
      <c r="FI20" s="14"/>
      <c r="FJ20" s="14"/>
      <c r="FK20" s="14"/>
      <c r="FM20" s="251"/>
      <c r="FN20" s="967">
        <v>670</v>
      </c>
      <c r="FO20" s="967">
        <v>335</v>
      </c>
      <c r="FP20" s="967">
        <v>-502.5</v>
      </c>
      <c r="FQ20" s="251"/>
      <c r="FR20" s="251"/>
      <c r="FX20" s="142">
        <f t="shared" si="30"/>
        <v>0</v>
      </c>
      <c r="FZ20" s="142">
        <f t="shared" si="31"/>
        <v>0</v>
      </c>
      <c r="GB20" s="142">
        <f t="shared" si="32"/>
        <v>0</v>
      </c>
    </row>
    <row r="21" spans="1:184">
      <c r="A21" s="73" t="s">
        <v>1210</v>
      </c>
      <c r="B21" s="3" t="s">
        <v>2046</v>
      </c>
      <c r="P21" s="142">
        <f t="shared" si="24"/>
        <v>0</v>
      </c>
      <c r="Q21" s="142">
        <f t="shared" si="24"/>
        <v>0</v>
      </c>
      <c r="R21" s="337">
        <f t="shared" si="24"/>
        <v>0</v>
      </c>
      <c r="S21" s="337">
        <f t="shared" si="24"/>
        <v>0</v>
      </c>
      <c r="T21" s="337">
        <f t="shared" si="24"/>
        <v>0</v>
      </c>
      <c r="U21" s="337">
        <f t="shared" si="24"/>
        <v>0</v>
      </c>
      <c r="V21" s="337">
        <f t="shared" si="24"/>
        <v>0</v>
      </c>
      <c r="W21" s="337">
        <f t="shared" si="24"/>
        <v>0</v>
      </c>
      <c r="X21" s="337">
        <f t="shared" si="24"/>
        <v>0</v>
      </c>
      <c r="Y21" s="337">
        <f t="shared" ref="Y21:Y29" si="34">AY21</f>
        <v>0</v>
      </c>
      <c r="Z21" s="337">
        <f t="shared" ref="Z21:Z29" si="35">AZ21</f>
        <v>0</v>
      </c>
      <c r="AA21" s="337">
        <f t="shared" si="25"/>
        <v>0</v>
      </c>
      <c r="AB21" s="337">
        <f t="shared" si="26"/>
        <v>0</v>
      </c>
      <c r="AC21" s="337">
        <f t="shared" si="27"/>
        <v>0</v>
      </c>
      <c r="AD21" s="337">
        <f t="shared" ref="AD21:AD29" si="36">BD21</f>
        <v>0</v>
      </c>
      <c r="AE21" s="337">
        <f t="shared" ref="AE21:AE29" si="37">BE21</f>
        <v>0</v>
      </c>
      <c r="AF21" s="337">
        <f t="shared" ref="AF21:AF29" si="38">BF21</f>
        <v>0</v>
      </c>
      <c r="AG21" s="337">
        <f t="shared" ref="AG21:AG29" si="39">BG21</f>
        <v>0</v>
      </c>
      <c r="AH21" s="337">
        <f t="shared" ref="AH21:AH29" si="40">BH21</f>
        <v>0</v>
      </c>
      <c r="AI21" s="337">
        <f t="shared" ref="AI21:AI29" si="41">BI21</f>
        <v>0</v>
      </c>
      <c r="AJ21" s="337">
        <f t="shared" ref="AJ21:AJ29" si="42">BJ21</f>
        <v>0</v>
      </c>
      <c r="AK21" s="337">
        <f t="shared" ref="AK21:AK29" si="43">BK21</f>
        <v>0</v>
      </c>
      <c r="AL21" s="337">
        <f t="shared" ref="AL21:AL29" si="44">BL21</f>
        <v>0</v>
      </c>
      <c r="AM21" s="337"/>
      <c r="AN21" s="337"/>
      <c r="AP21" s="26"/>
      <c r="AQ21" s="26"/>
      <c r="AR21" s="26"/>
      <c r="AS21" s="26"/>
      <c r="AT21" s="26"/>
      <c r="AU21" s="26"/>
      <c r="AV21" s="26"/>
      <c r="AW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V21" s="26"/>
      <c r="BW21" s="26"/>
      <c r="BX21" s="26"/>
      <c r="BY21" s="26"/>
      <c r="BZ21" s="26"/>
      <c r="CA21" s="26"/>
      <c r="CB21" s="26"/>
      <c r="CD21" s="26"/>
      <c r="CF21" s="26"/>
      <c r="CH21" s="26"/>
      <c r="CU21" s="26"/>
      <c r="CV21" s="26"/>
      <c r="CW21" s="26"/>
      <c r="CX21" s="26"/>
      <c r="CY21" s="26"/>
      <c r="CZ21" s="26"/>
      <c r="DA21" s="26"/>
      <c r="EA21" s="277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38"/>
      <c r="ES21" s="26"/>
      <c r="EV21" s="38"/>
      <c r="EW21" s="38"/>
      <c r="EZ21" s="38"/>
      <c r="FC21" s="38"/>
      <c r="FD21" s="14"/>
      <c r="FE21" s="969"/>
      <c r="FF21" s="14"/>
      <c r="FG21" s="14"/>
      <c r="FH21" s="969"/>
      <c r="FI21" s="969"/>
      <c r="FJ21" s="969"/>
      <c r="FK21" s="969"/>
      <c r="FL21" s="38"/>
      <c r="FO21" s="38"/>
      <c r="FP21" s="38"/>
      <c r="FQ21" s="38"/>
      <c r="FR21" s="38"/>
      <c r="FS21" s="38"/>
      <c r="FX21" s="142">
        <f t="shared" si="30"/>
        <v>0</v>
      </c>
      <c r="FZ21" s="142">
        <f t="shared" si="31"/>
        <v>0</v>
      </c>
      <c r="GB21" s="142">
        <f t="shared" si="32"/>
        <v>0</v>
      </c>
    </row>
    <row r="22" spans="1:184">
      <c r="A22" s="73" t="s">
        <v>2210</v>
      </c>
      <c r="B22" s="3" t="s">
        <v>2046</v>
      </c>
      <c r="P22" s="142">
        <f t="shared" si="24"/>
        <v>0</v>
      </c>
      <c r="Q22" s="142">
        <f t="shared" si="24"/>
        <v>0</v>
      </c>
      <c r="R22" s="337">
        <f t="shared" si="24"/>
        <v>0</v>
      </c>
      <c r="S22" s="337">
        <f t="shared" si="24"/>
        <v>0</v>
      </c>
      <c r="T22" s="337">
        <f t="shared" si="24"/>
        <v>0</v>
      </c>
      <c r="U22" s="337">
        <f t="shared" si="24"/>
        <v>0</v>
      </c>
      <c r="V22" s="337">
        <f t="shared" si="24"/>
        <v>0</v>
      </c>
      <c r="W22" s="337">
        <f t="shared" si="24"/>
        <v>0</v>
      </c>
      <c r="X22" s="337">
        <f t="shared" si="24"/>
        <v>0</v>
      </c>
      <c r="Y22" s="337">
        <f t="shared" si="34"/>
        <v>0</v>
      </c>
      <c r="Z22" s="337">
        <f t="shared" si="35"/>
        <v>0</v>
      </c>
      <c r="AA22" s="337">
        <f t="shared" si="25"/>
        <v>0</v>
      </c>
      <c r="AB22" s="337">
        <f t="shared" si="26"/>
        <v>0</v>
      </c>
      <c r="AC22" s="337">
        <f t="shared" si="27"/>
        <v>0</v>
      </c>
      <c r="AD22" s="337">
        <f t="shared" si="36"/>
        <v>0</v>
      </c>
      <c r="AE22" s="337">
        <f t="shared" si="37"/>
        <v>0</v>
      </c>
      <c r="AF22" s="337">
        <f t="shared" si="38"/>
        <v>0</v>
      </c>
      <c r="AG22" s="337">
        <f t="shared" si="39"/>
        <v>0</v>
      </c>
      <c r="AH22" s="337">
        <f t="shared" si="40"/>
        <v>0</v>
      </c>
      <c r="AI22" s="337">
        <f t="shared" si="41"/>
        <v>0</v>
      </c>
      <c r="AJ22" s="337">
        <f t="shared" si="42"/>
        <v>0</v>
      </c>
      <c r="AK22" s="337">
        <f t="shared" si="43"/>
        <v>0</v>
      </c>
      <c r="AL22" s="337">
        <f t="shared" si="44"/>
        <v>0</v>
      </c>
      <c r="AM22" s="337"/>
      <c r="AN22" s="337"/>
      <c r="AP22" s="26"/>
      <c r="AQ22" s="26"/>
      <c r="AR22" s="26"/>
      <c r="AS22" s="26"/>
      <c r="AT22" s="26"/>
      <c r="AU22" s="26"/>
      <c r="AV22" s="26"/>
      <c r="AW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V22" s="26"/>
      <c r="BW22" s="26"/>
      <c r="BX22" s="26"/>
      <c r="BY22" s="26"/>
      <c r="BZ22" s="26"/>
      <c r="CA22" s="26"/>
      <c r="CB22" s="26"/>
      <c r="CD22" s="26"/>
      <c r="CF22" s="26"/>
      <c r="CH22" s="26"/>
      <c r="CU22" s="26"/>
      <c r="CV22" s="26"/>
      <c r="CW22" s="26"/>
      <c r="CX22" s="26"/>
      <c r="CY22" s="26"/>
      <c r="CZ22" s="26"/>
      <c r="DA22" s="26"/>
      <c r="EA22" s="277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S22" s="26"/>
      <c r="FD22" s="14">
        <f>FD18+FD19</f>
        <v>117.76</v>
      </c>
      <c r="FE22" s="14">
        <f t="shared" ref="FE22:FK22" si="45">FE18+FE19</f>
        <v>-217.315</v>
      </c>
      <c r="FF22" s="14">
        <f t="shared" si="45"/>
        <v>92.18</v>
      </c>
      <c r="FG22" s="14">
        <f t="shared" si="45"/>
        <v>463.76000000000005</v>
      </c>
      <c r="FH22" s="14">
        <f t="shared" si="45"/>
        <v>84.43</v>
      </c>
      <c r="FI22" s="14">
        <f t="shared" si="45"/>
        <v>123.66000000000001</v>
      </c>
      <c r="FJ22" s="14">
        <f t="shared" si="45"/>
        <v>225.57</v>
      </c>
      <c r="FK22" s="14">
        <f t="shared" si="45"/>
        <v>120.4</v>
      </c>
      <c r="FX22" s="142">
        <f t="shared" si="30"/>
        <v>0</v>
      </c>
      <c r="FZ22" s="142">
        <f t="shared" si="31"/>
        <v>0</v>
      </c>
      <c r="GB22" s="142">
        <f t="shared" si="32"/>
        <v>0</v>
      </c>
    </row>
    <row r="23" spans="1:184">
      <c r="A23" s="73" t="s">
        <v>2857</v>
      </c>
      <c r="B23" s="3" t="s">
        <v>2046</v>
      </c>
      <c r="P23" s="142">
        <f t="shared" si="24"/>
        <v>0</v>
      </c>
      <c r="Q23" s="142">
        <f t="shared" si="24"/>
        <v>0</v>
      </c>
      <c r="R23" s="337">
        <f t="shared" si="24"/>
        <v>0</v>
      </c>
      <c r="S23" s="337">
        <f t="shared" si="24"/>
        <v>0</v>
      </c>
      <c r="T23" s="337">
        <f t="shared" si="24"/>
        <v>0</v>
      </c>
      <c r="U23" s="337">
        <f t="shared" si="24"/>
        <v>0</v>
      </c>
      <c r="V23" s="337">
        <f t="shared" si="24"/>
        <v>0</v>
      </c>
      <c r="W23" s="337">
        <f t="shared" si="24"/>
        <v>0</v>
      </c>
      <c r="X23" s="337">
        <f t="shared" si="24"/>
        <v>0</v>
      </c>
      <c r="Y23" s="337">
        <f t="shared" si="34"/>
        <v>0</v>
      </c>
      <c r="Z23" s="337">
        <f t="shared" si="35"/>
        <v>0</v>
      </c>
      <c r="AA23" s="337">
        <f t="shared" si="25"/>
        <v>0</v>
      </c>
      <c r="AB23" s="337">
        <f t="shared" si="26"/>
        <v>0</v>
      </c>
      <c r="AC23" s="337">
        <f t="shared" si="27"/>
        <v>0</v>
      </c>
      <c r="AD23" s="337">
        <f t="shared" si="36"/>
        <v>0</v>
      </c>
      <c r="AE23" s="337">
        <f t="shared" si="37"/>
        <v>0</v>
      </c>
      <c r="AF23" s="337">
        <f t="shared" si="38"/>
        <v>0</v>
      </c>
      <c r="AG23" s="337">
        <f t="shared" si="39"/>
        <v>0</v>
      </c>
      <c r="AH23" s="337">
        <f t="shared" si="40"/>
        <v>0</v>
      </c>
      <c r="AI23" s="337">
        <f t="shared" si="41"/>
        <v>0</v>
      </c>
      <c r="AJ23" s="337">
        <f t="shared" si="42"/>
        <v>0</v>
      </c>
      <c r="AK23" s="337">
        <f t="shared" si="43"/>
        <v>0</v>
      </c>
      <c r="AL23" s="337">
        <f t="shared" si="44"/>
        <v>0</v>
      </c>
      <c r="AM23" s="337"/>
      <c r="AN23" s="337"/>
      <c r="AP23" s="26"/>
      <c r="AQ23" s="26"/>
      <c r="AR23" s="26"/>
      <c r="AS23" s="26"/>
      <c r="AT23" s="26"/>
      <c r="AU23" s="26"/>
      <c r="AV23" s="26"/>
      <c r="AW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V23" s="26"/>
      <c r="BW23" s="26"/>
      <c r="BX23" s="26"/>
      <c r="BY23" s="26"/>
      <c r="BZ23" s="26"/>
      <c r="CA23" s="26"/>
      <c r="CB23" s="26"/>
      <c r="CD23" s="26"/>
      <c r="CF23" s="26"/>
      <c r="CH23" s="26"/>
      <c r="CU23" s="26"/>
      <c r="CV23" s="26"/>
      <c r="CW23" s="26"/>
      <c r="CX23" s="26"/>
      <c r="CY23" s="26"/>
      <c r="CZ23" s="26"/>
      <c r="DA23" s="26"/>
      <c r="EA23" s="277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S23" s="26"/>
      <c r="EW23" s="38"/>
      <c r="FD23" s="967">
        <v>117.76</v>
      </c>
      <c r="FE23" s="967">
        <v>-217.315</v>
      </c>
      <c r="FF23" s="967">
        <v>92.18</v>
      </c>
      <c r="FG23" s="967">
        <v>463.76000000000005</v>
      </c>
      <c r="FH23" s="967">
        <v>84.43</v>
      </c>
      <c r="FI23" s="967">
        <v>123.66000000000001</v>
      </c>
      <c r="FJ23" s="967">
        <v>225.57</v>
      </c>
      <c r="FK23" s="967">
        <v>120.4</v>
      </c>
      <c r="FP23" s="38"/>
      <c r="FQ23" s="38"/>
      <c r="FX23" s="142">
        <f t="shared" si="30"/>
        <v>0</v>
      </c>
      <c r="FZ23" s="142">
        <f t="shared" si="31"/>
        <v>0</v>
      </c>
      <c r="GB23" s="142">
        <f t="shared" si="32"/>
        <v>0</v>
      </c>
    </row>
    <row r="24" spans="1:184">
      <c r="A24" s="73" t="s">
        <v>2212</v>
      </c>
      <c r="B24" s="3" t="s">
        <v>2046</v>
      </c>
      <c r="P24" s="142">
        <f t="shared" si="24"/>
        <v>0</v>
      </c>
      <c r="Q24" s="142">
        <f t="shared" si="24"/>
        <v>0</v>
      </c>
      <c r="R24" s="337">
        <f t="shared" si="24"/>
        <v>0</v>
      </c>
      <c r="S24" s="337">
        <f t="shared" si="24"/>
        <v>0</v>
      </c>
      <c r="T24" s="337">
        <f t="shared" si="24"/>
        <v>0</v>
      </c>
      <c r="U24" s="337">
        <f t="shared" si="24"/>
        <v>0</v>
      </c>
      <c r="V24" s="337">
        <f t="shared" si="24"/>
        <v>0</v>
      </c>
      <c r="W24" s="337">
        <f t="shared" si="24"/>
        <v>0</v>
      </c>
      <c r="X24" s="337">
        <f t="shared" si="24"/>
        <v>0</v>
      </c>
      <c r="Y24" s="337">
        <f t="shared" si="34"/>
        <v>0</v>
      </c>
      <c r="Z24" s="337">
        <f t="shared" si="35"/>
        <v>0</v>
      </c>
      <c r="AA24" s="337">
        <f t="shared" si="25"/>
        <v>0</v>
      </c>
      <c r="AB24" s="337">
        <f t="shared" si="26"/>
        <v>0</v>
      </c>
      <c r="AC24" s="337">
        <f t="shared" si="27"/>
        <v>0</v>
      </c>
      <c r="AD24" s="337">
        <f t="shared" si="36"/>
        <v>0</v>
      </c>
      <c r="AE24" s="337">
        <f t="shared" si="37"/>
        <v>0</v>
      </c>
      <c r="AF24" s="337">
        <f t="shared" si="38"/>
        <v>0</v>
      </c>
      <c r="AG24" s="337">
        <f t="shared" si="39"/>
        <v>0</v>
      </c>
      <c r="AH24" s="337">
        <f t="shared" si="40"/>
        <v>0</v>
      </c>
      <c r="AI24" s="337">
        <f t="shared" si="41"/>
        <v>0</v>
      </c>
      <c r="AJ24" s="337">
        <f t="shared" si="42"/>
        <v>0</v>
      </c>
      <c r="AK24" s="337">
        <f t="shared" si="43"/>
        <v>0</v>
      </c>
      <c r="AL24" s="337">
        <f t="shared" si="44"/>
        <v>0</v>
      </c>
      <c r="AM24" s="337"/>
      <c r="AN24" s="337"/>
      <c r="AP24" s="26"/>
      <c r="AQ24" s="26"/>
      <c r="AR24" s="26"/>
      <c r="AS24" s="26"/>
      <c r="AT24" s="26"/>
      <c r="AU24" s="26"/>
      <c r="AV24" s="26"/>
      <c r="AW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V24" s="26"/>
      <c r="BW24" s="26"/>
      <c r="BX24" s="26"/>
      <c r="BY24" s="26"/>
      <c r="BZ24" s="26"/>
      <c r="CA24" s="26"/>
      <c r="CB24" s="26"/>
      <c r="CD24" s="26"/>
      <c r="CF24" s="26"/>
      <c r="CH24" s="26"/>
      <c r="CU24" s="26"/>
      <c r="CV24" s="26"/>
      <c r="CW24" s="26"/>
      <c r="CX24" s="26"/>
      <c r="CY24" s="26"/>
      <c r="CZ24" s="26"/>
      <c r="DA24" s="26"/>
      <c r="EA24" s="277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S24" s="26"/>
      <c r="FI24" s="38"/>
      <c r="FP24" s="38"/>
      <c r="FX24" s="142">
        <f t="shared" si="30"/>
        <v>0</v>
      </c>
      <c r="FZ24" s="142">
        <f t="shared" si="31"/>
        <v>0</v>
      </c>
      <c r="GB24" s="142">
        <f t="shared" si="32"/>
        <v>0</v>
      </c>
    </row>
    <row r="25" spans="1:184">
      <c r="A25" s="73" t="s">
        <v>2214</v>
      </c>
      <c r="B25" s="3" t="s">
        <v>2046</v>
      </c>
      <c r="P25" s="142">
        <f t="shared" si="24"/>
        <v>0</v>
      </c>
      <c r="Q25" s="142">
        <f t="shared" si="24"/>
        <v>0</v>
      </c>
      <c r="R25" s="337">
        <f t="shared" si="24"/>
        <v>0</v>
      </c>
      <c r="S25" s="337">
        <f t="shared" si="24"/>
        <v>0</v>
      </c>
      <c r="T25" s="337">
        <f t="shared" si="24"/>
        <v>0</v>
      </c>
      <c r="U25" s="337">
        <f t="shared" si="24"/>
        <v>0</v>
      </c>
      <c r="V25" s="337">
        <f t="shared" si="24"/>
        <v>0</v>
      </c>
      <c r="W25" s="337">
        <f t="shared" si="24"/>
        <v>0</v>
      </c>
      <c r="X25" s="337">
        <f t="shared" si="24"/>
        <v>0</v>
      </c>
      <c r="Y25" s="337">
        <f t="shared" si="34"/>
        <v>0</v>
      </c>
      <c r="Z25" s="337">
        <f t="shared" si="35"/>
        <v>0</v>
      </c>
      <c r="AA25" s="337">
        <f t="shared" si="25"/>
        <v>0</v>
      </c>
      <c r="AB25" s="337">
        <f t="shared" si="26"/>
        <v>0</v>
      </c>
      <c r="AC25" s="337">
        <f t="shared" si="27"/>
        <v>0</v>
      </c>
      <c r="AD25" s="337">
        <f t="shared" si="36"/>
        <v>0</v>
      </c>
      <c r="AE25" s="337">
        <f t="shared" si="37"/>
        <v>0</v>
      </c>
      <c r="AF25" s="337">
        <f t="shared" si="38"/>
        <v>0</v>
      </c>
      <c r="AG25" s="337">
        <f t="shared" si="39"/>
        <v>0</v>
      </c>
      <c r="AH25" s="337">
        <f t="shared" si="40"/>
        <v>0</v>
      </c>
      <c r="AI25" s="337">
        <f t="shared" si="41"/>
        <v>0</v>
      </c>
      <c r="AJ25" s="337">
        <f t="shared" si="42"/>
        <v>0</v>
      </c>
      <c r="AK25" s="337">
        <f t="shared" si="43"/>
        <v>0</v>
      </c>
      <c r="AL25" s="337">
        <f t="shared" si="44"/>
        <v>0</v>
      </c>
      <c r="AM25" s="337"/>
      <c r="AN25" s="337"/>
      <c r="AP25" s="26"/>
      <c r="AQ25" s="26"/>
      <c r="AR25" s="26"/>
      <c r="AS25" s="26"/>
      <c r="AT25" s="26"/>
      <c r="AU25" s="26"/>
      <c r="AV25" s="26"/>
      <c r="AW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V25" s="26"/>
      <c r="BW25" s="26"/>
      <c r="BX25" s="26"/>
      <c r="BY25" s="26"/>
      <c r="BZ25" s="26"/>
      <c r="CA25" s="26"/>
      <c r="CB25" s="26"/>
      <c r="CD25" s="26"/>
      <c r="CF25" s="26"/>
      <c r="CH25" s="26"/>
      <c r="CU25" s="26"/>
      <c r="CV25" s="26"/>
      <c r="CW25" s="26"/>
      <c r="CX25" s="26"/>
      <c r="CY25" s="26"/>
      <c r="CZ25" s="26"/>
      <c r="DA25" s="26"/>
      <c r="EA25" s="277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S25" s="26"/>
      <c r="FX25" s="142">
        <f t="shared" si="30"/>
        <v>0</v>
      </c>
      <c r="FZ25" s="142">
        <f t="shared" si="31"/>
        <v>0</v>
      </c>
      <c r="GB25" s="142">
        <f t="shared" si="32"/>
        <v>0</v>
      </c>
    </row>
    <row r="26" spans="1:184">
      <c r="A26" s="73" t="s">
        <v>2213</v>
      </c>
      <c r="B26" s="3" t="s">
        <v>2046</v>
      </c>
      <c r="P26" s="142">
        <f t="shared" si="24"/>
        <v>0</v>
      </c>
      <c r="Q26" s="142">
        <f t="shared" si="24"/>
        <v>0</v>
      </c>
      <c r="R26" s="337">
        <f t="shared" si="24"/>
        <v>0</v>
      </c>
      <c r="S26" s="337">
        <f t="shared" si="24"/>
        <v>0</v>
      </c>
      <c r="T26" s="337">
        <f t="shared" si="24"/>
        <v>0</v>
      </c>
      <c r="U26" s="337">
        <f t="shared" si="24"/>
        <v>0</v>
      </c>
      <c r="V26" s="337">
        <f t="shared" si="24"/>
        <v>0</v>
      </c>
      <c r="W26" s="337">
        <f t="shared" si="24"/>
        <v>0</v>
      </c>
      <c r="X26" s="337">
        <f t="shared" si="24"/>
        <v>0</v>
      </c>
      <c r="Y26" s="337">
        <f t="shared" si="34"/>
        <v>0</v>
      </c>
      <c r="Z26" s="337">
        <f t="shared" si="35"/>
        <v>0</v>
      </c>
      <c r="AA26" s="337">
        <f t="shared" si="25"/>
        <v>0</v>
      </c>
      <c r="AB26" s="337">
        <f t="shared" si="26"/>
        <v>0</v>
      </c>
      <c r="AC26" s="337">
        <f t="shared" si="27"/>
        <v>0</v>
      </c>
      <c r="AD26" s="337">
        <f t="shared" si="36"/>
        <v>0</v>
      </c>
      <c r="AE26" s="337">
        <f t="shared" si="37"/>
        <v>0</v>
      </c>
      <c r="AF26" s="337">
        <f t="shared" si="38"/>
        <v>0</v>
      </c>
      <c r="AG26" s="337">
        <f t="shared" si="39"/>
        <v>0</v>
      </c>
      <c r="AH26" s="337">
        <f t="shared" si="40"/>
        <v>0</v>
      </c>
      <c r="AI26" s="337">
        <f t="shared" si="41"/>
        <v>0</v>
      </c>
      <c r="AJ26" s="337">
        <f t="shared" si="42"/>
        <v>0</v>
      </c>
      <c r="AK26" s="337">
        <f t="shared" si="43"/>
        <v>0</v>
      </c>
      <c r="AL26" s="337">
        <f t="shared" si="44"/>
        <v>0</v>
      </c>
      <c r="AM26" s="337"/>
      <c r="AN26" s="337"/>
      <c r="AP26" s="26"/>
      <c r="AQ26" s="26"/>
      <c r="AR26" s="26"/>
      <c r="AS26" s="26"/>
      <c r="AT26" s="26"/>
      <c r="AU26" s="26"/>
      <c r="AV26" s="26"/>
      <c r="AW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V26" s="26"/>
      <c r="BW26" s="26"/>
      <c r="BX26" s="26"/>
      <c r="BY26" s="26"/>
      <c r="BZ26" s="26"/>
      <c r="CA26" s="26"/>
      <c r="CB26" s="26"/>
      <c r="CD26" s="26"/>
      <c r="CF26" s="26"/>
      <c r="CH26" s="26"/>
      <c r="CU26" s="26"/>
      <c r="CV26" s="26"/>
      <c r="CW26" s="26"/>
      <c r="CX26" s="26"/>
      <c r="CY26" s="26"/>
      <c r="CZ26" s="26"/>
      <c r="DA26" s="26"/>
      <c r="EA26" s="277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S26" s="26"/>
      <c r="FX26" s="142">
        <f t="shared" si="30"/>
        <v>0</v>
      </c>
      <c r="FZ26" s="142">
        <f t="shared" si="31"/>
        <v>0</v>
      </c>
      <c r="GB26" s="142">
        <f t="shared" si="32"/>
        <v>0</v>
      </c>
    </row>
    <row r="27" spans="1:184">
      <c r="A27" s="73" t="s">
        <v>2858</v>
      </c>
      <c r="B27" s="3" t="s">
        <v>2046</v>
      </c>
      <c r="P27" s="142">
        <f t="shared" si="24"/>
        <v>0</v>
      </c>
      <c r="Q27" s="142">
        <f t="shared" si="24"/>
        <v>0</v>
      </c>
      <c r="R27" s="337">
        <f t="shared" si="24"/>
        <v>0</v>
      </c>
      <c r="S27" s="337">
        <f t="shared" si="24"/>
        <v>0</v>
      </c>
      <c r="T27" s="337">
        <f t="shared" si="24"/>
        <v>0</v>
      </c>
      <c r="U27" s="337">
        <f t="shared" si="24"/>
        <v>0</v>
      </c>
      <c r="V27" s="337">
        <f t="shared" si="24"/>
        <v>0</v>
      </c>
      <c r="W27" s="337">
        <f t="shared" si="24"/>
        <v>0</v>
      </c>
      <c r="X27" s="337">
        <f t="shared" si="24"/>
        <v>0</v>
      </c>
      <c r="Y27" s="337">
        <f t="shared" si="34"/>
        <v>0</v>
      </c>
      <c r="Z27" s="337">
        <f t="shared" si="35"/>
        <v>0</v>
      </c>
      <c r="AA27" s="337">
        <f t="shared" si="25"/>
        <v>0</v>
      </c>
      <c r="AB27" s="337">
        <f t="shared" si="26"/>
        <v>0</v>
      </c>
      <c r="AC27" s="337">
        <f t="shared" si="27"/>
        <v>0</v>
      </c>
      <c r="AD27" s="337">
        <f t="shared" si="36"/>
        <v>0</v>
      </c>
      <c r="AE27" s="337">
        <f t="shared" si="37"/>
        <v>0</v>
      </c>
      <c r="AF27" s="337">
        <f t="shared" si="38"/>
        <v>0</v>
      </c>
      <c r="AG27" s="337">
        <f t="shared" si="39"/>
        <v>0</v>
      </c>
      <c r="AH27" s="337">
        <f t="shared" si="40"/>
        <v>0</v>
      </c>
      <c r="AI27" s="337">
        <f t="shared" si="41"/>
        <v>0</v>
      </c>
      <c r="AJ27" s="337">
        <f t="shared" si="42"/>
        <v>0</v>
      </c>
      <c r="AK27" s="337">
        <f t="shared" si="43"/>
        <v>0</v>
      </c>
      <c r="AL27" s="337">
        <f t="shared" si="44"/>
        <v>0</v>
      </c>
      <c r="AM27" s="337"/>
      <c r="AN27" s="337"/>
      <c r="AP27" s="26"/>
      <c r="AQ27" s="26"/>
      <c r="AR27" s="26"/>
      <c r="AS27" s="26"/>
      <c r="AT27" s="26"/>
      <c r="AU27" s="26"/>
      <c r="AV27" s="26"/>
      <c r="AW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V27" s="26"/>
      <c r="BW27" s="26"/>
      <c r="BX27" s="26"/>
      <c r="BY27" s="26"/>
      <c r="BZ27" s="26"/>
      <c r="CA27" s="26"/>
      <c r="CB27" s="26"/>
      <c r="CD27" s="26"/>
      <c r="CF27" s="26"/>
      <c r="CH27" s="26"/>
      <c r="CU27" s="26"/>
      <c r="CV27" s="26"/>
      <c r="CW27" s="26"/>
      <c r="CX27" s="26"/>
      <c r="CY27" s="26"/>
      <c r="CZ27" s="26"/>
      <c r="DA27" s="26"/>
      <c r="EA27" s="277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S27" s="26"/>
      <c r="FX27" s="142">
        <f t="shared" si="30"/>
        <v>0</v>
      </c>
      <c r="FZ27" s="142">
        <f t="shared" si="31"/>
        <v>0</v>
      </c>
      <c r="GB27" s="142">
        <f t="shared" si="32"/>
        <v>0</v>
      </c>
    </row>
    <row r="28" spans="1:184">
      <c r="A28" s="73" t="s">
        <v>2859</v>
      </c>
      <c r="B28" s="3" t="s">
        <v>2046</v>
      </c>
      <c r="P28" s="142">
        <f t="shared" si="24"/>
        <v>0</v>
      </c>
      <c r="Q28" s="142">
        <f t="shared" si="24"/>
        <v>0</v>
      </c>
      <c r="R28" s="337">
        <f t="shared" si="24"/>
        <v>0</v>
      </c>
      <c r="S28" s="337">
        <f t="shared" si="24"/>
        <v>0</v>
      </c>
      <c r="T28" s="337">
        <f t="shared" si="24"/>
        <v>0</v>
      </c>
      <c r="U28" s="337">
        <f t="shared" si="24"/>
        <v>0</v>
      </c>
      <c r="V28" s="337">
        <f t="shared" si="24"/>
        <v>0</v>
      </c>
      <c r="W28" s="337">
        <f t="shared" si="24"/>
        <v>0</v>
      </c>
      <c r="X28" s="337">
        <f t="shared" si="24"/>
        <v>0</v>
      </c>
      <c r="Y28" s="337">
        <f t="shared" si="34"/>
        <v>0</v>
      </c>
      <c r="Z28" s="337">
        <f t="shared" si="35"/>
        <v>0</v>
      </c>
      <c r="AA28" s="337">
        <f t="shared" si="25"/>
        <v>0</v>
      </c>
      <c r="AB28" s="337">
        <f t="shared" si="26"/>
        <v>0</v>
      </c>
      <c r="AC28" s="337">
        <f t="shared" si="27"/>
        <v>0</v>
      </c>
      <c r="AD28" s="337">
        <f t="shared" si="36"/>
        <v>0</v>
      </c>
      <c r="AE28" s="337">
        <f t="shared" si="37"/>
        <v>0</v>
      </c>
      <c r="AF28" s="337">
        <f t="shared" si="38"/>
        <v>0</v>
      </c>
      <c r="AG28" s="337">
        <f t="shared" si="39"/>
        <v>0</v>
      </c>
      <c r="AH28" s="337">
        <f t="shared" si="40"/>
        <v>0</v>
      </c>
      <c r="AI28" s="337">
        <f t="shared" si="41"/>
        <v>0</v>
      </c>
      <c r="AJ28" s="337">
        <f t="shared" si="42"/>
        <v>0</v>
      </c>
      <c r="AK28" s="337">
        <f t="shared" si="43"/>
        <v>0</v>
      </c>
      <c r="AL28" s="337">
        <f t="shared" si="44"/>
        <v>0</v>
      </c>
      <c r="AM28" s="337"/>
      <c r="AN28" s="337"/>
      <c r="AP28" s="26"/>
      <c r="AQ28" s="26"/>
      <c r="AR28" s="26"/>
      <c r="AS28" s="26"/>
      <c r="AT28" s="26"/>
      <c r="AU28" s="26"/>
      <c r="AV28" s="26"/>
      <c r="AW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V28" s="26"/>
      <c r="BW28" s="26"/>
      <c r="BX28" s="26"/>
      <c r="BY28" s="26"/>
      <c r="BZ28" s="26"/>
      <c r="CA28" s="26"/>
      <c r="CB28" s="26"/>
      <c r="CD28" s="26"/>
      <c r="CF28" s="26"/>
      <c r="CH28" s="26"/>
      <c r="CU28" s="26"/>
      <c r="CV28" s="26"/>
      <c r="CW28" s="26"/>
      <c r="CX28" s="26"/>
      <c r="CY28" s="26"/>
      <c r="CZ28" s="26"/>
      <c r="DA28" s="26"/>
      <c r="EA28" s="277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S28" s="26"/>
      <c r="FX28" s="142">
        <f t="shared" si="30"/>
        <v>0</v>
      </c>
      <c r="FZ28" s="142">
        <f t="shared" si="31"/>
        <v>0</v>
      </c>
      <c r="GB28" s="142">
        <f t="shared" si="32"/>
        <v>0</v>
      </c>
    </row>
    <row r="29" spans="1:184">
      <c r="A29" s="87" t="s">
        <v>638</v>
      </c>
      <c r="B29" s="3" t="s">
        <v>2046</v>
      </c>
      <c r="P29" s="142">
        <f t="shared" si="24"/>
        <v>0</v>
      </c>
      <c r="Q29" s="142">
        <f t="shared" si="24"/>
        <v>0</v>
      </c>
      <c r="R29" s="155">
        <f t="shared" si="24"/>
        <v>0</v>
      </c>
      <c r="S29" s="337">
        <f t="shared" si="24"/>
        <v>0</v>
      </c>
      <c r="T29" s="337">
        <f t="shared" si="24"/>
        <v>0</v>
      </c>
      <c r="U29" s="337">
        <f t="shared" si="24"/>
        <v>0</v>
      </c>
      <c r="V29" s="337">
        <f t="shared" si="24"/>
        <v>0</v>
      </c>
      <c r="W29" s="337">
        <f t="shared" si="24"/>
        <v>0</v>
      </c>
      <c r="X29" s="337">
        <f t="shared" si="24"/>
        <v>0</v>
      </c>
      <c r="Y29" s="337">
        <f t="shared" si="34"/>
        <v>0</v>
      </c>
      <c r="Z29" s="337">
        <f t="shared" si="35"/>
        <v>0</v>
      </c>
      <c r="AA29" s="337">
        <f t="shared" si="25"/>
        <v>0</v>
      </c>
      <c r="AB29" s="337">
        <f t="shared" si="26"/>
        <v>0</v>
      </c>
      <c r="AC29" s="337">
        <f t="shared" si="27"/>
        <v>0</v>
      </c>
      <c r="AD29" s="337">
        <f t="shared" si="36"/>
        <v>0</v>
      </c>
      <c r="AE29" s="337">
        <f t="shared" si="37"/>
        <v>0</v>
      </c>
      <c r="AF29" s="337">
        <f t="shared" si="38"/>
        <v>0</v>
      </c>
      <c r="AG29" s="337">
        <f t="shared" si="39"/>
        <v>0</v>
      </c>
      <c r="AH29" s="337">
        <f t="shared" si="40"/>
        <v>0</v>
      </c>
      <c r="AI29" s="337">
        <f t="shared" si="41"/>
        <v>0</v>
      </c>
      <c r="AJ29" s="337">
        <f t="shared" si="42"/>
        <v>0</v>
      </c>
      <c r="AK29" s="337">
        <f t="shared" si="43"/>
        <v>0</v>
      </c>
      <c r="AL29" s="337">
        <f t="shared" si="44"/>
        <v>0</v>
      </c>
      <c r="AM29" s="337"/>
      <c r="AN29" s="337"/>
      <c r="AP29" s="26"/>
      <c r="AQ29" s="26"/>
      <c r="AR29" s="26"/>
      <c r="AS29" s="26"/>
      <c r="AT29" s="26"/>
      <c r="AU29" s="26"/>
      <c r="AV29" s="26"/>
      <c r="AW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V29" s="26"/>
      <c r="BW29" s="26"/>
      <c r="BX29" s="26"/>
      <c r="BY29" s="26"/>
      <c r="BZ29" s="26"/>
      <c r="CA29" s="26"/>
      <c r="CB29" s="26"/>
      <c r="CD29" s="26"/>
      <c r="CF29" s="26"/>
      <c r="CH29" s="26"/>
      <c r="CU29" s="26"/>
      <c r="CV29" s="26"/>
      <c r="CW29" s="26"/>
      <c r="CX29" s="26"/>
      <c r="CY29" s="26"/>
      <c r="CZ29" s="26"/>
      <c r="DA29" s="26"/>
      <c r="EA29" s="38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S29" s="26"/>
      <c r="FX29" s="142">
        <f t="shared" si="30"/>
        <v>0</v>
      </c>
      <c r="FZ29" s="142">
        <f t="shared" si="31"/>
        <v>0</v>
      </c>
      <c r="GB29" s="142">
        <f t="shared" si="32"/>
        <v>0</v>
      </c>
    </row>
    <row r="30" spans="1:184">
      <c r="A30" s="194" t="s">
        <v>1866</v>
      </c>
      <c r="P30" s="142"/>
      <c r="Q30" s="142"/>
      <c r="R30" s="337"/>
      <c r="S30" s="337"/>
      <c r="T30" s="337"/>
      <c r="U30" s="337"/>
      <c r="V30" s="337"/>
      <c r="W30" s="337"/>
      <c r="X30" s="337"/>
      <c r="Y30" s="337"/>
      <c r="Z30" s="337"/>
      <c r="AA30" s="337"/>
      <c r="AB30" s="337"/>
      <c r="AC30" s="337"/>
      <c r="AD30" s="337"/>
      <c r="AE30" s="337"/>
      <c r="AF30" s="337"/>
      <c r="AG30" s="337"/>
      <c r="AH30" s="337"/>
      <c r="AI30" s="337"/>
      <c r="AJ30" s="337"/>
      <c r="AK30" s="337"/>
      <c r="AL30" s="337"/>
      <c r="AM30" s="337"/>
      <c r="AN30" s="337"/>
      <c r="AP30" s="26"/>
      <c r="AQ30" s="26"/>
      <c r="AR30" s="26"/>
      <c r="AS30" s="26"/>
      <c r="AT30" s="26"/>
      <c r="AU30" s="26"/>
      <c r="AV30" s="26"/>
      <c r="AW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V30" s="26"/>
      <c r="BW30" s="26"/>
      <c r="BX30" s="26"/>
      <c r="BY30" s="26"/>
      <c r="BZ30" s="26"/>
      <c r="CA30" s="26"/>
      <c r="CB30" s="26"/>
      <c r="CD30" s="26"/>
      <c r="CF30" s="26"/>
      <c r="CH30" s="26"/>
      <c r="CU30" s="26"/>
      <c r="CV30" s="26"/>
      <c r="CW30" s="26"/>
      <c r="CX30" s="26"/>
      <c r="CY30" s="26"/>
      <c r="CZ30" s="26"/>
      <c r="DA30" s="26"/>
      <c r="EA30" s="277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S30" s="26"/>
      <c r="FX30" s="142"/>
      <c r="FZ30" s="142"/>
      <c r="GB30" s="142"/>
    </row>
    <row r="31" spans="1:184">
      <c r="A31" s="73" t="s">
        <v>2072</v>
      </c>
      <c r="B31" s="197" t="s">
        <v>2182</v>
      </c>
      <c r="P31" s="142">
        <f>AP31+0</f>
        <v>0</v>
      </c>
      <c r="Q31" s="142">
        <f t="shared" ref="Q31:W42" si="46">AQ31+0</f>
        <v>0</v>
      </c>
      <c r="R31" s="337">
        <f>AR31+0</f>
        <v>0</v>
      </c>
      <c r="S31" s="337">
        <f>AS31+0</f>
        <v>0</v>
      </c>
      <c r="T31" s="337">
        <f>AT31+0</f>
        <v>0</v>
      </c>
      <c r="U31" s="337">
        <f>AU31+1.084</f>
        <v>1.0840000000000001</v>
      </c>
      <c r="V31" s="337">
        <f>AV31-2.91</f>
        <v>-2.91</v>
      </c>
      <c r="W31" s="337">
        <f>AW31-2.915</f>
        <v>-2.915</v>
      </c>
      <c r="X31" s="337">
        <f>AX31-2.91</f>
        <v>-2.91</v>
      </c>
      <c r="Y31" s="337">
        <f t="shared" ref="Y31:AL43" si="47">AY31</f>
        <v>0</v>
      </c>
      <c r="Z31" s="337">
        <f t="shared" si="47"/>
        <v>0</v>
      </c>
      <c r="AA31" s="337">
        <f t="shared" si="47"/>
        <v>0</v>
      </c>
      <c r="AB31" s="337">
        <f t="shared" si="47"/>
        <v>0</v>
      </c>
      <c r="AC31" s="337">
        <f t="shared" si="47"/>
        <v>0</v>
      </c>
      <c r="AD31" s="337">
        <f t="shared" si="47"/>
        <v>0</v>
      </c>
      <c r="AE31" s="337">
        <f t="shared" si="47"/>
        <v>0</v>
      </c>
      <c r="AF31" s="337">
        <f t="shared" si="47"/>
        <v>0</v>
      </c>
      <c r="AG31" s="337">
        <f t="shared" si="47"/>
        <v>0</v>
      </c>
      <c r="AH31" s="337">
        <f t="shared" si="47"/>
        <v>0</v>
      </c>
      <c r="AI31" s="337">
        <f t="shared" si="47"/>
        <v>0</v>
      </c>
      <c r="AJ31" s="337">
        <f t="shared" si="47"/>
        <v>0</v>
      </c>
      <c r="AK31" s="337">
        <f t="shared" si="47"/>
        <v>0</v>
      </c>
      <c r="AL31" s="337">
        <f t="shared" si="47"/>
        <v>0</v>
      </c>
      <c r="AM31" s="337"/>
      <c r="AN31" s="337"/>
      <c r="AP31" s="26"/>
      <c r="AQ31" s="26"/>
      <c r="AR31" s="26"/>
      <c r="AS31" s="26"/>
      <c r="AT31" s="26"/>
      <c r="AU31" s="26"/>
      <c r="AV31" s="26"/>
      <c r="AW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V31" s="26"/>
      <c r="BW31" s="26"/>
      <c r="BX31" s="26"/>
      <c r="BY31" s="26"/>
      <c r="BZ31" s="26"/>
      <c r="CA31" s="26"/>
      <c r="CB31" s="26"/>
      <c r="CD31" s="26"/>
      <c r="CF31" s="26"/>
      <c r="CH31" s="26"/>
      <c r="CU31" s="26"/>
      <c r="CV31" s="26"/>
      <c r="CW31" s="26"/>
      <c r="CX31" s="26"/>
      <c r="CY31" s="26"/>
      <c r="CZ31" s="26"/>
      <c r="DA31" s="26"/>
      <c r="EA31" s="277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S31" s="26"/>
      <c r="FX31" s="142">
        <f t="shared" ref="FX31:FX42" si="48">GG31+0</f>
        <v>0</v>
      </c>
      <c r="FZ31" s="142">
        <f t="shared" ref="FZ31:FZ43" si="49">GJ31+0</f>
        <v>0</v>
      </c>
      <c r="GB31" s="142">
        <f t="shared" ref="GB31:GB43" si="50">GM31+0</f>
        <v>0</v>
      </c>
    </row>
    <row r="32" spans="1:184">
      <c r="A32" s="73" t="s">
        <v>4668</v>
      </c>
      <c r="B32" s="197" t="s">
        <v>2182</v>
      </c>
      <c r="P32" s="142"/>
      <c r="Q32" s="142"/>
      <c r="R32" s="155"/>
      <c r="S32" s="337"/>
      <c r="T32" s="337"/>
      <c r="U32" s="337"/>
      <c r="V32" s="337"/>
      <c r="W32" s="337"/>
      <c r="X32" s="337"/>
      <c r="Y32" s="337"/>
      <c r="Z32" s="337"/>
      <c r="AA32" s="337"/>
      <c r="AB32" s="337"/>
      <c r="AC32" s="337"/>
      <c r="AD32" s="337"/>
      <c r="AE32" s="337"/>
      <c r="AF32" s="337"/>
      <c r="AG32" s="337"/>
      <c r="AH32" s="337"/>
      <c r="AI32" s="337"/>
      <c r="AJ32" s="337"/>
      <c r="AK32" s="337"/>
      <c r="AL32" s="337"/>
      <c r="AM32" s="337"/>
      <c r="AN32" s="337"/>
      <c r="AP32" s="26"/>
      <c r="AQ32" s="26"/>
      <c r="AR32" s="26"/>
      <c r="AS32" s="26"/>
      <c r="AT32" s="26"/>
      <c r="AU32" s="26"/>
      <c r="AV32" s="26"/>
      <c r="AW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V32" s="26"/>
      <c r="BW32" s="26"/>
      <c r="BX32" s="26"/>
      <c r="BY32" s="26"/>
      <c r="BZ32" s="26"/>
      <c r="CA32" s="26"/>
      <c r="CB32" s="26"/>
      <c r="CD32" s="26"/>
      <c r="CF32" s="26"/>
      <c r="CH32" s="26"/>
      <c r="CU32" s="26"/>
      <c r="CV32" s="26"/>
      <c r="CW32" s="26"/>
      <c r="CX32" s="26"/>
      <c r="CY32" s="26"/>
      <c r="CZ32" s="26"/>
      <c r="DA32" s="26"/>
      <c r="EA32" s="38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S32" s="26"/>
      <c r="FX32" s="142">
        <f t="shared" si="48"/>
        <v>0</v>
      </c>
      <c r="FZ32" s="142">
        <f t="shared" si="49"/>
        <v>0</v>
      </c>
      <c r="GB32" s="142">
        <f t="shared" si="50"/>
        <v>0</v>
      </c>
    </row>
    <row r="33" spans="1:187">
      <c r="A33" s="73" t="s">
        <v>2104</v>
      </c>
      <c r="B33" s="197" t="s">
        <v>2182</v>
      </c>
      <c r="P33" s="142">
        <f t="shared" ref="P33:P42" si="51">AP33+0</f>
        <v>0</v>
      </c>
      <c r="Q33" s="142">
        <f t="shared" si="46"/>
        <v>0</v>
      </c>
      <c r="R33" s="155">
        <f t="shared" si="46"/>
        <v>0</v>
      </c>
      <c r="S33" s="155">
        <f t="shared" si="46"/>
        <v>0</v>
      </c>
      <c r="T33" s="155">
        <f t="shared" si="46"/>
        <v>0</v>
      </c>
      <c r="U33" s="155">
        <f>AU33-13.35</f>
        <v>-13.35</v>
      </c>
      <c r="V33" s="155">
        <f>AV33-10.6</f>
        <v>-10.6</v>
      </c>
      <c r="W33" s="155">
        <f>AW33-5.65</f>
        <v>-5.65</v>
      </c>
      <c r="X33" s="337">
        <f>AX33-4.4</f>
        <v>-4.4000000000000004</v>
      </c>
      <c r="Y33" s="337">
        <f>AY33-1.99</f>
        <v>-1.99</v>
      </c>
      <c r="Z33" s="337">
        <f>AZ33-1.15</f>
        <v>-1.1499999999999999</v>
      </c>
      <c r="AA33" s="337">
        <f>BA33-1.05</f>
        <v>-1.05</v>
      </c>
      <c r="AB33" s="337">
        <f t="shared" ref="AB33:AG33" si="52">BB33-2.9</f>
        <v>-2.9</v>
      </c>
      <c r="AC33" s="337">
        <f t="shared" si="52"/>
        <v>-2.9</v>
      </c>
      <c r="AD33" s="337">
        <f t="shared" si="52"/>
        <v>-2.9</v>
      </c>
      <c r="AE33" s="337">
        <f t="shared" si="52"/>
        <v>-2.9</v>
      </c>
      <c r="AF33" s="337">
        <f t="shared" si="52"/>
        <v>-2.9</v>
      </c>
      <c r="AG33" s="337">
        <f t="shared" si="52"/>
        <v>-2.9</v>
      </c>
      <c r="AH33" s="337">
        <f t="shared" si="47"/>
        <v>0</v>
      </c>
      <c r="AI33" s="337">
        <f t="shared" si="47"/>
        <v>0</v>
      </c>
      <c r="AJ33" s="337">
        <f t="shared" si="47"/>
        <v>0</v>
      </c>
      <c r="AK33" s="337">
        <f t="shared" si="47"/>
        <v>0</v>
      </c>
      <c r="AL33" s="337">
        <f t="shared" si="47"/>
        <v>0</v>
      </c>
      <c r="AM33" s="155"/>
      <c r="AN33" s="337"/>
      <c r="AP33" s="26"/>
      <c r="AQ33" s="26"/>
      <c r="AR33" s="26"/>
      <c r="AS33" s="26"/>
      <c r="AT33" s="26"/>
      <c r="AU33" s="36"/>
      <c r="AV33" s="36"/>
      <c r="AW33" s="1029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N33" s="958">
        <v>-25</v>
      </c>
      <c r="BO33" s="1029">
        <v>-10.199999999999999</v>
      </c>
      <c r="BS33" s="1018">
        <v>-2.35</v>
      </c>
      <c r="BT33" s="1018">
        <v>-10.199999999999999</v>
      </c>
      <c r="BV33" s="1029"/>
      <c r="BW33" s="26"/>
      <c r="BX33" s="26"/>
      <c r="BY33" s="26"/>
      <c r="BZ33" s="26"/>
      <c r="CA33" s="26"/>
      <c r="CB33" s="26"/>
      <c r="CD33" s="26"/>
      <c r="CF33" s="26"/>
      <c r="CH33" s="26"/>
      <c r="CL33" s="1030">
        <v>-10.199999999999999</v>
      </c>
      <c r="CN33" s="1031">
        <v>20</v>
      </c>
      <c r="CO33" s="1018">
        <v>-2.35</v>
      </c>
      <c r="CP33" s="1018">
        <v>-10.199999999999999</v>
      </c>
      <c r="CU33" s="36"/>
      <c r="CV33" s="1018">
        <v>-10.199999999999999</v>
      </c>
      <c r="CW33" s="26"/>
      <c r="CX33" s="26"/>
      <c r="CY33" s="26"/>
      <c r="CZ33" s="26"/>
      <c r="DA33" s="26"/>
      <c r="EA33" s="38"/>
      <c r="EB33" s="1029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S33" s="26">
        <v>-10</v>
      </c>
      <c r="FD33" s="26">
        <f>-340/1640*100</f>
        <v>-20.73170731707317</v>
      </c>
      <c r="FE33" s="26">
        <f>250/1640*100</f>
        <v>15.24390243902439</v>
      </c>
      <c r="FG33" s="488">
        <v>-13.25</v>
      </c>
      <c r="FH33" s="488">
        <v>7.3</v>
      </c>
      <c r="FI33" s="489">
        <v>3.15</v>
      </c>
      <c r="FJ33" s="489">
        <v>4.0999999999999996</v>
      </c>
      <c r="FK33" s="489">
        <v>3.75</v>
      </c>
      <c r="FN33" s="26">
        <f>200*3.35</f>
        <v>670</v>
      </c>
      <c r="FO33" s="26">
        <f>300*3.35</f>
        <v>1005</v>
      </c>
      <c r="FP33" s="26">
        <f>150*3.35</f>
        <v>502.5</v>
      </c>
      <c r="FQ33" s="26">
        <f>150*3.35</f>
        <v>502.5</v>
      </c>
      <c r="FX33" s="142">
        <f t="shared" si="48"/>
        <v>0</v>
      </c>
      <c r="FZ33" s="142">
        <f t="shared" si="49"/>
        <v>0</v>
      </c>
      <c r="GB33" s="142">
        <f t="shared" si="50"/>
        <v>0</v>
      </c>
    </row>
    <row r="34" spans="1:187">
      <c r="A34" s="73" t="s">
        <v>1210</v>
      </c>
      <c r="B34" s="197" t="s">
        <v>2182</v>
      </c>
      <c r="P34" s="142">
        <f t="shared" si="51"/>
        <v>0</v>
      </c>
      <c r="Q34" s="142">
        <f t="shared" si="46"/>
        <v>0</v>
      </c>
      <c r="R34" s="155">
        <f t="shared" si="46"/>
        <v>0</v>
      </c>
      <c r="S34" s="337">
        <f t="shared" si="46"/>
        <v>0</v>
      </c>
      <c r="T34" s="337">
        <f t="shared" si="46"/>
        <v>0</v>
      </c>
      <c r="U34" s="337">
        <f t="shared" si="46"/>
        <v>0</v>
      </c>
      <c r="V34" s="337">
        <f t="shared" si="46"/>
        <v>0</v>
      </c>
      <c r="W34" s="337">
        <f t="shared" si="46"/>
        <v>0</v>
      </c>
      <c r="X34" s="337">
        <f t="shared" ref="X34:X43" si="53">AX34</f>
        <v>0</v>
      </c>
      <c r="Y34" s="337">
        <f t="shared" si="47"/>
        <v>0</v>
      </c>
      <c r="Z34" s="337">
        <f t="shared" si="47"/>
        <v>0</v>
      </c>
      <c r="AA34" s="337">
        <f t="shared" si="47"/>
        <v>0</v>
      </c>
      <c r="AB34" s="337">
        <f t="shared" si="47"/>
        <v>0</v>
      </c>
      <c r="AC34" s="337">
        <f t="shared" si="47"/>
        <v>0</v>
      </c>
      <c r="AD34" s="337">
        <f t="shared" si="47"/>
        <v>0</v>
      </c>
      <c r="AE34" s="337">
        <f t="shared" si="47"/>
        <v>0</v>
      </c>
      <c r="AF34" s="337">
        <f t="shared" si="47"/>
        <v>0</v>
      </c>
      <c r="AG34" s="337">
        <f t="shared" si="47"/>
        <v>0</v>
      </c>
      <c r="AH34" s="337">
        <f t="shared" si="47"/>
        <v>0</v>
      </c>
      <c r="AI34" s="337">
        <f t="shared" si="47"/>
        <v>0</v>
      </c>
      <c r="AJ34" s="337">
        <f t="shared" si="47"/>
        <v>0</v>
      </c>
      <c r="AK34" s="337">
        <f t="shared" si="47"/>
        <v>0</v>
      </c>
      <c r="AL34" s="337">
        <f t="shared" si="47"/>
        <v>0</v>
      </c>
      <c r="AM34" s="337"/>
      <c r="AN34" s="337"/>
      <c r="AP34" s="26"/>
      <c r="AQ34" s="26"/>
      <c r="AR34" s="26"/>
      <c r="AS34" s="26"/>
      <c r="AT34" s="26"/>
      <c r="AU34" s="26"/>
      <c r="AV34" s="26"/>
      <c r="AW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V34" s="26"/>
      <c r="BW34" s="26"/>
      <c r="BX34" s="26"/>
      <c r="BY34" s="26"/>
      <c r="BZ34" s="26"/>
      <c r="CA34" s="26"/>
      <c r="CB34" s="26"/>
      <c r="CD34" s="26"/>
      <c r="CF34" s="26"/>
      <c r="CH34" s="26"/>
      <c r="CU34" s="26"/>
      <c r="CV34" s="26"/>
      <c r="CW34" s="26"/>
      <c r="CX34" s="26"/>
      <c r="CY34" s="26"/>
      <c r="CZ34" s="26"/>
      <c r="DA34" s="26"/>
      <c r="EA34" s="38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S34" s="26"/>
      <c r="FX34" s="142">
        <f t="shared" si="48"/>
        <v>0</v>
      </c>
      <c r="FZ34" s="142">
        <f t="shared" si="49"/>
        <v>0</v>
      </c>
      <c r="GB34" s="142">
        <f t="shared" si="50"/>
        <v>0</v>
      </c>
    </row>
    <row r="35" spans="1:187">
      <c r="A35" s="73" t="s">
        <v>2210</v>
      </c>
      <c r="B35" s="197" t="s">
        <v>2182</v>
      </c>
      <c r="P35" s="142">
        <f t="shared" si="51"/>
        <v>0</v>
      </c>
      <c r="Q35" s="142">
        <f t="shared" si="46"/>
        <v>0</v>
      </c>
      <c r="R35" s="155">
        <f t="shared" si="46"/>
        <v>0</v>
      </c>
      <c r="S35" s="155">
        <f t="shared" si="46"/>
        <v>0</v>
      </c>
      <c r="T35" s="155">
        <f t="shared" si="46"/>
        <v>0</v>
      </c>
      <c r="U35" s="155">
        <f>AU35+7</f>
        <v>7</v>
      </c>
      <c r="V35" s="155">
        <f>AV35-21.3</f>
        <v>-21.3</v>
      </c>
      <c r="W35" s="155">
        <f>AW35-4.2</f>
        <v>-4.2</v>
      </c>
      <c r="X35" s="337">
        <f t="shared" si="53"/>
        <v>0</v>
      </c>
      <c r="Y35" s="337">
        <f t="shared" si="47"/>
        <v>0</v>
      </c>
      <c r="Z35" s="337">
        <f t="shared" si="47"/>
        <v>0</v>
      </c>
      <c r="AA35" s="337">
        <f t="shared" si="47"/>
        <v>0</v>
      </c>
      <c r="AB35" s="337">
        <f t="shared" si="47"/>
        <v>0</v>
      </c>
      <c r="AC35" s="337">
        <f t="shared" si="47"/>
        <v>0</v>
      </c>
      <c r="AD35" s="337">
        <f t="shared" si="47"/>
        <v>0</v>
      </c>
      <c r="AE35" s="337">
        <f t="shared" si="47"/>
        <v>0</v>
      </c>
      <c r="AF35" s="337">
        <f t="shared" si="47"/>
        <v>0</v>
      </c>
      <c r="AG35" s="337">
        <f t="shared" si="47"/>
        <v>0</v>
      </c>
      <c r="AH35" s="337">
        <f t="shared" si="47"/>
        <v>0</v>
      </c>
      <c r="AI35" s="337">
        <f t="shared" si="47"/>
        <v>0</v>
      </c>
      <c r="AJ35" s="337">
        <f t="shared" si="47"/>
        <v>0</v>
      </c>
      <c r="AK35" s="337">
        <f t="shared" si="47"/>
        <v>0</v>
      </c>
      <c r="AL35" s="337">
        <f t="shared" si="47"/>
        <v>0</v>
      </c>
      <c r="AM35" s="155"/>
      <c r="AN35" s="337"/>
      <c r="AP35" s="26"/>
      <c r="AQ35" s="26"/>
      <c r="AR35" s="26"/>
      <c r="AS35" s="26"/>
      <c r="AT35" s="26"/>
      <c r="AU35" s="26"/>
      <c r="AV35" s="26"/>
      <c r="AW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V35" s="26"/>
      <c r="BW35" s="26"/>
      <c r="BX35" s="26"/>
      <c r="BY35" s="26"/>
      <c r="BZ35" s="26"/>
      <c r="CA35" s="26"/>
      <c r="CB35" s="26"/>
      <c r="CD35" s="26"/>
      <c r="CF35" s="26"/>
      <c r="CH35" s="26"/>
      <c r="CU35" s="26"/>
      <c r="CV35" s="26"/>
      <c r="CW35" s="26"/>
      <c r="CX35" s="26"/>
      <c r="CY35" s="26"/>
      <c r="CZ35" s="26"/>
      <c r="DA35" s="26"/>
      <c r="EA35" s="38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S35" s="26"/>
      <c r="FX35" s="142">
        <f t="shared" si="48"/>
        <v>0</v>
      </c>
      <c r="FZ35" s="142">
        <f t="shared" si="49"/>
        <v>0</v>
      </c>
      <c r="GB35" s="142">
        <f t="shared" si="50"/>
        <v>0</v>
      </c>
    </row>
    <row r="36" spans="1:187">
      <c r="A36" s="73" t="s">
        <v>2857</v>
      </c>
      <c r="B36" s="197" t="s">
        <v>2182</v>
      </c>
      <c r="P36" s="142">
        <f t="shared" si="51"/>
        <v>0</v>
      </c>
      <c r="Q36" s="142">
        <f t="shared" si="46"/>
        <v>0</v>
      </c>
      <c r="R36" s="142">
        <f t="shared" si="46"/>
        <v>0</v>
      </c>
      <c r="S36" s="337">
        <f t="shared" si="46"/>
        <v>0</v>
      </c>
      <c r="T36" s="337">
        <f t="shared" si="46"/>
        <v>0</v>
      </c>
      <c r="U36" s="337">
        <f>AU36+3</f>
        <v>3</v>
      </c>
      <c r="V36" s="337">
        <f>AV36-3</f>
        <v>-3</v>
      </c>
      <c r="W36" s="337">
        <f>AW36-2.8</f>
        <v>-2.8</v>
      </c>
      <c r="X36" s="337">
        <f t="shared" si="53"/>
        <v>0</v>
      </c>
      <c r="Y36" s="337">
        <f t="shared" si="47"/>
        <v>0</v>
      </c>
      <c r="Z36" s="337">
        <f t="shared" si="47"/>
        <v>0</v>
      </c>
      <c r="AA36" s="337">
        <f t="shared" si="47"/>
        <v>0</v>
      </c>
      <c r="AB36" s="337">
        <f t="shared" si="47"/>
        <v>0</v>
      </c>
      <c r="AC36" s="337">
        <f t="shared" si="47"/>
        <v>0</v>
      </c>
      <c r="AD36" s="337">
        <f t="shared" si="47"/>
        <v>0</v>
      </c>
      <c r="AE36" s="337">
        <f t="shared" si="47"/>
        <v>0</v>
      </c>
      <c r="AF36" s="337">
        <f t="shared" si="47"/>
        <v>0</v>
      </c>
      <c r="AG36" s="337">
        <f t="shared" si="47"/>
        <v>0</v>
      </c>
      <c r="AH36" s="337">
        <f t="shared" si="47"/>
        <v>0</v>
      </c>
      <c r="AI36" s="337">
        <f t="shared" si="47"/>
        <v>0</v>
      </c>
      <c r="AJ36" s="337">
        <f t="shared" si="47"/>
        <v>0</v>
      </c>
      <c r="AK36" s="337">
        <f t="shared" si="47"/>
        <v>0</v>
      </c>
      <c r="AL36" s="337">
        <f t="shared" si="47"/>
        <v>0</v>
      </c>
      <c r="AM36" s="337"/>
      <c r="AN36" s="337"/>
      <c r="AP36" s="26"/>
      <c r="AQ36" s="26"/>
      <c r="AR36" s="26"/>
      <c r="AS36" s="26"/>
      <c r="AT36" s="26"/>
      <c r="AU36" s="26"/>
      <c r="AV36" s="26"/>
      <c r="AW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V36" s="26"/>
      <c r="BW36" s="26"/>
      <c r="BX36" s="26"/>
      <c r="BY36" s="26"/>
      <c r="BZ36" s="26"/>
      <c r="CA36" s="26"/>
      <c r="CB36" s="26"/>
      <c r="CD36" s="26"/>
      <c r="CF36" s="26"/>
      <c r="CH36" s="26"/>
      <c r="CU36" s="26"/>
      <c r="CV36" s="26"/>
      <c r="CW36" s="26"/>
      <c r="CX36" s="26"/>
      <c r="CY36" s="26"/>
      <c r="CZ36" s="26"/>
      <c r="DA36" s="26"/>
      <c r="EA36" s="277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S36" s="26"/>
      <c r="FX36" s="142">
        <f t="shared" si="48"/>
        <v>0</v>
      </c>
      <c r="FZ36" s="142">
        <f t="shared" si="49"/>
        <v>0</v>
      </c>
      <c r="GB36" s="142">
        <f t="shared" si="50"/>
        <v>0</v>
      </c>
    </row>
    <row r="37" spans="1:187">
      <c r="A37" s="73" t="s">
        <v>2212</v>
      </c>
      <c r="B37" s="197" t="s">
        <v>2182</v>
      </c>
      <c r="P37" s="142">
        <f t="shared" si="51"/>
        <v>0</v>
      </c>
      <c r="Q37" s="142">
        <f t="shared" si="46"/>
        <v>0</v>
      </c>
      <c r="R37" s="155">
        <f t="shared" si="46"/>
        <v>0</v>
      </c>
      <c r="S37" s="337">
        <f t="shared" si="46"/>
        <v>0</v>
      </c>
      <c r="T37" s="337">
        <f t="shared" si="46"/>
        <v>0</v>
      </c>
      <c r="U37" s="337">
        <f>AU37-13</f>
        <v>-13</v>
      </c>
      <c r="V37" s="337">
        <f>AV37-13</f>
        <v>-13</v>
      </c>
      <c r="W37" s="337">
        <f>AW37-13</f>
        <v>-13</v>
      </c>
      <c r="X37" s="337">
        <f t="shared" si="53"/>
        <v>0</v>
      </c>
      <c r="Y37" s="337">
        <f t="shared" si="47"/>
        <v>0</v>
      </c>
      <c r="Z37" s="337">
        <f t="shared" si="47"/>
        <v>0</v>
      </c>
      <c r="AA37" s="337">
        <f t="shared" si="47"/>
        <v>0</v>
      </c>
      <c r="AB37" s="337">
        <f t="shared" si="47"/>
        <v>0</v>
      </c>
      <c r="AC37" s="337">
        <f t="shared" si="47"/>
        <v>0</v>
      </c>
      <c r="AD37" s="337">
        <f t="shared" si="47"/>
        <v>0</v>
      </c>
      <c r="AE37" s="337">
        <f t="shared" si="47"/>
        <v>0</v>
      </c>
      <c r="AF37" s="337">
        <f t="shared" si="47"/>
        <v>0</v>
      </c>
      <c r="AG37" s="337">
        <f t="shared" si="47"/>
        <v>0</v>
      </c>
      <c r="AH37" s="337">
        <f t="shared" si="47"/>
        <v>0</v>
      </c>
      <c r="AI37" s="337">
        <f t="shared" si="47"/>
        <v>0</v>
      </c>
      <c r="AJ37" s="337">
        <f t="shared" si="47"/>
        <v>0</v>
      </c>
      <c r="AK37" s="337">
        <f t="shared" si="47"/>
        <v>0</v>
      </c>
      <c r="AL37" s="337">
        <f t="shared" si="47"/>
        <v>0</v>
      </c>
      <c r="AM37" s="337"/>
      <c r="AN37" s="337"/>
      <c r="AP37" s="26"/>
      <c r="AQ37" s="26"/>
      <c r="AR37" s="26"/>
      <c r="AS37" s="26"/>
      <c r="AT37" s="26"/>
      <c r="AU37" s="26"/>
      <c r="AV37" s="26"/>
      <c r="AW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V37" s="26"/>
      <c r="BW37" s="26"/>
      <c r="BX37" s="26"/>
      <c r="BY37" s="26"/>
      <c r="BZ37" s="26"/>
      <c r="CA37" s="26"/>
      <c r="CB37" s="26"/>
      <c r="CD37" s="26"/>
      <c r="CF37" s="26"/>
      <c r="CH37" s="26"/>
      <c r="CU37" s="26"/>
      <c r="CV37" s="26"/>
      <c r="CW37" s="26"/>
      <c r="CX37" s="26"/>
      <c r="CY37" s="26"/>
      <c r="CZ37" s="26"/>
      <c r="DA37" s="26"/>
      <c r="EA37" s="38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S37" s="26"/>
      <c r="FX37" s="142">
        <f t="shared" si="48"/>
        <v>0</v>
      </c>
      <c r="FZ37" s="142">
        <f t="shared" si="49"/>
        <v>0</v>
      </c>
      <c r="GB37" s="142">
        <f t="shared" si="50"/>
        <v>0</v>
      </c>
    </row>
    <row r="38" spans="1:187">
      <c r="A38" s="73" t="s">
        <v>2214</v>
      </c>
      <c r="B38" s="197" t="s">
        <v>2182</v>
      </c>
      <c r="P38" s="142">
        <f t="shared" si="51"/>
        <v>0</v>
      </c>
      <c r="Q38" s="142">
        <f t="shared" si="46"/>
        <v>0</v>
      </c>
      <c r="R38" s="155">
        <f t="shared" si="46"/>
        <v>0</v>
      </c>
      <c r="S38" s="337">
        <f t="shared" si="46"/>
        <v>0</v>
      </c>
      <c r="T38" s="337">
        <f t="shared" si="46"/>
        <v>0</v>
      </c>
      <c r="U38" s="337">
        <f>AU38-1</f>
        <v>-1</v>
      </c>
      <c r="V38" s="337">
        <f>AV38-1</f>
        <v>-1</v>
      </c>
      <c r="W38" s="337">
        <f>AW38-1</f>
        <v>-1</v>
      </c>
      <c r="X38" s="337">
        <f t="shared" si="53"/>
        <v>0</v>
      </c>
      <c r="Y38" s="337">
        <f t="shared" si="47"/>
        <v>0</v>
      </c>
      <c r="Z38" s="337">
        <f t="shared" si="47"/>
        <v>0</v>
      </c>
      <c r="AA38" s="337">
        <f t="shared" si="47"/>
        <v>0</v>
      </c>
      <c r="AB38" s="337">
        <f t="shared" si="47"/>
        <v>0</v>
      </c>
      <c r="AC38" s="337">
        <f t="shared" si="47"/>
        <v>0</v>
      </c>
      <c r="AD38" s="337">
        <f t="shared" si="47"/>
        <v>0</v>
      </c>
      <c r="AE38" s="337">
        <f t="shared" si="47"/>
        <v>0</v>
      </c>
      <c r="AF38" s="337">
        <f t="shared" si="47"/>
        <v>0</v>
      </c>
      <c r="AG38" s="337">
        <f t="shared" si="47"/>
        <v>0</v>
      </c>
      <c r="AH38" s="337">
        <f t="shared" si="47"/>
        <v>0</v>
      </c>
      <c r="AI38" s="337">
        <f t="shared" si="47"/>
        <v>0</v>
      </c>
      <c r="AJ38" s="337">
        <f t="shared" si="47"/>
        <v>0</v>
      </c>
      <c r="AK38" s="337">
        <f t="shared" si="47"/>
        <v>0</v>
      </c>
      <c r="AL38" s="337">
        <f t="shared" si="47"/>
        <v>0</v>
      </c>
      <c r="AM38" s="337"/>
      <c r="AN38" s="337"/>
      <c r="AP38" s="26"/>
      <c r="AQ38" s="26"/>
      <c r="AR38" s="26"/>
      <c r="AS38" s="26"/>
      <c r="AT38" s="26"/>
      <c r="AU38" s="26"/>
      <c r="AV38" s="26"/>
      <c r="AW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V38" s="26"/>
      <c r="BW38" s="26"/>
      <c r="BX38" s="26"/>
      <c r="BY38" s="26"/>
      <c r="BZ38" s="26"/>
      <c r="CA38" s="26"/>
      <c r="CB38" s="26"/>
      <c r="CD38" s="26"/>
      <c r="CF38" s="26"/>
      <c r="CH38" s="26"/>
      <c r="CU38" s="26"/>
      <c r="CV38" s="26"/>
      <c r="CW38" s="26"/>
      <c r="CX38" s="26"/>
      <c r="CY38" s="26"/>
      <c r="CZ38" s="26"/>
      <c r="DA38" s="26"/>
      <c r="EA38" s="38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S38" s="26"/>
      <c r="FX38" s="142">
        <f t="shared" si="48"/>
        <v>0</v>
      </c>
      <c r="FZ38" s="142">
        <f t="shared" si="49"/>
        <v>0</v>
      </c>
      <c r="GB38" s="142">
        <f t="shared" si="50"/>
        <v>0</v>
      </c>
    </row>
    <row r="39" spans="1:187">
      <c r="A39" s="73" t="s">
        <v>2213</v>
      </c>
      <c r="B39" s="197" t="s">
        <v>2182</v>
      </c>
      <c r="P39" s="142">
        <f t="shared" si="51"/>
        <v>0</v>
      </c>
      <c r="Q39" s="142">
        <f t="shared" si="46"/>
        <v>0</v>
      </c>
      <c r="R39" s="155">
        <f t="shared" si="46"/>
        <v>0</v>
      </c>
      <c r="S39" s="337">
        <f t="shared" si="46"/>
        <v>0</v>
      </c>
      <c r="T39" s="337">
        <f t="shared" si="46"/>
        <v>0</v>
      </c>
      <c r="U39" s="337">
        <f>AU39-30.4</f>
        <v>-30.4</v>
      </c>
      <c r="V39" s="337">
        <f>AV39+1.9</f>
        <v>1.9</v>
      </c>
      <c r="W39" s="337">
        <f>AW39+2.2</f>
        <v>2.2000000000000002</v>
      </c>
      <c r="X39" s="337">
        <f t="shared" si="53"/>
        <v>0</v>
      </c>
      <c r="Y39" s="337">
        <f t="shared" si="47"/>
        <v>0</v>
      </c>
      <c r="Z39" s="337">
        <f t="shared" si="47"/>
        <v>0</v>
      </c>
      <c r="AA39" s="337">
        <f t="shared" si="47"/>
        <v>0</v>
      </c>
      <c r="AB39" s="337">
        <f t="shared" si="47"/>
        <v>0</v>
      </c>
      <c r="AC39" s="337">
        <f t="shared" si="47"/>
        <v>0</v>
      </c>
      <c r="AD39" s="337">
        <f t="shared" si="47"/>
        <v>0</v>
      </c>
      <c r="AE39" s="337">
        <f t="shared" si="47"/>
        <v>0</v>
      </c>
      <c r="AF39" s="337">
        <f t="shared" si="47"/>
        <v>0</v>
      </c>
      <c r="AG39" s="337">
        <f t="shared" si="47"/>
        <v>0</v>
      </c>
      <c r="AH39" s="337">
        <f t="shared" si="47"/>
        <v>0</v>
      </c>
      <c r="AI39" s="337">
        <f t="shared" si="47"/>
        <v>0</v>
      </c>
      <c r="AJ39" s="337">
        <f t="shared" si="47"/>
        <v>0</v>
      </c>
      <c r="AK39" s="337">
        <f t="shared" si="47"/>
        <v>0</v>
      </c>
      <c r="AL39" s="337">
        <f t="shared" si="47"/>
        <v>0</v>
      </c>
      <c r="AM39" s="337"/>
      <c r="AN39" s="337"/>
      <c r="AP39" s="26"/>
      <c r="AQ39" s="26"/>
      <c r="AR39" s="26"/>
      <c r="AS39" s="26"/>
      <c r="AT39" s="26"/>
      <c r="AU39" s="26"/>
      <c r="AV39" s="26"/>
      <c r="AW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V39" s="26"/>
      <c r="BW39" s="26"/>
      <c r="BX39" s="26"/>
      <c r="BY39" s="26"/>
      <c r="BZ39" s="26"/>
      <c r="CA39" s="26"/>
      <c r="CB39" s="26"/>
      <c r="CD39" s="26"/>
      <c r="CF39" s="26"/>
      <c r="CH39" s="26"/>
      <c r="CU39" s="26"/>
      <c r="CV39" s="26"/>
      <c r="CW39" s="26"/>
      <c r="CX39" s="26"/>
      <c r="CY39" s="26"/>
      <c r="CZ39" s="26"/>
      <c r="DA39" s="26"/>
      <c r="EA39" s="38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S39" s="26"/>
      <c r="FX39" s="142">
        <f t="shared" si="48"/>
        <v>0</v>
      </c>
      <c r="FZ39" s="142">
        <f t="shared" si="49"/>
        <v>0</v>
      </c>
      <c r="GB39" s="142">
        <f t="shared" si="50"/>
        <v>0</v>
      </c>
    </row>
    <row r="40" spans="1:187">
      <c r="A40" s="73" t="s">
        <v>2858</v>
      </c>
      <c r="B40" s="197" t="s">
        <v>2182</v>
      </c>
      <c r="P40" s="142">
        <f t="shared" si="51"/>
        <v>0</v>
      </c>
      <c r="Q40" s="142">
        <f t="shared" si="46"/>
        <v>0</v>
      </c>
      <c r="R40" s="155">
        <f t="shared" si="46"/>
        <v>0</v>
      </c>
      <c r="S40" s="337">
        <f t="shared" si="46"/>
        <v>0</v>
      </c>
      <c r="T40" s="337">
        <f t="shared" si="46"/>
        <v>0</v>
      </c>
      <c r="U40" s="337">
        <f>AU40+7</f>
        <v>7</v>
      </c>
      <c r="V40" s="337">
        <f>AV40+1.3</f>
        <v>1.3</v>
      </c>
      <c r="W40" s="337">
        <f>AW40-1.2</f>
        <v>-1.2</v>
      </c>
      <c r="X40" s="337">
        <f t="shared" si="53"/>
        <v>0</v>
      </c>
      <c r="Y40" s="337">
        <f t="shared" si="47"/>
        <v>0</v>
      </c>
      <c r="Z40" s="337">
        <f t="shared" si="47"/>
        <v>0</v>
      </c>
      <c r="AA40" s="337">
        <f t="shared" si="47"/>
        <v>0</v>
      </c>
      <c r="AB40" s="337">
        <f t="shared" si="47"/>
        <v>0</v>
      </c>
      <c r="AC40" s="337">
        <f t="shared" si="47"/>
        <v>0</v>
      </c>
      <c r="AD40" s="337">
        <f t="shared" si="47"/>
        <v>0</v>
      </c>
      <c r="AE40" s="337">
        <f t="shared" si="47"/>
        <v>0</v>
      </c>
      <c r="AF40" s="337">
        <f t="shared" si="47"/>
        <v>0</v>
      </c>
      <c r="AG40" s="337">
        <f t="shared" si="47"/>
        <v>0</v>
      </c>
      <c r="AH40" s="337">
        <f t="shared" si="47"/>
        <v>0</v>
      </c>
      <c r="AI40" s="337">
        <f t="shared" si="47"/>
        <v>0</v>
      </c>
      <c r="AJ40" s="337">
        <f t="shared" si="47"/>
        <v>0</v>
      </c>
      <c r="AK40" s="337">
        <f t="shared" si="47"/>
        <v>0</v>
      </c>
      <c r="AL40" s="337">
        <f t="shared" si="47"/>
        <v>0</v>
      </c>
      <c r="AM40" s="337"/>
      <c r="AN40" s="337"/>
      <c r="AP40" s="26"/>
      <c r="AQ40" s="26"/>
      <c r="AR40" s="26"/>
      <c r="AS40" s="26"/>
      <c r="AT40" s="26"/>
      <c r="AU40" s="26"/>
      <c r="AV40" s="26"/>
      <c r="AW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V40" s="26"/>
      <c r="BW40" s="26"/>
      <c r="BX40" s="26"/>
      <c r="BY40" s="26"/>
      <c r="BZ40" s="26"/>
      <c r="CA40" s="26"/>
      <c r="CB40" s="26"/>
      <c r="CD40" s="26"/>
      <c r="CF40" s="26"/>
      <c r="CH40" s="26"/>
      <c r="CU40" s="26"/>
      <c r="CV40" s="26"/>
      <c r="CW40" s="26"/>
      <c r="CX40" s="26"/>
      <c r="CY40" s="26"/>
      <c r="CZ40" s="26"/>
      <c r="DA40" s="26"/>
      <c r="EA40" s="38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S40" s="26"/>
      <c r="FX40" s="142">
        <f t="shared" si="48"/>
        <v>0</v>
      </c>
      <c r="FZ40" s="142">
        <f t="shared" si="49"/>
        <v>0</v>
      </c>
      <c r="GB40" s="142">
        <f t="shared" si="50"/>
        <v>0</v>
      </c>
    </row>
    <row r="41" spans="1:187">
      <c r="A41" s="73" t="s">
        <v>2859</v>
      </c>
      <c r="B41" s="197" t="s">
        <v>2182</v>
      </c>
      <c r="P41" s="142">
        <f t="shared" si="51"/>
        <v>0</v>
      </c>
      <c r="Q41" s="142">
        <f t="shared" si="46"/>
        <v>0</v>
      </c>
      <c r="R41" s="155">
        <f t="shared" si="46"/>
        <v>0</v>
      </c>
      <c r="S41" s="337">
        <f t="shared" si="46"/>
        <v>0</v>
      </c>
      <c r="T41" s="337">
        <f t="shared" si="46"/>
        <v>0</v>
      </c>
      <c r="U41" s="337">
        <f t="shared" si="46"/>
        <v>0</v>
      </c>
      <c r="V41" s="337">
        <f t="shared" si="46"/>
        <v>0</v>
      </c>
      <c r="W41" s="337">
        <f t="shared" si="46"/>
        <v>0</v>
      </c>
      <c r="X41" s="337">
        <f t="shared" si="53"/>
        <v>0</v>
      </c>
      <c r="Y41" s="337">
        <f t="shared" si="47"/>
        <v>0</v>
      </c>
      <c r="Z41" s="337">
        <f t="shared" si="47"/>
        <v>0</v>
      </c>
      <c r="AA41" s="337">
        <f t="shared" si="47"/>
        <v>0</v>
      </c>
      <c r="AB41" s="337">
        <f t="shared" si="47"/>
        <v>0</v>
      </c>
      <c r="AC41" s="337">
        <f t="shared" si="47"/>
        <v>0</v>
      </c>
      <c r="AD41" s="337">
        <f t="shared" si="47"/>
        <v>0</v>
      </c>
      <c r="AE41" s="337">
        <f t="shared" si="47"/>
        <v>0</v>
      </c>
      <c r="AF41" s="337">
        <f t="shared" si="47"/>
        <v>0</v>
      </c>
      <c r="AG41" s="337">
        <f t="shared" si="47"/>
        <v>0</v>
      </c>
      <c r="AH41" s="337">
        <f t="shared" si="47"/>
        <v>0</v>
      </c>
      <c r="AI41" s="337">
        <f t="shared" si="47"/>
        <v>0</v>
      </c>
      <c r="AJ41" s="337">
        <f t="shared" si="47"/>
        <v>0</v>
      </c>
      <c r="AK41" s="337">
        <f t="shared" si="47"/>
        <v>0</v>
      </c>
      <c r="AL41" s="337">
        <f t="shared" si="47"/>
        <v>0</v>
      </c>
      <c r="AM41" s="337"/>
      <c r="AN41" s="337"/>
      <c r="AP41" s="26"/>
      <c r="AQ41" s="26"/>
      <c r="AR41" s="26"/>
      <c r="AS41" s="26"/>
      <c r="AT41" s="26"/>
      <c r="AU41" s="26"/>
      <c r="AV41" s="26"/>
      <c r="AW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V41" s="26"/>
      <c r="BW41" s="26"/>
      <c r="BX41" s="26"/>
      <c r="BY41" s="26"/>
      <c r="BZ41" s="26"/>
      <c r="CA41" s="26"/>
      <c r="CB41" s="26"/>
      <c r="CD41" s="26"/>
      <c r="CF41" s="26"/>
      <c r="CH41" s="26"/>
      <c r="CU41" s="26"/>
      <c r="CV41" s="26"/>
      <c r="CW41" s="26"/>
      <c r="CX41" s="26"/>
      <c r="CY41" s="26"/>
      <c r="CZ41" s="26"/>
      <c r="DA41" s="26"/>
      <c r="EA41" s="38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S41" s="26"/>
      <c r="FX41" s="142">
        <f t="shared" si="48"/>
        <v>0</v>
      </c>
      <c r="FZ41" s="142">
        <f t="shared" si="49"/>
        <v>0</v>
      </c>
      <c r="GB41" s="142">
        <f t="shared" si="50"/>
        <v>0</v>
      </c>
    </row>
    <row r="42" spans="1:187">
      <c r="A42" s="87" t="s">
        <v>638</v>
      </c>
      <c r="B42" s="197" t="s">
        <v>2182</v>
      </c>
      <c r="P42" s="142">
        <f t="shared" si="51"/>
        <v>0</v>
      </c>
      <c r="Q42" s="142">
        <f t="shared" si="46"/>
        <v>0</v>
      </c>
      <c r="R42" s="155">
        <f t="shared" si="46"/>
        <v>0</v>
      </c>
      <c r="S42" s="337">
        <f t="shared" si="46"/>
        <v>0</v>
      </c>
      <c r="T42" s="337">
        <f t="shared" si="46"/>
        <v>0</v>
      </c>
      <c r="U42" s="337">
        <f t="shared" si="46"/>
        <v>0</v>
      </c>
      <c r="V42" s="337">
        <f t="shared" si="46"/>
        <v>0</v>
      </c>
      <c r="W42" s="337">
        <f t="shared" si="46"/>
        <v>0</v>
      </c>
      <c r="X42" s="337">
        <f t="shared" si="53"/>
        <v>0</v>
      </c>
      <c r="Y42" s="337">
        <f t="shared" si="47"/>
        <v>0</v>
      </c>
      <c r="Z42" s="337">
        <f t="shared" si="47"/>
        <v>0</v>
      </c>
      <c r="AA42" s="337">
        <f t="shared" si="47"/>
        <v>0</v>
      </c>
      <c r="AB42" s="337">
        <f t="shared" si="47"/>
        <v>0</v>
      </c>
      <c r="AC42" s="337">
        <f t="shared" si="47"/>
        <v>0</v>
      </c>
      <c r="AD42" s="337">
        <f t="shared" si="47"/>
        <v>0</v>
      </c>
      <c r="AE42" s="337">
        <f t="shared" si="47"/>
        <v>0</v>
      </c>
      <c r="AF42" s="337">
        <f t="shared" si="47"/>
        <v>0</v>
      </c>
      <c r="AG42" s="337">
        <f t="shared" si="47"/>
        <v>0</v>
      </c>
      <c r="AH42" s="337">
        <f t="shared" si="47"/>
        <v>0</v>
      </c>
      <c r="AI42" s="337">
        <f t="shared" si="47"/>
        <v>0</v>
      </c>
      <c r="AJ42" s="337">
        <f t="shared" si="47"/>
        <v>0</v>
      </c>
      <c r="AK42" s="337">
        <f t="shared" si="47"/>
        <v>0</v>
      </c>
      <c r="AL42" s="337">
        <f t="shared" si="47"/>
        <v>0</v>
      </c>
      <c r="AM42" s="337"/>
      <c r="AN42" s="337"/>
      <c r="AP42" s="26"/>
      <c r="AQ42" s="26"/>
      <c r="AR42" s="26"/>
      <c r="AS42" s="26"/>
      <c r="AT42" s="26"/>
      <c r="AU42" s="26"/>
      <c r="AV42" s="26"/>
      <c r="AW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V42" s="26"/>
      <c r="BW42" s="26"/>
      <c r="BX42" s="26"/>
      <c r="BY42" s="26"/>
      <c r="BZ42" s="26"/>
      <c r="CA42" s="26"/>
      <c r="CB42" s="26"/>
      <c r="CD42" s="26"/>
      <c r="CF42" s="26"/>
      <c r="CH42" s="26"/>
      <c r="CU42" s="26"/>
      <c r="CV42" s="26"/>
      <c r="CW42" s="26"/>
      <c r="CX42" s="26"/>
      <c r="CY42" s="26"/>
      <c r="CZ42" s="26"/>
      <c r="DA42" s="26"/>
      <c r="EA42" s="38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S42" s="26"/>
      <c r="FX42" s="142">
        <f t="shared" si="48"/>
        <v>0</v>
      </c>
      <c r="FZ42" s="142">
        <f t="shared" si="49"/>
        <v>0</v>
      </c>
      <c r="GB42" s="142">
        <f t="shared" si="50"/>
        <v>0</v>
      </c>
    </row>
    <row r="43" spans="1:187">
      <c r="A43" s="87" t="s">
        <v>4584</v>
      </c>
      <c r="B43" s="197" t="s">
        <v>2275</v>
      </c>
      <c r="P43" s="142">
        <f t="shared" ref="P43:V43" si="54">AP43</f>
        <v>0</v>
      </c>
      <c r="Q43" s="142">
        <f t="shared" si="54"/>
        <v>0</v>
      </c>
      <c r="R43" s="155">
        <f t="shared" si="54"/>
        <v>0</v>
      </c>
      <c r="S43" s="337">
        <f t="shared" si="54"/>
        <v>0</v>
      </c>
      <c r="T43" s="337">
        <f t="shared" si="54"/>
        <v>0</v>
      </c>
      <c r="U43" s="337">
        <f t="shared" si="54"/>
        <v>0</v>
      </c>
      <c r="V43" s="337">
        <f t="shared" si="54"/>
        <v>0</v>
      </c>
      <c r="W43" s="337">
        <f>AW43</f>
        <v>0</v>
      </c>
      <c r="X43" s="337">
        <f t="shared" si="53"/>
        <v>0</v>
      </c>
      <c r="Y43" s="337">
        <f t="shared" si="47"/>
        <v>0</v>
      </c>
      <c r="Z43" s="337">
        <f t="shared" si="47"/>
        <v>0</v>
      </c>
      <c r="AA43" s="337">
        <f t="shared" si="47"/>
        <v>0</v>
      </c>
      <c r="AB43" s="337">
        <f t="shared" si="47"/>
        <v>0</v>
      </c>
      <c r="AC43" s="337">
        <f t="shared" si="47"/>
        <v>0</v>
      </c>
      <c r="AD43" s="337">
        <f t="shared" si="47"/>
        <v>0</v>
      </c>
      <c r="AE43" s="337">
        <f t="shared" si="47"/>
        <v>0</v>
      </c>
      <c r="AF43" s="337">
        <f t="shared" si="47"/>
        <v>0</v>
      </c>
      <c r="AG43" s="337">
        <f t="shared" si="47"/>
        <v>0</v>
      </c>
      <c r="AH43" s="337">
        <f t="shared" si="47"/>
        <v>0</v>
      </c>
      <c r="AI43" s="337">
        <f t="shared" si="47"/>
        <v>0</v>
      </c>
      <c r="AJ43" s="337">
        <f t="shared" si="47"/>
        <v>0</v>
      </c>
      <c r="AK43" s="337">
        <f t="shared" si="47"/>
        <v>0</v>
      </c>
      <c r="AL43" s="337">
        <f t="shared" si="47"/>
        <v>0</v>
      </c>
      <c r="AM43" s="337"/>
      <c r="AN43" s="337"/>
      <c r="AP43" s="26"/>
      <c r="AQ43" s="26"/>
      <c r="AR43" s="26"/>
      <c r="AS43" s="26"/>
      <c r="AT43" s="26"/>
      <c r="AU43" s="26"/>
      <c r="AV43" s="26"/>
      <c r="AW43" s="1029"/>
      <c r="AY43" s="958"/>
      <c r="AZ43" s="958"/>
      <c r="BA43" s="958"/>
      <c r="BB43" s="958"/>
      <c r="BC43" s="958"/>
      <c r="BD43" s="958"/>
      <c r="BE43" s="958"/>
      <c r="BF43" s="958"/>
      <c r="BG43" s="958"/>
      <c r="BH43" s="958"/>
      <c r="BI43" s="958"/>
      <c r="BJ43" s="958"/>
      <c r="BK43" s="958"/>
      <c r="BL43" s="958"/>
      <c r="BO43" s="1029">
        <v>15</v>
      </c>
      <c r="BS43" s="26">
        <v>-13.32</v>
      </c>
      <c r="BT43" s="36">
        <v>-23.858024691358011</v>
      </c>
      <c r="BU43" s="1019">
        <v>-27.6</v>
      </c>
      <c r="BV43" s="1029"/>
      <c r="BW43" s="958"/>
      <c r="BX43" s="958"/>
      <c r="BY43" s="958"/>
      <c r="BZ43" s="958"/>
      <c r="CA43" s="958"/>
      <c r="CB43" s="958"/>
      <c r="CD43" s="958"/>
      <c r="CE43" s="495"/>
      <c r="CF43" s="958"/>
      <c r="CG43" s="495"/>
      <c r="CH43" s="958"/>
      <c r="CI43" s="495"/>
      <c r="CJ43" s="495"/>
      <c r="CK43" s="495"/>
      <c r="CL43" s="1030">
        <v>15</v>
      </c>
      <c r="CN43" s="1030">
        <v>20</v>
      </c>
      <c r="CO43" s="26">
        <v>-13.32</v>
      </c>
      <c r="CP43" s="36">
        <v>-23.858024691358011</v>
      </c>
      <c r="CQ43" s="1019">
        <v>-27.6</v>
      </c>
      <c r="CU43" s="26"/>
      <c r="CV43" s="26">
        <v>-13.32</v>
      </c>
      <c r="CW43" s="26"/>
      <c r="CX43" s="26"/>
      <c r="CY43" s="26"/>
      <c r="CZ43" s="26"/>
      <c r="DA43" s="26"/>
      <c r="EA43" s="38"/>
      <c r="EB43" s="1029"/>
      <c r="EC43" s="958"/>
      <c r="ED43" s="958"/>
      <c r="EE43" s="958"/>
      <c r="EF43" s="958"/>
      <c r="EG43" s="958"/>
      <c r="EH43" s="958"/>
      <c r="EI43" s="958"/>
      <c r="EJ43" s="958"/>
      <c r="EK43" s="958"/>
      <c r="EL43" s="958"/>
      <c r="EM43" s="958"/>
      <c r="EN43" s="958"/>
      <c r="EO43" s="958"/>
      <c r="EP43" s="958"/>
      <c r="EQ43" s="958"/>
      <c r="ES43" s="26">
        <v>-16.5</v>
      </c>
      <c r="FH43" s="490">
        <v>-17</v>
      </c>
      <c r="FI43" s="490">
        <v>-15</v>
      </c>
      <c r="FJ43" s="490">
        <v>-17</v>
      </c>
      <c r="FK43" s="490">
        <v>-20</v>
      </c>
      <c r="FL43" s="490">
        <v>-25</v>
      </c>
      <c r="FX43" s="142">
        <f>GG43+0</f>
        <v>0</v>
      </c>
      <c r="FZ43" s="142">
        <f t="shared" si="49"/>
        <v>0</v>
      </c>
      <c r="GB43" s="142">
        <f t="shared" si="50"/>
        <v>0</v>
      </c>
    </row>
    <row r="44" spans="1:187" s="128" customFormat="1">
      <c r="A44" s="351" t="s">
        <v>3515</v>
      </c>
      <c r="B44" s="197" t="s">
        <v>3200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8"/>
      <c r="O44" s="18"/>
      <c r="P44" s="142">
        <f>AP44</f>
        <v>0</v>
      </c>
      <c r="Q44" s="142">
        <f>AQ44</f>
        <v>0</v>
      </c>
      <c r="R44" s="337">
        <v>0</v>
      </c>
      <c r="S44" s="337">
        <v>0</v>
      </c>
      <c r="T44" s="337">
        <f t="shared" ref="T44:AC51" si="55">AT44</f>
        <v>0</v>
      </c>
      <c r="U44" s="337">
        <f t="shared" si="55"/>
        <v>0</v>
      </c>
      <c r="V44" s="337">
        <f t="shared" si="55"/>
        <v>0</v>
      </c>
      <c r="W44" s="337">
        <f t="shared" si="55"/>
        <v>0</v>
      </c>
      <c r="X44" s="337">
        <f t="shared" si="55"/>
        <v>0</v>
      </c>
      <c r="Y44" s="337">
        <f t="shared" si="55"/>
        <v>0</v>
      </c>
      <c r="Z44" s="337">
        <f t="shared" si="55"/>
        <v>0</v>
      </c>
      <c r="AA44" s="337">
        <f t="shared" si="55"/>
        <v>0</v>
      </c>
      <c r="AB44" s="337">
        <f t="shared" si="55"/>
        <v>0</v>
      </c>
      <c r="AC44" s="337">
        <f t="shared" si="55"/>
        <v>0</v>
      </c>
      <c r="AD44" s="337">
        <f t="shared" ref="AD44:AD51" si="56">BD44</f>
        <v>0</v>
      </c>
      <c r="AE44" s="337">
        <f t="shared" ref="AE44:AE51" si="57">BE44</f>
        <v>0</v>
      </c>
      <c r="AF44" s="337">
        <f t="shared" ref="AF44:AF51" si="58">BF44</f>
        <v>0</v>
      </c>
      <c r="AG44" s="337">
        <f t="shared" ref="AG44:AG51" si="59">BG44</f>
        <v>0</v>
      </c>
      <c r="AH44" s="337">
        <f t="shared" ref="AH44:AH51" si="60">BH44</f>
        <v>0</v>
      </c>
      <c r="AI44" s="337">
        <f t="shared" ref="AI44:AI51" si="61">BI44</f>
        <v>0</v>
      </c>
      <c r="AJ44" s="337">
        <f t="shared" ref="AJ44:AJ51" si="62">BJ44</f>
        <v>0</v>
      </c>
      <c r="AK44" s="337">
        <f t="shared" ref="AK44:AK51" si="63">BK44</f>
        <v>0</v>
      </c>
      <c r="AL44" s="337">
        <f t="shared" ref="AL44:AL51" si="64">BL44</f>
        <v>0</v>
      </c>
      <c r="AM44" s="337"/>
      <c r="AN44" s="337">
        <f t="shared" ref="AN44:AN51" si="65">BD44</f>
        <v>0</v>
      </c>
      <c r="AO44" s="18"/>
      <c r="AP44" s="26"/>
      <c r="AQ44" s="26"/>
      <c r="AR44" s="26"/>
      <c r="AS44" s="26"/>
      <c r="AT44" s="26"/>
      <c r="AU44" s="26"/>
      <c r="AV44" s="26"/>
      <c r="AW44" s="26"/>
      <c r="AX44" s="1109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18"/>
      <c r="BN44" s="18"/>
      <c r="BO44" s="18"/>
      <c r="BP44" s="18"/>
      <c r="BQ44" s="18"/>
      <c r="BR44" s="18"/>
      <c r="BS44" s="18"/>
      <c r="BT44" s="38"/>
      <c r="BU44" s="18"/>
      <c r="BV44" s="26"/>
      <c r="BW44" s="26"/>
      <c r="BX44" s="26"/>
      <c r="BY44" s="26"/>
      <c r="BZ44" s="26"/>
      <c r="CA44" s="26"/>
      <c r="CB44" s="26"/>
      <c r="CC44" s="38"/>
      <c r="CD44" s="26">
        <v>-200</v>
      </c>
      <c r="CE44" s="18"/>
      <c r="CF44" s="26"/>
      <c r="CG44" s="18"/>
      <c r="CH44" s="26"/>
      <c r="CI44" s="18"/>
      <c r="CJ44" s="18"/>
      <c r="CK44" s="18"/>
      <c r="CL44" s="18"/>
      <c r="CM44" s="18"/>
      <c r="CN44" s="1031"/>
      <c r="CO44" s="18"/>
      <c r="CP44" s="38"/>
      <c r="CQ44" s="18"/>
      <c r="CR44" s="38"/>
      <c r="CS44" s="18"/>
      <c r="CT44" s="38"/>
      <c r="CU44" s="26"/>
      <c r="CV44" s="26"/>
      <c r="CW44" s="26"/>
      <c r="CX44" s="26"/>
      <c r="CY44" s="26"/>
      <c r="CZ44" s="26"/>
      <c r="DA44" s="26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38"/>
      <c r="EA44" s="277"/>
      <c r="EB44" s="26"/>
      <c r="EC44" s="26">
        <v>200</v>
      </c>
      <c r="ED44" s="26">
        <v>200</v>
      </c>
      <c r="EE44" s="26">
        <v>200</v>
      </c>
      <c r="EF44" s="26">
        <v>200</v>
      </c>
      <c r="EG44" s="26">
        <v>200</v>
      </c>
      <c r="EH44" s="26">
        <v>200</v>
      </c>
      <c r="EI44" s="26">
        <v>200</v>
      </c>
      <c r="EJ44" s="26">
        <v>200</v>
      </c>
      <c r="EK44" s="26">
        <v>200</v>
      </c>
      <c r="EL44" s="26">
        <v>200</v>
      </c>
      <c r="EM44" s="26">
        <v>200</v>
      </c>
      <c r="EN44" s="26">
        <v>200</v>
      </c>
      <c r="EO44" s="26">
        <v>200</v>
      </c>
      <c r="EP44" s="26">
        <v>200</v>
      </c>
      <c r="EQ44" s="26">
        <v>200</v>
      </c>
      <c r="ER44" s="38"/>
      <c r="ES44" s="26"/>
      <c r="ET44" s="18"/>
      <c r="EU44" s="26">
        <v>470.55</v>
      </c>
      <c r="EV44" s="38"/>
      <c r="EW44" s="38"/>
      <c r="EX44" s="446"/>
      <c r="EY44" s="446"/>
      <c r="EZ44" s="38"/>
      <c r="FA44" s="287"/>
      <c r="FB44" s="287"/>
      <c r="FC44" s="38"/>
      <c r="FD44" s="967">
        <f>40*3.35/5</f>
        <v>26.8</v>
      </c>
      <c r="FE44" s="967">
        <f>40*3.35/5</f>
        <v>26.8</v>
      </c>
      <c r="FF44" s="967">
        <f>40*3.35/5</f>
        <v>26.8</v>
      </c>
      <c r="FG44" s="967">
        <f>40*3.35/5</f>
        <v>26.8</v>
      </c>
      <c r="FH44" s="967">
        <f>40*3.35/5</f>
        <v>26.8</v>
      </c>
      <c r="FI44" s="38"/>
      <c r="FJ44" s="38"/>
      <c r="FK44" s="38"/>
      <c r="FL44" s="38"/>
      <c r="FM44" s="38"/>
      <c r="FN44" s="252"/>
      <c r="FO44" s="26">
        <f>8*3.35</f>
        <v>26.8</v>
      </c>
      <c r="FP44" s="38"/>
      <c r="FQ44" s="38"/>
      <c r="FR44" s="38"/>
      <c r="FS44" s="38"/>
      <c r="FT44" s="38"/>
      <c r="FU44" s="252"/>
      <c r="FV44" s="252"/>
      <c r="FW44" s="252"/>
      <c r="FX44" s="142">
        <f>GG44-53</f>
        <v>-53</v>
      </c>
      <c r="FY44" s="252"/>
      <c r="FZ44" s="369">
        <f>GJ44+174</f>
        <v>174</v>
      </c>
      <c r="GB44" s="369">
        <f>GM44+86</f>
        <v>86</v>
      </c>
      <c r="GE44" s="1109"/>
    </row>
    <row r="45" spans="1:187">
      <c r="A45" s="3" t="s">
        <v>2047</v>
      </c>
      <c r="B45" s="3" t="s">
        <v>2182</v>
      </c>
      <c r="M45" s="3">
        <v>0</v>
      </c>
      <c r="P45" s="142">
        <f>AP45+0</f>
        <v>0</v>
      </c>
      <c r="Q45" s="195">
        <f>AQ45+0</f>
        <v>0</v>
      </c>
      <c r="R45" s="337">
        <v>0</v>
      </c>
      <c r="S45" s="337">
        <v>0</v>
      </c>
      <c r="T45" s="337">
        <f t="shared" si="55"/>
        <v>0</v>
      </c>
      <c r="U45" s="337">
        <f t="shared" si="55"/>
        <v>0</v>
      </c>
      <c r="V45" s="337">
        <f t="shared" si="55"/>
        <v>0</v>
      </c>
      <c r="W45" s="337">
        <f t="shared" si="55"/>
        <v>0</v>
      </c>
      <c r="X45" s="337">
        <f t="shared" si="55"/>
        <v>0</v>
      </c>
      <c r="Y45" s="337">
        <f t="shared" si="55"/>
        <v>0</v>
      </c>
      <c r="Z45" s="337">
        <f t="shared" si="55"/>
        <v>0</v>
      </c>
      <c r="AA45" s="337">
        <f t="shared" si="55"/>
        <v>0</v>
      </c>
      <c r="AB45" s="337">
        <f t="shared" si="55"/>
        <v>0</v>
      </c>
      <c r="AC45" s="337">
        <f t="shared" si="55"/>
        <v>0</v>
      </c>
      <c r="AD45" s="337">
        <f t="shared" si="56"/>
        <v>0</v>
      </c>
      <c r="AE45" s="337">
        <f t="shared" si="57"/>
        <v>0</v>
      </c>
      <c r="AF45" s="337">
        <f t="shared" si="58"/>
        <v>0</v>
      </c>
      <c r="AG45" s="337">
        <f t="shared" si="59"/>
        <v>0</v>
      </c>
      <c r="AH45" s="337">
        <f t="shared" si="60"/>
        <v>0</v>
      </c>
      <c r="AI45" s="337">
        <f t="shared" si="61"/>
        <v>0</v>
      </c>
      <c r="AJ45" s="337">
        <f t="shared" si="62"/>
        <v>0</v>
      </c>
      <c r="AK45" s="337">
        <f t="shared" si="63"/>
        <v>0</v>
      </c>
      <c r="AL45" s="337">
        <f t="shared" si="64"/>
        <v>0</v>
      </c>
      <c r="AM45" s="337"/>
      <c r="AN45" s="337">
        <f t="shared" si="65"/>
        <v>0</v>
      </c>
      <c r="AP45" s="26"/>
      <c r="AQ45" s="26"/>
      <c r="AR45" s="26"/>
      <c r="AS45" s="26"/>
      <c r="AT45" s="26"/>
      <c r="AU45" s="26"/>
      <c r="AV45" s="26"/>
      <c r="AW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V45" s="26"/>
      <c r="BW45" s="26"/>
      <c r="BX45" s="26"/>
      <c r="BY45" s="26"/>
      <c r="BZ45" s="26"/>
      <c r="CA45" s="26"/>
      <c r="CB45" s="26"/>
      <c r="CD45" s="26">
        <v>-20</v>
      </c>
      <c r="CF45" s="26"/>
      <c r="CH45" s="26"/>
      <c r="CU45" s="26"/>
      <c r="CV45" s="26"/>
      <c r="CW45" s="26"/>
      <c r="CX45" s="26"/>
      <c r="CY45" s="26"/>
      <c r="CZ45" s="26"/>
      <c r="DA45" s="26"/>
      <c r="EA45" s="277"/>
      <c r="EB45" s="26"/>
      <c r="EC45" s="26">
        <v>4</v>
      </c>
      <c r="ED45" s="26">
        <v>4</v>
      </c>
      <c r="EE45" s="26">
        <v>4</v>
      </c>
      <c r="EF45" s="26">
        <v>4</v>
      </c>
      <c r="EG45" s="26">
        <v>4</v>
      </c>
      <c r="EH45" s="26">
        <v>4</v>
      </c>
      <c r="EI45" s="26">
        <v>4</v>
      </c>
      <c r="EJ45" s="26">
        <v>4</v>
      </c>
      <c r="EK45" s="26">
        <v>4</v>
      </c>
      <c r="EL45" s="26">
        <v>4</v>
      </c>
      <c r="EM45" s="26">
        <v>4</v>
      </c>
      <c r="EN45" s="26">
        <v>4</v>
      </c>
      <c r="EO45" s="26">
        <v>4</v>
      </c>
      <c r="EP45" s="26">
        <v>4</v>
      </c>
      <c r="EQ45" s="26">
        <v>4</v>
      </c>
      <c r="ES45" s="26"/>
      <c r="EU45" s="26">
        <v>5</v>
      </c>
      <c r="FG45" s="26"/>
      <c r="FX45" s="142">
        <f>GG45+0</f>
        <v>0</v>
      </c>
      <c r="FZ45" s="142">
        <f>GJ45+0</f>
        <v>0</v>
      </c>
      <c r="GB45" s="142">
        <f>GM45+0</f>
        <v>0</v>
      </c>
    </row>
    <row r="46" spans="1:187">
      <c r="A46" s="352" t="s">
        <v>2912</v>
      </c>
      <c r="B46" s="3" t="s">
        <v>2046</v>
      </c>
      <c r="P46" s="142">
        <f t="shared" ref="P46:S61" si="66">AP46+0</f>
        <v>0</v>
      </c>
      <c r="Q46" s="142">
        <f t="shared" si="66"/>
        <v>0</v>
      </c>
      <c r="R46" s="337">
        <v>0</v>
      </c>
      <c r="S46" s="337">
        <v>0</v>
      </c>
      <c r="T46" s="337">
        <f t="shared" si="55"/>
        <v>0</v>
      </c>
      <c r="U46" s="337">
        <f t="shared" si="55"/>
        <v>0</v>
      </c>
      <c r="V46" s="337">
        <f t="shared" si="55"/>
        <v>0</v>
      </c>
      <c r="W46" s="337">
        <f t="shared" si="55"/>
        <v>0</v>
      </c>
      <c r="X46" s="337">
        <f t="shared" si="55"/>
        <v>0</v>
      </c>
      <c r="Y46" s="337">
        <f t="shared" si="55"/>
        <v>0</v>
      </c>
      <c r="Z46" s="337">
        <f t="shared" si="55"/>
        <v>0</v>
      </c>
      <c r="AA46" s="337">
        <f t="shared" si="55"/>
        <v>0</v>
      </c>
      <c r="AB46" s="337">
        <f t="shared" si="55"/>
        <v>0</v>
      </c>
      <c r="AC46" s="337">
        <f t="shared" si="55"/>
        <v>0</v>
      </c>
      <c r="AD46" s="337">
        <f t="shared" si="56"/>
        <v>0</v>
      </c>
      <c r="AE46" s="337">
        <f t="shared" si="57"/>
        <v>0</v>
      </c>
      <c r="AF46" s="337">
        <f t="shared" si="58"/>
        <v>0</v>
      </c>
      <c r="AG46" s="337">
        <f t="shared" si="59"/>
        <v>0</v>
      </c>
      <c r="AH46" s="337">
        <f t="shared" si="60"/>
        <v>0</v>
      </c>
      <c r="AI46" s="337">
        <f t="shared" si="61"/>
        <v>0</v>
      </c>
      <c r="AJ46" s="337">
        <f t="shared" si="62"/>
        <v>0</v>
      </c>
      <c r="AK46" s="337">
        <f t="shared" si="63"/>
        <v>0</v>
      </c>
      <c r="AL46" s="337">
        <f t="shared" si="64"/>
        <v>0</v>
      </c>
      <c r="AM46" s="337"/>
      <c r="AN46" s="337">
        <f t="shared" si="65"/>
        <v>0</v>
      </c>
      <c r="AP46" s="26"/>
      <c r="AQ46" s="26"/>
      <c r="AR46" s="26"/>
      <c r="AS46" s="26"/>
      <c r="AT46" s="26"/>
      <c r="AU46" s="26"/>
      <c r="AV46" s="26"/>
      <c r="AW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N46" s="251">
        <v>-15</v>
      </c>
      <c r="BV46" s="251"/>
      <c r="BW46" s="251"/>
      <c r="BX46" s="251"/>
      <c r="BY46" s="251"/>
      <c r="BZ46" s="251"/>
      <c r="CA46" s="251"/>
      <c r="CB46" s="251"/>
      <c r="CD46" s="251"/>
      <c r="CF46" s="251"/>
      <c r="CH46" s="251"/>
      <c r="CU46" s="26"/>
      <c r="CV46" s="26"/>
      <c r="CW46" s="26"/>
      <c r="CX46" s="26"/>
      <c r="CY46" s="26"/>
      <c r="CZ46" s="26"/>
      <c r="DA46" s="26"/>
      <c r="EA46" s="277"/>
      <c r="EB46" s="251"/>
      <c r="EC46" s="251"/>
      <c r="ED46" s="251"/>
      <c r="EE46" s="251"/>
      <c r="EF46" s="251">
        <v>-160</v>
      </c>
      <c r="EG46" s="251"/>
      <c r="EH46" s="251"/>
      <c r="EI46" s="251"/>
      <c r="EJ46" s="251"/>
      <c r="EK46" s="251"/>
      <c r="EL46" s="251">
        <v>-225</v>
      </c>
      <c r="EM46" s="251"/>
      <c r="EN46" s="251"/>
      <c r="EO46" s="251"/>
      <c r="EP46" s="251"/>
      <c r="EQ46" s="251"/>
      <c r="ES46" s="26"/>
      <c r="EU46" s="26">
        <v>100</v>
      </c>
      <c r="FD46" s="26">
        <v>400</v>
      </c>
      <c r="FG46" s="26">
        <v>2.99</v>
      </c>
      <c r="FX46" s="142">
        <f>GG46-17</f>
        <v>-17</v>
      </c>
      <c r="FZ46" s="142">
        <f>GJ46-17</f>
        <v>-17</v>
      </c>
      <c r="GB46" s="142">
        <f>GM46-17</f>
        <v>-17</v>
      </c>
      <c r="GE46" s="1108">
        <v>150</v>
      </c>
    </row>
    <row r="47" spans="1:187">
      <c r="A47" s="352" t="s">
        <v>3272</v>
      </c>
      <c r="B47" s="3" t="s">
        <v>2046</v>
      </c>
      <c r="P47" s="142">
        <f t="shared" si="66"/>
        <v>0</v>
      </c>
      <c r="Q47" s="142">
        <f t="shared" si="66"/>
        <v>0</v>
      </c>
      <c r="R47" s="337">
        <v>0</v>
      </c>
      <c r="S47" s="337">
        <v>0</v>
      </c>
      <c r="T47" s="337">
        <f t="shared" si="55"/>
        <v>0</v>
      </c>
      <c r="U47" s="337">
        <f t="shared" si="55"/>
        <v>0</v>
      </c>
      <c r="V47" s="337">
        <f t="shared" si="55"/>
        <v>0</v>
      </c>
      <c r="W47" s="337">
        <f t="shared" si="55"/>
        <v>0</v>
      </c>
      <c r="X47" s="337">
        <f t="shared" si="55"/>
        <v>0</v>
      </c>
      <c r="Y47" s="337">
        <f t="shared" si="55"/>
        <v>0</v>
      </c>
      <c r="Z47" s="337">
        <f t="shared" si="55"/>
        <v>0</v>
      </c>
      <c r="AA47" s="337">
        <f t="shared" si="55"/>
        <v>0</v>
      </c>
      <c r="AB47" s="337">
        <f t="shared" si="55"/>
        <v>0</v>
      </c>
      <c r="AC47" s="337">
        <f t="shared" si="55"/>
        <v>0</v>
      </c>
      <c r="AD47" s="337">
        <f t="shared" si="56"/>
        <v>0</v>
      </c>
      <c r="AE47" s="337">
        <f t="shared" si="57"/>
        <v>0</v>
      </c>
      <c r="AF47" s="337">
        <f t="shared" si="58"/>
        <v>0</v>
      </c>
      <c r="AG47" s="337">
        <f t="shared" si="59"/>
        <v>0</v>
      </c>
      <c r="AH47" s="337">
        <f t="shared" si="60"/>
        <v>0</v>
      </c>
      <c r="AI47" s="337">
        <f t="shared" si="61"/>
        <v>0</v>
      </c>
      <c r="AJ47" s="337">
        <f t="shared" si="62"/>
        <v>0</v>
      </c>
      <c r="AK47" s="337">
        <f t="shared" si="63"/>
        <v>0</v>
      </c>
      <c r="AL47" s="337">
        <f t="shared" si="64"/>
        <v>0</v>
      </c>
      <c r="AM47" s="337"/>
      <c r="AN47" s="337">
        <f t="shared" si="65"/>
        <v>0</v>
      </c>
      <c r="AP47" s="26"/>
      <c r="AQ47" s="26"/>
      <c r="AR47" s="26"/>
      <c r="AS47" s="26"/>
      <c r="AT47" s="26"/>
      <c r="AU47" s="26"/>
      <c r="AV47" s="26"/>
      <c r="AW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N47" s="76"/>
      <c r="BP47" s="76"/>
      <c r="BT47" s="76"/>
      <c r="BV47" s="26"/>
      <c r="BW47" s="26"/>
      <c r="BX47" s="26"/>
      <c r="BY47" s="26"/>
      <c r="BZ47" s="26"/>
      <c r="CA47" s="26"/>
      <c r="CB47" s="26"/>
      <c r="CD47" s="26"/>
      <c r="CF47" s="26"/>
      <c r="CH47" s="26"/>
      <c r="CL47" s="76"/>
      <c r="CP47" s="76"/>
      <c r="CU47" s="26"/>
      <c r="CV47" s="26"/>
      <c r="CW47" s="26"/>
      <c r="CX47" s="26"/>
      <c r="CY47" s="26"/>
      <c r="CZ47" s="26"/>
      <c r="DA47" s="26"/>
      <c r="DZ47" s="7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76"/>
      <c r="ES47" s="26"/>
      <c r="ET47" s="76"/>
      <c r="EU47" s="76"/>
      <c r="EV47" s="76"/>
      <c r="EW47" s="76"/>
      <c r="FD47" s="26"/>
      <c r="FG47" s="26">
        <v>16.649999999999999</v>
      </c>
      <c r="FH47" s="490">
        <v>100</v>
      </c>
      <c r="FX47" s="142">
        <f>GG47-224</f>
        <v>-224</v>
      </c>
      <c r="FZ47" s="369">
        <f>GJ47-656</f>
        <v>-656</v>
      </c>
      <c r="GB47" s="369">
        <f>GM47-111</f>
        <v>-111</v>
      </c>
    </row>
    <row r="48" spans="1:187">
      <c r="A48" s="352" t="s">
        <v>2458</v>
      </c>
      <c r="B48" s="3" t="s">
        <v>2046</v>
      </c>
      <c r="P48" s="155">
        <f t="shared" si="66"/>
        <v>0</v>
      </c>
      <c r="Q48" s="155">
        <f t="shared" si="66"/>
        <v>0</v>
      </c>
      <c r="R48" s="337">
        <v>0</v>
      </c>
      <c r="S48" s="337">
        <v>0</v>
      </c>
      <c r="T48" s="337">
        <f t="shared" si="55"/>
        <v>0</v>
      </c>
      <c r="U48" s="337">
        <f t="shared" si="55"/>
        <v>0</v>
      </c>
      <c r="V48" s="337">
        <f t="shared" si="55"/>
        <v>0</v>
      </c>
      <c r="W48" s="337">
        <f t="shared" si="55"/>
        <v>0</v>
      </c>
      <c r="X48" s="337">
        <f t="shared" si="55"/>
        <v>0</v>
      </c>
      <c r="Y48" s="337">
        <f t="shared" si="55"/>
        <v>0</v>
      </c>
      <c r="Z48" s="337">
        <f t="shared" si="55"/>
        <v>0</v>
      </c>
      <c r="AA48" s="337">
        <f t="shared" si="55"/>
        <v>0</v>
      </c>
      <c r="AB48" s="337">
        <f t="shared" si="55"/>
        <v>0</v>
      </c>
      <c r="AC48" s="337">
        <f t="shared" si="55"/>
        <v>0</v>
      </c>
      <c r="AD48" s="337">
        <f t="shared" si="56"/>
        <v>0</v>
      </c>
      <c r="AE48" s="337">
        <f t="shared" si="57"/>
        <v>0</v>
      </c>
      <c r="AF48" s="337">
        <f t="shared" si="58"/>
        <v>0</v>
      </c>
      <c r="AG48" s="337">
        <f t="shared" si="59"/>
        <v>0</v>
      </c>
      <c r="AH48" s="337">
        <f t="shared" si="60"/>
        <v>0</v>
      </c>
      <c r="AI48" s="337">
        <f t="shared" si="61"/>
        <v>0</v>
      </c>
      <c r="AJ48" s="337">
        <f t="shared" si="62"/>
        <v>0</v>
      </c>
      <c r="AK48" s="337">
        <f t="shared" si="63"/>
        <v>0</v>
      </c>
      <c r="AL48" s="337">
        <f t="shared" si="64"/>
        <v>0</v>
      </c>
      <c r="AM48" s="337"/>
      <c r="AN48" s="337">
        <f t="shared" si="65"/>
        <v>0</v>
      </c>
      <c r="AP48" s="26"/>
      <c r="AQ48" s="26"/>
      <c r="AR48" s="26"/>
      <c r="AS48" s="26"/>
      <c r="AT48" s="26"/>
      <c r="AU48" s="26"/>
      <c r="AV48" s="26"/>
      <c r="AW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V48" s="26"/>
      <c r="BW48" s="26"/>
      <c r="BX48" s="26"/>
      <c r="BY48" s="26"/>
      <c r="BZ48" s="26"/>
      <c r="CA48" s="26"/>
      <c r="CB48" s="26"/>
      <c r="CC48" s="967">
        <f>4*10</f>
        <v>40</v>
      </c>
      <c r="CD48" s="26"/>
      <c r="CF48" s="26"/>
      <c r="CH48" s="26"/>
      <c r="CL48" s="967">
        <f>8*10</f>
        <v>80</v>
      </c>
      <c r="CU48" s="26"/>
      <c r="CV48" s="26"/>
      <c r="CW48" s="26"/>
      <c r="CX48" s="26"/>
      <c r="CY48" s="26"/>
      <c r="CZ48" s="26"/>
      <c r="DA48" s="26"/>
      <c r="EA48" s="277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S48" s="26"/>
      <c r="FD48" s="26"/>
      <c r="FG48" s="26">
        <f>4*5.97</f>
        <v>23.88</v>
      </c>
      <c r="FX48" s="155">
        <f>GG48+1</f>
        <v>1</v>
      </c>
      <c r="FZ48" s="155">
        <f>GJ48+1</f>
        <v>1</v>
      </c>
      <c r="GB48" s="155">
        <f>GM48+1</f>
        <v>1</v>
      </c>
      <c r="GE48" s="1108">
        <v>100</v>
      </c>
    </row>
    <row r="49" spans="1:187">
      <c r="A49" s="352" t="s">
        <v>411</v>
      </c>
      <c r="B49" s="3" t="s">
        <v>2046</v>
      </c>
      <c r="P49" s="155">
        <f t="shared" si="66"/>
        <v>0</v>
      </c>
      <c r="Q49" s="155">
        <f t="shared" si="66"/>
        <v>0</v>
      </c>
      <c r="R49" s="337">
        <v>0</v>
      </c>
      <c r="S49" s="337">
        <v>0</v>
      </c>
      <c r="T49" s="337">
        <f t="shared" si="55"/>
        <v>0</v>
      </c>
      <c r="U49" s="337">
        <f t="shared" si="55"/>
        <v>0</v>
      </c>
      <c r="V49" s="337">
        <f t="shared" si="55"/>
        <v>0</v>
      </c>
      <c r="W49" s="337">
        <f t="shared" si="55"/>
        <v>0</v>
      </c>
      <c r="X49" s="337">
        <f t="shared" si="55"/>
        <v>0</v>
      </c>
      <c r="Y49" s="337">
        <f t="shared" si="55"/>
        <v>0</v>
      </c>
      <c r="Z49" s="337">
        <f t="shared" si="55"/>
        <v>0</v>
      </c>
      <c r="AA49" s="337">
        <f t="shared" si="55"/>
        <v>0</v>
      </c>
      <c r="AB49" s="337">
        <f t="shared" si="55"/>
        <v>0</v>
      </c>
      <c r="AC49" s="337">
        <f t="shared" si="55"/>
        <v>0</v>
      </c>
      <c r="AD49" s="337">
        <f t="shared" si="56"/>
        <v>0</v>
      </c>
      <c r="AE49" s="337">
        <f t="shared" si="57"/>
        <v>0</v>
      </c>
      <c r="AF49" s="337">
        <f t="shared" si="58"/>
        <v>0</v>
      </c>
      <c r="AG49" s="337">
        <f t="shared" si="59"/>
        <v>0</v>
      </c>
      <c r="AH49" s="337">
        <f t="shared" si="60"/>
        <v>0</v>
      </c>
      <c r="AI49" s="337">
        <f t="shared" si="61"/>
        <v>0</v>
      </c>
      <c r="AJ49" s="337">
        <f t="shared" si="62"/>
        <v>0</v>
      </c>
      <c r="AK49" s="337">
        <f t="shared" si="63"/>
        <v>0</v>
      </c>
      <c r="AL49" s="337">
        <f t="shared" si="64"/>
        <v>0</v>
      </c>
      <c r="AM49" s="337"/>
      <c r="AN49" s="337">
        <f t="shared" si="65"/>
        <v>0</v>
      </c>
      <c r="AP49" s="26"/>
      <c r="AQ49" s="26"/>
      <c r="AR49" s="26"/>
      <c r="AS49" s="26"/>
      <c r="AT49" s="26"/>
      <c r="AU49" s="26"/>
      <c r="AV49" s="26"/>
      <c r="AW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V49" s="26"/>
      <c r="BW49" s="26"/>
      <c r="BX49" s="26"/>
      <c r="BY49" s="26"/>
      <c r="BZ49" s="26"/>
      <c r="CA49" s="26"/>
      <c r="CB49" s="26"/>
      <c r="CD49" s="26"/>
      <c r="CF49" s="26"/>
      <c r="CH49" s="26"/>
      <c r="CU49" s="26"/>
      <c r="CV49" s="26"/>
      <c r="CW49" s="26"/>
      <c r="CX49" s="26"/>
      <c r="CY49" s="26"/>
      <c r="CZ49" s="26"/>
      <c r="DA49" s="26"/>
      <c r="EA49" s="277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S49" s="26"/>
      <c r="FD49" s="26"/>
      <c r="FG49" s="26">
        <f>-5*13.61</f>
        <v>-68.05</v>
      </c>
      <c r="FX49" s="283">
        <f>GG49-81.2</f>
        <v>-81.2</v>
      </c>
      <c r="FZ49" s="283">
        <f>GJ49+109</f>
        <v>109</v>
      </c>
      <c r="GB49" s="283">
        <f>GM49-216</f>
        <v>-216</v>
      </c>
    </row>
    <row r="50" spans="1:187">
      <c r="A50" s="3" t="s">
        <v>1551</v>
      </c>
      <c r="B50" s="3" t="s">
        <v>2182</v>
      </c>
      <c r="P50" s="155">
        <f t="shared" si="66"/>
        <v>0</v>
      </c>
      <c r="Q50" s="195">
        <f t="shared" si="66"/>
        <v>0</v>
      </c>
      <c r="R50" s="337">
        <v>0</v>
      </c>
      <c r="S50" s="337">
        <v>0</v>
      </c>
      <c r="T50" s="337">
        <f t="shared" si="55"/>
        <v>0</v>
      </c>
      <c r="U50" s="337">
        <f t="shared" si="55"/>
        <v>0</v>
      </c>
      <c r="V50" s="337">
        <f t="shared" si="55"/>
        <v>0</v>
      </c>
      <c r="W50" s="337">
        <f t="shared" si="55"/>
        <v>0</v>
      </c>
      <c r="X50" s="337">
        <f t="shared" si="55"/>
        <v>0</v>
      </c>
      <c r="Y50" s="337">
        <f t="shared" si="55"/>
        <v>0</v>
      </c>
      <c r="Z50" s="337">
        <f t="shared" si="55"/>
        <v>0</v>
      </c>
      <c r="AA50" s="337">
        <f t="shared" si="55"/>
        <v>0</v>
      </c>
      <c r="AB50" s="337">
        <f t="shared" si="55"/>
        <v>0</v>
      </c>
      <c r="AC50" s="337">
        <f t="shared" si="55"/>
        <v>0</v>
      </c>
      <c r="AD50" s="337">
        <f t="shared" si="56"/>
        <v>0</v>
      </c>
      <c r="AE50" s="337">
        <f t="shared" si="57"/>
        <v>0</v>
      </c>
      <c r="AF50" s="337">
        <f t="shared" si="58"/>
        <v>0</v>
      </c>
      <c r="AG50" s="337">
        <f t="shared" si="59"/>
        <v>0</v>
      </c>
      <c r="AH50" s="337">
        <f t="shared" si="60"/>
        <v>0</v>
      </c>
      <c r="AI50" s="337">
        <f t="shared" si="61"/>
        <v>0</v>
      </c>
      <c r="AJ50" s="337">
        <f t="shared" si="62"/>
        <v>0</v>
      </c>
      <c r="AK50" s="337">
        <f t="shared" si="63"/>
        <v>0</v>
      </c>
      <c r="AL50" s="337">
        <f t="shared" si="64"/>
        <v>0</v>
      </c>
      <c r="AM50" s="337"/>
      <c r="AN50" s="337">
        <f t="shared" si="65"/>
        <v>0</v>
      </c>
      <c r="AP50" s="26"/>
      <c r="AQ50" s="26"/>
      <c r="AR50" s="26"/>
      <c r="AS50" s="26"/>
      <c r="AT50" s="26"/>
      <c r="AU50" s="26"/>
      <c r="AV50" s="26"/>
      <c r="AW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V50" s="26"/>
      <c r="BW50" s="26"/>
      <c r="BX50" s="26"/>
      <c r="BY50" s="26"/>
      <c r="BZ50" s="26"/>
      <c r="CA50" s="26"/>
      <c r="CB50" s="26"/>
      <c r="CD50" s="26"/>
      <c r="CF50" s="26"/>
      <c r="CH50" s="26">
        <v>10</v>
      </c>
      <c r="CU50" s="26"/>
      <c r="CV50" s="26"/>
      <c r="CW50" s="26"/>
      <c r="CX50" s="26"/>
      <c r="CY50" s="26"/>
      <c r="CZ50" s="26"/>
      <c r="DA50" s="26"/>
      <c r="EA50" s="38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S50" s="26"/>
      <c r="FD50" s="26"/>
      <c r="FG50" s="26"/>
      <c r="FX50" s="195">
        <v>0</v>
      </c>
      <c r="FZ50" s="195">
        <v>0</v>
      </c>
      <c r="GB50" s="195">
        <v>0</v>
      </c>
    </row>
    <row r="51" spans="1:187">
      <c r="A51" s="255" t="s">
        <v>4586</v>
      </c>
      <c r="B51" s="3" t="s">
        <v>2046</v>
      </c>
      <c r="P51" s="155">
        <f t="shared" si="66"/>
        <v>0</v>
      </c>
      <c r="Q51" s="155">
        <f t="shared" si="66"/>
        <v>0</v>
      </c>
      <c r="R51" s="337">
        <v>0</v>
      </c>
      <c r="S51" s="337">
        <v>0</v>
      </c>
      <c r="T51" s="337">
        <f t="shared" si="55"/>
        <v>0</v>
      </c>
      <c r="U51" s="337">
        <f t="shared" si="55"/>
        <v>0</v>
      </c>
      <c r="V51" s="337">
        <f t="shared" si="55"/>
        <v>0</v>
      </c>
      <c r="W51" s="337">
        <f t="shared" si="55"/>
        <v>0</v>
      </c>
      <c r="X51" s="337">
        <f t="shared" si="55"/>
        <v>0</v>
      </c>
      <c r="Y51" s="337">
        <f t="shared" si="55"/>
        <v>0</v>
      </c>
      <c r="Z51" s="337">
        <f t="shared" si="55"/>
        <v>0</v>
      </c>
      <c r="AA51" s="337">
        <f t="shared" si="55"/>
        <v>0</v>
      </c>
      <c r="AB51" s="337">
        <f t="shared" si="55"/>
        <v>0</v>
      </c>
      <c r="AC51" s="337">
        <f t="shared" si="55"/>
        <v>0</v>
      </c>
      <c r="AD51" s="337">
        <f t="shared" si="56"/>
        <v>0</v>
      </c>
      <c r="AE51" s="337">
        <f t="shared" si="57"/>
        <v>0</v>
      </c>
      <c r="AF51" s="337">
        <f t="shared" si="58"/>
        <v>0</v>
      </c>
      <c r="AG51" s="337">
        <f t="shared" si="59"/>
        <v>0</v>
      </c>
      <c r="AH51" s="337">
        <f t="shared" si="60"/>
        <v>0</v>
      </c>
      <c r="AI51" s="337">
        <f t="shared" si="61"/>
        <v>0</v>
      </c>
      <c r="AJ51" s="337">
        <f t="shared" si="62"/>
        <v>0</v>
      </c>
      <c r="AK51" s="337">
        <f t="shared" si="63"/>
        <v>0</v>
      </c>
      <c r="AL51" s="337">
        <f t="shared" si="64"/>
        <v>0</v>
      </c>
      <c r="AM51" s="337"/>
      <c r="AN51" s="337">
        <f t="shared" si="65"/>
        <v>0</v>
      </c>
      <c r="AP51" s="26"/>
      <c r="AQ51" s="26"/>
      <c r="AR51" s="26"/>
      <c r="AS51" s="26"/>
      <c r="AT51" s="26"/>
      <c r="AU51" s="26"/>
      <c r="AV51" s="26"/>
      <c r="AW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S51" s="26">
        <f>0.4*(0.15*165)/2*2</f>
        <v>9.9</v>
      </c>
      <c r="BT51" s="26">
        <f>0.4*(0.15*165)/2*(12-2)</f>
        <v>49.5</v>
      </c>
      <c r="BV51" s="26"/>
      <c r="BW51" s="26"/>
      <c r="BX51" s="26"/>
      <c r="BY51" s="26"/>
      <c r="BZ51" s="26"/>
      <c r="CA51" s="26"/>
      <c r="CB51" s="26"/>
      <c r="CD51" s="26"/>
      <c r="CF51" s="26"/>
      <c r="CH51" s="26"/>
      <c r="CO51" s="26">
        <f>0.4*(0.15*165)/2*2</f>
        <v>9.9</v>
      </c>
      <c r="CP51" s="26">
        <f>0.4*(0.15*165)/2*(12-2)</f>
        <v>49.5</v>
      </c>
      <c r="CU51" s="26"/>
      <c r="CV51" s="26"/>
      <c r="CW51" s="26"/>
      <c r="CX51" s="26"/>
      <c r="CY51" s="26"/>
      <c r="CZ51" s="26"/>
      <c r="DA51" s="26"/>
      <c r="EA51" s="277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S51" s="26">
        <f>1/13*1231.7</f>
        <v>94.746153846153859</v>
      </c>
      <c r="EX51" s="446">
        <v>32.092382499999985</v>
      </c>
      <c r="EY51" s="446">
        <v>228.49776339999994</v>
      </c>
      <c r="FA51" s="287">
        <v>40.316055515625067</v>
      </c>
      <c r="FB51" s="287">
        <v>291.93638050687491</v>
      </c>
      <c r="FD51" s="26"/>
      <c r="FE51" s="18">
        <v>-48</v>
      </c>
      <c r="FF51" s="18">
        <v>-52</v>
      </c>
      <c r="FG51" s="26">
        <f>11*16.94</f>
        <v>186.34</v>
      </c>
      <c r="FU51" s="18">
        <v>-48</v>
      </c>
      <c r="FV51" s="18">
        <v>-73</v>
      </c>
      <c r="FX51" s="155">
        <f>GG51-40</f>
        <v>-40</v>
      </c>
      <c r="FZ51" s="283">
        <f>GJ51+171</f>
        <v>171</v>
      </c>
      <c r="GB51" s="283">
        <f>GM51+150</f>
        <v>150</v>
      </c>
    </row>
    <row r="52" spans="1:187">
      <c r="A52" t="s">
        <v>3273</v>
      </c>
      <c r="B52" s="3" t="s">
        <v>2182</v>
      </c>
      <c r="P52" s="155">
        <f t="shared" si="66"/>
        <v>0</v>
      </c>
      <c r="Q52" s="195">
        <f t="shared" si="66"/>
        <v>0</v>
      </c>
      <c r="R52" s="337">
        <v>0</v>
      </c>
      <c r="S52" s="337">
        <v>0</v>
      </c>
      <c r="T52" s="337">
        <f t="shared" ref="T52:AC57" si="67">AT52+0</f>
        <v>0</v>
      </c>
      <c r="U52" s="337">
        <f t="shared" si="67"/>
        <v>0</v>
      </c>
      <c r="V52" s="337">
        <f t="shared" si="67"/>
        <v>0</v>
      </c>
      <c r="W52" s="337">
        <f t="shared" si="67"/>
        <v>0</v>
      </c>
      <c r="X52" s="337">
        <f t="shared" si="67"/>
        <v>0</v>
      </c>
      <c r="Y52" s="337">
        <f t="shared" si="67"/>
        <v>0</v>
      </c>
      <c r="Z52" s="337">
        <f t="shared" si="67"/>
        <v>0</v>
      </c>
      <c r="AA52" s="337">
        <f t="shared" si="67"/>
        <v>0</v>
      </c>
      <c r="AB52" s="337">
        <f t="shared" si="67"/>
        <v>0</v>
      </c>
      <c r="AC52" s="337">
        <f t="shared" si="67"/>
        <v>0</v>
      </c>
      <c r="AD52" s="337">
        <f t="shared" ref="AD52:AL57" si="68">BD52+0</f>
        <v>0</v>
      </c>
      <c r="AE52" s="337">
        <f t="shared" si="68"/>
        <v>0</v>
      </c>
      <c r="AF52" s="337">
        <f t="shared" si="68"/>
        <v>0</v>
      </c>
      <c r="AG52" s="337">
        <f t="shared" si="68"/>
        <v>0</v>
      </c>
      <c r="AH52" s="337">
        <f t="shared" si="68"/>
        <v>0</v>
      </c>
      <c r="AI52" s="337">
        <f t="shared" si="68"/>
        <v>0</v>
      </c>
      <c r="AJ52" s="337">
        <f t="shared" si="68"/>
        <v>0</v>
      </c>
      <c r="AK52" s="337">
        <f t="shared" si="68"/>
        <v>0</v>
      </c>
      <c r="AL52" s="337">
        <f t="shared" si="68"/>
        <v>0</v>
      </c>
      <c r="AM52" s="337"/>
      <c r="AN52" s="337">
        <f>BD52+0</f>
        <v>0</v>
      </c>
      <c r="AP52" s="26"/>
      <c r="AQ52" s="26"/>
      <c r="AR52" s="26"/>
      <c r="AS52" s="26"/>
      <c r="AT52" s="26"/>
      <c r="AU52" s="26"/>
      <c r="AV52" s="26"/>
      <c r="AW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V52" s="26"/>
      <c r="BW52" s="26"/>
      <c r="BX52" s="26"/>
      <c r="BY52" s="26"/>
      <c r="BZ52" s="26"/>
      <c r="CA52" s="26"/>
      <c r="CB52" s="26"/>
      <c r="CD52" s="26"/>
      <c r="CF52" s="26"/>
      <c r="CH52" s="26"/>
      <c r="CU52" s="26"/>
      <c r="CV52" s="26"/>
      <c r="CW52" s="26"/>
      <c r="CX52" s="26"/>
      <c r="CY52" s="26"/>
      <c r="CZ52" s="26"/>
      <c r="DA52" s="26"/>
      <c r="EA52" s="277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S52" s="26"/>
      <c r="FD52" s="26"/>
      <c r="FG52" s="26"/>
      <c r="FX52" s="155">
        <f>GG52+0</f>
        <v>0</v>
      </c>
      <c r="FZ52" s="155">
        <f>GJ52+0</f>
        <v>0</v>
      </c>
      <c r="GB52" s="155">
        <f>GM52+0</f>
        <v>0</v>
      </c>
      <c r="GE52" s="1108">
        <v>-10</v>
      </c>
    </row>
    <row r="53" spans="1:187">
      <c r="A53" s="352" t="s">
        <v>3407</v>
      </c>
      <c r="B53" s="3" t="s">
        <v>2046</v>
      </c>
      <c r="P53" s="155">
        <f t="shared" si="66"/>
        <v>0</v>
      </c>
      <c r="Q53" s="155">
        <f t="shared" si="66"/>
        <v>0</v>
      </c>
      <c r="R53" s="337">
        <v>0</v>
      </c>
      <c r="S53" s="337">
        <v>0</v>
      </c>
      <c r="T53" s="337">
        <f t="shared" si="67"/>
        <v>0</v>
      </c>
      <c r="U53" s="337">
        <f t="shared" si="67"/>
        <v>0</v>
      </c>
      <c r="V53" s="337">
        <f t="shared" si="67"/>
        <v>0</v>
      </c>
      <c r="W53" s="337">
        <f t="shared" si="67"/>
        <v>0</v>
      </c>
      <c r="X53" s="337">
        <f t="shared" si="67"/>
        <v>0</v>
      </c>
      <c r="Y53" s="337">
        <f t="shared" si="67"/>
        <v>0</v>
      </c>
      <c r="Z53" s="337">
        <f t="shared" si="67"/>
        <v>0</v>
      </c>
      <c r="AA53" s="337">
        <f t="shared" si="67"/>
        <v>0</v>
      </c>
      <c r="AB53" s="337">
        <f t="shared" si="67"/>
        <v>0</v>
      </c>
      <c r="AC53" s="337">
        <f t="shared" si="67"/>
        <v>0</v>
      </c>
      <c r="AD53" s="337">
        <f t="shared" si="68"/>
        <v>0</v>
      </c>
      <c r="AE53" s="337">
        <f t="shared" si="68"/>
        <v>0</v>
      </c>
      <c r="AF53" s="337">
        <f t="shared" si="68"/>
        <v>0</v>
      </c>
      <c r="AG53" s="337">
        <f t="shared" si="68"/>
        <v>0</v>
      </c>
      <c r="AH53" s="337">
        <f t="shared" si="68"/>
        <v>0</v>
      </c>
      <c r="AI53" s="337">
        <f t="shared" si="68"/>
        <v>0</v>
      </c>
      <c r="AJ53" s="337">
        <f t="shared" si="68"/>
        <v>0</v>
      </c>
      <c r="AK53" s="337">
        <f t="shared" si="68"/>
        <v>0</v>
      </c>
      <c r="AL53" s="337">
        <f t="shared" si="68"/>
        <v>0</v>
      </c>
      <c r="AM53" s="337"/>
      <c r="AN53" s="337">
        <f>BD53+0</f>
        <v>0</v>
      </c>
      <c r="AP53" s="26"/>
      <c r="AQ53" s="26"/>
      <c r="AR53" s="26"/>
      <c r="AS53" s="26"/>
      <c r="AT53" s="26"/>
      <c r="AU53" s="26"/>
      <c r="AV53" s="26"/>
      <c r="AW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V53" s="26"/>
      <c r="BW53" s="26"/>
      <c r="BX53" s="26"/>
      <c r="BY53" s="26"/>
      <c r="BZ53" s="26"/>
      <c r="CA53" s="26"/>
      <c r="CB53" s="26"/>
      <c r="CD53" s="26"/>
      <c r="CF53" s="26"/>
      <c r="CH53" s="26"/>
      <c r="CU53" s="26"/>
      <c r="CV53" s="26"/>
      <c r="CW53" s="26"/>
      <c r="CX53" s="26"/>
      <c r="CY53" s="26"/>
      <c r="CZ53" s="26"/>
      <c r="DA53" s="26"/>
      <c r="EA53" s="277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S53" s="26"/>
      <c r="FD53" s="26">
        <v>-150</v>
      </c>
      <c r="FG53" s="26">
        <f>6*12.48</f>
        <v>74.88</v>
      </c>
      <c r="FM53" s="26">
        <f>17.52*3.35</f>
        <v>58.692</v>
      </c>
      <c r="FN53" s="26">
        <f>17.52*3.35</f>
        <v>58.692</v>
      </c>
      <c r="FX53" s="155">
        <f>GG53+32</f>
        <v>32</v>
      </c>
      <c r="FZ53" s="283">
        <f>GJ53+279</f>
        <v>279</v>
      </c>
      <c r="GB53" s="283">
        <f>GM53+30</f>
        <v>30</v>
      </c>
      <c r="GE53" s="1108">
        <v>-175</v>
      </c>
    </row>
    <row r="54" spans="1:187">
      <c r="A54" s="284" t="s">
        <v>3271</v>
      </c>
      <c r="B54" s="3" t="s">
        <v>2046</v>
      </c>
      <c r="P54" s="155">
        <f t="shared" si="66"/>
        <v>0</v>
      </c>
      <c r="Q54" s="155">
        <f t="shared" si="66"/>
        <v>0</v>
      </c>
      <c r="R54" s="337">
        <f t="shared" si="66"/>
        <v>0</v>
      </c>
      <c r="S54" s="337">
        <f t="shared" si="66"/>
        <v>0</v>
      </c>
      <c r="T54" s="337">
        <f t="shared" si="67"/>
        <v>0</v>
      </c>
      <c r="U54" s="337">
        <f t="shared" si="67"/>
        <v>0</v>
      </c>
      <c r="V54" s="337">
        <f t="shared" si="67"/>
        <v>0</v>
      </c>
      <c r="W54" s="337">
        <f t="shared" si="67"/>
        <v>0</v>
      </c>
      <c r="X54" s="337">
        <f t="shared" si="67"/>
        <v>0</v>
      </c>
      <c r="Y54" s="337">
        <f t="shared" si="67"/>
        <v>0</v>
      </c>
      <c r="Z54" s="337">
        <f t="shared" si="67"/>
        <v>0</v>
      </c>
      <c r="AA54" s="337">
        <f t="shared" si="67"/>
        <v>0</v>
      </c>
      <c r="AB54" s="337">
        <f t="shared" si="67"/>
        <v>0</v>
      </c>
      <c r="AC54" s="337">
        <f t="shared" si="67"/>
        <v>0</v>
      </c>
      <c r="AD54" s="337">
        <f t="shared" si="68"/>
        <v>0</v>
      </c>
      <c r="AE54" s="337">
        <f t="shared" si="68"/>
        <v>0</v>
      </c>
      <c r="AF54" s="337">
        <f t="shared" si="68"/>
        <v>0</v>
      </c>
      <c r="AG54" s="337">
        <f t="shared" si="68"/>
        <v>0</v>
      </c>
      <c r="AH54" s="337">
        <f t="shared" si="68"/>
        <v>0</v>
      </c>
      <c r="AI54" s="337">
        <f t="shared" si="68"/>
        <v>0</v>
      </c>
      <c r="AJ54" s="337">
        <f t="shared" si="68"/>
        <v>0</v>
      </c>
      <c r="AK54" s="337">
        <f t="shared" si="68"/>
        <v>0</v>
      </c>
      <c r="AL54" s="337">
        <f t="shared" si="68"/>
        <v>0</v>
      </c>
      <c r="AM54" s="337"/>
      <c r="AN54" s="337">
        <f>BD54+0</f>
        <v>0</v>
      </c>
      <c r="AP54" s="26"/>
      <c r="AQ54" s="26"/>
      <c r="AR54" s="26"/>
      <c r="AS54" s="26"/>
      <c r="AT54" s="26"/>
      <c r="AU54" s="26"/>
      <c r="AV54" s="26"/>
      <c r="AW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O54" s="1033">
        <f>45.72+23.2488</f>
        <v>68.968800000000002</v>
      </c>
      <c r="BS54" s="26">
        <f>7.62+3.875</f>
        <v>11.495000000000001</v>
      </c>
      <c r="BT54" s="26">
        <f>38.1+19.375</f>
        <v>57.475000000000001</v>
      </c>
      <c r="BU54" s="1020">
        <f>45.72+23.2488</f>
        <v>68.968800000000002</v>
      </c>
      <c r="BV54" s="1031"/>
      <c r="BW54" s="1031"/>
      <c r="BX54" s="1031"/>
      <c r="BY54" s="1031"/>
      <c r="BZ54" s="1031"/>
      <c r="CA54" s="1031"/>
      <c r="CB54" s="1031"/>
      <c r="CD54" s="1031"/>
      <c r="CF54" s="1031"/>
      <c r="CH54" s="1031">
        <v>70</v>
      </c>
      <c r="CL54" s="1032">
        <f>45.72+23.2488</f>
        <v>68.968800000000002</v>
      </c>
      <c r="CO54" s="26">
        <f>7.62+3.875</f>
        <v>11.495000000000001</v>
      </c>
      <c r="CP54" s="26">
        <f>38.1+19.375</f>
        <v>57.475000000000001</v>
      </c>
      <c r="CQ54" s="1020">
        <v>68.968999999999994</v>
      </c>
      <c r="CU54" s="26">
        <f>7.62+3.875</f>
        <v>11.495000000000001</v>
      </c>
      <c r="CV54" s="26">
        <f>38.1+19.375</f>
        <v>57.475000000000001</v>
      </c>
      <c r="CW54" s="26"/>
      <c r="CX54" s="26"/>
      <c r="CY54" s="26"/>
      <c r="CZ54" s="26"/>
      <c r="DA54" s="26"/>
      <c r="EA54" s="277"/>
      <c r="EB54" s="1031"/>
      <c r="EC54" s="1031"/>
      <c r="ED54" s="26"/>
      <c r="EE54" s="26"/>
      <c r="EF54" s="26"/>
      <c r="EG54" s="26">
        <v>138</v>
      </c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S54" s="26">
        <f>0.1*369</f>
        <v>36.9</v>
      </c>
      <c r="EU54" s="26">
        <v>100</v>
      </c>
      <c r="FD54" s="26">
        <f>129.6</f>
        <v>129.6</v>
      </c>
      <c r="FF54" s="26">
        <v>50</v>
      </c>
      <c r="FG54" s="26">
        <f>7*8.01</f>
        <v>56.07</v>
      </c>
      <c r="FH54" s="490">
        <v>-37</v>
      </c>
      <c r="FI54" s="490">
        <v>-50</v>
      </c>
      <c r="FJ54" s="490">
        <v>-71</v>
      </c>
      <c r="FK54" s="490">
        <v>54</v>
      </c>
      <c r="FL54" s="490">
        <v>-20</v>
      </c>
      <c r="FU54" s="18">
        <v>109.488</v>
      </c>
      <c r="FV54" s="18">
        <v>109.488</v>
      </c>
      <c r="FX54" s="155">
        <f>GG54-5.5</f>
        <v>-5.5</v>
      </c>
      <c r="FZ54" s="155">
        <f>GJ54-5</f>
        <v>-5</v>
      </c>
      <c r="GB54" s="155">
        <f>GM54-5</f>
        <v>-5</v>
      </c>
      <c r="GE54" s="1108">
        <v>-75</v>
      </c>
    </row>
    <row r="55" spans="1:187">
      <c r="A55" s="3" t="s">
        <v>3107</v>
      </c>
      <c r="B55" s="3" t="s">
        <v>2182</v>
      </c>
      <c r="M55" s="3">
        <v>0</v>
      </c>
      <c r="P55" s="155">
        <f t="shared" ref="P55:P67" si="69">AP55+0</f>
        <v>0</v>
      </c>
      <c r="Q55" s="195">
        <f t="shared" si="66"/>
        <v>0</v>
      </c>
      <c r="R55" s="155">
        <f t="shared" si="66"/>
        <v>0</v>
      </c>
      <c r="S55" s="337">
        <f t="shared" si="66"/>
        <v>0</v>
      </c>
      <c r="T55" s="337">
        <f t="shared" ref="T55:T77" si="70">AT55+0</f>
        <v>0</v>
      </c>
      <c r="U55" s="337">
        <f t="shared" ref="U55:U77" si="71">AU55+0</f>
        <v>0</v>
      </c>
      <c r="V55" s="337">
        <f t="shared" ref="V55:V77" si="72">AV55+0</f>
        <v>0</v>
      </c>
      <c r="W55" s="337">
        <f t="shared" ref="W55:X77" si="73">AW55+0</f>
        <v>0</v>
      </c>
      <c r="X55" s="337">
        <f t="shared" ref="X55:X77" si="74">AX55+0</f>
        <v>0</v>
      </c>
      <c r="Y55" s="337">
        <f t="shared" si="67"/>
        <v>0</v>
      </c>
      <c r="Z55" s="337">
        <f t="shared" si="67"/>
        <v>0</v>
      </c>
      <c r="AA55" s="337">
        <f t="shared" si="67"/>
        <v>0</v>
      </c>
      <c r="AB55" s="337">
        <f t="shared" si="67"/>
        <v>0</v>
      </c>
      <c r="AC55" s="337">
        <f t="shared" si="67"/>
        <v>0</v>
      </c>
      <c r="AD55" s="337">
        <f t="shared" si="68"/>
        <v>0</v>
      </c>
      <c r="AE55" s="337">
        <f t="shared" si="68"/>
        <v>0</v>
      </c>
      <c r="AF55" s="337">
        <f t="shared" si="68"/>
        <v>0</v>
      </c>
      <c r="AG55" s="337">
        <f t="shared" si="68"/>
        <v>0</v>
      </c>
      <c r="AH55" s="337">
        <f t="shared" si="68"/>
        <v>0</v>
      </c>
      <c r="AI55" s="337">
        <f t="shared" si="68"/>
        <v>0</v>
      </c>
      <c r="AJ55" s="337">
        <f t="shared" si="68"/>
        <v>0</v>
      </c>
      <c r="AK55" s="337">
        <f t="shared" si="68"/>
        <v>0</v>
      </c>
      <c r="AL55" s="337">
        <f t="shared" si="68"/>
        <v>0</v>
      </c>
      <c r="AM55" s="337"/>
      <c r="AN55" s="337"/>
      <c r="AP55" s="26"/>
      <c r="AQ55" s="26"/>
      <c r="AR55" s="26"/>
      <c r="AS55" s="26"/>
      <c r="AT55" s="26"/>
      <c r="AU55" s="26"/>
      <c r="AV55" s="26"/>
      <c r="AW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T55" s="26">
        <v>1.5</v>
      </c>
      <c r="BV55" s="26"/>
      <c r="BW55" s="26"/>
      <c r="BX55" s="26"/>
      <c r="BY55" s="26"/>
      <c r="BZ55" s="26"/>
      <c r="CA55" s="26"/>
      <c r="CB55" s="26"/>
      <c r="CD55" s="26"/>
      <c r="CF55" s="26"/>
      <c r="CH55" s="26"/>
      <c r="CP55" s="26">
        <v>1.5</v>
      </c>
      <c r="CU55" s="26"/>
      <c r="CV55" s="26"/>
      <c r="CW55" s="26"/>
      <c r="CX55" s="26"/>
      <c r="CY55" s="26"/>
      <c r="CZ55" s="26"/>
      <c r="DA55" s="26"/>
      <c r="EA55" s="38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S55" s="26">
        <v>10</v>
      </c>
      <c r="FD55" s="26"/>
      <c r="FG55" s="26"/>
      <c r="FX55" s="195">
        <f t="shared" ref="FX55:FX64" si="75">GG55+0</f>
        <v>0</v>
      </c>
      <c r="FZ55" s="195">
        <f t="shared" ref="FZ55:FZ64" si="76">GJ55+0</f>
        <v>0</v>
      </c>
      <c r="GB55" s="195">
        <f t="shared" ref="GB55:GB64" si="77">GM55+0</f>
        <v>0</v>
      </c>
    </row>
    <row r="56" spans="1:187">
      <c r="A56" t="s">
        <v>2460</v>
      </c>
      <c r="B56" s="3" t="s">
        <v>2182</v>
      </c>
      <c r="P56" s="155">
        <f t="shared" si="69"/>
        <v>0</v>
      </c>
      <c r="Q56" s="195">
        <f t="shared" si="66"/>
        <v>0</v>
      </c>
      <c r="R56" s="155">
        <f t="shared" si="66"/>
        <v>0</v>
      </c>
      <c r="S56" s="337">
        <f t="shared" si="66"/>
        <v>0</v>
      </c>
      <c r="T56" s="337">
        <f t="shared" si="70"/>
        <v>0</v>
      </c>
      <c r="U56" s="337">
        <f t="shared" si="71"/>
        <v>0</v>
      </c>
      <c r="V56" s="337">
        <f t="shared" si="72"/>
        <v>0</v>
      </c>
      <c r="W56" s="337">
        <f t="shared" si="73"/>
        <v>0</v>
      </c>
      <c r="X56" s="337">
        <f t="shared" si="74"/>
        <v>0</v>
      </c>
      <c r="Y56" s="337">
        <f t="shared" si="67"/>
        <v>0</v>
      </c>
      <c r="Z56" s="337">
        <f t="shared" si="67"/>
        <v>0</v>
      </c>
      <c r="AA56" s="337">
        <f t="shared" si="67"/>
        <v>0</v>
      </c>
      <c r="AB56" s="337">
        <f t="shared" si="67"/>
        <v>0</v>
      </c>
      <c r="AC56" s="337">
        <f t="shared" si="67"/>
        <v>0</v>
      </c>
      <c r="AD56" s="337">
        <f t="shared" si="68"/>
        <v>0</v>
      </c>
      <c r="AE56" s="337">
        <f t="shared" si="68"/>
        <v>0</v>
      </c>
      <c r="AF56" s="337">
        <f t="shared" si="68"/>
        <v>0</v>
      </c>
      <c r="AG56" s="337">
        <f t="shared" si="68"/>
        <v>0</v>
      </c>
      <c r="AH56" s="337">
        <f t="shared" si="68"/>
        <v>0</v>
      </c>
      <c r="AI56" s="337">
        <f t="shared" si="68"/>
        <v>0</v>
      </c>
      <c r="AJ56" s="337">
        <f t="shared" si="68"/>
        <v>0</v>
      </c>
      <c r="AK56" s="337">
        <f t="shared" si="68"/>
        <v>0</v>
      </c>
      <c r="AL56" s="337">
        <f t="shared" si="68"/>
        <v>0</v>
      </c>
      <c r="AM56" s="337"/>
      <c r="AN56" s="337"/>
      <c r="AP56" s="26"/>
      <c r="AQ56" s="26"/>
      <c r="AR56" s="26"/>
      <c r="AS56" s="26"/>
      <c r="AT56" s="26"/>
      <c r="AU56" s="26"/>
      <c r="AV56" s="26"/>
      <c r="AW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V56" s="26"/>
      <c r="BW56" s="26"/>
      <c r="BX56" s="26"/>
      <c r="BY56" s="26"/>
      <c r="BZ56" s="26"/>
      <c r="CA56" s="26"/>
      <c r="CB56" s="26"/>
      <c r="CD56" s="26"/>
      <c r="CF56" s="26"/>
      <c r="CH56" s="26"/>
      <c r="CU56" s="26"/>
      <c r="CV56" s="26"/>
      <c r="CW56" s="26"/>
      <c r="CX56" s="26"/>
      <c r="CY56" s="26"/>
      <c r="CZ56" s="26"/>
      <c r="DA56" s="26"/>
      <c r="EA56" s="38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S56" s="26"/>
      <c r="EU56" s="26">
        <v>2</v>
      </c>
      <c r="FD56" s="26"/>
      <c r="FG56" s="26"/>
      <c r="FX56" s="195">
        <f t="shared" si="75"/>
        <v>0</v>
      </c>
      <c r="FZ56" s="195">
        <f t="shared" si="76"/>
        <v>0</v>
      </c>
      <c r="GB56" s="195">
        <f t="shared" si="77"/>
        <v>0</v>
      </c>
    </row>
    <row r="57" spans="1:187">
      <c r="A57" s="73" t="s">
        <v>2459</v>
      </c>
      <c r="B57" s="3" t="s">
        <v>2182</v>
      </c>
      <c r="M57" s="3">
        <v>0</v>
      </c>
      <c r="P57" s="155">
        <f t="shared" si="69"/>
        <v>0</v>
      </c>
      <c r="Q57" s="195">
        <f t="shared" si="66"/>
        <v>0</v>
      </c>
      <c r="R57" s="155">
        <f t="shared" si="66"/>
        <v>0</v>
      </c>
      <c r="S57" s="337">
        <f t="shared" si="66"/>
        <v>0</v>
      </c>
      <c r="T57" s="337">
        <f t="shared" si="70"/>
        <v>0</v>
      </c>
      <c r="U57" s="337">
        <f t="shared" si="71"/>
        <v>0</v>
      </c>
      <c r="V57" s="337">
        <f t="shared" si="72"/>
        <v>0</v>
      </c>
      <c r="W57" s="337">
        <f t="shared" si="73"/>
        <v>0</v>
      </c>
      <c r="X57" s="337">
        <f t="shared" si="74"/>
        <v>0</v>
      </c>
      <c r="Y57" s="337">
        <f t="shared" si="67"/>
        <v>0</v>
      </c>
      <c r="Z57" s="337">
        <f t="shared" si="67"/>
        <v>0</v>
      </c>
      <c r="AA57" s="337">
        <f t="shared" si="67"/>
        <v>0</v>
      </c>
      <c r="AB57" s="337">
        <f t="shared" si="67"/>
        <v>0</v>
      </c>
      <c r="AC57" s="337">
        <f t="shared" si="67"/>
        <v>0</v>
      </c>
      <c r="AD57" s="337">
        <f t="shared" si="68"/>
        <v>0</v>
      </c>
      <c r="AE57" s="337">
        <f t="shared" si="68"/>
        <v>0</v>
      </c>
      <c r="AF57" s="337">
        <f t="shared" si="68"/>
        <v>0</v>
      </c>
      <c r="AG57" s="337">
        <f t="shared" si="68"/>
        <v>0</v>
      </c>
      <c r="AH57" s="337">
        <f t="shared" si="68"/>
        <v>0</v>
      </c>
      <c r="AI57" s="337">
        <f t="shared" si="68"/>
        <v>0</v>
      </c>
      <c r="AJ57" s="337">
        <f t="shared" si="68"/>
        <v>0</v>
      </c>
      <c r="AK57" s="337">
        <f t="shared" si="68"/>
        <v>0</v>
      </c>
      <c r="AL57" s="337">
        <f t="shared" si="68"/>
        <v>0</v>
      </c>
      <c r="AM57" s="337"/>
      <c r="AN57" s="337"/>
      <c r="AP57" s="26"/>
      <c r="AQ57" s="26"/>
      <c r="AR57" s="26"/>
      <c r="AS57" s="26"/>
      <c r="AT57" s="26"/>
      <c r="AU57" s="26"/>
      <c r="AV57" s="26"/>
      <c r="AW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V57" s="26"/>
      <c r="BW57" s="26"/>
      <c r="BX57" s="26"/>
      <c r="BY57" s="26"/>
      <c r="BZ57" s="26"/>
      <c r="CA57" s="26"/>
      <c r="CB57" s="26"/>
      <c r="CD57" s="26"/>
      <c r="CF57" s="26"/>
      <c r="CH57" s="26"/>
      <c r="CU57" s="26"/>
      <c r="CV57" s="26"/>
      <c r="CW57" s="26"/>
      <c r="CX57" s="26"/>
      <c r="CY57" s="26"/>
      <c r="CZ57" s="26"/>
      <c r="DA57" s="26"/>
      <c r="EA57" s="38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S57" s="26"/>
      <c r="FD57" s="26"/>
      <c r="FG57" s="26"/>
      <c r="FX57" s="195">
        <f t="shared" si="75"/>
        <v>0</v>
      </c>
      <c r="FZ57" s="195">
        <f t="shared" si="76"/>
        <v>0</v>
      </c>
      <c r="GB57" s="195">
        <f t="shared" si="77"/>
        <v>0</v>
      </c>
    </row>
    <row r="58" spans="1:187">
      <c r="A58" s="3" t="s">
        <v>1729</v>
      </c>
      <c r="B58" s="3" t="s">
        <v>2182</v>
      </c>
      <c r="M58" s="3">
        <v>0</v>
      </c>
      <c r="P58" s="155">
        <f t="shared" si="69"/>
        <v>0</v>
      </c>
      <c r="Q58" s="195">
        <f t="shared" si="66"/>
        <v>0</v>
      </c>
      <c r="R58" s="195">
        <f t="shared" si="66"/>
        <v>0</v>
      </c>
      <c r="S58" s="337">
        <f>AS58</f>
        <v>0</v>
      </c>
      <c r="T58" s="337">
        <f t="shared" si="70"/>
        <v>0</v>
      </c>
      <c r="U58" s="337">
        <f t="shared" si="71"/>
        <v>0</v>
      </c>
      <c r="V58" s="337">
        <f t="shared" si="72"/>
        <v>0</v>
      </c>
      <c r="W58" s="337">
        <f t="shared" si="73"/>
        <v>0</v>
      </c>
      <c r="X58" s="337">
        <f t="shared" si="73"/>
        <v>0</v>
      </c>
      <c r="Y58" s="337">
        <f t="shared" ref="Y58:AL64" si="78">AY58+0</f>
        <v>0</v>
      </c>
      <c r="Z58" s="337">
        <f t="shared" si="78"/>
        <v>0</v>
      </c>
      <c r="AA58" s="337">
        <f t="shared" si="78"/>
        <v>0</v>
      </c>
      <c r="AB58" s="337">
        <f t="shared" si="78"/>
        <v>0</v>
      </c>
      <c r="AC58" s="337">
        <f t="shared" si="78"/>
        <v>0</v>
      </c>
      <c r="AD58" s="337">
        <f t="shared" si="78"/>
        <v>0</v>
      </c>
      <c r="AE58" s="337">
        <f t="shared" si="78"/>
        <v>0</v>
      </c>
      <c r="AF58" s="337">
        <f t="shared" si="78"/>
        <v>0</v>
      </c>
      <c r="AG58" s="337">
        <f t="shared" si="78"/>
        <v>0</v>
      </c>
      <c r="AH58" s="337">
        <f t="shared" si="78"/>
        <v>0</v>
      </c>
      <c r="AI58" s="337">
        <f t="shared" si="78"/>
        <v>0</v>
      </c>
      <c r="AJ58" s="337">
        <f t="shared" si="78"/>
        <v>0</v>
      </c>
      <c r="AK58" s="337">
        <f t="shared" si="78"/>
        <v>0</v>
      </c>
      <c r="AL58" s="337">
        <f t="shared" si="78"/>
        <v>0</v>
      </c>
      <c r="AM58" s="337"/>
      <c r="AN58" s="337">
        <f>BD58+0</f>
        <v>0</v>
      </c>
      <c r="AP58" s="26"/>
      <c r="AQ58" s="26"/>
      <c r="AR58" s="26"/>
      <c r="AS58" s="26"/>
      <c r="AT58" s="26"/>
      <c r="AU58" s="26"/>
      <c r="AV58" s="26"/>
      <c r="AW58" s="1020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N58" s="26">
        <v>19.3</v>
      </c>
      <c r="BO58" s="1020">
        <v>7.6</v>
      </c>
      <c r="BV58" s="1020"/>
      <c r="BW58" s="1031">
        <v>360</v>
      </c>
      <c r="BX58" s="1031">
        <v>110</v>
      </c>
      <c r="BY58" s="1031">
        <v>100</v>
      </c>
      <c r="BZ58" s="1031">
        <v>80</v>
      </c>
      <c r="CA58" s="1031">
        <v>60</v>
      </c>
      <c r="CB58" s="1031"/>
      <c r="CD58" s="26">
        <v>34.299999999999997</v>
      </c>
      <c r="CF58" s="26">
        <v>79</v>
      </c>
      <c r="CH58" s="26">
        <v>79</v>
      </c>
      <c r="CN58" s="1031">
        <v>7.6</v>
      </c>
      <c r="CU58" s="26"/>
      <c r="CV58" s="26"/>
      <c r="CW58" s="26"/>
      <c r="CX58" s="26"/>
      <c r="CY58" s="26"/>
      <c r="CZ58" s="26"/>
      <c r="DA58" s="26"/>
      <c r="EA58" s="38"/>
      <c r="EB58" s="1020"/>
      <c r="EC58" s="1031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S58" s="26"/>
      <c r="FD58" s="26"/>
      <c r="FE58" s="18">
        <v>2.1</v>
      </c>
      <c r="FG58" s="26"/>
      <c r="FU58" s="18">
        <v>9.3000000000000007</v>
      </c>
      <c r="FX58" s="195">
        <f t="shared" si="75"/>
        <v>0</v>
      </c>
      <c r="FZ58" s="195">
        <f t="shared" si="76"/>
        <v>0</v>
      </c>
      <c r="GB58" s="195">
        <f t="shared" si="77"/>
        <v>0</v>
      </c>
    </row>
    <row r="59" spans="1:187">
      <c r="A59" s="3" t="s">
        <v>4585</v>
      </c>
      <c r="P59" s="155">
        <f t="shared" si="69"/>
        <v>0</v>
      </c>
      <c r="Q59" s="195">
        <f t="shared" si="66"/>
        <v>0</v>
      </c>
      <c r="R59" s="155">
        <f t="shared" si="66"/>
        <v>0</v>
      </c>
      <c r="S59" s="379">
        <f>AS59</f>
        <v>0</v>
      </c>
      <c r="T59" s="337">
        <f t="shared" si="70"/>
        <v>0</v>
      </c>
      <c r="U59" s="337">
        <f t="shared" si="71"/>
        <v>0</v>
      </c>
      <c r="V59" s="337">
        <f t="shared" si="72"/>
        <v>0</v>
      </c>
      <c r="W59" s="337">
        <f t="shared" si="73"/>
        <v>0</v>
      </c>
      <c r="X59" s="337">
        <f t="shared" si="74"/>
        <v>0</v>
      </c>
      <c r="Y59" s="337">
        <f t="shared" si="78"/>
        <v>0</v>
      </c>
      <c r="Z59" s="337">
        <f t="shared" si="78"/>
        <v>0</v>
      </c>
      <c r="AA59" s="337">
        <f t="shared" si="78"/>
        <v>0</v>
      </c>
      <c r="AB59" s="337">
        <f t="shared" si="78"/>
        <v>0</v>
      </c>
      <c r="AC59" s="337">
        <f t="shared" si="78"/>
        <v>0</v>
      </c>
      <c r="AD59" s="337">
        <f t="shared" si="78"/>
        <v>0</v>
      </c>
      <c r="AE59" s="337">
        <f t="shared" si="78"/>
        <v>0</v>
      </c>
      <c r="AF59" s="337">
        <f t="shared" si="78"/>
        <v>0</v>
      </c>
      <c r="AG59" s="337">
        <f t="shared" si="78"/>
        <v>0</v>
      </c>
      <c r="AH59" s="337">
        <f t="shared" si="78"/>
        <v>0</v>
      </c>
      <c r="AI59" s="337">
        <f t="shared" si="78"/>
        <v>0</v>
      </c>
      <c r="AJ59" s="337">
        <f t="shared" si="78"/>
        <v>0</v>
      </c>
      <c r="AK59" s="337">
        <f t="shared" si="78"/>
        <v>0</v>
      </c>
      <c r="AL59" s="337">
        <f t="shared" si="78"/>
        <v>0</v>
      </c>
      <c r="AM59" s="337"/>
      <c r="AN59" s="337"/>
      <c r="AP59" s="26"/>
      <c r="AQ59" s="26"/>
      <c r="AR59" s="26"/>
      <c r="AS59" s="26"/>
      <c r="AT59" s="26"/>
      <c r="AU59" s="26"/>
      <c r="AV59" s="26"/>
      <c r="AW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N59" s="26">
        <v>34.299999999999997</v>
      </c>
      <c r="BV59" s="26"/>
      <c r="BW59" s="26"/>
      <c r="BX59" s="26"/>
      <c r="BY59" s="26"/>
      <c r="BZ59" s="26"/>
      <c r="CA59" s="26"/>
      <c r="CB59" s="26"/>
      <c r="CD59" s="26"/>
      <c r="CF59" s="26"/>
      <c r="CH59" s="26"/>
      <c r="CU59" s="26"/>
      <c r="CV59" s="26"/>
      <c r="CW59" s="26"/>
      <c r="CX59" s="26"/>
      <c r="CY59" s="26"/>
      <c r="CZ59" s="26"/>
      <c r="DA59" s="26"/>
      <c r="EA59" s="38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S59" s="26"/>
      <c r="FD59" s="26"/>
      <c r="FG59" s="26"/>
      <c r="FX59" s="195">
        <f t="shared" si="75"/>
        <v>0</v>
      </c>
      <c r="FZ59" s="195">
        <f t="shared" si="76"/>
        <v>0</v>
      </c>
      <c r="GB59" s="195">
        <f t="shared" si="77"/>
        <v>0</v>
      </c>
    </row>
    <row r="60" spans="1:187">
      <c r="A60" t="s">
        <v>2199</v>
      </c>
      <c r="B60" s="3" t="s">
        <v>2182</v>
      </c>
      <c r="P60" s="155">
        <f t="shared" si="69"/>
        <v>0</v>
      </c>
      <c r="Q60" s="195">
        <f t="shared" si="66"/>
        <v>0</v>
      </c>
      <c r="R60" s="155">
        <f t="shared" si="66"/>
        <v>0</v>
      </c>
      <c r="S60" s="337">
        <f t="shared" si="66"/>
        <v>0</v>
      </c>
      <c r="T60" s="337">
        <f t="shared" si="70"/>
        <v>0</v>
      </c>
      <c r="U60" s="337">
        <f t="shared" si="71"/>
        <v>0</v>
      </c>
      <c r="V60" s="337">
        <f t="shared" si="72"/>
        <v>0</v>
      </c>
      <c r="W60" s="337">
        <f t="shared" si="73"/>
        <v>0</v>
      </c>
      <c r="X60" s="337">
        <f t="shared" si="74"/>
        <v>0</v>
      </c>
      <c r="Y60" s="337">
        <f t="shared" si="78"/>
        <v>0</v>
      </c>
      <c r="Z60" s="337">
        <f t="shared" si="78"/>
        <v>0</v>
      </c>
      <c r="AA60" s="337">
        <f t="shared" si="78"/>
        <v>0</v>
      </c>
      <c r="AB60" s="337">
        <f t="shared" si="78"/>
        <v>0</v>
      </c>
      <c r="AC60" s="337">
        <f t="shared" si="78"/>
        <v>0</v>
      </c>
      <c r="AD60" s="337">
        <f t="shared" si="78"/>
        <v>0</v>
      </c>
      <c r="AE60" s="337">
        <f t="shared" si="78"/>
        <v>0</v>
      </c>
      <c r="AF60" s="337">
        <f t="shared" si="78"/>
        <v>0</v>
      </c>
      <c r="AG60" s="337">
        <f t="shared" si="78"/>
        <v>0</v>
      </c>
      <c r="AH60" s="337">
        <f t="shared" si="78"/>
        <v>0</v>
      </c>
      <c r="AI60" s="337">
        <f t="shared" si="78"/>
        <v>0</v>
      </c>
      <c r="AJ60" s="337">
        <f t="shared" si="78"/>
        <v>0</v>
      </c>
      <c r="AK60" s="337">
        <f t="shared" si="78"/>
        <v>0</v>
      </c>
      <c r="AL60" s="337">
        <f t="shared" si="78"/>
        <v>0</v>
      </c>
      <c r="AM60" s="337"/>
      <c r="AN60" s="337"/>
      <c r="AP60" s="26"/>
      <c r="AQ60" s="26"/>
      <c r="AR60" s="26"/>
      <c r="AS60" s="26"/>
      <c r="AT60" s="26"/>
      <c r="AU60" s="26"/>
      <c r="AV60" s="26"/>
      <c r="AW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V60" s="26"/>
      <c r="BW60" s="26"/>
      <c r="BX60" s="26"/>
      <c r="BY60" s="26"/>
      <c r="BZ60" s="26"/>
      <c r="CA60" s="26"/>
      <c r="CB60" s="26"/>
      <c r="CD60" s="26"/>
      <c r="CF60" s="26"/>
      <c r="CH60" s="26"/>
      <c r="CU60" s="26"/>
      <c r="CV60" s="26"/>
      <c r="CW60" s="26"/>
      <c r="CX60" s="26"/>
      <c r="CY60" s="26"/>
      <c r="CZ60" s="26"/>
      <c r="DA60" s="26"/>
      <c r="EA60" s="38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S60" s="26"/>
      <c r="FD60" s="26"/>
      <c r="FG60" s="26"/>
      <c r="FX60" s="195">
        <f t="shared" si="75"/>
        <v>0</v>
      </c>
      <c r="FZ60" s="195">
        <f t="shared" si="76"/>
        <v>0</v>
      </c>
      <c r="GB60" s="195">
        <f t="shared" si="77"/>
        <v>0</v>
      </c>
    </row>
    <row r="61" spans="1:187">
      <c r="A61" s="3" t="s">
        <v>4024</v>
      </c>
      <c r="B61" s="3" t="s">
        <v>2756</v>
      </c>
      <c r="M61" s="3">
        <v>0</v>
      </c>
      <c r="P61" s="155">
        <f t="shared" si="69"/>
        <v>0</v>
      </c>
      <c r="Q61" s="195">
        <f t="shared" si="66"/>
        <v>0</v>
      </c>
      <c r="R61" s="155">
        <f t="shared" si="66"/>
        <v>0</v>
      </c>
      <c r="S61" s="337">
        <f t="shared" si="66"/>
        <v>0</v>
      </c>
      <c r="T61" s="337">
        <f t="shared" si="70"/>
        <v>0</v>
      </c>
      <c r="U61" s="337">
        <f t="shared" si="71"/>
        <v>0</v>
      </c>
      <c r="V61" s="337">
        <f t="shared" si="72"/>
        <v>0</v>
      </c>
      <c r="W61" s="337">
        <f t="shared" si="73"/>
        <v>0</v>
      </c>
      <c r="X61" s="337">
        <f t="shared" si="74"/>
        <v>0</v>
      </c>
      <c r="Y61" s="337">
        <f t="shared" si="78"/>
        <v>0</v>
      </c>
      <c r="Z61" s="337">
        <f t="shared" si="78"/>
        <v>0</v>
      </c>
      <c r="AA61" s="337">
        <f t="shared" si="78"/>
        <v>0</v>
      </c>
      <c r="AB61" s="337">
        <f t="shared" si="78"/>
        <v>0</v>
      </c>
      <c r="AC61" s="337">
        <f t="shared" si="78"/>
        <v>0</v>
      </c>
      <c r="AD61" s="337">
        <f t="shared" si="78"/>
        <v>0</v>
      </c>
      <c r="AE61" s="337">
        <f t="shared" si="78"/>
        <v>0</v>
      </c>
      <c r="AF61" s="337">
        <f t="shared" si="78"/>
        <v>0</v>
      </c>
      <c r="AG61" s="337">
        <f t="shared" si="78"/>
        <v>0</v>
      </c>
      <c r="AH61" s="337">
        <f t="shared" si="78"/>
        <v>0</v>
      </c>
      <c r="AI61" s="337">
        <f t="shared" si="78"/>
        <v>0</v>
      </c>
      <c r="AJ61" s="337">
        <f t="shared" si="78"/>
        <v>0</v>
      </c>
      <c r="AK61" s="337">
        <f t="shared" si="78"/>
        <v>0</v>
      </c>
      <c r="AL61" s="337">
        <f t="shared" si="78"/>
        <v>0</v>
      </c>
      <c r="AM61" s="337"/>
      <c r="AN61" s="337"/>
      <c r="AP61" s="26"/>
      <c r="AQ61" s="26"/>
      <c r="AR61" s="26"/>
      <c r="AS61" s="26"/>
      <c r="AT61" s="26"/>
      <c r="AU61" s="26"/>
      <c r="AV61" s="26"/>
      <c r="AW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V61" s="26"/>
      <c r="BW61" s="26"/>
      <c r="BX61" s="26"/>
      <c r="BY61" s="26"/>
      <c r="BZ61" s="26"/>
      <c r="CA61" s="26"/>
      <c r="CB61" s="26"/>
      <c r="CD61" s="26"/>
      <c r="CF61" s="26"/>
      <c r="CH61" s="26"/>
      <c r="CU61" s="26"/>
      <c r="CV61" s="26"/>
      <c r="CW61" s="26"/>
      <c r="CX61" s="26"/>
      <c r="CY61" s="26"/>
      <c r="CZ61" s="26"/>
      <c r="DA61" s="26"/>
      <c r="EA61" s="38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S61" s="26"/>
      <c r="FD61" s="26"/>
      <c r="FG61" s="26"/>
      <c r="FX61" s="195">
        <f t="shared" si="75"/>
        <v>0</v>
      </c>
      <c r="FZ61" s="195">
        <f t="shared" si="76"/>
        <v>0</v>
      </c>
      <c r="GB61" s="195">
        <f t="shared" si="77"/>
        <v>0</v>
      </c>
    </row>
    <row r="62" spans="1:187">
      <c r="A62" s="3" t="s">
        <v>1896</v>
      </c>
      <c r="B62" s="3" t="s">
        <v>2756</v>
      </c>
      <c r="M62" s="3">
        <v>0</v>
      </c>
      <c r="P62" s="155">
        <f t="shared" si="69"/>
        <v>0</v>
      </c>
      <c r="Q62" s="195">
        <f t="shared" ref="Q62:S64" si="79">AQ62+0</f>
        <v>0</v>
      </c>
      <c r="R62" s="155">
        <f t="shared" si="79"/>
        <v>0</v>
      </c>
      <c r="S62" s="337">
        <f t="shared" si="79"/>
        <v>0</v>
      </c>
      <c r="T62" s="337">
        <f t="shared" si="70"/>
        <v>0</v>
      </c>
      <c r="U62" s="337">
        <f t="shared" si="71"/>
        <v>0</v>
      </c>
      <c r="V62" s="337">
        <f t="shared" si="72"/>
        <v>0</v>
      </c>
      <c r="W62" s="337">
        <f t="shared" si="73"/>
        <v>0</v>
      </c>
      <c r="X62" s="337">
        <f t="shared" si="74"/>
        <v>0</v>
      </c>
      <c r="Y62" s="337">
        <f t="shared" si="78"/>
        <v>0</v>
      </c>
      <c r="Z62" s="337">
        <f t="shared" si="78"/>
        <v>0</v>
      </c>
      <c r="AA62" s="337">
        <f t="shared" si="78"/>
        <v>0</v>
      </c>
      <c r="AB62" s="337">
        <f t="shared" si="78"/>
        <v>0</v>
      </c>
      <c r="AC62" s="337">
        <f t="shared" si="78"/>
        <v>0</v>
      </c>
      <c r="AD62" s="337">
        <f t="shared" si="78"/>
        <v>0</v>
      </c>
      <c r="AE62" s="337">
        <f t="shared" si="78"/>
        <v>0</v>
      </c>
      <c r="AF62" s="337">
        <f t="shared" si="78"/>
        <v>0</v>
      </c>
      <c r="AG62" s="337">
        <f t="shared" si="78"/>
        <v>0</v>
      </c>
      <c r="AH62" s="337">
        <f t="shared" si="78"/>
        <v>0</v>
      </c>
      <c r="AI62" s="337">
        <f t="shared" si="78"/>
        <v>0</v>
      </c>
      <c r="AJ62" s="337">
        <f t="shared" si="78"/>
        <v>0</v>
      </c>
      <c r="AK62" s="337">
        <f t="shared" si="78"/>
        <v>0</v>
      </c>
      <c r="AL62" s="337">
        <f t="shared" si="78"/>
        <v>0</v>
      </c>
      <c r="AM62" s="337"/>
      <c r="AN62" s="337"/>
      <c r="AP62" s="26"/>
      <c r="AQ62" s="26"/>
      <c r="AR62" s="26"/>
      <c r="AS62" s="26"/>
      <c r="AT62" s="26"/>
      <c r="AU62" s="26"/>
      <c r="AV62" s="26"/>
      <c r="AW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V62" s="26"/>
      <c r="BW62" s="26"/>
      <c r="BX62" s="26"/>
      <c r="BY62" s="26"/>
      <c r="BZ62" s="26"/>
      <c r="CA62" s="26"/>
      <c r="CB62" s="26"/>
      <c r="CD62" s="26"/>
      <c r="CF62" s="26"/>
      <c r="CH62" s="26"/>
      <c r="CU62" s="26"/>
      <c r="CV62" s="26"/>
      <c r="CW62" s="26"/>
      <c r="CX62" s="26"/>
      <c r="CY62" s="26"/>
      <c r="CZ62" s="26"/>
      <c r="DA62" s="26"/>
      <c r="EA62" s="38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S62" s="26"/>
      <c r="FD62" s="26"/>
      <c r="FG62" s="26"/>
      <c r="FX62" s="195">
        <f t="shared" si="75"/>
        <v>0</v>
      </c>
      <c r="FZ62" s="195">
        <f t="shared" si="76"/>
        <v>0</v>
      </c>
      <c r="GB62" s="195">
        <f t="shared" si="77"/>
        <v>0</v>
      </c>
    </row>
    <row r="63" spans="1:187">
      <c r="A63" s="3" t="s">
        <v>532</v>
      </c>
      <c r="B63" s="3" t="s">
        <v>2499</v>
      </c>
      <c r="P63" s="155">
        <f t="shared" si="69"/>
        <v>0</v>
      </c>
      <c r="Q63" s="195">
        <f t="shared" si="79"/>
        <v>0</v>
      </c>
      <c r="R63" s="155">
        <f t="shared" si="79"/>
        <v>0</v>
      </c>
      <c r="S63" s="337">
        <f t="shared" si="79"/>
        <v>0</v>
      </c>
      <c r="T63" s="337">
        <f t="shared" si="70"/>
        <v>0</v>
      </c>
      <c r="U63" s="337">
        <f t="shared" si="71"/>
        <v>0</v>
      </c>
      <c r="V63" s="337">
        <f>AV63+0</f>
        <v>0</v>
      </c>
      <c r="W63" s="337">
        <f t="shared" si="73"/>
        <v>0</v>
      </c>
      <c r="X63" s="337">
        <f t="shared" si="74"/>
        <v>0</v>
      </c>
      <c r="Y63" s="337">
        <f t="shared" si="78"/>
        <v>0</v>
      </c>
      <c r="Z63" s="337">
        <f t="shared" si="78"/>
        <v>0</v>
      </c>
      <c r="AA63" s="337">
        <f t="shared" si="78"/>
        <v>0</v>
      </c>
      <c r="AB63" s="337">
        <f t="shared" si="78"/>
        <v>0</v>
      </c>
      <c r="AC63" s="337">
        <f t="shared" si="78"/>
        <v>0</v>
      </c>
      <c r="AD63" s="337">
        <f t="shared" si="78"/>
        <v>0</v>
      </c>
      <c r="AE63" s="337">
        <f t="shared" si="78"/>
        <v>0</v>
      </c>
      <c r="AF63" s="337">
        <f t="shared" si="78"/>
        <v>0</v>
      </c>
      <c r="AG63" s="337">
        <f t="shared" si="78"/>
        <v>0</v>
      </c>
      <c r="AH63" s="337">
        <f t="shared" si="78"/>
        <v>0</v>
      </c>
      <c r="AI63" s="337">
        <f t="shared" si="78"/>
        <v>0</v>
      </c>
      <c r="AJ63" s="337">
        <f t="shared" si="78"/>
        <v>0</v>
      </c>
      <c r="AK63" s="337">
        <f t="shared" si="78"/>
        <v>0</v>
      </c>
      <c r="AL63" s="337">
        <f t="shared" si="78"/>
        <v>0</v>
      </c>
      <c r="AM63" s="337"/>
      <c r="AN63" s="337"/>
      <c r="AP63" s="26"/>
      <c r="AQ63" s="26"/>
      <c r="AR63" s="26"/>
      <c r="AS63" s="26"/>
      <c r="AT63" s="26"/>
      <c r="AU63" s="26"/>
      <c r="AV63" s="26"/>
      <c r="AW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T63" s="38"/>
      <c r="BV63" s="26"/>
      <c r="BW63" s="1031"/>
      <c r="BX63" s="1031"/>
      <c r="BY63" s="1031"/>
      <c r="BZ63" s="1031"/>
      <c r="CA63" s="1031"/>
      <c r="CB63" s="1031"/>
      <c r="CC63" s="38"/>
      <c r="CD63" s="1031"/>
      <c r="CF63" s="1031"/>
      <c r="CH63" s="1031"/>
      <c r="CL63" s="1031">
        <v>-612</v>
      </c>
      <c r="CP63" s="38"/>
      <c r="CR63" s="38"/>
      <c r="CT63" s="38"/>
      <c r="CU63" s="26"/>
      <c r="CV63" s="26"/>
      <c r="CW63" s="26"/>
      <c r="CX63" s="26"/>
      <c r="CY63" s="26"/>
      <c r="CZ63" s="26"/>
      <c r="DA63" s="26"/>
      <c r="DZ63" s="38"/>
      <c r="EA63" s="38"/>
      <c r="EB63" s="26"/>
      <c r="EC63" s="1031">
        <v>200</v>
      </c>
      <c r="ED63" s="1031">
        <v>200</v>
      </c>
      <c r="EE63" s="1031">
        <v>200</v>
      </c>
      <c r="EF63" s="1031">
        <v>200</v>
      </c>
      <c r="EG63" s="1031">
        <v>200</v>
      </c>
      <c r="EH63" s="1031">
        <v>200</v>
      </c>
      <c r="EI63" s="1031">
        <v>200</v>
      </c>
      <c r="EJ63" s="1031">
        <v>200</v>
      </c>
      <c r="EK63" s="1031">
        <v>200</v>
      </c>
      <c r="EL63" s="1031">
        <v>200</v>
      </c>
      <c r="EM63" s="1031">
        <v>200</v>
      </c>
      <c r="EN63" s="1031">
        <v>200</v>
      </c>
      <c r="EO63" s="1031">
        <v>200</v>
      </c>
      <c r="EP63" s="1031">
        <v>200</v>
      </c>
      <c r="EQ63" s="1031">
        <v>200</v>
      </c>
      <c r="ER63" s="38"/>
      <c r="ES63" s="26"/>
      <c r="EU63" s="26">
        <v>150</v>
      </c>
      <c r="EW63" s="38"/>
      <c r="EZ63" s="38"/>
      <c r="FC63" s="38"/>
      <c r="FD63" s="26"/>
      <c r="FE63" s="38"/>
      <c r="FF63" s="38"/>
      <c r="FG63" s="26"/>
      <c r="FH63" s="38"/>
      <c r="FI63" s="38"/>
      <c r="FJ63" s="38"/>
      <c r="FK63" s="38"/>
      <c r="FL63" s="38"/>
      <c r="FM63" s="38"/>
      <c r="FO63" s="38"/>
      <c r="FP63" s="38"/>
      <c r="FQ63" s="38"/>
      <c r="FR63" s="38"/>
      <c r="FS63" s="38"/>
      <c r="FT63" s="38"/>
      <c r="FX63" s="195">
        <f t="shared" si="75"/>
        <v>0</v>
      </c>
      <c r="FZ63" s="195">
        <f t="shared" si="76"/>
        <v>0</v>
      </c>
      <c r="GB63" s="195">
        <f t="shared" si="77"/>
        <v>0</v>
      </c>
    </row>
    <row r="64" spans="1:187">
      <c r="A64" s="3" t="s">
        <v>3432</v>
      </c>
      <c r="B64" s="3" t="s">
        <v>2182</v>
      </c>
      <c r="P64" s="142">
        <f t="shared" si="69"/>
        <v>0</v>
      </c>
      <c r="Q64" s="195">
        <f t="shared" si="79"/>
        <v>0</v>
      </c>
      <c r="R64" s="155">
        <f t="shared" si="79"/>
        <v>0</v>
      </c>
      <c r="S64" s="337">
        <f t="shared" si="79"/>
        <v>0</v>
      </c>
      <c r="T64" s="337">
        <f t="shared" si="70"/>
        <v>0</v>
      </c>
      <c r="U64" s="337">
        <f t="shared" si="71"/>
        <v>0</v>
      </c>
      <c r="V64" s="337">
        <f t="shared" si="72"/>
        <v>0</v>
      </c>
      <c r="W64" s="337">
        <f t="shared" si="73"/>
        <v>0</v>
      </c>
      <c r="X64" s="337">
        <f t="shared" si="74"/>
        <v>0</v>
      </c>
      <c r="Y64" s="337">
        <f t="shared" si="78"/>
        <v>0</v>
      </c>
      <c r="Z64" s="337">
        <f t="shared" si="78"/>
        <v>0</v>
      </c>
      <c r="AA64" s="337">
        <f t="shared" si="78"/>
        <v>0</v>
      </c>
      <c r="AB64" s="337">
        <f t="shared" si="78"/>
        <v>0</v>
      </c>
      <c r="AC64" s="337">
        <f t="shared" si="78"/>
        <v>0</v>
      </c>
      <c r="AD64" s="337">
        <f t="shared" si="78"/>
        <v>0</v>
      </c>
      <c r="AE64" s="337">
        <f t="shared" si="78"/>
        <v>0</v>
      </c>
      <c r="AF64" s="337">
        <f t="shared" si="78"/>
        <v>0</v>
      </c>
      <c r="AG64" s="337">
        <f t="shared" si="78"/>
        <v>0</v>
      </c>
      <c r="AH64" s="337">
        <f t="shared" si="78"/>
        <v>0</v>
      </c>
      <c r="AI64" s="337">
        <f t="shared" si="78"/>
        <v>0</v>
      </c>
      <c r="AJ64" s="337">
        <f t="shared" si="78"/>
        <v>0</v>
      </c>
      <c r="AK64" s="337">
        <f t="shared" si="78"/>
        <v>0</v>
      </c>
      <c r="AL64" s="337">
        <f t="shared" si="78"/>
        <v>0</v>
      </c>
      <c r="AM64" s="337"/>
      <c r="AN64" s="337"/>
      <c r="AP64" s="26"/>
      <c r="AQ64" s="26"/>
      <c r="AR64" s="26"/>
      <c r="AS64" s="26"/>
      <c r="AT64" s="26"/>
      <c r="AU64" s="26"/>
      <c r="AV64" s="26"/>
      <c r="AW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V64" s="26"/>
      <c r="BW64" s="26"/>
      <c r="BX64" s="26"/>
      <c r="BY64" s="26"/>
      <c r="BZ64" s="26"/>
      <c r="CA64" s="26"/>
      <c r="CB64" s="26"/>
      <c r="CD64" s="26"/>
      <c r="CF64" s="26"/>
      <c r="CH64" s="26"/>
      <c r="CU64" s="26"/>
      <c r="CV64" s="26"/>
      <c r="CW64" s="26"/>
      <c r="CX64" s="26"/>
      <c r="CY64" s="26"/>
      <c r="CZ64" s="26"/>
      <c r="DA64" s="26"/>
      <c r="EA64" s="38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S64" s="26"/>
      <c r="FD64" s="26"/>
      <c r="FG64" s="26"/>
      <c r="FX64" s="195">
        <f t="shared" si="75"/>
        <v>0</v>
      </c>
      <c r="FZ64" s="195">
        <f t="shared" si="76"/>
        <v>0</v>
      </c>
      <c r="GB64" s="195">
        <f t="shared" si="77"/>
        <v>0</v>
      </c>
    </row>
    <row r="65" spans="1:187">
      <c r="A65" s="284" t="s">
        <v>536</v>
      </c>
      <c r="P65" s="142">
        <f t="shared" si="69"/>
        <v>0</v>
      </c>
      <c r="Q65" s="142">
        <f>AQ65+0</f>
        <v>0</v>
      </c>
      <c r="R65" s="337">
        <v>0</v>
      </c>
      <c r="S65" s="337">
        <v>0</v>
      </c>
      <c r="T65" s="337">
        <f t="shared" si="70"/>
        <v>0</v>
      </c>
      <c r="U65" s="337">
        <f t="shared" si="71"/>
        <v>0</v>
      </c>
      <c r="V65" s="337">
        <f t="shared" si="72"/>
        <v>0</v>
      </c>
      <c r="W65" s="337">
        <f t="shared" si="73"/>
        <v>0</v>
      </c>
      <c r="X65" s="337">
        <f t="shared" si="73"/>
        <v>0</v>
      </c>
      <c r="Y65" s="337">
        <f t="shared" ref="Y65:Y77" si="80">AY65+0</f>
        <v>0</v>
      </c>
      <c r="Z65" s="337">
        <f t="shared" ref="Z65:AL65" si="81">AZ65+0</f>
        <v>0</v>
      </c>
      <c r="AA65" s="337">
        <f t="shared" si="81"/>
        <v>0</v>
      </c>
      <c r="AB65" s="337">
        <f t="shared" si="81"/>
        <v>0</v>
      </c>
      <c r="AC65" s="337">
        <f t="shared" si="81"/>
        <v>0</v>
      </c>
      <c r="AD65" s="337">
        <f t="shared" si="81"/>
        <v>0</v>
      </c>
      <c r="AE65" s="337">
        <f t="shared" si="81"/>
        <v>0</v>
      </c>
      <c r="AF65" s="337">
        <f t="shared" si="81"/>
        <v>0</v>
      </c>
      <c r="AG65" s="337">
        <f t="shared" si="81"/>
        <v>0</v>
      </c>
      <c r="AH65" s="337">
        <f t="shared" si="81"/>
        <v>0</v>
      </c>
      <c r="AI65" s="337">
        <f t="shared" si="81"/>
        <v>0</v>
      </c>
      <c r="AJ65" s="337">
        <f t="shared" si="81"/>
        <v>0</v>
      </c>
      <c r="AK65" s="337">
        <f t="shared" si="81"/>
        <v>0</v>
      </c>
      <c r="AL65" s="337">
        <f t="shared" si="81"/>
        <v>0</v>
      </c>
      <c r="AM65" s="337"/>
      <c r="AN65" s="337"/>
      <c r="AP65" s="26"/>
      <c r="AQ65" s="26"/>
      <c r="AR65" s="26"/>
      <c r="AS65" s="26"/>
      <c r="AT65" s="26"/>
      <c r="AU65" s="26"/>
      <c r="AV65" s="26"/>
      <c r="AW65" s="26"/>
      <c r="AY65" s="26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N65" s="251">
        <v>-50</v>
      </c>
      <c r="BV65" s="26"/>
      <c r="BW65" s="26"/>
      <c r="BX65" s="26"/>
      <c r="BY65" s="26"/>
      <c r="BZ65" s="26"/>
      <c r="CA65" s="26"/>
      <c r="CB65" s="26"/>
      <c r="CD65" s="26"/>
      <c r="CF65" s="26"/>
      <c r="CH65" s="26"/>
      <c r="CU65" s="26"/>
      <c r="CV65" s="26"/>
      <c r="CW65" s="26"/>
      <c r="CX65" s="26"/>
      <c r="CY65" s="26"/>
      <c r="CZ65" s="26"/>
      <c r="DA65" s="26"/>
      <c r="EA65" s="277"/>
      <c r="EB65" s="26"/>
      <c r="EC65" s="26"/>
      <c r="ED65" s="26"/>
      <c r="EE65" s="251"/>
      <c r="EF65" s="251"/>
      <c r="EG65" s="251"/>
      <c r="EH65" s="251"/>
      <c r="EI65" s="251"/>
      <c r="EJ65" s="251"/>
      <c r="EK65" s="251"/>
      <c r="EL65" s="251"/>
      <c r="EM65" s="251"/>
      <c r="EN65" s="251"/>
      <c r="EO65" s="251"/>
      <c r="EP65" s="251"/>
      <c r="EQ65" s="251"/>
      <c r="ES65" s="26"/>
      <c r="FD65" s="26"/>
      <c r="FG65" s="26">
        <f>12*8.54</f>
        <v>102.47999999999999</v>
      </c>
      <c r="FX65" s="142">
        <f>GG65-21</f>
        <v>-21</v>
      </c>
      <c r="FZ65" s="142">
        <f>GJ65-21</f>
        <v>-21</v>
      </c>
      <c r="GB65" s="142">
        <f>GM65-21</f>
        <v>-21</v>
      </c>
      <c r="GE65" s="1108">
        <v>60</v>
      </c>
    </row>
    <row r="66" spans="1:187">
      <c r="A66" s="284" t="s">
        <v>4608</v>
      </c>
      <c r="B66" s="3" t="s">
        <v>2499</v>
      </c>
      <c r="P66" s="142">
        <f t="shared" si="69"/>
        <v>0</v>
      </c>
      <c r="Q66" s="195">
        <f>AQ66+0</f>
        <v>0</v>
      </c>
      <c r="R66" s="337">
        <v>0</v>
      </c>
      <c r="S66" s="337">
        <v>0</v>
      </c>
      <c r="T66" s="337">
        <f t="shared" si="70"/>
        <v>0</v>
      </c>
      <c r="U66" s="337">
        <f t="shared" si="71"/>
        <v>0</v>
      </c>
      <c r="V66" s="337">
        <f t="shared" si="72"/>
        <v>0</v>
      </c>
      <c r="W66" s="337">
        <f t="shared" si="73"/>
        <v>0</v>
      </c>
      <c r="X66" s="337">
        <f t="shared" si="74"/>
        <v>0</v>
      </c>
      <c r="Y66" s="337">
        <f t="shared" si="80"/>
        <v>0</v>
      </c>
      <c r="Z66" s="337">
        <f t="shared" ref="Z66:AC72" si="82">AZ66+0</f>
        <v>0</v>
      </c>
      <c r="AA66" s="337">
        <f t="shared" si="82"/>
        <v>0</v>
      </c>
      <c r="AB66" s="337">
        <f t="shared" si="82"/>
        <v>0</v>
      </c>
      <c r="AC66" s="337">
        <f t="shared" si="82"/>
        <v>0</v>
      </c>
      <c r="AD66" s="337">
        <f t="shared" ref="AD66:AD72" si="83">BD66+0</f>
        <v>0</v>
      </c>
      <c r="AE66" s="337">
        <f t="shared" ref="AE66:AE72" si="84">BE66+0</f>
        <v>0</v>
      </c>
      <c r="AF66" s="337">
        <f t="shared" ref="AF66:AF72" si="85">BF66+0</f>
        <v>0</v>
      </c>
      <c r="AG66" s="337">
        <f t="shared" ref="AG66:AG72" si="86">BG66+0</f>
        <v>0</v>
      </c>
      <c r="AH66" s="337">
        <f t="shared" ref="AH66:AH72" si="87">BH66+0</f>
        <v>0</v>
      </c>
      <c r="AI66" s="337">
        <f t="shared" ref="AI66:AI72" si="88">BI66+0</f>
        <v>0</v>
      </c>
      <c r="AJ66" s="337">
        <f t="shared" ref="AJ66:AJ72" si="89">BJ66+0</f>
        <v>0</v>
      </c>
      <c r="AK66" s="337">
        <f t="shared" ref="AK66:AK72" si="90">BK66+0</f>
        <v>0</v>
      </c>
      <c r="AL66" s="337">
        <f t="shared" ref="AL66:AL72" si="91">BL66+0</f>
        <v>0</v>
      </c>
      <c r="AM66" s="337"/>
      <c r="AN66" s="337">
        <f>BD66+0</f>
        <v>0</v>
      </c>
      <c r="AP66" s="26"/>
      <c r="AQ66" s="26"/>
      <c r="AR66" s="26"/>
      <c r="AS66" s="26"/>
      <c r="AT66" s="26"/>
      <c r="AU66" s="26"/>
      <c r="AV66" s="26"/>
      <c r="AW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V66" s="26"/>
      <c r="BW66" s="26"/>
      <c r="BX66" s="26"/>
      <c r="BY66" s="26"/>
      <c r="BZ66" s="26"/>
      <c r="CA66" s="26"/>
      <c r="CB66" s="26"/>
      <c r="CD66" s="26"/>
      <c r="CF66" s="26"/>
      <c r="CH66" s="26"/>
      <c r="CU66" s="26"/>
      <c r="CV66" s="26"/>
      <c r="CW66" s="26"/>
      <c r="CX66" s="26"/>
      <c r="CY66" s="26"/>
      <c r="CZ66" s="26"/>
      <c r="DA66" s="26"/>
      <c r="EA66" s="277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S66" s="26"/>
      <c r="FD66" s="26"/>
      <c r="FG66" s="26"/>
      <c r="FX66" s="195">
        <f>GG66+0</f>
        <v>0</v>
      </c>
      <c r="FZ66" s="195">
        <f>GJ66+0</f>
        <v>0</v>
      </c>
      <c r="GB66" s="195">
        <f>GM66+0</f>
        <v>0</v>
      </c>
    </row>
    <row r="67" spans="1:187">
      <c r="A67" s="284" t="s">
        <v>2353</v>
      </c>
      <c r="B67" s="3" t="s">
        <v>2499</v>
      </c>
      <c r="L67" s="7"/>
      <c r="M67" s="7"/>
      <c r="P67" s="142">
        <f t="shared" si="69"/>
        <v>0</v>
      </c>
      <c r="Q67" s="142">
        <f>AQ67+0</f>
        <v>0</v>
      </c>
      <c r="R67" s="337">
        <v>0</v>
      </c>
      <c r="S67" s="337">
        <v>0</v>
      </c>
      <c r="T67" s="337">
        <f t="shared" si="70"/>
        <v>0</v>
      </c>
      <c r="U67" s="337">
        <f t="shared" si="71"/>
        <v>0</v>
      </c>
      <c r="V67" s="337">
        <f t="shared" si="72"/>
        <v>0</v>
      </c>
      <c r="W67" s="337">
        <f t="shared" si="73"/>
        <v>0</v>
      </c>
      <c r="X67" s="337">
        <f t="shared" si="74"/>
        <v>0</v>
      </c>
      <c r="Y67" s="337">
        <f t="shared" si="80"/>
        <v>0</v>
      </c>
      <c r="Z67" s="337">
        <f t="shared" si="82"/>
        <v>0</v>
      </c>
      <c r="AA67" s="337">
        <f t="shared" si="82"/>
        <v>0</v>
      </c>
      <c r="AB67" s="337">
        <f t="shared" si="82"/>
        <v>0</v>
      </c>
      <c r="AC67" s="337">
        <f t="shared" si="82"/>
        <v>0</v>
      </c>
      <c r="AD67" s="337">
        <f t="shared" si="83"/>
        <v>0</v>
      </c>
      <c r="AE67" s="337">
        <f t="shared" si="84"/>
        <v>0</v>
      </c>
      <c r="AF67" s="337">
        <f t="shared" si="85"/>
        <v>0</v>
      </c>
      <c r="AG67" s="337">
        <f t="shared" si="86"/>
        <v>0</v>
      </c>
      <c r="AH67" s="337">
        <f t="shared" si="87"/>
        <v>0</v>
      </c>
      <c r="AI67" s="337">
        <f t="shared" si="88"/>
        <v>0</v>
      </c>
      <c r="AJ67" s="337">
        <f t="shared" si="89"/>
        <v>0</v>
      </c>
      <c r="AK67" s="337">
        <f t="shared" si="90"/>
        <v>0</v>
      </c>
      <c r="AL67" s="337">
        <f t="shared" si="91"/>
        <v>0</v>
      </c>
      <c r="AM67" s="337"/>
      <c r="AN67" s="337">
        <f>BD67+0</f>
        <v>0</v>
      </c>
      <c r="AP67" s="26"/>
      <c r="AQ67" s="26"/>
      <c r="AR67" s="26"/>
      <c r="AS67" s="26"/>
      <c r="AT67" s="26"/>
      <c r="AU67" s="26"/>
      <c r="AV67" s="26"/>
      <c r="AW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N67" s="26">
        <v>242</v>
      </c>
      <c r="BP67" s="76"/>
      <c r="BT67" s="76"/>
      <c r="BV67" s="26"/>
      <c r="BW67" s="26"/>
      <c r="BX67" s="26"/>
      <c r="BY67" s="26"/>
      <c r="BZ67" s="26"/>
      <c r="CA67" s="26"/>
      <c r="CB67" s="26"/>
      <c r="CC67" s="76"/>
      <c r="CD67" s="26">
        <v>100</v>
      </c>
      <c r="CF67" s="26"/>
      <c r="CH67" s="26"/>
      <c r="CL67" s="76"/>
      <c r="CP67" s="76"/>
      <c r="CR67" s="76"/>
      <c r="CT67" s="76"/>
      <c r="CU67" s="26"/>
      <c r="CV67" s="26"/>
      <c r="CW67" s="26"/>
      <c r="CX67" s="26"/>
      <c r="CY67" s="26"/>
      <c r="CZ67" s="26"/>
      <c r="DA67" s="26"/>
      <c r="DZ67" s="7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76"/>
      <c r="ES67" s="26"/>
      <c r="ET67" s="76"/>
      <c r="EU67" s="76"/>
      <c r="EV67" s="76"/>
      <c r="EW67" s="76"/>
      <c r="EZ67" s="28"/>
      <c r="FC67" s="28"/>
      <c r="FD67" s="26"/>
      <c r="FE67" s="28"/>
      <c r="FG67" s="26">
        <f>4*3.73</f>
        <v>14.92</v>
      </c>
      <c r="FH67" s="28"/>
      <c r="FI67" s="28"/>
      <c r="FJ67" s="28"/>
      <c r="FK67" s="28"/>
      <c r="FL67" s="28"/>
      <c r="FO67" s="28"/>
      <c r="FP67" s="28"/>
      <c r="FQ67" s="28"/>
      <c r="FR67" s="28"/>
      <c r="FS67" s="28"/>
      <c r="FX67" s="142">
        <f>GG67+33</f>
        <v>33</v>
      </c>
      <c r="FZ67" s="369">
        <f>GJ67-163</f>
        <v>-163</v>
      </c>
      <c r="GB67" s="369">
        <f>GM67+12</f>
        <v>12</v>
      </c>
      <c r="GE67" s="1108">
        <v>60</v>
      </c>
    </row>
    <row r="68" spans="1:187">
      <c r="A68" s="256" t="s">
        <v>3314</v>
      </c>
      <c r="B68" s="3" t="s">
        <v>2499</v>
      </c>
      <c r="P68" s="142">
        <f>AP68</f>
        <v>0</v>
      </c>
      <c r="Q68" s="195">
        <f>AQ68</f>
        <v>0</v>
      </c>
      <c r="R68" s="337">
        <v>0</v>
      </c>
      <c r="S68" s="337">
        <v>0</v>
      </c>
      <c r="T68" s="337">
        <f t="shared" si="70"/>
        <v>0</v>
      </c>
      <c r="U68" s="337">
        <f t="shared" si="71"/>
        <v>0</v>
      </c>
      <c r="V68" s="337">
        <f t="shared" si="72"/>
        <v>0</v>
      </c>
      <c r="W68" s="337">
        <f t="shared" si="73"/>
        <v>0</v>
      </c>
      <c r="X68" s="337">
        <f t="shared" si="74"/>
        <v>0</v>
      </c>
      <c r="Y68" s="337">
        <f t="shared" si="80"/>
        <v>0</v>
      </c>
      <c r="Z68" s="337">
        <f t="shared" si="82"/>
        <v>0</v>
      </c>
      <c r="AA68" s="337">
        <f t="shared" si="82"/>
        <v>0</v>
      </c>
      <c r="AB68" s="337">
        <f t="shared" si="82"/>
        <v>0</v>
      </c>
      <c r="AC68" s="337">
        <f t="shared" si="82"/>
        <v>0</v>
      </c>
      <c r="AD68" s="337">
        <f t="shared" si="83"/>
        <v>0</v>
      </c>
      <c r="AE68" s="337">
        <f t="shared" si="84"/>
        <v>0</v>
      </c>
      <c r="AF68" s="337">
        <f t="shared" si="85"/>
        <v>0</v>
      </c>
      <c r="AG68" s="337">
        <f t="shared" si="86"/>
        <v>0</v>
      </c>
      <c r="AH68" s="337">
        <f t="shared" si="87"/>
        <v>0</v>
      </c>
      <c r="AI68" s="337">
        <f t="shared" si="88"/>
        <v>0</v>
      </c>
      <c r="AJ68" s="337">
        <f t="shared" si="89"/>
        <v>0</v>
      </c>
      <c r="AK68" s="337">
        <f t="shared" si="90"/>
        <v>0</v>
      </c>
      <c r="AL68" s="337">
        <f t="shared" si="91"/>
        <v>0</v>
      </c>
      <c r="AM68" s="337"/>
      <c r="AN68" s="337">
        <f t="shared" ref="AN68:AN77" si="92">BD68+0</f>
        <v>0</v>
      </c>
      <c r="AP68" s="26"/>
      <c r="AQ68" s="26"/>
      <c r="AR68" s="26"/>
      <c r="AS68" s="26"/>
      <c r="AT68" s="26"/>
      <c r="AU68" s="26"/>
      <c r="AV68" s="26"/>
      <c r="AW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V68" s="26"/>
      <c r="BW68" s="26"/>
      <c r="BX68" s="26"/>
      <c r="BY68" s="26"/>
      <c r="BZ68" s="26"/>
      <c r="CA68" s="26"/>
      <c r="CB68" s="26"/>
      <c r="CD68" s="26"/>
      <c r="CF68" s="26"/>
      <c r="CH68" s="26"/>
      <c r="CU68" s="26"/>
      <c r="CV68" s="26"/>
      <c r="CW68" s="26"/>
      <c r="CX68" s="26"/>
      <c r="CY68" s="26"/>
      <c r="CZ68" s="26"/>
      <c r="DA68" s="26"/>
      <c r="EA68" s="277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S68" s="26"/>
      <c r="FD68" s="26"/>
      <c r="FG68" s="26">
        <v>0.95</v>
      </c>
      <c r="FX68" s="142">
        <f>GG68+0</f>
        <v>0</v>
      </c>
      <c r="FZ68" s="142">
        <f>GJ68+0</f>
        <v>0</v>
      </c>
      <c r="GB68" s="142">
        <f>GM68+0</f>
        <v>0</v>
      </c>
    </row>
    <row r="69" spans="1:187">
      <c r="A69" s="284" t="s">
        <v>3843</v>
      </c>
      <c r="B69" s="3" t="s">
        <v>2499</v>
      </c>
      <c r="P69" s="142">
        <f>AP69</f>
        <v>0</v>
      </c>
      <c r="Q69" s="142">
        <f>AQ69</f>
        <v>0</v>
      </c>
      <c r="R69" s="337">
        <v>0</v>
      </c>
      <c r="S69" s="337">
        <v>0</v>
      </c>
      <c r="T69" s="337">
        <f t="shared" si="70"/>
        <v>0</v>
      </c>
      <c r="U69" s="337">
        <f t="shared" si="71"/>
        <v>0</v>
      </c>
      <c r="V69" s="337">
        <f t="shared" si="72"/>
        <v>0</v>
      </c>
      <c r="W69" s="337">
        <f t="shared" si="73"/>
        <v>0</v>
      </c>
      <c r="X69" s="337">
        <f t="shared" si="74"/>
        <v>0</v>
      </c>
      <c r="Y69" s="337">
        <f t="shared" si="80"/>
        <v>0</v>
      </c>
      <c r="Z69" s="337">
        <f t="shared" si="82"/>
        <v>0</v>
      </c>
      <c r="AA69" s="337">
        <f t="shared" si="82"/>
        <v>0</v>
      </c>
      <c r="AB69" s="337">
        <f t="shared" si="82"/>
        <v>0</v>
      </c>
      <c r="AC69" s="337">
        <f t="shared" si="82"/>
        <v>0</v>
      </c>
      <c r="AD69" s="337">
        <f t="shared" si="83"/>
        <v>0</v>
      </c>
      <c r="AE69" s="337">
        <f t="shared" si="84"/>
        <v>0</v>
      </c>
      <c r="AF69" s="337">
        <f t="shared" si="85"/>
        <v>0</v>
      </c>
      <c r="AG69" s="337">
        <f t="shared" si="86"/>
        <v>0</v>
      </c>
      <c r="AH69" s="337">
        <f t="shared" si="87"/>
        <v>0</v>
      </c>
      <c r="AI69" s="337">
        <f t="shared" si="88"/>
        <v>0</v>
      </c>
      <c r="AJ69" s="337">
        <f t="shared" si="89"/>
        <v>0</v>
      </c>
      <c r="AK69" s="337">
        <f t="shared" si="90"/>
        <v>0</v>
      </c>
      <c r="AL69" s="337">
        <f t="shared" si="91"/>
        <v>0</v>
      </c>
      <c r="AM69" s="337"/>
      <c r="AN69" s="337">
        <f t="shared" si="92"/>
        <v>0</v>
      </c>
      <c r="AP69" s="26"/>
      <c r="AQ69" s="26"/>
      <c r="AR69" s="26"/>
      <c r="AS69" s="26"/>
      <c r="AT69" s="26"/>
      <c r="AU69" s="26"/>
      <c r="AV69" s="26"/>
      <c r="AW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V69" s="26"/>
      <c r="BW69" s="26"/>
      <c r="BX69" s="26"/>
      <c r="BY69" s="26"/>
      <c r="BZ69" s="26"/>
      <c r="CA69" s="26"/>
      <c r="CB69" s="26"/>
      <c r="CD69" s="26"/>
      <c r="CF69" s="26"/>
      <c r="CH69" s="26">
        <v>100</v>
      </c>
      <c r="CU69" s="26"/>
      <c r="CV69" s="26"/>
      <c r="CW69" s="26"/>
      <c r="CX69" s="26"/>
      <c r="CY69" s="26"/>
      <c r="CZ69" s="26"/>
      <c r="DA69" s="26"/>
      <c r="EA69" s="277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S69" s="26"/>
      <c r="FD69" s="26">
        <v>-200</v>
      </c>
      <c r="FE69" s="26">
        <v>-42</v>
      </c>
      <c r="FF69" s="26">
        <v>50</v>
      </c>
      <c r="FG69" s="26">
        <f>7*9.03</f>
        <v>63.209999999999994</v>
      </c>
      <c r="FH69" s="26">
        <v>-42</v>
      </c>
      <c r="FI69" s="26">
        <v>-56</v>
      </c>
      <c r="FJ69" s="26">
        <v>-80</v>
      </c>
      <c r="FK69" s="26">
        <v>-51</v>
      </c>
      <c r="FL69" s="26">
        <v>-58</v>
      </c>
      <c r="FX69" s="142">
        <f>GG69-6</f>
        <v>-6</v>
      </c>
      <c r="FZ69" s="369">
        <f>GJ69+52</f>
        <v>52</v>
      </c>
      <c r="GB69" s="369">
        <f>GM69+45</f>
        <v>45</v>
      </c>
      <c r="GE69" s="1108">
        <v>-75</v>
      </c>
    </row>
    <row r="70" spans="1:187">
      <c r="A70" s="284" t="s">
        <v>1720</v>
      </c>
      <c r="B70" s="3" t="s">
        <v>2499</v>
      </c>
      <c r="P70" s="142">
        <f>AP70+0</f>
        <v>0</v>
      </c>
      <c r="Q70" s="142">
        <f>AQ70+0</f>
        <v>0</v>
      </c>
      <c r="R70" s="337">
        <v>0</v>
      </c>
      <c r="S70" s="337">
        <v>0</v>
      </c>
      <c r="T70" s="337">
        <f t="shared" si="70"/>
        <v>0</v>
      </c>
      <c r="U70" s="337">
        <f t="shared" si="71"/>
        <v>0</v>
      </c>
      <c r="V70" s="337">
        <f t="shared" si="72"/>
        <v>0</v>
      </c>
      <c r="W70" s="337">
        <f t="shared" si="73"/>
        <v>0</v>
      </c>
      <c r="X70" s="337">
        <f t="shared" si="74"/>
        <v>0</v>
      </c>
      <c r="Y70" s="337">
        <f t="shared" si="80"/>
        <v>0</v>
      </c>
      <c r="Z70" s="337">
        <f t="shared" si="82"/>
        <v>0</v>
      </c>
      <c r="AA70" s="337">
        <f t="shared" si="82"/>
        <v>0</v>
      </c>
      <c r="AB70" s="337">
        <f t="shared" si="82"/>
        <v>0</v>
      </c>
      <c r="AC70" s="337">
        <f t="shared" si="82"/>
        <v>0</v>
      </c>
      <c r="AD70" s="337">
        <f t="shared" si="83"/>
        <v>0</v>
      </c>
      <c r="AE70" s="337">
        <f t="shared" si="84"/>
        <v>0</v>
      </c>
      <c r="AF70" s="337">
        <f t="shared" si="85"/>
        <v>0</v>
      </c>
      <c r="AG70" s="337">
        <f t="shared" si="86"/>
        <v>0</v>
      </c>
      <c r="AH70" s="337">
        <f t="shared" si="87"/>
        <v>0</v>
      </c>
      <c r="AI70" s="337">
        <f t="shared" si="88"/>
        <v>0</v>
      </c>
      <c r="AJ70" s="337">
        <f t="shared" si="89"/>
        <v>0</v>
      </c>
      <c r="AK70" s="337">
        <f t="shared" si="90"/>
        <v>0</v>
      </c>
      <c r="AL70" s="337">
        <f t="shared" si="91"/>
        <v>0</v>
      </c>
      <c r="AM70" s="337"/>
      <c r="AN70" s="337">
        <f t="shared" si="92"/>
        <v>0</v>
      </c>
      <c r="AP70" s="26"/>
      <c r="AQ70" s="26"/>
      <c r="AR70" s="26"/>
      <c r="AS70" s="26"/>
      <c r="AT70" s="26"/>
      <c r="AU70" s="26"/>
      <c r="AV70" s="26"/>
      <c r="AW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V70" s="26"/>
      <c r="BW70" s="26"/>
      <c r="BX70" s="26"/>
      <c r="BY70" s="26"/>
      <c r="BZ70" s="26"/>
      <c r="CA70" s="26"/>
      <c r="CB70" s="26"/>
      <c r="CD70" s="26"/>
      <c r="CF70" s="26"/>
      <c r="CH70" s="26"/>
      <c r="CU70" s="26"/>
      <c r="CV70" s="26"/>
      <c r="CW70" s="26"/>
      <c r="CX70" s="26"/>
      <c r="CY70" s="26"/>
      <c r="CZ70" s="26"/>
      <c r="DA70" s="26"/>
      <c r="EA70" s="277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S70" s="26"/>
      <c r="FG70" s="26">
        <f>-22*1.41</f>
        <v>-31.02</v>
      </c>
      <c r="FX70" s="142">
        <f>GG70-98</f>
        <v>-98</v>
      </c>
      <c r="FZ70" s="369">
        <f>GJ70+1013</f>
        <v>1013</v>
      </c>
      <c r="GB70" s="369">
        <f>GM70-15</f>
        <v>-15</v>
      </c>
    </row>
    <row r="71" spans="1:187">
      <c r="A71" s="256" t="s">
        <v>2351</v>
      </c>
      <c r="B71" s="3" t="s">
        <v>2499</v>
      </c>
      <c r="P71" s="142">
        <f>AP71</f>
        <v>0</v>
      </c>
      <c r="Q71" s="195">
        <f>AQ71+0</f>
        <v>0</v>
      </c>
      <c r="R71" s="337">
        <v>0</v>
      </c>
      <c r="S71" s="337">
        <v>0</v>
      </c>
      <c r="T71" s="337">
        <f t="shared" si="70"/>
        <v>0</v>
      </c>
      <c r="U71" s="337">
        <f t="shared" si="71"/>
        <v>0</v>
      </c>
      <c r="V71" s="337">
        <f t="shared" si="72"/>
        <v>0</v>
      </c>
      <c r="W71" s="337">
        <f t="shared" si="73"/>
        <v>0</v>
      </c>
      <c r="X71" s="337">
        <f t="shared" si="74"/>
        <v>0</v>
      </c>
      <c r="Y71" s="337">
        <f t="shared" si="80"/>
        <v>0</v>
      </c>
      <c r="Z71" s="337">
        <f t="shared" si="82"/>
        <v>0</v>
      </c>
      <c r="AA71" s="337">
        <f t="shared" si="82"/>
        <v>0</v>
      </c>
      <c r="AB71" s="337">
        <f t="shared" si="82"/>
        <v>0</v>
      </c>
      <c r="AC71" s="337">
        <f t="shared" si="82"/>
        <v>0</v>
      </c>
      <c r="AD71" s="337">
        <f t="shared" si="83"/>
        <v>0</v>
      </c>
      <c r="AE71" s="337">
        <f t="shared" si="84"/>
        <v>0</v>
      </c>
      <c r="AF71" s="337">
        <f t="shared" si="85"/>
        <v>0</v>
      </c>
      <c r="AG71" s="337">
        <f t="shared" si="86"/>
        <v>0</v>
      </c>
      <c r="AH71" s="337">
        <f t="shared" si="87"/>
        <v>0</v>
      </c>
      <c r="AI71" s="337">
        <f t="shared" si="88"/>
        <v>0</v>
      </c>
      <c r="AJ71" s="337">
        <f t="shared" si="89"/>
        <v>0</v>
      </c>
      <c r="AK71" s="337">
        <f t="shared" si="90"/>
        <v>0</v>
      </c>
      <c r="AL71" s="337">
        <f t="shared" si="91"/>
        <v>0</v>
      </c>
      <c r="AM71" s="337"/>
      <c r="AN71" s="337">
        <f t="shared" si="92"/>
        <v>0</v>
      </c>
      <c r="AP71" s="26"/>
      <c r="AQ71" s="26"/>
      <c r="AR71" s="26"/>
      <c r="AS71" s="26"/>
      <c r="AT71" s="26"/>
      <c r="AU71" s="26"/>
      <c r="AV71" s="26"/>
      <c r="AW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V71" s="26"/>
      <c r="BW71" s="26"/>
      <c r="BX71" s="26"/>
      <c r="BY71" s="26"/>
      <c r="BZ71" s="26"/>
      <c r="CA71" s="26"/>
      <c r="CB71" s="26"/>
      <c r="CD71" s="26"/>
      <c r="CF71" s="26"/>
      <c r="CH71" s="26"/>
      <c r="CU71" s="26"/>
      <c r="CV71" s="26"/>
      <c r="CW71" s="26"/>
      <c r="CX71" s="26"/>
      <c r="CY71" s="26"/>
      <c r="CZ71" s="26"/>
      <c r="DA71" s="26"/>
      <c r="EA71" s="277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S71" s="26"/>
      <c r="FG71" s="26">
        <v>3.47</v>
      </c>
      <c r="FX71" s="142">
        <f>GG71+3</f>
        <v>3</v>
      </c>
      <c r="FZ71" s="142">
        <f>GJ71+3</f>
        <v>3</v>
      </c>
      <c r="GB71" s="142">
        <f>GM71+3</f>
        <v>3</v>
      </c>
      <c r="GE71" s="1108">
        <v>75</v>
      </c>
    </row>
    <row r="72" spans="1:187">
      <c r="A72" s="284" t="s">
        <v>4608</v>
      </c>
      <c r="B72" s="3" t="s">
        <v>2499</v>
      </c>
      <c r="P72" s="142">
        <f>AP72</f>
        <v>0</v>
      </c>
      <c r="Q72" s="142">
        <f>AQ72</f>
        <v>0</v>
      </c>
      <c r="R72" s="337">
        <v>0</v>
      </c>
      <c r="S72" s="337">
        <v>0</v>
      </c>
      <c r="T72" s="337">
        <f t="shared" si="70"/>
        <v>0</v>
      </c>
      <c r="U72" s="337">
        <f t="shared" si="71"/>
        <v>0</v>
      </c>
      <c r="V72" s="337">
        <f t="shared" si="72"/>
        <v>0</v>
      </c>
      <c r="W72" s="337">
        <f t="shared" si="73"/>
        <v>0</v>
      </c>
      <c r="X72" s="337">
        <f t="shared" si="74"/>
        <v>0</v>
      </c>
      <c r="Y72" s="337">
        <f t="shared" si="80"/>
        <v>0</v>
      </c>
      <c r="Z72" s="337">
        <f t="shared" si="82"/>
        <v>0</v>
      </c>
      <c r="AA72" s="337">
        <f t="shared" si="82"/>
        <v>0</v>
      </c>
      <c r="AB72" s="337">
        <f t="shared" si="82"/>
        <v>0</v>
      </c>
      <c r="AC72" s="337">
        <f t="shared" si="82"/>
        <v>0</v>
      </c>
      <c r="AD72" s="337">
        <f t="shared" si="83"/>
        <v>0</v>
      </c>
      <c r="AE72" s="337">
        <f t="shared" si="84"/>
        <v>0</v>
      </c>
      <c r="AF72" s="337">
        <f t="shared" si="85"/>
        <v>0</v>
      </c>
      <c r="AG72" s="337">
        <f t="shared" si="86"/>
        <v>0</v>
      </c>
      <c r="AH72" s="337">
        <f t="shared" si="87"/>
        <v>0</v>
      </c>
      <c r="AI72" s="337">
        <f t="shared" si="88"/>
        <v>0</v>
      </c>
      <c r="AJ72" s="337">
        <f t="shared" si="89"/>
        <v>0</v>
      </c>
      <c r="AK72" s="337">
        <f t="shared" si="90"/>
        <v>0</v>
      </c>
      <c r="AL72" s="337">
        <f t="shared" si="91"/>
        <v>0</v>
      </c>
      <c r="AM72" s="337"/>
      <c r="AN72" s="337"/>
      <c r="AP72" s="26"/>
      <c r="AQ72" s="26"/>
      <c r="AR72" s="26"/>
      <c r="AS72" s="26"/>
      <c r="AT72" s="26"/>
      <c r="AU72" s="26"/>
      <c r="AV72" s="26"/>
      <c r="AW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V72" s="26"/>
      <c r="BW72" s="26"/>
      <c r="BX72" s="26"/>
      <c r="BY72" s="26"/>
      <c r="BZ72" s="26"/>
      <c r="CA72" s="26"/>
      <c r="CB72" s="26"/>
      <c r="CD72" s="26"/>
      <c r="CF72" s="26"/>
      <c r="CH72" s="26"/>
      <c r="CU72" s="26"/>
      <c r="CV72" s="26"/>
      <c r="CW72" s="26"/>
      <c r="CX72" s="26"/>
      <c r="CY72" s="26"/>
      <c r="CZ72" s="26"/>
      <c r="DA72" s="26"/>
      <c r="EA72" s="277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S72" s="26"/>
      <c r="FG72" s="26"/>
      <c r="FX72" s="142">
        <f>GG72-32</f>
        <v>-32</v>
      </c>
      <c r="FZ72" s="142">
        <f>GJ72-32</f>
        <v>-32</v>
      </c>
      <c r="GB72" s="142">
        <f>GM72-32</f>
        <v>-32</v>
      </c>
      <c r="GE72" s="1108">
        <v>100</v>
      </c>
    </row>
    <row r="73" spans="1:187">
      <c r="A73" s="353" t="s">
        <v>1972</v>
      </c>
      <c r="B73" s="3" t="s">
        <v>2499</v>
      </c>
      <c r="P73" s="142">
        <f>AP73</f>
        <v>0</v>
      </c>
      <c r="Q73" s="142">
        <f>AQ73</f>
        <v>0</v>
      </c>
      <c r="R73" s="337">
        <v>0</v>
      </c>
      <c r="S73" s="337">
        <v>0</v>
      </c>
      <c r="T73" s="337">
        <f t="shared" si="70"/>
        <v>0</v>
      </c>
      <c r="U73" s="337">
        <f t="shared" si="71"/>
        <v>0</v>
      </c>
      <c r="V73" s="337">
        <f t="shared" si="72"/>
        <v>0</v>
      </c>
      <c r="W73" s="337">
        <f t="shared" si="73"/>
        <v>0</v>
      </c>
      <c r="X73" s="337">
        <f t="shared" si="74"/>
        <v>0</v>
      </c>
      <c r="Y73" s="337">
        <f t="shared" si="80"/>
        <v>0</v>
      </c>
      <c r="Z73" s="337">
        <f t="shared" ref="Z73:AC77" si="93">AZ73+0</f>
        <v>0</v>
      </c>
      <c r="AA73" s="337">
        <f t="shared" si="93"/>
        <v>0</v>
      </c>
      <c r="AB73" s="337">
        <f t="shared" si="93"/>
        <v>0</v>
      </c>
      <c r="AC73" s="337">
        <f t="shared" si="93"/>
        <v>0</v>
      </c>
      <c r="AD73" s="337">
        <f t="shared" ref="AD73:AL77" si="94">BD73+0</f>
        <v>0</v>
      </c>
      <c r="AE73" s="337">
        <f t="shared" si="94"/>
        <v>0</v>
      </c>
      <c r="AF73" s="337">
        <f t="shared" si="94"/>
        <v>0</v>
      </c>
      <c r="AG73" s="337">
        <f t="shared" si="94"/>
        <v>0</v>
      </c>
      <c r="AH73" s="337">
        <f t="shared" si="94"/>
        <v>0</v>
      </c>
      <c r="AI73" s="337">
        <f t="shared" si="94"/>
        <v>0</v>
      </c>
      <c r="AJ73" s="337">
        <f t="shared" si="94"/>
        <v>0</v>
      </c>
      <c r="AK73" s="337">
        <f t="shared" si="94"/>
        <v>0</v>
      </c>
      <c r="AL73" s="337">
        <f t="shared" si="94"/>
        <v>0</v>
      </c>
      <c r="AM73" s="337"/>
      <c r="AN73" s="337">
        <f t="shared" si="92"/>
        <v>0</v>
      </c>
      <c r="AP73" s="26"/>
      <c r="AQ73" s="26"/>
      <c r="AR73" s="26"/>
      <c r="AS73" s="26"/>
      <c r="AT73" s="26"/>
      <c r="AU73" s="26"/>
      <c r="AV73" s="26"/>
      <c r="AW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76"/>
      <c r="BN73" s="76"/>
      <c r="BP73" s="76"/>
      <c r="BT73" s="76"/>
      <c r="BV73" s="26"/>
      <c r="BW73" s="26"/>
      <c r="BX73" s="26"/>
      <c r="BY73" s="26"/>
      <c r="BZ73" s="26"/>
      <c r="CA73" s="26"/>
      <c r="CB73" s="26"/>
      <c r="CC73" s="76"/>
      <c r="CD73" s="26"/>
      <c r="CF73" s="26"/>
      <c r="CH73" s="26"/>
      <c r="CL73" s="76"/>
      <c r="CP73" s="76"/>
      <c r="CR73" s="76"/>
      <c r="CT73" s="76"/>
      <c r="CU73" s="26"/>
      <c r="CV73" s="26"/>
      <c r="CW73" s="26"/>
      <c r="CX73" s="26"/>
      <c r="CY73" s="26"/>
      <c r="CZ73" s="26"/>
      <c r="DA73" s="26"/>
      <c r="DZ73" s="7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76"/>
      <c r="ES73" s="26"/>
      <c r="ET73" s="76"/>
      <c r="EU73" s="76"/>
      <c r="EV73" s="76"/>
      <c r="EW73" s="76"/>
      <c r="FG73" s="26">
        <f>-24*4.82</f>
        <v>-115.68</v>
      </c>
      <c r="FX73" s="142">
        <f>GG73-159</f>
        <v>-159</v>
      </c>
      <c r="FZ73" s="369">
        <f>GJ73-214</f>
        <v>-214</v>
      </c>
      <c r="GB73" s="369">
        <f>GM73-119</f>
        <v>-119</v>
      </c>
      <c r="GE73" s="1108">
        <v>200</v>
      </c>
    </row>
    <row r="74" spans="1:187">
      <c r="A74" s="80" t="s">
        <v>3832</v>
      </c>
      <c r="B74" s="3" t="s">
        <v>2499</v>
      </c>
      <c r="P74" s="142">
        <f>AP74</f>
        <v>0</v>
      </c>
      <c r="Q74" s="142">
        <f>AQ74</f>
        <v>0</v>
      </c>
      <c r="R74" s="337">
        <v>0</v>
      </c>
      <c r="S74" s="337">
        <v>0</v>
      </c>
      <c r="T74" s="337">
        <f t="shared" si="70"/>
        <v>0</v>
      </c>
      <c r="U74" s="337">
        <f t="shared" si="71"/>
        <v>0</v>
      </c>
      <c r="V74" s="337">
        <f t="shared" si="72"/>
        <v>0</v>
      </c>
      <c r="W74" s="337">
        <f t="shared" si="73"/>
        <v>0</v>
      </c>
      <c r="X74" s="337">
        <f t="shared" si="74"/>
        <v>0</v>
      </c>
      <c r="Y74" s="337">
        <f t="shared" si="80"/>
        <v>0</v>
      </c>
      <c r="Z74" s="337">
        <f t="shared" si="93"/>
        <v>0</v>
      </c>
      <c r="AA74" s="337">
        <f t="shared" si="93"/>
        <v>0</v>
      </c>
      <c r="AB74" s="337">
        <f t="shared" si="93"/>
        <v>0</v>
      </c>
      <c r="AC74" s="337">
        <f t="shared" si="93"/>
        <v>0</v>
      </c>
      <c r="AD74" s="337">
        <f t="shared" si="94"/>
        <v>0</v>
      </c>
      <c r="AE74" s="337">
        <f t="shared" si="94"/>
        <v>0</v>
      </c>
      <c r="AF74" s="337">
        <f t="shared" si="94"/>
        <v>0</v>
      </c>
      <c r="AG74" s="337">
        <f t="shared" si="94"/>
        <v>0</v>
      </c>
      <c r="AH74" s="337">
        <f t="shared" si="94"/>
        <v>0</v>
      </c>
      <c r="AI74" s="337">
        <f t="shared" si="94"/>
        <v>0</v>
      </c>
      <c r="AJ74" s="337">
        <f t="shared" si="94"/>
        <v>0</v>
      </c>
      <c r="AK74" s="337">
        <f t="shared" si="94"/>
        <v>0</v>
      </c>
      <c r="AL74" s="337">
        <f t="shared" si="94"/>
        <v>0</v>
      </c>
      <c r="AM74" s="337"/>
      <c r="AN74" s="337">
        <f t="shared" si="92"/>
        <v>0</v>
      </c>
      <c r="AP74" s="26"/>
      <c r="AQ74" s="26"/>
      <c r="AR74" s="26"/>
      <c r="AS74" s="26"/>
      <c r="AT74" s="26"/>
      <c r="AU74" s="26"/>
      <c r="AV74" s="26"/>
      <c r="AW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V74" s="26"/>
      <c r="BW74" s="26"/>
      <c r="BX74" s="26"/>
      <c r="BY74" s="26"/>
      <c r="BZ74" s="26"/>
      <c r="CA74" s="26"/>
      <c r="CB74" s="26"/>
      <c r="CD74" s="26"/>
      <c r="CF74" s="26"/>
      <c r="CH74" s="26"/>
      <c r="CU74" s="26"/>
      <c r="CV74" s="26"/>
      <c r="CW74" s="26"/>
      <c r="CX74" s="26"/>
      <c r="CY74" s="26"/>
      <c r="CZ74" s="26"/>
      <c r="DA74" s="26"/>
      <c r="EA74" s="277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S74" s="26"/>
      <c r="FZ74" s="369">
        <f>GJ74+185</f>
        <v>185</v>
      </c>
      <c r="GB74" s="369">
        <f>GM748+59</f>
        <v>59</v>
      </c>
    </row>
    <row r="75" spans="1:187">
      <c r="A75" s="51" t="s">
        <v>3280</v>
      </c>
      <c r="P75" s="142"/>
      <c r="Q75" s="142"/>
      <c r="R75" s="337">
        <v>0</v>
      </c>
      <c r="S75" s="337">
        <v>0</v>
      </c>
      <c r="T75" s="337">
        <f t="shared" si="70"/>
        <v>0</v>
      </c>
      <c r="U75" s="337">
        <f t="shared" si="71"/>
        <v>0</v>
      </c>
      <c r="V75" s="337">
        <f t="shared" si="72"/>
        <v>0</v>
      </c>
      <c r="W75" s="337">
        <f t="shared" si="73"/>
        <v>0</v>
      </c>
      <c r="X75" s="337">
        <f t="shared" si="74"/>
        <v>0</v>
      </c>
      <c r="Y75" s="337">
        <f t="shared" si="80"/>
        <v>0</v>
      </c>
      <c r="Z75" s="337">
        <f t="shared" si="93"/>
        <v>0</v>
      </c>
      <c r="AA75" s="337">
        <f t="shared" si="93"/>
        <v>0</v>
      </c>
      <c r="AB75" s="337">
        <f t="shared" si="93"/>
        <v>0</v>
      </c>
      <c r="AC75" s="337">
        <f t="shared" si="93"/>
        <v>0</v>
      </c>
      <c r="AD75" s="337">
        <f t="shared" si="94"/>
        <v>0</v>
      </c>
      <c r="AE75" s="337">
        <f t="shared" si="94"/>
        <v>0</v>
      </c>
      <c r="AF75" s="337">
        <f t="shared" si="94"/>
        <v>0</v>
      </c>
      <c r="AG75" s="337">
        <f t="shared" si="94"/>
        <v>0</v>
      </c>
      <c r="AH75" s="337">
        <f t="shared" si="94"/>
        <v>0</v>
      </c>
      <c r="AI75" s="337">
        <f t="shared" si="94"/>
        <v>0</v>
      </c>
      <c r="AJ75" s="337">
        <f t="shared" si="94"/>
        <v>0</v>
      </c>
      <c r="AK75" s="337">
        <f t="shared" si="94"/>
        <v>0</v>
      </c>
      <c r="AL75" s="337">
        <f t="shared" si="94"/>
        <v>0</v>
      </c>
      <c r="AM75" s="337"/>
      <c r="AN75" s="337">
        <f t="shared" si="92"/>
        <v>0</v>
      </c>
      <c r="AP75" s="26"/>
      <c r="AQ75" s="26"/>
      <c r="AR75" s="26"/>
      <c r="AS75" s="26"/>
      <c r="AT75" s="26"/>
      <c r="AU75" s="26"/>
      <c r="AV75" s="26"/>
      <c r="AW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V75" s="26"/>
      <c r="BW75" s="26"/>
      <c r="BX75" s="26"/>
      <c r="BY75" s="26"/>
      <c r="BZ75" s="26"/>
      <c r="CA75" s="26"/>
      <c r="CB75" s="26"/>
      <c r="CD75" s="26"/>
      <c r="CF75" s="26"/>
      <c r="CH75" s="26"/>
      <c r="CU75" s="26"/>
      <c r="CV75" s="26"/>
      <c r="CW75" s="26"/>
      <c r="CX75" s="26"/>
      <c r="CY75" s="26"/>
      <c r="CZ75" s="26"/>
      <c r="D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S75" s="26"/>
    </row>
    <row r="76" spans="1:187">
      <c r="A76" s="51" t="s">
        <v>2699</v>
      </c>
      <c r="B76" s="3" t="s">
        <v>2243</v>
      </c>
      <c r="P76" s="142"/>
      <c r="Q76" s="142"/>
      <c r="R76" s="337">
        <v>0</v>
      </c>
      <c r="S76" s="337">
        <v>0</v>
      </c>
      <c r="T76" s="337">
        <f t="shared" si="70"/>
        <v>0</v>
      </c>
      <c r="U76" s="337">
        <f t="shared" si="71"/>
        <v>0</v>
      </c>
      <c r="V76" s="337">
        <f t="shared" si="72"/>
        <v>0</v>
      </c>
      <c r="W76" s="337">
        <f t="shared" si="73"/>
        <v>0</v>
      </c>
      <c r="X76" s="337">
        <f t="shared" si="74"/>
        <v>0</v>
      </c>
      <c r="Y76" s="337">
        <f t="shared" si="80"/>
        <v>0</v>
      </c>
      <c r="Z76" s="337">
        <f t="shared" si="93"/>
        <v>0</v>
      </c>
      <c r="AA76" s="337">
        <f t="shared" si="93"/>
        <v>0</v>
      </c>
      <c r="AB76" s="337">
        <f t="shared" si="93"/>
        <v>0</v>
      </c>
      <c r="AC76" s="337">
        <f t="shared" si="93"/>
        <v>0</v>
      </c>
      <c r="AD76" s="337">
        <f t="shared" si="94"/>
        <v>0</v>
      </c>
      <c r="AE76" s="337">
        <f t="shared" si="94"/>
        <v>0</v>
      </c>
      <c r="AF76" s="337">
        <f t="shared" si="94"/>
        <v>0</v>
      </c>
      <c r="AG76" s="337">
        <f t="shared" si="94"/>
        <v>0</v>
      </c>
      <c r="AH76" s="337">
        <f t="shared" si="94"/>
        <v>0</v>
      </c>
      <c r="AI76" s="337">
        <f t="shared" si="94"/>
        <v>0</v>
      </c>
      <c r="AJ76" s="337">
        <f t="shared" si="94"/>
        <v>0</v>
      </c>
      <c r="AK76" s="337">
        <f t="shared" si="94"/>
        <v>0</v>
      </c>
      <c r="AL76" s="337">
        <f t="shared" si="94"/>
        <v>0</v>
      </c>
      <c r="AM76" s="337"/>
      <c r="AN76" s="337">
        <f t="shared" si="92"/>
        <v>0</v>
      </c>
      <c r="AP76" s="26"/>
      <c r="AQ76" s="26"/>
      <c r="AR76" s="26"/>
      <c r="AS76" s="26"/>
      <c r="AT76" s="26"/>
      <c r="AU76" s="26"/>
      <c r="AV76" s="26"/>
      <c r="AW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V76" s="26"/>
      <c r="BW76" s="26"/>
      <c r="BX76" s="26"/>
      <c r="BY76" s="26"/>
      <c r="BZ76" s="26"/>
      <c r="CA76" s="26"/>
      <c r="CB76" s="26"/>
      <c r="CD76" s="26"/>
      <c r="CF76" s="26"/>
      <c r="CH76" s="26"/>
      <c r="CU76" s="26"/>
      <c r="CV76" s="26"/>
      <c r="CW76" s="26"/>
      <c r="CX76" s="26"/>
      <c r="CY76" s="26"/>
      <c r="CZ76" s="26"/>
      <c r="D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S76" s="26"/>
    </row>
    <row r="77" spans="1:187">
      <c r="A77" s="51" t="s">
        <v>2244</v>
      </c>
      <c r="P77" s="142"/>
      <c r="Q77" s="142"/>
      <c r="R77" s="337">
        <f>AR77+0</f>
        <v>0</v>
      </c>
      <c r="S77" s="337">
        <f>AS77+0</f>
        <v>0</v>
      </c>
      <c r="T77" s="337">
        <f t="shared" si="70"/>
        <v>0</v>
      </c>
      <c r="U77" s="337">
        <f t="shared" si="71"/>
        <v>0</v>
      </c>
      <c r="V77" s="337">
        <f t="shared" si="72"/>
        <v>0</v>
      </c>
      <c r="W77" s="337">
        <f t="shared" si="73"/>
        <v>0</v>
      </c>
      <c r="X77" s="337">
        <f t="shared" si="74"/>
        <v>0</v>
      </c>
      <c r="Y77" s="337">
        <f t="shared" si="80"/>
        <v>0</v>
      </c>
      <c r="Z77" s="337">
        <f t="shared" si="93"/>
        <v>0</v>
      </c>
      <c r="AA77" s="337">
        <f t="shared" si="93"/>
        <v>0</v>
      </c>
      <c r="AB77" s="337">
        <f t="shared" si="93"/>
        <v>0</v>
      </c>
      <c r="AC77" s="337">
        <f t="shared" si="93"/>
        <v>0</v>
      </c>
      <c r="AD77" s="337">
        <f t="shared" si="94"/>
        <v>0</v>
      </c>
      <c r="AE77" s="337">
        <f t="shared" si="94"/>
        <v>0</v>
      </c>
      <c r="AF77" s="337">
        <f t="shared" si="94"/>
        <v>0</v>
      </c>
      <c r="AG77" s="337">
        <f t="shared" si="94"/>
        <v>0</v>
      </c>
      <c r="AH77" s="337">
        <f t="shared" si="94"/>
        <v>0</v>
      </c>
      <c r="AI77" s="337">
        <f t="shared" si="94"/>
        <v>0</v>
      </c>
      <c r="AJ77" s="337">
        <f t="shared" si="94"/>
        <v>0</v>
      </c>
      <c r="AK77" s="337">
        <f t="shared" si="94"/>
        <v>0</v>
      </c>
      <c r="AL77" s="337">
        <f t="shared" si="94"/>
        <v>0</v>
      </c>
      <c r="AM77" s="337"/>
      <c r="AN77" s="337">
        <f t="shared" si="92"/>
        <v>0</v>
      </c>
      <c r="AP77" s="26"/>
      <c r="AQ77" s="26"/>
      <c r="AR77" s="26"/>
      <c r="AS77" s="26"/>
      <c r="AT77" s="26"/>
      <c r="AU77" s="26"/>
      <c r="AV77" s="26"/>
      <c r="AW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V77" s="26"/>
      <c r="BW77" s="26"/>
      <c r="BX77" s="26"/>
      <c r="BY77" s="26"/>
      <c r="BZ77" s="26"/>
      <c r="CA77" s="26"/>
      <c r="CB77" s="26"/>
      <c r="CD77" s="26"/>
      <c r="CF77" s="26"/>
      <c r="CH77" s="26"/>
      <c r="CU77" s="26"/>
      <c r="CV77" s="26"/>
      <c r="CW77" s="26"/>
      <c r="CX77" s="26"/>
      <c r="CY77" s="26"/>
      <c r="CZ77" s="26"/>
      <c r="D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S77" s="26"/>
    </row>
    <row r="78" spans="1:187">
      <c r="A78" s="51" t="s">
        <v>4672</v>
      </c>
      <c r="P78" s="142"/>
      <c r="Q78" s="142"/>
      <c r="R78" s="423">
        <f>AR78+1</f>
        <v>1</v>
      </c>
      <c r="S78" s="423">
        <f t="shared" ref="S78:Y78" si="95">AS78+1</f>
        <v>1</v>
      </c>
      <c r="T78" s="423">
        <f t="shared" si="95"/>
        <v>1</v>
      </c>
      <c r="U78" s="423">
        <f t="shared" si="95"/>
        <v>1</v>
      </c>
      <c r="V78" s="423">
        <f t="shared" si="95"/>
        <v>1</v>
      </c>
      <c r="W78" s="423">
        <f t="shared" si="95"/>
        <v>1</v>
      </c>
      <c r="X78" s="423">
        <f t="shared" si="95"/>
        <v>1</v>
      </c>
      <c r="Y78" s="423">
        <f t="shared" si="95"/>
        <v>1</v>
      </c>
      <c r="Z78" s="423">
        <f t="shared" ref="Z78:AL78" si="96">AZ78+1</f>
        <v>1</v>
      </c>
      <c r="AA78" s="423">
        <f t="shared" si="96"/>
        <v>1</v>
      </c>
      <c r="AB78" s="423">
        <f t="shared" si="96"/>
        <v>1</v>
      </c>
      <c r="AC78" s="423">
        <f t="shared" si="96"/>
        <v>1</v>
      </c>
      <c r="AD78" s="423">
        <f t="shared" si="96"/>
        <v>1</v>
      </c>
      <c r="AE78" s="423">
        <f t="shared" si="96"/>
        <v>1</v>
      </c>
      <c r="AF78" s="423">
        <f t="shared" si="96"/>
        <v>1</v>
      </c>
      <c r="AG78" s="423">
        <f t="shared" si="96"/>
        <v>1</v>
      </c>
      <c r="AH78" s="423">
        <f t="shared" si="96"/>
        <v>1</v>
      </c>
      <c r="AI78" s="423">
        <f t="shared" si="96"/>
        <v>1</v>
      </c>
      <c r="AJ78" s="423">
        <f t="shared" si="96"/>
        <v>1</v>
      </c>
      <c r="AK78" s="423">
        <f t="shared" si="96"/>
        <v>1</v>
      </c>
      <c r="AL78" s="423">
        <f t="shared" si="96"/>
        <v>1</v>
      </c>
      <c r="AM78" s="337"/>
      <c r="AN78" s="337"/>
      <c r="AP78" s="26"/>
      <c r="AQ78" s="26"/>
      <c r="AR78" s="26"/>
      <c r="AS78" s="26"/>
      <c r="AT78" s="26"/>
      <c r="AU78" s="26"/>
      <c r="AV78" s="26"/>
      <c r="AW78" s="26"/>
      <c r="AY78" s="26"/>
      <c r="AZ78" s="1031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V78" s="26"/>
      <c r="BW78" s="26"/>
      <c r="BX78" s="26"/>
      <c r="BY78" s="26"/>
      <c r="BZ78" s="26"/>
      <c r="CA78" s="26"/>
      <c r="CB78" s="26"/>
      <c r="CD78" s="26"/>
      <c r="CF78" s="26"/>
      <c r="CH78" s="26"/>
      <c r="CL78" s="1031">
        <v>-0.5</v>
      </c>
      <c r="CU78" s="26"/>
      <c r="CV78" s="26"/>
      <c r="CW78" s="26"/>
      <c r="CX78" s="26"/>
      <c r="CY78" s="26"/>
      <c r="CZ78" s="26"/>
      <c r="DA78" s="26"/>
      <c r="EB78" s="26"/>
      <c r="EC78" s="26"/>
      <c r="ED78" s="26"/>
      <c r="EE78" s="1031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S78" s="26"/>
    </row>
    <row r="79" spans="1:187">
      <c r="A79" s="73" t="s">
        <v>4625</v>
      </c>
      <c r="P79" s="142"/>
      <c r="Q79" s="142"/>
      <c r="R79" s="337"/>
      <c r="S79" s="337"/>
      <c r="T79" s="337"/>
      <c r="U79" s="337">
        <f t="shared" ref="U79:AD81" si="97">AU79+0</f>
        <v>0</v>
      </c>
      <c r="V79" s="337">
        <f t="shared" si="97"/>
        <v>0</v>
      </c>
      <c r="W79" s="337">
        <f t="shared" si="97"/>
        <v>0</v>
      </c>
      <c r="X79" s="337">
        <f t="shared" si="97"/>
        <v>0</v>
      </c>
      <c r="Y79" s="337">
        <f t="shared" si="97"/>
        <v>0</v>
      </c>
      <c r="Z79" s="337">
        <f t="shared" si="97"/>
        <v>0</v>
      </c>
      <c r="AA79" s="337">
        <f t="shared" si="97"/>
        <v>0</v>
      </c>
      <c r="AB79" s="337">
        <f t="shared" si="97"/>
        <v>0</v>
      </c>
      <c r="AC79" s="337">
        <f t="shared" si="97"/>
        <v>0</v>
      </c>
      <c r="AD79" s="337">
        <f t="shared" si="97"/>
        <v>0</v>
      </c>
      <c r="AE79" s="337">
        <f t="shared" ref="AE79:AL81" si="98">BE79+0</f>
        <v>0</v>
      </c>
      <c r="AF79" s="337">
        <f t="shared" si="98"/>
        <v>0</v>
      </c>
      <c r="AG79" s="337">
        <f t="shared" si="98"/>
        <v>0</v>
      </c>
      <c r="AH79" s="337">
        <f t="shared" si="98"/>
        <v>0</v>
      </c>
      <c r="AI79" s="337">
        <f t="shared" si="98"/>
        <v>0</v>
      </c>
      <c r="AJ79" s="337">
        <f t="shared" si="98"/>
        <v>0</v>
      </c>
      <c r="AK79" s="337">
        <f t="shared" si="98"/>
        <v>0</v>
      </c>
      <c r="AL79" s="337">
        <f t="shared" si="98"/>
        <v>0</v>
      </c>
      <c r="AM79" s="337"/>
      <c r="AN79" s="337">
        <f>BD79+0</f>
        <v>0</v>
      </c>
      <c r="AP79" s="26"/>
      <c r="AQ79" s="26"/>
      <c r="AR79" s="26"/>
      <c r="AS79" s="26"/>
      <c r="AT79" s="26"/>
      <c r="AU79" s="26"/>
      <c r="AV79" s="26"/>
      <c r="AW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S79" s="26">
        <f>0.6*(0.15*165)/2*2</f>
        <v>14.85</v>
      </c>
      <c r="BT79" s="26">
        <f>0.6*(0.15*165)/2*(12-2)</f>
        <v>74.25</v>
      </c>
      <c r="BV79" s="26"/>
      <c r="BW79" s="26"/>
      <c r="BX79" s="26"/>
      <c r="BY79" s="26"/>
      <c r="BZ79" s="26"/>
      <c r="CA79" s="26"/>
      <c r="CB79" s="26"/>
      <c r="CD79" s="26"/>
      <c r="CF79" s="26"/>
      <c r="CH79" s="26"/>
      <c r="CO79" s="26">
        <f>0.6*(0.15*165)/2*2</f>
        <v>14.85</v>
      </c>
      <c r="CP79" s="26">
        <f>0.6*(0.15*165)/2*(12-2)</f>
        <v>74.25</v>
      </c>
      <c r="CU79" s="26"/>
      <c r="CV79" s="26"/>
      <c r="CW79" s="26"/>
      <c r="CX79" s="26"/>
      <c r="CY79" s="26"/>
      <c r="CZ79" s="26"/>
      <c r="D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S79" s="26"/>
      <c r="FD79" s="26">
        <v>11.25</v>
      </c>
      <c r="FM79" s="967">
        <v>-194.3</v>
      </c>
      <c r="FN79" s="967">
        <v>-194.3</v>
      </c>
    </row>
    <row r="80" spans="1:187">
      <c r="A80" s="80" t="s">
        <v>1972</v>
      </c>
      <c r="P80" s="142"/>
      <c r="Q80" s="142"/>
      <c r="R80" s="337"/>
      <c r="S80" s="337"/>
      <c r="T80" s="337"/>
      <c r="U80" s="337">
        <f t="shared" si="97"/>
        <v>0</v>
      </c>
      <c r="V80" s="337">
        <f t="shared" si="97"/>
        <v>0</v>
      </c>
      <c r="W80" s="337">
        <f t="shared" si="97"/>
        <v>0</v>
      </c>
      <c r="X80" s="337">
        <f t="shared" si="97"/>
        <v>0</v>
      </c>
      <c r="Y80" s="337">
        <f t="shared" si="97"/>
        <v>0</v>
      </c>
      <c r="Z80" s="337">
        <f t="shared" si="97"/>
        <v>0</v>
      </c>
      <c r="AA80" s="337">
        <f t="shared" si="97"/>
        <v>0</v>
      </c>
      <c r="AB80" s="337">
        <f t="shared" si="97"/>
        <v>0</v>
      </c>
      <c r="AC80" s="337">
        <f t="shared" si="97"/>
        <v>0</v>
      </c>
      <c r="AD80" s="337">
        <f t="shared" si="97"/>
        <v>0</v>
      </c>
      <c r="AE80" s="337">
        <f t="shared" si="98"/>
        <v>0</v>
      </c>
      <c r="AF80" s="337">
        <f t="shared" si="98"/>
        <v>0</v>
      </c>
      <c r="AG80" s="337">
        <f t="shared" si="98"/>
        <v>0</v>
      </c>
      <c r="AH80" s="337">
        <f t="shared" si="98"/>
        <v>0</v>
      </c>
      <c r="AI80" s="337">
        <f t="shared" si="98"/>
        <v>0</v>
      </c>
      <c r="AJ80" s="337">
        <f t="shared" si="98"/>
        <v>0</v>
      </c>
      <c r="AK80" s="337">
        <f t="shared" si="98"/>
        <v>0</v>
      </c>
      <c r="AL80" s="337">
        <f t="shared" si="98"/>
        <v>0</v>
      </c>
      <c r="AM80" s="337"/>
      <c r="AN80" s="337">
        <f>BD80+0</f>
        <v>0</v>
      </c>
      <c r="AP80" s="26"/>
      <c r="AQ80" s="26"/>
      <c r="AR80" s="26"/>
      <c r="AS80" s="26"/>
      <c r="AT80" s="26"/>
      <c r="AU80" s="26"/>
      <c r="AV80" s="26"/>
      <c r="AW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V80" s="26"/>
      <c r="BW80" s="26"/>
      <c r="BX80" s="26"/>
      <c r="BY80" s="26"/>
      <c r="BZ80" s="26"/>
      <c r="CA80" s="26"/>
      <c r="CB80" s="26"/>
      <c r="CD80" s="26"/>
      <c r="CF80" s="26"/>
      <c r="CH80" s="26"/>
      <c r="CU80" s="26"/>
      <c r="CV80" s="26"/>
      <c r="CW80" s="26"/>
      <c r="CX80" s="26"/>
      <c r="CY80" s="26"/>
      <c r="CZ80" s="26"/>
      <c r="D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S80" s="26"/>
    </row>
    <row r="81" spans="1:170">
      <c r="A81" s="25" t="s">
        <v>4644</v>
      </c>
      <c r="P81" s="142"/>
      <c r="Q81" s="142"/>
      <c r="R81" s="337"/>
      <c r="S81" s="337"/>
      <c r="T81" s="337"/>
      <c r="U81" s="337">
        <f t="shared" si="97"/>
        <v>0</v>
      </c>
      <c r="V81" s="337">
        <f t="shared" si="97"/>
        <v>0</v>
      </c>
      <c r="W81" s="337">
        <f t="shared" si="97"/>
        <v>0</v>
      </c>
      <c r="X81" s="337">
        <f t="shared" si="97"/>
        <v>0</v>
      </c>
      <c r="Y81" s="337">
        <f t="shared" si="97"/>
        <v>0</v>
      </c>
      <c r="Z81" s="337">
        <f t="shared" si="97"/>
        <v>0</v>
      </c>
      <c r="AA81" s="337">
        <f t="shared" si="97"/>
        <v>0</v>
      </c>
      <c r="AB81" s="337">
        <f t="shared" si="97"/>
        <v>0</v>
      </c>
      <c r="AC81" s="337">
        <f t="shared" si="97"/>
        <v>0</v>
      </c>
      <c r="AD81" s="337">
        <f t="shared" si="97"/>
        <v>0</v>
      </c>
      <c r="AE81" s="337">
        <f t="shared" si="98"/>
        <v>0</v>
      </c>
      <c r="AF81" s="337">
        <f t="shared" si="98"/>
        <v>0</v>
      </c>
      <c r="AG81" s="337">
        <f t="shared" si="98"/>
        <v>0</v>
      </c>
      <c r="AH81" s="337">
        <f t="shared" si="98"/>
        <v>0</v>
      </c>
      <c r="AI81" s="337">
        <f t="shared" si="98"/>
        <v>0</v>
      </c>
      <c r="AJ81" s="337">
        <f t="shared" si="98"/>
        <v>0</v>
      </c>
      <c r="AK81" s="337">
        <f t="shared" si="98"/>
        <v>0</v>
      </c>
      <c r="AL81" s="337">
        <f t="shared" si="98"/>
        <v>0</v>
      </c>
      <c r="AM81" s="337"/>
      <c r="AN81" s="337">
        <f>BD81+0</f>
        <v>0</v>
      </c>
      <c r="AP81" s="26"/>
      <c r="AQ81" s="26"/>
      <c r="AR81" s="26"/>
      <c r="AS81" s="26"/>
      <c r="AT81" s="26"/>
      <c r="AU81" s="26"/>
      <c r="AV81" s="26"/>
      <c r="AW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S81" s="967">
        <f>0.67*-116</f>
        <v>-77.72</v>
      </c>
      <c r="BV81" s="26"/>
      <c r="BW81" s="26"/>
      <c r="BX81" s="26"/>
      <c r="BY81" s="26"/>
      <c r="BZ81" s="26"/>
      <c r="CA81" s="26"/>
      <c r="CB81" s="26"/>
      <c r="CD81" s="22">
        <v>-1500</v>
      </c>
      <c r="CE81" s="38"/>
      <c r="CF81" s="26"/>
      <c r="CG81" s="38"/>
      <c r="CH81" s="26"/>
      <c r="CI81" s="38"/>
      <c r="CJ81" s="38"/>
      <c r="CK81" s="38"/>
      <c r="CO81" s="967">
        <f>0.67*-116</f>
        <v>-77.72</v>
      </c>
      <c r="CU81" s="967"/>
      <c r="CV81" s="967">
        <f>0.67*-116</f>
        <v>-77.72</v>
      </c>
      <c r="CW81" s="26"/>
      <c r="CX81" s="26"/>
      <c r="CY81" s="26"/>
      <c r="CZ81" s="26"/>
      <c r="D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S81" s="26"/>
      <c r="FD81" s="26">
        <v>545</v>
      </c>
      <c r="FM81" s="967">
        <v>-80</v>
      </c>
      <c r="FN81" s="967">
        <v>-80</v>
      </c>
    </row>
    <row r="82" spans="1:170">
      <c r="A82" s="5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F82" s="3"/>
      <c r="CH82" s="3"/>
      <c r="CL82" s="3"/>
      <c r="CM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</row>
    <row r="83" spans="1:170">
      <c r="A83" s="5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F83" s="3"/>
      <c r="CH83" s="3"/>
      <c r="CL83" s="3"/>
      <c r="CM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</row>
    <row r="84" spans="1:170"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F84" s="3"/>
      <c r="CH84" s="3"/>
      <c r="CL84" s="3"/>
      <c r="CM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N84" s="3"/>
    </row>
    <row r="85" spans="1:170" hidden="1">
      <c r="A85" s="272" t="s">
        <v>2903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F85" s="3"/>
      <c r="CH85" s="3"/>
      <c r="CL85" s="3"/>
      <c r="CM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</row>
    <row r="86" spans="1:170" hidden="1">
      <c r="A86" s="38" t="s">
        <v>3823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F86" s="3"/>
      <c r="CH86" s="3"/>
      <c r="CL86" s="3"/>
      <c r="CM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</row>
    <row r="87" spans="1:170" hidden="1">
      <c r="A87" s="272" t="s">
        <v>2904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F87" s="3"/>
      <c r="CH87" s="3"/>
      <c r="CL87" s="3"/>
      <c r="CM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</row>
    <row r="88" spans="1:170" hidden="1">
      <c r="A88" s="272" t="s">
        <v>391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F88" s="3"/>
      <c r="CH88" s="3"/>
      <c r="CL88" s="3"/>
      <c r="CM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</row>
    <row r="89" spans="1:170" hidden="1">
      <c r="A89" s="272" t="s">
        <v>2900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F89" s="3"/>
      <c r="CH89" s="3"/>
      <c r="CL89" s="3"/>
      <c r="CM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</row>
    <row r="90" spans="1:170" hidden="1">
      <c r="A90" s="272" t="s">
        <v>390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F90" s="3"/>
      <c r="CH90" s="3"/>
      <c r="CL90" s="3"/>
      <c r="CM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</row>
    <row r="91" spans="1:170" hidden="1">
      <c r="A91" s="272" t="s">
        <v>3797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F91" s="3"/>
      <c r="CH91" s="3"/>
      <c r="CL91" s="3"/>
      <c r="CM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</row>
    <row r="92" spans="1:170" hidden="1"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F92" s="3"/>
      <c r="CH92" s="3"/>
      <c r="CL92" s="3"/>
      <c r="CM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</row>
    <row r="93" spans="1:170" hidden="1"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F93" s="3"/>
      <c r="CH93" s="3"/>
      <c r="CL93" s="3"/>
      <c r="CM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</row>
    <row r="94" spans="1:170" hidden="1"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F94" s="3"/>
      <c r="CH94" s="3"/>
      <c r="CL94" s="3"/>
      <c r="CM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</row>
    <row r="95" spans="1:170" hidden="1"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F95" s="3"/>
      <c r="CH95" s="3"/>
      <c r="CL95" s="3"/>
      <c r="CM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</row>
    <row r="96" spans="1:170" hidden="1"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F96" s="3"/>
      <c r="CH96" s="3"/>
      <c r="CL96" s="3"/>
      <c r="CM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</row>
    <row r="97" spans="14:168" hidden="1"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F97" s="3"/>
      <c r="CH97" s="3"/>
      <c r="CL97" s="3"/>
      <c r="CM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</row>
    <row r="98" spans="14:168" hidden="1"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F98" s="3"/>
      <c r="CH98" s="3"/>
      <c r="CL98" s="3"/>
      <c r="CM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</row>
    <row r="99" spans="14:168"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F99" s="3"/>
      <c r="CH99" s="3"/>
      <c r="CL99" s="3"/>
      <c r="CM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</row>
    <row r="100" spans="14:168"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F100" s="3"/>
      <c r="CH100" s="3"/>
      <c r="CL100" s="3"/>
      <c r="CM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</row>
    <row r="101" spans="14:168"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F101" s="3"/>
      <c r="CH101" s="3"/>
      <c r="CL101" s="3"/>
      <c r="CM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</row>
    <row r="102" spans="14:168"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F102" s="3"/>
      <c r="CH102" s="3"/>
      <c r="CL102" s="3"/>
      <c r="CM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</row>
    <row r="103" spans="14:168"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F103" s="3"/>
      <c r="CH103" s="3"/>
      <c r="CL103" s="3"/>
      <c r="CM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</row>
    <row r="104" spans="14:168"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F104" s="3"/>
      <c r="CH104" s="3"/>
      <c r="CL104" s="3"/>
      <c r="CM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</row>
    <row r="105" spans="14:168"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F105" s="3"/>
      <c r="CH105" s="3"/>
      <c r="CL105" s="3"/>
      <c r="CM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</row>
    <row r="106" spans="14:168">
      <c r="P106" s="18"/>
    </row>
    <row r="107" spans="14:168">
      <c r="P107" s="18"/>
    </row>
    <row r="108" spans="14:168">
      <c r="P108" s="18"/>
    </row>
    <row r="109" spans="14:168">
      <c r="P109" s="18"/>
    </row>
    <row r="110" spans="14:168">
      <c r="P110" s="18"/>
    </row>
    <row r="111" spans="14:168">
      <c r="P111" s="18"/>
    </row>
    <row r="112" spans="14:168">
      <c r="P112" s="18"/>
    </row>
    <row r="113" spans="16:16">
      <c r="P113" s="18"/>
    </row>
    <row r="114" spans="16:16">
      <c r="P114" s="18"/>
    </row>
    <row r="115" spans="16:16">
      <c r="P115" s="18"/>
    </row>
    <row r="116" spans="16:16">
      <c r="P116" s="18"/>
    </row>
    <row r="117" spans="16:16">
      <c r="P117" s="18"/>
    </row>
    <row r="118" spans="16:16">
      <c r="P118" s="18"/>
    </row>
    <row r="119" spans="16:16">
      <c r="P119" s="18"/>
    </row>
    <row r="120" spans="16:16">
      <c r="P120" s="18"/>
    </row>
    <row r="121" spans="16:16">
      <c r="P121" s="18"/>
    </row>
    <row r="122" spans="16:16">
      <c r="P122" s="18"/>
    </row>
    <row r="123" spans="16:16">
      <c r="P123" s="18"/>
    </row>
    <row r="124" spans="16:16">
      <c r="P124" s="18"/>
    </row>
    <row r="125" spans="16:16">
      <c r="P125" s="18"/>
    </row>
    <row r="126" spans="16:16">
      <c r="P126" s="18"/>
    </row>
    <row r="127" spans="16:16">
      <c r="P127" s="18"/>
    </row>
    <row r="128" spans="16:16">
      <c r="P128" s="18"/>
    </row>
    <row r="129" spans="16:16">
      <c r="P129" s="18"/>
    </row>
    <row r="130" spans="16:16">
      <c r="P130" s="18"/>
    </row>
    <row r="131" spans="16:16">
      <c r="P131" s="18"/>
    </row>
    <row r="132" spans="16:16">
      <c r="P132" s="18"/>
    </row>
    <row r="133" spans="16:16">
      <c r="P133" s="18"/>
    </row>
    <row r="134" spans="16:16">
      <c r="P134" s="18"/>
    </row>
    <row r="135" spans="16:16">
      <c r="P135" s="18"/>
    </row>
    <row r="136" spans="16:16">
      <c r="P136" s="18"/>
    </row>
    <row r="137" spans="16:16">
      <c r="P137" s="18"/>
    </row>
    <row r="138" spans="16:16">
      <c r="P138" s="18"/>
    </row>
    <row r="139" spans="16:16">
      <c r="P139" s="18"/>
    </row>
    <row r="140" spans="16:16">
      <c r="P140" s="18"/>
    </row>
    <row r="141" spans="16:16">
      <c r="P141" s="18"/>
    </row>
    <row r="142" spans="16:16">
      <c r="P142" s="18"/>
    </row>
    <row r="143" spans="16:16">
      <c r="P143" s="18"/>
    </row>
    <row r="144" spans="16:16">
      <c r="P144" s="18"/>
    </row>
    <row r="145" spans="16:16">
      <c r="P145" s="18"/>
    </row>
    <row r="146" spans="16:16">
      <c r="P146" s="18"/>
    </row>
    <row r="147" spans="16:16">
      <c r="P147" s="18"/>
    </row>
    <row r="148" spans="16:16">
      <c r="P148" s="18"/>
    </row>
    <row r="149" spans="16:16">
      <c r="P149" s="18"/>
    </row>
    <row r="150" spans="16:16">
      <c r="P150" s="18"/>
    </row>
    <row r="151" spans="16:16">
      <c r="P151" s="18"/>
    </row>
    <row r="152" spans="16:16">
      <c r="P152" s="18"/>
    </row>
    <row r="153" spans="16:16">
      <c r="P153" s="18"/>
    </row>
    <row r="154" spans="16:16">
      <c r="P154" s="18"/>
    </row>
    <row r="155" spans="16:16">
      <c r="P155" s="18"/>
    </row>
    <row r="156" spans="16:16">
      <c r="P156" s="18"/>
    </row>
    <row r="157" spans="16:16">
      <c r="P157" s="18"/>
    </row>
    <row r="158" spans="16:16">
      <c r="P158" s="18"/>
    </row>
    <row r="159" spans="16:16">
      <c r="P159" s="18"/>
    </row>
    <row r="160" spans="16:16">
      <c r="P160" s="18"/>
    </row>
    <row r="161" spans="16:16">
      <c r="P161" s="18"/>
    </row>
    <row r="162" spans="16:16">
      <c r="P162" s="18"/>
    </row>
    <row r="163" spans="16:16">
      <c r="P163" s="18"/>
    </row>
    <row r="164" spans="16:16">
      <c r="P164" s="18"/>
    </row>
    <row r="165" spans="16:16">
      <c r="P165" s="18"/>
    </row>
    <row r="166" spans="16:16">
      <c r="P166" s="18"/>
    </row>
    <row r="167" spans="16:16">
      <c r="P167" s="18"/>
    </row>
    <row r="168" spans="16:16">
      <c r="P168" s="18"/>
    </row>
    <row r="169" spans="16:16">
      <c r="P169" s="18"/>
    </row>
    <row r="170" spans="16:16">
      <c r="P170" s="18"/>
    </row>
    <row r="171" spans="16:16">
      <c r="P171" s="18"/>
    </row>
    <row r="172" spans="16:16">
      <c r="P172" s="18"/>
    </row>
    <row r="173" spans="16:16">
      <c r="P173" s="18"/>
    </row>
    <row r="174" spans="16:16">
      <c r="P174" s="18"/>
    </row>
    <row r="175" spans="16:16">
      <c r="P175" s="18"/>
    </row>
    <row r="176" spans="16:16">
      <c r="P176" s="18"/>
    </row>
    <row r="177" spans="16:16">
      <c r="P177" s="18"/>
    </row>
    <row r="178" spans="16:16">
      <c r="P178" s="18"/>
    </row>
    <row r="179" spans="16:16">
      <c r="P179" s="18"/>
    </row>
    <row r="180" spans="16:16">
      <c r="P180" s="18"/>
    </row>
    <row r="181" spans="16:16">
      <c r="P181" s="18"/>
    </row>
    <row r="182" spans="16:16">
      <c r="P182" s="18"/>
    </row>
    <row r="183" spans="16:16">
      <c r="P183" s="18"/>
    </row>
    <row r="184" spans="16:16">
      <c r="P184" s="18"/>
    </row>
    <row r="185" spans="16:16">
      <c r="P185" s="18"/>
    </row>
    <row r="186" spans="16:16">
      <c r="P186" s="18"/>
    </row>
    <row r="187" spans="16:16">
      <c r="P187" s="18"/>
    </row>
    <row r="188" spans="16:16">
      <c r="P188" s="18"/>
    </row>
    <row r="189" spans="16:16">
      <c r="P189" s="18"/>
    </row>
    <row r="190" spans="16:16">
      <c r="P190" s="18"/>
    </row>
    <row r="191" spans="16:16">
      <c r="P191" s="18"/>
    </row>
    <row r="192" spans="16:16">
      <c r="P192" s="18"/>
    </row>
    <row r="193" spans="16:16">
      <c r="P193" s="18"/>
    </row>
    <row r="194" spans="16:16">
      <c r="P194" s="18"/>
    </row>
    <row r="195" spans="16:16">
      <c r="P195" s="18"/>
    </row>
    <row r="196" spans="16:16">
      <c r="P196" s="18"/>
    </row>
    <row r="197" spans="16:16">
      <c r="P197" s="18"/>
    </row>
    <row r="198" spans="16:16">
      <c r="P198" s="18"/>
    </row>
    <row r="199" spans="16:16">
      <c r="P199" s="18"/>
    </row>
    <row r="200" spans="16:16">
      <c r="P200" s="18"/>
    </row>
    <row r="201" spans="16:16">
      <c r="P201" s="18"/>
    </row>
    <row r="202" spans="16:16">
      <c r="P202" s="18"/>
    </row>
    <row r="203" spans="16:16">
      <c r="P203" s="18"/>
    </row>
    <row r="204" spans="16:16">
      <c r="P204" s="18"/>
    </row>
    <row r="205" spans="16:16">
      <c r="P205" s="18"/>
    </row>
    <row r="206" spans="16:16">
      <c r="P206" s="18"/>
    </row>
    <row r="207" spans="16:16">
      <c r="P207" s="18"/>
    </row>
    <row r="208" spans="16:16">
      <c r="P208" s="18"/>
    </row>
    <row r="209" spans="16:16">
      <c r="P209" s="18"/>
    </row>
    <row r="210" spans="16:16">
      <c r="P210" s="18"/>
    </row>
    <row r="211" spans="16:16">
      <c r="P211" s="18"/>
    </row>
    <row r="212" spans="16:16">
      <c r="P212" s="18"/>
    </row>
    <row r="213" spans="16:16">
      <c r="P213" s="18"/>
    </row>
    <row r="214" spans="16:16">
      <c r="P214" s="18"/>
    </row>
    <row r="215" spans="16:16">
      <c r="P215" s="18"/>
    </row>
    <row r="216" spans="16:16">
      <c r="P216" s="18"/>
    </row>
    <row r="217" spans="16:16">
      <c r="P217" s="18"/>
    </row>
    <row r="218" spans="16:16">
      <c r="P218" s="18"/>
    </row>
    <row r="219" spans="16:16">
      <c r="P219" s="18"/>
    </row>
    <row r="220" spans="16:16">
      <c r="P220" s="18"/>
    </row>
    <row r="221" spans="16:16">
      <c r="P221" s="18"/>
    </row>
    <row r="222" spans="16:16">
      <c r="P222" s="18"/>
    </row>
    <row r="223" spans="16:16">
      <c r="P223" s="18"/>
    </row>
    <row r="224" spans="16:16">
      <c r="P224" s="18"/>
    </row>
    <row r="225" spans="16:16">
      <c r="P225" s="18"/>
    </row>
    <row r="226" spans="16:16">
      <c r="P226" s="18"/>
    </row>
    <row r="227" spans="16:16">
      <c r="P227" s="18"/>
    </row>
    <row r="228" spans="16:16">
      <c r="P228" s="18"/>
    </row>
    <row r="229" spans="16:16">
      <c r="P229" s="18"/>
    </row>
    <row r="230" spans="16:16">
      <c r="P230" s="18"/>
    </row>
    <row r="231" spans="16:16">
      <c r="P231" s="18"/>
    </row>
    <row r="232" spans="16:16">
      <c r="P232" s="18"/>
    </row>
    <row r="233" spans="16:16">
      <c r="P233" s="18"/>
    </row>
    <row r="234" spans="16:16">
      <c r="P234" s="18"/>
    </row>
    <row r="235" spans="16:16">
      <c r="P235" s="18"/>
    </row>
    <row r="236" spans="16:16">
      <c r="P236" s="18"/>
    </row>
    <row r="237" spans="16:16">
      <c r="P237" s="18"/>
    </row>
    <row r="238" spans="16:16">
      <c r="P238" s="18"/>
    </row>
    <row r="239" spans="16:16">
      <c r="P239" s="18"/>
    </row>
    <row r="240" spans="16:16">
      <c r="P240" s="18"/>
    </row>
    <row r="241" spans="16:16">
      <c r="P241" s="18"/>
    </row>
    <row r="242" spans="16:16">
      <c r="P242" s="18"/>
    </row>
    <row r="243" spans="16:16">
      <c r="P243" s="18"/>
    </row>
    <row r="244" spans="16:16">
      <c r="P244" s="18"/>
    </row>
    <row r="245" spans="16:16">
      <c r="P245" s="18"/>
    </row>
    <row r="246" spans="16:16">
      <c r="P246" s="18"/>
    </row>
    <row r="247" spans="16:16">
      <c r="P247" s="18"/>
    </row>
    <row r="248" spans="16:16">
      <c r="P248" s="18"/>
    </row>
    <row r="249" spans="16:16">
      <c r="P249" s="18"/>
    </row>
    <row r="250" spans="16:16">
      <c r="P250" s="18"/>
    </row>
    <row r="251" spans="16:16">
      <c r="P251" s="18"/>
    </row>
    <row r="252" spans="16:16">
      <c r="P252" s="18"/>
    </row>
    <row r="253" spans="16:16">
      <c r="P253" s="18"/>
    </row>
    <row r="254" spans="16:16">
      <c r="P254" s="18"/>
    </row>
    <row r="255" spans="16:16">
      <c r="P255" s="18"/>
    </row>
    <row r="256" spans="16:16">
      <c r="P256" s="18"/>
    </row>
    <row r="257" spans="16:16">
      <c r="P257" s="18"/>
    </row>
    <row r="258" spans="16:16">
      <c r="P258" s="18"/>
    </row>
    <row r="259" spans="16:16">
      <c r="P259" s="18"/>
    </row>
    <row r="260" spans="16:16">
      <c r="P260" s="18"/>
    </row>
    <row r="261" spans="16:16">
      <c r="P261" s="18"/>
    </row>
    <row r="262" spans="16:16">
      <c r="P262" s="18"/>
    </row>
    <row r="263" spans="16:16">
      <c r="P263" s="18"/>
    </row>
    <row r="264" spans="16:16">
      <c r="P264" s="18"/>
    </row>
    <row r="265" spans="16:16">
      <c r="P265" s="18"/>
    </row>
    <row r="266" spans="16:16">
      <c r="P266" s="18"/>
    </row>
    <row r="267" spans="16:16">
      <c r="P267" s="18"/>
    </row>
    <row r="268" spans="16:16">
      <c r="P268" s="18"/>
    </row>
    <row r="269" spans="16:16">
      <c r="P269" s="18"/>
    </row>
    <row r="270" spans="16:16">
      <c r="P270" s="18"/>
    </row>
    <row r="271" spans="16:16">
      <c r="P271" s="18"/>
    </row>
    <row r="272" spans="16:16">
      <c r="P272" s="18"/>
    </row>
    <row r="273" spans="16:16">
      <c r="P273" s="18"/>
    </row>
    <row r="274" spans="16:16">
      <c r="P274" s="18"/>
    </row>
    <row r="275" spans="16:16">
      <c r="P275" s="18"/>
    </row>
    <row r="276" spans="16:16">
      <c r="P276" s="18"/>
    </row>
    <row r="277" spans="16:16">
      <c r="P277" s="18"/>
    </row>
    <row r="278" spans="16:16">
      <c r="P278" s="18"/>
    </row>
    <row r="279" spans="16:16">
      <c r="P279" s="18"/>
    </row>
    <row r="280" spans="16:16">
      <c r="P280" s="18"/>
    </row>
    <row r="281" spans="16:16">
      <c r="P281" s="18"/>
    </row>
    <row r="282" spans="16:16">
      <c r="P282" s="18"/>
    </row>
    <row r="283" spans="16:16">
      <c r="P283" s="18"/>
    </row>
    <row r="284" spans="16:16">
      <c r="P284" s="18"/>
    </row>
    <row r="285" spans="16:16">
      <c r="P285" s="18"/>
    </row>
    <row r="286" spans="16:16">
      <c r="P286" s="18"/>
    </row>
    <row r="287" spans="16:16">
      <c r="P287" s="18"/>
    </row>
    <row r="288" spans="16:16">
      <c r="P288" s="18"/>
    </row>
    <row r="289" spans="16:16">
      <c r="P289" s="18"/>
    </row>
    <row r="290" spans="16:16">
      <c r="P290" s="18"/>
    </row>
    <row r="291" spans="16:16">
      <c r="P291" s="18"/>
    </row>
    <row r="292" spans="16:16">
      <c r="P292" s="18"/>
    </row>
    <row r="293" spans="16:16">
      <c r="P293" s="18"/>
    </row>
    <row r="294" spans="16:16">
      <c r="P294" s="18"/>
    </row>
    <row r="295" spans="16:16">
      <c r="P295" s="18"/>
    </row>
    <row r="296" spans="16:16">
      <c r="P296" s="18"/>
    </row>
    <row r="297" spans="16:16">
      <c r="P297" s="18"/>
    </row>
    <row r="298" spans="16:16">
      <c r="P298" s="18"/>
    </row>
    <row r="299" spans="16:16">
      <c r="P299" s="18"/>
    </row>
    <row r="300" spans="16:16">
      <c r="P300" s="18"/>
    </row>
    <row r="301" spans="16:16">
      <c r="P301" s="18"/>
    </row>
    <row r="302" spans="16:16">
      <c r="P302" s="18"/>
    </row>
    <row r="303" spans="16:16">
      <c r="P303" s="18"/>
    </row>
    <row r="304" spans="16:16">
      <c r="P304" s="18"/>
    </row>
    <row r="305" spans="16:16">
      <c r="P305" s="18"/>
    </row>
    <row r="306" spans="16:16">
      <c r="P306" s="18"/>
    </row>
    <row r="307" spans="16:16">
      <c r="P307" s="18"/>
    </row>
    <row r="308" spans="16:16">
      <c r="P308" s="18"/>
    </row>
    <row r="309" spans="16:16">
      <c r="P309" s="18"/>
    </row>
    <row r="310" spans="16:16">
      <c r="P310" s="18"/>
    </row>
    <row r="311" spans="16:16">
      <c r="P311" s="18"/>
    </row>
    <row r="312" spans="16:16">
      <c r="P312" s="18"/>
    </row>
    <row r="313" spans="16:16">
      <c r="P313" s="18"/>
    </row>
    <row r="314" spans="16:16">
      <c r="P314" s="18"/>
    </row>
    <row r="315" spans="16:16">
      <c r="P315" s="18"/>
    </row>
    <row r="316" spans="16:16">
      <c r="P316" s="18"/>
    </row>
    <row r="317" spans="16:16">
      <c r="P317" s="18"/>
    </row>
    <row r="318" spans="16:16">
      <c r="P318" s="18"/>
    </row>
    <row r="319" spans="16:16">
      <c r="P319" s="18"/>
    </row>
    <row r="320" spans="16:16">
      <c r="P320" s="18"/>
    </row>
    <row r="321" spans="16:16">
      <c r="P321" s="18"/>
    </row>
    <row r="322" spans="16:16">
      <c r="P322" s="18"/>
    </row>
    <row r="323" spans="16:16">
      <c r="P323" s="18"/>
    </row>
    <row r="324" spans="16:16">
      <c r="P324" s="18"/>
    </row>
    <row r="325" spans="16:16">
      <c r="P325" s="18"/>
    </row>
    <row r="326" spans="16:16">
      <c r="P326" s="18"/>
    </row>
    <row r="327" spans="16:16">
      <c r="P327" s="18"/>
    </row>
    <row r="328" spans="16:16">
      <c r="P328" s="18"/>
    </row>
    <row r="329" spans="16:16">
      <c r="P329" s="18"/>
    </row>
    <row r="330" spans="16:16">
      <c r="P330" s="18"/>
    </row>
    <row r="331" spans="16:16">
      <c r="P331" s="18"/>
    </row>
    <row r="332" spans="16:16">
      <c r="P332" s="18"/>
    </row>
    <row r="333" spans="16:16">
      <c r="P333" s="18"/>
    </row>
    <row r="334" spans="16:16">
      <c r="P334" s="18"/>
    </row>
    <row r="335" spans="16:16">
      <c r="P335" s="18"/>
    </row>
    <row r="336" spans="16:16">
      <c r="P336" s="18"/>
    </row>
    <row r="337" spans="16:16">
      <c r="P337" s="18"/>
    </row>
    <row r="338" spans="16:16">
      <c r="P338" s="18"/>
    </row>
    <row r="339" spans="16:16">
      <c r="P339" s="18"/>
    </row>
    <row r="340" spans="16:16">
      <c r="P340" s="18"/>
    </row>
    <row r="341" spans="16:16">
      <c r="P341" s="18"/>
    </row>
    <row r="342" spans="16:16">
      <c r="P342" s="18"/>
    </row>
    <row r="343" spans="16:16">
      <c r="P343" s="18"/>
    </row>
    <row r="344" spans="16:16">
      <c r="P344" s="18"/>
    </row>
    <row r="345" spans="16:16">
      <c r="P345" s="18"/>
    </row>
    <row r="346" spans="16:16">
      <c r="P346" s="18"/>
    </row>
    <row r="347" spans="16:16">
      <c r="P347" s="18"/>
    </row>
    <row r="348" spans="16:16">
      <c r="P348" s="18"/>
    </row>
    <row r="349" spans="16:16">
      <c r="P349" s="18"/>
    </row>
    <row r="350" spans="16:16">
      <c r="P350" s="18"/>
    </row>
    <row r="351" spans="16:16">
      <c r="P351" s="18"/>
    </row>
    <row r="352" spans="16:16">
      <c r="P352" s="18"/>
    </row>
    <row r="353" spans="16:16">
      <c r="P353" s="18"/>
    </row>
    <row r="354" spans="16:16">
      <c r="P354" s="18"/>
    </row>
    <row r="355" spans="16:16">
      <c r="P355" s="18"/>
    </row>
    <row r="356" spans="16:16">
      <c r="P356" s="18"/>
    </row>
    <row r="357" spans="16:16">
      <c r="P357" s="18"/>
    </row>
    <row r="358" spans="16:16">
      <c r="P358" s="18"/>
    </row>
    <row r="359" spans="16:16">
      <c r="P359" s="18"/>
    </row>
    <row r="360" spans="16:16">
      <c r="P360" s="18"/>
    </row>
    <row r="361" spans="16:16">
      <c r="P361" s="18"/>
    </row>
    <row r="362" spans="16:16">
      <c r="P362" s="18"/>
    </row>
    <row r="363" spans="16:16">
      <c r="P363" s="18"/>
    </row>
    <row r="364" spans="16:16">
      <c r="P364" s="18"/>
    </row>
    <row r="365" spans="16:16">
      <c r="P365" s="18"/>
    </row>
    <row r="366" spans="16:16">
      <c r="P366" s="18"/>
    </row>
    <row r="367" spans="16:16">
      <c r="P367" s="18"/>
    </row>
    <row r="368" spans="16:16">
      <c r="P368" s="18"/>
    </row>
    <row r="369" spans="16:16">
      <c r="P369" s="18"/>
    </row>
    <row r="370" spans="16:16">
      <c r="P370" s="18"/>
    </row>
    <row r="371" spans="16:16">
      <c r="P371" s="18"/>
    </row>
    <row r="372" spans="16:16">
      <c r="P372" s="18"/>
    </row>
    <row r="373" spans="16:16">
      <c r="P373" s="18"/>
    </row>
    <row r="374" spans="16:16">
      <c r="P374" s="18"/>
    </row>
    <row r="375" spans="16:16">
      <c r="P375" s="18"/>
    </row>
    <row r="376" spans="16:16">
      <c r="P376" s="18"/>
    </row>
    <row r="377" spans="16:16">
      <c r="P377" s="18"/>
    </row>
    <row r="378" spans="16:16">
      <c r="P378" s="18"/>
    </row>
    <row r="379" spans="16:16">
      <c r="P379" s="18"/>
    </row>
    <row r="380" spans="16:16">
      <c r="P380" s="18"/>
    </row>
    <row r="381" spans="16:16">
      <c r="P381" s="18"/>
    </row>
    <row r="382" spans="16:16">
      <c r="P382" s="18"/>
    </row>
    <row r="383" spans="16:16">
      <c r="P383" s="18"/>
    </row>
    <row r="384" spans="16:16">
      <c r="P384" s="18"/>
    </row>
    <row r="385" spans="16:16">
      <c r="P385" s="18"/>
    </row>
    <row r="386" spans="16:16">
      <c r="P386" s="18"/>
    </row>
    <row r="387" spans="16:16">
      <c r="P387" s="18"/>
    </row>
    <row r="388" spans="16:16">
      <c r="P388" s="18"/>
    </row>
    <row r="389" spans="16:16">
      <c r="P389" s="18"/>
    </row>
    <row r="390" spans="16:16">
      <c r="P390" s="18"/>
    </row>
    <row r="391" spans="16:16">
      <c r="P391" s="18"/>
    </row>
    <row r="392" spans="16:16">
      <c r="P392" s="18"/>
    </row>
    <row r="393" spans="16:16">
      <c r="P393" s="18"/>
    </row>
    <row r="394" spans="16:16">
      <c r="P394" s="18"/>
    </row>
    <row r="395" spans="16:16">
      <c r="P395" s="18"/>
    </row>
    <row r="396" spans="16:16">
      <c r="P396" s="18"/>
    </row>
    <row r="397" spans="16:16">
      <c r="P397" s="18"/>
    </row>
    <row r="398" spans="16:16">
      <c r="P398" s="18"/>
    </row>
    <row r="399" spans="16:16">
      <c r="P399" s="18"/>
    </row>
    <row r="400" spans="16:16">
      <c r="P400" s="18"/>
    </row>
    <row r="401" spans="16:16">
      <c r="P401" s="18"/>
    </row>
    <row r="402" spans="16:16">
      <c r="P402" s="18"/>
    </row>
    <row r="403" spans="16:16">
      <c r="P403" s="18"/>
    </row>
    <row r="404" spans="16:16">
      <c r="P404" s="18"/>
    </row>
    <row r="405" spans="16:16">
      <c r="P405" s="18"/>
    </row>
    <row r="406" spans="16:16">
      <c r="P406" s="18"/>
    </row>
    <row r="407" spans="16:16">
      <c r="P407" s="18"/>
    </row>
    <row r="408" spans="16:16">
      <c r="P408" s="18"/>
    </row>
    <row r="409" spans="16:16">
      <c r="P409" s="18"/>
    </row>
    <row r="410" spans="16:16">
      <c r="P410" s="18"/>
    </row>
    <row r="411" spans="16:16">
      <c r="P411" s="18"/>
    </row>
    <row r="412" spans="16:16">
      <c r="P412" s="18"/>
    </row>
    <row r="413" spans="16:16">
      <c r="P413" s="18"/>
    </row>
    <row r="414" spans="16:16">
      <c r="P414" s="18"/>
    </row>
    <row r="415" spans="16:16">
      <c r="P415" s="18"/>
    </row>
    <row r="416" spans="16:16">
      <c r="P416" s="18"/>
    </row>
    <row r="417" spans="16:16">
      <c r="P417" s="18"/>
    </row>
    <row r="418" spans="16:16">
      <c r="P418" s="18"/>
    </row>
    <row r="419" spans="16:16">
      <c r="P419" s="18"/>
    </row>
    <row r="420" spans="16:16">
      <c r="P420" s="18"/>
    </row>
    <row r="421" spans="16:16">
      <c r="P421" s="18"/>
    </row>
    <row r="422" spans="16:16">
      <c r="P422" s="18"/>
    </row>
    <row r="423" spans="16:16">
      <c r="P423" s="18"/>
    </row>
    <row r="424" spans="16:16">
      <c r="P424" s="18"/>
    </row>
    <row r="425" spans="16:16">
      <c r="P425" s="18"/>
    </row>
    <row r="426" spans="16:16">
      <c r="P426" s="18"/>
    </row>
    <row r="427" spans="16:16">
      <c r="P427" s="18"/>
    </row>
    <row r="428" spans="16:16">
      <c r="P428" s="18"/>
    </row>
    <row r="429" spans="16:16">
      <c r="P429" s="18"/>
    </row>
    <row r="430" spans="16:16">
      <c r="P430" s="18"/>
    </row>
    <row r="431" spans="16:16">
      <c r="P431" s="18"/>
    </row>
    <row r="432" spans="16:16">
      <c r="P432" s="18"/>
    </row>
    <row r="433" spans="16:16">
      <c r="P433" s="18"/>
    </row>
    <row r="434" spans="16:16">
      <c r="P434" s="18"/>
    </row>
    <row r="435" spans="16:16">
      <c r="P435" s="18"/>
    </row>
    <row r="436" spans="16:16">
      <c r="P436" s="18"/>
    </row>
    <row r="437" spans="16:16">
      <c r="P437" s="18"/>
    </row>
    <row r="438" spans="16:16">
      <c r="P438" s="18"/>
    </row>
    <row r="439" spans="16:16">
      <c r="P439" s="18"/>
    </row>
    <row r="440" spans="16:16">
      <c r="P440" s="18"/>
    </row>
    <row r="441" spans="16:16">
      <c r="P441" s="18"/>
    </row>
    <row r="442" spans="16:16">
      <c r="P442" s="18"/>
    </row>
    <row r="443" spans="16:16">
      <c r="P443" s="18"/>
    </row>
    <row r="444" spans="16:16">
      <c r="P444" s="18"/>
    </row>
    <row r="445" spans="16:16">
      <c r="P445" s="18"/>
    </row>
    <row r="446" spans="16:16">
      <c r="P446" s="18"/>
    </row>
    <row r="447" spans="16:16">
      <c r="P447" s="18"/>
    </row>
    <row r="448" spans="16:16">
      <c r="P448" s="18"/>
    </row>
    <row r="449" spans="16:16">
      <c r="P449" s="18"/>
    </row>
    <row r="450" spans="16:16">
      <c r="P450" s="18"/>
    </row>
    <row r="451" spans="16:16">
      <c r="P451" s="18"/>
    </row>
    <row r="452" spans="16:16">
      <c r="P452" s="18"/>
    </row>
    <row r="453" spans="16:16">
      <c r="P453" s="18"/>
    </row>
    <row r="454" spans="16:16">
      <c r="P454" s="18"/>
    </row>
    <row r="455" spans="16:16">
      <c r="P455" s="18"/>
    </row>
    <row r="456" spans="16:16">
      <c r="P456" s="18"/>
    </row>
    <row r="457" spans="16:16">
      <c r="P457" s="18"/>
    </row>
    <row r="458" spans="16:16">
      <c r="P458" s="18"/>
    </row>
    <row r="459" spans="16:16">
      <c r="P459" s="18"/>
    </row>
    <row r="460" spans="16:16">
      <c r="P460" s="18"/>
    </row>
    <row r="461" spans="16:16">
      <c r="P461" s="18"/>
    </row>
    <row r="462" spans="16:16">
      <c r="P462" s="18"/>
    </row>
    <row r="463" spans="16:16">
      <c r="P463" s="18"/>
    </row>
    <row r="464" spans="16:16">
      <c r="P464" s="18"/>
    </row>
    <row r="465" spans="16:16">
      <c r="P465" s="18"/>
    </row>
    <row r="466" spans="16:16">
      <c r="P466" s="18"/>
    </row>
    <row r="467" spans="16:16">
      <c r="P467" s="18"/>
    </row>
    <row r="468" spans="16:16">
      <c r="P468" s="18"/>
    </row>
    <row r="469" spans="16:16">
      <c r="P469" s="18"/>
    </row>
    <row r="470" spans="16:16">
      <c r="P470" s="18"/>
    </row>
    <row r="471" spans="16:16">
      <c r="P471" s="18"/>
    </row>
    <row r="472" spans="16:16">
      <c r="P472" s="18"/>
    </row>
    <row r="473" spans="16:16">
      <c r="P473" s="18"/>
    </row>
    <row r="474" spans="16:16">
      <c r="P474" s="18"/>
    </row>
    <row r="475" spans="16:16">
      <c r="P475" s="18"/>
    </row>
    <row r="476" spans="16:16">
      <c r="P476" s="18"/>
    </row>
    <row r="477" spans="16:16">
      <c r="P477" s="18"/>
    </row>
    <row r="478" spans="16:16">
      <c r="P478" s="18"/>
    </row>
    <row r="479" spans="16:16">
      <c r="P479" s="18"/>
    </row>
    <row r="480" spans="16:16">
      <c r="P480" s="18"/>
    </row>
    <row r="481" spans="16:16">
      <c r="P481" s="18"/>
    </row>
    <row r="482" spans="16:16">
      <c r="P482" s="18"/>
    </row>
    <row r="483" spans="16:16">
      <c r="P483" s="18"/>
    </row>
    <row r="484" spans="16:16">
      <c r="P484" s="18"/>
    </row>
    <row r="485" spans="16:16">
      <c r="P485" s="18"/>
    </row>
    <row r="486" spans="16:16">
      <c r="P486" s="18"/>
    </row>
    <row r="487" spans="16:16">
      <c r="P487" s="18"/>
    </row>
    <row r="488" spans="16:16">
      <c r="P488" s="18"/>
    </row>
    <row r="489" spans="16:16">
      <c r="P489" s="18"/>
    </row>
    <row r="490" spans="16:16">
      <c r="P490" s="18"/>
    </row>
    <row r="491" spans="16:16">
      <c r="P491" s="18"/>
    </row>
    <row r="492" spans="16:16">
      <c r="P492" s="18"/>
    </row>
    <row r="493" spans="16:16">
      <c r="P493" s="18"/>
    </row>
    <row r="494" spans="16:16">
      <c r="P494" s="18"/>
    </row>
    <row r="495" spans="16:16">
      <c r="P495" s="18"/>
    </row>
    <row r="496" spans="16:16">
      <c r="P496" s="18"/>
    </row>
    <row r="497" spans="16:16">
      <c r="P497" s="18"/>
    </row>
    <row r="498" spans="16:16">
      <c r="P498" s="18"/>
    </row>
    <row r="499" spans="16:16">
      <c r="P499" s="18"/>
    </row>
    <row r="500" spans="16:16">
      <c r="P500" s="18"/>
    </row>
    <row r="501" spans="16:16">
      <c r="P501" s="18"/>
    </row>
    <row r="502" spans="16:16">
      <c r="P502" s="18"/>
    </row>
    <row r="503" spans="16:16">
      <c r="P503" s="18"/>
    </row>
    <row r="504" spans="16:16">
      <c r="P504" s="18"/>
    </row>
    <row r="505" spans="16:16">
      <c r="P505" s="18"/>
    </row>
    <row r="506" spans="16:16">
      <c r="P506" s="18"/>
    </row>
    <row r="507" spans="16:16">
      <c r="P507" s="18"/>
    </row>
    <row r="508" spans="16:16">
      <c r="P508" s="18"/>
    </row>
    <row r="509" spans="16:16">
      <c r="P509" s="18"/>
    </row>
    <row r="510" spans="16:16">
      <c r="P510" s="18"/>
    </row>
    <row r="511" spans="16:16">
      <c r="P511" s="18"/>
    </row>
    <row r="512" spans="16:16">
      <c r="P512" s="18"/>
    </row>
    <row r="513" spans="16:16">
      <c r="P513" s="18"/>
    </row>
    <row r="514" spans="16:16">
      <c r="P514" s="18"/>
    </row>
    <row r="515" spans="16:16">
      <c r="P515" s="18"/>
    </row>
    <row r="516" spans="16:16">
      <c r="P516" s="18"/>
    </row>
    <row r="517" spans="16:16">
      <c r="P517" s="18"/>
    </row>
    <row r="518" spans="16:16">
      <c r="P518" s="18"/>
    </row>
    <row r="519" spans="16:16">
      <c r="P519" s="18"/>
    </row>
    <row r="520" spans="16:16">
      <c r="P520" s="18"/>
    </row>
    <row r="521" spans="16:16">
      <c r="P521" s="18"/>
    </row>
    <row r="522" spans="16:16">
      <c r="P522" s="18"/>
    </row>
    <row r="523" spans="16:16">
      <c r="P523" s="18"/>
    </row>
    <row r="524" spans="16:16">
      <c r="P524" s="18"/>
    </row>
    <row r="525" spans="16:16">
      <c r="P525" s="18"/>
    </row>
    <row r="526" spans="16:16">
      <c r="P526" s="18"/>
    </row>
    <row r="527" spans="16:16">
      <c r="P527" s="18"/>
    </row>
    <row r="528" spans="16:16">
      <c r="P528" s="18"/>
    </row>
    <row r="529" spans="16:16">
      <c r="P529" s="18"/>
    </row>
    <row r="530" spans="16:16">
      <c r="P530" s="18"/>
    </row>
    <row r="531" spans="16:16">
      <c r="P531" s="18"/>
    </row>
    <row r="532" spans="16:16">
      <c r="P532" s="18"/>
    </row>
    <row r="533" spans="16:16">
      <c r="P533" s="18"/>
    </row>
    <row r="534" spans="16:16">
      <c r="P534" s="18"/>
    </row>
    <row r="535" spans="16:16">
      <c r="P535" s="18"/>
    </row>
    <row r="536" spans="16:16">
      <c r="P536" s="18"/>
    </row>
    <row r="537" spans="16:16">
      <c r="P537" s="18"/>
    </row>
    <row r="538" spans="16:16">
      <c r="P538" s="18"/>
    </row>
    <row r="539" spans="16:16">
      <c r="P539" s="18"/>
    </row>
    <row r="540" spans="16:16">
      <c r="P540" s="18"/>
    </row>
    <row r="541" spans="16:16">
      <c r="P541" s="18"/>
    </row>
    <row r="542" spans="16:16">
      <c r="P542" s="18"/>
    </row>
    <row r="543" spans="16:16">
      <c r="P543" s="18"/>
    </row>
    <row r="544" spans="16:16">
      <c r="P544" s="18"/>
    </row>
    <row r="545" spans="16:16">
      <c r="P545" s="18"/>
    </row>
    <row r="546" spans="16:16">
      <c r="P546" s="18"/>
    </row>
    <row r="547" spans="16:16">
      <c r="P547" s="18"/>
    </row>
    <row r="548" spans="16:16">
      <c r="P548" s="18"/>
    </row>
    <row r="549" spans="16:16">
      <c r="P549" s="18"/>
    </row>
    <row r="550" spans="16:16">
      <c r="P550" s="18"/>
    </row>
    <row r="551" spans="16:16">
      <c r="P551" s="18"/>
    </row>
    <row r="552" spans="16:16">
      <c r="P552" s="18"/>
    </row>
    <row r="553" spans="16:16">
      <c r="P553" s="18"/>
    </row>
    <row r="554" spans="16:16">
      <c r="P554" s="18"/>
    </row>
    <row r="555" spans="16:16">
      <c r="P555" s="18"/>
    </row>
    <row r="556" spans="16:16">
      <c r="P556" s="18"/>
    </row>
    <row r="557" spans="16:16">
      <c r="P557" s="18"/>
    </row>
    <row r="558" spans="16:16">
      <c r="P558" s="18"/>
    </row>
    <row r="559" spans="16:16">
      <c r="P559" s="18"/>
    </row>
    <row r="560" spans="16:16">
      <c r="P560" s="18"/>
    </row>
    <row r="561" spans="16:16">
      <c r="P561" s="18"/>
    </row>
    <row r="562" spans="16:16">
      <c r="P562" s="18"/>
    </row>
    <row r="563" spans="16:16">
      <c r="P563" s="18"/>
    </row>
    <row r="564" spans="16:16">
      <c r="P564" s="18"/>
    </row>
    <row r="565" spans="16:16">
      <c r="P565" s="18"/>
    </row>
    <row r="566" spans="16:16">
      <c r="P566" s="18"/>
    </row>
    <row r="567" spans="16:16">
      <c r="P567" s="18"/>
    </row>
    <row r="568" spans="16:16">
      <c r="P568" s="18"/>
    </row>
    <row r="569" spans="16:16">
      <c r="P569" s="18"/>
    </row>
    <row r="570" spans="16:16">
      <c r="P570" s="18"/>
    </row>
    <row r="571" spans="16:16">
      <c r="P571" s="18"/>
    </row>
    <row r="572" spans="16:16">
      <c r="P572" s="18"/>
    </row>
    <row r="573" spans="16:16">
      <c r="P573" s="18"/>
    </row>
    <row r="574" spans="16:16">
      <c r="P574" s="18"/>
    </row>
    <row r="575" spans="16:16">
      <c r="P575" s="18"/>
    </row>
    <row r="576" spans="16:16">
      <c r="P576" s="18"/>
    </row>
    <row r="577" spans="16:16">
      <c r="P577" s="18"/>
    </row>
    <row r="578" spans="16:16">
      <c r="P578" s="18"/>
    </row>
    <row r="579" spans="16:16">
      <c r="P579" s="18"/>
    </row>
    <row r="580" spans="16:16">
      <c r="P580" s="18"/>
    </row>
    <row r="581" spans="16:16">
      <c r="P581" s="18"/>
    </row>
    <row r="582" spans="16:16">
      <c r="P582" s="18"/>
    </row>
    <row r="583" spans="16:16">
      <c r="P583" s="18"/>
    </row>
    <row r="584" spans="16:16">
      <c r="P584" s="18"/>
    </row>
    <row r="585" spans="16:16">
      <c r="P585" s="18"/>
    </row>
    <row r="586" spans="16:16">
      <c r="P586" s="18"/>
    </row>
    <row r="587" spans="16:16">
      <c r="P587" s="18"/>
    </row>
    <row r="588" spans="16:16">
      <c r="P588" s="18"/>
    </row>
    <row r="589" spans="16:16">
      <c r="P589" s="18"/>
    </row>
    <row r="590" spans="16:16">
      <c r="P590" s="18"/>
    </row>
    <row r="591" spans="16:16">
      <c r="P591" s="18"/>
    </row>
    <row r="592" spans="16:16">
      <c r="P592" s="18"/>
    </row>
    <row r="593" spans="16:16">
      <c r="P593" s="18"/>
    </row>
    <row r="594" spans="16:16">
      <c r="P594" s="18"/>
    </row>
    <row r="595" spans="16:16">
      <c r="P595" s="18"/>
    </row>
    <row r="596" spans="16:16">
      <c r="P596" s="18"/>
    </row>
    <row r="597" spans="16:16">
      <c r="P597" s="18"/>
    </row>
    <row r="598" spans="16:16">
      <c r="P598" s="18"/>
    </row>
    <row r="599" spans="16:16">
      <c r="P599" s="18"/>
    </row>
    <row r="600" spans="16:16">
      <c r="P600" s="18"/>
    </row>
    <row r="601" spans="16:16">
      <c r="P601" s="18"/>
    </row>
    <row r="602" spans="16:16">
      <c r="P602" s="18"/>
    </row>
    <row r="603" spans="16:16">
      <c r="P603" s="18"/>
    </row>
    <row r="604" spans="16:16">
      <c r="P604" s="18"/>
    </row>
    <row r="605" spans="16:16">
      <c r="P605" s="18"/>
    </row>
    <row r="606" spans="16:16">
      <c r="P606" s="18"/>
    </row>
    <row r="607" spans="16:16">
      <c r="P607" s="18"/>
    </row>
    <row r="608" spans="16:16">
      <c r="P608" s="18"/>
    </row>
    <row r="609" spans="16:16">
      <c r="P609" s="18"/>
    </row>
    <row r="610" spans="16:16">
      <c r="P610" s="18"/>
    </row>
    <row r="611" spans="16:16">
      <c r="P611" s="18"/>
    </row>
    <row r="612" spans="16:16">
      <c r="P612" s="18"/>
    </row>
    <row r="613" spans="16:16">
      <c r="P613" s="18"/>
    </row>
    <row r="614" spans="16:16">
      <c r="P614" s="18"/>
    </row>
    <row r="615" spans="16:16">
      <c r="P615" s="18"/>
    </row>
    <row r="616" spans="16:16">
      <c r="P616" s="18"/>
    </row>
    <row r="617" spans="16:16">
      <c r="P617" s="18"/>
    </row>
    <row r="618" spans="16:16">
      <c r="P618" s="18"/>
    </row>
    <row r="619" spans="16:16">
      <c r="P619" s="18"/>
    </row>
    <row r="620" spans="16:16">
      <c r="P620" s="18"/>
    </row>
    <row r="621" spans="16:16">
      <c r="P621" s="18"/>
    </row>
    <row r="622" spans="16:16">
      <c r="P622" s="18"/>
    </row>
    <row r="623" spans="16:16">
      <c r="P623" s="18"/>
    </row>
    <row r="624" spans="16:16">
      <c r="P624" s="18"/>
    </row>
    <row r="625" spans="16:16">
      <c r="P625" s="18"/>
    </row>
    <row r="626" spans="16:16">
      <c r="P626" s="18"/>
    </row>
    <row r="627" spans="16:16">
      <c r="P627" s="18"/>
    </row>
    <row r="628" spans="16:16">
      <c r="P628" s="18"/>
    </row>
    <row r="629" spans="16:16">
      <c r="P629" s="18"/>
    </row>
    <row r="630" spans="16:16">
      <c r="P630" s="18"/>
    </row>
    <row r="631" spans="16:16">
      <c r="P631" s="18"/>
    </row>
    <row r="632" spans="16:16">
      <c r="P632" s="18"/>
    </row>
    <row r="633" spans="16:16">
      <c r="P633" s="18"/>
    </row>
    <row r="634" spans="16:16">
      <c r="P634" s="18"/>
    </row>
    <row r="635" spans="16:16">
      <c r="P635" s="18"/>
    </row>
    <row r="636" spans="16:16">
      <c r="P636" s="18"/>
    </row>
    <row r="637" spans="16:16">
      <c r="P637" s="18"/>
    </row>
    <row r="638" spans="16:16">
      <c r="P638" s="18"/>
    </row>
    <row r="639" spans="16:16">
      <c r="P639" s="18"/>
    </row>
    <row r="640" spans="16:16">
      <c r="P640" s="18"/>
    </row>
    <row r="641" spans="16:16">
      <c r="P641" s="18"/>
    </row>
    <row r="642" spans="16:16">
      <c r="P642" s="18"/>
    </row>
    <row r="643" spans="16:16">
      <c r="P643" s="18"/>
    </row>
    <row r="644" spans="16:16">
      <c r="P644" s="18"/>
    </row>
    <row r="645" spans="16:16">
      <c r="P645" s="18"/>
    </row>
    <row r="646" spans="16:16">
      <c r="P646" s="18"/>
    </row>
    <row r="647" spans="16:16">
      <c r="P647" s="18"/>
    </row>
    <row r="648" spans="16:16">
      <c r="P648" s="18"/>
    </row>
    <row r="649" spans="16:16">
      <c r="P649" s="18"/>
    </row>
    <row r="650" spans="16:16">
      <c r="P650" s="18"/>
    </row>
    <row r="651" spans="16:16">
      <c r="P651" s="18"/>
    </row>
    <row r="652" spans="16:16">
      <c r="P652" s="18"/>
    </row>
    <row r="653" spans="16:16">
      <c r="P653" s="18"/>
    </row>
    <row r="654" spans="16:16">
      <c r="P654" s="18"/>
    </row>
    <row r="655" spans="16:16">
      <c r="P655" s="18"/>
    </row>
    <row r="656" spans="16:16">
      <c r="P656" s="18"/>
    </row>
    <row r="657" spans="16:16">
      <c r="P657" s="18"/>
    </row>
    <row r="658" spans="16:16">
      <c r="P658" s="18"/>
    </row>
    <row r="659" spans="16:16">
      <c r="P659" s="18"/>
    </row>
    <row r="660" spans="16:16">
      <c r="P660" s="18"/>
    </row>
    <row r="661" spans="16:16">
      <c r="P661" s="18"/>
    </row>
    <row r="662" spans="16:16">
      <c r="P662" s="18"/>
    </row>
    <row r="663" spans="16:16">
      <c r="P663" s="18"/>
    </row>
    <row r="664" spans="16:16">
      <c r="P664" s="18"/>
    </row>
    <row r="665" spans="16:16">
      <c r="P665" s="18"/>
    </row>
    <row r="666" spans="16:16">
      <c r="P666" s="18"/>
    </row>
    <row r="667" spans="16:16">
      <c r="P667" s="18"/>
    </row>
    <row r="668" spans="16:16">
      <c r="P668" s="18"/>
    </row>
    <row r="669" spans="16:16">
      <c r="P669" s="18"/>
    </row>
    <row r="670" spans="16:16">
      <c r="P670" s="18"/>
    </row>
    <row r="671" spans="16:16">
      <c r="P671" s="18"/>
    </row>
    <row r="672" spans="16:16">
      <c r="P672" s="18"/>
    </row>
    <row r="673" spans="16:16">
      <c r="P673" s="18"/>
    </row>
    <row r="674" spans="16:16">
      <c r="P674" s="18"/>
    </row>
    <row r="675" spans="16:16">
      <c r="P675" s="18"/>
    </row>
    <row r="676" spans="16:16">
      <c r="P676" s="18"/>
    </row>
    <row r="677" spans="16:16">
      <c r="P677" s="18"/>
    </row>
    <row r="678" spans="16:16">
      <c r="P678" s="18"/>
    </row>
    <row r="679" spans="16:16">
      <c r="P679" s="18"/>
    </row>
    <row r="680" spans="16:16">
      <c r="P680" s="18"/>
    </row>
    <row r="681" spans="16:16">
      <c r="P681" s="18"/>
    </row>
    <row r="682" spans="16:16">
      <c r="P682" s="18"/>
    </row>
    <row r="683" spans="16:16">
      <c r="P683" s="18"/>
    </row>
    <row r="684" spans="16:16">
      <c r="P684" s="18"/>
    </row>
    <row r="685" spans="16:16">
      <c r="P685" s="18"/>
    </row>
    <row r="686" spans="16:16">
      <c r="P686" s="18"/>
    </row>
    <row r="687" spans="16:16">
      <c r="P687" s="18"/>
    </row>
    <row r="688" spans="16:16">
      <c r="P688" s="18"/>
    </row>
    <row r="689" spans="16:16">
      <c r="P689" s="18"/>
    </row>
    <row r="690" spans="16:16">
      <c r="P690" s="18"/>
    </row>
    <row r="691" spans="16:16">
      <c r="P691" s="18"/>
    </row>
    <row r="692" spans="16:16">
      <c r="P692" s="18"/>
    </row>
    <row r="693" spans="16:16">
      <c r="P693" s="18"/>
    </row>
    <row r="694" spans="16:16">
      <c r="P694" s="18"/>
    </row>
    <row r="695" spans="16:16">
      <c r="P695" s="18"/>
    </row>
    <row r="696" spans="16:16">
      <c r="P696" s="18"/>
    </row>
    <row r="697" spans="16:16">
      <c r="P697" s="18"/>
    </row>
    <row r="698" spans="16:16">
      <c r="P698" s="18"/>
    </row>
    <row r="699" spans="16:16">
      <c r="P699" s="18"/>
    </row>
    <row r="700" spans="16:16">
      <c r="P700" s="18"/>
    </row>
    <row r="701" spans="16:16">
      <c r="P701" s="18"/>
    </row>
    <row r="702" spans="16:16">
      <c r="P702" s="18"/>
    </row>
    <row r="703" spans="16:16">
      <c r="P703" s="18"/>
    </row>
    <row r="704" spans="16:16">
      <c r="P704" s="18"/>
    </row>
    <row r="705" spans="16:16">
      <c r="P705" s="18"/>
    </row>
    <row r="706" spans="16:16">
      <c r="P706" s="18"/>
    </row>
    <row r="707" spans="16:16">
      <c r="P707" s="18"/>
    </row>
    <row r="708" spans="16:16">
      <c r="P708" s="18"/>
    </row>
    <row r="709" spans="16:16">
      <c r="P709" s="18"/>
    </row>
    <row r="710" spans="16:16">
      <c r="P710" s="18"/>
    </row>
    <row r="711" spans="16:16">
      <c r="P711" s="18"/>
    </row>
    <row r="712" spans="16:16">
      <c r="P712" s="18"/>
    </row>
    <row r="713" spans="16:16">
      <c r="P713" s="18"/>
    </row>
    <row r="714" spans="16:16">
      <c r="P714" s="18"/>
    </row>
    <row r="715" spans="16:16">
      <c r="P715" s="18"/>
    </row>
    <row r="716" spans="16:16">
      <c r="P716" s="18"/>
    </row>
    <row r="717" spans="16:16">
      <c r="P717" s="18"/>
    </row>
    <row r="718" spans="16:16">
      <c r="P718" s="18"/>
    </row>
    <row r="719" spans="16:16">
      <c r="P719" s="18"/>
    </row>
    <row r="720" spans="16:16">
      <c r="P720" s="18"/>
    </row>
    <row r="721" spans="16:16">
      <c r="P721" s="18"/>
    </row>
    <row r="722" spans="16:16">
      <c r="P722" s="18"/>
    </row>
    <row r="723" spans="16:16">
      <c r="P723" s="18"/>
    </row>
    <row r="724" spans="16:16">
      <c r="P724" s="18"/>
    </row>
    <row r="725" spans="16:16">
      <c r="P725" s="18"/>
    </row>
    <row r="726" spans="16:16">
      <c r="P726" s="18"/>
    </row>
    <row r="727" spans="16:16">
      <c r="P727" s="18"/>
    </row>
    <row r="728" spans="16:16">
      <c r="P728" s="18"/>
    </row>
    <row r="729" spans="16:16">
      <c r="P729" s="18"/>
    </row>
    <row r="730" spans="16:16">
      <c r="P730" s="18"/>
    </row>
    <row r="731" spans="16:16">
      <c r="P731" s="18"/>
    </row>
    <row r="732" spans="16:16">
      <c r="P732" s="18"/>
    </row>
    <row r="733" spans="16:16">
      <c r="P733" s="18"/>
    </row>
    <row r="734" spans="16:16">
      <c r="P734" s="18"/>
    </row>
    <row r="735" spans="16:16">
      <c r="P735" s="18"/>
    </row>
    <row r="736" spans="16:16">
      <c r="P736" s="18"/>
    </row>
    <row r="737" spans="16:16">
      <c r="P737" s="18"/>
    </row>
    <row r="738" spans="16:16">
      <c r="P738" s="18"/>
    </row>
    <row r="739" spans="16:16">
      <c r="P739" s="18"/>
    </row>
    <row r="740" spans="16:16">
      <c r="P740" s="18"/>
    </row>
    <row r="741" spans="16:16">
      <c r="P741" s="18"/>
    </row>
    <row r="742" spans="16:16">
      <c r="P742" s="18"/>
    </row>
    <row r="743" spans="16:16">
      <c r="P743" s="18"/>
    </row>
    <row r="744" spans="16:16">
      <c r="P744" s="18"/>
    </row>
    <row r="745" spans="16:16">
      <c r="P745" s="18"/>
    </row>
    <row r="746" spans="16:16">
      <c r="P746" s="18"/>
    </row>
    <row r="747" spans="16:16">
      <c r="P747" s="18"/>
    </row>
    <row r="748" spans="16:16">
      <c r="P748" s="18"/>
    </row>
    <row r="749" spans="16:16">
      <c r="P749" s="18"/>
    </row>
    <row r="750" spans="16:16">
      <c r="P750" s="18"/>
    </row>
    <row r="751" spans="16:16">
      <c r="P751" s="18"/>
    </row>
    <row r="752" spans="16:16">
      <c r="P752" s="18"/>
    </row>
    <row r="753" spans="16:16">
      <c r="P753" s="18"/>
    </row>
    <row r="754" spans="16:16">
      <c r="P754" s="18"/>
    </row>
    <row r="755" spans="16:16">
      <c r="P755" s="18"/>
    </row>
    <row r="756" spans="16:16">
      <c r="P756" s="18"/>
    </row>
    <row r="757" spans="16:16">
      <c r="P757" s="18"/>
    </row>
    <row r="758" spans="16:16">
      <c r="P758" s="18"/>
    </row>
    <row r="759" spans="16:16">
      <c r="P759" s="18"/>
    </row>
    <row r="760" spans="16:16">
      <c r="P760" s="18"/>
    </row>
    <row r="761" spans="16:16">
      <c r="P761" s="18"/>
    </row>
    <row r="762" spans="16:16">
      <c r="P762" s="18"/>
    </row>
    <row r="763" spans="16:16">
      <c r="P763" s="18"/>
    </row>
    <row r="764" spans="16:16">
      <c r="P764" s="18"/>
    </row>
    <row r="765" spans="16:16">
      <c r="P765" s="18"/>
    </row>
    <row r="766" spans="16:16">
      <c r="P766" s="18"/>
    </row>
    <row r="767" spans="16:16">
      <c r="P767" s="18"/>
    </row>
    <row r="768" spans="16:16">
      <c r="P768" s="18"/>
    </row>
    <row r="769" spans="16:16">
      <c r="P769" s="18"/>
    </row>
    <row r="770" spans="16:16">
      <c r="P770" s="18"/>
    </row>
    <row r="771" spans="16:16">
      <c r="P771" s="18"/>
    </row>
    <row r="772" spans="16:16">
      <c r="P772" s="18"/>
    </row>
    <row r="773" spans="16:16">
      <c r="P773" s="18"/>
    </row>
    <row r="774" spans="16:16">
      <c r="P774" s="18"/>
    </row>
    <row r="775" spans="16:16">
      <c r="P775" s="18"/>
    </row>
    <row r="776" spans="16:16">
      <c r="P776" s="18"/>
    </row>
    <row r="777" spans="16:16">
      <c r="P777" s="18"/>
    </row>
    <row r="778" spans="16:16">
      <c r="P778" s="18"/>
    </row>
    <row r="779" spans="16:16">
      <c r="P779" s="18"/>
    </row>
    <row r="780" spans="16:16">
      <c r="P780" s="18"/>
    </row>
    <row r="781" spans="16:16">
      <c r="P781" s="18"/>
    </row>
    <row r="782" spans="16:16">
      <c r="P782" s="18"/>
    </row>
    <row r="783" spans="16:16">
      <c r="P783" s="18"/>
    </row>
    <row r="784" spans="16:16">
      <c r="P784" s="18"/>
    </row>
    <row r="785" spans="16:16">
      <c r="P785" s="18"/>
    </row>
    <row r="786" spans="16:16">
      <c r="P786" s="18"/>
    </row>
    <row r="787" spans="16:16">
      <c r="P787" s="18"/>
    </row>
    <row r="788" spans="16:16">
      <c r="P788" s="18"/>
    </row>
    <row r="789" spans="16:16">
      <c r="P789" s="18"/>
    </row>
    <row r="790" spans="16:16">
      <c r="P790" s="18"/>
    </row>
    <row r="791" spans="16:16">
      <c r="P791" s="18"/>
    </row>
    <row r="792" spans="16:16">
      <c r="P792" s="18"/>
    </row>
    <row r="793" spans="16:16">
      <c r="P793" s="18"/>
    </row>
    <row r="794" spans="16:16">
      <c r="P794" s="18"/>
    </row>
    <row r="795" spans="16:16">
      <c r="P795" s="18"/>
    </row>
    <row r="796" spans="16:16">
      <c r="P796" s="18"/>
    </row>
    <row r="797" spans="16:16">
      <c r="P797" s="18"/>
    </row>
    <row r="798" spans="16:16">
      <c r="P798" s="18"/>
    </row>
    <row r="799" spans="16:16">
      <c r="P799" s="18"/>
    </row>
    <row r="800" spans="16:16">
      <c r="P800" s="18"/>
    </row>
    <row r="801" spans="16:16">
      <c r="P801" s="18"/>
    </row>
    <row r="802" spans="16:16">
      <c r="P802" s="18"/>
    </row>
    <row r="803" spans="16:16">
      <c r="P803" s="18"/>
    </row>
    <row r="804" spans="16:16">
      <c r="P804" s="18"/>
    </row>
    <row r="805" spans="16:16">
      <c r="P805" s="18"/>
    </row>
    <row r="806" spans="16:16">
      <c r="P806" s="18"/>
    </row>
    <row r="807" spans="16:16">
      <c r="P807" s="18"/>
    </row>
    <row r="808" spans="16:16">
      <c r="P808" s="18"/>
    </row>
    <row r="809" spans="16:16">
      <c r="P809" s="18"/>
    </row>
    <row r="810" spans="16:16">
      <c r="P810" s="18"/>
    </row>
    <row r="811" spans="16:16">
      <c r="P811" s="18"/>
    </row>
    <row r="812" spans="16:16">
      <c r="P812" s="18"/>
    </row>
    <row r="813" spans="16:16">
      <c r="P813" s="18"/>
    </row>
    <row r="814" spans="16:16">
      <c r="P814" s="18"/>
    </row>
    <row r="815" spans="16:16">
      <c r="P815" s="18"/>
    </row>
    <row r="816" spans="16:16">
      <c r="P816" s="18"/>
    </row>
    <row r="817" spans="16:16">
      <c r="P817" s="18"/>
    </row>
    <row r="818" spans="16:16">
      <c r="P818" s="18"/>
    </row>
    <row r="819" spans="16:16">
      <c r="P819" s="18"/>
    </row>
    <row r="820" spans="16:16">
      <c r="P820" s="18"/>
    </row>
    <row r="821" spans="16:16">
      <c r="P821" s="18"/>
    </row>
    <row r="822" spans="16:16">
      <c r="P822" s="18"/>
    </row>
    <row r="823" spans="16:16">
      <c r="P823" s="18"/>
    </row>
    <row r="824" spans="16:16">
      <c r="P824" s="18"/>
    </row>
    <row r="825" spans="16:16">
      <c r="P825" s="18"/>
    </row>
    <row r="826" spans="16:16">
      <c r="P826" s="18"/>
    </row>
    <row r="827" spans="16:16">
      <c r="P827" s="18"/>
    </row>
    <row r="828" spans="16:16">
      <c r="P828" s="18"/>
    </row>
    <row r="829" spans="16:16">
      <c r="P829" s="18"/>
    </row>
    <row r="830" spans="16:16">
      <c r="P830" s="18"/>
    </row>
    <row r="831" spans="16:16">
      <c r="P831" s="18"/>
    </row>
    <row r="832" spans="16:16">
      <c r="P832" s="18"/>
    </row>
    <row r="833" spans="16:16">
      <c r="P833" s="18"/>
    </row>
    <row r="834" spans="16:16">
      <c r="P834" s="18"/>
    </row>
    <row r="835" spans="16:16">
      <c r="P835" s="18"/>
    </row>
    <row r="836" spans="16:16">
      <c r="P836" s="18"/>
    </row>
    <row r="837" spans="16:16">
      <c r="P837" s="18"/>
    </row>
    <row r="838" spans="16:16">
      <c r="P838" s="18"/>
    </row>
    <row r="839" spans="16:16">
      <c r="P839" s="18"/>
    </row>
    <row r="840" spans="16:16">
      <c r="P840" s="18"/>
    </row>
    <row r="841" spans="16:16">
      <c r="P841" s="18"/>
    </row>
    <row r="842" spans="16:16">
      <c r="P842" s="18"/>
    </row>
    <row r="843" spans="16:16">
      <c r="P843" s="18"/>
    </row>
    <row r="844" spans="16:16">
      <c r="P844" s="18"/>
    </row>
    <row r="845" spans="16:16">
      <c r="P845" s="18"/>
    </row>
    <row r="846" spans="16:16">
      <c r="P846" s="18"/>
    </row>
    <row r="847" spans="16:16">
      <c r="P847" s="18"/>
    </row>
    <row r="848" spans="16:16">
      <c r="P848" s="18"/>
    </row>
    <row r="849" spans="16:16">
      <c r="P849" s="18"/>
    </row>
    <row r="850" spans="16:16">
      <c r="P850" s="18"/>
    </row>
    <row r="851" spans="16:16">
      <c r="P851" s="18"/>
    </row>
    <row r="852" spans="16:16">
      <c r="P852" s="18"/>
    </row>
    <row r="853" spans="16:16">
      <c r="P853" s="18"/>
    </row>
    <row r="854" spans="16:16">
      <c r="P854" s="18"/>
    </row>
    <row r="855" spans="16:16">
      <c r="P855" s="18"/>
    </row>
    <row r="856" spans="16:16">
      <c r="P856" s="18"/>
    </row>
    <row r="857" spans="16:16">
      <c r="P857" s="18"/>
    </row>
    <row r="858" spans="16:16">
      <c r="P858" s="18"/>
    </row>
    <row r="859" spans="16:16">
      <c r="P859" s="18"/>
    </row>
    <row r="860" spans="16:16">
      <c r="P860" s="18"/>
    </row>
    <row r="861" spans="16:16">
      <c r="P861" s="18"/>
    </row>
    <row r="862" spans="16:16">
      <c r="P862" s="18"/>
    </row>
    <row r="863" spans="16:16">
      <c r="P863" s="18"/>
    </row>
    <row r="864" spans="16:16">
      <c r="P864" s="18"/>
    </row>
    <row r="865" spans="16:16">
      <c r="P865" s="18"/>
    </row>
    <row r="866" spans="16:16">
      <c r="P866" s="18"/>
    </row>
    <row r="867" spans="16:16">
      <c r="P867" s="18"/>
    </row>
    <row r="868" spans="16:16">
      <c r="P868" s="18"/>
    </row>
    <row r="869" spans="16:16">
      <c r="P869" s="18"/>
    </row>
    <row r="870" spans="16:16">
      <c r="P870" s="18"/>
    </row>
    <row r="871" spans="16:16">
      <c r="P871" s="18"/>
    </row>
    <row r="872" spans="16:16">
      <c r="P872" s="18"/>
    </row>
    <row r="873" spans="16:16">
      <c r="P873" s="18"/>
    </row>
    <row r="874" spans="16:16">
      <c r="P874" s="18"/>
    </row>
    <row r="875" spans="16:16">
      <c r="P875" s="18"/>
    </row>
    <row r="876" spans="16:16">
      <c r="P876" s="18"/>
    </row>
    <row r="877" spans="16:16">
      <c r="P877" s="18"/>
    </row>
    <row r="878" spans="16:16">
      <c r="P878" s="18"/>
    </row>
    <row r="879" spans="16:16">
      <c r="P879" s="18"/>
    </row>
    <row r="880" spans="16:16">
      <c r="P880" s="18"/>
    </row>
    <row r="881" spans="16:16">
      <c r="P881" s="18"/>
    </row>
    <row r="882" spans="16:16">
      <c r="P882" s="18"/>
    </row>
    <row r="883" spans="16:16">
      <c r="P883" s="18"/>
    </row>
    <row r="884" spans="16:16">
      <c r="P884" s="18"/>
    </row>
    <row r="885" spans="16:16">
      <c r="P885" s="18"/>
    </row>
    <row r="886" spans="16:16">
      <c r="P886" s="18"/>
    </row>
    <row r="887" spans="16:16">
      <c r="P887" s="18"/>
    </row>
    <row r="888" spans="16:16">
      <c r="P888" s="18"/>
    </row>
    <row r="889" spans="16:16">
      <c r="P889" s="18"/>
    </row>
    <row r="890" spans="16:16">
      <c r="P890" s="18"/>
    </row>
    <row r="891" spans="16:16">
      <c r="P891" s="18"/>
    </row>
    <row r="892" spans="16:16">
      <c r="P892" s="18"/>
    </row>
    <row r="893" spans="16:16">
      <c r="P893" s="18"/>
    </row>
    <row r="894" spans="16:16">
      <c r="P894" s="18"/>
    </row>
    <row r="895" spans="16:16">
      <c r="P895" s="18"/>
    </row>
    <row r="896" spans="16:16">
      <c r="P896" s="18"/>
    </row>
    <row r="897" spans="16:16">
      <c r="P897" s="18"/>
    </row>
    <row r="898" spans="16:16">
      <c r="P898" s="18"/>
    </row>
    <row r="899" spans="16:16">
      <c r="P899" s="18"/>
    </row>
    <row r="900" spans="16:16">
      <c r="P900" s="18"/>
    </row>
    <row r="901" spans="16:16">
      <c r="P901" s="18"/>
    </row>
    <row r="902" spans="16:16">
      <c r="P902" s="18"/>
    </row>
    <row r="903" spans="16:16">
      <c r="P903" s="18"/>
    </row>
    <row r="904" spans="16:16">
      <c r="P904" s="18"/>
    </row>
    <row r="905" spans="16:16">
      <c r="P905" s="18"/>
    </row>
    <row r="906" spans="16:16">
      <c r="P906" s="18"/>
    </row>
    <row r="907" spans="16:16">
      <c r="P907" s="18"/>
    </row>
    <row r="908" spans="16:16">
      <c r="P908" s="18"/>
    </row>
    <row r="909" spans="16:16">
      <c r="P909" s="18"/>
    </row>
    <row r="910" spans="16:16">
      <c r="P910" s="18"/>
    </row>
    <row r="911" spans="16:16">
      <c r="P911" s="18"/>
    </row>
    <row r="912" spans="16:16">
      <c r="P912" s="18"/>
    </row>
    <row r="913" spans="16:16">
      <c r="P913" s="18"/>
    </row>
    <row r="914" spans="16:16">
      <c r="P914" s="18"/>
    </row>
    <row r="915" spans="16:16">
      <c r="P915" s="18"/>
    </row>
    <row r="916" spans="16:16">
      <c r="P916" s="18"/>
    </row>
    <row r="917" spans="16:16">
      <c r="P917" s="18"/>
    </row>
    <row r="918" spans="16:16">
      <c r="P918" s="18"/>
    </row>
    <row r="919" spans="16:16">
      <c r="P919" s="18"/>
    </row>
    <row r="920" spans="16:16">
      <c r="P920" s="18"/>
    </row>
    <row r="921" spans="16:16">
      <c r="P921" s="18"/>
    </row>
    <row r="922" spans="16:16">
      <c r="P922" s="18"/>
    </row>
    <row r="923" spans="16:16">
      <c r="P923" s="18"/>
    </row>
    <row r="924" spans="16:16">
      <c r="P924" s="18"/>
    </row>
    <row r="925" spans="16:16">
      <c r="P925" s="18"/>
    </row>
    <row r="926" spans="16:16">
      <c r="P926" s="18"/>
    </row>
    <row r="927" spans="16:16">
      <c r="P927" s="18"/>
    </row>
    <row r="928" spans="16:16">
      <c r="P928" s="18"/>
    </row>
    <row r="929" spans="16:16">
      <c r="P929" s="18"/>
    </row>
    <row r="930" spans="16:16">
      <c r="P930" s="18"/>
    </row>
    <row r="931" spans="16:16">
      <c r="P931" s="18"/>
    </row>
    <row r="932" spans="16:16">
      <c r="P932" s="18"/>
    </row>
    <row r="933" spans="16:16">
      <c r="P933" s="18"/>
    </row>
    <row r="934" spans="16:16">
      <c r="P934" s="18"/>
    </row>
    <row r="935" spans="16:16">
      <c r="P935" s="18"/>
    </row>
    <row r="936" spans="16:16">
      <c r="P936" s="18"/>
    </row>
    <row r="937" spans="16:16">
      <c r="P937" s="18"/>
    </row>
    <row r="938" spans="16:16">
      <c r="P938" s="18"/>
    </row>
    <row r="939" spans="16:16">
      <c r="P939" s="18"/>
    </row>
    <row r="940" spans="16:16">
      <c r="P940" s="18"/>
    </row>
    <row r="941" spans="16:16">
      <c r="P941" s="18"/>
    </row>
    <row r="942" spans="16:16">
      <c r="P942" s="18"/>
    </row>
    <row r="943" spans="16:16">
      <c r="P943" s="18"/>
    </row>
    <row r="944" spans="16:16">
      <c r="P944" s="18"/>
    </row>
    <row r="945" spans="16:16">
      <c r="P945" s="18"/>
    </row>
    <row r="946" spans="16:16">
      <c r="P946" s="18"/>
    </row>
    <row r="947" spans="16:16">
      <c r="P947" s="18"/>
    </row>
    <row r="948" spans="16:16">
      <c r="P948" s="18"/>
    </row>
    <row r="949" spans="16:16">
      <c r="P949" s="18"/>
    </row>
    <row r="950" spans="16:16">
      <c r="P950" s="18"/>
    </row>
    <row r="951" spans="16:16">
      <c r="P951" s="18"/>
    </row>
    <row r="952" spans="16:16">
      <c r="P952" s="18"/>
    </row>
    <row r="953" spans="16:16">
      <c r="P953" s="18"/>
    </row>
    <row r="954" spans="16:16">
      <c r="P954" s="18"/>
    </row>
    <row r="955" spans="16:16">
      <c r="P955" s="18"/>
    </row>
    <row r="956" spans="16:16">
      <c r="P956" s="18"/>
    </row>
    <row r="957" spans="16:16">
      <c r="P957" s="18"/>
    </row>
    <row r="958" spans="16:16">
      <c r="P958" s="18"/>
    </row>
    <row r="959" spans="16:16">
      <c r="P959" s="18"/>
    </row>
    <row r="960" spans="16:16">
      <c r="P960" s="18"/>
    </row>
    <row r="961" spans="16:16">
      <c r="P961" s="18"/>
    </row>
    <row r="962" spans="16:16">
      <c r="P962" s="18"/>
    </row>
    <row r="963" spans="16:16">
      <c r="P963" s="18"/>
    </row>
    <row r="964" spans="16:16">
      <c r="P964" s="18"/>
    </row>
    <row r="965" spans="16:16">
      <c r="P965" s="18"/>
    </row>
    <row r="966" spans="16:16">
      <c r="P966" s="18"/>
    </row>
    <row r="967" spans="16:16">
      <c r="P967" s="18"/>
    </row>
    <row r="968" spans="16:16">
      <c r="P968" s="18"/>
    </row>
    <row r="969" spans="16:16">
      <c r="P969" s="18"/>
    </row>
    <row r="970" spans="16:16">
      <c r="P970" s="18"/>
    </row>
    <row r="971" spans="16:16">
      <c r="P971" s="18"/>
    </row>
    <row r="972" spans="16:16">
      <c r="P972" s="18"/>
    </row>
    <row r="973" spans="16:16">
      <c r="P973" s="18"/>
    </row>
    <row r="974" spans="16:16">
      <c r="P974" s="18"/>
    </row>
    <row r="975" spans="16:16">
      <c r="P975" s="18"/>
    </row>
    <row r="976" spans="16:16">
      <c r="P976" s="18"/>
    </row>
    <row r="977" spans="16:16">
      <c r="P977" s="18"/>
    </row>
    <row r="978" spans="16:16">
      <c r="P978" s="18"/>
    </row>
    <row r="979" spans="16:16">
      <c r="P979" s="18"/>
    </row>
    <row r="980" spans="16:16">
      <c r="P980" s="18"/>
    </row>
    <row r="981" spans="16:16">
      <c r="P981" s="18"/>
    </row>
    <row r="982" spans="16:16">
      <c r="P982" s="18"/>
    </row>
    <row r="983" spans="16:16">
      <c r="P983" s="18"/>
    </row>
    <row r="984" spans="16:16">
      <c r="P984" s="18"/>
    </row>
    <row r="985" spans="16:16">
      <c r="P985" s="18"/>
    </row>
    <row r="986" spans="16:16">
      <c r="P986" s="18"/>
    </row>
    <row r="987" spans="16:16">
      <c r="P987" s="18"/>
    </row>
    <row r="988" spans="16:16">
      <c r="P988" s="18"/>
    </row>
    <row r="989" spans="16:16">
      <c r="P989" s="18"/>
    </row>
    <row r="990" spans="16:16">
      <c r="P990" s="18"/>
    </row>
    <row r="991" spans="16:16">
      <c r="P991" s="18"/>
    </row>
    <row r="992" spans="16:16">
      <c r="P992" s="18"/>
    </row>
    <row r="993" spans="16:16">
      <c r="P993" s="18"/>
    </row>
    <row r="994" spans="16:16">
      <c r="P994" s="18"/>
    </row>
    <row r="995" spans="16:16">
      <c r="P995" s="18"/>
    </row>
    <row r="996" spans="16:16">
      <c r="P996" s="18"/>
    </row>
    <row r="997" spans="16:16">
      <c r="P997" s="18"/>
    </row>
    <row r="998" spans="16:16">
      <c r="P998" s="18"/>
    </row>
    <row r="999" spans="16:16">
      <c r="P999" s="18"/>
    </row>
    <row r="1000" spans="16:16">
      <c r="P1000" s="18"/>
    </row>
    <row r="1001" spans="16:16">
      <c r="P1001" s="18"/>
    </row>
    <row r="1002" spans="16:16">
      <c r="P1002" s="18"/>
    </row>
    <row r="1003" spans="16:16">
      <c r="P1003" s="18"/>
    </row>
    <row r="1004" spans="16:16">
      <c r="P1004" s="18"/>
    </row>
    <row r="1005" spans="16:16">
      <c r="P1005" s="18"/>
    </row>
    <row r="1006" spans="16:16">
      <c r="P1006" s="18"/>
    </row>
    <row r="1007" spans="16:16">
      <c r="P1007" s="18"/>
    </row>
    <row r="1008" spans="16:16">
      <c r="P1008" s="18"/>
    </row>
    <row r="1009" spans="16:16">
      <c r="P1009" s="18"/>
    </row>
    <row r="1010" spans="16:16">
      <c r="P1010" s="18"/>
    </row>
    <row r="1011" spans="16:16">
      <c r="P1011" s="18"/>
    </row>
    <row r="1012" spans="16:16">
      <c r="P1012" s="18"/>
    </row>
    <row r="1013" spans="16:16">
      <c r="P1013" s="18"/>
    </row>
    <row r="1014" spans="16:16">
      <c r="P1014" s="18"/>
    </row>
    <row r="1015" spans="16:16">
      <c r="P1015" s="18"/>
    </row>
    <row r="1016" spans="16:16">
      <c r="P1016" s="18"/>
    </row>
    <row r="1017" spans="16:16">
      <c r="P1017" s="18"/>
    </row>
    <row r="1018" spans="16:16">
      <c r="P1018" s="18"/>
    </row>
    <row r="1019" spans="16:16">
      <c r="P1019" s="18"/>
    </row>
    <row r="1020" spans="16:16">
      <c r="P1020" s="18"/>
    </row>
    <row r="1021" spans="16:16">
      <c r="P1021" s="18"/>
    </row>
    <row r="1022" spans="16:16">
      <c r="P1022" s="18"/>
    </row>
    <row r="1023" spans="16:16">
      <c r="P1023" s="18"/>
    </row>
    <row r="1024" spans="16:16">
      <c r="P1024" s="18"/>
    </row>
    <row r="1025" spans="16:16">
      <c r="P1025" s="18"/>
    </row>
    <row r="1026" spans="16:16">
      <c r="P1026" s="18"/>
    </row>
    <row r="1027" spans="16:16">
      <c r="P1027" s="18"/>
    </row>
    <row r="1028" spans="16:16">
      <c r="P1028" s="18"/>
    </row>
    <row r="1029" spans="16:16">
      <c r="P1029" s="18"/>
    </row>
    <row r="1030" spans="16:16">
      <c r="P1030" s="18"/>
    </row>
    <row r="1031" spans="16:16">
      <c r="P1031" s="18"/>
    </row>
    <row r="1032" spans="16:16">
      <c r="P1032" s="18"/>
    </row>
    <row r="1033" spans="16:16">
      <c r="P1033" s="18"/>
    </row>
    <row r="1034" spans="16:16">
      <c r="P1034" s="18"/>
    </row>
    <row r="1035" spans="16:16">
      <c r="P1035" s="18"/>
    </row>
    <row r="1036" spans="16:16">
      <c r="P1036" s="18"/>
    </row>
    <row r="1037" spans="16:16">
      <c r="P1037" s="18"/>
    </row>
    <row r="1038" spans="16:16">
      <c r="P1038" s="18"/>
    </row>
    <row r="1039" spans="16:16">
      <c r="P1039" s="18"/>
    </row>
    <row r="1040" spans="16:16">
      <c r="P1040" s="18"/>
    </row>
    <row r="1041" spans="16:16">
      <c r="P1041" s="18"/>
    </row>
    <row r="1042" spans="16:16">
      <c r="P1042" s="18"/>
    </row>
    <row r="1043" spans="16:16">
      <c r="P1043" s="18"/>
    </row>
    <row r="1044" spans="16:16">
      <c r="P1044" s="18"/>
    </row>
    <row r="1045" spans="16:16">
      <c r="P1045" s="18"/>
    </row>
    <row r="1046" spans="16:16">
      <c r="P1046" s="18"/>
    </row>
    <row r="1047" spans="16:16">
      <c r="P1047" s="18"/>
    </row>
    <row r="1048" spans="16:16">
      <c r="P1048" s="18"/>
    </row>
    <row r="1049" spans="16:16">
      <c r="P1049" s="18"/>
    </row>
    <row r="1050" spans="16:16">
      <c r="P1050" s="18"/>
    </row>
    <row r="1051" spans="16:16">
      <c r="P1051" s="18"/>
    </row>
    <row r="1052" spans="16:16">
      <c r="P1052" s="18"/>
    </row>
    <row r="1053" spans="16:16">
      <c r="P1053" s="18"/>
    </row>
    <row r="1054" spans="16:16">
      <c r="P1054" s="18"/>
    </row>
    <row r="1055" spans="16:16">
      <c r="P1055" s="18"/>
    </row>
    <row r="1056" spans="16:16">
      <c r="P1056" s="18"/>
    </row>
    <row r="1057" spans="16:16">
      <c r="P1057" s="18"/>
    </row>
    <row r="1058" spans="16:16">
      <c r="P1058" s="18"/>
    </row>
    <row r="1059" spans="16:16">
      <c r="P1059" s="18"/>
    </row>
    <row r="1060" spans="16:16">
      <c r="P1060" s="18"/>
    </row>
    <row r="1061" spans="16:16">
      <c r="P1061" s="18"/>
    </row>
    <row r="1062" spans="16:16">
      <c r="P1062" s="18"/>
    </row>
    <row r="1063" spans="16:16">
      <c r="P1063" s="18"/>
    </row>
    <row r="1064" spans="16:16">
      <c r="P1064" s="18"/>
    </row>
    <row r="1065" spans="16:16">
      <c r="P1065" s="18"/>
    </row>
    <row r="1066" spans="16:16">
      <c r="P1066" s="18"/>
    </row>
    <row r="1067" spans="16:16">
      <c r="P1067" s="18"/>
    </row>
    <row r="1068" spans="16:16">
      <c r="P1068" s="18"/>
    </row>
    <row r="1069" spans="16:16">
      <c r="P1069" s="18"/>
    </row>
    <row r="1070" spans="16:16">
      <c r="P1070" s="18"/>
    </row>
    <row r="1071" spans="16:16">
      <c r="P1071" s="18"/>
    </row>
    <row r="1072" spans="16:16">
      <c r="P1072" s="18"/>
    </row>
    <row r="1073" spans="16:16">
      <c r="P1073" s="18"/>
    </row>
    <row r="1074" spans="16:16">
      <c r="P1074" s="18"/>
    </row>
    <row r="1075" spans="16:16">
      <c r="P1075" s="18"/>
    </row>
    <row r="1076" spans="16:16">
      <c r="P1076" s="18"/>
    </row>
    <row r="1077" spans="16:16">
      <c r="P1077" s="18"/>
    </row>
    <row r="1078" spans="16:16">
      <c r="P1078" s="18"/>
    </row>
    <row r="1079" spans="16:16">
      <c r="P1079" s="18"/>
    </row>
    <row r="1080" spans="16:16">
      <c r="P1080" s="18"/>
    </row>
    <row r="1081" spans="16:16">
      <c r="P1081" s="18"/>
    </row>
    <row r="1082" spans="16:16">
      <c r="P1082" s="18"/>
    </row>
    <row r="1083" spans="16:16">
      <c r="P1083" s="18"/>
    </row>
    <row r="1084" spans="16:16">
      <c r="P1084" s="18"/>
    </row>
    <row r="1085" spans="16:16">
      <c r="P1085" s="18"/>
    </row>
    <row r="1086" spans="16:16">
      <c r="P1086" s="18"/>
    </row>
    <row r="1087" spans="16:16">
      <c r="P1087" s="18"/>
    </row>
    <row r="1088" spans="16:16">
      <c r="P1088" s="18"/>
    </row>
    <row r="1089" spans="16:16">
      <c r="P1089" s="18"/>
    </row>
    <row r="1090" spans="16:16">
      <c r="P1090" s="18"/>
    </row>
    <row r="1091" spans="16:16">
      <c r="P1091" s="18"/>
    </row>
    <row r="1092" spans="16:16">
      <c r="P1092" s="18"/>
    </row>
    <row r="1093" spans="16:16">
      <c r="P1093" s="18"/>
    </row>
    <row r="1094" spans="16:16">
      <c r="P1094" s="18"/>
    </row>
    <row r="1095" spans="16:16">
      <c r="P1095" s="18"/>
    </row>
    <row r="1096" spans="16:16">
      <c r="P1096" s="18"/>
    </row>
    <row r="1097" spans="16:16">
      <c r="P1097" s="18"/>
    </row>
    <row r="1098" spans="16:16">
      <c r="P1098" s="18"/>
    </row>
    <row r="1099" spans="16:16">
      <c r="P1099" s="18"/>
    </row>
    <row r="1100" spans="16:16">
      <c r="P1100" s="18"/>
    </row>
    <row r="1101" spans="16:16">
      <c r="P1101" s="18"/>
    </row>
    <row r="1102" spans="16:16">
      <c r="P1102" s="18"/>
    </row>
    <row r="1103" spans="16:16">
      <c r="P1103" s="18"/>
    </row>
    <row r="1104" spans="16:16">
      <c r="P1104" s="18"/>
    </row>
    <row r="1105" spans="16:16">
      <c r="P1105" s="18"/>
    </row>
    <row r="1106" spans="16:16">
      <c r="P1106" s="18"/>
    </row>
    <row r="1107" spans="16:16">
      <c r="P1107" s="18"/>
    </row>
    <row r="1108" spans="16:16">
      <c r="P1108" s="18"/>
    </row>
    <row r="1109" spans="16:16">
      <c r="P1109" s="18"/>
    </row>
    <row r="1110" spans="16:16">
      <c r="P1110" s="18"/>
    </row>
    <row r="1111" spans="16:16">
      <c r="P1111" s="18"/>
    </row>
    <row r="1112" spans="16:16">
      <c r="P1112" s="18"/>
    </row>
    <row r="1113" spans="16:16">
      <c r="P1113" s="18"/>
    </row>
    <row r="1114" spans="16:16">
      <c r="P1114" s="18"/>
    </row>
    <row r="1115" spans="16:16">
      <c r="P1115" s="18"/>
    </row>
    <row r="1116" spans="16:16">
      <c r="P1116" s="18"/>
    </row>
    <row r="1117" spans="16:16">
      <c r="P1117" s="18"/>
    </row>
    <row r="1118" spans="16:16">
      <c r="P1118" s="18"/>
    </row>
    <row r="1119" spans="16:16">
      <c r="P1119" s="18"/>
    </row>
    <row r="1120" spans="16:16">
      <c r="P1120" s="18"/>
    </row>
    <row r="1121" spans="16:16">
      <c r="P1121" s="18"/>
    </row>
    <row r="1122" spans="16:16">
      <c r="P1122" s="18"/>
    </row>
    <row r="1123" spans="16:16">
      <c r="P1123" s="18"/>
    </row>
    <row r="1124" spans="16:16">
      <c r="P1124" s="18"/>
    </row>
    <row r="1125" spans="16:16">
      <c r="P1125" s="18"/>
    </row>
    <row r="1126" spans="16:16">
      <c r="P1126" s="18"/>
    </row>
    <row r="1127" spans="16:16">
      <c r="P1127" s="18"/>
    </row>
    <row r="1128" spans="16:16">
      <c r="P1128" s="18"/>
    </row>
    <row r="1129" spans="16:16">
      <c r="P1129" s="18"/>
    </row>
    <row r="1130" spans="16:16">
      <c r="P1130" s="18"/>
    </row>
    <row r="1131" spans="16:16">
      <c r="P1131" s="18"/>
    </row>
    <row r="1132" spans="16:16">
      <c r="P1132" s="18"/>
    </row>
    <row r="1133" spans="16:16">
      <c r="P1133" s="18"/>
    </row>
    <row r="1134" spans="16:16">
      <c r="P1134" s="18"/>
    </row>
    <row r="1135" spans="16:16">
      <c r="P1135" s="18"/>
    </row>
    <row r="1136" spans="16:16">
      <c r="P1136" s="18"/>
    </row>
    <row r="1137" spans="16:16">
      <c r="P1137" s="18"/>
    </row>
    <row r="1138" spans="16:16">
      <c r="P1138" s="18"/>
    </row>
    <row r="1139" spans="16:16">
      <c r="P1139" s="18"/>
    </row>
    <row r="1140" spans="16:16">
      <c r="P1140" s="18"/>
    </row>
    <row r="1141" spans="16:16">
      <c r="P1141" s="18"/>
    </row>
    <row r="1142" spans="16:16">
      <c r="P1142" s="18"/>
    </row>
    <row r="1143" spans="16:16">
      <c r="P1143" s="18"/>
    </row>
    <row r="1144" spans="16:16">
      <c r="P1144" s="18"/>
    </row>
    <row r="1145" spans="16:16">
      <c r="P1145" s="18"/>
    </row>
    <row r="1146" spans="16:16">
      <c r="P1146" s="18"/>
    </row>
    <row r="1147" spans="16:16">
      <c r="P1147" s="18"/>
    </row>
    <row r="1148" spans="16:16">
      <c r="P1148" s="18"/>
    </row>
    <row r="1149" spans="16:16">
      <c r="P1149" s="18"/>
    </row>
    <row r="1150" spans="16:16">
      <c r="P1150" s="18"/>
    </row>
    <row r="1151" spans="16:16">
      <c r="P1151" s="18"/>
    </row>
    <row r="1152" spans="16:16">
      <c r="P1152" s="18"/>
    </row>
    <row r="1153" spans="16:16">
      <c r="P1153" s="18"/>
    </row>
    <row r="1154" spans="16:16">
      <c r="P1154" s="18"/>
    </row>
    <row r="1155" spans="16:16">
      <c r="P1155" s="18"/>
    </row>
    <row r="1156" spans="16:16">
      <c r="P1156" s="18"/>
    </row>
    <row r="1157" spans="16:16">
      <c r="P1157" s="18"/>
    </row>
    <row r="1158" spans="16:16">
      <c r="P1158" s="18"/>
    </row>
    <row r="1159" spans="16:16">
      <c r="P1159" s="18"/>
    </row>
    <row r="1160" spans="16:16">
      <c r="P1160" s="18"/>
    </row>
    <row r="1161" spans="16:16">
      <c r="P1161" s="18"/>
    </row>
    <row r="1162" spans="16:16">
      <c r="P1162" s="18"/>
    </row>
    <row r="1163" spans="16:16">
      <c r="P1163" s="18"/>
    </row>
    <row r="1164" spans="16:16">
      <c r="P1164" s="18"/>
    </row>
    <row r="1165" spans="16:16">
      <c r="P1165" s="18"/>
    </row>
    <row r="1166" spans="16:16">
      <c r="P1166" s="18"/>
    </row>
    <row r="1167" spans="16:16">
      <c r="P1167" s="18"/>
    </row>
    <row r="1168" spans="16:16">
      <c r="P1168" s="18"/>
    </row>
    <row r="1169" spans="16:16">
      <c r="P1169" s="18"/>
    </row>
    <row r="1170" spans="16:16">
      <c r="P1170" s="18"/>
    </row>
    <row r="1171" spans="16:16">
      <c r="P1171" s="18"/>
    </row>
    <row r="1172" spans="16:16">
      <c r="P1172" s="18"/>
    </row>
    <row r="1173" spans="16:16">
      <c r="P1173" s="18"/>
    </row>
    <row r="1174" spans="16:16">
      <c r="P1174" s="18"/>
    </row>
    <row r="1175" spans="16:16">
      <c r="P1175" s="18"/>
    </row>
    <row r="1176" spans="16:16">
      <c r="P1176" s="18"/>
    </row>
    <row r="1177" spans="16:16">
      <c r="P1177" s="18"/>
    </row>
    <row r="1178" spans="16:16">
      <c r="P1178" s="18"/>
    </row>
    <row r="1179" spans="16:16">
      <c r="P1179" s="18"/>
    </row>
    <row r="1180" spans="16:16">
      <c r="P1180" s="18"/>
    </row>
    <row r="1181" spans="16:16">
      <c r="P1181" s="18"/>
    </row>
    <row r="1182" spans="16:16">
      <c r="P1182" s="18"/>
    </row>
    <row r="1183" spans="16:16">
      <c r="P1183" s="18"/>
    </row>
    <row r="1184" spans="16:16">
      <c r="P1184" s="18"/>
    </row>
    <row r="1185" spans="16:16">
      <c r="P1185" s="18"/>
    </row>
    <row r="1186" spans="16:16">
      <c r="P1186" s="18"/>
    </row>
    <row r="1187" spans="16:16">
      <c r="P1187" s="18"/>
    </row>
    <row r="1188" spans="16:16">
      <c r="P1188" s="18"/>
    </row>
    <row r="1189" spans="16:16">
      <c r="P1189" s="18"/>
    </row>
    <row r="1190" spans="16:16">
      <c r="P1190" s="18"/>
    </row>
    <row r="1191" spans="16:16">
      <c r="P1191" s="18"/>
    </row>
    <row r="1192" spans="16:16">
      <c r="P1192" s="18"/>
    </row>
    <row r="1193" spans="16:16">
      <c r="P1193" s="18"/>
    </row>
    <row r="1194" spans="16:16">
      <c r="P1194" s="18"/>
    </row>
    <row r="1195" spans="16:16">
      <c r="P1195" s="18"/>
    </row>
    <row r="1196" spans="16:16">
      <c r="P1196" s="18"/>
    </row>
    <row r="1197" spans="16:16">
      <c r="P1197" s="18"/>
    </row>
    <row r="1198" spans="16:16">
      <c r="P1198" s="18"/>
    </row>
    <row r="1199" spans="16:16">
      <c r="P1199" s="18"/>
    </row>
    <row r="1200" spans="16:16">
      <c r="P1200" s="18"/>
    </row>
    <row r="1201" spans="16:16">
      <c r="P1201" s="18"/>
    </row>
    <row r="1202" spans="16:16">
      <c r="P1202" s="18"/>
    </row>
    <row r="1203" spans="16:16">
      <c r="P1203" s="18"/>
    </row>
    <row r="1204" spans="16:16">
      <c r="P1204" s="18"/>
    </row>
    <row r="1205" spans="16:16">
      <c r="P1205" s="18"/>
    </row>
    <row r="1206" spans="16:16">
      <c r="P1206" s="18"/>
    </row>
    <row r="1207" spans="16:16">
      <c r="P1207" s="18"/>
    </row>
    <row r="1208" spans="16:16">
      <c r="P1208" s="18"/>
    </row>
    <row r="1209" spans="16:16">
      <c r="P1209" s="18"/>
    </row>
    <row r="1210" spans="16:16">
      <c r="P1210" s="18"/>
    </row>
    <row r="1211" spans="16:16">
      <c r="P1211" s="18"/>
    </row>
    <row r="1212" spans="16:16">
      <c r="P1212" s="18"/>
    </row>
    <row r="1213" spans="16:16">
      <c r="P1213" s="18"/>
    </row>
    <row r="1214" spans="16:16">
      <c r="P1214" s="18"/>
    </row>
    <row r="1215" spans="16:16">
      <c r="P1215" s="18"/>
    </row>
    <row r="1216" spans="16:16">
      <c r="P1216" s="18"/>
    </row>
    <row r="1217" spans="16:16">
      <c r="P1217" s="18"/>
    </row>
    <row r="1218" spans="16:16">
      <c r="P1218" s="18"/>
    </row>
    <row r="1219" spans="16:16">
      <c r="P1219" s="18"/>
    </row>
    <row r="1220" spans="16:16">
      <c r="P1220" s="18"/>
    </row>
    <row r="1221" spans="16:16">
      <c r="P1221" s="18"/>
    </row>
    <row r="1222" spans="16:16">
      <c r="P1222" s="18"/>
    </row>
    <row r="1223" spans="16:16">
      <c r="P1223" s="18"/>
    </row>
    <row r="1224" spans="16:16">
      <c r="P1224" s="18"/>
    </row>
    <row r="1225" spans="16:16">
      <c r="P1225" s="18"/>
    </row>
    <row r="1226" spans="16:16">
      <c r="P1226" s="18"/>
    </row>
    <row r="1227" spans="16:16">
      <c r="P1227" s="18"/>
    </row>
    <row r="1228" spans="16:16">
      <c r="P1228" s="18"/>
    </row>
    <row r="1229" spans="16:16">
      <c r="P1229" s="18"/>
    </row>
    <row r="1230" spans="16:16">
      <c r="P1230" s="18"/>
    </row>
    <row r="1231" spans="16:16">
      <c r="P1231" s="18"/>
    </row>
    <row r="1232" spans="16:16">
      <c r="P1232" s="18"/>
    </row>
    <row r="1233" spans="16:16">
      <c r="P1233" s="18"/>
    </row>
    <row r="1234" spans="16:16">
      <c r="P1234" s="18"/>
    </row>
    <row r="1235" spans="16:16">
      <c r="P1235" s="18"/>
    </row>
    <row r="1236" spans="16:16">
      <c r="P1236" s="18"/>
    </row>
    <row r="1237" spans="16:16">
      <c r="P1237" s="18"/>
    </row>
    <row r="1238" spans="16:16">
      <c r="P1238" s="18"/>
    </row>
    <row r="1239" spans="16:16">
      <c r="P1239" s="18"/>
    </row>
    <row r="1240" spans="16:16">
      <c r="P1240" s="18"/>
    </row>
    <row r="1241" spans="16:16">
      <c r="P1241" s="18"/>
    </row>
    <row r="1242" spans="16:16">
      <c r="P1242" s="18"/>
    </row>
    <row r="1243" spans="16:16">
      <c r="P1243" s="18"/>
    </row>
    <row r="1244" spans="16:16">
      <c r="P1244" s="18"/>
    </row>
    <row r="1245" spans="16:16">
      <c r="P1245" s="18"/>
    </row>
    <row r="1246" spans="16:16">
      <c r="P1246" s="18"/>
    </row>
    <row r="1247" spans="16:16">
      <c r="P1247" s="18"/>
    </row>
    <row r="1248" spans="16:16">
      <c r="P1248" s="18"/>
    </row>
    <row r="1249" spans="16:16">
      <c r="P1249" s="18"/>
    </row>
    <row r="1250" spans="16:16">
      <c r="P1250" s="18"/>
    </row>
    <row r="1251" spans="16:16">
      <c r="P1251" s="18"/>
    </row>
    <row r="1252" spans="16:16">
      <c r="P1252" s="18"/>
    </row>
    <row r="1253" spans="16:16">
      <c r="P1253" s="18"/>
    </row>
    <row r="1254" spans="16:16">
      <c r="P1254" s="18"/>
    </row>
    <row r="1255" spans="16:16">
      <c r="P1255" s="18"/>
    </row>
    <row r="1256" spans="16:16">
      <c r="P1256" s="18"/>
    </row>
    <row r="1257" spans="16:16">
      <c r="P1257" s="18"/>
    </row>
    <row r="1258" spans="16:16">
      <c r="P1258" s="18"/>
    </row>
    <row r="1259" spans="16:16">
      <c r="P1259" s="18"/>
    </row>
    <row r="1260" spans="16:16">
      <c r="P1260" s="18"/>
    </row>
    <row r="1261" spans="16:16">
      <c r="P1261" s="18"/>
    </row>
    <row r="1262" spans="16:16">
      <c r="P1262" s="18"/>
    </row>
    <row r="1263" spans="16:16">
      <c r="P1263" s="18"/>
    </row>
    <row r="1264" spans="16:16">
      <c r="P1264" s="18"/>
    </row>
    <row r="1265" spans="16:16">
      <c r="P1265" s="18"/>
    </row>
    <row r="1266" spans="16:16">
      <c r="P1266" s="18"/>
    </row>
    <row r="1267" spans="16:16">
      <c r="P1267" s="18"/>
    </row>
    <row r="1268" spans="16:16">
      <c r="P1268" s="18"/>
    </row>
    <row r="1269" spans="16:16">
      <c r="P1269" s="18"/>
    </row>
    <row r="1270" spans="16:16">
      <c r="P1270" s="18"/>
    </row>
    <row r="1271" spans="16:16">
      <c r="P1271" s="18"/>
    </row>
    <row r="1272" spans="16:16">
      <c r="P1272" s="18"/>
    </row>
    <row r="1273" spans="16:16">
      <c r="P1273" s="18"/>
    </row>
    <row r="1274" spans="16:16">
      <c r="P1274" s="18"/>
    </row>
    <row r="1275" spans="16:16">
      <c r="P1275" s="18"/>
    </row>
    <row r="1276" spans="16:16">
      <c r="P1276" s="18"/>
    </row>
    <row r="1277" spans="16:16">
      <c r="P1277" s="18"/>
    </row>
    <row r="1278" spans="16:16">
      <c r="P1278" s="18"/>
    </row>
    <row r="1279" spans="16:16">
      <c r="P1279" s="18"/>
    </row>
    <row r="1280" spans="16:16">
      <c r="P1280" s="18"/>
    </row>
    <row r="1281" spans="16:16">
      <c r="P1281" s="18"/>
    </row>
    <row r="1282" spans="16:16">
      <c r="P1282" s="18"/>
    </row>
    <row r="1283" spans="16:16">
      <c r="P1283" s="18"/>
    </row>
    <row r="1284" spans="16:16">
      <c r="P1284" s="18"/>
    </row>
    <row r="1285" spans="16:16">
      <c r="P1285" s="18"/>
    </row>
    <row r="1286" spans="16:16">
      <c r="P1286" s="18"/>
    </row>
    <row r="1287" spans="16:16">
      <c r="P1287" s="18"/>
    </row>
    <row r="1288" spans="16:16">
      <c r="P1288" s="18"/>
    </row>
    <row r="1289" spans="16:16">
      <c r="P1289" s="18"/>
    </row>
    <row r="1290" spans="16:16">
      <c r="P1290" s="18"/>
    </row>
    <row r="1291" spans="16:16">
      <c r="P1291" s="18"/>
    </row>
    <row r="1292" spans="16:16">
      <c r="P1292" s="18"/>
    </row>
    <row r="1293" spans="16:16">
      <c r="P1293" s="18"/>
    </row>
    <row r="1294" spans="16:16">
      <c r="P1294" s="18"/>
    </row>
    <row r="1295" spans="16:16">
      <c r="P1295" s="18"/>
    </row>
    <row r="1296" spans="16:16">
      <c r="P1296" s="18"/>
    </row>
    <row r="1297" spans="16:16">
      <c r="P1297" s="18"/>
    </row>
    <row r="1298" spans="16:16">
      <c r="P1298" s="18"/>
    </row>
    <row r="1299" spans="16:16">
      <c r="P1299" s="18"/>
    </row>
    <row r="1300" spans="16:16">
      <c r="P1300" s="18"/>
    </row>
    <row r="1301" spans="16:16">
      <c r="P1301" s="18"/>
    </row>
    <row r="1302" spans="16:16">
      <c r="P1302" s="18"/>
    </row>
    <row r="1303" spans="16:16">
      <c r="P1303" s="18"/>
    </row>
    <row r="1304" spans="16:16">
      <c r="P1304" s="18"/>
    </row>
    <row r="1305" spans="16:16">
      <c r="P1305" s="18"/>
    </row>
    <row r="1306" spans="16:16">
      <c r="P1306" s="18"/>
    </row>
    <row r="1307" spans="16:16">
      <c r="P1307" s="18"/>
    </row>
    <row r="1308" spans="16:16">
      <c r="P1308" s="18"/>
    </row>
    <row r="1309" spans="16:16">
      <c r="P1309" s="18"/>
    </row>
    <row r="1310" spans="16:16">
      <c r="P1310" s="18"/>
    </row>
    <row r="1311" spans="16:16">
      <c r="P1311" s="18"/>
    </row>
    <row r="1312" spans="16:16">
      <c r="P1312" s="18"/>
    </row>
    <row r="1313" spans="16:16">
      <c r="P1313" s="18"/>
    </row>
    <row r="1314" spans="16:16">
      <c r="P1314" s="18"/>
    </row>
    <row r="1315" spans="16:16">
      <c r="P1315" s="18"/>
    </row>
    <row r="1316" spans="16:16">
      <c r="P1316" s="18"/>
    </row>
    <row r="1317" spans="16:16">
      <c r="P1317" s="18"/>
    </row>
    <row r="1318" spans="16:16">
      <c r="P1318" s="18"/>
    </row>
    <row r="1319" spans="16:16">
      <c r="P1319" s="18"/>
    </row>
    <row r="1320" spans="16:16">
      <c r="P1320" s="18"/>
    </row>
    <row r="1321" spans="16:16">
      <c r="P1321" s="18"/>
    </row>
    <row r="1322" spans="16:16">
      <c r="P1322" s="18"/>
    </row>
    <row r="1323" spans="16:16">
      <c r="P1323" s="18"/>
    </row>
    <row r="1324" spans="16:16">
      <c r="P1324" s="18"/>
    </row>
    <row r="1325" spans="16:16">
      <c r="P1325" s="18"/>
    </row>
    <row r="1326" spans="16:16">
      <c r="P1326" s="18"/>
    </row>
    <row r="1327" spans="16:16">
      <c r="P1327" s="18"/>
    </row>
    <row r="1328" spans="16:16">
      <c r="P1328" s="18"/>
    </row>
    <row r="1329" spans="16:16">
      <c r="P1329" s="18"/>
    </row>
    <row r="1330" spans="16:16">
      <c r="P1330" s="18"/>
    </row>
    <row r="1331" spans="16:16">
      <c r="P1331" s="18"/>
    </row>
    <row r="1332" spans="16:16">
      <c r="P1332" s="18"/>
    </row>
    <row r="1333" spans="16:16">
      <c r="P1333" s="18"/>
    </row>
    <row r="1334" spans="16:16">
      <c r="P1334" s="18"/>
    </row>
    <row r="1335" spans="16:16">
      <c r="P1335" s="18"/>
    </row>
    <row r="1336" spans="16:16">
      <c r="P1336" s="18"/>
    </row>
    <row r="1337" spans="16:16">
      <c r="P1337" s="18"/>
    </row>
    <row r="1338" spans="16:16">
      <c r="P1338" s="18"/>
    </row>
    <row r="1339" spans="16:16">
      <c r="P1339" s="18"/>
    </row>
    <row r="1340" spans="16:16">
      <c r="P1340" s="18"/>
    </row>
    <row r="1341" spans="16:16">
      <c r="P1341" s="18"/>
    </row>
    <row r="1342" spans="16:16">
      <c r="P1342" s="18"/>
    </row>
    <row r="1343" spans="16:16">
      <c r="P1343" s="18"/>
    </row>
    <row r="1344" spans="16:16">
      <c r="P1344" s="18"/>
    </row>
    <row r="1345" spans="16:16">
      <c r="P1345" s="18"/>
    </row>
    <row r="1346" spans="16:16">
      <c r="P1346" s="18"/>
    </row>
    <row r="1347" spans="16:16">
      <c r="P1347" s="18"/>
    </row>
    <row r="1348" spans="16:16">
      <c r="P1348" s="18"/>
    </row>
    <row r="1349" spans="16:16">
      <c r="P1349" s="18"/>
    </row>
    <row r="1350" spans="16:16">
      <c r="P1350" s="18"/>
    </row>
    <row r="1351" spans="16:16">
      <c r="P1351" s="18"/>
    </row>
    <row r="1352" spans="16:16">
      <c r="P1352" s="18"/>
    </row>
    <row r="1353" spans="16:16">
      <c r="P1353" s="18"/>
    </row>
    <row r="1354" spans="16:16">
      <c r="P1354" s="18"/>
    </row>
    <row r="1355" spans="16:16">
      <c r="P1355" s="18"/>
    </row>
    <row r="1356" spans="16:16">
      <c r="P1356" s="18"/>
    </row>
    <row r="1357" spans="16:16">
      <c r="P1357" s="18"/>
    </row>
    <row r="1358" spans="16:16">
      <c r="P1358" s="18"/>
    </row>
    <row r="1359" spans="16:16">
      <c r="P1359" s="18"/>
    </row>
    <row r="1360" spans="16:16">
      <c r="P1360" s="18"/>
    </row>
    <row r="1361" spans="16:16">
      <c r="P1361" s="18"/>
    </row>
    <row r="1362" spans="16:16">
      <c r="P1362" s="18"/>
    </row>
    <row r="1363" spans="16:16">
      <c r="P1363" s="18"/>
    </row>
    <row r="1364" spans="16:16">
      <c r="P1364" s="18"/>
    </row>
    <row r="1365" spans="16:16">
      <c r="P1365" s="18"/>
    </row>
    <row r="1366" spans="16:16">
      <c r="P1366" s="18"/>
    </row>
    <row r="1367" spans="16:16">
      <c r="P1367" s="18"/>
    </row>
    <row r="1368" spans="16:16">
      <c r="P1368" s="18"/>
    </row>
    <row r="1369" spans="16:16">
      <c r="P1369" s="18"/>
    </row>
    <row r="1370" spans="16:16">
      <c r="P1370" s="18"/>
    </row>
    <row r="1371" spans="16:16">
      <c r="P1371" s="18"/>
    </row>
    <row r="1372" spans="16:16">
      <c r="P1372" s="18"/>
    </row>
    <row r="1373" spans="16:16">
      <c r="P1373" s="18"/>
    </row>
    <row r="1374" spans="16:16">
      <c r="P1374" s="18"/>
    </row>
    <row r="1375" spans="16:16">
      <c r="P1375" s="18"/>
    </row>
    <row r="1376" spans="16:16">
      <c r="P1376" s="18"/>
    </row>
    <row r="1377" spans="16:16">
      <c r="P1377" s="18"/>
    </row>
    <row r="1378" spans="16:16">
      <c r="P1378" s="18"/>
    </row>
    <row r="1379" spans="16:16">
      <c r="P1379" s="18"/>
    </row>
    <row r="1380" spans="16:16">
      <c r="P1380" s="18"/>
    </row>
    <row r="1381" spans="16:16">
      <c r="P1381" s="18"/>
    </row>
    <row r="1382" spans="16:16">
      <c r="P1382" s="18"/>
    </row>
    <row r="1383" spans="16:16">
      <c r="P1383" s="18"/>
    </row>
    <row r="1384" spans="16:16">
      <c r="P1384" s="18"/>
    </row>
    <row r="1385" spans="16:16">
      <c r="P1385" s="18"/>
    </row>
    <row r="1386" spans="16:16">
      <c r="P1386" s="18"/>
    </row>
    <row r="1387" spans="16:16">
      <c r="P1387" s="18"/>
    </row>
    <row r="1388" spans="16:16">
      <c r="P1388" s="18"/>
    </row>
    <row r="1389" spans="16:16">
      <c r="P1389" s="18"/>
    </row>
    <row r="1390" spans="16:16">
      <c r="P1390" s="18"/>
    </row>
    <row r="1391" spans="16:16">
      <c r="P1391" s="18"/>
    </row>
    <row r="1392" spans="16:16">
      <c r="P1392" s="18"/>
    </row>
    <row r="1393" spans="16:16">
      <c r="P1393" s="18"/>
    </row>
    <row r="1394" spans="16:16">
      <c r="P1394" s="18"/>
    </row>
    <row r="1395" spans="16:16">
      <c r="P1395" s="18"/>
    </row>
    <row r="1396" spans="16:16">
      <c r="P1396" s="18"/>
    </row>
    <row r="1397" spans="16:16">
      <c r="P1397" s="18"/>
    </row>
    <row r="1398" spans="16:16">
      <c r="P1398" s="18"/>
    </row>
    <row r="1399" spans="16:16">
      <c r="P1399" s="18"/>
    </row>
    <row r="1400" spans="16:16">
      <c r="P1400" s="18"/>
    </row>
    <row r="1401" spans="16:16">
      <c r="P1401" s="18"/>
    </row>
    <row r="1402" spans="16:16">
      <c r="P1402" s="18"/>
    </row>
    <row r="1403" spans="16:16">
      <c r="P1403" s="18"/>
    </row>
    <row r="1404" spans="16:16">
      <c r="P1404" s="18"/>
    </row>
    <row r="1405" spans="16:16">
      <c r="P1405" s="18"/>
    </row>
    <row r="1406" spans="16:16">
      <c r="P1406" s="18"/>
    </row>
    <row r="1407" spans="16:16">
      <c r="P1407" s="18"/>
    </row>
    <row r="1408" spans="16:16">
      <c r="P1408" s="18"/>
    </row>
    <row r="1409" spans="16:16">
      <c r="P1409" s="18"/>
    </row>
    <row r="1410" spans="16:16">
      <c r="P1410" s="18"/>
    </row>
    <row r="1411" spans="16:16">
      <c r="P1411" s="18"/>
    </row>
    <row r="1412" spans="16:16">
      <c r="P1412" s="18"/>
    </row>
    <row r="1413" spans="16:16">
      <c r="P1413" s="18"/>
    </row>
    <row r="1414" spans="16:16">
      <c r="P1414" s="18"/>
    </row>
    <row r="1415" spans="16:16">
      <c r="P1415" s="18"/>
    </row>
    <row r="1416" spans="16:16">
      <c r="P1416" s="18"/>
    </row>
    <row r="1417" spans="16:16">
      <c r="P1417" s="18"/>
    </row>
    <row r="1418" spans="16:16">
      <c r="P1418" s="18"/>
    </row>
    <row r="1419" spans="16:16">
      <c r="P1419" s="18"/>
    </row>
    <row r="1420" spans="16:16">
      <c r="P1420" s="18"/>
    </row>
    <row r="1421" spans="16:16">
      <c r="P1421" s="18"/>
    </row>
    <row r="1422" spans="16:16">
      <c r="P1422" s="18"/>
    </row>
    <row r="1423" spans="16:16">
      <c r="P1423" s="18"/>
    </row>
    <row r="1424" spans="16:16">
      <c r="P1424" s="18"/>
    </row>
    <row r="1425" spans="16:16">
      <c r="P1425" s="18"/>
    </row>
    <row r="1426" spans="16:16">
      <c r="P1426" s="18"/>
    </row>
    <row r="1427" spans="16:16">
      <c r="P1427" s="18"/>
    </row>
    <row r="1428" spans="16:16">
      <c r="P1428" s="18"/>
    </row>
    <row r="1429" spans="16:16">
      <c r="P1429" s="18"/>
    </row>
    <row r="1430" spans="16:16">
      <c r="P1430" s="18"/>
    </row>
    <row r="1431" spans="16:16">
      <c r="P1431" s="18"/>
    </row>
    <row r="1432" spans="16:16">
      <c r="P1432" s="18"/>
    </row>
    <row r="1433" spans="16:16">
      <c r="P1433" s="18"/>
    </row>
    <row r="1434" spans="16:16">
      <c r="P1434" s="18"/>
    </row>
    <row r="1435" spans="16:16">
      <c r="P1435" s="18"/>
    </row>
    <row r="1436" spans="16:16">
      <c r="P1436" s="18"/>
    </row>
    <row r="1437" spans="16:16">
      <c r="P1437" s="18"/>
    </row>
    <row r="1438" spans="16:16">
      <c r="P1438" s="18"/>
    </row>
    <row r="1439" spans="16:16">
      <c r="P1439" s="18"/>
    </row>
    <row r="1440" spans="16:16">
      <c r="P1440" s="18"/>
    </row>
    <row r="1441" spans="16:16">
      <c r="P1441" s="18"/>
    </row>
    <row r="1442" spans="16:16">
      <c r="P1442" s="18"/>
    </row>
    <row r="1443" spans="16:16">
      <c r="P1443" s="18"/>
    </row>
    <row r="1444" spans="16:16">
      <c r="P1444" s="18"/>
    </row>
    <row r="1445" spans="16:16">
      <c r="P1445" s="18"/>
    </row>
    <row r="1446" spans="16:16">
      <c r="P1446" s="18"/>
    </row>
    <row r="1447" spans="16:16">
      <c r="P1447" s="18"/>
    </row>
    <row r="1448" spans="16:16">
      <c r="P1448" s="18"/>
    </row>
    <row r="1449" spans="16:16">
      <c r="P1449" s="18"/>
    </row>
    <row r="1450" spans="16:16">
      <c r="P1450" s="18"/>
    </row>
    <row r="1451" spans="16:16">
      <c r="P1451" s="18"/>
    </row>
    <row r="1452" spans="16:16">
      <c r="P1452" s="18"/>
    </row>
    <row r="1453" spans="16:16">
      <c r="P1453" s="18"/>
    </row>
    <row r="1454" spans="16:16">
      <c r="P1454" s="18"/>
    </row>
    <row r="1455" spans="16:16">
      <c r="P1455" s="18"/>
    </row>
    <row r="1456" spans="16:16">
      <c r="P1456" s="18"/>
    </row>
    <row r="1457" spans="16:16">
      <c r="P1457" s="18"/>
    </row>
    <row r="1458" spans="16:16">
      <c r="P1458" s="18"/>
    </row>
    <row r="1459" spans="16:16">
      <c r="P1459" s="18"/>
    </row>
    <row r="1460" spans="16:16">
      <c r="P1460" s="18"/>
    </row>
    <row r="1461" spans="16:16">
      <c r="P1461" s="18"/>
    </row>
    <row r="1462" spans="16:16">
      <c r="P1462" s="18"/>
    </row>
    <row r="1463" spans="16:16">
      <c r="P1463" s="18"/>
    </row>
    <row r="1464" spans="16:16">
      <c r="P1464" s="18"/>
    </row>
    <row r="1465" spans="16:16">
      <c r="P1465" s="18"/>
    </row>
    <row r="1466" spans="16:16">
      <c r="P1466" s="18"/>
    </row>
    <row r="1467" spans="16:16">
      <c r="P1467" s="18"/>
    </row>
    <row r="1468" spans="16:16">
      <c r="P1468" s="18"/>
    </row>
    <row r="1469" spans="16:16">
      <c r="P1469" s="18"/>
    </row>
    <row r="1470" spans="16:16">
      <c r="P1470" s="18"/>
    </row>
    <row r="1471" spans="16:16">
      <c r="P1471" s="18"/>
    </row>
    <row r="1472" spans="16:16">
      <c r="P1472" s="18"/>
    </row>
    <row r="1473" spans="16:16">
      <c r="P1473" s="18"/>
    </row>
    <row r="1474" spans="16:16">
      <c r="P1474" s="18"/>
    </row>
    <row r="1475" spans="16:16">
      <c r="P1475" s="18"/>
    </row>
    <row r="1476" spans="16:16">
      <c r="P1476" s="18"/>
    </row>
    <row r="1477" spans="16:16">
      <c r="P1477" s="18"/>
    </row>
    <row r="1478" spans="16:16">
      <c r="P1478" s="18"/>
    </row>
    <row r="1479" spans="16:16">
      <c r="P1479" s="18"/>
    </row>
    <row r="1480" spans="16:16">
      <c r="P1480" s="18"/>
    </row>
    <row r="1481" spans="16:16">
      <c r="P1481" s="18"/>
    </row>
    <row r="1482" spans="16:16">
      <c r="P1482" s="18"/>
    </row>
    <row r="1483" spans="16:16">
      <c r="P1483" s="18"/>
    </row>
    <row r="1484" spans="16:16">
      <c r="P1484" s="18"/>
    </row>
    <row r="1485" spans="16:16">
      <c r="P1485" s="18"/>
    </row>
    <row r="1486" spans="16:16">
      <c r="P1486" s="18"/>
    </row>
    <row r="1487" spans="16:16">
      <c r="P1487" s="18"/>
    </row>
    <row r="1488" spans="16:16">
      <c r="P1488" s="18"/>
    </row>
    <row r="1489" spans="16:16">
      <c r="P1489" s="18"/>
    </row>
    <row r="1490" spans="16:16">
      <c r="P1490" s="18"/>
    </row>
    <row r="1491" spans="16:16">
      <c r="P1491" s="18"/>
    </row>
    <row r="1492" spans="16:16">
      <c r="P1492" s="18"/>
    </row>
    <row r="1493" spans="16:16">
      <c r="P1493" s="18"/>
    </row>
    <row r="1494" spans="16:16">
      <c r="P1494" s="18"/>
    </row>
    <row r="1495" spans="16:16">
      <c r="P1495" s="18"/>
    </row>
    <row r="1496" spans="16:16">
      <c r="P1496" s="18"/>
    </row>
    <row r="1497" spans="16:16">
      <c r="P1497" s="18"/>
    </row>
    <row r="1498" spans="16:16">
      <c r="P1498" s="18"/>
    </row>
    <row r="1499" spans="16:16">
      <c r="P1499" s="18"/>
    </row>
    <row r="1500" spans="16:16">
      <c r="P1500" s="18"/>
    </row>
    <row r="1501" spans="16:16">
      <c r="P1501" s="18"/>
    </row>
    <row r="1502" spans="16:16">
      <c r="P1502" s="18"/>
    </row>
    <row r="1503" spans="16:16">
      <c r="P1503" s="18"/>
    </row>
    <row r="1504" spans="16:16">
      <c r="P1504" s="18"/>
    </row>
    <row r="1505" spans="16:16">
      <c r="P1505" s="18"/>
    </row>
    <row r="1506" spans="16:16">
      <c r="P1506" s="18"/>
    </row>
    <row r="1507" spans="16:16">
      <c r="P1507" s="18"/>
    </row>
    <row r="1508" spans="16:16">
      <c r="P1508" s="18"/>
    </row>
    <row r="1509" spans="16:16">
      <c r="P1509" s="18"/>
    </row>
    <row r="1510" spans="16:16">
      <c r="P1510" s="18"/>
    </row>
    <row r="1511" spans="16:16">
      <c r="P1511" s="18"/>
    </row>
    <row r="1512" spans="16:16">
      <c r="P1512" s="18"/>
    </row>
    <row r="1513" spans="16:16">
      <c r="P1513" s="18"/>
    </row>
    <row r="1514" spans="16:16">
      <c r="P1514" s="18"/>
    </row>
    <row r="1515" spans="16:16">
      <c r="P1515" s="18"/>
    </row>
    <row r="1516" spans="16:16">
      <c r="P1516" s="18"/>
    </row>
    <row r="1517" spans="16:16">
      <c r="P1517" s="18"/>
    </row>
    <row r="1518" spans="16:16">
      <c r="P1518" s="18"/>
    </row>
    <row r="1519" spans="16:16">
      <c r="P1519" s="18"/>
    </row>
    <row r="1520" spans="16:16">
      <c r="P1520" s="18"/>
    </row>
    <row r="1521" spans="16:16">
      <c r="P1521" s="18"/>
    </row>
    <row r="1522" spans="16:16">
      <c r="P1522" s="18"/>
    </row>
    <row r="1523" spans="16:16">
      <c r="P1523" s="18"/>
    </row>
    <row r="1524" spans="16:16">
      <c r="P1524" s="18"/>
    </row>
    <row r="1525" spans="16:16">
      <c r="P1525" s="18"/>
    </row>
    <row r="1526" spans="16:16">
      <c r="P1526" s="18"/>
    </row>
    <row r="1527" spans="16:16">
      <c r="P1527" s="18"/>
    </row>
    <row r="1528" spans="16:16">
      <c r="P1528" s="18"/>
    </row>
    <row r="1529" spans="16:16">
      <c r="P1529" s="18"/>
    </row>
    <row r="1530" spans="16:16">
      <c r="P1530" s="18"/>
    </row>
    <row r="1531" spans="16:16">
      <c r="P1531" s="18"/>
    </row>
    <row r="1532" spans="16:16">
      <c r="P1532" s="18"/>
    </row>
    <row r="1533" spans="16:16">
      <c r="P1533" s="18"/>
    </row>
    <row r="1534" spans="16:16">
      <c r="P1534" s="18"/>
    </row>
    <row r="1535" spans="16:16">
      <c r="P1535" s="18"/>
    </row>
    <row r="1536" spans="16:16">
      <c r="P1536" s="18"/>
    </row>
    <row r="1537" spans="16:16">
      <c r="P1537" s="18"/>
    </row>
    <row r="1538" spans="16:16">
      <c r="P1538" s="18"/>
    </row>
    <row r="1539" spans="16:16">
      <c r="P1539" s="18"/>
    </row>
    <row r="1540" spans="16:16">
      <c r="P1540" s="18"/>
    </row>
    <row r="1541" spans="16:16">
      <c r="P1541" s="18"/>
    </row>
    <row r="1542" spans="16:16">
      <c r="P1542" s="18"/>
    </row>
    <row r="1543" spans="16:16">
      <c r="P1543" s="18"/>
    </row>
    <row r="1544" spans="16:16">
      <c r="P1544" s="18"/>
    </row>
    <row r="1545" spans="16:16">
      <c r="P1545" s="18"/>
    </row>
    <row r="1546" spans="16:16">
      <c r="P1546" s="18"/>
    </row>
    <row r="1547" spans="16:16">
      <c r="P1547" s="18"/>
    </row>
    <row r="1548" spans="16:16">
      <c r="P1548" s="18"/>
    </row>
    <row r="1549" spans="16:16">
      <c r="P1549" s="18"/>
    </row>
    <row r="1550" spans="16:16">
      <c r="P1550" s="18"/>
    </row>
    <row r="1551" spans="16:16">
      <c r="P1551" s="18"/>
    </row>
    <row r="1552" spans="16:16">
      <c r="P1552" s="18"/>
    </row>
    <row r="1553" spans="16:16">
      <c r="P1553" s="18"/>
    </row>
    <row r="1554" spans="16:16">
      <c r="P1554" s="18"/>
    </row>
    <row r="1555" spans="16:16">
      <c r="P1555" s="18"/>
    </row>
    <row r="1556" spans="16:16">
      <c r="P1556" s="18"/>
    </row>
    <row r="1557" spans="16:16">
      <c r="P1557" s="18"/>
    </row>
    <row r="1558" spans="16:16">
      <c r="P1558" s="18"/>
    </row>
    <row r="1559" spans="16:16">
      <c r="P1559" s="18"/>
    </row>
    <row r="1560" spans="16:16">
      <c r="P1560" s="18"/>
    </row>
    <row r="1561" spans="16:16">
      <c r="P1561" s="18"/>
    </row>
    <row r="1562" spans="16:16">
      <c r="P1562" s="18"/>
    </row>
    <row r="1563" spans="16:16">
      <c r="P1563" s="18"/>
    </row>
    <row r="1564" spans="16:16">
      <c r="P1564" s="18"/>
    </row>
    <row r="1565" spans="16:16">
      <c r="P1565" s="18"/>
    </row>
    <row r="1566" spans="16:16">
      <c r="P1566" s="18"/>
    </row>
    <row r="1567" spans="16:16">
      <c r="P1567" s="18"/>
    </row>
    <row r="1568" spans="16:16">
      <c r="P1568" s="18"/>
    </row>
    <row r="1569" spans="16:16">
      <c r="P1569" s="18"/>
    </row>
    <row r="1570" spans="16:16">
      <c r="P1570" s="18"/>
    </row>
    <row r="1571" spans="16:16">
      <c r="P1571" s="18"/>
    </row>
    <row r="1572" spans="16:16">
      <c r="P1572" s="18"/>
    </row>
    <row r="1573" spans="16:16">
      <c r="P1573" s="18"/>
    </row>
    <row r="1574" spans="16:16">
      <c r="P1574" s="18"/>
    </row>
    <row r="1575" spans="16:16">
      <c r="P1575" s="18"/>
    </row>
    <row r="1576" spans="16:16">
      <c r="P1576" s="18"/>
    </row>
    <row r="1577" spans="16:16">
      <c r="P1577" s="18"/>
    </row>
    <row r="1578" spans="16:16">
      <c r="P1578" s="18"/>
    </row>
    <row r="1579" spans="16:16">
      <c r="P1579" s="18"/>
    </row>
    <row r="1580" spans="16:16">
      <c r="P1580" s="18"/>
    </row>
    <row r="1581" spans="16:16">
      <c r="P1581" s="18"/>
    </row>
    <row r="1582" spans="16:16">
      <c r="P1582" s="18"/>
    </row>
    <row r="1583" spans="16:16">
      <c r="P1583" s="18"/>
    </row>
    <row r="1584" spans="16:16">
      <c r="P1584" s="18"/>
    </row>
    <row r="1585" spans="16:16">
      <c r="P1585" s="18"/>
    </row>
    <row r="1586" spans="16:16">
      <c r="P1586" s="18"/>
    </row>
    <row r="1587" spans="16:16">
      <c r="P1587" s="18"/>
    </row>
    <row r="1588" spans="16:16">
      <c r="P1588" s="18"/>
    </row>
    <row r="1589" spans="16:16">
      <c r="P1589" s="18"/>
    </row>
    <row r="1590" spans="16:16">
      <c r="P1590" s="18"/>
    </row>
    <row r="1591" spans="16:16">
      <c r="P1591" s="18"/>
    </row>
    <row r="1592" spans="16:16">
      <c r="P1592" s="18"/>
    </row>
    <row r="1593" spans="16:16">
      <c r="P1593" s="18"/>
    </row>
    <row r="1594" spans="16:16">
      <c r="P1594" s="18"/>
    </row>
    <row r="1595" spans="16:16">
      <c r="P1595" s="18"/>
    </row>
    <row r="1596" spans="16:16">
      <c r="P1596" s="18"/>
    </row>
    <row r="1597" spans="16:16">
      <c r="P1597" s="18"/>
    </row>
    <row r="1598" spans="16:16">
      <c r="P1598" s="18"/>
    </row>
    <row r="1599" spans="16:16">
      <c r="P1599" s="18"/>
    </row>
    <row r="1600" spans="16:16">
      <c r="P1600" s="18"/>
    </row>
    <row r="1601" spans="16:16">
      <c r="P1601" s="18"/>
    </row>
    <row r="1602" spans="16:16">
      <c r="P1602" s="18"/>
    </row>
    <row r="1603" spans="16:16">
      <c r="P1603" s="18"/>
    </row>
    <row r="1604" spans="16:16">
      <c r="P1604" s="18"/>
    </row>
    <row r="1605" spans="16:16">
      <c r="P1605" s="18"/>
    </row>
    <row r="1606" spans="16:16">
      <c r="P1606" s="18"/>
    </row>
    <row r="1607" spans="16:16">
      <c r="P1607" s="18"/>
    </row>
    <row r="1608" spans="16:16">
      <c r="P1608" s="18"/>
    </row>
    <row r="1609" spans="16:16">
      <c r="P1609" s="18"/>
    </row>
    <row r="1610" spans="16:16">
      <c r="P1610" s="18"/>
    </row>
    <row r="1611" spans="16:16">
      <c r="P1611" s="18"/>
    </row>
    <row r="1612" spans="16:16">
      <c r="P1612" s="18"/>
    </row>
    <row r="1613" spans="16:16">
      <c r="P1613" s="18"/>
    </row>
    <row r="1614" spans="16:16">
      <c r="P1614" s="18"/>
    </row>
    <row r="1615" spans="16:16">
      <c r="P1615" s="18"/>
    </row>
    <row r="1616" spans="16:16">
      <c r="P1616" s="18"/>
    </row>
    <row r="1617" spans="16:16">
      <c r="P1617" s="18"/>
    </row>
    <row r="1618" spans="16:16">
      <c r="P1618" s="18"/>
    </row>
    <row r="1619" spans="16:16">
      <c r="P1619" s="18"/>
    </row>
    <row r="1620" spans="16:16">
      <c r="P1620" s="18"/>
    </row>
    <row r="1621" spans="16:16">
      <c r="P1621" s="18"/>
    </row>
    <row r="1622" spans="16:16">
      <c r="P1622" s="18"/>
    </row>
    <row r="1623" spans="16:16">
      <c r="P1623" s="18"/>
    </row>
    <row r="1624" spans="16:16">
      <c r="P1624" s="18"/>
    </row>
    <row r="1625" spans="16:16">
      <c r="P1625" s="18"/>
    </row>
    <row r="1626" spans="16:16">
      <c r="P1626" s="18"/>
    </row>
    <row r="1627" spans="16:16">
      <c r="P1627" s="18"/>
    </row>
    <row r="1628" spans="16:16">
      <c r="P1628" s="18"/>
    </row>
    <row r="1629" spans="16:16">
      <c r="P1629" s="18"/>
    </row>
    <row r="1630" spans="16:16">
      <c r="P1630" s="18"/>
    </row>
    <row r="1631" spans="16:16">
      <c r="P1631" s="18"/>
    </row>
    <row r="1632" spans="16:16">
      <c r="P1632" s="18"/>
    </row>
    <row r="1633" spans="16:16">
      <c r="P1633" s="18"/>
    </row>
    <row r="1634" spans="16:16">
      <c r="P1634" s="18"/>
    </row>
    <row r="1635" spans="16:16">
      <c r="P1635" s="18"/>
    </row>
    <row r="1636" spans="16:16">
      <c r="P1636" s="18"/>
    </row>
    <row r="1637" spans="16:16">
      <c r="P1637" s="18"/>
    </row>
    <row r="1638" spans="16:16">
      <c r="P1638" s="18"/>
    </row>
    <row r="1639" spans="16:16">
      <c r="P1639" s="18"/>
    </row>
    <row r="1640" spans="16:16">
      <c r="P1640" s="18"/>
    </row>
    <row r="1641" spans="16:16">
      <c r="P1641" s="18"/>
    </row>
    <row r="1642" spans="16:16">
      <c r="P1642" s="18"/>
    </row>
    <row r="1643" spans="16:16">
      <c r="P1643" s="18"/>
    </row>
    <row r="1644" spans="16:16">
      <c r="P1644" s="18"/>
    </row>
    <row r="1645" spans="16:16">
      <c r="P1645" s="18"/>
    </row>
    <row r="1646" spans="16:16">
      <c r="P1646" s="18"/>
    </row>
    <row r="1647" spans="16:16">
      <c r="P1647" s="18"/>
    </row>
    <row r="1648" spans="16:16">
      <c r="P1648" s="18"/>
    </row>
    <row r="1649" spans="16:16">
      <c r="P1649" s="18"/>
    </row>
    <row r="1650" spans="16:16">
      <c r="P1650" s="18"/>
    </row>
    <row r="1651" spans="16:16">
      <c r="P1651" s="18"/>
    </row>
    <row r="1652" spans="16:16">
      <c r="P1652" s="18"/>
    </row>
    <row r="1653" spans="16:16">
      <c r="P1653" s="18"/>
    </row>
    <row r="1654" spans="16:16">
      <c r="P1654" s="18"/>
    </row>
    <row r="1655" spans="16:16">
      <c r="P1655" s="18"/>
    </row>
    <row r="1656" spans="16:16">
      <c r="P1656" s="18"/>
    </row>
    <row r="1657" spans="16:16">
      <c r="P1657" s="18"/>
    </row>
    <row r="1658" spans="16:16">
      <c r="P1658" s="18"/>
    </row>
    <row r="1659" spans="16:16">
      <c r="P1659" s="18"/>
    </row>
    <row r="1660" spans="16:16">
      <c r="P1660" s="18"/>
    </row>
    <row r="1661" spans="16:16">
      <c r="P1661" s="18"/>
    </row>
    <row r="1662" spans="16:16">
      <c r="P1662" s="18"/>
    </row>
    <row r="1663" spans="16:16">
      <c r="P1663" s="18"/>
    </row>
    <row r="1664" spans="16:16">
      <c r="P1664" s="18"/>
    </row>
    <row r="1665" spans="16:16">
      <c r="P1665" s="18"/>
    </row>
    <row r="1666" spans="16:16">
      <c r="P1666" s="18"/>
    </row>
    <row r="1667" spans="16:16">
      <c r="P1667" s="18"/>
    </row>
    <row r="1668" spans="16:16">
      <c r="P1668" s="18"/>
    </row>
    <row r="1669" spans="16:16">
      <c r="P1669" s="18"/>
    </row>
    <row r="1670" spans="16:16">
      <c r="P1670" s="18"/>
    </row>
    <row r="1671" spans="16:16">
      <c r="P1671" s="18"/>
    </row>
    <row r="1672" spans="16:16">
      <c r="P1672" s="18"/>
    </row>
    <row r="1673" spans="16:16">
      <c r="P1673" s="18"/>
    </row>
    <row r="1674" spans="16:16">
      <c r="P1674" s="18"/>
    </row>
    <row r="1675" spans="16:16">
      <c r="P1675" s="18"/>
    </row>
    <row r="1676" spans="16:16">
      <c r="P1676" s="18"/>
    </row>
    <row r="1677" spans="16:16">
      <c r="P1677" s="18"/>
    </row>
    <row r="1678" spans="16:16">
      <c r="P1678" s="18"/>
    </row>
    <row r="1679" spans="16:16">
      <c r="P1679" s="18"/>
    </row>
    <row r="1680" spans="16:16">
      <c r="P1680" s="18"/>
    </row>
    <row r="1681" spans="16:16">
      <c r="P1681" s="18"/>
    </row>
    <row r="1682" spans="16:16">
      <c r="P1682" s="18"/>
    </row>
    <row r="1683" spans="16:16">
      <c r="P1683" s="18"/>
    </row>
    <row r="1684" spans="16:16">
      <c r="P1684" s="18"/>
    </row>
    <row r="1685" spans="16:16">
      <c r="P1685" s="18"/>
    </row>
    <row r="1686" spans="16:16">
      <c r="P1686" s="18"/>
    </row>
    <row r="1687" spans="16:16">
      <c r="P1687" s="18"/>
    </row>
    <row r="1688" spans="16:16">
      <c r="P1688" s="18"/>
    </row>
    <row r="1689" spans="16:16">
      <c r="P1689" s="18"/>
    </row>
    <row r="1690" spans="16:16">
      <c r="P1690" s="18"/>
    </row>
    <row r="1691" spans="16:16">
      <c r="P1691" s="18"/>
    </row>
    <row r="1692" spans="16:16">
      <c r="P1692" s="18"/>
    </row>
    <row r="1693" spans="16:16">
      <c r="P1693" s="18"/>
    </row>
    <row r="1694" spans="16:16">
      <c r="P1694" s="18"/>
    </row>
    <row r="1695" spans="16:16">
      <c r="P1695" s="18"/>
    </row>
    <row r="1696" spans="16:16">
      <c r="P1696" s="18"/>
    </row>
    <row r="1697" spans="16:16">
      <c r="P1697" s="18"/>
    </row>
    <row r="1698" spans="16:16">
      <c r="P1698" s="18"/>
    </row>
    <row r="1699" spans="16:16">
      <c r="P1699" s="18"/>
    </row>
    <row r="1700" spans="16:16">
      <c r="P1700" s="18"/>
    </row>
    <row r="1701" spans="16:16">
      <c r="P1701" s="18"/>
    </row>
    <row r="1702" spans="16:16">
      <c r="P1702" s="18"/>
    </row>
    <row r="1703" spans="16:16">
      <c r="P1703" s="18"/>
    </row>
    <row r="1704" spans="16:16">
      <c r="P1704" s="18"/>
    </row>
    <row r="1705" spans="16:16">
      <c r="P1705" s="18"/>
    </row>
    <row r="1706" spans="16:16">
      <c r="P1706" s="18"/>
    </row>
    <row r="1707" spans="16:16">
      <c r="P1707" s="18"/>
    </row>
    <row r="1708" spans="16:16">
      <c r="P1708" s="18"/>
    </row>
    <row r="1709" spans="16:16">
      <c r="P1709" s="18"/>
    </row>
    <row r="1710" spans="16:16">
      <c r="P1710" s="18"/>
    </row>
    <row r="1711" spans="16:16">
      <c r="P1711" s="18"/>
    </row>
    <row r="1712" spans="16:16">
      <c r="P1712" s="18"/>
    </row>
    <row r="1713" spans="16:16">
      <c r="P1713" s="18"/>
    </row>
    <row r="1714" spans="16:16">
      <c r="P1714" s="18"/>
    </row>
    <row r="1715" spans="16:16">
      <c r="P1715" s="18"/>
    </row>
    <row r="1716" spans="16:16">
      <c r="P1716" s="18"/>
    </row>
    <row r="1717" spans="16:16">
      <c r="P1717" s="18"/>
    </row>
    <row r="1718" spans="16:16">
      <c r="P1718" s="18"/>
    </row>
    <row r="1719" spans="16:16">
      <c r="P1719" s="18"/>
    </row>
    <row r="1720" spans="16:16">
      <c r="P1720" s="18"/>
    </row>
    <row r="1721" spans="16:16">
      <c r="P1721" s="18"/>
    </row>
    <row r="1722" spans="16:16">
      <c r="P1722" s="18"/>
    </row>
    <row r="1723" spans="16:16">
      <c r="P1723" s="18"/>
    </row>
    <row r="1724" spans="16:16">
      <c r="P1724" s="18"/>
    </row>
    <row r="1725" spans="16:16">
      <c r="P1725" s="18"/>
    </row>
    <row r="1726" spans="16:16">
      <c r="P1726" s="18"/>
    </row>
    <row r="1727" spans="16:16">
      <c r="P1727" s="18"/>
    </row>
    <row r="1728" spans="16:16">
      <c r="P1728" s="18"/>
    </row>
    <row r="1729" spans="16:16">
      <c r="P1729" s="18"/>
    </row>
    <row r="1730" spans="16:16">
      <c r="P1730" s="18"/>
    </row>
    <row r="1731" spans="16:16">
      <c r="P1731" s="18"/>
    </row>
    <row r="1732" spans="16:16">
      <c r="P1732" s="18"/>
    </row>
    <row r="1733" spans="16:16">
      <c r="P1733" s="18"/>
    </row>
    <row r="1734" spans="16:16">
      <c r="P1734" s="18"/>
    </row>
    <row r="1735" spans="16:16">
      <c r="P1735" s="18"/>
    </row>
    <row r="1736" spans="16:16">
      <c r="P1736" s="18"/>
    </row>
    <row r="1737" spans="16:16">
      <c r="P1737" s="18"/>
    </row>
    <row r="1738" spans="16:16">
      <c r="P1738" s="18"/>
    </row>
    <row r="1739" spans="16:16">
      <c r="P1739" s="18"/>
    </row>
    <row r="1740" spans="16:16">
      <c r="P1740" s="18"/>
    </row>
    <row r="1741" spans="16:16">
      <c r="P1741" s="18"/>
    </row>
    <row r="1742" spans="16:16">
      <c r="P1742" s="18"/>
    </row>
    <row r="1743" spans="16:16">
      <c r="P1743" s="18"/>
    </row>
    <row r="1744" spans="16:16">
      <c r="P1744" s="18"/>
    </row>
    <row r="1745" spans="16:16">
      <c r="P1745" s="18"/>
    </row>
    <row r="1746" spans="16:16">
      <c r="P1746" s="18"/>
    </row>
    <row r="1747" spans="16:16">
      <c r="P1747" s="18"/>
    </row>
    <row r="1748" spans="16:16">
      <c r="P1748" s="18"/>
    </row>
    <row r="1749" spans="16:16">
      <c r="P1749" s="18"/>
    </row>
    <row r="1750" spans="16:16">
      <c r="P1750" s="18"/>
    </row>
    <row r="1751" spans="16:16">
      <c r="P1751" s="18"/>
    </row>
    <row r="1752" spans="16:16">
      <c r="P1752" s="18"/>
    </row>
    <row r="1753" spans="16:16">
      <c r="P1753" s="18"/>
    </row>
    <row r="1754" spans="16:16">
      <c r="P1754" s="18"/>
    </row>
    <row r="1755" spans="16:16">
      <c r="P1755" s="18"/>
    </row>
    <row r="1756" spans="16:16">
      <c r="P1756" s="18"/>
    </row>
    <row r="1757" spans="16:16">
      <c r="P1757" s="18"/>
    </row>
    <row r="1758" spans="16:16">
      <c r="P1758" s="18"/>
    </row>
    <row r="1759" spans="16:16">
      <c r="P1759" s="18"/>
    </row>
    <row r="1760" spans="16:16">
      <c r="P1760" s="18"/>
    </row>
    <row r="1761" spans="16:16">
      <c r="P1761" s="18"/>
    </row>
    <row r="1762" spans="16:16">
      <c r="P1762" s="18"/>
    </row>
    <row r="1763" spans="16:16">
      <c r="P1763" s="18"/>
    </row>
    <row r="1764" spans="16:16">
      <c r="P1764" s="18"/>
    </row>
    <row r="1765" spans="16:16">
      <c r="P1765" s="18"/>
    </row>
    <row r="1766" spans="16:16">
      <c r="P1766" s="18"/>
    </row>
    <row r="1767" spans="16:16">
      <c r="P1767" s="18"/>
    </row>
    <row r="1768" spans="16:16">
      <c r="P1768" s="18"/>
    </row>
    <row r="1769" spans="16:16">
      <c r="P1769" s="18"/>
    </row>
    <row r="1770" spans="16:16">
      <c r="P1770" s="18"/>
    </row>
    <row r="1771" spans="16:16">
      <c r="P1771" s="18"/>
    </row>
    <row r="1772" spans="16:16">
      <c r="P1772" s="18"/>
    </row>
    <row r="1773" spans="16:16">
      <c r="P1773" s="18"/>
    </row>
    <row r="1774" spans="16:16">
      <c r="P1774" s="18"/>
    </row>
    <row r="1775" spans="16:16">
      <c r="P1775" s="18"/>
    </row>
    <row r="1776" spans="16:16">
      <c r="P1776" s="18"/>
    </row>
    <row r="1777" spans="16:16">
      <c r="P1777" s="18"/>
    </row>
    <row r="1778" spans="16:16">
      <c r="P1778" s="18"/>
    </row>
    <row r="1779" spans="16:16">
      <c r="P1779" s="18"/>
    </row>
    <row r="1780" spans="16:16">
      <c r="P1780" s="18"/>
    </row>
    <row r="1781" spans="16:16">
      <c r="P1781" s="18"/>
    </row>
    <row r="1782" spans="16:16">
      <c r="P1782" s="18"/>
    </row>
    <row r="1783" spans="16:16">
      <c r="P1783" s="18"/>
    </row>
    <row r="1784" spans="16:16">
      <c r="P1784" s="18"/>
    </row>
    <row r="1785" spans="16:16">
      <c r="P1785" s="18"/>
    </row>
    <row r="1786" spans="16:16">
      <c r="P1786" s="18"/>
    </row>
    <row r="1787" spans="16:16">
      <c r="P1787" s="18"/>
    </row>
    <row r="1788" spans="16:16">
      <c r="P1788" s="18"/>
    </row>
    <row r="1789" spans="16:16">
      <c r="P1789" s="18"/>
    </row>
    <row r="1790" spans="16:16">
      <c r="P1790" s="18"/>
    </row>
    <row r="1791" spans="16:16">
      <c r="P1791" s="18"/>
    </row>
    <row r="1792" spans="16:16">
      <c r="P1792" s="18"/>
    </row>
    <row r="1793" spans="16:16">
      <c r="P1793" s="18"/>
    </row>
    <row r="1794" spans="16:16">
      <c r="P1794" s="18"/>
    </row>
    <row r="1795" spans="16:16">
      <c r="P1795" s="18"/>
    </row>
    <row r="1796" spans="16:16">
      <c r="P1796" s="18"/>
    </row>
    <row r="1797" spans="16:16">
      <c r="P1797" s="18"/>
    </row>
    <row r="1798" spans="16:16">
      <c r="P1798" s="18"/>
    </row>
    <row r="1799" spans="16:16">
      <c r="P1799" s="18"/>
    </row>
    <row r="1800" spans="16:16">
      <c r="P1800" s="18"/>
    </row>
    <row r="1801" spans="16:16">
      <c r="P1801" s="18"/>
    </row>
    <row r="1802" spans="16:16">
      <c r="P1802" s="18"/>
    </row>
    <row r="1803" spans="16:16">
      <c r="P1803" s="18"/>
    </row>
    <row r="1804" spans="16:16">
      <c r="P1804" s="18"/>
    </row>
    <row r="1805" spans="16:16">
      <c r="P1805" s="18"/>
    </row>
    <row r="1806" spans="16:16">
      <c r="P1806" s="18"/>
    </row>
    <row r="1807" spans="16:16">
      <c r="P1807" s="18"/>
    </row>
    <row r="1808" spans="16:16">
      <c r="P1808" s="18"/>
    </row>
    <row r="1809" spans="16:16">
      <c r="P1809" s="18"/>
    </row>
    <row r="1810" spans="16:16">
      <c r="P1810" s="18"/>
    </row>
    <row r="1811" spans="16:16">
      <c r="P1811" s="18"/>
    </row>
    <row r="1812" spans="16:16">
      <c r="P1812" s="18"/>
    </row>
    <row r="1813" spans="16:16">
      <c r="P1813" s="18"/>
    </row>
    <row r="1814" spans="16:16">
      <c r="P1814" s="18"/>
    </row>
    <row r="1815" spans="16:16">
      <c r="P1815" s="18"/>
    </row>
    <row r="1816" spans="16:16">
      <c r="P1816" s="18"/>
    </row>
    <row r="1817" spans="16:16">
      <c r="P1817" s="18"/>
    </row>
    <row r="1818" spans="16:16">
      <c r="P1818" s="18"/>
    </row>
    <row r="1819" spans="16:16">
      <c r="P1819" s="18"/>
    </row>
    <row r="1820" spans="16:16">
      <c r="P1820" s="18"/>
    </row>
    <row r="1821" spans="16:16">
      <c r="P1821" s="18"/>
    </row>
    <row r="1822" spans="16:16">
      <c r="P1822" s="18"/>
    </row>
    <row r="1823" spans="16:16">
      <c r="P1823" s="18"/>
    </row>
    <row r="1824" spans="16:16">
      <c r="P1824" s="18"/>
    </row>
    <row r="1825" spans="16:16">
      <c r="P1825" s="18"/>
    </row>
    <row r="1826" spans="16:16">
      <c r="P1826" s="18"/>
    </row>
    <row r="1827" spans="16:16">
      <c r="P1827" s="18"/>
    </row>
    <row r="1828" spans="16:16">
      <c r="P1828" s="18"/>
    </row>
    <row r="1829" spans="16:16">
      <c r="P1829" s="18"/>
    </row>
    <row r="1830" spans="16:16">
      <c r="P1830" s="18"/>
    </row>
    <row r="1831" spans="16:16">
      <c r="P1831" s="18"/>
    </row>
    <row r="1832" spans="16:16">
      <c r="P1832" s="18"/>
    </row>
    <row r="1833" spans="16:16">
      <c r="P1833" s="18"/>
    </row>
    <row r="1834" spans="16:16">
      <c r="P1834" s="18"/>
    </row>
    <row r="1835" spans="16:16">
      <c r="P1835" s="18"/>
    </row>
    <row r="1836" spans="16:16">
      <c r="P1836" s="18"/>
    </row>
    <row r="1837" spans="16:16">
      <c r="P1837" s="18"/>
    </row>
    <row r="1838" spans="16:16">
      <c r="P1838" s="18"/>
    </row>
    <row r="1839" spans="16:16">
      <c r="P1839" s="18"/>
    </row>
    <row r="1840" spans="16:16">
      <c r="P1840" s="18"/>
    </row>
    <row r="1841" spans="16:16">
      <c r="P1841" s="18"/>
    </row>
    <row r="1842" spans="16:16">
      <c r="P1842" s="18"/>
    </row>
    <row r="1843" spans="16:16">
      <c r="P1843" s="18"/>
    </row>
    <row r="1844" spans="16:16">
      <c r="P1844" s="18"/>
    </row>
    <row r="1845" spans="16:16">
      <c r="P1845" s="18"/>
    </row>
    <row r="1846" spans="16:16">
      <c r="P1846" s="18"/>
    </row>
    <row r="1847" spans="16:16">
      <c r="P1847" s="18"/>
    </row>
    <row r="1848" spans="16:16">
      <c r="P1848" s="18"/>
    </row>
    <row r="1849" spans="16:16">
      <c r="P1849" s="18"/>
    </row>
    <row r="1850" spans="16:16">
      <c r="P1850" s="18"/>
    </row>
    <row r="1851" spans="16:16">
      <c r="P1851" s="18"/>
    </row>
    <row r="1852" spans="16:16">
      <c r="P1852" s="18"/>
    </row>
    <row r="1853" spans="16:16">
      <c r="P1853" s="18"/>
    </row>
    <row r="1854" spans="16:16">
      <c r="P1854" s="18"/>
    </row>
    <row r="1855" spans="16:16">
      <c r="P1855" s="18"/>
    </row>
    <row r="1856" spans="16:16">
      <c r="P1856" s="18"/>
    </row>
    <row r="1857" spans="16:16">
      <c r="P1857" s="18"/>
    </row>
    <row r="1858" spans="16:16">
      <c r="P1858" s="18"/>
    </row>
    <row r="1859" spans="16:16">
      <c r="P1859" s="18"/>
    </row>
    <row r="1860" spans="16:16">
      <c r="P1860" s="18"/>
    </row>
    <row r="1861" spans="16:16">
      <c r="P1861" s="18"/>
    </row>
    <row r="1862" spans="16:16">
      <c r="P1862" s="18"/>
    </row>
    <row r="1863" spans="16:16">
      <c r="P1863" s="18"/>
    </row>
    <row r="1864" spans="16:16">
      <c r="P1864" s="18"/>
    </row>
    <row r="1865" spans="16:16">
      <c r="P1865" s="18"/>
    </row>
    <row r="1866" spans="16:16">
      <c r="P1866" s="18"/>
    </row>
    <row r="1867" spans="16:16">
      <c r="P1867" s="18"/>
    </row>
    <row r="1868" spans="16:16">
      <c r="P1868" s="18"/>
    </row>
    <row r="1869" spans="16:16">
      <c r="P1869" s="18"/>
    </row>
    <row r="1870" spans="16:16">
      <c r="P1870" s="18"/>
    </row>
    <row r="1871" spans="16:16">
      <c r="P1871" s="18"/>
    </row>
    <row r="1872" spans="16:16">
      <c r="P1872" s="18"/>
    </row>
    <row r="1873" spans="16:16">
      <c r="P1873" s="18"/>
    </row>
    <row r="1874" spans="16:16">
      <c r="P1874" s="18"/>
    </row>
    <row r="1875" spans="16:16">
      <c r="P1875" s="18"/>
    </row>
    <row r="1876" spans="16:16">
      <c r="P1876" s="18"/>
    </row>
    <row r="1877" spans="16:16">
      <c r="P1877" s="18"/>
    </row>
    <row r="1878" spans="16:16">
      <c r="P1878" s="18"/>
    </row>
    <row r="1879" spans="16:16">
      <c r="P1879" s="18"/>
    </row>
    <row r="1880" spans="16:16">
      <c r="P1880" s="18"/>
    </row>
    <row r="1881" spans="16:16">
      <c r="P1881" s="18"/>
    </row>
    <row r="1882" spans="16:16">
      <c r="P1882" s="18"/>
    </row>
    <row r="1883" spans="16:16">
      <c r="P1883" s="18"/>
    </row>
    <row r="1884" spans="16:16">
      <c r="P1884" s="18"/>
    </row>
    <row r="1885" spans="16:16">
      <c r="P1885" s="18"/>
    </row>
    <row r="1886" spans="16:16">
      <c r="P1886" s="18"/>
    </row>
    <row r="1887" spans="16:16">
      <c r="P1887" s="18"/>
    </row>
    <row r="1888" spans="16:16">
      <c r="P1888" s="18"/>
    </row>
    <row r="1889" spans="16:16">
      <c r="P1889" s="18"/>
    </row>
    <row r="1890" spans="16:16">
      <c r="P1890" s="18"/>
    </row>
    <row r="1891" spans="16:16">
      <c r="P1891" s="18"/>
    </row>
    <row r="1892" spans="16:16">
      <c r="P1892" s="18"/>
    </row>
    <row r="1893" spans="16:16">
      <c r="P1893" s="18"/>
    </row>
    <row r="1894" spans="16:16">
      <c r="P1894" s="18"/>
    </row>
    <row r="1895" spans="16:16">
      <c r="P1895" s="18"/>
    </row>
    <row r="1896" spans="16:16">
      <c r="P1896" s="18"/>
    </row>
    <row r="1897" spans="16:16">
      <c r="P1897" s="18"/>
    </row>
    <row r="1898" spans="16:16">
      <c r="P1898" s="18"/>
    </row>
    <row r="1899" spans="16:16">
      <c r="P1899" s="18"/>
    </row>
    <row r="1900" spans="16:16">
      <c r="P1900" s="18"/>
    </row>
    <row r="1901" spans="16:16">
      <c r="P1901" s="18"/>
    </row>
    <row r="1902" spans="16:16">
      <c r="P1902" s="18"/>
    </row>
    <row r="1903" spans="16:16">
      <c r="P1903" s="18"/>
    </row>
    <row r="1904" spans="16:16">
      <c r="P1904" s="18"/>
    </row>
    <row r="1905" spans="16:16">
      <c r="P1905" s="18"/>
    </row>
    <row r="1906" spans="16:16">
      <c r="P1906" s="18"/>
    </row>
    <row r="1907" spans="16:16">
      <c r="P1907" s="18"/>
    </row>
    <row r="1908" spans="16:16">
      <c r="P1908" s="18"/>
    </row>
    <row r="1909" spans="16:16">
      <c r="P1909" s="18"/>
    </row>
    <row r="1910" spans="16:16">
      <c r="P1910" s="18"/>
    </row>
    <row r="1911" spans="16:16">
      <c r="P1911" s="18"/>
    </row>
    <row r="1912" spans="16:16">
      <c r="P1912" s="18"/>
    </row>
    <row r="1913" spans="16:16">
      <c r="P1913" s="18"/>
    </row>
    <row r="1914" spans="16:16">
      <c r="P1914" s="18"/>
    </row>
    <row r="1915" spans="16:16">
      <c r="P1915" s="18"/>
    </row>
    <row r="1916" spans="16:16">
      <c r="P1916" s="18"/>
    </row>
    <row r="1917" spans="16:16">
      <c r="P1917" s="18"/>
    </row>
    <row r="1918" spans="16:16">
      <c r="P1918" s="18"/>
    </row>
    <row r="1919" spans="16:16">
      <c r="P1919" s="18"/>
    </row>
    <row r="1920" spans="16:16">
      <c r="P1920" s="18"/>
    </row>
    <row r="1921" spans="16:16">
      <c r="P1921" s="18"/>
    </row>
    <row r="1922" spans="16:16">
      <c r="P1922" s="18"/>
    </row>
    <row r="1923" spans="16:16">
      <c r="P1923" s="18"/>
    </row>
    <row r="1924" spans="16:16">
      <c r="P1924" s="18"/>
    </row>
    <row r="1925" spans="16:16">
      <c r="P1925" s="18"/>
    </row>
    <row r="1926" spans="16:16">
      <c r="P1926" s="18"/>
    </row>
    <row r="1927" spans="16:16">
      <c r="P1927" s="18"/>
    </row>
    <row r="1928" spans="16:16">
      <c r="P1928" s="18"/>
    </row>
    <row r="1929" spans="16:16">
      <c r="P1929" s="18"/>
    </row>
    <row r="1930" spans="16:16">
      <c r="P1930" s="18"/>
    </row>
    <row r="1931" spans="16:16">
      <c r="P1931" s="18"/>
    </row>
    <row r="1932" spans="16:16">
      <c r="P1932" s="18"/>
    </row>
    <row r="1933" spans="16:16">
      <c r="P1933" s="18"/>
    </row>
    <row r="1934" spans="16:16">
      <c r="P1934" s="18"/>
    </row>
    <row r="1935" spans="16:16">
      <c r="P1935" s="18"/>
    </row>
    <row r="1936" spans="16:16">
      <c r="P1936" s="18"/>
    </row>
    <row r="1937" spans="16:16">
      <c r="P1937" s="18"/>
    </row>
    <row r="1938" spans="16:16">
      <c r="P1938" s="18"/>
    </row>
    <row r="1939" spans="16:16">
      <c r="P1939" s="18"/>
    </row>
    <row r="1940" spans="16:16">
      <c r="P1940" s="18"/>
    </row>
    <row r="1941" spans="16:16">
      <c r="P1941" s="18"/>
    </row>
    <row r="1942" spans="16:16">
      <c r="P1942" s="18"/>
    </row>
    <row r="1943" spans="16:16">
      <c r="P1943" s="18"/>
    </row>
    <row r="1944" spans="16:16">
      <c r="P1944" s="18"/>
    </row>
    <row r="1945" spans="16:16">
      <c r="P1945" s="18"/>
    </row>
    <row r="1946" spans="16:16">
      <c r="P1946" s="18"/>
    </row>
    <row r="1947" spans="16:16">
      <c r="P1947" s="18"/>
    </row>
    <row r="1948" spans="16:16">
      <c r="P1948" s="18"/>
    </row>
    <row r="1949" spans="16:16">
      <c r="P1949" s="18"/>
    </row>
    <row r="1950" spans="16:16">
      <c r="P1950" s="18"/>
    </row>
    <row r="1951" spans="16:16">
      <c r="P1951" s="18"/>
    </row>
    <row r="1952" spans="16:16">
      <c r="P1952" s="18"/>
    </row>
    <row r="1953" spans="16:16">
      <c r="P1953" s="18"/>
    </row>
    <row r="1954" spans="16:16">
      <c r="P1954" s="18"/>
    </row>
    <row r="1955" spans="16:16">
      <c r="P1955" s="18"/>
    </row>
    <row r="1956" spans="16:16">
      <c r="P1956" s="18"/>
    </row>
    <row r="1957" spans="16:16">
      <c r="P1957" s="18"/>
    </row>
    <row r="1958" spans="16:16">
      <c r="P1958" s="18"/>
    </row>
    <row r="1959" spans="16:16">
      <c r="P1959" s="18"/>
    </row>
    <row r="1960" spans="16:16">
      <c r="P1960" s="18"/>
    </row>
    <row r="1961" spans="16:16">
      <c r="P1961" s="18"/>
    </row>
    <row r="1962" spans="16:16">
      <c r="P1962" s="18"/>
    </row>
    <row r="1963" spans="16:16">
      <c r="P1963" s="18"/>
    </row>
    <row r="1964" spans="16:16">
      <c r="P1964" s="18"/>
    </row>
    <row r="1965" spans="16:16">
      <c r="P1965" s="18"/>
    </row>
    <row r="1966" spans="16:16">
      <c r="P1966" s="18"/>
    </row>
    <row r="1967" spans="16:16">
      <c r="P1967" s="18"/>
    </row>
    <row r="1968" spans="16:16">
      <c r="P1968" s="18"/>
    </row>
    <row r="1969" spans="16:16">
      <c r="P1969" s="18"/>
    </row>
    <row r="1970" spans="16:16">
      <c r="P1970" s="18"/>
    </row>
    <row r="1971" spans="16:16">
      <c r="P1971" s="18"/>
    </row>
    <row r="1972" spans="16:16">
      <c r="P1972" s="18"/>
    </row>
    <row r="1973" spans="16:16">
      <c r="P1973" s="18"/>
    </row>
    <row r="1974" spans="16:16">
      <c r="P1974" s="18"/>
    </row>
    <row r="1975" spans="16:16">
      <c r="P1975" s="18"/>
    </row>
    <row r="1976" spans="16:16">
      <c r="P1976" s="18"/>
    </row>
    <row r="1977" spans="16:16">
      <c r="P1977" s="18"/>
    </row>
    <row r="1978" spans="16:16">
      <c r="P1978" s="18"/>
    </row>
    <row r="1979" spans="16:16">
      <c r="P1979" s="18"/>
    </row>
    <row r="1980" spans="16:16">
      <c r="P1980" s="18"/>
    </row>
    <row r="1981" spans="16:16">
      <c r="P1981" s="18"/>
    </row>
    <row r="1982" spans="16:16">
      <c r="P1982" s="18"/>
    </row>
    <row r="1983" spans="16:16">
      <c r="P1983" s="18"/>
    </row>
    <row r="1984" spans="16:16">
      <c r="P1984" s="18"/>
    </row>
    <row r="1985" spans="16:16">
      <c r="P1985" s="18"/>
    </row>
    <row r="1986" spans="16:16">
      <c r="P1986" s="18"/>
    </row>
    <row r="1987" spans="16:16">
      <c r="P1987" s="18"/>
    </row>
    <row r="1988" spans="16:16">
      <c r="P1988" s="18"/>
    </row>
    <row r="1989" spans="16:16">
      <c r="P1989" s="18"/>
    </row>
    <row r="1990" spans="16:16">
      <c r="P1990" s="18"/>
    </row>
    <row r="1991" spans="16:16">
      <c r="P1991" s="18"/>
    </row>
    <row r="1992" spans="16:16">
      <c r="P1992" s="18"/>
    </row>
    <row r="1993" spans="16:16">
      <c r="P1993" s="18"/>
    </row>
    <row r="1994" spans="16:16">
      <c r="P1994" s="18"/>
    </row>
    <row r="1995" spans="16:16">
      <c r="P1995" s="18"/>
    </row>
    <row r="1996" spans="16:16">
      <c r="P1996" s="18"/>
    </row>
    <row r="1997" spans="16:16">
      <c r="P1997" s="18"/>
    </row>
    <row r="1998" spans="16:16">
      <c r="P1998" s="18"/>
    </row>
    <row r="1999" spans="16:16">
      <c r="P1999" s="18"/>
    </row>
    <row r="2000" spans="16:16">
      <c r="P2000" s="18"/>
    </row>
    <row r="2001" spans="16:16">
      <c r="P2001" s="18"/>
    </row>
    <row r="2002" spans="16:16">
      <c r="P2002" s="18"/>
    </row>
    <row r="2003" spans="16:16">
      <c r="P2003" s="18"/>
    </row>
    <row r="2004" spans="16:16">
      <c r="P2004" s="18"/>
    </row>
    <row r="2005" spans="16:16">
      <c r="P2005" s="18"/>
    </row>
    <row r="2006" spans="16:16">
      <c r="P2006" s="18"/>
    </row>
    <row r="2007" spans="16:16">
      <c r="P2007" s="18"/>
    </row>
    <row r="2008" spans="16:16">
      <c r="P2008" s="18"/>
    </row>
    <row r="2009" spans="16:16">
      <c r="P2009" s="18"/>
    </row>
    <row r="2010" spans="16:16">
      <c r="P2010" s="18"/>
    </row>
    <row r="2011" spans="16:16">
      <c r="P2011" s="18"/>
    </row>
    <row r="2012" spans="16:16">
      <c r="P2012" s="18"/>
    </row>
    <row r="2013" spans="16:16">
      <c r="P2013" s="18"/>
    </row>
    <row r="2014" spans="16:16">
      <c r="P2014" s="18"/>
    </row>
    <row r="2015" spans="16:16">
      <c r="P2015" s="18"/>
    </row>
    <row r="2016" spans="16:16">
      <c r="P2016" s="18"/>
    </row>
    <row r="2017" spans="16:16">
      <c r="P2017" s="18"/>
    </row>
    <row r="2018" spans="16:16">
      <c r="P2018" s="18"/>
    </row>
    <row r="2019" spans="16:16">
      <c r="P2019" s="18"/>
    </row>
    <row r="2020" spans="16:16">
      <c r="P2020" s="18"/>
    </row>
    <row r="2021" spans="16:16">
      <c r="P2021" s="18"/>
    </row>
    <row r="2022" spans="16:16">
      <c r="P2022" s="18"/>
    </row>
    <row r="2023" spans="16:16">
      <c r="P2023" s="18"/>
    </row>
    <row r="2024" spans="16:16">
      <c r="P2024" s="18"/>
    </row>
    <row r="2025" spans="16:16">
      <c r="P2025" s="18"/>
    </row>
    <row r="2026" spans="16:16">
      <c r="P2026" s="18"/>
    </row>
    <row r="2027" spans="16:16">
      <c r="P2027" s="18"/>
    </row>
    <row r="2028" spans="16:16">
      <c r="P2028" s="18"/>
    </row>
    <row r="2029" spans="16:16">
      <c r="P2029" s="18"/>
    </row>
    <row r="2030" spans="16:16">
      <c r="P2030" s="18"/>
    </row>
    <row r="2031" spans="16:16">
      <c r="P2031" s="18"/>
    </row>
    <row r="2032" spans="16:16">
      <c r="P2032" s="18"/>
    </row>
    <row r="2033" spans="16:16">
      <c r="P2033" s="18"/>
    </row>
    <row r="2034" spans="16:16">
      <c r="P2034" s="18"/>
    </row>
    <row r="2035" spans="16:16">
      <c r="P2035" s="18"/>
    </row>
    <row r="2036" spans="16:16">
      <c r="P2036" s="18"/>
    </row>
    <row r="2037" spans="16:16">
      <c r="P2037" s="18"/>
    </row>
    <row r="2038" spans="16:16">
      <c r="P2038" s="18"/>
    </row>
    <row r="2039" spans="16:16">
      <c r="P2039" s="18"/>
    </row>
    <row r="2040" spans="16:16">
      <c r="P2040" s="18"/>
    </row>
    <row r="2041" spans="16:16">
      <c r="P2041" s="18"/>
    </row>
    <row r="2042" spans="16:16">
      <c r="P2042" s="18"/>
    </row>
    <row r="2043" spans="16:16">
      <c r="P2043" s="18"/>
    </row>
    <row r="2044" spans="16:16">
      <c r="P2044" s="18"/>
    </row>
    <row r="2045" spans="16:16">
      <c r="P2045" s="18"/>
    </row>
    <row r="2046" spans="16:16">
      <c r="P2046" s="18"/>
    </row>
    <row r="2047" spans="16:16">
      <c r="P2047" s="18"/>
    </row>
    <row r="2048" spans="16:16">
      <c r="P2048" s="18"/>
    </row>
    <row r="2049" spans="16:16">
      <c r="P2049" s="18"/>
    </row>
    <row r="2050" spans="16:16">
      <c r="P2050" s="18"/>
    </row>
    <row r="2051" spans="16:16">
      <c r="P2051" s="18"/>
    </row>
    <row r="2052" spans="16:16">
      <c r="P2052" s="18"/>
    </row>
    <row r="2053" spans="16:16">
      <c r="P2053" s="18"/>
    </row>
    <row r="2054" spans="16:16">
      <c r="P2054" s="18"/>
    </row>
    <row r="2055" spans="16:16">
      <c r="P2055" s="18"/>
    </row>
    <row r="2056" spans="16:16">
      <c r="P2056" s="18"/>
    </row>
    <row r="2057" spans="16:16">
      <c r="P2057" s="18"/>
    </row>
    <row r="2058" spans="16:16">
      <c r="P2058" s="18"/>
    </row>
    <row r="2059" spans="16:16">
      <c r="P2059" s="18"/>
    </row>
    <row r="2060" spans="16:16">
      <c r="P2060" s="18"/>
    </row>
    <row r="2061" spans="16:16">
      <c r="P2061" s="18"/>
    </row>
    <row r="2062" spans="16:16">
      <c r="P2062" s="18"/>
    </row>
    <row r="2063" spans="16:16">
      <c r="P2063" s="18"/>
    </row>
    <row r="2064" spans="16:16">
      <c r="P2064" s="18"/>
    </row>
    <row r="2065" spans="16:16">
      <c r="P2065" s="18"/>
    </row>
    <row r="2066" spans="16:16">
      <c r="P2066" s="18"/>
    </row>
    <row r="2067" spans="16:16">
      <c r="P2067" s="18"/>
    </row>
    <row r="2068" spans="16:16">
      <c r="P2068" s="18"/>
    </row>
    <row r="2069" spans="16:16">
      <c r="P2069" s="18"/>
    </row>
    <row r="2070" spans="16:16">
      <c r="P2070" s="18"/>
    </row>
    <row r="2071" spans="16:16">
      <c r="P2071" s="18"/>
    </row>
    <row r="2072" spans="16:16">
      <c r="P2072" s="18"/>
    </row>
    <row r="2073" spans="16:16">
      <c r="P2073" s="18"/>
    </row>
    <row r="2074" spans="16:16">
      <c r="P2074" s="18"/>
    </row>
    <row r="2075" spans="16:16">
      <c r="P2075" s="18"/>
    </row>
    <row r="2076" spans="16:16">
      <c r="P2076" s="18"/>
    </row>
    <row r="2077" spans="16:16">
      <c r="P2077" s="18"/>
    </row>
    <row r="2078" spans="16:16">
      <c r="P2078" s="18"/>
    </row>
    <row r="2079" spans="16:16">
      <c r="P2079" s="18"/>
    </row>
    <row r="2080" spans="16:16">
      <c r="P2080" s="18"/>
    </row>
    <row r="2081" spans="16:16">
      <c r="P2081" s="18"/>
    </row>
    <row r="2082" spans="16:16">
      <c r="P2082" s="18"/>
    </row>
    <row r="2083" spans="16:16">
      <c r="P2083" s="18"/>
    </row>
    <row r="2084" spans="16:16">
      <c r="P2084" s="18"/>
    </row>
    <row r="2085" spans="16:16">
      <c r="P2085" s="18"/>
    </row>
    <row r="2086" spans="16:16">
      <c r="P2086" s="18"/>
    </row>
    <row r="2087" spans="16:16">
      <c r="P2087" s="18"/>
    </row>
    <row r="2088" spans="16:16">
      <c r="P2088" s="18"/>
    </row>
    <row r="2089" spans="16:16">
      <c r="P2089" s="18"/>
    </row>
    <row r="2090" spans="16:16">
      <c r="P2090" s="18"/>
    </row>
    <row r="2091" spans="16:16">
      <c r="P2091" s="18"/>
    </row>
    <row r="2092" spans="16:16">
      <c r="P2092" s="18"/>
    </row>
    <row r="2093" spans="16:16">
      <c r="P2093" s="18"/>
    </row>
    <row r="2094" spans="16:16">
      <c r="P2094" s="18"/>
    </row>
    <row r="2095" spans="16:16">
      <c r="P2095" s="18"/>
    </row>
    <row r="2096" spans="16:16">
      <c r="P2096" s="18"/>
    </row>
    <row r="2097" spans="16:16">
      <c r="P2097" s="18"/>
    </row>
    <row r="2098" spans="16:16">
      <c r="P2098" s="18"/>
    </row>
    <row r="2099" spans="16:16">
      <c r="P2099" s="18"/>
    </row>
    <row r="2100" spans="16:16">
      <c r="P2100" s="18"/>
    </row>
    <row r="2101" spans="16:16">
      <c r="P2101" s="18"/>
    </row>
    <row r="2102" spans="16:16">
      <c r="P2102" s="18"/>
    </row>
    <row r="2103" spans="16:16">
      <c r="P2103" s="18"/>
    </row>
    <row r="2104" spans="16:16">
      <c r="P2104" s="18"/>
    </row>
    <row r="2105" spans="16:16">
      <c r="P2105" s="18"/>
    </row>
    <row r="2106" spans="16:16">
      <c r="P2106" s="18"/>
    </row>
    <row r="2107" spans="16:16">
      <c r="P2107" s="18"/>
    </row>
    <row r="2108" spans="16:16">
      <c r="P2108" s="18"/>
    </row>
    <row r="2109" spans="16:16">
      <c r="P2109" s="18"/>
    </row>
    <row r="2110" spans="16:16">
      <c r="P2110" s="18"/>
    </row>
    <row r="2111" spans="16:16">
      <c r="P2111" s="18"/>
    </row>
    <row r="2112" spans="16:16">
      <c r="P2112" s="18"/>
    </row>
    <row r="2113" spans="16:16">
      <c r="P2113" s="18"/>
    </row>
    <row r="2114" spans="16:16">
      <c r="P2114" s="18"/>
    </row>
    <row r="2115" spans="16:16">
      <c r="P2115" s="18"/>
    </row>
    <row r="2116" spans="16:16">
      <c r="P2116" s="18"/>
    </row>
    <row r="2117" spans="16:16">
      <c r="P2117" s="18"/>
    </row>
    <row r="2118" spans="16:16">
      <c r="P2118" s="18"/>
    </row>
    <row r="2119" spans="16:16">
      <c r="P2119" s="18"/>
    </row>
    <row r="2120" spans="16:16">
      <c r="P2120" s="18"/>
    </row>
    <row r="2121" spans="16:16">
      <c r="P2121" s="18"/>
    </row>
    <row r="2122" spans="16:16">
      <c r="P2122" s="18"/>
    </row>
    <row r="2123" spans="16:16">
      <c r="P2123" s="18"/>
    </row>
    <row r="2124" spans="16:16">
      <c r="P2124" s="18"/>
    </row>
    <row r="2125" spans="16:16">
      <c r="P2125" s="18"/>
    </row>
    <row r="2126" spans="16:16">
      <c r="P2126" s="18"/>
    </row>
    <row r="2127" spans="16:16">
      <c r="P2127" s="18"/>
    </row>
    <row r="2128" spans="16:16">
      <c r="P2128" s="18"/>
    </row>
    <row r="2129" spans="16:16">
      <c r="P2129" s="18"/>
    </row>
    <row r="2130" spans="16:16">
      <c r="P2130" s="18"/>
    </row>
    <row r="2131" spans="16:16">
      <c r="P2131" s="18"/>
    </row>
    <row r="2132" spans="16:16">
      <c r="P2132" s="18"/>
    </row>
    <row r="2133" spans="16:16">
      <c r="P2133" s="18"/>
    </row>
    <row r="2134" spans="16:16">
      <c r="P2134" s="18"/>
    </row>
    <row r="2135" spans="16:16">
      <c r="P2135" s="18"/>
    </row>
    <row r="2136" spans="16:16">
      <c r="P2136" s="18"/>
    </row>
    <row r="2137" spans="16:16">
      <c r="P2137" s="18"/>
    </row>
    <row r="2138" spans="16:16">
      <c r="P2138" s="18"/>
    </row>
    <row r="2139" spans="16:16">
      <c r="P2139" s="18"/>
    </row>
    <row r="2140" spans="16:16">
      <c r="P2140" s="18"/>
    </row>
    <row r="2141" spans="16:16">
      <c r="P2141" s="18"/>
    </row>
    <row r="2142" spans="16:16">
      <c r="P2142" s="18"/>
    </row>
    <row r="2143" spans="16:16">
      <c r="P2143" s="18"/>
    </row>
    <row r="2144" spans="16:16">
      <c r="P2144" s="18"/>
    </row>
    <row r="2145" spans="16:16">
      <c r="P2145" s="18"/>
    </row>
    <row r="2146" spans="16:16">
      <c r="P2146" s="18"/>
    </row>
    <row r="2147" spans="16:16">
      <c r="P2147" s="18"/>
    </row>
    <row r="2148" spans="16:16">
      <c r="P2148" s="18"/>
    </row>
    <row r="2149" spans="16:16">
      <c r="P2149" s="18"/>
    </row>
    <row r="2150" spans="16:16">
      <c r="P2150" s="18"/>
    </row>
    <row r="2151" spans="16:16">
      <c r="P2151" s="18"/>
    </row>
    <row r="2152" spans="16:16">
      <c r="P2152" s="18"/>
    </row>
    <row r="2153" spans="16:16">
      <c r="P2153" s="18"/>
    </row>
    <row r="2154" spans="16:16">
      <c r="P2154" s="18"/>
    </row>
    <row r="2155" spans="16:16">
      <c r="P2155" s="18"/>
    </row>
    <row r="2156" spans="16:16">
      <c r="P2156" s="18"/>
    </row>
    <row r="2157" spans="16:16">
      <c r="P2157" s="18"/>
    </row>
    <row r="2158" spans="16:16">
      <c r="P2158" s="18"/>
    </row>
    <row r="2159" spans="16:16">
      <c r="P2159" s="18"/>
    </row>
    <row r="2160" spans="16:16">
      <c r="P2160" s="18"/>
    </row>
    <row r="2161" spans="16:16">
      <c r="P2161" s="18"/>
    </row>
    <row r="2162" spans="16:16">
      <c r="P2162" s="18"/>
    </row>
    <row r="2163" spans="16:16">
      <c r="P2163" s="18"/>
    </row>
    <row r="2164" spans="16:16">
      <c r="P2164" s="18"/>
    </row>
    <row r="2165" spans="16:16">
      <c r="P2165" s="18"/>
    </row>
    <row r="2166" spans="16:16">
      <c r="P2166" s="18"/>
    </row>
    <row r="2167" spans="16:16">
      <c r="P2167" s="18"/>
    </row>
    <row r="2168" spans="16:16">
      <c r="P2168" s="18"/>
    </row>
    <row r="2169" spans="16:16">
      <c r="P2169" s="18"/>
    </row>
    <row r="2170" spans="16:16">
      <c r="P2170" s="18"/>
    </row>
    <row r="2171" spans="16:16">
      <c r="P2171" s="18"/>
    </row>
    <row r="2172" spans="16:16">
      <c r="P2172" s="18"/>
    </row>
    <row r="2173" spans="16:16">
      <c r="P2173" s="18"/>
    </row>
    <row r="2174" spans="16:16">
      <c r="P2174" s="18"/>
    </row>
    <row r="2175" spans="16:16">
      <c r="P2175" s="18"/>
    </row>
    <row r="2176" spans="16:16">
      <c r="P2176" s="18"/>
    </row>
    <row r="2177" spans="16:16">
      <c r="P2177" s="18"/>
    </row>
    <row r="2178" spans="16:16">
      <c r="P2178" s="18"/>
    </row>
    <row r="2179" spans="16:16">
      <c r="P2179" s="18"/>
    </row>
    <row r="2180" spans="16:16">
      <c r="P2180" s="18"/>
    </row>
    <row r="2181" spans="16:16">
      <c r="P2181" s="18"/>
    </row>
    <row r="2182" spans="16:16">
      <c r="P2182" s="18"/>
    </row>
    <row r="2183" spans="16:16">
      <c r="P2183" s="18"/>
    </row>
    <row r="2184" spans="16:16">
      <c r="P2184" s="18"/>
    </row>
    <row r="2185" spans="16:16">
      <c r="P2185" s="18"/>
    </row>
    <row r="2186" spans="16:16">
      <c r="P2186" s="18"/>
    </row>
    <row r="2187" spans="16:16">
      <c r="P2187" s="18"/>
    </row>
    <row r="2188" spans="16:16">
      <c r="P2188" s="18"/>
    </row>
    <row r="2189" spans="16:16">
      <c r="P2189" s="18"/>
    </row>
    <row r="2190" spans="16:16">
      <c r="P2190" s="18"/>
    </row>
    <row r="2191" spans="16:16">
      <c r="P2191" s="18"/>
    </row>
    <row r="2192" spans="16:16">
      <c r="P2192" s="18"/>
    </row>
    <row r="2193" spans="16:16">
      <c r="P2193" s="18"/>
    </row>
    <row r="2194" spans="16:16">
      <c r="P2194" s="18"/>
    </row>
    <row r="2195" spans="16:16">
      <c r="P2195" s="18"/>
    </row>
    <row r="2196" spans="16:16">
      <c r="P2196" s="18"/>
    </row>
    <row r="2197" spans="16:16">
      <c r="P2197" s="18"/>
    </row>
    <row r="2198" spans="16:16">
      <c r="P2198" s="18"/>
    </row>
    <row r="2199" spans="16:16">
      <c r="P2199" s="18"/>
    </row>
    <row r="2200" spans="16:16">
      <c r="P2200" s="18"/>
    </row>
    <row r="2201" spans="16:16">
      <c r="P2201" s="18"/>
    </row>
    <row r="2202" spans="16:16">
      <c r="P2202" s="18"/>
    </row>
    <row r="2203" spans="16:16">
      <c r="P2203" s="18"/>
    </row>
    <row r="2204" spans="16:16">
      <c r="P2204" s="18"/>
    </row>
    <row r="2205" spans="16:16">
      <c r="P2205" s="18"/>
    </row>
    <row r="2206" spans="16:16">
      <c r="P2206" s="18"/>
    </row>
    <row r="2207" spans="16:16">
      <c r="P2207" s="18"/>
    </row>
    <row r="2208" spans="16:16">
      <c r="P2208" s="18"/>
    </row>
    <row r="2209" spans="16:16">
      <c r="P2209" s="18"/>
    </row>
    <row r="2210" spans="16:16">
      <c r="P2210" s="18"/>
    </row>
    <row r="2211" spans="16:16">
      <c r="P2211" s="18"/>
    </row>
    <row r="2212" spans="16:16">
      <c r="P2212" s="18"/>
    </row>
    <row r="2213" spans="16:16">
      <c r="P2213" s="18"/>
    </row>
    <row r="2214" spans="16:16">
      <c r="P2214" s="18"/>
    </row>
    <row r="2215" spans="16:16">
      <c r="P2215" s="18"/>
    </row>
    <row r="2216" spans="16:16">
      <c r="P2216" s="18"/>
    </row>
    <row r="2217" spans="16:16">
      <c r="P2217" s="18"/>
    </row>
    <row r="2218" spans="16:16">
      <c r="P2218" s="18"/>
    </row>
    <row r="2219" spans="16:16">
      <c r="P2219" s="18"/>
    </row>
    <row r="2220" spans="16:16">
      <c r="P2220" s="18"/>
    </row>
    <row r="2221" spans="16:16">
      <c r="P2221" s="18"/>
    </row>
    <row r="2222" spans="16:16">
      <c r="P2222" s="18"/>
    </row>
    <row r="2223" spans="16:16">
      <c r="P2223" s="18"/>
    </row>
    <row r="2224" spans="16:16">
      <c r="P2224" s="18"/>
    </row>
    <row r="2225" spans="16:16">
      <c r="P2225" s="18"/>
    </row>
    <row r="2226" spans="16:16">
      <c r="P2226" s="18"/>
    </row>
    <row r="2227" spans="16:16">
      <c r="P2227" s="18"/>
    </row>
    <row r="2228" spans="16:16">
      <c r="P2228" s="18"/>
    </row>
    <row r="2229" spans="16:16">
      <c r="P2229" s="18"/>
    </row>
    <row r="2230" spans="16:16">
      <c r="P2230" s="18"/>
    </row>
    <row r="2231" spans="16:16">
      <c r="P2231" s="18"/>
    </row>
    <row r="2232" spans="16:16">
      <c r="P2232" s="18"/>
    </row>
    <row r="2233" spans="16:16">
      <c r="P2233" s="18"/>
    </row>
    <row r="2234" spans="16:16">
      <c r="P2234" s="18"/>
    </row>
    <row r="2235" spans="16:16">
      <c r="P2235" s="18"/>
    </row>
    <row r="2236" spans="16:16">
      <c r="P2236" s="18"/>
    </row>
    <row r="2237" spans="16:16">
      <c r="P2237" s="18"/>
    </row>
    <row r="2238" spans="16:16">
      <c r="P2238" s="18"/>
    </row>
    <row r="2239" spans="16:16">
      <c r="P2239" s="18"/>
    </row>
    <row r="2240" spans="16:16">
      <c r="P2240" s="18"/>
    </row>
    <row r="2241" spans="16:16">
      <c r="P2241" s="18"/>
    </row>
    <row r="2242" spans="16:16">
      <c r="P2242" s="18"/>
    </row>
    <row r="2243" spans="16:16">
      <c r="P2243" s="18"/>
    </row>
    <row r="2244" spans="16:16">
      <c r="P2244" s="18"/>
    </row>
    <row r="2245" spans="16:16">
      <c r="P2245" s="18"/>
    </row>
    <row r="2246" spans="16:16">
      <c r="P2246" s="18"/>
    </row>
    <row r="2247" spans="16:16">
      <c r="P2247" s="18"/>
    </row>
    <row r="2248" spans="16:16">
      <c r="P2248" s="18"/>
    </row>
    <row r="2249" spans="16:16">
      <c r="P2249" s="18"/>
    </row>
    <row r="2250" spans="16:16">
      <c r="P2250" s="18"/>
    </row>
    <row r="2251" spans="16:16">
      <c r="P2251" s="18"/>
    </row>
    <row r="2252" spans="16:16">
      <c r="P2252" s="18"/>
    </row>
    <row r="2253" spans="16:16">
      <c r="P2253" s="18"/>
    </row>
    <row r="2254" spans="16:16">
      <c r="P2254" s="18"/>
    </row>
    <row r="2255" spans="16:16">
      <c r="P2255" s="18"/>
    </row>
    <row r="2256" spans="16:16">
      <c r="P2256" s="18"/>
    </row>
    <row r="2257" spans="16:16">
      <c r="P2257" s="18"/>
    </row>
    <row r="2258" spans="16:16">
      <c r="P2258" s="18"/>
    </row>
    <row r="2259" spans="16:16">
      <c r="P2259" s="18"/>
    </row>
    <row r="2260" spans="16:16">
      <c r="P2260" s="18"/>
    </row>
    <row r="2261" spans="16:16">
      <c r="P2261" s="18"/>
    </row>
    <row r="2262" spans="16:16">
      <c r="P2262" s="18"/>
    </row>
    <row r="2263" spans="16:16">
      <c r="P2263" s="18"/>
    </row>
    <row r="2264" spans="16:16">
      <c r="P2264" s="18"/>
    </row>
    <row r="2265" spans="16:16">
      <c r="P2265" s="18"/>
    </row>
    <row r="2266" spans="16:16">
      <c r="P2266" s="18"/>
    </row>
    <row r="2267" spans="16:16">
      <c r="P2267" s="18"/>
    </row>
    <row r="2268" spans="16:16">
      <c r="P2268" s="18"/>
    </row>
    <row r="2269" spans="16:16">
      <c r="P2269" s="18"/>
    </row>
    <row r="2270" spans="16:16">
      <c r="P2270" s="18"/>
    </row>
    <row r="2271" spans="16:16">
      <c r="P2271" s="18"/>
    </row>
    <row r="2272" spans="16:16">
      <c r="P2272" s="18"/>
    </row>
    <row r="2273" spans="16:16">
      <c r="P2273" s="18"/>
    </row>
    <row r="2274" spans="16:16">
      <c r="P2274" s="18"/>
    </row>
    <row r="2275" spans="16:16">
      <c r="P2275" s="18"/>
    </row>
    <row r="2276" spans="16:16">
      <c r="P2276" s="18"/>
    </row>
    <row r="2277" spans="16:16">
      <c r="P2277" s="18"/>
    </row>
    <row r="2278" spans="16:16">
      <c r="P2278" s="18"/>
    </row>
    <row r="2279" spans="16:16">
      <c r="P2279" s="18"/>
    </row>
    <row r="2280" spans="16:16">
      <c r="P2280" s="18"/>
    </row>
    <row r="2281" spans="16:16">
      <c r="P2281" s="18"/>
    </row>
    <row r="2282" spans="16:16">
      <c r="P2282" s="18"/>
    </row>
    <row r="2283" spans="16:16">
      <c r="P2283" s="18"/>
    </row>
    <row r="2284" spans="16:16">
      <c r="P2284" s="18"/>
    </row>
    <row r="2285" spans="16:16">
      <c r="P2285" s="18"/>
    </row>
    <row r="2286" spans="16:16">
      <c r="P2286" s="18"/>
    </row>
    <row r="2287" spans="16:16">
      <c r="P2287" s="18"/>
    </row>
    <row r="2288" spans="16:16">
      <c r="P2288" s="18"/>
    </row>
    <row r="2289" spans="16:16">
      <c r="P2289" s="18"/>
    </row>
    <row r="2290" spans="16:16">
      <c r="P2290" s="18"/>
    </row>
    <row r="2291" spans="16:16">
      <c r="P2291" s="18"/>
    </row>
    <row r="2292" spans="16:16">
      <c r="P2292" s="18"/>
    </row>
    <row r="2293" spans="16:16">
      <c r="P2293" s="18"/>
    </row>
    <row r="2294" spans="16:16">
      <c r="P2294" s="18"/>
    </row>
    <row r="2295" spans="16:16">
      <c r="P2295" s="18"/>
    </row>
    <row r="2296" spans="16:16">
      <c r="P2296" s="18"/>
    </row>
    <row r="2297" spans="16:16">
      <c r="P2297" s="18"/>
    </row>
    <row r="2298" spans="16:16">
      <c r="P2298" s="18"/>
    </row>
    <row r="2299" spans="16:16">
      <c r="P2299" s="18"/>
    </row>
    <row r="2300" spans="16:16">
      <c r="P2300" s="18"/>
    </row>
    <row r="2301" spans="16:16">
      <c r="P2301" s="18"/>
    </row>
    <row r="2302" spans="16:16">
      <c r="P2302" s="18"/>
    </row>
    <row r="2303" spans="16:16">
      <c r="P2303" s="18"/>
    </row>
    <row r="2304" spans="16:16">
      <c r="P2304" s="18"/>
    </row>
    <row r="2305" spans="16:16">
      <c r="P2305" s="18"/>
    </row>
    <row r="2306" spans="16:16">
      <c r="P2306" s="18"/>
    </row>
    <row r="2307" spans="16:16">
      <c r="P2307" s="18"/>
    </row>
    <row r="2308" spans="16:16">
      <c r="P2308" s="18"/>
    </row>
    <row r="2309" spans="16:16">
      <c r="P2309" s="18"/>
    </row>
    <row r="2310" spans="16:16">
      <c r="P2310" s="18"/>
    </row>
    <row r="2311" spans="16:16">
      <c r="P2311" s="18"/>
    </row>
    <row r="2312" spans="16:16">
      <c r="P2312" s="18"/>
    </row>
    <row r="2313" spans="16:16">
      <c r="P2313" s="18"/>
    </row>
    <row r="2314" spans="16:16">
      <c r="P2314" s="18"/>
    </row>
    <row r="2315" spans="16:16">
      <c r="P2315" s="18"/>
    </row>
    <row r="2316" spans="16:16">
      <c r="P2316" s="18"/>
    </row>
    <row r="2317" spans="16:16">
      <c r="P2317" s="18"/>
    </row>
    <row r="2318" spans="16:16">
      <c r="P2318" s="18"/>
    </row>
    <row r="2319" spans="16:16">
      <c r="P2319" s="18"/>
    </row>
    <row r="2320" spans="16:16">
      <c r="P2320" s="18"/>
    </row>
    <row r="2321" spans="16:16">
      <c r="P2321" s="18"/>
    </row>
    <row r="2322" spans="16:16">
      <c r="P2322" s="18"/>
    </row>
    <row r="2323" spans="16:16">
      <c r="P2323" s="18"/>
    </row>
    <row r="2324" spans="16:16">
      <c r="P2324" s="18"/>
    </row>
    <row r="2325" spans="16:16">
      <c r="P2325" s="18"/>
    </row>
    <row r="2326" spans="16:16">
      <c r="P2326" s="18"/>
    </row>
    <row r="2327" spans="16:16">
      <c r="P2327" s="18"/>
    </row>
    <row r="2328" spans="16:16">
      <c r="P2328" s="18"/>
    </row>
    <row r="2329" spans="16:16">
      <c r="P2329" s="18"/>
    </row>
    <row r="2330" spans="16:16">
      <c r="P2330" s="18"/>
    </row>
    <row r="2331" spans="16:16">
      <c r="P2331" s="18"/>
    </row>
    <row r="2332" spans="16:16">
      <c r="P2332" s="18"/>
    </row>
    <row r="2333" spans="16:16">
      <c r="P2333" s="18"/>
    </row>
    <row r="2334" spans="16:16">
      <c r="P2334" s="18"/>
    </row>
    <row r="2335" spans="16:16">
      <c r="P2335" s="18"/>
    </row>
    <row r="2336" spans="16:16">
      <c r="P2336" s="18"/>
    </row>
    <row r="2337" spans="16:16">
      <c r="P2337" s="18"/>
    </row>
    <row r="2338" spans="16:16">
      <c r="P2338" s="18"/>
    </row>
    <row r="2339" spans="16:16">
      <c r="P2339" s="18"/>
    </row>
    <row r="2340" spans="16:16">
      <c r="P2340" s="18"/>
    </row>
    <row r="2341" spans="16:16">
      <c r="P2341" s="18"/>
    </row>
    <row r="2342" spans="16:16">
      <c r="P2342" s="18"/>
    </row>
    <row r="2343" spans="16:16">
      <c r="P2343" s="18"/>
    </row>
    <row r="2344" spans="16:16">
      <c r="P2344" s="18"/>
    </row>
    <row r="2345" spans="16:16">
      <c r="P2345" s="18"/>
    </row>
    <row r="2346" spans="16:16">
      <c r="P2346" s="18"/>
    </row>
    <row r="2347" spans="16:16">
      <c r="P2347" s="18"/>
    </row>
    <row r="2348" spans="16:16">
      <c r="P2348" s="18"/>
    </row>
    <row r="2349" spans="16:16">
      <c r="P2349" s="18"/>
    </row>
    <row r="2350" spans="16:16">
      <c r="P2350" s="18"/>
    </row>
    <row r="2351" spans="16:16">
      <c r="P2351" s="18"/>
    </row>
    <row r="2352" spans="16:16">
      <c r="P2352" s="18"/>
    </row>
    <row r="2353" spans="16:16">
      <c r="P2353" s="18"/>
    </row>
    <row r="2354" spans="16:16">
      <c r="P2354" s="18"/>
    </row>
    <row r="2355" spans="16:16">
      <c r="P2355" s="18"/>
    </row>
    <row r="2356" spans="16:16">
      <c r="P2356" s="18"/>
    </row>
    <row r="2357" spans="16:16">
      <c r="P2357" s="18"/>
    </row>
    <row r="2358" spans="16:16">
      <c r="P2358" s="18"/>
    </row>
    <row r="2359" spans="16:16">
      <c r="P2359" s="18"/>
    </row>
    <row r="2360" spans="16:16">
      <c r="P2360" s="18"/>
    </row>
    <row r="2361" spans="16:16">
      <c r="P2361" s="18"/>
    </row>
    <row r="2362" spans="16:16">
      <c r="P2362" s="18"/>
    </row>
    <row r="2363" spans="16:16">
      <c r="P2363" s="18"/>
    </row>
    <row r="2364" spans="16:16">
      <c r="P2364" s="18"/>
    </row>
    <row r="2365" spans="16:16">
      <c r="P2365" s="18"/>
    </row>
    <row r="2366" spans="16:16">
      <c r="P2366" s="18"/>
    </row>
    <row r="2367" spans="16:16">
      <c r="P2367" s="18"/>
    </row>
    <row r="2368" spans="16:16">
      <c r="P2368" s="18"/>
    </row>
    <row r="2369" spans="16:16">
      <c r="P2369" s="18"/>
    </row>
    <row r="2370" spans="16:16">
      <c r="P2370" s="18"/>
    </row>
    <row r="2371" spans="16:16">
      <c r="P2371" s="18"/>
    </row>
    <row r="2372" spans="16:16">
      <c r="P2372" s="18"/>
    </row>
    <row r="2373" spans="16:16">
      <c r="P2373" s="18"/>
    </row>
    <row r="2374" spans="16:16">
      <c r="P2374" s="18"/>
    </row>
    <row r="2375" spans="16:16">
      <c r="P2375" s="18"/>
    </row>
    <row r="2376" spans="16:16">
      <c r="P2376" s="18"/>
    </row>
    <row r="2377" spans="16:16">
      <c r="P2377" s="18"/>
    </row>
    <row r="2378" spans="16:16">
      <c r="P2378" s="18"/>
    </row>
    <row r="2379" spans="16:16">
      <c r="P2379" s="18"/>
    </row>
    <row r="2380" spans="16:16">
      <c r="P2380" s="18"/>
    </row>
    <row r="2381" spans="16:16">
      <c r="P2381" s="18"/>
    </row>
    <row r="2382" spans="16:16">
      <c r="P2382" s="18"/>
    </row>
    <row r="2383" spans="16:16">
      <c r="P2383" s="18"/>
    </row>
    <row r="2384" spans="16:16">
      <c r="P2384" s="18"/>
    </row>
    <row r="2385" spans="16:16">
      <c r="P2385" s="18"/>
    </row>
    <row r="2386" spans="16:16">
      <c r="P2386" s="18"/>
    </row>
    <row r="2387" spans="16:16">
      <c r="P2387" s="18"/>
    </row>
    <row r="2388" spans="16:16">
      <c r="P2388" s="18"/>
    </row>
    <row r="2389" spans="16:16">
      <c r="P2389" s="18"/>
    </row>
    <row r="2390" spans="16:16">
      <c r="P2390" s="18"/>
    </row>
    <row r="2391" spans="16:16">
      <c r="P2391" s="18"/>
    </row>
    <row r="2392" spans="16:16">
      <c r="P2392" s="18"/>
    </row>
    <row r="2393" spans="16:16">
      <c r="P2393" s="18"/>
    </row>
    <row r="2394" spans="16:16">
      <c r="P2394" s="18"/>
    </row>
    <row r="2395" spans="16:16">
      <c r="P2395" s="18"/>
    </row>
    <row r="2396" spans="16:16">
      <c r="P2396" s="18"/>
    </row>
    <row r="2397" spans="16:16">
      <c r="P2397" s="18"/>
    </row>
    <row r="2398" spans="16:16">
      <c r="P2398" s="18"/>
    </row>
    <row r="2399" spans="16:16">
      <c r="P2399" s="18"/>
    </row>
    <row r="2400" spans="16:16">
      <c r="P2400" s="18"/>
    </row>
    <row r="2401" spans="16:16">
      <c r="P2401" s="18"/>
    </row>
    <row r="2402" spans="16:16">
      <c r="P2402" s="18"/>
    </row>
    <row r="2403" spans="16:16">
      <c r="P2403" s="18"/>
    </row>
    <row r="2404" spans="16:16">
      <c r="P2404" s="18"/>
    </row>
    <row r="2405" spans="16:16">
      <c r="P2405" s="18"/>
    </row>
    <row r="2406" spans="16:16">
      <c r="P2406" s="18"/>
    </row>
    <row r="2407" spans="16:16">
      <c r="P2407" s="18"/>
    </row>
    <row r="2408" spans="16:16">
      <c r="P2408" s="18"/>
    </row>
    <row r="2409" spans="16:16">
      <c r="P2409" s="18"/>
    </row>
    <row r="2410" spans="16:16">
      <c r="P2410" s="18"/>
    </row>
    <row r="2411" spans="16:16">
      <c r="P2411" s="18"/>
    </row>
    <row r="2412" spans="16:16">
      <c r="P2412" s="18"/>
    </row>
    <row r="2413" spans="16:16">
      <c r="P2413" s="18"/>
    </row>
    <row r="2414" spans="16:16">
      <c r="P2414" s="18"/>
    </row>
    <row r="2415" spans="16:16">
      <c r="P2415" s="18"/>
    </row>
    <row r="2416" spans="16:16">
      <c r="P2416" s="18"/>
    </row>
    <row r="2417" spans="16:16">
      <c r="P2417" s="18"/>
    </row>
    <row r="2418" spans="16:16">
      <c r="P2418" s="18"/>
    </row>
    <row r="2419" spans="16:16">
      <c r="P2419" s="18"/>
    </row>
    <row r="2420" spans="16:16">
      <c r="P2420" s="18"/>
    </row>
    <row r="2421" spans="16:16">
      <c r="P2421" s="18"/>
    </row>
    <row r="2422" spans="16:16">
      <c r="P2422" s="18"/>
    </row>
    <row r="2423" spans="16:16">
      <c r="P2423" s="18"/>
    </row>
    <row r="2424" spans="16:16">
      <c r="P2424" s="18"/>
    </row>
    <row r="2425" spans="16:16">
      <c r="P2425" s="18"/>
    </row>
    <row r="2426" spans="16:16">
      <c r="P2426" s="18"/>
    </row>
    <row r="2427" spans="16:16">
      <c r="P2427" s="18"/>
    </row>
    <row r="2428" spans="16:16">
      <c r="P2428" s="18"/>
    </row>
    <row r="2429" spans="16:16">
      <c r="P2429" s="18"/>
    </row>
    <row r="2430" spans="16:16">
      <c r="P2430" s="18"/>
    </row>
    <row r="2431" spans="16:16">
      <c r="P2431" s="18"/>
    </row>
    <row r="2432" spans="16:16">
      <c r="P2432" s="18"/>
    </row>
    <row r="2433" spans="16:16">
      <c r="P2433" s="18"/>
    </row>
    <row r="2434" spans="16:16">
      <c r="P2434" s="18"/>
    </row>
    <row r="2435" spans="16:16">
      <c r="P2435" s="18"/>
    </row>
    <row r="2436" spans="16:16">
      <c r="P2436" s="18"/>
    </row>
    <row r="2437" spans="16:16">
      <c r="P2437" s="18"/>
    </row>
    <row r="2438" spans="16:16">
      <c r="P2438" s="18"/>
    </row>
    <row r="2439" spans="16:16">
      <c r="P2439" s="18"/>
    </row>
    <row r="2440" spans="16:16">
      <c r="P2440" s="18"/>
    </row>
    <row r="2441" spans="16:16">
      <c r="P2441" s="18"/>
    </row>
    <row r="2442" spans="16:16">
      <c r="P2442" s="18"/>
    </row>
    <row r="2443" spans="16:16">
      <c r="P2443" s="18"/>
    </row>
    <row r="2444" spans="16:16">
      <c r="P2444" s="18"/>
    </row>
    <row r="2445" spans="16:16">
      <c r="P2445" s="18"/>
    </row>
    <row r="2446" spans="16:16">
      <c r="P2446" s="18"/>
    </row>
    <row r="2447" spans="16:16">
      <c r="P2447" s="18"/>
    </row>
    <row r="2448" spans="16:16">
      <c r="P2448" s="18"/>
    </row>
    <row r="2449" spans="16:16">
      <c r="P2449" s="18"/>
    </row>
    <row r="2450" spans="16:16">
      <c r="P2450" s="18"/>
    </row>
    <row r="2451" spans="16:16">
      <c r="P2451" s="18"/>
    </row>
    <row r="2452" spans="16:16">
      <c r="P2452" s="18"/>
    </row>
    <row r="2453" spans="16:16">
      <c r="P2453" s="18"/>
    </row>
    <row r="2454" spans="16:16">
      <c r="P2454" s="18"/>
    </row>
    <row r="2455" spans="16:16">
      <c r="P2455" s="18"/>
    </row>
    <row r="2456" spans="16:16">
      <c r="P2456" s="18"/>
    </row>
    <row r="2457" spans="16:16">
      <c r="P2457" s="18"/>
    </row>
    <row r="2458" spans="16:16">
      <c r="P2458" s="18"/>
    </row>
    <row r="2459" spans="16:16">
      <c r="P2459" s="18"/>
    </row>
    <row r="2460" spans="16:16">
      <c r="P2460" s="18"/>
    </row>
    <row r="2461" spans="16:16">
      <c r="P2461" s="18"/>
    </row>
    <row r="2462" spans="16:16">
      <c r="P2462" s="18"/>
    </row>
    <row r="2463" spans="16:16">
      <c r="P2463" s="18"/>
    </row>
    <row r="2464" spans="16:16">
      <c r="P2464" s="18"/>
    </row>
    <row r="2465" spans="16:16">
      <c r="P2465" s="18"/>
    </row>
    <row r="2466" spans="16:16">
      <c r="P2466" s="18"/>
    </row>
    <row r="2467" spans="16:16">
      <c r="P2467" s="18"/>
    </row>
    <row r="2468" spans="16:16">
      <c r="P2468" s="18"/>
    </row>
    <row r="2469" spans="16:16">
      <c r="P2469" s="18"/>
    </row>
    <row r="2470" spans="16:16">
      <c r="P2470" s="18"/>
    </row>
    <row r="2471" spans="16:16">
      <c r="P2471" s="18"/>
    </row>
    <row r="2472" spans="16:16">
      <c r="P2472" s="18"/>
    </row>
    <row r="2473" spans="16:16">
      <c r="P2473" s="18"/>
    </row>
    <row r="2474" spans="16:16">
      <c r="P2474" s="18"/>
    </row>
    <row r="2475" spans="16:16">
      <c r="P2475" s="18"/>
    </row>
    <row r="2476" spans="16:16">
      <c r="P2476" s="18"/>
    </row>
    <row r="2477" spans="16:16">
      <c r="P2477" s="18"/>
    </row>
    <row r="2478" spans="16:16">
      <c r="P2478" s="18"/>
    </row>
    <row r="2479" spans="16:16">
      <c r="P2479" s="18"/>
    </row>
    <row r="2480" spans="16:16">
      <c r="P2480" s="18"/>
    </row>
    <row r="2481" spans="16:16">
      <c r="P2481" s="18"/>
    </row>
    <row r="2482" spans="16:16">
      <c r="P2482" s="18"/>
    </row>
    <row r="2483" spans="16:16">
      <c r="P2483" s="18"/>
    </row>
    <row r="2484" spans="16:16">
      <c r="P2484" s="18"/>
    </row>
    <row r="2485" spans="16:16">
      <c r="P2485" s="18"/>
    </row>
    <row r="2486" spans="16:16">
      <c r="P2486" s="18"/>
    </row>
    <row r="2487" spans="16:16">
      <c r="P2487" s="18"/>
    </row>
    <row r="2488" spans="16:16">
      <c r="P2488" s="18"/>
    </row>
    <row r="2489" spans="16:16">
      <c r="P2489" s="18"/>
    </row>
    <row r="2490" spans="16:16">
      <c r="P2490" s="18"/>
    </row>
    <row r="2491" spans="16:16">
      <c r="P2491" s="18"/>
    </row>
    <row r="2492" spans="16:16">
      <c r="P2492" s="18"/>
    </row>
    <row r="2493" spans="16:16">
      <c r="P2493" s="18"/>
    </row>
    <row r="2494" spans="16:16">
      <c r="P2494" s="18"/>
    </row>
    <row r="2495" spans="16:16">
      <c r="P2495" s="18"/>
    </row>
    <row r="2496" spans="16:16">
      <c r="P2496" s="18"/>
    </row>
    <row r="2497" spans="16:16">
      <c r="P2497" s="18"/>
    </row>
    <row r="2498" spans="16:16">
      <c r="P2498" s="18"/>
    </row>
    <row r="2499" spans="16:16">
      <c r="P2499" s="18"/>
    </row>
    <row r="2500" spans="16:16">
      <c r="P2500" s="18"/>
    </row>
    <row r="2501" spans="16:16">
      <c r="P2501" s="18"/>
    </row>
    <row r="2502" spans="16:16">
      <c r="P2502" s="18"/>
    </row>
    <row r="2503" spans="16:16">
      <c r="P2503" s="18"/>
    </row>
    <row r="2504" spans="16:16">
      <c r="P2504" s="18"/>
    </row>
    <row r="2505" spans="16:16">
      <c r="P2505" s="18"/>
    </row>
    <row r="2506" spans="16:16">
      <c r="P2506" s="18"/>
    </row>
    <row r="2507" spans="16:16">
      <c r="P2507" s="18"/>
    </row>
    <row r="2508" spans="16:16">
      <c r="P2508" s="18"/>
    </row>
    <row r="2509" spans="16:16">
      <c r="P2509" s="18"/>
    </row>
    <row r="2510" spans="16:16">
      <c r="P2510" s="18"/>
    </row>
    <row r="2511" spans="16:16">
      <c r="P2511" s="18"/>
    </row>
    <row r="2512" spans="16:16">
      <c r="P2512" s="18"/>
    </row>
    <row r="2513" spans="16:16">
      <c r="P2513" s="18"/>
    </row>
    <row r="2514" spans="16:16">
      <c r="P2514" s="18"/>
    </row>
    <row r="2515" spans="16:16">
      <c r="P2515" s="18"/>
    </row>
    <row r="2516" spans="16:16">
      <c r="P2516" s="18"/>
    </row>
    <row r="2517" spans="16:16">
      <c r="P2517" s="18"/>
    </row>
    <row r="2518" spans="16:16">
      <c r="P2518" s="18"/>
    </row>
    <row r="2519" spans="16:16">
      <c r="P2519" s="18"/>
    </row>
    <row r="2520" spans="16:16">
      <c r="P2520" s="18"/>
    </row>
    <row r="2521" spans="16:16">
      <c r="P2521" s="18"/>
    </row>
    <row r="2522" spans="16:16">
      <c r="P2522" s="18"/>
    </row>
    <row r="2523" spans="16:16">
      <c r="P2523" s="18"/>
    </row>
    <row r="2524" spans="16:16">
      <c r="P2524" s="18"/>
    </row>
    <row r="2525" spans="16:16">
      <c r="P2525" s="18"/>
    </row>
    <row r="2526" spans="16:16">
      <c r="P2526" s="18"/>
    </row>
    <row r="2527" spans="16:16">
      <c r="P2527" s="18"/>
    </row>
    <row r="2528" spans="16:16">
      <c r="P2528" s="18"/>
    </row>
    <row r="2529" spans="16:16">
      <c r="P2529" s="18"/>
    </row>
    <row r="2530" spans="16:16">
      <c r="P2530" s="18"/>
    </row>
    <row r="2531" spans="16:16">
      <c r="P2531" s="18"/>
    </row>
    <row r="2532" spans="16:16">
      <c r="P2532" s="18"/>
    </row>
    <row r="2533" spans="16:16">
      <c r="P2533" s="18"/>
    </row>
    <row r="2534" spans="16:16">
      <c r="P2534" s="18"/>
    </row>
    <row r="2535" spans="16:16">
      <c r="P2535" s="18"/>
    </row>
    <row r="2536" spans="16:16">
      <c r="P2536" s="18"/>
    </row>
    <row r="2537" spans="16:16">
      <c r="P2537" s="18"/>
    </row>
    <row r="2538" spans="16:16">
      <c r="P2538" s="18"/>
    </row>
    <row r="2539" spans="16:16">
      <c r="P2539" s="18"/>
    </row>
    <row r="2540" spans="16:16">
      <c r="P2540" s="18"/>
    </row>
    <row r="2541" spans="16:16">
      <c r="P2541" s="18"/>
    </row>
    <row r="2542" spans="16:16">
      <c r="P2542" s="18"/>
    </row>
    <row r="2543" spans="16:16">
      <c r="P2543" s="18"/>
    </row>
    <row r="2544" spans="16:16">
      <c r="P2544" s="18"/>
    </row>
    <row r="2545" spans="16:16">
      <c r="P2545" s="18"/>
    </row>
    <row r="2546" spans="16:16">
      <c r="P2546" s="18"/>
    </row>
    <row r="2547" spans="16:16">
      <c r="P2547" s="18"/>
    </row>
    <row r="2548" spans="16:16">
      <c r="P2548" s="18"/>
    </row>
    <row r="2549" spans="16:16">
      <c r="P2549" s="18"/>
    </row>
    <row r="2550" spans="16:16">
      <c r="P2550" s="18"/>
    </row>
    <row r="2551" spans="16:16">
      <c r="P2551" s="18"/>
    </row>
    <row r="2552" spans="16:16">
      <c r="P2552" s="18"/>
    </row>
    <row r="2553" spans="16:16">
      <c r="P2553" s="18"/>
    </row>
    <row r="2554" spans="16:16">
      <c r="P2554" s="18"/>
    </row>
    <row r="2555" spans="16:16">
      <c r="P2555" s="18"/>
    </row>
    <row r="2556" spans="16:16">
      <c r="P2556" s="18"/>
    </row>
    <row r="2557" spans="16:16">
      <c r="P2557" s="18"/>
    </row>
    <row r="2558" spans="16:16">
      <c r="P2558" s="18"/>
    </row>
    <row r="2559" spans="16:16">
      <c r="P2559" s="18"/>
    </row>
    <row r="2560" spans="16:16">
      <c r="P2560" s="18"/>
    </row>
    <row r="2561" spans="16:16">
      <c r="P2561" s="18"/>
    </row>
    <row r="2562" spans="16:16">
      <c r="P2562" s="18"/>
    </row>
    <row r="2563" spans="16:16">
      <c r="P2563" s="18"/>
    </row>
    <row r="2564" spans="16:16">
      <c r="P2564" s="18"/>
    </row>
    <row r="2565" spans="16:16">
      <c r="P2565" s="18"/>
    </row>
    <row r="2566" spans="16:16">
      <c r="P2566" s="18"/>
    </row>
    <row r="2567" spans="16:16">
      <c r="P2567" s="18"/>
    </row>
    <row r="2568" spans="16:16">
      <c r="P2568" s="18"/>
    </row>
    <row r="2569" spans="16:16">
      <c r="P2569" s="18"/>
    </row>
    <row r="2570" spans="16:16">
      <c r="P2570" s="18"/>
    </row>
    <row r="2571" spans="16:16">
      <c r="P2571" s="18"/>
    </row>
    <row r="2572" spans="16:16">
      <c r="P2572" s="18"/>
    </row>
    <row r="2573" spans="16:16">
      <c r="P2573" s="18"/>
    </row>
    <row r="2574" spans="16:16">
      <c r="P2574" s="18"/>
    </row>
    <row r="2575" spans="16:16">
      <c r="P2575" s="18"/>
    </row>
    <row r="2576" spans="16:16">
      <c r="P2576" s="18"/>
    </row>
    <row r="2577" spans="16:16">
      <c r="P2577" s="18"/>
    </row>
    <row r="2578" spans="16:16">
      <c r="P2578" s="18"/>
    </row>
    <row r="2579" spans="16:16">
      <c r="P2579" s="18"/>
    </row>
    <row r="2580" spans="16:16">
      <c r="P2580" s="18"/>
    </row>
    <row r="2581" spans="16:16">
      <c r="P2581" s="18"/>
    </row>
    <row r="2582" spans="16:16">
      <c r="P2582" s="18"/>
    </row>
    <row r="2583" spans="16:16">
      <c r="P2583" s="18"/>
    </row>
    <row r="2584" spans="16:16">
      <c r="P2584" s="18"/>
    </row>
    <row r="2585" spans="16:16">
      <c r="P2585" s="18"/>
    </row>
    <row r="2586" spans="16:16">
      <c r="P2586" s="18"/>
    </row>
    <row r="2587" spans="16:16">
      <c r="P2587" s="18"/>
    </row>
    <row r="2588" spans="16:16">
      <c r="P2588" s="18"/>
    </row>
    <row r="2589" spans="16:16">
      <c r="P2589" s="18"/>
    </row>
    <row r="2590" spans="16:16">
      <c r="P2590" s="18"/>
    </row>
    <row r="2591" spans="16:16">
      <c r="P2591" s="18"/>
    </row>
    <row r="2592" spans="16:16">
      <c r="P2592" s="18"/>
    </row>
    <row r="2593" spans="16:16">
      <c r="P2593" s="18"/>
    </row>
    <row r="2594" spans="16:16">
      <c r="P2594" s="18"/>
    </row>
    <row r="2595" spans="16:16">
      <c r="P2595" s="18"/>
    </row>
    <row r="2596" spans="16:16">
      <c r="P2596" s="18"/>
    </row>
    <row r="2597" spans="16:16">
      <c r="P2597" s="18"/>
    </row>
    <row r="2598" spans="16:16">
      <c r="P2598" s="18"/>
    </row>
    <row r="2599" spans="16:16">
      <c r="P2599" s="18"/>
    </row>
    <row r="2600" spans="16:16">
      <c r="P2600" s="18"/>
    </row>
    <row r="2601" spans="16:16">
      <c r="P2601" s="18"/>
    </row>
    <row r="2602" spans="16:16">
      <c r="P2602" s="18"/>
    </row>
    <row r="2603" spans="16:16">
      <c r="P2603" s="18"/>
    </row>
    <row r="2604" spans="16:16">
      <c r="P2604" s="18"/>
    </row>
    <row r="2605" spans="16:16">
      <c r="P2605" s="18"/>
    </row>
    <row r="2606" spans="16:16">
      <c r="P2606" s="18"/>
    </row>
    <row r="2607" spans="16:16">
      <c r="P2607" s="18"/>
    </row>
    <row r="2608" spans="16:16">
      <c r="P2608" s="18"/>
    </row>
    <row r="2609" spans="16:16">
      <c r="P2609" s="18"/>
    </row>
    <row r="2610" spans="16:16">
      <c r="P2610" s="18"/>
    </row>
    <row r="2611" spans="16:16">
      <c r="P2611" s="18"/>
    </row>
    <row r="2612" spans="16:16">
      <c r="P2612" s="18"/>
    </row>
    <row r="2613" spans="16:16">
      <c r="P2613" s="18"/>
    </row>
    <row r="2614" spans="16:16">
      <c r="P2614" s="18"/>
    </row>
    <row r="2615" spans="16:16">
      <c r="P2615" s="18"/>
    </row>
    <row r="2616" spans="16:16">
      <c r="P2616" s="18"/>
    </row>
    <row r="2617" spans="16:16">
      <c r="P2617" s="18"/>
    </row>
    <row r="2618" spans="16:16">
      <c r="P2618" s="18"/>
    </row>
    <row r="2619" spans="16:16">
      <c r="P2619" s="18"/>
    </row>
    <row r="2620" spans="16:16">
      <c r="P2620" s="18"/>
    </row>
    <row r="2621" spans="16:16">
      <c r="P2621" s="18"/>
    </row>
    <row r="2622" spans="16:16">
      <c r="P2622" s="18"/>
    </row>
    <row r="2623" spans="16:16">
      <c r="P2623" s="18"/>
    </row>
    <row r="2624" spans="16:16">
      <c r="P2624" s="18"/>
    </row>
    <row r="2625" spans="16:16">
      <c r="P2625" s="18"/>
    </row>
    <row r="2626" spans="16:16">
      <c r="P2626" s="18"/>
    </row>
    <row r="2627" spans="16:16">
      <c r="P2627" s="18"/>
    </row>
    <row r="2628" spans="16:16">
      <c r="P2628" s="18"/>
    </row>
    <row r="2629" spans="16:16">
      <c r="P2629" s="18"/>
    </row>
    <row r="2630" spans="16:16">
      <c r="P2630" s="18"/>
    </row>
    <row r="2631" spans="16:16">
      <c r="P2631" s="18"/>
    </row>
    <row r="2632" spans="16:16">
      <c r="P2632" s="18"/>
    </row>
    <row r="2633" spans="16:16">
      <c r="P2633" s="18"/>
    </row>
    <row r="2634" spans="16:16">
      <c r="P2634" s="18"/>
    </row>
    <row r="2635" spans="16:16">
      <c r="P2635" s="18"/>
    </row>
    <row r="2636" spans="16:16">
      <c r="P2636" s="18"/>
    </row>
    <row r="2637" spans="16:16">
      <c r="P2637" s="18"/>
    </row>
    <row r="2638" spans="16:16">
      <c r="P2638" s="18"/>
    </row>
    <row r="2639" spans="16:16">
      <c r="P2639" s="18"/>
    </row>
    <row r="2640" spans="16:16">
      <c r="P2640" s="18"/>
    </row>
    <row r="2641" spans="16:16">
      <c r="P2641" s="18"/>
    </row>
    <row r="2642" spans="16:16">
      <c r="P2642" s="18"/>
    </row>
    <row r="2643" spans="16:16">
      <c r="P2643" s="18"/>
    </row>
    <row r="2644" spans="16:16">
      <c r="P2644" s="18"/>
    </row>
    <row r="2645" spans="16:16">
      <c r="P2645" s="18"/>
    </row>
    <row r="2646" spans="16:16">
      <c r="P2646" s="18"/>
    </row>
    <row r="2647" spans="16:16">
      <c r="P2647" s="18"/>
    </row>
    <row r="2648" spans="16:16">
      <c r="P2648" s="18"/>
    </row>
    <row r="2649" spans="16:16">
      <c r="P2649" s="18"/>
    </row>
    <row r="2650" spans="16:16">
      <c r="P2650" s="18"/>
    </row>
    <row r="2651" spans="16:16">
      <c r="P2651" s="18"/>
    </row>
    <row r="2652" spans="16:16">
      <c r="P2652" s="18"/>
    </row>
    <row r="2653" spans="16:16">
      <c r="P2653" s="18"/>
    </row>
    <row r="2654" spans="16:16">
      <c r="P2654" s="18"/>
    </row>
    <row r="2655" spans="16:16">
      <c r="P2655" s="18"/>
    </row>
    <row r="2656" spans="16:16">
      <c r="P2656" s="18"/>
    </row>
    <row r="2657" spans="16:16">
      <c r="P2657" s="18"/>
    </row>
    <row r="2658" spans="16:16">
      <c r="P2658" s="18"/>
    </row>
    <row r="2659" spans="16:16">
      <c r="P2659" s="18"/>
    </row>
    <row r="2660" spans="16:16">
      <c r="P2660" s="18"/>
    </row>
    <row r="2661" spans="16:16">
      <c r="P2661" s="18"/>
    </row>
    <row r="2662" spans="16:16">
      <c r="P2662" s="18"/>
    </row>
    <row r="2663" spans="16:16">
      <c r="P2663" s="18"/>
    </row>
    <row r="2664" spans="16:16">
      <c r="P2664" s="18"/>
    </row>
    <row r="2665" spans="16:16">
      <c r="P2665" s="18"/>
    </row>
    <row r="2666" spans="16:16">
      <c r="P2666" s="18"/>
    </row>
    <row r="2667" spans="16:16">
      <c r="P2667" s="18"/>
    </row>
    <row r="2668" spans="16:16">
      <c r="P2668" s="18"/>
    </row>
    <row r="2669" spans="16:16">
      <c r="P2669" s="18"/>
    </row>
    <row r="2670" spans="16:16">
      <c r="P2670" s="18"/>
    </row>
    <row r="2671" spans="16:16">
      <c r="P2671" s="18"/>
    </row>
    <row r="2672" spans="16:16">
      <c r="P2672" s="18"/>
    </row>
    <row r="2673" spans="16:16">
      <c r="P2673" s="18"/>
    </row>
    <row r="2674" spans="16:16">
      <c r="P2674" s="18"/>
    </row>
    <row r="2675" spans="16:16">
      <c r="P2675" s="18"/>
    </row>
    <row r="2676" spans="16:16">
      <c r="P2676" s="18"/>
    </row>
    <row r="2677" spans="16:16">
      <c r="P2677" s="18"/>
    </row>
    <row r="2678" spans="16:16">
      <c r="P2678" s="18"/>
    </row>
    <row r="2679" spans="16:16">
      <c r="P2679" s="18"/>
    </row>
    <row r="2680" spans="16:16">
      <c r="P2680" s="18"/>
    </row>
    <row r="2681" spans="16:16">
      <c r="P2681" s="18"/>
    </row>
    <row r="2682" spans="16:16">
      <c r="P2682" s="18"/>
    </row>
    <row r="2683" spans="16:16">
      <c r="P2683" s="18"/>
    </row>
    <row r="2684" spans="16:16">
      <c r="P2684" s="18"/>
    </row>
    <row r="2685" spans="16:16">
      <c r="P2685" s="18"/>
    </row>
    <row r="2686" spans="16:16">
      <c r="P2686" s="18"/>
    </row>
    <row r="2687" spans="16:16">
      <c r="P2687" s="18"/>
    </row>
    <row r="2688" spans="16:16">
      <c r="P2688" s="18"/>
    </row>
    <row r="2689" spans="16:16">
      <c r="P2689" s="18"/>
    </row>
    <row r="2690" spans="16:16">
      <c r="P2690" s="18"/>
    </row>
    <row r="2691" spans="16:16">
      <c r="P2691" s="18"/>
    </row>
    <row r="2692" spans="16:16">
      <c r="P2692" s="18"/>
    </row>
    <row r="2693" spans="16:16">
      <c r="P2693" s="18"/>
    </row>
    <row r="2694" spans="16:16">
      <c r="P2694" s="18"/>
    </row>
    <row r="2695" spans="16:16">
      <c r="P2695" s="18"/>
    </row>
    <row r="2696" spans="16:16">
      <c r="P2696" s="18"/>
    </row>
    <row r="2697" spans="16:16">
      <c r="P2697" s="18"/>
    </row>
    <row r="2698" spans="16:16">
      <c r="P2698" s="18"/>
    </row>
    <row r="2699" spans="16:16">
      <c r="P2699" s="18"/>
    </row>
    <row r="2700" spans="16:16">
      <c r="P2700" s="18"/>
    </row>
    <row r="2701" spans="16:16">
      <c r="P2701" s="18"/>
    </row>
    <row r="2702" spans="16:16">
      <c r="P2702" s="18"/>
    </row>
    <row r="2703" spans="16:16">
      <c r="P2703" s="18"/>
    </row>
    <row r="2704" spans="16:16">
      <c r="P2704" s="18"/>
    </row>
    <row r="2705" spans="16:16">
      <c r="P2705" s="18"/>
    </row>
    <row r="2706" spans="16:16">
      <c r="P2706" s="18"/>
    </row>
    <row r="2707" spans="16:16">
      <c r="P2707" s="18"/>
    </row>
    <row r="2708" spans="16:16">
      <c r="P2708" s="18"/>
    </row>
    <row r="2709" spans="16:16">
      <c r="P2709" s="18"/>
    </row>
    <row r="2710" spans="16:16">
      <c r="P2710" s="18"/>
    </row>
    <row r="2711" spans="16:16">
      <c r="P2711" s="18"/>
    </row>
    <row r="2712" spans="16:16">
      <c r="P2712" s="18"/>
    </row>
    <row r="2713" spans="16:16">
      <c r="P2713" s="18"/>
    </row>
    <row r="2714" spans="16:16">
      <c r="P2714" s="18"/>
    </row>
    <row r="2715" spans="16:16">
      <c r="P2715" s="18"/>
    </row>
    <row r="2716" spans="16:16">
      <c r="P2716" s="18"/>
    </row>
    <row r="2717" spans="16:16">
      <c r="P2717" s="18"/>
    </row>
    <row r="2718" spans="16:16">
      <c r="P2718" s="18"/>
    </row>
    <row r="2719" spans="16:16">
      <c r="P2719" s="18"/>
    </row>
    <row r="2720" spans="16:16">
      <c r="P2720" s="18"/>
    </row>
    <row r="2721" spans="16:16">
      <c r="P2721" s="18"/>
    </row>
    <row r="2722" spans="16:16">
      <c r="P2722" s="18"/>
    </row>
    <row r="2723" spans="16:16">
      <c r="P2723" s="18"/>
    </row>
    <row r="2724" spans="16:16">
      <c r="P2724" s="18"/>
    </row>
    <row r="2725" spans="16:16">
      <c r="P2725" s="18"/>
    </row>
    <row r="2726" spans="16:16">
      <c r="P2726" s="18"/>
    </row>
    <row r="2727" spans="16:16">
      <c r="P2727" s="18"/>
    </row>
    <row r="2728" spans="16:16">
      <c r="P2728" s="18"/>
    </row>
    <row r="2729" spans="16:16">
      <c r="P2729" s="18"/>
    </row>
    <row r="2730" spans="16:16">
      <c r="P2730" s="18"/>
    </row>
    <row r="2731" spans="16:16">
      <c r="P2731" s="18"/>
    </row>
    <row r="2732" spans="16:16">
      <c r="P2732" s="18"/>
    </row>
    <row r="2733" spans="16:16">
      <c r="P2733" s="18"/>
    </row>
    <row r="2734" spans="16:16">
      <c r="P2734" s="18"/>
    </row>
    <row r="2735" spans="16:16">
      <c r="P2735" s="18"/>
    </row>
    <row r="2736" spans="16:16">
      <c r="P2736" s="18"/>
    </row>
    <row r="2737" spans="16:16">
      <c r="P2737" s="18"/>
    </row>
    <row r="2738" spans="16:16">
      <c r="P2738" s="18"/>
    </row>
    <row r="2739" spans="16:16">
      <c r="P2739" s="18"/>
    </row>
    <row r="2740" spans="16:16">
      <c r="P2740" s="18"/>
    </row>
    <row r="2741" spans="16:16">
      <c r="P2741" s="18"/>
    </row>
    <row r="2742" spans="16:16">
      <c r="P2742" s="18"/>
    </row>
    <row r="2743" spans="16:16">
      <c r="P2743" s="18"/>
    </row>
    <row r="2744" spans="16:16">
      <c r="P2744" s="18"/>
    </row>
    <row r="2745" spans="16:16">
      <c r="P2745" s="18"/>
    </row>
    <row r="2746" spans="16:16">
      <c r="P2746" s="18"/>
    </row>
    <row r="2747" spans="16:16">
      <c r="P2747" s="18"/>
    </row>
    <row r="2748" spans="16:16">
      <c r="P2748" s="18"/>
    </row>
    <row r="2749" spans="16:16">
      <c r="P2749" s="18"/>
    </row>
    <row r="2750" spans="16:16">
      <c r="P2750" s="18"/>
    </row>
    <row r="2751" spans="16:16">
      <c r="P2751" s="18"/>
    </row>
    <row r="2752" spans="16:16">
      <c r="P2752" s="18"/>
    </row>
    <row r="2753" spans="16:16">
      <c r="P2753" s="18"/>
    </row>
    <row r="2754" spans="16:16">
      <c r="P2754" s="18"/>
    </row>
    <row r="2755" spans="16:16">
      <c r="P2755" s="18"/>
    </row>
    <row r="2756" spans="16:16">
      <c r="P2756" s="18"/>
    </row>
    <row r="2757" spans="16:16">
      <c r="P2757" s="18"/>
    </row>
    <row r="2758" spans="16:16">
      <c r="P2758" s="18"/>
    </row>
    <row r="2759" spans="16:16">
      <c r="P2759" s="18"/>
    </row>
    <row r="2760" spans="16:16">
      <c r="P2760" s="18"/>
    </row>
    <row r="2761" spans="16:16">
      <c r="P2761" s="18"/>
    </row>
    <row r="2762" spans="16:16">
      <c r="P2762" s="18"/>
    </row>
    <row r="2763" spans="16:16">
      <c r="P2763" s="18"/>
    </row>
    <row r="2764" spans="16:16">
      <c r="P2764" s="18"/>
    </row>
    <row r="2765" spans="16:16">
      <c r="P2765" s="18"/>
    </row>
    <row r="2766" spans="16:16">
      <c r="P2766" s="18"/>
    </row>
    <row r="2767" spans="16:16">
      <c r="P2767" s="18"/>
    </row>
    <row r="2768" spans="16:16">
      <c r="P2768" s="18"/>
    </row>
    <row r="2769" spans="16:16">
      <c r="P2769" s="18"/>
    </row>
    <row r="2770" spans="16:16">
      <c r="P2770" s="18"/>
    </row>
    <row r="2771" spans="16:16">
      <c r="P2771" s="18"/>
    </row>
    <row r="2772" spans="16:16">
      <c r="P2772" s="18"/>
    </row>
    <row r="2773" spans="16:16">
      <c r="P2773" s="18"/>
    </row>
    <row r="2774" spans="16:16">
      <c r="P2774" s="18"/>
    </row>
    <row r="2775" spans="16:16">
      <c r="P2775" s="18"/>
    </row>
    <row r="2776" spans="16:16">
      <c r="P2776" s="18"/>
    </row>
    <row r="2777" spans="16:16">
      <c r="P2777" s="18"/>
    </row>
    <row r="2778" spans="16:16">
      <c r="P2778" s="18"/>
    </row>
    <row r="2779" spans="16:16">
      <c r="P2779" s="18"/>
    </row>
    <row r="2780" spans="16:16">
      <c r="P2780" s="18"/>
    </row>
    <row r="2781" spans="16:16">
      <c r="P2781" s="18"/>
    </row>
    <row r="2782" spans="16:16">
      <c r="P2782" s="18"/>
    </row>
    <row r="2783" spans="16:16">
      <c r="P2783" s="18"/>
    </row>
    <row r="2784" spans="16:16">
      <c r="P2784" s="18"/>
    </row>
    <row r="2785" spans="16:16">
      <c r="P2785" s="18"/>
    </row>
    <row r="2786" spans="16:16">
      <c r="P2786" s="18"/>
    </row>
    <row r="2787" spans="16:16">
      <c r="P2787" s="18"/>
    </row>
    <row r="2788" spans="16:16">
      <c r="P2788" s="18"/>
    </row>
    <row r="2789" spans="16:16">
      <c r="P2789" s="18"/>
    </row>
    <row r="2790" spans="16:16">
      <c r="P2790" s="18"/>
    </row>
    <row r="2791" spans="16:16">
      <c r="P2791" s="18"/>
    </row>
    <row r="2792" spans="16:16">
      <c r="P2792" s="18"/>
    </row>
    <row r="2793" spans="16:16">
      <c r="P2793" s="18"/>
    </row>
    <row r="2794" spans="16:16">
      <c r="P2794" s="18"/>
    </row>
    <row r="2795" spans="16:16">
      <c r="P2795" s="18"/>
    </row>
    <row r="2796" spans="16:16">
      <c r="P2796" s="18"/>
    </row>
    <row r="2797" spans="16:16">
      <c r="P2797" s="18"/>
    </row>
    <row r="2798" spans="16:16">
      <c r="P2798" s="18"/>
    </row>
    <row r="2799" spans="16:16">
      <c r="P2799" s="18"/>
    </row>
    <row r="2800" spans="16:16">
      <c r="P2800" s="18"/>
    </row>
    <row r="2801" spans="16:16">
      <c r="P2801" s="18"/>
    </row>
    <row r="2802" spans="16:16">
      <c r="P2802" s="18"/>
    </row>
    <row r="2803" spans="16:16">
      <c r="P2803" s="18"/>
    </row>
    <row r="2804" spans="16:16">
      <c r="P2804" s="18"/>
    </row>
    <row r="2805" spans="16:16">
      <c r="P2805" s="18"/>
    </row>
    <row r="2806" spans="16:16">
      <c r="P2806" s="18"/>
    </row>
    <row r="2807" spans="16:16">
      <c r="P2807" s="18"/>
    </row>
    <row r="2808" spans="16:16">
      <c r="P2808" s="18"/>
    </row>
    <row r="2809" spans="16:16">
      <c r="P2809" s="18"/>
    </row>
    <row r="2810" spans="16:16">
      <c r="P2810" s="18"/>
    </row>
    <row r="2811" spans="16:16">
      <c r="P2811" s="18"/>
    </row>
    <row r="2812" spans="16:16">
      <c r="P2812" s="18"/>
    </row>
    <row r="2813" spans="16:16">
      <c r="P2813" s="18"/>
    </row>
    <row r="2814" spans="16:16">
      <c r="P2814" s="18"/>
    </row>
    <row r="2815" spans="16:16">
      <c r="P2815" s="18"/>
    </row>
    <row r="2816" spans="16:16">
      <c r="P2816" s="18"/>
    </row>
    <row r="2817" spans="16:16">
      <c r="P2817" s="18"/>
    </row>
    <row r="2818" spans="16:16">
      <c r="P2818" s="18"/>
    </row>
    <row r="2819" spans="16:16">
      <c r="P2819" s="18"/>
    </row>
    <row r="2820" spans="16:16">
      <c r="P2820" s="18"/>
    </row>
    <row r="2821" spans="16:16">
      <c r="P2821" s="18"/>
    </row>
    <row r="2822" spans="16:16">
      <c r="P2822" s="18"/>
    </row>
    <row r="2823" spans="16:16">
      <c r="P2823" s="18"/>
    </row>
    <row r="2824" spans="16:16">
      <c r="P2824" s="18"/>
    </row>
    <row r="2825" spans="16:16">
      <c r="P2825" s="18"/>
    </row>
    <row r="2826" spans="16:16">
      <c r="P2826" s="18"/>
    </row>
    <row r="2827" spans="16:16">
      <c r="P2827" s="18"/>
    </row>
    <row r="2828" spans="16:16">
      <c r="P2828" s="18"/>
    </row>
    <row r="2829" spans="16:16">
      <c r="P2829" s="18"/>
    </row>
    <row r="2830" spans="16:16">
      <c r="P2830" s="18"/>
    </row>
    <row r="2831" spans="16:16">
      <c r="P2831" s="18"/>
    </row>
    <row r="2832" spans="16:16">
      <c r="P2832" s="18"/>
    </row>
    <row r="2833" spans="16:16">
      <c r="P2833" s="18"/>
    </row>
    <row r="2834" spans="16:16">
      <c r="P2834" s="18"/>
    </row>
    <row r="2835" spans="16:16">
      <c r="P2835" s="18"/>
    </row>
    <row r="2836" spans="16:16">
      <c r="P2836" s="18"/>
    </row>
    <row r="2837" spans="16:16">
      <c r="P2837" s="18"/>
    </row>
    <row r="2838" spans="16:16">
      <c r="P2838" s="18"/>
    </row>
    <row r="2839" spans="16:16">
      <c r="P2839" s="18"/>
    </row>
    <row r="2840" spans="16:16">
      <c r="P2840" s="18"/>
    </row>
    <row r="2841" spans="16:16">
      <c r="P2841" s="18"/>
    </row>
    <row r="2842" spans="16:16">
      <c r="P2842" s="18"/>
    </row>
    <row r="2843" spans="16:16">
      <c r="P2843" s="18"/>
    </row>
    <row r="2844" spans="16:16">
      <c r="P2844" s="18"/>
    </row>
    <row r="2845" spans="16:16">
      <c r="P2845" s="18"/>
    </row>
    <row r="2846" spans="16:16">
      <c r="P2846" s="18"/>
    </row>
    <row r="2847" spans="16:16">
      <c r="P2847" s="18"/>
    </row>
    <row r="2848" spans="16:16">
      <c r="P2848" s="18"/>
    </row>
    <row r="2849" spans="16:16">
      <c r="P2849" s="18"/>
    </row>
    <row r="2850" spans="16:16">
      <c r="P2850" s="18"/>
    </row>
    <row r="2851" spans="16:16">
      <c r="P2851" s="18"/>
    </row>
    <row r="2852" spans="16:16">
      <c r="P2852" s="18"/>
    </row>
    <row r="2853" spans="16:16">
      <c r="P2853" s="18"/>
    </row>
    <row r="2854" spans="16:16">
      <c r="P2854" s="18"/>
    </row>
    <row r="2855" spans="16:16">
      <c r="P2855" s="18"/>
    </row>
    <row r="2856" spans="16:16">
      <c r="P2856" s="18"/>
    </row>
    <row r="2857" spans="16:16">
      <c r="P2857" s="18"/>
    </row>
    <row r="2858" spans="16:16">
      <c r="P2858" s="18"/>
    </row>
    <row r="2859" spans="16:16">
      <c r="P2859" s="18"/>
    </row>
    <row r="2860" spans="16:16">
      <c r="P2860" s="18"/>
    </row>
    <row r="2861" spans="16:16">
      <c r="P2861" s="18"/>
    </row>
    <row r="2862" spans="16:16">
      <c r="P2862" s="18"/>
    </row>
    <row r="2863" spans="16:16">
      <c r="P2863" s="18"/>
    </row>
    <row r="2864" spans="16:16">
      <c r="P2864" s="18"/>
    </row>
    <row r="2865" spans="16:16">
      <c r="P2865" s="18"/>
    </row>
    <row r="2866" spans="16:16">
      <c r="P2866" s="18"/>
    </row>
    <row r="2867" spans="16:16">
      <c r="P2867" s="18"/>
    </row>
    <row r="2868" spans="16:16">
      <c r="P2868" s="18"/>
    </row>
    <row r="2869" spans="16:16">
      <c r="P2869" s="18"/>
    </row>
    <row r="2870" spans="16:16">
      <c r="P2870" s="18"/>
    </row>
    <row r="2871" spans="16:16">
      <c r="P2871" s="18"/>
    </row>
    <row r="2872" spans="16:16">
      <c r="P2872" s="18"/>
    </row>
    <row r="2873" spans="16:16">
      <c r="P2873" s="18"/>
    </row>
    <row r="2874" spans="16:16">
      <c r="P2874" s="18"/>
    </row>
    <row r="2875" spans="16:16">
      <c r="P2875" s="18"/>
    </row>
    <row r="2876" spans="16:16">
      <c r="P2876" s="18"/>
    </row>
    <row r="2877" spans="16:16">
      <c r="P2877" s="18"/>
    </row>
    <row r="2878" spans="16:16">
      <c r="P2878" s="18"/>
    </row>
    <row r="2879" spans="16:16">
      <c r="P2879" s="18"/>
    </row>
    <row r="2880" spans="16:16">
      <c r="P2880" s="18"/>
    </row>
    <row r="2881" spans="16:16">
      <c r="P2881" s="18"/>
    </row>
    <row r="2882" spans="16:16">
      <c r="P2882" s="18"/>
    </row>
    <row r="2883" spans="16:16">
      <c r="P2883" s="18"/>
    </row>
    <row r="2884" spans="16:16">
      <c r="P2884" s="18"/>
    </row>
    <row r="2885" spans="16:16">
      <c r="P2885" s="18"/>
    </row>
    <row r="2886" spans="16:16">
      <c r="P2886" s="18"/>
    </row>
    <row r="2887" spans="16:16">
      <c r="P2887" s="18"/>
    </row>
    <row r="2888" spans="16:16">
      <c r="P2888" s="18"/>
    </row>
    <row r="2889" spans="16:16">
      <c r="P2889" s="18"/>
    </row>
    <row r="2890" spans="16:16">
      <c r="P2890" s="18"/>
    </row>
    <row r="2891" spans="16:16">
      <c r="P2891" s="18"/>
    </row>
    <row r="2892" spans="16:16">
      <c r="P2892" s="18"/>
    </row>
    <row r="2893" spans="16:16">
      <c r="P2893" s="18"/>
    </row>
    <row r="2894" spans="16:16">
      <c r="P2894" s="18"/>
    </row>
    <row r="2895" spans="16:16">
      <c r="P2895" s="18"/>
    </row>
    <row r="2896" spans="16:16">
      <c r="P2896" s="18"/>
    </row>
    <row r="2897" spans="16:16">
      <c r="P2897" s="18"/>
    </row>
    <row r="2898" spans="16:16">
      <c r="P2898" s="18"/>
    </row>
    <row r="2899" spans="16:16">
      <c r="P2899" s="18"/>
    </row>
    <row r="2900" spans="16:16">
      <c r="P2900" s="18"/>
    </row>
    <row r="2901" spans="16:16">
      <c r="P2901" s="18"/>
    </row>
    <row r="2902" spans="16:16">
      <c r="P2902" s="18"/>
    </row>
    <row r="2903" spans="16:16">
      <c r="P2903" s="18"/>
    </row>
    <row r="2904" spans="16:16">
      <c r="P2904" s="18"/>
    </row>
    <row r="2905" spans="16:16">
      <c r="P2905" s="18"/>
    </row>
    <row r="2906" spans="16:16">
      <c r="P2906" s="18"/>
    </row>
    <row r="2907" spans="16:16">
      <c r="P2907" s="18"/>
    </row>
    <row r="2908" spans="16:16">
      <c r="P2908" s="18"/>
    </row>
    <row r="2909" spans="16:16">
      <c r="P2909" s="18"/>
    </row>
    <row r="2910" spans="16:16">
      <c r="P2910" s="18"/>
    </row>
    <row r="2911" spans="16:16">
      <c r="P2911" s="18"/>
    </row>
    <row r="2912" spans="16:16">
      <c r="P2912" s="18"/>
    </row>
    <row r="2913" spans="16:16">
      <c r="P2913" s="18"/>
    </row>
    <row r="2914" spans="16:16">
      <c r="P2914" s="18"/>
    </row>
    <row r="2915" spans="16:16">
      <c r="P2915" s="18"/>
    </row>
    <row r="2916" spans="16:16">
      <c r="P2916" s="18"/>
    </row>
    <row r="2917" spans="16:16">
      <c r="P2917" s="18"/>
    </row>
    <row r="2918" spans="16:16">
      <c r="P2918" s="18"/>
    </row>
    <row r="2919" spans="16:16">
      <c r="P2919" s="18"/>
    </row>
    <row r="2920" spans="16:16">
      <c r="P2920" s="18"/>
    </row>
    <row r="2921" spans="16:16">
      <c r="P2921" s="18"/>
    </row>
    <row r="2922" spans="16:16">
      <c r="P2922" s="18"/>
    </row>
    <row r="2923" spans="16:16">
      <c r="P2923" s="18"/>
    </row>
    <row r="2924" spans="16:16">
      <c r="P2924" s="18"/>
    </row>
    <row r="2925" spans="16:16">
      <c r="P2925" s="18"/>
    </row>
    <row r="2926" spans="16:16">
      <c r="P2926" s="18"/>
    </row>
    <row r="2927" spans="16:16">
      <c r="P2927" s="18"/>
    </row>
    <row r="2928" spans="16:16">
      <c r="P2928" s="18"/>
    </row>
    <row r="2929" spans="16:16">
      <c r="P2929" s="18"/>
    </row>
    <row r="2930" spans="16:16">
      <c r="P2930" s="18"/>
    </row>
    <row r="2931" spans="16:16">
      <c r="P2931" s="18"/>
    </row>
    <row r="2932" spans="16:16">
      <c r="P2932" s="18"/>
    </row>
    <row r="2933" spans="16:16">
      <c r="P2933" s="18"/>
    </row>
    <row r="2934" spans="16:16">
      <c r="P2934" s="18"/>
    </row>
    <row r="2935" spans="16:16">
      <c r="P2935" s="18"/>
    </row>
    <row r="2936" spans="16:16">
      <c r="P2936" s="18"/>
    </row>
    <row r="2937" spans="16:16">
      <c r="P2937" s="18"/>
    </row>
    <row r="2938" spans="16:16">
      <c r="P2938" s="18"/>
    </row>
    <row r="2939" spans="16:16">
      <c r="P2939" s="18"/>
    </row>
    <row r="2940" spans="16:16">
      <c r="P2940" s="18"/>
    </row>
    <row r="2941" spans="16:16">
      <c r="P2941" s="18"/>
    </row>
    <row r="2942" spans="16:16">
      <c r="P2942" s="18"/>
    </row>
    <row r="2943" spans="16:16">
      <c r="P2943" s="18"/>
    </row>
    <row r="2944" spans="16:16">
      <c r="P2944" s="18"/>
    </row>
    <row r="2945" spans="16:16">
      <c r="P2945" s="18"/>
    </row>
    <row r="2946" spans="16:16">
      <c r="P2946" s="18"/>
    </row>
    <row r="2947" spans="16:16">
      <c r="P2947" s="18"/>
    </row>
    <row r="2948" spans="16:16">
      <c r="P2948" s="18"/>
    </row>
    <row r="2949" spans="16:16">
      <c r="P2949" s="18"/>
    </row>
    <row r="2950" spans="16:16">
      <c r="P2950" s="18"/>
    </row>
    <row r="2951" spans="16:16">
      <c r="P2951" s="18"/>
    </row>
    <row r="2952" spans="16:16">
      <c r="P2952" s="18"/>
    </row>
    <row r="2953" spans="16:16">
      <c r="P2953" s="18"/>
    </row>
    <row r="2954" spans="16:16">
      <c r="P2954" s="18"/>
    </row>
    <row r="2955" spans="16:16">
      <c r="P2955" s="18"/>
    </row>
    <row r="2956" spans="16:16">
      <c r="P2956" s="18"/>
    </row>
    <row r="2957" spans="16:16">
      <c r="P2957" s="18"/>
    </row>
    <row r="2958" spans="16:16">
      <c r="P2958" s="18"/>
    </row>
    <row r="2959" spans="16:16">
      <c r="P2959" s="18"/>
    </row>
    <row r="2960" spans="16:16">
      <c r="P2960" s="18"/>
    </row>
    <row r="2961" spans="16:16">
      <c r="P2961" s="18"/>
    </row>
    <row r="2962" spans="16:16">
      <c r="P2962" s="18"/>
    </row>
    <row r="2963" spans="16:16">
      <c r="P2963" s="18"/>
    </row>
    <row r="2964" spans="16:16">
      <c r="P2964" s="18"/>
    </row>
    <row r="2965" spans="16:16">
      <c r="P2965" s="18"/>
    </row>
    <row r="2966" spans="16:16">
      <c r="P2966" s="18"/>
    </row>
    <row r="2967" spans="16:16">
      <c r="P2967" s="18"/>
    </row>
    <row r="2968" spans="16:16">
      <c r="P2968" s="18"/>
    </row>
    <row r="2969" spans="16:16">
      <c r="P2969" s="18"/>
    </row>
    <row r="2970" spans="16:16">
      <c r="P2970" s="18"/>
    </row>
    <row r="2971" spans="16:16">
      <c r="P2971" s="18"/>
    </row>
    <row r="2972" spans="16:16">
      <c r="P2972" s="18"/>
    </row>
    <row r="2973" spans="16:16">
      <c r="P2973" s="18"/>
    </row>
    <row r="2974" spans="16:16">
      <c r="P2974" s="18"/>
    </row>
    <row r="2975" spans="16:16">
      <c r="P2975" s="18"/>
    </row>
    <row r="2976" spans="16:16">
      <c r="P2976" s="18"/>
    </row>
    <row r="2977" spans="16:16">
      <c r="P2977" s="18"/>
    </row>
    <row r="2978" spans="16:16">
      <c r="P2978" s="18"/>
    </row>
    <row r="2979" spans="16:16">
      <c r="P2979" s="18"/>
    </row>
    <row r="2980" spans="16:16">
      <c r="P2980" s="18"/>
    </row>
    <row r="2981" spans="16:16">
      <c r="P2981" s="18"/>
    </row>
    <row r="2982" spans="16:16">
      <c r="P2982" s="18"/>
    </row>
    <row r="2983" spans="16:16">
      <c r="P2983" s="18"/>
    </row>
    <row r="2984" spans="16:16">
      <c r="P2984" s="18"/>
    </row>
    <row r="2985" spans="16:16">
      <c r="P2985" s="18"/>
    </row>
    <row r="2986" spans="16:16">
      <c r="P2986" s="18"/>
    </row>
    <row r="2987" spans="16:16">
      <c r="P2987" s="18"/>
    </row>
    <row r="2988" spans="16:16">
      <c r="P2988" s="18"/>
    </row>
    <row r="2989" spans="16:16">
      <c r="P2989" s="18"/>
    </row>
    <row r="2990" spans="16:16">
      <c r="P2990" s="18"/>
    </row>
    <row r="2991" spans="16:16">
      <c r="P2991" s="18"/>
    </row>
    <row r="2992" spans="16:16">
      <c r="P2992" s="18"/>
    </row>
    <row r="2993" spans="16:16">
      <c r="P2993" s="18"/>
    </row>
    <row r="2994" spans="16:16">
      <c r="P2994" s="18"/>
    </row>
    <row r="2995" spans="16:16">
      <c r="P2995" s="18"/>
    </row>
    <row r="2996" spans="16:16">
      <c r="P2996" s="18"/>
    </row>
    <row r="2997" spans="16:16">
      <c r="P2997" s="18"/>
    </row>
    <row r="2998" spans="16:16">
      <c r="P2998" s="18"/>
    </row>
    <row r="2999" spans="16:16">
      <c r="P2999" s="18"/>
    </row>
    <row r="3000" spans="16:16">
      <c r="P3000" s="18"/>
    </row>
    <row r="3001" spans="16:16">
      <c r="P3001" s="18"/>
    </row>
    <row r="3002" spans="16:16">
      <c r="P3002" s="18"/>
    </row>
    <row r="3003" spans="16:16">
      <c r="P3003" s="18"/>
    </row>
    <row r="3004" spans="16:16">
      <c r="P3004" s="18"/>
    </row>
    <row r="3005" spans="16:16">
      <c r="P3005" s="18"/>
    </row>
    <row r="3006" spans="16:16">
      <c r="P3006" s="18"/>
    </row>
    <row r="3007" spans="16:16">
      <c r="P3007" s="18"/>
    </row>
    <row r="3008" spans="16:16">
      <c r="P3008" s="18"/>
    </row>
    <row r="3009" spans="16:16">
      <c r="P3009" s="18"/>
    </row>
    <row r="3010" spans="16:16">
      <c r="P3010" s="18"/>
    </row>
    <row r="3011" spans="16:16">
      <c r="P3011" s="18"/>
    </row>
    <row r="3012" spans="16:16">
      <c r="P3012" s="18"/>
    </row>
    <row r="3013" spans="16:16">
      <c r="P3013" s="18"/>
    </row>
    <row r="3014" spans="16:16">
      <c r="P3014" s="18"/>
    </row>
    <row r="3015" spans="16:16">
      <c r="P3015" s="18"/>
    </row>
    <row r="3016" spans="16:16">
      <c r="P3016" s="18"/>
    </row>
    <row r="3017" spans="16:16">
      <c r="P3017" s="18"/>
    </row>
    <row r="3018" spans="16:16">
      <c r="P3018" s="18"/>
    </row>
    <row r="3019" spans="16:16">
      <c r="P3019" s="18"/>
    </row>
    <row r="3020" spans="16:16">
      <c r="P3020" s="18"/>
    </row>
    <row r="3021" spans="16:16">
      <c r="P3021" s="18"/>
    </row>
    <row r="3022" spans="16:16">
      <c r="P3022" s="18"/>
    </row>
    <row r="3023" spans="16:16">
      <c r="P3023" s="18"/>
    </row>
    <row r="3024" spans="16:16">
      <c r="P3024" s="18"/>
    </row>
    <row r="3025" spans="16:16">
      <c r="P3025" s="18"/>
    </row>
    <row r="3026" spans="16:16">
      <c r="P3026" s="18"/>
    </row>
    <row r="3027" spans="16:16">
      <c r="P3027" s="18"/>
    </row>
    <row r="3028" spans="16:16">
      <c r="P3028" s="18"/>
    </row>
    <row r="3029" spans="16:16">
      <c r="P3029" s="18"/>
    </row>
    <row r="3030" spans="16:16">
      <c r="P3030" s="18"/>
    </row>
    <row r="3031" spans="16:16">
      <c r="P3031" s="18"/>
    </row>
    <row r="3032" spans="16:16">
      <c r="P3032" s="18"/>
    </row>
    <row r="3033" spans="16:16">
      <c r="P3033" s="18"/>
    </row>
    <row r="3034" spans="16:16">
      <c r="P3034" s="18"/>
    </row>
    <row r="3035" spans="16:16">
      <c r="P3035" s="18"/>
    </row>
    <row r="3036" spans="16:16">
      <c r="P3036" s="18"/>
    </row>
    <row r="3037" spans="16:16">
      <c r="P3037" s="18"/>
    </row>
    <row r="3038" spans="16:16">
      <c r="P3038" s="18"/>
    </row>
    <row r="3039" spans="16:16">
      <c r="P3039" s="18"/>
    </row>
    <row r="3040" spans="16:16">
      <c r="P3040" s="18"/>
    </row>
    <row r="3041" spans="16:16">
      <c r="P3041" s="18"/>
    </row>
    <row r="3042" spans="16:16">
      <c r="P3042" s="18"/>
    </row>
    <row r="3043" spans="16:16">
      <c r="P3043" s="18"/>
    </row>
    <row r="3044" spans="16:16">
      <c r="P3044" s="18"/>
    </row>
    <row r="3045" spans="16:16">
      <c r="P3045" s="18"/>
    </row>
    <row r="3046" spans="16:16">
      <c r="P3046" s="18"/>
    </row>
    <row r="3047" spans="16:16">
      <c r="P3047" s="18"/>
    </row>
    <row r="3048" spans="16:16">
      <c r="P3048" s="18"/>
    </row>
    <row r="3049" spans="16:16">
      <c r="P3049" s="18"/>
    </row>
    <row r="3050" spans="16:16">
      <c r="P3050" s="18"/>
    </row>
    <row r="3051" spans="16:16">
      <c r="P3051" s="18"/>
    </row>
    <row r="3052" spans="16:16">
      <c r="P3052" s="18"/>
    </row>
    <row r="3053" spans="16:16">
      <c r="P3053" s="18"/>
    </row>
    <row r="3054" spans="16:16">
      <c r="P3054" s="18"/>
    </row>
    <row r="3055" spans="16:16">
      <c r="P3055" s="18"/>
    </row>
    <row r="3056" spans="16:16">
      <c r="P3056" s="18"/>
    </row>
    <row r="3057" spans="16:16">
      <c r="P3057" s="18"/>
    </row>
    <row r="3058" spans="16:16">
      <c r="P3058" s="18"/>
    </row>
    <row r="3059" spans="16:16">
      <c r="P3059" s="18"/>
    </row>
    <row r="3060" spans="16:16">
      <c r="P3060" s="18"/>
    </row>
    <row r="3061" spans="16:16">
      <c r="P3061" s="18"/>
    </row>
    <row r="3062" spans="16:16">
      <c r="P3062" s="18"/>
    </row>
    <row r="3063" spans="16:16">
      <c r="P3063" s="18"/>
    </row>
    <row r="3064" spans="16:16">
      <c r="P3064" s="18"/>
    </row>
    <row r="3065" spans="16:16">
      <c r="P3065" s="18"/>
    </row>
    <row r="3066" spans="16:16">
      <c r="P3066" s="18"/>
    </row>
    <row r="3067" spans="16:16">
      <c r="P3067" s="18"/>
    </row>
    <row r="3068" spans="16:16">
      <c r="P3068" s="18"/>
    </row>
    <row r="3069" spans="16:16">
      <c r="P3069" s="18"/>
    </row>
    <row r="3070" spans="16:16">
      <c r="P3070" s="18"/>
    </row>
    <row r="3071" spans="16:16">
      <c r="P3071" s="18"/>
    </row>
    <row r="3072" spans="16:16">
      <c r="P3072" s="18"/>
    </row>
    <row r="3073" spans="16:16">
      <c r="P3073" s="18"/>
    </row>
    <row r="3074" spans="16:16">
      <c r="P3074" s="18"/>
    </row>
    <row r="3075" spans="16:16">
      <c r="P3075" s="18"/>
    </row>
    <row r="3076" spans="16:16">
      <c r="P3076" s="18"/>
    </row>
    <row r="3077" spans="16:16">
      <c r="P3077" s="18"/>
    </row>
    <row r="3078" spans="16:16">
      <c r="P3078" s="18"/>
    </row>
    <row r="3079" spans="16:16">
      <c r="P3079" s="18"/>
    </row>
    <row r="3080" spans="16:16">
      <c r="P3080" s="18"/>
    </row>
    <row r="3081" spans="16:16">
      <c r="P3081" s="18"/>
    </row>
    <row r="3082" spans="16:16">
      <c r="P3082" s="18"/>
    </row>
    <row r="3083" spans="16:16">
      <c r="P3083" s="18"/>
    </row>
    <row r="3084" spans="16:16">
      <c r="P3084" s="18"/>
    </row>
    <row r="3085" spans="16:16">
      <c r="P3085" s="18"/>
    </row>
    <row r="3086" spans="16:16">
      <c r="P3086" s="18"/>
    </row>
    <row r="3087" spans="16:16">
      <c r="P3087" s="18"/>
    </row>
    <row r="3088" spans="16:16">
      <c r="P3088" s="18"/>
    </row>
    <row r="3089" spans="16:16">
      <c r="P3089" s="18"/>
    </row>
    <row r="3090" spans="16:16">
      <c r="P3090" s="18"/>
    </row>
    <row r="3091" spans="16:16">
      <c r="P3091" s="18"/>
    </row>
    <row r="3092" spans="16:16">
      <c r="P3092" s="18"/>
    </row>
    <row r="3093" spans="16:16">
      <c r="P3093" s="18"/>
    </row>
    <row r="3094" spans="16:16">
      <c r="P3094" s="18"/>
    </row>
    <row r="3095" spans="16:16">
      <c r="P3095" s="18"/>
    </row>
    <row r="3096" spans="16:16">
      <c r="P3096" s="18"/>
    </row>
    <row r="3097" spans="16:16">
      <c r="P3097" s="18"/>
    </row>
    <row r="3098" spans="16:16">
      <c r="P3098" s="18"/>
    </row>
    <row r="3099" spans="16:16">
      <c r="P3099" s="18"/>
    </row>
    <row r="3100" spans="16:16">
      <c r="P3100" s="18"/>
    </row>
    <row r="3101" spans="16:16">
      <c r="P3101" s="18"/>
    </row>
    <row r="3102" spans="16:16">
      <c r="P3102" s="18"/>
    </row>
    <row r="3103" spans="16:16">
      <c r="P3103" s="18"/>
    </row>
    <row r="3104" spans="16:16">
      <c r="P3104" s="18"/>
    </row>
    <row r="3105" spans="16:16">
      <c r="P3105" s="18"/>
    </row>
    <row r="3106" spans="16:16">
      <c r="P3106" s="18"/>
    </row>
    <row r="3107" spans="16:16">
      <c r="P3107" s="18"/>
    </row>
    <row r="3108" spans="16:16">
      <c r="P3108" s="18"/>
    </row>
    <row r="3109" spans="16:16">
      <c r="P3109" s="18"/>
    </row>
    <row r="3110" spans="16:16">
      <c r="P3110" s="18"/>
    </row>
    <row r="3111" spans="16:16">
      <c r="P3111" s="18"/>
    </row>
    <row r="3112" spans="16:16">
      <c r="P3112" s="18"/>
    </row>
    <row r="3113" spans="16:16">
      <c r="P3113" s="18"/>
    </row>
    <row r="3114" spans="16:16">
      <c r="P3114" s="18"/>
    </row>
    <row r="3115" spans="16:16">
      <c r="P3115" s="18"/>
    </row>
    <row r="3116" spans="16:16">
      <c r="P3116" s="18"/>
    </row>
    <row r="3117" spans="16:16">
      <c r="P3117" s="18"/>
    </row>
    <row r="3118" spans="16:16">
      <c r="P3118" s="18"/>
    </row>
    <row r="3119" spans="16:16">
      <c r="P3119" s="18"/>
    </row>
    <row r="3120" spans="16:16">
      <c r="P3120" s="18"/>
    </row>
    <row r="3121" spans="16:16">
      <c r="P3121" s="18"/>
    </row>
    <row r="3122" spans="16:16">
      <c r="P3122" s="18"/>
    </row>
    <row r="3123" spans="16:16">
      <c r="P3123" s="18"/>
    </row>
    <row r="3124" spans="16:16">
      <c r="P3124" s="18"/>
    </row>
    <row r="3125" spans="16:16">
      <c r="P3125" s="18"/>
    </row>
    <row r="3126" spans="16:16">
      <c r="P3126" s="18"/>
    </row>
    <row r="3127" spans="16:16">
      <c r="P3127" s="18"/>
    </row>
    <row r="3128" spans="16:16">
      <c r="P3128" s="18"/>
    </row>
    <row r="3129" spans="16:16">
      <c r="P3129" s="18"/>
    </row>
    <row r="3130" spans="16:16">
      <c r="P3130" s="18"/>
    </row>
    <row r="3131" spans="16:16">
      <c r="P3131" s="18"/>
    </row>
    <row r="3132" spans="16:16">
      <c r="P3132" s="18"/>
    </row>
    <row r="3133" spans="16:16">
      <c r="P3133" s="18"/>
    </row>
    <row r="3134" spans="16:16">
      <c r="P3134" s="18"/>
    </row>
    <row r="3135" spans="16:16">
      <c r="P3135" s="18"/>
    </row>
    <row r="3136" spans="16:16">
      <c r="P3136" s="18"/>
    </row>
    <row r="3137" spans="16:16">
      <c r="P3137" s="18"/>
    </row>
    <row r="3138" spans="16:16">
      <c r="P3138" s="18"/>
    </row>
    <row r="3139" spans="16:16">
      <c r="P3139" s="18"/>
    </row>
    <row r="3140" spans="16:16">
      <c r="P3140" s="18"/>
    </row>
    <row r="3141" spans="16:16">
      <c r="P3141" s="18"/>
    </row>
    <row r="3142" spans="16:16">
      <c r="P3142" s="18"/>
    </row>
    <row r="3143" spans="16:16">
      <c r="P3143" s="18"/>
    </row>
    <row r="3144" spans="16:16">
      <c r="P3144" s="18"/>
    </row>
    <row r="3145" spans="16:16">
      <c r="P3145" s="18"/>
    </row>
    <row r="3146" spans="16:16">
      <c r="P3146" s="18"/>
    </row>
    <row r="3147" spans="16:16">
      <c r="P3147" s="18"/>
    </row>
    <row r="3148" spans="16:16">
      <c r="P3148" s="18"/>
    </row>
    <row r="3149" spans="16:16">
      <c r="P3149" s="18"/>
    </row>
    <row r="3150" spans="16:16">
      <c r="P3150" s="18"/>
    </row>
    <row r="3151" spans="16:16">
      <c r="P3151" s="18"/>
    </row>
    <row r="3152" spans="16:16">
      <c r="P3152" s="18"/>
    </row>
    <row r="3153" spans="16:16">
      <c r="P3153" s="18"/>
    </row>
    <row r="3154" spans="16:16">
      <c r="P3154" s="18"/>
    </row>
    <row r="3155" spans="16:16">
      <c r="P3155" s="18"/>
    </row>
    <row r="3156" spans="16:16">
      <c r="P3156" s="18"/>
    </row>
    <row r="3157" spans="16:16">
      <c r="P3157" s="18"/>
    </row>
    <row r="3158" spans="16:16">
      <c r="P3158" s="18"/>
    </row>
    <row r="3159" spans="16:16">
      <c r="P3159" s="18"/>
    </row>
    <row r="3160" spans="16:16">
      <c r="P3160" s="18"/>
    </row>
    <row r="3161" spans="16:16">
      <c r="P3161" s="18"/>
    </row>
    <row r="3162" spans="16:16">
      <c r="P3162" s="18"/>
    </row>
    <row r="3163" spans="16:16">
      <c r="P3163" s="18"/>
    </row>
    <row r="3164" spans="16:16">
      <c r="P3164" s="18"/>
    </row>
    <row r="3165" spans="16:16">
      <c r="P3165" s="18"/>
    </row>
    <row r="3166" spans="16:16">
      <c r="P3166" s="18"/>
    </row>
    <row r="3167" spans="16:16">
      <c r="P3167" s="18"/>
    </row>
    <row r="3168" spans="16:16">
      <c r="P3168" s="18"/>
    </row>
    <row r="3169" spans="16:16">
      <c r="P3169" s="18"/>
    </row>
    <row r="3170" spans="16:16">
      <c r="P3170" s="18"/>
    </row>
    <row r="3171" spans="16:16">
      <c r="P3171" s="18"/>
    </row>
    <row r="3172" spans="16:16">
      <c r="P3172" s="18"/>
    </row>
    <row r="3173" spans="16:16">
      <c r="P3173" s="18"/>
    </row>
    <row r="3174" spans="16:16">
      <c r="P3174" s="18"/>
    </row>
    <row r="3175" spans="16:16">
      <c r="P3175" s="18"/>
    </row>
    <row r="3176" spans="16:16">
      <c r="P3176" s="18"/>
    </row>
    <row r="3177" spans="16:16">
      <c r="P3177" s="18"/>
    </row>
    <row r="3178" spans="16:16">
      <c r="P3178" s="18"/>
    </row>
    <row r="3179" spans="16:16">
      <c r="P3179" s="18"/>
    </row>
    <row r="3180" spans="16:16">
      <c r="P3180" s="18"/>
    </row>
    <row r="3181" spans="16:16">
      <c r="P3181" s="18"/>
    </row>
    <row r="3182" spans="16:16">
      <c r="P3182" s="18"/>
    </row>
    <row r="3183" spans="16:16">
      <c r="P3183" s="18"/>
    </row>
    <row r="3184" spans="16:16">
      <c r="P3184" s="18"/>
    </row>
    <row r="3185" spans="16:16">
      <c r="P3185" s="18"/>
    </row>
    <row r="3186" spans="16:16">
      <c r="P3186" s="18"/>
    </row>
    <row r="3187" spans="16:16">
      <c r="P3187" s="18"/>
    </row>
    <row r="3188" spans="16:16">
      <c r="P3188" s="18"/>
    </row>
    <row r="3189" spans="16:16">
      <c r="P3189" s="18"/>
    </row>
    <row r="3190" spans="16:16">
      <c r="P3190" s="18"/>
    </row>
    <row r="3191" spans="16:16">
      <c r="P3191" s="18"/>
    </row>
    <row r="3192" spans="16:16">
      <c r="P3192" s="18"/>
    </row>
    <row r="3193" spans="16:16">
      <c r="P3193" s="18"/>
    </row>
    <row r="3194" spans="16:16">
      <c r="P3194" s="18"/>
    </row>
    <row r="3195" spans="16:16">
      <c r="P3195" s="18"/>
    </row>
    <row r="3196" spans="16:16">
      <c r="P3196" s="18"/>
    </row>
    <row r="3197" spans="16:16">
      <c r="P3197" s="18"/>
    </row>
    <row r="3198" spans="16:16">
      <c r="P3198" s="18"/>
    </row>
    <row r="3199" spans="16:16">
      <c r="P3199" s="18"/>
    </row>
    <row r="3200" spans="16:16">
      <c r="P3200" s="18"/>
    </row>
    <row r="3201" spans="16:16">
      <c r="P3201" s="18"/>
    </row>
    <row r="3202" spans="16:16">
      <c r="P3202" s="18"/>
    </row>
    <row r="3203" spans="16:16">
      <c r="P3203" s="18"/>
    </row>
    <row r="3204" spans="16:16">
      <c r="P3204" s="18"/>
    </row>
    <row r="3205" spans="16:16">
      <c r="P3205" s="18"/>
    </row>
    <row r="3206" spans="16:16">
      <c r="P3206" s="18"/>
    </row>
    <row r="3207" spans="16:16">
      <c r="P3207" s="18"/>
    </row>
    <row r="3208" spans="16:16">
      <c r="P3208" s="18"/>
    </row>
    <row r="3209" spans="16:16">
      <c r="P3209" s="18"/>
    </row>
    <row r="3210" spans="16:16">
      <c r="P3210" s="18"/>
    </row>
    <row r="3211" spans="16:16">
      <c r="P3211" s="18"/>
    </row>
    <row r="3212" spans="16:16">
      <c r="P3212" s="18"/>
    </row>
    <row r="3213" spans="16:16">
      <c r="P3213" s="18"/>
    </row>
    <row r="3214" spans="16:16">
      <c r="P3214" s="18"/>
    </row>
    <row r="3215" spans="16:16">
      <c r="P3215" s="18"/>
    </row>
    <row r="3216" spans="16:16">
      <c r="P3216" s="18"/>
    </row>
    <row r="3217" spans="16:16">
      <c r="P3217" s="18"/>
    </row>
    <row r="3218" spans="16:16">
      <c r="P3218" s="18"/>
    </row>
    <row r="3219" spans="16:16">
      <c r="P3219" s="18"/>
    </row>
    <row r="3220" spans="16:16">
      <c r="P3220" s="18"/>
    </row>
    <row r="3221" spans="16:16">
      <c r="P3221" s="18"/>
    </row>
    <row r="3222" spans="16:16">
      <c r="P3222" s="18"/>
    </row>
    <row r="3223" spans="16:16">
      <c r="P3223" s="18"/>
    </row>
    <row r="3224" spans="16:16">
      <c r="P3224" s="18"/>
    </row>
    <row r="3225" spans="16:16">
      <c r="P3225" s="18"/>
    </row>
    <row r="3226" spans="16:16">
      <c r="P3226" s="18"/>
    </row>
    <row r="3227" spans="16:16">
      <c r="P3227" s="18"/>
    </row>
    <row r="3228" spans="16:16">
      <c r="P3228" s="18"/>
    </row>
    <row r="3229" spans="16:16">
      <c r="P3229" s="18"/>
    </row>
    <row r="3230" spans="16:16">
      <c r="P3230" s="18"/>
    </row>
    <row r="3231" spans="16:16">
      <c r="P3231" s="18"/>
    </row>
    <row r="3232" spans="16:16">
      <c r="P3232" s="18"/>
    </row>
    <row r="3233" spans="16:16">
      <c r="P3233" s="18"/>
    </row>
    <row r="3234" spans="16:16">
      <c r="P3234" s="18"/>
    </row>
    <row r="3235" spans="16:16">
      <c r="P3235" s="18"/>
    </row>
    <row r="3236" spans="16:16">
      <c r="P3236" s="18"/>
    </row>
    <row r="3237" spans="16:16">
      <c r="P3237" s="18"/>
    </row>
    <row r="3238" spans="16:16">
      <c r="P3238" s="18"/>
    </row>
    <row r="3239" spans="16:16">
      <c r="P3239" s="18"/>
    </row>
    <row r="3240" spans="16:16">
      <c r="P3240" s="18"/>
    </row>
    <row r="3241" spans="16:16">
      <c r="P3241" s="18"/>
    </row>
    <row r="3242" spans="16:16">
      <c r="P3242" s="18"/>
    </row>
    <row r="3243" spans="16:16">
      <c r="P3243" s="18"/>
    </row>
    <row r="3244" spans="16:16">
      <c r="P3244" s="18"/>
    </row>
    <row r="3245" spans="16:16">
      <c r="P3245" s="18"/>
    </row>
    <row r="3246" spans="16:16">
      <c r="P3246" s="18"/>
    </row>
    <row r="3247" spans="16:16">
      <c r="P3247" s="18"/>
    </row>
    <row r="3248" spans="16:16">
      <c r="P3248" s="18"/>
    </row>
    <row r="3249" spans="16:16">
      <c r="P3249" s="18"/>
    </row>
    <row r="3250" spans="16:16">
      <c r="P3250" s="18"/>
    </row>
    <row r="3251" spans="16:16">
      <c r="P3251" s="18"/>
    </row>
    <row r="3252" spans="16:16">
      <c r="P3252" s="18"/>
    </row>
    <row r="3253" spans="16:16">
      <c r="P3253" s="18"/>
    </row>
    <row r="3254" spans="16:16">
      <c r="P3254" s="18"/>
    </row>
    <row r="3255" spans="16:16">
      <c r="P3255" s="18"/>
    </row>
    <row r="3256" spans="16:16">
      <c r="P3256" s="18"/>
    </row>
    <row r="3257" spans="16:16">
      <c r="P3257" s="18"/>
    </row>
    <row r="3258" spans="16:16">
      <c r="P3258" s="18"/>
    </row>
    <row r="3259" spans="16:16">
      <c r="P3259" s="18"/>
    </row>
    <row r="3260" spans="16:16">
      <c r="P3260" s="18"/>
    </row>
    <row r="3261" spans="16:16">
      <c r="P3261" s="18"/>
    </row>
    <row r="3262" spans="16:16">
      <c r="P3262" s="18"/>
    </row>
    <row r="3263" spans="16:16">
      <c r="P3263" s="18"/>
    </row>
    <row r="3264" spans="16:16">
      <c r="P3264" s="18"/>
    </row>
    <row r="3265" spans="16:16">
      <c r="P3265" s="18"/>
    </row>
    <row r="3266" spans="16:16">
      <c r="P3266" s="18"/>
    </row>
    <row r="3267" spans="16:16">
      <c r="P3267" s="18"/>
    </row>
    <row r="3268" spans="16:16">
      <c r="P3268" s="18"/>
    </row>
    <row r="3269" spans="16:16">
      <c r="P3269" s="18"/>
    </row>
    <row r="3270" spans="16:16">
      <c r="P3270" s="18"/>
    </row>
    <row r="3271" spans="16:16">
      <c r="P3271" s="18"/>
    </row>
    <row r="3272" spans="16:16">
      <c r="P3272" s="18"/>
    </row>
    <row r="3273" spans="16:16">
      <c r="P3273" s="18"/>
    </row>
    <row r="3274" spans="16:16">
      <c r="P3274" s="18"/>
    </row>
    <row r="3275" spans="16:16">
      <c r="P3275" s="18"/>
    </row>
    <row r="3276" spans="16:16">
      <c r="P3276" s="18"/>
    </row>
    <row r="3277" spans="16:16">
      <c r="P3277" s="18"/>
    </row>
    <row r="3278" spans="16:16">
      <c r="P3278" s="18"/>
    </row>
    <row r="3279" spans="16:16">
      <c r="P3279" s="18"/>
    </row>
    <row r="3280" spans="16:16">
      <c r="P3280" s="18"/>
    </row>
    <row r="3281" spans="16:16">
      <c r="P3281" s="18"/>
    </row>
    <row r="3282" spans="16:16">
      <c r="P3282" s="18"/>
    </row>
    <row r="3283" spans="16:16">
      <c r="P3283" s="18"/>
    </row>
    <row r="3284" spans="16:16">
      <c r="P3284" s="18"/>
    </row>
    <row r="3285" spans="16:16">
      <c r="P3285" s="18"/>
    </row>
    <row r="3286" spans="16:16">
      <c r="P3286" s="18"/>
    </row>
    <row r="3287" spans="16:16">
      <c r="P3287" s="18"/>
    </row>
    <row r="3288" spans="16:16">
      <c r="P3288" s="18"/>
    </row>
    <row r="3289" spans="16:16">
      <c r="P3289" s="18"/>
    </row>
    <row r="3290" spans="16:16">
      <c r="P3290" s="18"/>
    </row>
    <row r="3291" spans="16:16">
      <c r="P3291" s="18"/>
    </row>
    <row r="3292" spans="16:16">
      <c r="P3292" s="18"/>
    </row>
    <row r="3293" spans="16:16">
      <c r="P3293" s="18"/>
    </row>
    <row r="3294" spans="16:16">
      <c r="P3294" s="18"/>
    </row>
    <row r="3295" spans="16:16">
      <c r="P3295" s="18"/>
    </row>
    <row r="3296" spans="16:16">
      <c r="P3296" s="18"/>
    </row>
    <row r="3297" spans="16:16">
      <c r="P3297" s="18"/>
    </row>
    <row r="3298" spans="16:16">
      <c r="P3298" s="18"/>
    </row>
    <row r="3299" spans="16:16">
      <c r="P3299" s="18"/>
    </row>
    <row r="3300" spans="16:16">
      <c r="P3300" s="18"/>
    </row>
    <row r="3301" spans="16:16">
      <c r="P3301" s="18"/>
    </row>
    <row r="3302" spans="16:16">
      <c r="P3302" s="18"/>
    </row>
    <row r="3303" spans="16:16">
      <c r="P3303" s="18"/>
    </row>
    <row r="3304" spans="16:16">
      <c r="P3304" s="18"/>
    </row>
    <row r="3305" spans="16:16">
      <c r="P3305" s="18"/>
    </row>
    <row r="3306" spans="16:16">
      <c r="P3306" s="18"/>
    </row>
    <row r="3307" spans="16:16">
      <c r="P3307" s="18"/>
    </row>
    <row r="3308" spans="16:16">
      <c r="P3308" s="18"/>
    </row>
    <row r="3309" spans="16:16">
      <c r="P3309" s="18"/>
    </row>
    <row r="3310" spans="16:16">
      <c r="P3310" s="18"/>
    </row>
    <row r="3311" spans="16:16">
      <c r="P3311" s="18"/>
    </row>
    <row r="3312" spans="16:16">
      <c r="P3312" s="18"/>
    </row>
    <row r="3313" spans="16:16">
      <c r="P3313" s="18"/>
    </row>
    <row r="3314" spans="16:16">
      <c r="P3314" s="18"/>
    </row>
    <row r="3315" spans="16:16">
      <c r="P3315" s="18"/>
    </row>
    <row r="3316" spans="16:16">
      <c r="P3316" s="18"/>
    </row>
    <row r="3317" spans="16:16">
      <c r="P3317" s="18"/>
    </row>
    <row r="3318" spans="16:16">
      <c r="P3318" s="18"/>
    </row>
    <row r="3319" spans="16:16">
      <c r="P3319" s="18"/>
    </row>
    <row r="3320" spans="16:16">
      <c r="P3320" s="18"/>
    </row>
    <row r="3321" spans="16:16">
      <c r="P3321" s="18"/>
    </row>
    <row r="3322" spans="16:16">
      <c r="P3322" s="18"/>
    </row>
    <row r="3323" spans="16:16">
      <c r="P3323" s="18"/>
    </row>
    <row r="3324" spans="16:16">
      <c r="P3324" s="18"/>
    </row>
    <row r="3325" spans="16:16">
      <c r="P3325" s="18"/>
    </row>
    <row r="3326" spans="16:16">
      <c r="P3326" s="18"/>
    </row>
    <row r="3327" spans="16:16">
      <c r="P3327" s="18"/>
    </row>
    <row r="3328" spans="16:16">
      <c r="P3328" s="18"/>
    </row>
    <row r="3329" spans="16:16">
      <c r="P3329" s="18"/>
    </row>
    <row r="3330" spans="16:16">
      <c r="P3330" s="18"/>
    </row>
    <row r="3331" spans="16:16">
      <c r="P3331" s="18"/>
    </row>
    <row r="3332" spans="16:16">
      <c r="P3332" s="18"/>
    </row>
    <row r="3333" spans="16:16">
      <c r="P3333" s="18"/>
    </row>
    <row r="3334" spans="16:16">
      <c r="P3334" s="18"/>
    </row>
    <row r="3335" spans="16:16">
      <c r="P3335" s="18"/>
    </row>
    <row r="3336" spans="16:16">
      <c r="P3336" s="18"/>
    </row>
    <row r="3337" spans="16:16">
      <c r="P3337" s="18"/>
    </row>
    <row r="3338" spans="16:16">
      <c r="P3338" s="18"/>
    </row>
    <row r="3339" spans="16:16">
      <c r="P3339" s="18"/>
    </row>
    <row r="3340" spans="16:16">
      <c r="P3340" s="18"/>
    </row>
    <row r="3341" spans="16:16">
      <c r="P3341" s="18"/>
    </row>
    <row r="3342" spans="16:16">
      <c r="P3342" s="18"/>
    </row>
    <row r="3343" spans="16:16">
      <c r="P3343" s="18"/>
    </row>
    <row r="3344" spans="16:16">
      <c r="P3344" s="18"/>
    </row>
    <row r="3345" spans="16:16">
      <c r="P3345" s="18"/>
    </row>
    <row r="3346" spans="16:16">
      <c r="P3346" s="18"/>
    </row>
    <row r="3347" spans="16:16">
      <c r="P3347" s="18"/>
    </row>
    <row r="3348" spans="16:16">
      <c r="P3348" s="18"/>
    </row>
    <row r="3349" spans="16:16">
      <c r="P3349" s="18"/>
    </row>
    <row r="3350" spans="16:16">
      <c r="P3350" s="18"/>
    </row>
    <row r="3351" spans="16:16">
      <c r="P3351" s="18"/>
    </row>
    <row r="3352" spans="16:16">
      <c r="P3352" s="18"/>
    </row>
    <row r="3353" spans="16:16">
      <c r="P3353" s="18"/>
    </row>
    <row r="3354" spans="16:16">
      <c r="P3354" s="18"/>
    </row>
    <row r="3355" spans="16:16">
      <c r="P3355" s="18"/>
    </row>
    <row r="3356" spans="16:16">
      <c r="P3356" s="18"/>
    </row>
    <row r="3357" spans="16:16">
      <c r="P3357" s="18"/>
    </row>
    <row r="3358" spans="16:16">
      <c r="P3358" s="18"/>
    </row>
    <row r="3359" spans="16:16">
      <c r="P3359" s="18"/>
    </row>
    <row r="3360" spans="16:16">
      <c r="P3360" s="18"/>
    </row>
    <row r="3361" spans="16:16">
      <c r="P3361" s="18"/>
    </row>
    <row r="3362" spans="16:16">
      <c r="P3362" s="18"/>
    </row>
    <row r="3363" spans="16:16">
      <c r="P3363" s="18"/>
    </row>
    <row r="3364" spans="16:16">
      <c r="P3364" s="18"/>
    </row>
    <row r="3365" spans="16:16">
      <c r="P3365" s="18"/>
    </row>
    <row r="3366" spans="16:16">
      <c r="P3366" s="18"/>
    </row>
    <row r="3367" spans="16:16">
      <c r="P3367" s="18"/>
    </row>
    <row r="3368" spans="16:16">
      <c r="P3368" s="18"/>
    </row>
    <row r="3369" spans="16:16">
      <c r="P3369" s="18"/>
    </row>
    <row r="3370" spans="16:16">
      <c r="P3370" s="18"/>
    </row>
    <row r="3371" spans="16:16">
      <c r="P3371" s="18"/>
    </row>
    <row r="3372" spans="16:16">
      <c r="P3372" s="18"/>
    </row>
    <row r="3373" spans="16:16">
      <c r="P3373" s="18"/>
    </row>
    <row r="3374" spans="16:16">
      <c r="P3374" s="18"/>
    </row>
    <row r="3375" spans="16:16">
      <c r="P3375" s="18"/>
    </row>
    <row r="3376" spans="16:16">
      <c r="P3376" s="18"/>
    </row>
    <row r="3377" spans="16:16">
      <c r="P3377" s="18"/>
    </row>
    <row r="3378" spans="16:16">
      <c r="P3378" s="18"/>
    </row>
    <row r="3379" spans="16:16">
      <c r="P3379" s="18"/>
    </row>
    <row r="3380" spans="16:16">
      <c r="P3380" s="18"/>
    </row>
    <row r="3381" spans="16:16">
      <c r="P3381" s="18"/>
    </row>
    <row r="3382" spans="16:16">
      <c r="P3382" s="18"/>
    </row>
    <row r="3383" spans="16:16">
      <c r="P3383" s="18"/>
    </row>
    <row r="3384" spans="16:16">
      <c r="P3384" s="18"/>
    </row>
    <row r="3385" spans="16:16">
      <c r="P3385" s="18"/>
    </row>
    <row r="3386" spans="16:16">
      <c r="P3386" s="18"/>
    </row>
    <row r="3387" spans="16:16">
      <c r="P3387" s="18"/>
    </row>
    <row r="3388" spans="16:16">
      <c r="P3388" s="18"/>
    </row>
    <row r="3389" spans="16:16">
      <c r="P3389" s="18"/>
    </row>
    <row r="3390" spans="16:16">
      <c r="P3390" s="18"/>
    </row>
    <row r="3391" spans="16:16">
      <c r="P3391" s="18"/>
    </row>
    <row r="3392" spans="16:16">
      <c r="P3392" s="18"/>
    </row>
    <row r="3393" spans="16:16">
      <c r="P3393" s="18"/>
    </row>
    <row r="3394" spans="16:16">
      <c r="P3394" s="18"/>
    </row>
    <row r="3395" spans="16:16">
      <c r="P3395" s="18"/>
    </row>
    <row r="3396" spans="16:16">
      <c r="P3396" s="18"/>
    </row>
    <row r="3397" spans="16:16">
      <c r="P3397" s="18"/>
    </row>
    <row r="3398" spans="16:16">
      <c r="P3398" s="18"/>
    </row>
    <row r="3399" spans="16:16">
      <c r="P3399" s="18"/>
    </row>
    <row r="3400" spans="16:16">
      <c r="P3400" s="18"/>
    </row>
    <row r="3401" spans="16:16">
      <c r="P3401" s="18"/>
    </row>
    <row r="3402" spans="16:16">
      <c r="P3402" s="18"/>
    </row>
    <row r="3403" spans="16:16">
      <c r="P3403" s="18"/>
    </row>
    <row r="3404" spans="16:16">
      <c r="P3404" s="18"/>
    </row>
    <row r="3405" spans="16:16">
      <c r="P3405" s="18"/>
    </row>
    <row r="3406" spans="16:16">
      <c r="P3406" s="18"/>
    </row>
    <row r="3407" spans="16:16">
      <c r="P3407" s="18"/>
    </row>
    <row r="3408" spans="16:16">
      <c r="P3408" s="18"/>
    </row>
    <row r="3409" spans="16:16">
      <c r="P3409" s="18"/>
    </row>
    <row r="3410" spans="16:16">
      <c r="P3410" s="18"/>
    </row>
    <row r="3411" spans="16:16">
      <c r="P3411" s="18"/>
    </row>
    <row r="3412" spans="16:16">
      <c r="P3412" s="18"/>
    </row>
    <row r="3413" spans="16:16">
      <c r="P3413" s="18"/>
    </row>
    <row r="3414" spans="16:16">
      <c r="P3414" s="18"/>
    </row>
    <row r="3415" spans="16:16">
      <c r="P3415" s="18"/>
    </row>
    <row r="3416" spans="16:16">
      <c r="P3416" s="18"/>
    </row>
    <row r="3417" spans="16:16">
      <c r="P3417" s="18"/>
    </row>
    <row r="3418" spans="16:16">
      <c r="P3418" s="18"/>
    </row>
    <row r="3419" spans="16:16">
      <c r="P3419" s="18"/>
    </row>
    <row r="3420" spans="16:16">
      <c r="P3420" s="18"/>
    </row>
    <row r="3421" spans="16:16">
      <c r="P3421" s="18"/>
    </row>
    <row r="3422" spans="16:16">
      <c r="P3422" s="18"/>
    </row>
    <row r="3423" spans="16:16">
      <c r="P3423" s="18"/>
    </row>
    <row r="3424" spans="16:16">
      <c r="P3424" s="18"/>
    </row>
    <row r="3425" spans="16:16">
      <c r="P3425" s="18"/>
    </row>
    <row r="3426" spans="16:16">
      <c r="P3426" s="18"/>
    </row>
    <row r="3427" spans="16:16">
      <c r="P3427" s="18"/>
    </row>
    <row r="3428" spans="16:16">
      <c r="P3428" s="18"/>
    </row>
    <row r="3429" spans="16:16">
      <c r="P3429" s="18"/>
    </row>
    <row r="3430" spans="16:16">
      <c r="P3430" s="18"/>
    </row>
    <row r="3431" spans="16:16">
      <c r="P3431" s="18"/>
    </row>
    <row r="3432" spans="16:16">
      <c r="P3432" s="18"/>
    </row>
    <row r="3433" spans="16:16">
      <c r="P3433" s="18"/>
    </row>
    <row r="3434" spans="16:16">
      <c r="P3434" s="18"/>
    </row>
    <row r="3435" spans="16:16">
      <c r="P3435" s="18"/>
    </row>
    <row r="3436" spans="16:16">
      <c r="P3436" s="18"/>
    </row>
    <row r="3437" spans="16:16">
      <c r="P3437" s="18"/>
    </row>
    <row r="3438" spans="16:16">
      <c r="P3438" s="18"/>
    </row>
    <row r="3439" spans="16:16">
      <c r="P3439" s="18"/>
    </row>
    <row r="3440" spans="16:16">
      <c r="P3440" s="18"/>
    </row>
    <row r="3441" spans="16:16">
      <c r="P3441" s="18"/>
    </row>
    <row r="3442" spans="16:16">
      <c r="P3442" s="18"/>
    </row>
    <row r="3443" spans="16:16">
      <c r="P3443" s="18"/>
    </row>
    <row r="3444" spans="16:16">
      <c r="P3444" s="18"/>
    </row>
    <row r="3445" spans="16:16">
      <c r="P3445" s="18"/>
    </row>
    <row r="3446" spans="16:16">
      <c r="P3446" s="18"/>
    </row>
    <row r="3447" spans="16:16">
      <c r="P3447" s="18"/>
    </row>
    <row r="3448" spans="16:16">
      <c r="P3448" s="18"/>
    </row>
    <row r="3449" spans="16:16">
      <c r="P3449" s="18"/>
    </row>
    <row r="3450" spans="16:16">
      <c r="P3450" s="18"/>
    </row>
    <row r="3451" spans="16:16">
      <c r="P3451" s="18"/>
    </row>
    <row r="3452" spans="16:16">
      <c r="P3452" s="18"/>
    </row>
    <row r="3453" spans="16:16">
      <c r="P3453" s="18"/>
    </row>
    <row r="3454" spans="16:16">
      <c r="P3454" s="18"/>
    </row>
    <row r="3455" spans="16:16">
      <c r="P3455" s="18"/>
    </row>
    <row r="3456" spans="16:16">
      <c r="P3456" s="18"/>
    </row>
    <row r="3457" spans="16:16">
      <c r="P3457" s="18"/>
    </row>
    <row r="3458" spans="16:16">
      <c r="P3458" s="18"/>
    </row>
    <row r="3459" spans="16:16">
      <c r="P3459" s="18"/>
    </row>
    <row r="3460" spans="16:16">
      <c r="P3460" s="18"/>
    </row>
    <row r="3461" spans="16:16">
      <c r="P3461" s="18"/>
    </row>
    <row r="3462" spans="16:16">
      <c r="P3462" s="18"/>
    </row>
    <row r="3463" spans="16:16">
      <c r="P3463" s="18"/>
    </row>
    <row r="3464" spans="16:16">
      <c r="P3464" s="18"/>
    </row>
    <row r="3465" spans="16:16">
      <c r="P3465" s="18"/>
    </row>
    <row r="3466" spans="16:16">
      <c r="P3466" s="18"/>
    </row>
    <row r="3467" spans="16:16">
      <c r="P3467" s="18"/>
    </row>
    <row r="3468" spans="16:16">
      <c r="P3468" s="18"/>
    </row>
    <row r="3469" spans="16:16">
      <c r="P3469" s="18"/>
    </row>
    <row r="3470" spans="16:16">
      <c r="P3470" s="18"/>
    </row>
    <row r="3471" spans="16:16">
      <c r="P3471" s="18"/>
    </row>
    <row r="3472" spans="16:16">
      <c r="P3472" s="18"/>
    </row>
    <row r="3473" spans="16:16">
      <c r="P3473" s="18"/>
    </row>
    <row r="3474" spans="16:16">
      <c r="P3474" s="18"/>
    </row>
    <row r="3475" spans="16:16">
      <c r="P3475" s="18"/>
    </row>
    <row r="3476" spans="16:16">
      <c r="P3476" s="18"/>
    </row>
    <row r="3477" spans="16:16">
      <c r="P3477" s="18"/>
    </row>
    <row r="3478" spans="16:16">
      <c r="P3478" s="18"/>
    </row>
    <row r="3479" spans="16:16">
      <c r="P3479" s="18"/>
    </row>
    <row r="3480" spans="16:16">
      <c r="P3480" s="18"/>
    </row>
    <row r="3481" spans="16:16">
      <c r="P3481" s="18"/>
    </row>
    <row r="3482" spans="16:16">
      <c r="P3482" s="18"/>
    </row>
    <row r="3483" spans="16:16">
      <c r="P3483" s="18"/>
    </row>
    <row r="3484" spans="16:16">
      <c r="P3484" s="18"/>
    </row>
    <row r="3485" spans="16:16">
      <c r="P3485" s="18"/>
    </row>
    <row r="3486" spans="16:16">
      <c r="P3486" s="18"/>
    </row>
    <row r="3487" spans="16:16">
      <c r="P3487" s="18"/>
    </row>
    <row r="3488" spans="16:16">
      <c r="P3488" s="18"/>
    </row>
    <row r="3489" spans="16:16">
      <c r="P3489" s="18"/>
    </row>
    <row r="3490" spans="16:16">
      <c r="P3490" s="18"/>
    </row>
    <row r="3491" spans="16:16">
      <c r="P3491" s="18"/>
    </row>
    <row r="3492" spans="16:16">
      <c r="P3492" s="18"/>
    </row>
    <row r="3493" spans="16:16">
      <c r="P3493" s="18"/>
    </row>
    <row r="3494" spans="16:16">
      <c r="P3494" s="18"/>
    </row>
    <row r="3495" spans="16:16">
      <c r="P3495" s="18"/>
    </row>
    <row r="3496" spans="16:16">
      <c r="P3496" s="18"/>
    </row>
    <row r="3497" spans="16:16">
      <c r="P3497" s="18"/>
    </row>
    <row r="3498" spans="16:16">
      <c r="P3498" s="18"/>
    </row>
    <row r="3499" spans="16:16">
      <c r="P3499" s="18"/>
    </row>
    <row r="3500" spans="16:16">
      <c r="P3500" s="18"/>
    </row>
    <row r="3501" spans="16:16">
      <c r="P3501" s="18"/>
    </row>
    <row r="3502" spans="16:16">
      <c r="P3502" s="18"/>
    </row>
    <row r="3503" spans="16:16">
      <c r="P3503" s="18"/>
    </row>
    <row r="3504" spans="16:16">
      <c r="P3504" s="18"/>
    </row>
    <row r="3505" spans="16:16">
      <c r="P3505" s="18"/>
    </row>
    <row r="3506" spans="16:16">
      <c r="P3506" s="18"/>
    </row>
    <row r="3507" spans="16:16">
      <c r="P3507" s="18"/>
    </row>
    <row r="3508" spans="16:16">
      <c r="P3508" s="18"/>
    </row>
    <row r="3509" spans="16:16">
      <c r="P3509" s="18"/>
    </row>
    <row r="3510" spans="16:16">
      <c r="P3510" s="18"/>
    </row>
    <row r="3511" spans="16:16">
      <c r="P3511" s="18"/>
    </row>
    <row r="3512" spans="16:16">
      <c r="P3512" s="18"/>
    </row>
    <row r="3513" spans="16:16">
      <c r="P3513" s="18"/>
    </row>
    <row r="3514" spans="16:16">
      <c r="P3514" s="18"/>
    </row>
    <row r="3515" spans="16:16">
      <c r="P3515" s="18"/>
    </row>
    <row r="3516" spans="16:16">
      <c r="P3516" s="18"/>
    </row>
    <row r="3517" spans="16:16">
      <c r="P3517" s="18"/>
    </row>
    <row r="3518" spans="16:16">
      <c r="P3518" s="18"/>
    </row>
    <row r="3519" spans="16:16">
      <c r="P3519" s="18"/>
    </row>
    <row r="3520" spans="16:16">
      <c r="P3520" s="18"/>
    </row>
    <row r="3521" spans="16:16">
      <c r="P3521" s="18"/>
    </row>
    <row r="3522" spans="16:16">
      <c r="P3522" s="18"/>
    </row>
    <row r="3523" spans="16:16">
      <c r="P3523" s="18"/>
    </row>
    <row r="3524" spans="16:16">
      <c r="P3524" s="18"/>
    </row>
    <row r="3525" spans="16:16">
      <c r="P3525" s="18"/>
    </row>
    <row r="3526" spans="16:16">
      <c r="P3526" s="18"/>
    </row>
    <row r="3527" spans="16:16">
      <c r="P3527" s="18"/>
    </row>
    <row r="3528" spans="16:16">
      <c r="P3528" s="18"/>
    </row>
    <row r="3529" spans="16:16">
      <c r="P3529" s="18"/>
    </row>
    <row r="3530" spans="16:16">
      <c r="P3530" s="18"/>
    </row>
    <row r="3531" spans="16:16">
      <c r="P3531" s="18"/>
    </row>
    <row r="3532" spans="16:16">
      <c r="P3532" s="18"/>
    </row>
    <row r="3533" spans="16:16">
      <c r="P3533" s="18"/>
    </row>
    <row r="3534" spans="16:16">
      <c r="P3534" s="18"/>
    </row>
    <row r="3535" spans="16:16">
      <c r="P3535" s="18"/>
    </row>
    <row r="3536" spans="16:16">
      <c r="P3536" s="18"/>
    </row>
    <row r="3537" spans="16:16">
      <c r="P3537" s="18"/>
    </row>
    <row r="3538" spans="16:16">
      <c r="P3538" s="18"/>
    </row>
    <row r="3539" spans="16:16">
      <c r="P3539" s="18"/>
    </row>
    <row r="3540" spans="16:16">
      <c r="P3540" s="18"/>
    </row>
    <row r="3541" spans="16:16">
      <c r="P3541" s="18"/>
    </row>
    <row r="3542" spans="16:16">
      <c r="P3542" s="18"/>
    </row>
    <row r="3543" spans="16:16">
      <c r="P3543" s="18"/>
    </row>
    <row r="3544" spans="16:16">
      <c r="P3544" s="18"/>
    </row>
    <row r="3545" spans="16:16">
      <c r="P3545" s="18"/>
    </row>
    <row r="3546" spans="16:16">
      <c r="P3546" s="18"/>
    </row>
    <row r="3547" spans="16:16">
      <c r="P3547" s="18"/>
    </row>
    <row r="3548" spans="16:16">
      <c r="P3548" s="18"/>
    </row>
    <row r="3549" spans="16:16">
      <c r="P3549" s="18"/>
    </row>
    <row r="3550" spans="16:16">
      <c r="P3550" s="18"/>
    </row>
    <row r="3551" spans="16:16">
      <c r="P3551" s="18"/>
    </row>
    <row r="3552" spans="16:16">
      <c r="P3552" s="18"/>
    </row>
    <row r="3553" spans="16:16">
      <c r="P3553" s="18"/>
    </row>
    <row r="3554" spans="16:16">
      <c r="P3554" s="18"/>
    </row>
    <row r="3555" spans="16:16">
      <c r="P3555" s="18"/>
    </row>
    <row r="3556" spans="16:16">
      <c r="P3556" s="18"/>
    </row>
    <row r="3557" spans="16:16">
      <c r="P3557" s="18"/>
    </row>
    <row r="3558" spans="16:16">
      <c r="P3558" s="18"/>
    </row>
    <row r="3559" spans="16:16">
      <c r="P3559" s="18"/>
    </row>
    <row r="3560" spans="16:16">
      <c r="P3560" s="18"/>
    </row>
    <row r="3561" spans="16:16">
      <c r="P3561" s="18"/>
    </row>
    <row r="3562" spans="16:16">
      <c r="P3562" s="18"/>
    </row>
    <row r="3563" spans="16:16">
      <c r="P3563" s="18"/>
    </row>
    <row r="3564" spans="16:16">
      <c r="P3564" s="18"/>
    </row>
    <row r="3565" spans="16:16">
      <c r="P3565" s="18"/>
    </row>
    <row r="3566" spans="16:16">
      <c r="P3566" s="18"/>
    </row>
    <row r="3567" spans="16:16">
      <c r="P3567" s="18"/>
    </row>
    <row r="3568" spans="16:16">
      <c r="P3568" s="18"/>
    </row>
    <row r="3569" spans="16:16">
      <c r="P3569" s="18"/>
    </row>
    <row r="3570" spans="16:16">
      <c r="P3570" s="18"/>
    </row>
    <row r="3571" spans="16:16">
      <c r="P3571" s="18"/>
    </row>
    <row r="3572" spans="16:16">
      <c r="P3572" s="18"/>
    </row>
    <row r="3573" spans="16:16">
      <c r="P3573" s="18"/>
    </row>
    <row r="3574" spans="16:16">
      <c r="P3574" s="18"/>
    </row>
    <row r="3575" spans="16:16">
      <c r="P3575" s="18"/>
    </row>
    <row r="3576" spans="16:16">
      <c r="P3576" s="18"/>
    </row>
    <row r="3577" spans="16:16">
      <c r="P3577" s="18"/>
    </row>
    <row r="3578" spans="16:16">
      <c r="P3578" s="18"/>
    </row>
    <row r="3579" spans="16:16">
      <c r="P3579" s="18"/>
    </row>
    <row r="3580" spans="16:16">
      <c r="P3580" s="18"/>
    </row>
    <row r="3581" spans="16:16">
      <c r="P3581" s="18"/>
    </row>
    <row r="3582" spans="16:16">
      <c r="P3582" s="18"/>
    </row>
    <row r="3583" spans="16:16">
      <c r="P3583" s="18"/>
    </row>
    <row r="3584" spans="16:16">
      <c r="P3584" s="18"/>
    </row>
    <row r="3585" spans="16:16">
      <c r="P3585" s="18"/>
    </row>
    <row r="3586" spans="16:16">
      <c r="P3586" s="18"/>
    </row>
    <row r="3587" spans="16:16">
      <c r="P3587" s="18"/>
    </row>
    <row r="3588" spans="16:16">
      <c r="P3588" s="18"/>
    </row>
    <row r="3589" spans="16:16">
      <c r="P3589" s="18"/>
    </row>
    <row r="3590" spans="16:16">
      <c r="P3590" s="18"/>
    </row>
    <row r="3591" spans="16:16">
      <c r="P3591" s="18"/>
    </row>
    <row r="3592" spans="16:16">
      <c r="P3592" s="18"/>
    </row>
    <row r="3593" spans="16:16">
      <c r="P3593" s="18"/>
    </row>
    <row r="3594" spans="16:16">
      <c r="P3594" s="18"/>
    </row>
    <row r="3595" spans="16:16">
      <c r="P3595" s="18"/>
    </row>
    <row r="3596" spans="16:16">
      <c r="P3596" s="18"/>
    </row>
    <row r="3597" spans="16:16">
      <c r="P3597" s="18"/>
    </row>
    <row r="3598" spans="16:16">
      <c r="P3598" s="18"/>
    </row>
    <row r="3599" spans="16:16">
      <c r="P3599" s="18"/>
    </row>
    <row r="3600" spans="16:16">
      <c r="P3600" s="18"/>
    </row>
    <row r="3601" spans="16:16">
      <c r="P3601" s="18"/>
    </row>
    <row r="3602" spans="16:16">
      <c r="P3602" s="18"/>
    </row>
    <row r="3603" spans="16:16">
      <c r="P3603" s="18"/>
    </row>
    <row r="3604" spans="16:16">
      <c r="P3604" s="18"/>
    </row>
    <row r="3605" spans="16:16">
      <c r="P3605" s="18"/>
    </row>
    <row r="3606" spans="16:16">
      <c r="P3606" s="18"/>
    </row>
    <row r="3607" spans="16:16">
      <c r="P3607" s="18"/>
    </row>
    <row r="3608" spans="16:16">
      <c r="P3608" s="18"/>
    </row>
    <row r="3609" spans="16:16">
      <c r="P3609" s="18"/>
    </row>
    <row r="3610" spans="16:16">
      <c r="P3610" s="18"/>
    </row>
    <row r="3611" spans="16:16">
      <c r="P3611" s="18"/>
    </row>
    <row r="3612" spans="16:16">
      <c r="P3612" s="18"/>
    </row>
    <row r="3613" spans="16:16">
      <c r="P3613" s="18"/>
    </row>
    <row r="3614" spans="16:16">
      <c r="P3614" s="18"/>
    </row>
    <row r="3615" spans="16:16">
      <c r="P3615" s="18"/>
    </row>
    <row r="3616" spans="16:16">
      <c r="P3616" s="18"/>
    </row>
    <row r="3617" spans="16:16">
      <c r="P3617" s="18"/>
    </row>
    <row r="3618" spans="16:16">
      <c r="P3618" s="18"/>
    </row>
    <row r="3619" spans="16:16">
      <c r="P3619" s="18"/>
    </row>
    <row r="3620" spans="16:16">
      <c r="P3620" s="18"/>
    </row>
    <row r="3621" spans="16:16">
      <c r="P3621" s="18"/>
    </row>
    <row r="3622" spans="16:16">
      <c r="P3622" s="18"/>
    </row>
    <row r="3623" spans="16:16">
      <c r="P3623" s="18"/>
    </row>
    <row r="3624" spans="16:16">
      <c r="P3624" s="18"/>
    </row>
    <row r="3625" spans="16:16">
      <c r="P3625" s="18"/>
    </row>
    <row r="3626" spans="16:16">
      <c r="P3626" s="18"/>
    </row>
    <row r="3627" spans="16:16">
      <c r="P3627" s="18"/>
    </row>
    <row r="3628" spans="16:16">
      <c r="P3628" s="18"/>
    </row>
    <row r="3629" spans="16:16">
      <c r="P3629" s="18"/>
    </row>
    <row r="3630" spans="16:16">
      <c r="P3630" s="18"/>
    </row>
    <row r="3631" spans="16:16">
      <c r="P3631" s="18"/>
    </row>
    <row r="3632" spans="16:16">
      <c r="P3632" s="18"/>
    </row>
    <row r="3633" spans="16:16">
      <c r="P3633" s="18"/>
    </row>
    <row r="3634" spans="16:16">
      <c r="P3634" s="18"/>
    </row>
    <row r="3635" spans="16:16">
      <c r="P3635" s="18"/>
    </row>
    <row r="3636" spans="16:16">
      <c r="P3636" s="18"/>
    </row>
    <row r="3637" spans="16:16">
      <c r="P3637" s="18"/>
    </row>
    <row r="3638" spans="16:16">
      <c r="P3638" s="18"/>
    </row>
    <row r="3639" spans="16:16">
      <c r="P3639" s="18"/>
    </row>
    <row r="3640" spans="16:16">
      <c r="P3640" s="18"/>
    </row>
    <row r="3641" spans="16:16">
      <c r="P3641" s="18"/>
    </row>
    <row r="3642" spans="16:16">
      <c r="P3642" s="18"/>
    </row>
    <row r="3643" spans="16:16">
      <c r="P3643" s="18"/>
    </row>
    <row r="3644" spans="16:16">
      <c r="P3644" s="18"/>
    </row>
    <row r="3645" spans="16:16">
      <c r="P3645" s="18"/>
    </row>
    <row r="3646" spans="16:16">
      <c r="P3646" s="18"/>
    </row>
    <row r="3647" spans="16:16">
      <c r="P3647" s="18"/>
    </row>
    <row r="3648" spans="16:16">
      <c r="P3648" s="18"/>
    </row>
    <row r="3649" spans="16:16">
      <c r="P3649" s="18"/>
    </row>
    <row r="3650" spans="16:16">
      <c r="P3650" s="18"/>
    </row>
    <row r="3651" spans="16:16">
      <c r="P3651" s="18"/>
    </row>
    <row r="3652" spans="16:16">
      <c r="P3652" s="18"/>
    </row>
    <row r="3653" spans="16:16">
      <c r="P3653" s="18"/>
    </row>
    <row r="3654" spans="16:16">
      <c r="P3654" s="18"/>
    </row>
    <row r="3655" spans="16:16">
      <c r="P3655" s="18"/>
    </row>
    <row r="3656" spans="16:16">
      <c r="P3656" s="18"/>
    </row>
    <row r="3657" spans="16:16">
      <c r="P3657" s="18"/>
    </row>
    <row r="3658" spans="16:16">
      <c r="P3658" s="18"/>
    </row>
    <row r="3659" spans="16:16">
      <c r="P3659" s="18"/>
    </row>
    <row r="3660" spans="16:16">
      <c r="P3660" s="18"/>
    </row>
    <row r="3661" spans="16:16">
      <c r="P3661" s="18"/>
    </row>
    <row r="3662" spans="16:16">
      <c r="P3662" s="18"/>
    </row>
    <row r="3663" spans="16:16">
      <c r="P3663" s="18"/>
    </row>
    <row r="3664" spans="16:16">
      <c r="P3664" s="18"/>
    </row>
    <row r="3665" spans="16:16">
      <c r="P3665" s="18"/>
    </row>
    <row r="3666" spans="16:16">
      <c r="P3666" s="18"/>
    </row>
    <row r="3667" spans="16:16">
      <c r="P3667" s="18"/>
    </row>
    <row r="3668" spans="16:16">
      <c r="P3668" s="18"/>
    </row>
    <row r="3669" spans="16:16">
      <c r="P3669" s="18"/>
    </row>
    <row r="3670" spans="16:16">
      <c r="P3670" s="18"/>
    </row>
    <row r="3671" spans="16:16">
      <c r="P3671" s="18"/>
    </row>
    <row r="3672" spans="16:16">
      <c r="P3672" s="18"/>
    </row>
    <row r="3673" spans="16:16">
      <c r="P3673" s="18"/>
    </row>
    <row r="3674" spans="16:16">
      <c r="P3674" s="18"/>
    </row>
    <row r="3675" spans="16:16">
      <c r="P3675" s="18"/>
    </row>
    <row r="3676" spans="16:16">
      <c r="P3676" s="18"/>
    </row>
    <row r="3677" spans="16:16">
      <c r="P3677" s="18"/>
    </row>
    <row r="3678" spans="16:16">
      <c r="P3678" s="18"/>
    </row>
    <row r="3679" spans="16:16">
      <c r="P3679" s="18"/>
    </row>
    <row r="3680" spans="16:16">
      <c r="P3680" s="18"/>
    </row>
    <row r="3681" spans="16:16">
      <c r="P3681" s="18"/>
    </row>
    <row r="3682" spans="16:16">
      <c r="P3682" s="18"/>
    </row>
    <row r="3683" spans="16:16">
      <c r="P3683" s="18"/>
    </row>
    <row r="3684" spans="16:16">
      <c r="P3684" s="18"/>
    </row>
    <row r="3685" spans="16:16">
      <c r="P3685" s="18"/>
    </row>
    <row r="3686" spans="16:16">
      <c r="P3686" s="18"/>
    </row>
    <row r="3687" spans="16:16">
      <c r="P3687" s="18"/>
    </row>
    <row r="3688" spans="16:16">
      <c r="P3688" s="18"/>
    </row>
    <row r="3689" spans="16:16">
      <c r="P3689" s="18"/>
    </row>
    <row r="3690" spans="16:16">
      <c r="P3690" s="18"/>
    </row>
    <row r="3691" spans="16:16">
      <c r="P3691" s="18"/>
    </row>
    <row r="3692" spans="16:16">
      <c r="P3692" s="18"/>
    </row>
    <row r="3693" spans="16:16">
      <c r="P3693" s="18"/>
    </row>
    <row r="3694" spans="16:16">
      <c r="P3694" s="18"/>
    </row>
    <row r="3695" spans="16:16">
      <c r="P3695" s="18"/>
    </row>
    <row r="3696" spans="16:16">
      <c r="P3696" s="18"/>
    </row>
    <row r="3697" spans="16:16">
      <c r="P3697" s="18"/>
    </row>
    <row r="3698" spans="16:16">
      <c r="P3698" s="18"/>
    </row>
    <row r="3699" spans="16:16">
      <c r="P3699" s="18"/>
    </row>
    <row r="3700" spans="16:16">
      <c r="P3700" s="18"/>
    </row>
    <row r="3701" spans="16:16">
      <c r="P3701" s="18"/>
    </row>
    <row r="3702" spans="16:16">
      <c r="P3702" s="18"/>
    </row>
    <row r="3703" spans="16:16">
      <c r="P3703" s="18"/>
    </row>
    <row r="3704" spans="16:16">
      <c r="P3704" s="18"/>
    </row>
    <row r="3705" spans="16:16">
      <c r="P3705" s="18"/>
    </row>
    <row r="3706" spans="16:16">
      <c r="P3706" s="18"/>
    </row>
    <row r="3707" spans="16:16">
      <c r="P3707" s="18"/>
    </row>
    <row r="3708" spans="16:16">
      <c r="P3708" s="18"/>
    </row>
    <row r="3709" spans="16:16">
      <c r="P3709" s="18"/>
    </row>
    <row r="3710" spans="16:16">
      <c r="P3710" s="18"/>
    </row>
    <row r="3711" spans="16:16">
      <c r="P3711" s="18"/>
    </row>
    <row r="3712" spans="16:16">
      <c r="P3712" s="18"/>
    </row>
    <row r="3713" spans="16:16">
      <c r="P3713" s="18"/>
    </row>
    <row r="3714" spans="16:16">
      <c r="P3714" s="18"/>
    </row>
    <row r="3715" spans="16:16">
      <c r="P3715" s="18"/>
    </row>
    <row r="3716" spans="16:16">
      <c r="P3716" s="18"/>
    </row>
    <row r="3717" spans="16:16">
      <c r="P3717" s="18"/>
    </row>
    <row r="3718" spans="16:16">
      <c r="P3718" s="18"/>
    </row>
    <row r="3719" spans="16:16">
      <c r="P3719" s="18"/>
    </row>
    <row r="3720" spans="16:16">
      <c r="P3720" s="18"/>
    </row>
    <row r="3721" spans="16:16">
      <c r="P3721" s="18"/>
    </row>
    <row r="3722" spans="16:16">
      <c r="P3722" s="18"/>
    </row>
    <row r="3723" spans="16:16">
      <c r="P3723" s="18"/>
    </row>
    <row r="3724" spans="16:16">
      <c r="P3724" s="18"/>
    </row>
    <row r="3725" spans="16:16">
      <c r="P3725" s="18"/>
    </row>
    <row r="3726" spans="16:16">
      <c r="P3726" s="18"/>
    </row>
    <row r="3727" spans="16:16">
      <c r="P3727" s="18"/>
    </row>
    <row r="3728" spans="16:16">
      <c r="P3728" s="18"/>
    </row>
    <row r="3729" spans="16:16">
      <c r="P3729" s="18"/>
    </row>
    <row r="3730" spans="16:16">
      <c r="P3730" s="18"/>
    </row>
    <row r="3731" spans="16:16">
      <c r="P3731" s="18"/>
    </row>
    <row r="3732" spans="16:16">
      <c r="P3732" s="18"/>
    </row>
    <row r="3733" spans="16:16">
      <c r="P3733" s="18"/>
    </row>
    <row r="3734" spans="16:16">
      <c r="P3734" s="18"/>
    </row>
    <row r="3735" spans="16:16">
      <c r="P3735" s="18"/>
    </row>
    <row r="3736" spans="16:16">
      <c r="P3736" s="18"/>
    </row>
    <row r="3737" spans="16:16">
      <c r="P3737" s="18"/>
    </row>
    <row r="3738" spans="16:16">
      <c r="P3738" s="18"/>
    </row>
    <row r="3739" spans="16:16">
      <c r="P3739" s="18"/>
    </row>
    <row r="3740" spans="16:16">
      <c r="P3740" s="18"/>
    </row>
    <row r="3741" spans="16:16">
      <c r="P3741" s="18"/>
    </row>
    <row r="3742" spans="16:16">
      <c r="P3742" s="18"/>
    </row>
    <row r="3743" spans="16:16">
      <c r="P3743" s="18"/>
    </row>
    <row r="3744" spans="16:16">
      <c r="P3744" s="18"/>
    </row>
    <row r="3745" spans="16:16">
      <c r="P3745" s="18"/>
    </row>
    <row r="3746" spans="16:16">
      <c r="P3746" s="18"/>
    </row>
    <row r="3747" spans="16:16">
      <c r="P3747" s="18"/>
    </row>
    <row r="3748" spans="16:16">
      <c r="P3748" s="18"/>
    </row>
    <row r="3749" spans="16:16">
      <c r="P3749" s="18"/>
    </row>
    <row r="3750" spans="16:16">
      <c r="P3750" s="18"/>
    </row>
    <row r="3751" spans="16:16">
      <c r="P3751" s="18"/>
    </row>
    <row r="3752" spans="16:16">
      <c r="P3752" s="18"/>
    </row>
    <row r="3753" spans="16:16">
      <c r="P3753" s="18"/>
    </row>
    <row r="3754" spans="16:16">
      <c r="P3754" s="18"/>
    </row>
    <row r="3755" spans="16:16">
      <c r="P3755" s="18"/>
    </row>
    <row r="3756" spans="16:16">
      <c r="P3756" s="18"/>
    </row>
    <row r="3757" spans="16:16">
      <c r="P3757" s="18"/>
    </row>
    <row r="3758" spans="16:16">
      <c r="P3758" s="18"/>
    </row>
    <row r="3759" spans="16:16">
      <c r="P3759" s="18"/>
    </row>
    <row r="3760" spans="16:16">
      <c r="P3760" s="18"/>
    </row>
    <row r="3761" spans="16:16">
      <c r="P3761" s="18"/>
    </row>
    <row r="3762" spans="16:16">
      <c r="P3762" s="18"/>
    </row>
    <row r="3763" spans="16:16">
      <c r="P3763" s="18"/>
    </row>
    <row r="3764" spans="16:16">
      <c r="P3764" s="18"/>
    </row>
    <row r="3765" spans="16:16">
      <c r="P3765" s="18"/>
    </row>
    <row r="3766" spans="16:16">
      <c r="P3766" s="18"/>
    </row>
    <row r="3767" spans="16:16">
      <c r="P3767" s="18"/>
    </row>
    <row r="3768" spans="16:16">
      <c r="P3768" s="18"/>
    </row>
    <row r="3769" spans="16:16">
      <c r="P3769" s="18"/>
    </row>
    <row r="3770" spans="16:16">
      <c r="P3770" s="18"/>
    </row>
    <row r="3771" spans="16:16">
      <c r="P3771" s="18"/>
    </row>
    <row r="3772" spans="16:16">
      <c r="P3772" s="18"/>
    </row>
    <row r="3773" spans="16:16">
      <c r="P3773" s="18"/>
    </row>
    <row r="3774" spans="16:16">
      <c r="P3774" s="18"/>
    </row>
    <row r="3775" spans="16:16">
      <c r="P3775" s="18"/>
    </row>
    <row r="3776" spans="16:16">
      <c r="P3776" s="18"/>
    </row>
    <row r="3777" spans="16:16">
      <c r="P3777" s="18"/>
    </row>
    <row r="3778" spans="16:16">
      <c r="P3778" s="18"/>
    </row>
    <row r="3779" spans="16:16">
      <c r="P3779" s="18"/>
    </row>
    <row r="3780" spans="16:16">
      <c r="P3780" s="18"/>
    </row>
    <row r="3781" spans="16:16">
      <c r="P3781" s="18"/>
    </row>
    <row r="3782" spans="16:16">
      <c r="P3782" s="18"/>
    </row>
    <row r="3783" spans="16:16">
      <c r="P3783" s="18"/>
    </row>
    <row r="3784" spans="16:16">
      <c r="P3784" s="18"/>
    </row>
    <row r="3785" spans="16:16">
      <c r="P3785" s="18"/>
    </row>
    <row r="3786" spans="16:16">
      <c r="P3786" s="18"/>
    </row>
    <row r="3787" spans="16:16">
      <c r="P3787" s="18"/>
    </row>
    <row r="3788" spans="16:16">
      <c r="P3788" s="18"/>
    </row>
    <row r="3789" spans="16:16">
      <c r="P3789" s="18"/>
    </row>
    <row r="3790" spans="16:16">
      <c r="P3790" s="18"/>
    </row>
    <row r="3791" spans="16:16">
      <c r="P3791" s="18"/>
    </row>
    <row r="3792" spans="16:16">
      <c r="P3792" s="18"/>
    </row>
    <row r="3793" spans="16:16">
      <c r="P3793" s="18"/>
    </row>
    <row r="3794" spans="16:16">
      <c r="P3794" s="18"/>
    </row>
    <row r="3795" spans="16:16">
      <c r="P3795" s="18"/>
    </row>
    <row r="3796" spans="16:16">
      <c r="P3796" s="18"/>
    </row>
    <row r="3797" spans="16:16">
      <c r="P3797" s="18"/>
    </row>
    <row r="3798" spans="16:16">
      <c r="P3798" s="18"/>
    </row>
    <row r="3799" spans="16:16">
      <c r="P3799" s="18"/>
    </row>
    <row r="3800" spans="16:16">
      <c r="P3800" s="18"/>
    </row>
    <row r="3801" spans="16:16">
      <c r="P3801" s="18"/>
    </row>
    <row r="3802" spans="16:16">
      <c r="P3802" s="18"/>
    </row>
    <row r="3803" spans="16:16">
      <c r="P3803" s="18"/>
    </row>
    <row r="3804" spans="16:16">
      <c r="P3804" s="18"/>
    </row>
    <row r="3805" spans="16:16">
      <c r="P3805" s="18"/>
    </row>
    <row r="3806" spans="16:16">
      <c r="P3806" s="18"/>
    </row>
    <row r="3807" spans="16:16">
      <c r="P3807" s="18"/>
    </row>
    <row r="3808" spans="16:16">
      <c r="P3808" s="18"/>
    </row>
    <row r="3809" spans="16:16">
      <c r="P3809" s="18"/>
    </row>
    <row r="3810" spans="16:16">
      <c r="P3810" s="18"/>
    </row>
    <row r="3811" spans="16:16">
      <c r="P3811" s="18"/>
    </row>
    <row r="3812" spans="16:16">
      <c r="P3812" s="18"/>
    </row>
    <row r="3813" spans="16:16">
      <c r="P3813" s="18"/>
    </row>
    <row r="3814" spans="16:16">
      <c r="P3814" s="18"/>
    </row>
    <row r="3815" spans="16:16">
      <c r="P3815" s="18"/>
    </row>
    <row r="3816" spans="16:16">
      <c r="P3816" s="18"/>
    </row>
    <row r="3817" spans="16:16">
      <c r="P3817" s="18"/>
    </row>
    <row r="3818" spans="16:16">
      <c r="P3818" s="18"/>
    </row>
    <row r="3819" spans="16:16">
      <c r="P3819" s="18"/>
    </row>
    <row r="3820" spans="16:16">
      <c r="P3820" s="18"/>
    </row>
    <row r="3821" spans="16:16">
      <c r="P3821" s="18"/>
    </row>
    <row r="3822" spans="16:16">
      <c r="P3822" s="18"/>
    </row>
    <row r="3823" spans="16:16">
      <c r="P3823" s="18"/>
    </row>
    <row r="3824" spans="16:16">
      <c r="P3824" s="18"/>
    </row>
    <row r="3825" spans="16:16">
      <c r="P3825" s="18"/>
    </row>
    <row r="3826" spans="16:16">
      <c r="P3826" s="18"/>
    </row>
    <row r="3827" spans="16:16">
      <c r="P3827" s="18"/>
    </row>
    <row r="3828" spans="16:16">
      <c r="P3828" s="18"/>
    </row>
    <row r="3829" spans="16:16">
      <c r="P3829" s="18"/>
    </row>
    <row r="3830" spans="16:16">
      <c r="P3830" s="18"/>
    </row>
    <row r="3831" spans="16:16">
      <c r="P3831" s="18"/>
    </row>
    <row r="3832" spans="16:16">
      <c r="P3832" s="18"/>
    </row>
    <row r="3833" spans="16:16">
      <c r="P3833" s="18"/>
    </row>
    <row r="3834" spans="16:16">
      <c r="P3834" s="18"/>
    </row>
    <row r="3835" spans="16:16">
      <c r="P3835" s="18"/>
    </row>
    <row r="3836" spans="16:16">
      <c r="P3836" s="18"/>
    </row>
    <row r="3837" spans="16:16">
      <c r="P3837" s="18"/>
    </row>
    <row r="3838" spans="16:16">
      <c r="P3838" s="18"/>
    </row>
    <row r="3839" spans="16:16">
      <c r="P3839" s="18"/>
    </row>
    <row r="3840" spans="16:16">
      <c r="P3840" s="18"/>
    </row>
    <row r="3841" spans="16:16">
      <c r="P3841" s="18"/>
    </row>
    <row r="3842" spans="16:16">
      <c r="P3842" s="18"/>
    </row>
    <row r="3843" spans="16:16">
      <c r="P3843" s="18"/>
    </row>
    <row r="3844" spans="16:16">
      <c r="P3844" s="18"/>
    </row>
    <row r="3845" spans="16:16">
      <c r="P3845" s="18"/>
    </row>
    <row r="3846" spans="16:16">
      <c r="P3846" s="18"/>
    </row>
    <row r="3847" spans="16:16">
      <c r="P3847" s="18"/>
    </row>
    <row r="3848" spans="16:16">
      <c r="P3848" s="18"/>
    </row>
    <row r="3849" spans="16:16">
      <c r="P3849" s="18"/>
    </row>
    <row r="3850" spans="16:16">
      <c r="P3850" s="18"/>
    </row>
    <row r="3851" spans="16:16">
      <c r="P3851" s="18"/>
    </row>
    <row r="3852" spans="16:16">
      <c r="P3852" s="18"/>
    </row>
    <row r="3853" spans="16:16">
      <c r="P3853" s="18"/>
    </row>
    <row r="3854" spans="16:16">
      <c r="P3854" s="18"/>
    </row>
    <row r="3855" spans="16:16">
      <c r="P3855" s="18"/>
    </row>
    <row r="3856" spans="16:16">
      <c r="P3856" s="18"/>
    </row>
    <row r="3857" spans="16:16">
      <c r="P3857" s="18"/>
    </row>
    <row r="3858" spans="16:16">
      <c r="P3858" s="18"/>
    </row>
    <row r="3859" spans="16:16">
      <c r="P3859" s="18"/>
    </row>
    <row r="3860" spans="16:16">
      <c r="P3860" s="18"/>
    </row>
    <row r="3861" spans="16:16">
      <c r="P3861" s="18"/>
    </row>
    <row r="3862" spans="16:16">
      <c r="P3862" s="18"/>
    </row>
    <row r="3863" spans="16:16">
      <c r="P3863" s="18"/>
    </row>
    <row r="3864" spans="16:16">
      <c r="P3864" s="18"/>
    </row>
    <row r="3865" spans="16:16">
      <c r="P3865" s="18"/>
    </row>
    <row r="3866" spans="16:16">
      <c r="P3866" s="18"/>
    </row>
    <row r="3867" spans="16:16">
      <c r="P3867" s="18"/>
    </row>
    <row r="3868" spans="16:16">
      <c r="P3868" s="18"/>
    </row>
    <row r="3869" spans="16:16">
      <c r="P3869" s="18"/>
    </row>
    <row r="3870" spans="16:16">
      <c r="P3870" s="18"/>
    </row>
    <row r="3871" spans="16:16">
      <c r="P3871" s="18"/>
    </row>
    <row r="3872" spans="16:16">
      <c r="P3872" s="18"/>
    </row>
    <row r="3873" spans="16:16">
      <c r="P3873" s="18"/>
    </row>
    <row r="3874" spans="16:16">
      <c r="P3874" s="18"/>
    </row>
    <row r="3875" spans="16:16">
      <c r="P3875" s="18"/>
    </row>
    <row r="3876" spans="16:16">
      <c r="P3876" s="18"/>
    </row>
    <row r="3877" spans="16:16">
      <c r="P3877" s="18"/>
    </row>
    <row r="3878" spans="16:16">
      <c r="P3878" s="18"/>
    </row>
    <row r="3879" spans="16:16">
      <c r="P3879" s="18"/>
    </row>
    <row r="3880" spans="16:16">
      <c r="P3880" s="18"/>
    </row>
    <row r="3881" spans="16:16">
      <c r="P3881" s="18"/>
    </row>
    <row r="3882" spans="16:16">
      <c r="P3882" s="18"/>
    </row>
    <row r="3883" spans="16:16">
      <c r="P3883" s="18"/>
    </row>
    <row r="3884" spans="16:16">
      <c r="P3884" s="18"/>
    </row>
    <row r="3885" spans="16:16">
      <c r="P3885" s="18"/>
    </row>
    <row r="3886" spans="16:16">
      <c r="P3886" s="18"/>
    </row>
    <row r="3887" spans="16:16">
      <c r="P3887" s="18"/>
    </row>
    <row r="3888" spans="16:16">
      <c r="P3888" s="18"/>
    </row>
    <row r="3889" spans="16:16">
      <c r="P3889" s="18"/>
    </row>
    <row r="3890" spans="16:16">
      <c r="P3890" s="18"/>
    </row>
    <row r="3891" spans="16:16">
      <c r="P3891" s="18"/>
    </row>
    <row r="3892" spans="16:16">
      <c r="P3892" s="18"/>
    </row>
    <row r="3893" spans="16:16">
      <c r="P3893" s="18"/>
    </row>
    <row r="3894" spans="16:16">
      <c r="P3894" s="18"/>
    </row>
    <row r="3895" spans="16:16">
      <c r="P3895" s="18"/>
    </row>
    <row r="3896" spans="16:16">
      <c r="P3896" s="18"/>
    </row>
    <row r="3897" spans="16:16">
      <c r="P3897" s="18"/>
    </row>
    <row r="3898" spans="16:16">
      <c r="P3898" s="18"/>
    </row>
    <row r="3899" spans="16:16">
      <c r="P3899" s="18"/>
    </row>
    <row r="3900" spans="16:16">
      <c r="P3900" s="18"/>
    </row>
    <row r="3901" spans="16:16">
      <c r="P3901" s="18"/>
    </row>
    <row r="3902" spans="16:16">
      <c r="P3902" s="18"/>
    </row>
    <row r="3903" spans="16:16">
      <c r="P3903" s="18"/>
    </row>
    <row r="3904" spans="16:16">
      <c r="P3904" s="18"/>
    </row>
    <row r="3905" spans="16:16">
      <c r="P3905" s="18"/>
    </row>
    <row r="3906" spans="16:16">
      <c r="P3906" s="18"/>
    </row>
    <row r="3907" spans="16:16">
      <c r="P3907" s="18"/>
    </row>
    <row r="3908" spans="16:16">
      <c r="P3908" s="18"/>
    </row>
    <row r="3909" spans="16:16">
      <c r="P3909" s="18"/>
    </row>
    <row r="3910" spans="16:16">
      <c r="P3910" s="18"/>
    </row>
    <row r="3911" spans="16:16">
      <c r="P3911" s="18"/>
    </row>
    <row r="3912" spans="16:16">
      <c r="P3912" s="18"/>
    </row>
    <row r="3913" spans="16:16">
      <c r="P3913" s="18"/>
    </row>
    <row r="3914" spans="16:16">
      <c r="P3914" s="18"/>
    </row>
    <row r="3915" spans="16:16">
      <c r="P3915" s="18"/>
    </row>
    <row r="3916" spans="16:16">
      <c r="P3916" s="18"/>
    </row>
    <row r="3917" spans="16:16">
      <c r="P3917" s="18"/>
    </row>
    <row r="3918" spans="16:16">
      <c r="P3918" s="18"/>
    </row>
    <row r="3919" spans="16:16">
      <c r="P3919" s="18"/>
    </row>
    <row r="3920" spans="16:16">
      <c r="P3920" s="18"/>
    </row>
    <row r="3921" spans="16:16">
      <c r="P3921" s="18"/>
    </row>
    <row r="3922" spans="16:16">
      <c r="P3922" s="18"/>
    </row>
    <row r="3923" spans="16:16">
      <c r="P3923" s="18"/>
    </row>
    <row r="3924" spans="16:16">
      <c r="P3924" s="18"/>
    </row>
    <row r="3925" spans="16:16">
      <c r="P3925" s="18"/>
    </row>
    <row r="3926" spans="16:16">
      <c r="P3926" s="18"/>
    </row>
    <row r="3927" spans="16:16">
      <c r="P3927" s="18"/>
    </row>
    <row r="3928" spans="16:16">
      <c r="P3928" s="18"/>
    </row>
    <row r="3929" spans="16:16">
      <c r="P3929" s="18"/>
    </row>
    <row r="3930" spans="16:16">
      <c r="P3930" s="18"/>
    </row>
    <row r="3931" spans="16:16">
      <c r="P3931" s="18"/>
    </row>
    <row r="3932" spans="16:16">
      <c r="P3932" s="18"/>
    </row>
    <row r="3933" spans="16:16">
      <c r="P3933" s="18"/>
    </row>
    <row r="3934" spans="16:16">
      <c r="P3934" s="18"/>
    </row>
    <row r="3935" spans="16:16">
      <c r="P3935" s="18"/>
    </row>
    <row r="3936" spans="16:16">
      <c r="P3936" s="18"/>
    </row>
    <row r="3937" spans="16:16">
      <c r="P3937" s="18"/>
    </row>
    <row r="3938" spans="16:16">
      <c r="P3938" s="18"/>
    </row>
    <row r="3939" spans="16:16">
      <c r="P3939" s="18"/>
    </row>
    <row r="3940" spans="16:16">
      <c r="P3940" s="18"/>
    </row>
    <row r="3941" spans="16:16">
      <c r="P3941" s="18"/>
    </row>
    <row r="3942" spans="16:16">
      <c r="P3942" s="18"/>
    </row>
    <row r="3943" spans="16:16">
      <c r="P3943" s="18"/>
    </row>
    <row r="3944" spans="16:16">
      <c r="P3944" s="18"/>
    </row>
    <row r="3945" spans="16:16">
      <c r="P3945" s="18"/>
    </row>
    <row r="3946" spans="16:16">
      <c r="P3946" s="18"/>
    </row>
    <row r="3947" spans="16:16">
      <c r="P3947" s="18"/>
    </row>
    <row r="3948" spans="16:16">
      <c r="P3948" s="18"/>
    </row>
    <row r="3949" spans="16:16">
      <c r="P3949" s="18"/>
    </row>
    <row r="3950" spans="16:16">
      <c r="P3950" s="18"/>
    </row>
    <row r="3951" spans="16:16">
      <c r="P3951" s="18"/>
    </row>
    <row r="3952" spans="16:16">
      <c r="P3952" s="18"/>
    </row>
    <row r="3953" spans="16:16">
      <c r="P3953" s="18"/>
    </row>
    <row r="3954" spans="16:16">
      <c r="P3954" s="18"/>
    </row>
    <row r="3955" spans="16:16">
      <c r="P3955" s="18"/>
    </row>
    <row r="3956" spans="16:16">
      <c r="P3956" s="18"/>
    </row>
    <row r="3957" spans="16:16">
      <c r="P3957" s="18"/>
    </row>
    <row r="3958" spans="16:16">
      <c r="P3958" s="18"/>
    </row>
    <row r="3959" spans="16:16">
      <c r="P3959" s="18"/>
    </row>
    <row r="3960" spans="16:16">
      <c r="P3960" s="18"/>
    </row>
    <row r="3961" spans="16:16">
      <c r="P3961" s="18"/>
    </row>
    <row r="3962" spans="16:16">
      <c r="P3962" s="18"/>
    </row>
    <row r="3963" spans="16:16">
      <c r="P3963" s="18"/>
    </row>
    <row r="3964" spans="16:16">
      <c r="P3964" s="18"/>
    </row>
    <row r="3965" spans="16:16">
      <c r="P3965" s="18"/>
    </row>
    <row r="3966" spans="16:16">
      <c r="P3966" s="18"/>
    </row>
    <row r="3967" spans="16:16">
      <c r="P3967" s="18"/>
    </row>
    <row r="3968" spans="16:16">
      <c r="P3968" s="18"/>
    </row>
    <row r="3969" spans="16:16">
      <c r="P3969" s="18"/>
    </row>
    <row r="3970" spans="16:16">
      <c r="P3970" s="18"/>
    </row>
    <row r="3971" spans="16:16">
      <c r="P3971" s="18"/>
    </row>
    <row r="3972" spans="16:16">
      <c r="P3972" s="18"/>
    </row>
    <row r="3973" spans="16:16">
      <c r="P3973" s="18"/>
    </row>
    <row r="3974" spans="16:16">
      <c r="P3974" s="18"/>
    </row>
    <row r="3975" spans="16:16">
      <c r="P3975" s="18"/>
    </row>
    <row r="3976" spans="16:16">
      <c r="P3976" s="18"/>
    </row>
    <row r="3977" spans="16:16">
      <c r="P3977" s="18"/>
    </row>
    <row r="3978" spans="16:16">
      <c r="P3978" s="18"/>
    </row>
    <row r="3979" spans="16:16">
      <c r="P3979" s="18"/>
    </row>
    <row r="3980" spans="16:16">
      <c r="P3980" s="18"/>
    </row>
    <row r="3981" spans="16:16">
      <c r="P3981" s="18"/>
    </row>
    <row r="3982" spans="16:16">
      <c r="P3982" s="18"/>
    </row>
    <row r="3983" spans="16:16">
      <c r="P3983" s="18"/>
    </row>
    <row r="3984" spans="16:16">
      <c r="P3984" s="18"/>
    </row>
    <row r="3985" spans="16:16">
      <c r="P3985" s="18"/>
    </row>
    <row r="3986" spans="16:16">
      <c r="P3986" s="18"/>
    </row>
    <row r="3987" spans="16:16">
      <c r="P3987" s="18"/>
    </row>
    <row r="3988" spans="16:16">
      <c r="P3988" s="18"/>
    </row>
    <row r="3989" spans="16:16">
      <c r="P3989" s="18"/>
    </row>
    <row r="3990" spans="16:16">
      <c r="P3990" s="18"/>
    </row>
    <row r="3991" spans="16:16">
      <c r="P3991" s="18"/>
    </row>
    <row r="3992" spans="16:16">
      <c r="P3992" s="18"/>
    </row>
    <row r="3993" spans="16:16">
      <c r="P3993" s="18"/>
    </row>
    <row r="3994" spans="16:16">
      <c r="P3994" s="18"/>
    </row>
    <row r="3995" spans="16:16">
      <c r="P3995" s="18"/>
    </row>
    <row r="3996" spans="16:16">
      <c r="P3996" s="18"/>
    </row>
    <row r="3997" spans="16:16">
      <c r="P3997" s="18"/>
    </row>
    <row r="3998" spans="16:16">
      <c r="P3998" s="18"/>
    </row>
    <row r="3999" spans="16:16">
      <c r="P3999" s="18"/>
    </row>
    <row r="4000" spans="16:16">
      <c r="P4000" s="18"/>
    </row>
    <row r="4001" spans="16:16">
      <c r="P4001" s="18"/>
    </row>
    <row r="4002" spans="16:16">
      <c r="P4002" s="18"/>
    </row>
    <row r="4003" spans="16:16">
      <c r="P4003" s="18"/>
    </row>
    <row r="4004" spans="16:16">
      <c r="P4004" s="18"/>
    </row>
    <row r="4005" spans="16:16">
      <c r="P4005" s="18"/>
    </row>
    <row r="4006" spans="16:16">
      <c r="P4006" s="18"/>
    </row>
    <row r="4007" spans="16:16">
      <c r="P4007" s="18"/>
    </row>
    <row r="4008" spans="16:16">
      <c r="P4008" s="18"/>
    </row>
    <row r="4009" spans="16:16">
      <c r="P4009" s="18"/>
    </row>
    <row r="4010" spans="16:16">
      <c r="P4010" s="18"/>
    </row>
    <row r="4011" spans="16:16">
      <c r="P4011" s="18"/>
    </row>
    <row r="4012" spans="16:16">
      <c r="P4012" s="18"/>
    </row>
    <row r="4013" spans="16:16">
      <c r="P4013" s="18"/>
    </row>
    <row r="4014" spans="16:16">
      <c r="P4014" s="18"/>
    </row>
    <row r="4015" spans="16:16">
      <c r="P4015" s="18"/>
    </row>
    <row r="4016" spans="16:16">
      <c r="P4016" s="18"/>
    </row>
    <row r="4017" spans="16:16">
      <c r="P4017" s="18"/>
    </row>
    <row r="4018" spans="16:16">
      <c r="P4018" s="18"/>
    </row>
    <row r="4019" spans="16:16">
      <c r="P4019" s="18"/>
    </row>
    <row r="4020" spans="16:16">
      <c r="P4020" s="18"/>
    </row>
    <row r="4021" spans="16:16">
      <c r="P4021" s="18"/>
    </row>
    <row r="4022" spans="16:16">
      <c r="P4022" s="18"/>
    </row>
    <row r="4023" spans="16:16">
      <c r="P4023" s="18"/>
    </row>
    <row r="4024" spans="16:16">
      <c r="P4024" s="18"/>
    </row>
    <row r="4025" spans="16:16">
      <c r="P4025" s="18"/>
    </row>
    <row r="4026" spans="16:16">
      <c r="P4026" s="18"/>
    </row>
    <row r="4027" spans="16:16">
      <c r="P4027" s="18"/>
    </row>
    <row r="4028" spans="16:16">
      <c r="P4028" s="18"/>
    </row>
    <row r="4029" spans="16:16">
      <c r="P4029" s="18"/>
    </row>
    <row r="4030" spans="16:16">
      <c r="P4030" s="18"/>
    </row>
    <row r="4031" spans="16:16">
      <c r="P4031" s="18"/>
    </row>
    <row r="4032" spans="16:16">
      <c r="P4032" s="18"/>
    </row>
    <row r="4033" spans="16:16">
      <c r="P4033" s="18"/>
    </row>
    <row r="4034" spans="16:16">
      <c r="P4034" s="18"/>
    </row>
    <row r="4035" spans="16:16">
      <c r="P4035" s="18"/>
    </row>
    <row r="4036" spans="16:16">
      <c r="P4036" s="18"/>
    </row>
    <row r="4037" spans="16:16">
      <c r="P4037" s="18"/>
    </row>
    <row r="4038" spans="16:16">
      <c r="P4038" s="18"/>
    </row>
    <row r="4039" spans="16:16">
      <c r="P4039" s="18"/>
    </row>
    <row r="4040" spans="16:16">
      <c r="P4040" s="18"/>
    </row>
    <row r="4041" spans="16:16">
      <c r="P4041" s="18"/>
    </row>
    <row r="4042" spans="16:16">
      <c r="P4042" s="18"/>
    </row>
    <row r="4043" spans="16:16">
      <c r="P4043" s="18"/>
    </row>
    <row r="4044" spans="16:16">
      <c r="P4044" s="18"/>
    </row>
    <row r="4045" spans="16:16">
      <c r="P4045" s="18"/>
    </row>
    <row r="4046" spans="16:16">
      <c r="P4046" s="18"/>
    </row>
    <row r="4047" spans="16:16">
      <c r="P4047" s="18"/>
    </row>
    <row r="4048" spans="16:16">
      <c r="P4048" s="18"/>
    </row>
    <row r="4049" spans="16:16">
      <c r="P4049" s="18"/>
    </row>
    <row r="4050" spans="16:16">
      <c r="P4050" s="18"/>
    </row>
    <row r="4051" spans="16:16">
      <c r="P4051" s="18"/>
    </row>
    <row r="4052" spans="16:16">
      <c r="P4052" s="18"/>
    </row>
    <row r="4053" spans="16:16">
      <c r="P4053" s="18"/>
    </row>
    <row r="4054" spans="16:16">
      <c r="P4054" s="18"/>
    </row>
    <row r="4055" spans="16:16">
      <c r="P4055" s="18"/>
    </row>
    <row r="4056" spans="16:16">
      <c r="P4056" s="18"/>
    </row>
    <row r="4057" spans="16:16">
      <c r="P4057" s="18"/>
    </row>
    <row r="4058" spans="16:16">
      <c r="P4058" s="18"/>
    </row>
    <row r="4059" spans="16:16">
      <c r="P4059" s="18"/>
    </row>
    <row r="4060" spans="16:16">
      <c r="P4060" s="18"/>
    </row>
    <row r="4061" spans="16:16">
      <c r="P4061" s="18"/>
    </row>
    <row r="4062" spans="16:16">
      <c r="P4062" s="18"/>
    </row>
    <row r="4063" spans="16:16">
      <c r="P4063" s="18"/>
    </row>
    <row r="4064" spans="16:16">
      <c r="P4064" s="18"/>
    </row>
    <row r="4065" spans="16:16">
      <c r="P4065" s="18"/>
    </row>
    <row r="4066" spans="16:16">
      <c r="P4066" s="18"/>
    </row>
    <row r="4067" spans="16:16">
      <c r="P4067" s="18"/>
    </row>
    <row r="4068" spans="16:16">
      <c r="P4068" s="18"/>
    </row>
    <row r="4069" spans="16:16">
      <c r="P4069" s="18"/>
    </row>
    <row r="4070" spans="16:16">
      <c r="P4070" s="18"/>
    </row>
    <row r="4071" spans="16:16">
      <c r="P4071" s="18"/>
    </row>
    <row r="4072" spans="16:16">
      <c r="P4072" s="18"/>
    </row>
    <row r="4073" spans="16:16">
      <c r="P4073" s="18"/>
    </row>
    <row r="4074" spans="16:16">
      <c r="P4074" s="18"/>
    </row>
    <row r="4075" spans="16:16">
      <c r="P4075" s="18"/>
    </row>
    <row r="4076" spans="16:16">
      <c r="P4076" s="18"/>
    </row>
    <row r="4077" spans="16:16">
      <c r="P4077" s="18"/>
    </row>
    <row r="4078" spans="16:16">
      <c r="P4078" s="18"/>
    </row>
    <row r="4079" spans="16:16">
      <c r="P4079" s="18"/>
    </row>
    <row r="4080" spans="16:16">
      <c r="P4080" s="18"/>
    </row>
    <row r="4081" spans="16:16">
      <c r="P4081" s="18"/>
    </row>
    <row r="4082" spans="16:16">
      <c r="P4082" s="18"/>
    </row>
    <row r="4083" spans="16:16">
      <c r="P4083" s="18"/>
    </row>
    <row r="4084" spans="16:16">
      <c r="P4084" s="18"/>
    </row>
    <row r="4085" spans="16:16">
      <c r="P4085" s="18"/>
    </row>
    <row r="4086" spans="16:16">
      <c r="P4086" s="18"/>
    </row>
    <row r="4087" spans="16:16">
      <c r="P4087" s="18"/>
    </row>
    <row r="4088" spans="16:16">
      <c r="P4088" s="18"/>
    </row>
    <row r="4089" spans="16:16">
      <c r="P4089" s="18"/>
    </row>
    <row r="4090" spans="16:16">
      <c r="P4090" s="18"/>
    </row>
    <row r="4091" spans="16:16">
      <c r="P4091" s="18"/>
    </row>
    <row r="4092" spans="16:16">
      <c r="P4092" s="18"/>
    </row>
    <row r="4093" spans="16:16">
      <c r="P4093" s="18"/>
    </row>
    <row r="4094" spans="16:16">
      <c r="P4094" s="18"/>
    </row>
    <row r="4095" spans="16:16">
      <c r="P4095" s="18"/>
    </row>
    <row r="4096" spans="16:16">
      <c r="P4096" s="18"/>
    </row>
    <row r="4097" spans="16:16">
      <c r="P4097" s="18"/>
    </row>
    <row r="4098" spans="16:16">
      <c r="P4098" s="18"/>
    </row>
    <row r="4099" spans="16:16">
      <c r="P4099" s="18"/>
    </row>
    <row r="4100" spans="16:16">
      <c r="P4100" s="18"/>
    </row>
    <row r="4101" spans="16:16">
      <c r="P4101" s="18"/>
    </row>
    <row r="4102" spans="16:16">
      <c r="P4102" s="18"/>
    </row>
    <row r="4103" spans="16:16">
      <c r="P4103" s="18"/>
    </row>
    <row r="4104" spans="16:16">
      <c r="P4104" s="18"/>
    </row>
    <row r="4105" spans="16:16">
      <c r="P4105" s="18"/>
    </row>
    <row r="4106" spans="16:16">
      <c r="P4106" s="18"/>
    </row>
    <row r="4107" spans="16:16">
      <c r="P4107" s="18"/>
    </row>
    <row r="4108" spans="16:16">
      <c r="P4108" s="18"/>
    </row>
    <row r="4109" spans="16:16">
      <c r="P4109" s="18"/>
    </row>
    <row r="4110" spans="16:16">
      <c r="P4110" s="18"/>
    </row>
    <row r="4111" spans="16:16">
      <c r="P4111" s="18"/>
    </row>
    <row r="4112" spans="16:16">
      <c r="P4112" s="18"/>
    </row>
    <row r="4113" spans="16:16">
      <c r="P4113" s="18"/>
    </row>
    <row r="4114" spans="16:16">
      <c r="P4114" s="18"/>
    </row>
    <row r="4115" spans="16:16">
      <c r="P4115" s="18"/>
    </row>
    <row r="4116" spans="16:16">
      <c r="P4116" s="18"/>
    </row>
    <row r="4117" spans="16:16">
      <c r="P4117" s="18"/>
    </row>
    <row r="4118" spans="16:16">
      <c r="P4118" s="18"/>
    </row>
    <row r="4119" spans="16:16">
      <c r="P4119" s="18"/>
    </row>
    <row r="4120" spans="16:16">
      <c r="P4120" s="18"/>
    </row>
    <row r="4121" spans="16:16">
      <c r="P4121" s="18"/>
    </row>
    <row r="4122" spans="16:16">
      <c r="P4122" s="18"/>
    </row>
    <row r="4123" spans="16:16">
      <c r="P4123" s="18"/>
    </row>
    <row r="4124" spans="16:16">
      <c r="P4124" s="18"/>
    </row>
    <row r="4125" spans="16:16">
      <c r="P4125" s="18"/>
    </row>
    <row r="4126" spans="16:16">
      <c r="P4126" s="18"/>
    </row>
    <row r="4127" spans="16:16">
      <c r="P4127" s="18"/>
    </row>
    <row r="4128" spans="16:16">
      <c r="P4128" s="18"/>
    </row>
    <row r="4129" spans="16:16">
      <c r="P4129" s="18"/>
    </row>
    <row r="4130" spans="16:16">
      <c r="P4130" s="18"/>
    </row>
    <row r="4131" spans="16:16">
      <c r="P4131" s="18"/>
    </row>
    <row r="4132" spans="16:16">
      <c r="P4132" s="18"/>
    </row>
    <row r="4133" spans="16:16">
      <c r="P4133" s="18"/>
    </row>
    <row r="4134" spans="16:16">
      <c r="P4134" s="18"/>
    </row>
    <row r="4135" spans="16:16">
      <c r="P4135" s="18"/>
    </row>
    <row r="4136" spans="16:16">
      <c r="P4136" s="18"/>
    </row>
    <row r="4137" spans="16:16">
      <c r="P4137" s="18"/>
    </row>
    <row r="4138" spans="16:16">
      <c r="P4138" s="18"/>
    </row>
    <row r="4139" spans="16:16">
      <c r="P4139" s="18"/>
    </row>
    <row r="4140" spans="16:16">
      <c r="P4140" s="18"/>
    </row>
    <row r="4141" spans="16:16">
      <c r="P4141" s="18"/>
    </row>
    <row r="4142" spans="16:16">
      <c r="P4142" s="18"/>
    </row>
    <row r="4143" spans="16:16">
      <c r="P4143" s="18"/>
    </row>
    <row r="4144" spans="16:16">
      <c r="P4144" s="18"/>
    </row>
    <row r="4145" spans="16:16">
      <c r="P4145" s="18"/>
    </row>
    <row r="4146" spans="16:16">
      <c r="P4146" s="18"/>
    </row>
    <row r="4147" spans="16:16">
      <c r="P4147" s="18"/>
    </row>
    <row r="4148" spans="16:16">
      <c r="P4148" s="18"/>
    </row>
    <row r="4149" spans="16:16">
      <c r="P4149" s="18"/>
    </row>
    <row r="4150" spans="16:16">
      <c r="P4150" s="18"/>
    </row>
    <row r="4151" spans="16:16">
      <c r="P4151" s="18"/>
    </row>
    <row r="4152" spans="16:16">
      <c r="P4152" s="18"/>
    </row>
    <row r="4153" spans="16:16">
      <c r="P4153" s="18"/>
    </row>
    <row r="4154" spans="16:16">
      <c r="P4154" s="18"/>
    </row>
    <row r="4155" spans="16:16">
      <c r="P4155" s="18"/>
    </row>
    <row r="4156" spans="16:16">
      <c r="P4156" s="18"/>
    </row>
    <row r="4157" spans="16:16">
      <c r="P4157" s="18"/>
    </row>
    <row r="4158" spans="16:16">
      <c r="P4158" s="18"/>
    </row>
    <row r="4159" spans="16:16">
      <c r="P4159" s="18"/>
    </row>
    <row r="4160" spans="16:16">
      <c r="P4160" s="18"/>
    </row>
    <row r="4161" spans="16:16">
      <c r="P4161" s="18"/>
    </row>
    <row r="4162" spans="16:16">
      <c r="P4162" s="18"/>
    </row>
    <row r="4163" spans="16:16">
      <c r="P4163" s="18"/>
    </row>
    <row r="4164" spans="16:16">
      <c r="P4164" s="18"/>
    </row>
    <row r="4165" spans="16:16">
      <c r="P4165" s="18"/>
    </row>
    <row r="4166" spans="16:16">
      <c r="P4166" s="18"/>
    </row>
    <row r="4167" spans="16:16">
      <c r="P4167" s="18"/>
    </row>
    <row r="4168" spans="16:16">
      <c r="P4168" s="18"/>
    </row>
    <row r="4169" spans="16:16">
      <c r="P4169" s="18"/>
    </row>
    <row r="4170" spans="16:16">
      <c r="P4170" s="18"/>
    </row>
    <row r="4171" spans="16:16">
      <c r="P4171" s="18"/>
    </row>
    <row r="4172" spans="16:16">
      <c r="P4172" s="18"/>
    </row>
    <row r="4173" spans="16:16">
      <c r="P4173" s="18"/>
    </row>
    <row r="4174" spans="16:16">
      <c r="P4174" s="18"/>
    </row>
    <row r="4175" spans="16:16">
      <c r="P4175" s="18"/>
    </row>
    <row r="4176" spans="16:16">
      <c r="P4176" s="18"/>
    </row>
    <row r="4177" spans="16:16">
      <c r="P4177" s="18"/>
    </row>
    <row r="4178" spans="16:16">
      <c r="P4178" s="18"/>
    </row>
    <row r="4179" spans="16:16">
      <c r="P4179" s="18"/>
    </row>
    <row r="4180" spans="16:16">
      <c r="P4180" s="18"/>
    </row>
    <row r="4181" spans="16:16">
      <c r="P4181" s="18"/>
    </row>
    <row r="4182" spans="16:16">
      <c r="P4182" s="18"/>
    </row>
    <row r="4183" spans="16:16">
      <c r="P4183" s="18"/>
    </row>
    <row r="4184" spans="16:16">
      <c r="P4184" s="18"/>
    </row>
    <row r="4185" spans="16:16">
      <c r="P4185" s="18"/>
    </row>
    <row r="4186" spans="16:16">
      <c r="P4186" s="18"/>
    </row>
    <row r="4187" spans="16:16">
      <c r="P4187" s="18"/>
    </row>
    <row r="4188" spans="16:16">
      <c r="P4188" s="18"/>
    </row>
    <row r="4189" spans="16:16">
      <c r="P4189" s="18"/>
    </row>
    <row r="4190" spans="16:16">
      <c r="P4190" s="18"/>
    </row>
    <row r="4191" spans="16:16">
      <c r="P4191" s="18"/>
    </row>
    <row r="4192" spans="16:16">
      <c r="P4192" s="18"/>
    </row>
    <row r="4193" spans="16:16">
      <c r="P4193" s="18"/>
    </row>
    <row r="4194" spans="16:16">
      <c r="P4194" s="18"/>
    </row>
    <row r="4195" spans="16:16">
      <c r="P4195" s="18"/>
    </row>
    <row r="4196" spans="16:16">
      <c r="P4196" s="18"/>
    </row>
    <row r="4197" spans="16:16">
      <c r="P4197" s="18"/>
    </row>
    <row r="4198" spans="16:16">
      <c r="P4198" s="18"/>
    </row>
    <row r="4199" spans="16:16">
      <c r="P4199" s="18"/>
    </row>
    <row r="4200" spans="16:16">
      <c r="P4200" s="18"/>
    </row>
    <row r="4201" spans="16:16">
      <c r="P4201" s="18"/>
    </row>
    <row r="4202" spans="16:16">
      <c r="P4202" s="18"/>
    </row>
    <row r="4203" spans="16:16">
      <c r="P4203" s="18"/>
    </row>
    <row r="4204" spans="16:16">
      <c r="P4204" s="18"/>
    </row>
    <row r="4205" spans="16:16">
      <c r="P4205" s="18"/>
    </row>
    <row r="4206" spans="16:16">
      <c r="P4206" s="18"/>
    </row>
    <row r="4207" spans="16:16">
      <c r="P4207" s="18"/>
    </row>
    <row r="4208" spans="16:16">
      <c r="P4208" s="18"/>
    </row>
    <row r="4209" spans="16:16">
      <c r="P4209" s="18"/>
    </row>
    <row r="4210" spans="16:16">
      <c r="P4210" s="18"/>
    </row>
    <row r="4211" spans="16:16">
      <c r="P4211" s="18"/>
    </row>
    <row r="4212" spans="16:16">
      <c r="P4212" s="18"/>
    </row>
    <row r="4213" spans="16:16">
      <c r="P4213" s="18"/>
    </row>
    <row r="4214" spans="16:16">
      <c r="P4214" s="18"/>
    </row>
    <row r="4215" spans="16:16">
      <c r="P4215" s="18"/>
    </row>
    <row r="4216" spans="16:16">
      <c r="P4216" s="18"/>
    </row>
    <row r="4217" spans="16:16">
      <c r="P4217" s="18"/>
    </row>
    <row r="4218" spans="16:16">
      <c r="P4218" s="18"/>
    </row>
    <row r="4219" spans="16:16">
      <c r="P4219" s="18"/>
    </row>
    <row r="4220" spans="16:16">
      <c r="P4220" s="18"/>
    </row>
    <row r="4221" spans="16:16">
      <c r="P4221" s="18"/>
    </row>
    <row r="4222" spans="16:16">
      <c r="P4222" s="18"/>
    </row>
    <row r="4223" spans="16:16">
      <c r="P4223" s="18"/>
    </row>
    <row r="4224" spans="16:16">
      <c r="P4224" s="18"/>
    </row>
    <row r="4225" spans="16:16">
      <c r="P4225" s="18"/>
    </row>
    <row r="4226" spans="16:16">
      <c r="P4226" s="18"/>
    </row>
    <row r="4227" spans="16:16">
      <c r="P4227" s="18"/>
    </row>
    <row r="4228" spans="16:16">
      <c r="P4228" s="18"/>
    </row>
    <row r="4229" spans="16:16">
      <c r="P4229" s="18"/>
    </row>
    <row r="4230" spans="16:16">
      <c r="P4230" s="18"/>
    </row>
    <row r="4231" spans="16:16">
      <c r="P4231" s="18"/>
    </row>
    <row r="4232" spans="16:16">
      <c r="P4232" s="18"/>
    </row>
    <row r="4233" spans="16:16">
      <c r="P4233" s="18"/>
    </row>
    <row r="4234" spans="16:16">
      <c r="P4234" s="18"/>
    </row>
    <row r="4235" spans="16:16">
      <c r="P4235" s="18"/>
    </row>
    <row r="4236" spans="16:16">
      <c r="P4236" s="18"/>
    </row>
    <row r="4237" spans="16:16">
      <c r="P4237" s="18"/>
    </row>
    <row r="4238" spans="16:16">
      <c r="P4238" s="18"/>
    </row>
    <row r="4239" spans="16:16">
      <c r="P4239" s="18"/>
    </row>
    <row r="4240" spans="16:16">
      <c r="P4240" s="18"/>
    </row>
    <row r="4241" spans="16:16">
      <c r="P4241" s="18"/>
    </row>
    <row r="4242" spans="16:16">
      <c r="P4242" s="18"/>
    </row>
    <row r="4243" spans="16:16">
      <c r="P4243" s="18"/>
    </row>
    <row r="4244" spans="16:16">
      <c r="P4244" s="18"/>
    </row>
    <row r="4245" spans="16:16">
      <c r="P4245" s="18"/>
    </row>
    <row r="4246" spans="16:16">
      <c r="P4246" s="18"/>
    </row>
    <row r="4247" spans="16:16">
      <c r="P4247" s="18"/>
    </row>
    <row r="4248" spans="16:16">
      <c r="P4248" s="18"/>
    </row>
    <row r="4249" spans="16:16">
      <c r="P4249" s="18"/>
    </row>
    <row r="4250" spans="16:16">
      <c r="P4250" s="18"/>
    </row>
    <row r="4251" spans="16:16">
      <c r="P4251" s="18"/>
    </row>
    <row r="4252" spans="16:16">
      <c r="P4252" s="18"/>
    </row>
    <row r="4253" spans="16:16">
      <c r="P4253" s="18"/>
    </row>
    <row r="4254" spans="16:16">
      <c r="P4254" s="18"/>
    </row>
    <row r="4255" spans="16:16">
      <c r="P4255" s="18"/>
    </row>
    <row r="4256" spans="16:16">
      <c r="P4256" s="18"/>
    </row>
    <row r="4257" spans="16:16">
      <c r="P4257" s="18"/>
    </row>
    <row r="4258" spans="16:16">
      <c r="P4258" s="18"/>
    </row>
    <row r="4259" spans="16:16">
      <c r="P4259" s="18"/>
    </row>
    <row r="4260" spans="16:16">
      <c r="P4260" s="18"/>
    </row>
    <row r="4261" spans="16:16">
      <c r="P4261" s="18"/>
    </row>
    <row r="4262" spans="16:16">
      <c r="P4262" s="18"/>
    </row>
    <row r="4263" spans="16:16">
      <c r="P4263" s="18"/>
    </row>
    <row r="4264" spans="16:16">
      <c r="P4264" s="18"/>
    </row>
    <row r="4265" spans="16:16">
      <c r="P4265" s="18"/>
    </row>
    <row r="4266" spans="16:16">
      <c r="P4266" s="18"/>
    </row>
    <row r="4267" spans="16:16">
      <c r="P4267" s="18"/>
    </row>
    <row r="4268" spans="16:16">
      <c r="P4268" s="18"/>
    </row>
    <row r="4269" spans="16:16">
      <c r="P4269" s="18"/>
    </row>
    <row r="4270" spans="16:16">
      <c r="P4270" s="18"/>
    </row>
  </sheetData>
  <phoneticPr fontId="104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27"/>
    <pageSetUpPr fitToPage="1"/>
  </sheetPr>
  <dimension ref="A1:EV638"/>
  <sheetViews>
    <sheetView tabSelected="1" zoomScaleNormal="100" workbookViewId="0">
      <pane xSplit="4" ySplit="9" topLeftCell="CK377" activePane="bottomRight" state="frozen"/>
      <selection activeCell="X25" sqref="X25"/>
      <selection pane="topRight" activeCell="X25" sqref="X25"/>
      <selection pane="bottomLeft" activeCell="X25" sqref="X25"/>
      <selection pane="bottomRight" activeCell="B640" sqref="B640"/>
    </sheetView>
  </sheetViews>
  <sheetFormatPr defaultRowHeight="15.75"/>
  <cols>
    <col min="1" max="1" width="38.28515625" style="3" hidden="1" customWidth="1"/>
    <col min="2" max="2" width="27.5703125" style="3" customWidth="1"/>
    <col min="3" max="3" width="2.42578125" style="3" customWidth="1"/>
    <col min="4" max="4" width="23.140625" style="197" customWidth="1"/>
    <col min="5" max="41" width="9.140625" style="197"/>
    <col min="42" max="44" width="9.28515625" style="197" bestFit="1" customWidth="1"/>
    <col min="45" max="45" width="10" style="197" bestFit="1" customWidth="1"/>
    <col min="46" max="46" width="10.85546875" style="197" bestFit="1" customWidth="1"/>
    <col min="47" max="47" width="11.5703125" style="3" customWidth="1"/>
    <col min="48" max="52" width="7.5703125" style="3" customWidth="1"/>
    <col min="53" max="53" width="10.42578125" style="3" customWidth="1"/>
    <col min="54" max="56" width="8.5703125" style="3" customWidth="1"/>
    <col min="57" max="58" width="7.85546875" style="3" customWidth="1"/>
    <col min="59" max="59" width="8.5703125" style="3" customWidth="1"/>
    <col min="60" max="60" width="9.7109375" style="3" customWidth="1"/>
    <col min="61" max="61" width="10" style="3" customWidth="1"/>
    <col min="62" max="64" width="11.28515625" style="3" customWidth="1"/>
    <col min="65" max="65" width="10" style="3" customWidth="1"/>
    <col min="66" max="66" width="10.85546875" style="3" customWidth="1"/>
    <col min="67" max="67" width="9.42578125" style="3" customWidth="1"/>
    <col min="68" max="68" width="9.7109375" style="3" customWidth="1"/>
    <col min="69" max="71" width="9.28515625" style="3" customWidth="1"/>
    <col min="72" max="82" width="10.5703125" style="3" customWidth="1"/>
    <col min="83" max="83" width="12" style="3" customWidth="1"/>
    <col min="84" max="84" width="12" style="425" customWidth="1"/>
    <col min="85" max="87" width="7" style="235" hidden="1" customWidth="1"/>
    <col min="88" max="88" width="7" style="235" customWidth="1"/>
    <col min="89" max="89" width="8.140625" style="235" customWidth="1"/>
    <col min="90" max="93" width="8.28515625" style="235" customWidth="1"/>
    <col min="94" max="104" width="8.140625" style="235" customWidth="1"/>
    <col min="105" max="105" width="8.28515625" style="38" customWidth="1"/>
    <col min="106" max="108" width="6.85546875" style="236" hidden="1" customWidth="1"/>
    <col min="109" max="109" width="10.42578125" style="236" hidden="1" customWidth="1"/>
    <col min="110" max="111" width="9.140625" style="236" hidden="1" customWidth="1"/>
    <col min="112" max="112" width="7.85546875" style="492" hidden="1" customWidth="1"/>
    <col min="113" max="114" width="7.85546875" style="236" customWidth="1"/>
    <col min="115" max="115" width="7" style="236" customWidth="1"/>
    <col min="116" max="120" width="9.28515625" style="236" bestFit="1" customWidth="1"/>
    <col min="121" max="126" width="9.28515625" style="258" bestFit="1" customWidth="1"/>
    <col min="127" max="129" width="9.85546875" style="258" bestFit="1" customWidth="1"/>
    <col min="130" max="130" width="9.140625" style="258"/>
    <col min="131" max="131" width="9.140625" style="967"/>
    <col min="132" max="16384" width="9.140625" style="3"/>
  </cols>
  <sheetData>
    <row r="1" spans="1:131" s="53" customFormat="1" ht="5.25" customHeight="1">
      <c r="B1" s="53" t="s">
        <v>2219</v>
      </c>
      <c r="C1" s="54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54"/>
      <c r="BA1" s="55"/>
      <c r="BB1" s="55"/>
      <c r="BC1" s="55"/>
      <c r="BD1" s="55"/>
      <c r="BE1" s="55"/>
      <c r="BF1" s="55"/>
      <c r="BG1" s="55"/>
      <c r="BH1" s="55"/>
      <c r="BI1" s="55" t="s">
        <v>3429</v>
      </c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434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38"/>
      <c r="DB1" s="236"/>
      <c r="DC1" s="236"/>
      <c r="DD1" s="236"/>
      <c r="DE1" s="236"/>
      <c r="DF1" s="258" t="s">
        <v>3429</v>
      </c>
      <c r="DG1" s="236"/>
      <c r="DH1" s="492"/>
      <c r="DI1" s="236"/>
      <c r="DJ1" s="236"/>
      <c r="DK1" s="236"/>
      <c r="DL1" s="236"/>
      <c r="DM1" s="236"/>
      <c r="DN1" s="236"/>
      <c r="DO1" s="236"/>
      <c r="DP1" s="236"/>
      <c r="DQ1" s="1084"/>
      <c r="DR1" s="1084"/>
      <c r="DS1" s="1084"/>
      <c r="DT1" s="1084"/>
      <c r="DU1" s="1084"/>
      <c r="DV1" s="1084"/>
      <c r="DW1" s="1084"/>
      <c r="DX1" s="1084"/>
      <c r="DY1" s="1084"/>
      <c r="DZ1" s="1084"/>
      <c r="EA1" s="988"/>
    </row>
    <row r="2" spans="1:131" s="19" customFormat="1" ht="3" customHeight="1">
      <c r="B2" s="19" t="s">
        <v>2219</v>
      </c>
      <c r="C2" s="43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43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4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38"/>
      <c r="DB2" s="236"/>
      <c r="DC2" s="236"/>
      <c r="DD2" s="236"/>
      <c r="DE2" s="236"/>
      <c r="DF2" s="258"/>
      <c r="DG2" s="236"/>
      <c r="DH2" s="492"/>
      <c r="DI2" s="236"/>
      <c r="DJ2" s="236"/>
      <c r="DK2" s="236"/>
      <c r="DL2" s="236"/>
      <c r="DM2" s="236"/>
      <c r="DN2" s="236"/>
      <c r="DO2" s="236"/>
      <c r="DP2" s="236"/>
      <c r="DQ2" s="1084"/>
      <c r="DR2" s="1084"/>
      <c r="DS2" s="1084"/>
      <c r="DT2" s="1084"/>
      <c r="DU2" s="1084"/>
      <c r="DV2" s="1084"/>
      <c r="DW2" s="1084"/>
      <c r="DX2" s="1084"/>
      <c r="DY2" s="1084"/>
      <c r="DZ2" s="1084"/>
      <c r="EA2" s="988"/>
    </row>
    <row r="3" spans="1:131" s="58" customFormat="1" ht="3" customHeight="1">
      <c r="B3" s="56" t="s">
        <v>1042</v>
      </c>
      <c r="C3" s="57" t="s">
        <v>1879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57"/>
      <c r="BA3" s="59" t="s">
        <v>2220</v>
      </c>
      <c r="BB3" s="60"/>
      <c r="BC3" s="59" t="s">
        <v>2218</v>
      </c>
      <c r="BD3" s="60"/>
      <c r="BE3" s="59" t="s">
        <v>2218</v>
      </c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4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38"/>
      <c r="DB3" s="236"/>
      <c r="DC3" s="236"/>
      <c r="DD3" s="236"/>
      <c r="DE3" s="236"/>
      <c r="DF3" s="258"/>
      <c r="DG3" s="236"/>
      <c r="DH3" s="492"/>
      <c r="DI3" s="236"/>
      <c r="DJ3" s="236"/>
      <c r="DK3" s="236"/>
      <c r="DL3" s="236"/>
      <c r="DM3" s="236"/>
      <c r="DN3" s="236"/>
      <c r="DO3" s="236"/>
      <c r="DP3" s="236"/>
      <c r="DQ3" s="1084"/>
      <c r="DR3" s="1084"/>
      <c r="DS3" s="1084"/>
      <c r="DT3" s="1084"/>
      <c r="DU3" s="1084"/>
      <c r="DV3" s="1084"/>
      <c r="DW3" s="1084"/>
      <c r="DX3" s="1084"/>
      <c r="DY3" s="1084"/>
      <c r="DZ3" s="1084"/>
      <c r="EA3" s="988"/>
    </row>
    <row r="4" spans="1:131" s="19" customFormat="1" ht="3" customHeight="1">
      <c r="B4" s="61"/>
      <c r="C4" s="43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43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4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38"/>
      <c r="DB4" s="236"/>
      <c r="DC4" s="236"/>
      <c r="DD4" s="236"/>
      <c r="DE4" s="236"/>
      <c r="DF4" s="258"/>
      <c r="DG4" s="236"/>
      <c r="DH4" s="492"/>
      <c r="DI4" s="236"/>
      <c r="DJ4" s="236"/>
      <c r="DK4" s="236"/>
      <c r="DL4" s="236"/>
      <c r="DM4" s="236"/>
      <c r="DN4" s="236"/>
      <c r="DO4" s="236"/>
      <c r="DP4" s="236"/>
      <c r="DQ4" s="1084"/>
      <c r="DR4" s="1084"/>
      <c r="DS4" s="1084"/>
      <c r="DT4" s="1084"/>
      <c r="DU4" s="1084"/>
      <c r="DV4" s="1084"/>
      <c r="DW4" s="1084"/>
      <c r="DX4" s="1084"/>
      <c r="DY4" s="1084"/>
      <c r="DZ4" s="1084"/>
      <c r="EA4" s="988"/>
    </row>
    <row r="5" spans="1:131" s="53" customFormat="1" ht="6" customHeight="1">
      <c r="B5" s="53" t="s">
        <v>2219</v>
      </c>
      <c r="C5" s="54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54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435"/>
      <c r="CG5" s="235"/>
      <c r="CH5" s="235"/>
      <c r="CI5" s="235"/>
      <c r="CJ5" s="235"/>
      <c r="CK5" s="235"/>
      <c r="CL5" s="235"/>
      <c r="CM5" s="235"/>
      <c r="CN5" s="235"/>
      <c r="CO5" s="235"/>
      <c r="CP5" s="235"/>
      <c r="CQ5" s="235"/>
      <c r="CR5" s="235"/>
      <c r="CS5" s="235"/>
      <c r="CT5" s="235"/>
      <c r="CU5" s="235"/>
      <c r="CV5" s="235"/>
      <c r="CW5" s="235"/>
      <c r="CX5" s="235"/>
      <c r="CY5" s="235"/>
      <c r="CZ5" s="235"/>
      <c r="DA5" s="38"/>
      <c r="DB5" s="236"/>
      <c r="DC5" s="236"/>
      <c r="DD5" s="236"/>
      <c r="DE5" s="236"/>
      <c r="DF5" s="258"/>
      <c r="DG5" s="236"/>
      <c r="DH5" s="492"/>
      <c r="DI5" s="236"/>
      <c r="DJ5" s="236"/>
      <c r="DK5" s="236"/>
      <c r="DL5" s="236"/>
      <c r="DM5" s="236"/>
      <c r="DN5" s="236"/>
      <c r="DO5" s="236"/>
      <c r="DP5" s="236"/>
      <c r="DQ5" s="1084"/>
      <c r="DR5" s="1084"/>
      <c r="DS5" s="1084"/>
      <c r="DT5" s="1084"/>
      <c r="DU5" s="1084"/>
      <c r="DV5" s="1084"/>
      <c r="DW5" s="1084"/>
      <c r="DX5" s="1084"/>
      <c r="DY5" s="1084"/>
      <c r="DZ5" s="1084"/>
      <c r="EA5" s="988"/>
    </row>
    <row r="6" spans="1:131" s="19" customFormat="1" ht="11.25" customHeight="1">
      <c r="B6" s="303" t="s">
        <v>4070</v>
      </c>
      <c r="C6" s="19" t="s">
        <v>2221</v>
      </c>
      <c r="D6" s="62" t="s">
        <v>4002</v>
      </c>
      <c r="E6" s="62"/>
      <c r="F6" s="62">
        <f t="shared" ref="F6:AT6" si="0">G6-1</f>
        <v>1954</v>
      </c>
      <c r="G6" s="62">
        <f t="shared" si="0"/>
        <v>1955</v>
      </c>
      <c r="H6" s="62">
        <f t="shared" si="0"/>
        <v>1956</v>
      </c>
      <c r="I6" s="62">
        <f t="shared" si="0"/>
        <v>1957</v>
      </c>
      <c r="J6" s="62">
        <f t="shared" si="0"/>
        <v>1958</v>
      </c>
      <c r="K6" s="62">
        <f t="shared" si="0"/>
        <v>1959</v>
      </c>
      <c r="L6" s="62">
        <f t="shared" si="0"/>
        <v>1960</v>
      </c>
      <c r="M6" s="62">
        <f t="shared" si="0"/>
        <v>1961</v>
      </c>
      <c r="N6" s="62">
        <f t="shared" si="0"/>
        <v>1962</v>
      </c>
      <c r="O6" s="62">
        <f t="shared" si="0"/>
        <v>1963</v>
      </c>
      <c r="P6" s="62">
        <f t="shared" si="0"/>
        <v>1964</v>
      </c>
      <c r="Q6" s="62">
        <f t="shared" si="0"/>
        <v>1965</v>
      </c>
      <c r="R6" s="62">
        <f t="shared" si="0"/>
        <v>1966</v>
      </c>
      <c r="S6" s="62">
        <f t="shared" si="0"/>
        <v>1967</v>
      </c>
      <c r="T6" s="62">
        <f t="shared" si="0"/>
        <v>1968</v>
      </c>
      <c r="U6" s="62">
        <f t="shared" si="0"/>
        <v>1969</v>
      </c>
      <c r="V6" s="62">
        <f t="shared" si="0"/>
        <v>1970</v>
      </c>
      <c r="W6" s="62">
        <f t="shared" si="0"/>
        <v>1971</v>
      </c>
      <c r="X6" s="62">
        <f t="shared" si="0"/>
        <v>1972</v>
      </c>
      <c r="Y6" s="62">
        <f t="shared" si="0"/>
        <v>1973</v>
      </c>
      <c r="Z6" s="62">
        <f t="shared" si="0"/>
        <v>1974</v>
      </c>
      <c r="AA6" s="62">
        <f t="shared" si="0"/>
        <v>1975</v>
      </c>
      <c r="AB6" s="62">
        <f t="shared" si="0"/>
        <v>1976</v>
      </c>
      <c r="AC6" s="62">
        <f t="shared" si="0"/>
        <v>1977</v>
      </c>
      <c r="AD6" s="62">
        <f t="shared" si="0"/>
        <v>1978</v>
      </c>
      <c r="AE6" s="62">
        <f t="shared" si="0"/>
        <v>1979</v>
      </c>
      <c r="AF6" s="62">
        <f t="shared" si="0"/>
        <v>1980</v>
      </c>
      <c r="AG6" s="62">
        <f t="shared" si="0"/>
        <v>1981</v>
      </c>
      <c r="AH6" s="62">
        <f t="shared" si="0"/>
        <v>1982</v>
      </c>
      <c r="AI6" s="62">
        <f t="shared" si="0"/>
        <v>1983</v>
      </c>
      <c r="AJ6" s="62">
        <f t="shared" si="0"/>
        <v>1984</v>
      </c>
      <c r="AK6" s="62">
        <f t="shared" si="0"/>
        <v>1985</v>
      </c>
      <c r="AL6" s="62">
        <f t="shared" si="0"/>
        <v>1986</v>
      </c>
      <c r="AM6" s="62">
        <f t="shared" si="0"/>
        <v>1987</v>
      </c>
      <c r="AN6" s="62">
        <f t="shared" si="0"/>
        <v>1988</v>
      </c>
      <c r="AO6" s="62">
        <f t="shared" si="0"/>
        <v>1989</v>
      </c>
      <c r="AP6" s="62">
        <f t="shared" si="0"/>
        <v>1990</v>
      </c>
      <c r="AQ6" s="62">
        <f t="shared" si="0"/>
        <v>1991</v>
      </c>
      <c r="AR6" s="62">
        <f t="shared" si="0"/>
        <v>1992</v>
      </c>
      <c r="AS6" s="62">
        <f t="shared" si="0"/>
        <v>1993</v>
      </c>
      <c r="AT6" s="62">
        <f t="shared" si="0"/>
        <v>1994</v>
      </c>
      <c r="AU6" s="62">
        <f>AV6-1</f>
        <v>1995</v>
      </c>
      <c r="AV6" s="44">
        <v>1996</v>
      </c>
      <c r="AW6" s="44">
        <v>1997</v>
      </c>
      <c r="AX6" s="44">
        <v>1998</v>
      </c>
      <c r="AY6" s="44">
        <v>1999</v>
      </c>
      <c r="AZ6" s="44">
        <v>2000</v>
      </c>
      <c r="BA6" s="45">
        <v>2001</v>
      </c>
      <c r="BB6" s="45">
        <v>2002</v>
      </c>
      <c r="BC6" s="45">
        <v>2003</v>
      </c>
      <c r="BD6" s="45">
        <v>2004</v>
      </c>
      <c r="BE6" s="45">
        <v>2005</v>
      </c>
      <c r="BF6" s="45">
        <f t="shared" ref="BF6:BQ6" si="1">BE6+1</f>
        <v>2006</v>
      </c>
      <c r="BG6" s="45">
        <f t="shared" si="1"/>
        <v>2007</v>
      </c>
      <c r="BH6" s="45">
        <f t="shared" si="1"/>
        <v>2008</v>
      </c>
      <c r="BI6" s="45">
        <f t="shared" si="1"/>
        <v>2009</v>
      </c>
      <c r="BJ6" s="45">
        <f t="shared" si="1"/>
        <v>2010</v>
      </c>
      <c r="BK6" s="45">
        <f t="shared" si="1"/>
        <v>2011</v>
      </c>
      <c r="BL6" s="45">
        <f t="shared" si="1"/>
        <v>2012</v>
      </c>
      <c r="BM6" s="45">
        <f t="shared" si="1"/>
        <v>2013</v>
      </c>
      <c r="BN6" s="45">
        <f t="shared" si="1"/>
        <v>2014</v>
      </c>
      <c r="BO6" s="45">
        <f t="shared" si="1"/>
        <v>2015</v>
      </c>
      <c r="BP6" s="45">
        <f t="shared" si="1"/>
        <v>2016</v>
      </c>
      <c r="BQ6" s="45">
        <f t="shared" si="1"/>
        <v>2017</v>
      </c>
      <c r="BR6" s="45">
        <f t="shared" ref="BR6:BX6" si="2">BQ6+1</f>
        <v>2018</v>
      </c>
      <c r="BS6" s="45">
        <f t="shared" si="2"/>
        <v>2019</v>
      </c>
      <c r="BT6" s="45">
        <f t="shared" si="2"/>
        <v>2020</v>
      </c>
      <c r="BU6" s="45">
        <f t="shared" si="2"/>
        <v>2021</v>
      </c>
      <c r="BV6" s="45">
        <f t="shared" si="2"/>
        <v>2022</v>
      </c>
      <c r="BW6" s="45">
        <f t="shared" si="2"/>
        <v>2023</v>
      </c>
      <c r="BX6" s="45">
        <f t="shared" si="2"/>
        <v>2024</v>
      </c>
      <c r="BY6" s="45">
        <f t="shared" ref="BY6" si="3">BX6+1</f>
        <v>2025</v>
      </c>
      <c r="BZ6" s="45">
        <f t="shared" ref="BZ6" si="4">BY6+1</f>
        <v>2026</v>
      </c>
      <c r="CA6" s="45">
        <f t="shared" ref="CA6" si="5">BZ6+1</f>
        <v>2027</v>
      </c>
      <c r="CB6" s="45">
        <f t="shared" ref="CB6" si="6">CA6+1</f>
        <v>2028</v>
      </c>
      <c r="CC6" s="45">
        <f t="shared" ref="CC6" si="7">CB6+1</f>
        <v>2029</v>
      </c>
      <c r="CD6" s="45">
        <f t="shared" ref="CD6" si="8">CC6+1</f>
        <v>2030</v>
      </c>
      <c r="CE6" s="45" t="s">
        <v>4164</v>
      </c>
      <c r="CF6" s="436"/>
      <c r="CG6" s="270">
        <v>2011</v>
      </c>
      <c r="CH6" s="270">
        <f t="shared" ref="CH6:CP6" si="9">CG6+1</f>
        <v>2012</v>
      </c>
      <c r="CI6" s="270">
        <f t="shared" si="9"/>
        <v>2013</v>
      </c>
      <c r="CJ6" s="270">
        <f t="shared" si="9"/>
        <v>2014</v>
      </c>
      <c r="CK6" s="270">
        <f t="shared" si="9"/>
        <v>2015</v>
      </c>
      <c r="CL6" s="270">
        <f t="shared" si="9"/>
        <v>2016</v>
      </c>
      <c r="CM6" s="270">
        <f t="shared" si="9"/>
        <v>2017</v>
      </c>
      <c r="CN6" s="270">
        <f t="shared" si="9"/>
        <v>2018</v>
      </c>
      <c r="CO6" s="270">
        <f t="shared" si="9"/>
        <v>2019</v>
      </c>
      <c r="CP6" s="270">
        <f t="shared" si="9"/>
        <v>2020</v>
      </c>
      <c r="CQ6" s="270">
        <f t="shared" ref="CQ6:CZ6" si="10">CP6+1</f>
        <v>2021</v>
      </c>
      <c r="CR6" s="270">
        <f t="shared" si="10"/>
        <v>2022</v>
      </c>
      <c r="CS6" s="270">
        <f t="shared" si="10"/>
        <v>2023</v>
      </c>
      <c r="CT6" s="270">
        <f t="shared" si="10"/>
        <v>2024</v>
      </c>
      <c r="CU6" s="270">
        <f t="shared" si="10"/>
        <v>2025</v>
      </c>
      <c r="CV6" s="270">
        <f t="shared" si="10"/>
        <v>2026</v>
      </c>
      <c r="CW6" s="270">
        <f t="shared" si="10"/>
        <v>2027</v>
      </c>
      <c r="CX6" s="270">
        <f t="shared" si="10"/>
        <v>2028</v>
      </c>
      <c r="CY6" s="270">
        <f t="shared" si="10"/>
        <v>2029</v>
      </c>
      <c r="CZ6" s="270">
        <f t="shared" si="10"/>
        <v>2030</v>
      </c>
      <c r="DA6" s="292"/>
      <c r="DB6" s="236">
        <v>2006</v>
      </c>
      <c r="DC6" s="236">
        <v>2007</v>
      </c>
      <c r="DD6" s="236">
        <v>2008</v>
      </c>
      <c r="DE6" s="236">
        <v>2009</v>
      </c>
      <c r="DF6" s="236">
        <v>2010</v>
      </c>
      <c r="DG6" s="236">
        <v>2011</v>
      </c>
      <c r="DH6" s="492">
        <v>2012</v>
      </c>
      <c r="DI6" s="236">
        <v>2014</v>
      </c>
      <c r="DJ6" s="236">
        <v>2015</v>
      </c>
      <c r="DK6" s="236">
        <v>2016</v>
      </c>
      <c r="DL6" s="236">
        <v>2017</v>
      </c>
      <c r="DM6" s="236">
        <v>2018</v>
      </c>
      <c r="DN6" s="236">
        <v>2019</v>
      </c>
      <c r="DO6" s="236">
        <v>2020</v>
      </c>
      <c r="DP6" s="236">
        <v>2021</v>
      </c>
      <c r="DQ6" s="1084">
        <v>2022</v>
      </c>
      <c r="DR6" s="1084">
        <v>2023</v>
      </c>
      <c r="DS6" s="1084">
        <v>2024</v>
      </c>
      <c r="DT6" s="1084">
        <v>2025</v>
      </c>
      <c r="DU6" s="1084">
        <v>2026</v>
      </c>
      <c r="DV6" s="1084">
        <v>2027</v>
      </c>
      <c r="DW6" s="1084">
        <v>2028</v>
      </c>
      <c r="DX6" s="1084">
        <v>2029</v>
      </c>
      <c r="DY6" s="1084">
        <v>2030</v>
      </c>
      <c r="DZ6" s="1084" t="s">
        <v>4164</v>
      </c>
      <c r="EA6" s="988"/>
    </row>
    <row r="7" spans="1:131" s="19" customFormat="1" ht="11.25" customHeight="1">
      <c r="B7" s="231" t="s">
        <v>2532</v>
      </c>
      <c r="D7" s="202" t="s">
        <v>850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V7" s="43"/>
      <c r="AW7" s="19" t="s">
        <v>3154</v>
      </c>
      <c r="AY7" s="64" t="s">
        <v>120</v>
      </c>
      <c r="AZ7" s="44"/>
      <c r="BA7" s="45"/>
      <c r="BB7" s="65" t="s">
        <v>3102</v>
      </c>
      <c r="BC7" s="44"/>
      <c r="BD7" s="44"/>
      <c r="BE7" s="45"/>
      <c r="BH7" s="63"/>
      <c r="BI7" s="44"/>
      <c r="BJ7" s="232" t="s">
        <v>1570</v>
      </c>
      <c r="BK7" s="44"/>
      <c r="BL7" s="44" t="s">
        <v>2219</v>
      </c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35"/>
      <c r="CG7" s="270"/>
      <c r="CH7" s="270"/>
      <c r="CI7" s="270"/>
      <c r="CJ7" s="270"/>
      <c r="CK7" s="270" t="s">
        <v>2219</v>
      </c>
      <c r="CL7" s="270" t="s">
        <v>2219</v>
      </c>
      <c r="CM7" s="270" t="s">
        <v>2219</v>
      </c>
      <c r="CN7" s="270" t="s">
        <v>2219</v>
      </c>
      <c r="CO7" s="270" t="s">
        <v>2219</v>
      </c>
      <c r="CP7" s="270" t="s">
        <v>2219</v>
      </c>
      <c r="CQ7" s="270" t="s">
        <v>2219</v>
      </c>
      <c r="CR7" s="270" t="s">
        <v>2219</v>
      </c>
      <c r="CS7" s="270" t="s">
        <v>2219</v>
      </c>
      <c r="CT7" s="270" t="s">
        <v>2219</v>
      </c>
      <c r="CU7" s="270" t="s">
        <v>2219</v>
      </c>
      <c r="CV7" s="270" t="s">
        <v>2219</v>
      </c>
      <c r="CW7" s="270" t="s">
        <v>2219</v>
      </c>
      <c r="CX7" s="270" t="s">
        <v>2219</v>
      </c>
      <c r="CY7" s="270" t="s">
        <v>2219</v>
      </c>
      <c r="CZ7" s="270" t="s">
        <v>2219</v>
      </c>
      <c r="DA7" s="292"/>
      <c r="DB7" s="236"/>
      <c r="DC7" s="236"/>
      <c r="DD7" s="236"/>
      <c r="DE7" s="236"/>
      <c r="DF7" s="258"/>
      <c r="DG7" s="236"/>
      <c r="DH7" s="492" t="s">
        <v>2219</v>
      </c>
      <c r="DI7" s="236"/>
      <c r="DJ7" s="236"/>
      <c r="DK7" s="236"/>
      <c r="DL7" s="236"/>
      <c r="DM7" s="236"/>
      <c r="DN7" s="236"/>
      <c r="DO7" s="236"/>
      <c r="DP7" s="236"/>
      <c r="DQ7" s="1084"/>
      <c r="DR7" s="1084"/>
      <c r="DS7" s="1084"/>
      <c r="DT7" s="1084"/>
      <c r="DU7" s="1084"/>
      <c r="DV7" s="1084"/>
      <c r="DW7" s="1084"/>
      <c r="DX7" s="1084"/>
      <c r="DY7" s="1084"/>
      <c r="DZ7" s="1084"/>
      <c r="EA7" s="988"/>
    </row>
    <row r="8" spans="1:131" s="19" customFormat="1">
      <c r="B8" s="231" t="s">
        <v>4136</v>
      </c>
      <c r="D8" s="202" t="s">
        <v>2579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V8" s="44"/>
      <c r="AW8" s="66" t="s">
        <v>4071</v>
      </c>
      <c r="AY8" s="67" t="s">
        <v>4001</v>
      </c>
      <c r="AZ8" s="44"/>
      <c r="BA8" s="45"/>
      <c r="BB8" s="68"/>
      <c r="BC8" s="44"/>
      <c r="BD8" s="44"/>
      <c r="BE8" s="45"/>
      <c r="BF8" s="45"/>
      <c r="BG8" s="45"/>
      <c r="BH8" s="424">
        <f t="shared" ref="BH8:BM8" si="11">BI8</f>
        <v>0</v>
      </c>
      <c r="BI8" s="424">
        <f t="shared" si="11"/>
        <v>0</v>
      </c>
      <c r="BJ8" s="424">
        <f t="shared" si="11"/>
        <v>0</v>
      </c>
      <c r="BK8" s="424">
        <f t="shared" si="11"/>
        <v>0</v>
      </c>
      <c r="BL8" s="424">
        <f t="shared" si="11"/>
        <v>0</v>
      </c>
      <c r="BM8" s="424">
        <f t="shared" si="11"/>
        <v>0</v>
      </c>
      <c r="BN8" s="920"/>
      <c r="BO8" s="920"/>
      <c r="BP8" s="920"/>
      <c r="BQ8" s="920"/>
      <c r="BR8" s="920"/>
      <c r="BS8" s="920"/>
      <c r="BT8" s="920"/>
      <c r="BU8" s="920"/>
      <c r="BV8" s="920"/>
      <c r="BW8" s="920"/>
      <c r="BX8" s="920"/>
      <c r="BY8" s="920"/>
      <c r="BZ8" s="920"/>
      <c r="CA8" s="920"/>
      <c r="CB8" s="920"/>
      <c r="CC8" s="920"/>
      <c r="CD8" s="920"/>
      <c r="CE8" s="424"/>
      <c r="CF8" s="435">
        <f ca="1">CF296</f>
        <v>1.6552803572267294E-9</v>
      </c>
      <c r="CG8" s="270"/>
      <c r="CH8" s="270"/>
      <c r="CI8" s="270"/>
      <c r="CJ8" s="270"/>
      <c r="CK8" s="270"/>
      <c r="CL8" s="270"/>
      <c r="CM8" s="270"/>
      <c r="CN8" s="270"/>
      <c r="CO8" s="270"/>
      <c r="CP8" s="270"/>
      <c r="CQ8" s="270"/>
      <c r="CR8" s="270"/>
      <c r="CS8" s="270"/>
      <c r="CT8" s="270"/>
      <c r="CU8" s="270"/>
      <c r="CV8" s="270"/>
      <c r="CW8" s="270"/>
      <c r="CX8" s="270"/>
      <c r="CY8" s="270"/>
      <c r="CZ8" s="270"/>
      <c r="DA8" s="292"/>
      <c r="DB8" s="236"/>
      <c r="DC8" s="236"/>
      <c r="DD8" s="236"/>
      <c r="DE8" s="236"/>
      <c r="DF8" s="259"/>
      <c r="DG8" s="236">
        <v>0</v>
      </c>
      <c r="DH8" s="492">
        <v>0</v>
      </c>
      <c r="DI8" s="236"/>
      <c r="DJ8" s="236"/>
      <c r="DK8" s="236"/>
      <c r="DL8" s="236"/>
      <c r="DM8" s="236"/>
      <c r="DN8" s="236"/>
      <c r="DO8" s="236"/>
      <c r="DP8" s="236"/>
      <c r="DQ8" s="1084"/>
      <c r="DR8" s="1084"/>
      <c r="DS8" s="1084"/>
      <c r="DT8" s="1084"/>
      <c r="DU8" s="1084"/>
      <c r="DV8" s="1084"/>
      <c r="DW8" s="1084"/>
      <c r="DX8" s="1084"/>
      <c r="DY8" s="1084"/>
      <c r="DZ8" s="1084"/>
      <c r="EA8" s="988">
        <v>3.2123352866619825E-9</v>
      </c>
    </row>
    <row r="9" spans="1:131" s="19" customFormat="1" ht="11.25" customHeight="1">
      <c r="B9" s="232" t="s">
        <v>958</v>
      </c>
      <c r="D9" s="203" t="s">
        <v>2531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V9" s="44"/>
      <c r="AW9" s="19" t="s">
        <v>816</v>
      </c>
      <c r="AY9" s="138" t="s">
        <v>1881</v>
      </c>
      <c r="AZ9" s="44"/>
      <c r="BA9" s="45"/>
      <c r="BB9" s="47" t="s">
        <v>2860</v>
      </c>
      <c r="BC9" s="45"/>
      <c r="BD9" s="45"/>
      <c r="BE9" s="45"/>
      <c r="BF9" s="44"/>
      <c r="BG9" s="424"/>
      <c r="BH9" s="424"/>
      <c r="BI9" s="424"/>
      <c r="BJ9" s="424"/>
      <c r="BK9" s="424"/>
      <c r="BL9" s="424"/>
      <c r="BM9" s="292"/>
      <c r="BN9" s="292"/>
      <c r="BO9" s="292"/>
      <c r="BP9" s="292"/>
      <c r="BQ9" s="292"/>
      <c r="BR9" s="292"/>
      <c r="BS9" s="424"/>
      <c r="BT9" s="424"/>
      <c r="BU9" s="424"/>
      <c r="BV9" s="424"/>
      <c r="BW9" s="424"/>
      <c r="BX9" s="424"/>
      <c r="BY9" s="424"/>
      <c r="BZ9" s="424"/>
      <c r="CA9" s="424"/>
      <c r="CB9" s="424"/>
      <c r="CC9" s="424"/>
      <c r="CD9" s="424"/>
      <c r="CE9" s="424"/>
      <c r="CF9" s="437">
        <f ca="1">CF8</f>
        <v>1.6552803572267294E-9</v>
      </c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93"/>
      <c r="DB9" s="236"/>
      <c r="DC9" s="236"/>
      <c r="DD9" s="236"/>
      <c r="DE9" s="236"/>
      <c r="DF9" s="258"/>
      <c r="DG9" s="236">
        <v>0</v>
      </c>
      <c r="DH9" s="492"/>
      <c r="DI9" s="236"/>
      <c r="DJ9" s="236"/>
      <c r="DK9" s="236"/>
      <c r="DL9" s="236"/>
      <c r="DM9" s="236"/>
      <c r="DN9" s="236"/>
      <c r="DO9" s="236"/>
      <c r="DP9" s="236"/>
      <c r="DQ9" s="1084"/>
      <c r="DR9" s="1084"/>
      <c r="DS9" s="1084"/>
      <c r="DT9" s="1084"/>
      <c r="DU9" s="1084"/>
      <c r="DV9" s="1084"/>
      <c r="DW9" s="1084"/>
      <c r="DX9" s="1084"/>
      <c r="DY9" s="1084"/>
      <c r="DZ9" s="1084"/>
      <c r="EA9" s="988">
        <v>3.2123352866619825E-9</v>
      </c>
    </row>
    <row r="10" spans="1:131" s="19" customFormat="1">
      <c r="B10" s="20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W10" s="44"/>
      <c r="AX10" s="44"/>
      <c r="AY10" s="44"/>
      <c r="AZ10" s="44"/>
      <c r="BA10" s="45"/>
      <c r="BB10" s="45"/>
      <c r="BC10" s="45"/>
      <c r="BD10" s="45"/>
      <c r="BE10" s="45"/>
      <c r="BF10" s="45"/>
      <c r="BG10" s="330">
        <v>264</v>
      </c>
      <c r="BH10" s="354">
        <f>(BH23/BH23)*100</f>
        <v>100</v>
      </c>
      <c r="BI10" s="373">
        <f>(BI37/BH37)*100</f>
        <v>63.138547344403605</v>
      </c>
      <c r="BJ10" s="373">
        <f>(BJ37/BI37)*100</f>
        <v>147.49927274664131</v>
      </c>
      <c r="BK10" s="473"/>
      <c r="BL10" s="373">
        <f>(BL37/BK37)*100</f>
        <v>102.08398250728862</v>
      </c>
      <c r="BM10" s="373"/>
      <c r="BN10" s="373"/>
      <c r="BO10" s="373"/>
      <c r="BP10" s="373"/>
      <c r="BQ10" s="373"/>
      <c r="BR10" s="373"/>
      <c r="BS10" s="373"/>
      <c r="BT10" s="373"/>
      <c r="BU10" s="373"/>
      <c r="BV10" s="373"/>
      <c r="BW10" s="373"/>
      <c r="BX10" s="373"/>
      <c r="BY10" s="373"/>
      <c r="BZ10" s="373"/>
      <c r="CA10" s="373"/>
      <c r="CB10" s="373"/>
      <c r="CC10" s="373"/>
      <c r="CD10" s="373"/>
      <c r="CE10" s="373"/>
      <c r="CF10" s="436"/>
      <c r="CG10" s="270"/>
      <c r="CH10" s="270"/>
      <c r="CI10" s="270"/>
      <c r="CJ10" s="270"/>
      <c r="CK10" s="270"/>
      <c r="CL10" s="270"/>
      <c r="CM10" s="270"/>
      <c r="CN10" s="270"/>
      <c r="CO10" s="270"/>
      <c r="CP10" s="270"/>
      <c r="CQ10" s="270"/>
      <c r="CR10" s="270"/>
      <c r="CS10" s="270"/>
      <c r="CT10" s="270"/>
      <c r="CU10" s="270"/>
      <c r="CV10" s="270"/>
      <c r="CW10" s="270"/>
      <c r="CX10" s="270"/>
      <c r="CY10" s="270"/>
      <c r="CZ10" s="270"/>
      <c r="DA10" s="292"/>
      <c r="DB10" s="236"/>
      <c r="DC10" s="236"/>
      <c r="DD10" s="236">
        <v>264</v>
      </c>
      <c r="DE10" s="236"/>
      <c r="DF10" s="399">
        <v>63.138547344403605</v>
      </c>
      <c r="DG10" s="236"/>
      <c r="DH10" s="492">
        <v>102.08398250728862</v>
      </c>
      <c r="DI10" s="236"/>
      <c r="DJ10" s="236"/>
      <c r="DK10" s="236"/>
      <c r="DL10" s="236"/>
      <c r="DM10" s="236"/>
      <c r="DN10" s="236"/>
      <c r="DO10" s="236"/>
      <c r="DP10" s="236"/>
      <c r="DQ10" s="1084"/>
      <c r="DR10" s="1084"/>
      <c r="DS10" s="1084"/>
      <c r="DT10" s="1084"/>
      <c r="DU10" s="1084"/>
      <c r="DV10" s="1084"/>
      <c r="DW10" s="1084"/>
      <c r="DX10" s="1084"/>
      <c r="DY10" s="1084"/>
      <c r="DZ10" s="1084"/>
      <c r="EA10" s="988"/>
    </row>
    <row r="11" spans="1:131" s="66" customFormat="1">
      <c r="B11" s="70" t="s">
        <v>318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70"/>
      <c r="AV11" s="71"/>
      <c r="AW11" s="71"/>
      <c r="AX11" s="71"/>
      <c r="AY11" s="71"/>
      <c r="AZ11" s="71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1106"/>
      <c r="BN11" s="1106"/>
      <c r="BO11" s="1106"/>
      <c r="BP11" s="1106"/>
      <c r="BQ11" s="1106"/>
      <c r="BR11" s="1106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436"/>
      <c r="CG11" s="270"/>
      <c r="CH11" s="270"/>
      <c r="CI11" s="270"/>
      <c r="CJ11" s="270"/>
      <c r="CK11" s="270"/>
      <c r="CL11" s="270"/>
      <c r="CM11" s="270"/>
      <c r="CN11" s="270"/>
      <c r="CO11" s="270"/>
      <c r="CP11" s="270"/>
      <c r="CQ11" s="270"/>
      <c r="CR11" s="270"/>
      <c r="CS11" s="270"/>
      <c r="CT11" s="270"/>
      <c r="CU11" s="270"/>
      <c r="CV11" s="270"/>
      <c r="CW11" s="270"/>
      <c r="CX11" s="270"/>
      <c r="CY11" s="270"/>
      <c r="CZ11" s="270"/>
      <c r="DA11" s="292"/>
      <c r="DB11" s="236"/>
      <c r="DC11" s="236"/>
      <c r="DD11" s="236"/>
      <c r="DE11" s="236"/>
      <c r="DF11" s="258"/>
      <c r="DG11" s="236"/>
      <c r="DH11" s="492"/>
      <c r="DI11" s="236"/>
      <c r="DJ11" s="236"/>
      <c r="DK11" s="236"/>
      <c r="DL11" s="236"/>
      <c r="DM11" s="236"/>
      <c r="DN11" s="236"/>
      <c r="DO11" s="236"/>
      <c r="DP11" s="236"/>
      <c r="DQ11" s="1084"/>
      <c r="DR11" s="1084"/>
      <c r="DS11" s="1084"/>
      <c r="DT11" s="1084"/>
      <c r="DU11" s="1084"/>
      <c r="DV11" s="1084"/>
      <c r="DW11" s="1084"/>
      <c r="DX11" s="1084"/>
      <c r="DY11" s="1084"/>
      <c r="DZ11" s="1084"/>
      <c r="EA11" s="988"/>
    </row>
    <row r="12" spans="1:131" s="19" customFormat="1">
      <c r="A12" s="135" t="s">
        <v>361</v>
      </c>
      <c r="B12" s="133" t="s">
        <v>361</v>
      </c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63"/>
      <c r="BA12" s="20"/>
      <c r="BB12" s="20"/>
      <c r="BC12" s="20"/>
      <c r="BD12" s="20"/>
      <c r="BE12" s="20" t="s">
        <v>2219</v>
      </c>
      <c r="BF12" s="20"/>
      <c r="BG12" s="20"/>
      <c r="BH12" s="350"/>
      <c r="BI12" s="409">
        <f>(DataInput!BI58/Model!BH13)*100</f>
        <v>70.574965392176807</v>
      </c>
      <c r="BJ12" s="409">
        <f>(DataInput!BJ58/Model!BI13)*100</f>
        <v>98.032792434798566</v>
      </c>
      <c r="BK12" s="349"/>
      <c r="BL12" s="409">
        <f>(DataInput!BL58/Model!BK13)*100</f>
        <v>85.182750050303383</v>
      </c>
      <c r="BM12" s="409">
        <f>(DataInput!BM58/Model!BL13)*100</f>
        <v>95.292356317058974</v>
      </c>
      <c r="BN12" s="409">
        <f>(DataInput!BN58/Model!BM13)*100</f>
        <v>101.33970498385266</v>
      </c>
      <c r="BO12" s="409">
        <f>(DataInput!BO58/Model!BN13)*100</f>
        <v>194.37034957180961</v>
      </c>
      <c r="BP12" s="409">
        <f>(DataInput!BP58/Model!BO13)*100</f>
        <v>266.10007319294624</v>
      </c>
      <c r="BQ12" s="409"/>
      <c r="BR12" s="409"/>
      <c r="BS12" s="409"/>
      <c r="BT12" s="409"/>
      <c r="BU12" s="409"/>
      <c r="BV12" s="409"/>
      <c r="BW12" s="409"/>
      <c r="BX12" s="409"/>
      <c r="BY12" s="409"/>
      <c r="BZ12" s="409"/>
      <c r="CA12" s="409"/>
      <c r="CB12" s="409"/>
      <c r="CC12" s="409"/>
      <c r="CD12" s="409"/>
      <c r="CE12" s="409"/>
      <c r="CF12" s="4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38"/>
      <c r="DB12" s="236"/>
      <c r="DC12" s="236"/>
      <c r="DD12" s="236"/>
      <c r="DE12" s="236"/>
      <c r="DF12" s="400">
        <v>70.574965392176807</v>
      </c>
      <c r="DG12" s="236"/>
      <c r="DH12" s="492">
        <v>85.182750050303383</v>
      </c>
      <c r="DI12" s="236">
        <v>101.33970498385266</v>
      </c>
      <c r="DJ12" s="236">
        <v>194.37034957180961</v>
      </c>
      <c r="DK12" s="236">
        <v>266.10007319294624</v>
      </c>
      <c r="DL12" s="236"/>
      <c r="DM12" s="236"/>
      <c r="DN12" s="236"/>
      <c r="DO12" s="236"/>
      <c r="DP12" s="236"/>
      <c r="DQ12" s="1084"/>
      <c r="DR12" s="1084"/>
      <c r="DS12" s="1084"/>
      <c r="DT12" s="1084"/>
      <c r="DU12" s="1084"/>
      <c r="DV12" s="1084"/>
      <c r="DW12" s="1084"/>
      <c r="DX12" s="1084"/>
      <c r="DY12" s="1084"/>
      <c r="DZ12" s="1084"/>
      <c r="EA12" s="988"/>
    </row>
    <row r="13" spans="1:131" s="76" customFormat="1">
      <c r="A13" s="76" t="s">
        <v>3857</v>
      </c>
      <c r="B13" s="73" t="s">
        <v>77</v>
      </c>
      <c r="C13" s="51" t="s">
        <v>92</v>
      </c>
      <c r="D13" s="207" t="s">
        <v>4397</v>
      </c>
      <c r="E13" s="207"/>
      <c r="F13" s="295">
        <f>mamiabc!F111</f>
        <v>0</v>
      </c>
      <c r="G13" s="295">
        <f>mamiabc!G111</f>
        <v>0</v>
      </c>
      <c r="H13" s="295">
        <f>mamiabc!H111</f>
        <v>0</v>
      </c>
      <c r="I13" s="295">
        <f>mamiabc!I111</f>
        <v>0</v>
      </c>
      <c r="J13" s="295">
        <f>mamiabc!J111</f>
        <v>0</v>
      </c>
      <c r="K13" s="295">
        <f>mamiabc!K111</f>
        <v>0</v>
      </c>
      <c r="L13" s="295">
        <f>mamiabc!L111</f>
        <v>0</v>
      </c>
      <c r="M13" s="295">
        <f>mamiabc!M111</f>
        <v>0</v>
      </c>
      <c r="N13" s="295">
        <f>mamiabc!N111</f>
        <v>0</v>
      </c>
      <c r="O13" s="295">
        <f>mamiabc!O111</f>
        <v>0</v>
      </c>
      <c r="P13" s="295">
        <f>mamiabc!P111</f>
        <v>0</v>
      </c>
      <c r="Q13" s="295">
        <f>mamiabc!Q111</f>
        <v>59</v>
      </c>
      <c r="R13" s="295">
        <f>mamiabc!R111</f>
        <v>347</v>
      </c>
      <c r="S13" s="295">
        <f>mamiabc!S111</f>
        <v>684</v>
      </c>
      <c r="T13" s="295">
        <f>mamiabc!T111</f>
        <v>702</v>
      </c>
      <c r="U13" s="295">
        <f>mamiabc!U111</f>
        <v>856</v>
      </c>
      <c r="V13" s="295">
        <f>mamiabc!V111</f>
        <v>893</v>
      </c>
      <c r="W13" s="295">
        <f>mamiabc!W111</f>
        <v>1149</v>
      </c>
      <c r="X13" s="295">
        <f>mamiabc!X111</f>
        <v>1279</v>
      </c>
      <c r="Y13" s="295">
        <f>mamiabc!Y111</f>
        <v>1209</v>
      </c>
      <c r="Z13" s="295">
        <f>mamiabc!Z111</f>
        <v>1077</v>
      </c>
      <c r="AA13" s="295">
        <f>mamiabc!AA111</f>
        <v>1087</v>
      </c>
      <c r="AB13" s="295">
        <f>mamiabc!AB111</f>
        <v>1071</v>
      </c>
      <c r="AC13" s="295">
        <f>mamiabc!AC111</f>
        <v>1059</v>
      </c>
      <c r="AD13" s="295">
        <f>mamiabc!AD111</f>
        <v>1125</v>
      </c>
      <c r="AE13" s="295">
        <f>mamiabc!AE111</f>
        <v>1185</v>
      </c>
      <c r="AF13" s="295">
        <f>mamiabc!AF111</f>
        <v>1329</v>
      </c>
      <c r="AG13" s="295">
        <f>mamiabc!AG111</f>
        <v>1165</v>
      </c>
      <c r="AH13" s="295">
        <f>mamiabc!AH111</f>
        <v>1055</v>
      </c>
      <c r="AI13" s="295">
        <f>mamiabc!AI111</f>
        <v>1143</v>
      </c>
      <c r="AJ13" s="295">
        <f>mamiabc!AJ111</f>
        <v>1097</v>
      </c>
      <c r="AK13" s="295">
        <f>mamiabc!AK111</f>
        <v>1265</v>
      </c>
      <c r="AL13" s="295">
        <f>mamiabc!AL111</f>
        <v>1343</v>
      </c>
      <c r="AM13" s="295">
        <f>mamiabc!AM111</f>
        <v>1342.1</v>
      </c>
      <c r="AN13" s="295">
        <f>mamiabc!AN111</f>
        <v>1630</v>
      </c>
      <c r="AO13" s="295">
        <f>mamiabc!AO111</f>
        <v>1553</v>
      </c>
      <c r="AP13" s="295">
        <f>mamiabc!AP111</f>
        <v>1448.2</v>
      </c>
      <c r="AQ13" s="295">
        <f>mamiabc!AQ111</f>
        <v>1393.4</v>
      </c>
      <c r="AR13" s="295">
        <f>mamiabc!AR111</f>
        <v>1513.6</v>
      </c>
      <c r="AS13" s="295">
        <f>mamiabc!AS111</f>
        <v>1426.1</v>
      </c>
      <c r="AT13" s="295">
        <f>mamiabc!AT111</f>
        <v>1385</v>
      </c>
      <c r="AU13" s="295">
        <f>mamiabc!AU111</f>
        <v>1586</v>
      </c>
      <c r="AV13" s="74">
        <f>DataInput!AV58</f>
        <v>1608</v>
      </c>
      <c r="AW13" s="74">
        <f>DataInput!AW58</f>
        <v>1647</v>
      </c>
      <c r="AX13" s="74">
        <f>DataInput!AX58</f>
        <v>1740</v>
      </c>
      <c r="AY13" s="74">
        <f>DataInput!AY58</f>
        <v>1858</v>
      </c>
      <c r="AZ13" s="74">
        <f>DataInput!AZ58</f>
        <v>1869.3</v>
      </c>
      <c r="BA13" s="74">
        <f>DataInput!BA58</f>
        <v>1909</v>
      </c>
      <c r="BB13" s="74">
        <f>DataInput!BB58</f>
        <v>1886</v>
      </c>
      <c r="BC13" s="74">
        <f>DataInput!BC58</f>
        <v>2041</v>
      </c>
      <c r="BD13" s="74">
        <f>DataInput!BD58</f>
        <v>2030</v>
      </c>
      <c r="BE13" s="74">
        <f>DataInput!BE58</f>
        <v>1946</v>
      </c>
      <c r="BF13" s="74">
        <f>DataInput!BF58</f>
        <v>2127.1869999999999</v>
      </c>
      <c r="BG13" s="74">
        <f>DataInput!BG58</f>
        <v>2161.7530000000002</v>
      </c>
      <c r="BH13" s="74">
        <f>DataInput!BH58</f>
        <v>2176.5309999999999</v>
      </c>
      <c r="BI13" s="74">
        <f>DataInput!BI58</f>
        <v>1536.086</v>
      </c>
      <c r="BJ13" s="74">
        <f>DataInput!BJ58</f>
        <v>1505.8679999999999</v>
      </c>
      <c r="BK13" s="74">
        <f>DataInput!BK58</f>
        <v>1411.4359999999999</v>
      </c>
      <c r="BL13" s="74">
        <f>DataInput!BL58</f>
        <v>1202.3</v>
      </c>
      <c r="BM13" s="74">
        <f>DataInput!BM58</f>
        <v>1145.7</v>
      </c>
      <c r="BN13" s="74">
        <f>DataInput!BN58</f>
        <v>1161.049</v>
      </c>
      <c r="BO13" s="75">
        <f>BN13*(1+SIM!W$3/100)*(1+SIM!W5/100)+finsim!BN13</f>
        <v>777.90282999999988</v>
      </c>
      <c r="BP13" s="75">
        <f>BO13*(1+SIM!X$3/100)*(1+SIM!X5/100)+finsim!BO13</f>
        <v>7.7790282527231806E-6</v>
      </c>
      <c r="BQ13" s="75">
        <f>BP13*(1+SIM!Y$3/100)*(1+SIM!Y5/100)+finsim!BP13</f>
        <v>7.7790282527231806E-6</v>
      </c>
      <c r="BR13" s="75">
        <f>BQ13*(1+SIM!Z$3/100)*(1+SIM!Z5/100)+finsim!BQ13</f>
        <v>7.7790282527231806E-6</v>
      </c>
      <c r="BS13" s="75">
        <f>BR13*(1+SIM!AA$3/100)*(1+SIM!AA5/100)+finsim!BR13</f>
        <v>7.7790282527231806E-6</v>
      </c>
      <c r="BT13" s="75">
        <f>BS13*(1+SIM!AB$3/100)*(1+SIM!AB5/100)+finsim!BS13</f>
        <v>7.7790282527231806E-6</v>
      </c>
      <c r="BU13" s="75">
        <f>BT13*(1+SIM!AC$3/100)*(1+SIM!AC5/100)+finsim!BT13</f>
        <v>7.7790282527231806E-6</v>
      </c>
      <c r="BV13" s="75">
        <f>BU13*(1+SIM!AD$3/100)*(1+SIM!AD5/100)+finsim!BU13</f>
        <v>7.7790282527231806E-6</v>
      </c>
      <c r="BW13" s="75">
        <f>BV13*(1+SIM!AE$3/100)*(1+SIM!AE5/100)+finsim!BV13</f>
        <v>7.7790282527231806E-6</v>
      </c>
      <c r="BX13" s="75">
        <f>BW13*(1+SIM!AF$3/100)*(1+SIM!AF5/100)+finsim!BW13</f>
        <v>7.7790282527231806E-6</v>
      </c>
      <c r="BY13" s="75">
        <f>BX13*(1+SIM!AG$3/100)*(1+SIM!AG5/100)+finsim!BX13</f>
        <v>7.7790282527231806E-6</v>
      </c>
      <c r="BZ13" s="75">
        <f>BY13*(1+SIM!AH$3/100)*(1+SIM!AH5/100)+finsim!BY13</f>
        <v>7.7790282527231806E-6</v>
      </c>
      <c r="CA13" s="75">
        <f>BZ13*(1+SIM!AI$3/100)*(1+SIM!AI5/100)+finsim!BZ13</f>
        <v>7.7790282527231806E-6</v>
      </c>
      <c r="CB13" s="75">
        <f>CA13*(1+SIM!AJ$3/100)*(1+SIM!AJ5/100)+finsim!CA13</f>
        <v>7.7790282527231806E-6</v>
      </c>
      <c r="CC13" s="75">
        <f>CB13*(1+SIM!AK$3/100)*(1+SIM!AK5/100)+finsim!CB13</f>
        <v>7.7790282527231806E-6</v>
      </c>
      <c r="CD13" s="75">
        <f>CC13*(1+SIM!AL$3/100)*(1+SIM!AL5/100)+finsim!CC13</f>
        <v>7.7790282527231806E-6</v>
      </c>
      <c r="CE13" s="75"/>
      <c r="CF13" s="438"/>
      <c r="CG13" s="235">
        <f t="shared" ref="CG13:CH16" si="12">BK13-DG13</f>
        <v>0</v>
      </c>
      <c r="CH13" s="235">
        <f t="shared" si="12"/>
        <v>0</v>
      </c>
      <c r="CI13" s="235" t="e">
        <f>BM13-#REF!</f>
        <v>#REF!</v>
      </c>
      <c r="CJ13" s="235">
        <f t="shared" ref="CJ13:CS19" si="13">BN13-DI13</f>
        <v>0</v>
      </c>
      <c r="CK13" s="235">
        <f t="shared" si="13"/>
        <v>0</v>
      </c>
      <c r="CL13" s="235">
        <f t="shared" si="13"/>
        <v>0</v>
      </c>
      <c r="CM13" s="235">
        <f t="shared" si="13"/>
        <v>0</v>
      </c>
      <c r="CN13" s="235">
        <f t="shared" si="13"/>
        <v>0</v>
      </c>
      <c r="CO13" s="235">
        <f t="shared" si="13"/>
        <v>0</v>
      </c>
      <c r="CP13" s="235">
        <f t="shared" si="13"/>
        <v>0</v>
      </c>
      <c r="CQ13" s="235">
        <f t="shared" si="13"/>
        <v>0</v>
      </c>
      <c r="CR13" s="235">
        <f t="shared" si="13"/>
        <v>0</v>
      </c>
      <c r="CS13" s="235">
        <f t="shared" si="13"/>
        <v>0</v>
      </c>
      <c r="CT13" s="235">
        <f t="shared" ref="CT13:CZ19" si="14">BX13-DS13</f>
        <v>0</v>
      </c>
      <c r="CU13" s="235">
        <f t="shared" si="14"/>
        <v>0</v>
      </c>
      <c r="CV13" s="235">
        <f t="shared" si="14"/>
        <v>0</v>
      </c>
      <c r="CW13" s="235">
        <f t="shared" si="14"/>
        <v>0</v>
      </c>
      <c r="CX13" s="235">
        <f t="shared" si="14"/>
        <v>0</v>
      </c>
      <c r="CY13" s="235">
        <f t="shared" si="14"/>
        <v>0</v>
      </c>
      <c r="CZ13" s="235">
        <f t="shared" si="14"/>
        <v>0</v>
      </c>
      <c r="DA13" s="38"/>
      <c r="DB13" s="236">
        <v>2126.1869999999999</v>
      </c>
      <c r="DC13" s="236">
        <v>2127.1869999999999</v>
      </c>
      <c r="DD13" s="236">
        <v>2161.7530000000002</v>
      </c>
      <c r="DE13" s="236">
        <v>2176.5309999999999</v>
      </c>
      <c r="DF13" s="401">
        <v>1536.086</v>
      </c>
      <c r="DG13" s="236">
        <v>1411.4359999999999</v>
      </c>
      <c r="DH13" s="492">
        <v>1202.3</v>
      </c>
      <c r="DI13" s="236">
        <v>1161.049</v>
      </c>
      <c r="DJ13" s="236">
        <v>777.90282999999988</v>
      </c>
      <c r="DK13" s="236">
        <v>7.7790282527231806E-6</v>
      </c>
      <c r="DL13" s="236">
        <v>7.7790282527231806E-6</v>
      </c>
      <c r="DM13" s="236">
        <v>7.7790282527231806E-6</v>
      </c>
      <c r="DN13" s="236">
        <v>7.7790282527231806E-6</v>
      </c>
      <c r="DO13" s="236">
        <v>7.7790282527231806E-6</v>
      </c>
      <c r="DP13" s="236">
        <v>7.7790282527231806E-6</v>
      </c>
      <c r="DQ13" s="401">
        <v>7.7790282527231806E-6</v>
      </c>
      <c r="DR13" s="401">
        <v>7.7790282527231806E-6</v>
      </c>
      <c r="DS13" s="401">
        <v>7.7790282527231806E-6</v>
      </c>
      <c r="DT13" s="401">
        <v>7.7790282527231806E-6</v>
      </c>
      <c r="DU13" s="401">
        <v>7.7790282527231806E-6</v>
      </c>
      <c r="DV13" s="401">
        <v>7.7790282527231806E-6</v>
      </c>
      <c r="DW13" s="401">
        <v>7.7790282527231806E-6</v>
      </c>
      <c r="DX13" s="401">
        <v>7.7790282527231806E-6</v>
      </c>
      <c r="DY13" s="401">
        <v>7.7790282527231806E-6</v>
      </c>
      <c r="DZ13" s="401"/>
      <c r="EA13" s="989"/>
    </row>
    <row r="14" spans="1:131" s="76" customFormat="1">
      <c r="A14" s="73" t="s">
        <v>3172</v>
      </c>
      <c r="B14" s="73" t="s">
        <v>2316</v>
      </c>
      <c r="C14" s="51" t="s">
        <v>93</v>
      </c>
      <c r="D14" s="207" t="s">
        <v>4397</v>
      </c>
      <c r="E14" s="207"/>
      <c r="F14" s="295">
        <f>mamiabc!F113</f>
        <v>0</v>
      </c>
      <c r="G14" s="295">
        <f>mamiabc!G113</f>
        <v>0</v>
      </c>
      <c r="H14" s="295">
        <f>mamiabc!H113</f>
        <v>0</v>
      </c>
      <c r="I14" s="295">
        <f>mamiabc!I113</f>
        <v>0</v>
      </c>
      <c r="J14" s="295">
        <f>mamiabc!J113</f>
        <v>0</v>
      </c>
      <c r="K14" s="295">
        <f>mamiabc!K113</f>
        <v>0</v>
      </c>
      <c r="L14" s="295">
        <f>mamiabc!L113</f>
        <v>0</v>
      </c>
      <c r="M14" s="295">
        <f>mamiabc!M113</f>
        <v>0</v>
      </c>
      <c r="N14" s="295">
        <f>mamiabc!N113</f>
        <v>0</v>
      </c>
      <c r="O14" s="295">
        <f>mamiabc!O113</f>
        <v>0</v>
      </c>
      <c r="P14" s="295">
        <f>mamiabc!P113</f>
        <v>0</v>
      </c>
      <c r="Q14" s="295">
        <f>mamiabc!Q113</f>
        <v>1.3</v>
      </c>
      <c r="R14" s="295">
        <f>mamiabc!R113</f>
        <v>25.5</v>
      </c>
      <c r="S14" s="295">
        <f>mamiabc!S113</f>
        <v>30.4</v>
      </c>
      <c r="T14" s="295">
        <f>mamiabc!T113</f>
        <v>43.2</v>
      </c>
      <c r="U14" s="295">
        <f>mamiabc!U113</f>
        <v>53.1</v>
      </c>
      <c r="V14" s="295">
        <f>mamiabc!V113</f>
        <v>52.8</v>
      </c>
      <c r="W14" s="295">
        <f>mamiabc!W113</f>
        <v>47.4</v>
      </c>
      <c r="X14" s="295">
        <f>mamiabc!X113</f>
        <v>42.6</v>
      </c>
      <c r="Y14" s="295">
        <f>mamiabc!Y113</f>
        <v>54.2</v>
      </c>
      <c r="Z14" s="295">
        <f>mamiabc!Z113</f>
        <v>54.1</v>
      </c>
      <c r="AA14" s="295">
        <f>mamiabc!AA113</f>
        <v>26.4</v>
      </c>
      <c r="AB14" s="295">
        <f>mamiabc!AB113</f>
        <v>46.3</v>
      </c>
      <c r="AC14" s="295">
        <f>mamiabc!AC113</f>
        <v>57.7</v>
      </c>
      <c r="AD14" s="295">
        <f>mamiabc!AD113</f>
        <v>55</v>
      </c>
      <c r="AE14" s="295">
        <f>mamiabc!AE113</f>
        <v>63.5</v>
      </c>
      <c r="AF14" s="295">
        <f>mamiabc!AF113</f>
        <v>43.8</v>
      </c>
      <c r="AG14" s="295">
        <f>mamiabc!AG113</f>
        <v>31.58</v>
      </c>
      <c r="AH14" s="295">
        <f>mamiabc!AH113</f>
        <v>60.3</v>
      </c>
      <c r="AI14" s="295">
        <f>mamiabc!AI113</f>
        <v>28.65</v>
      </c>
      <c r="AJ14" s="295">
        <f>mamiabc!AJ113</f>
        <v>29.44</v>
      </c>
      <c r="AK14" s="295">
        <f>mamiabc!AK113</f>
        <v>28.1</v>
      </c>
      <c r="AL14" s="295">
        <f>mamiabc!AL113</f>
        <v>29.5</v>
      </c>
      <c r="AM14" s="295">
        <f>mamiabc!AM113</f>
        <v>3.2</v>
      </c>
      <c r="AN14" s="295">
        <f>mamiabc!AN113</f>
        <v>8</v>
      </c>
      <c r="AO14" s="295">
        <f>mamiabc!AO113</f>
        <v>26.1</v>
      </c>
      <c r="AP14" s="295">
        <f>mamiabc!AP113</f>
        <v>27.4</v>
      </c>
      <c r="AQ14" s="295">
        <f>mamiabc!AQ113</f>
        <v>20.9</v>
      </c>
      <c r="AR14" s="295">
        <f>mamiabc!AR113</f>
        <v>34.5</v>
      </c>
      <c r="AS14" s="295">
        <f>mamiabc!AS113</f>
        <v>28.7</v>
      </c>
      <c r="AT14" s="295">
        <f>mamiabc!AT113</f>
        <v>25</v>
      </c>
      <c r="AU14" s="295">
        <f>mamiabc!AU113</f>
        <v>26.3</v>
      </c>
      <c r="AV14" s="74">
        <f>DataInput!AV60</f>
        <v>27</v>
      </c>
      <c r="AW14" s="74">
        <f>DataInput!AW60</f>
        <v>28</v>
      </c>
      <c r="AX14" s="74">
        <f>DataInput!AX60</f>
        <v>26.6</v>
      </c>
      <c r="AY14" s="74">
        <f>DataInput!AY60</f>
        <v>6.6</v>
      </c>
      <c r="AZ14" s="74">
        <f>DataInput!AZ60</f>
        <v>0</v>
      </c>
      <c r="BA14" s="74">
        <f>DataInput!BA60</f>
        <v>0</v>
      </c>
      <c r="BB14" s="74">
        <f>DataInput!BB60</f>
        <v>0</v>
      </c>
      <c r="BC14" s="74">
        <f>DataInput!BC60</f>
        <v>0</v>
      </c>
      <c r="BD14" s="74">
        <f>DataInput!BD60</f>
        <v>0</v>
      </c>
      <c r="BE14" s="74">
        <f>DataInput!BE60</f>
        <v>0</v>
      </c>
      <c r="BF14" s="74">
        <f>DataInput!BF60</f>
        <v>0</v>
      </c>
      <c r="BG14" s="74">
        <f>DataInput!BG60</f>
        <v>0</v>
      </c>
      <c r="BH14" s="74">
        <f>DataInput!BH60</f>
        <v>0</v>
      </c>
      <c r="BI14" s="74">
        <f>DataInput!BI60</f>
        <v>0</v>
      </c>
      <c r="BJ14" s="74">
        <f>DataInput!BJ60</f>
        <v>0</v>
      </c>
      <c r="BK14" s="74">
        <f>DataInput!BK60</f>
        <v>0</v>
      </c>
      <c r="BL14" s="74">
        <f>DataInput!BL60</f>
        <v>0</v>
      </c>
      <c r="BM14" s="74">
        <f>DataInput!BM60</f>
        <v>0</v>
      </c>
      <c r="BN14" s="74">
        <f>DataInput!BN60</f>
        <v>0</v>
      </c>
      <c r="BO14" s="75">
        <f>BN14*(1+SIM!W$3/100)+finsim!BN14</f>
        <v>0</v>
      </c>
      <c r="BP14" s="75">
        <f>BO14*(1+SIM!X$3/100)+finsim!BO14</f>
        <v>0</v>
      </c>
      <c r="BQ14" s="75">
        <f>BP14*(1+SIM!Y$3/100)+finsim!BP14</f>
        <v>0</v>
      </c>
      <c r="BR14" s="75">
        <f>BQ14*(1+SIM!Z$3/100)+finsim!BQ14</f>
        <v>0</v>
      </c>
      <c r="BS14" s="75">
        <f>BR14*(1+SIM!AA$3/100)+finsim!BR14</f>
        <v>0</v>
      </c>
      <c r="BT14" s="75">
        <f>BS14*(1+SIM!AB$3/100)+finsim!BS14</f>
        <v>0</v>
      </c>
      <c r="BU14" s="75">
        <f>BT14*(1+SIM!AC$3/100)+finsim!BT14</f>
        <v>0</v>
      </c>
      <c r="BV14" s="75">
        <f>BU14*(1+SIM!AD$3/100)+finsim!BU14</f>
        <v>0</v>
      </c>
      <c r="BW14" s="75">
        <f>BV14*(1+SIM!AE$3/100)+finsim!BV14</f>
        <v>0</v>
      </c>
      <c r="BX14" s="75">
        <f>BW14*(1+SIM!AF$3/100)+finsim!BW14</f>
        <v>0</v>
      </c>
      <c r="BY14" s="75">
        <f>BX14*(1+SIM!AG$3/100)+finsim!BX14</f>
        <v>0</v>
      </c>
      <c r="BZ14" s="75">
        <f>BY14*(1+SIM!AH$3/100)+finsim!BY14</f>
        <v>0</v>
      </c>
      <c r="CA14" s="75">
        <f>BZ14*(1+SIM!AI$3/100)+finsim!BZ14</f>
        <v>0</v>
      </c>
      <c r="CB14" s="75">
        <f>CA14*(1+SIM!AJ$3/100)+finsim!CA14</f>
        <v>0</v>
      </c>
      <c r="CC14" s="75">
        <f>CB14*(1+SIM!AK$3/100)+finsim!CB14</f>
        <v>0</v>
      </c>
      <c r="CD14" s="75">
        <f>CC14*(1+SIM!AL$3/100)+finsim!CC14</f>
        <v>0</v>
      </c>
      <c r="CE14" s="75"/>
      <c r="CF14" s="438"/>
      <c r="CG14" s="235">
        <f t="shared" si="12"/>
        <v>0</v>
      </c>
      <c r="CH14" s="235">
        <f t="shared" si="12"/>
        <v>0</v>
      </c>
      <c r="CI14" s="235" t="e">
        <f>BM14-#REF!</f>
        <v>#REF!</v>
      </c>
      <c r="CJ14" s="235">
        <f t="shared" si="13"/>
        <v>0</v>
      </c>
      <c r="CK14" s="235">
        <f t="shared" si="13"/>
        <v>0</v>
      </c>
      <c r="CL14" s="235">
        <f t="shared" si="13"/>
        <v>0</v>
      </c>
      <c r="CM14" s="235">
        <f t="shared" si="13"/>
        <v>0</v>
      </c>
      <c r="CN14" s="235">
        <f t="shared" si="13"/>
        <v>0</v>
      </c>
      <c r="CO14" s="235">
        <f t="shared" si="13"/>
        <v>0</v>
      </c>
      <c r="CP14" s="235">
        <f t="shared" si="13"/>
        <v>0</v>
      </c>
      <c r="CQ14" s="235">
        <f t="shared" si="13"/>
        <v>0</v>
      </c>
      <c r="CR14" s="235">
        <f t="shared" si="13"/>
        <v>0</v>
      </c>
      <c r="CS14" s="235">
        <f t="shared" si="13"/>
        <v>0</v>
      </c>
      <c r="CT14" s="235">
        <f t="shared" si="14"/>
        <v>0</v>
      </c>
      <c r="CU14" s="235">
        <f t="shared" si="14"/>
        <v>0</v>
      </c>
      <c r="CV14" s="235">
        <f t="shared" si="14"/>
        <v>0</v>
      </c>
      <c r="CW14" s="235">
        <f t="shared" si="14"/>
        <v>0</v>
      </c>
      <c r="CX14" s="235">
        <f t="shared" si="14"/>
        <v>0</v>
      </c>
      <c r="CY14" s="235">
        <f t="shared" si="14"/>
        <v>0</v>
      </c>
      <c r="CZ14" s="235">
        <f t="shared" si="14"/>
        <v>0</v>
      </c>
      <c r="DA14" s="38"/>
      <c r="DB14" s="236">
        <v>-1</v>
      </c>
      <c r="DC14" s="236">
        <v>0</v>
      </c>
      <c r="DD14" s="236">
        <v>0</v>
      </c>
      <c r="DE14" s="236">
        <v>0</v>
      </c>
      <c r="DF14" s="401">
        <v>0</v>
      </c>
      <c r="DG14" s="236">
        <v>0</v>
      </c>
      <c r="DH14" s="492">
        <v>0</v>
      </c>
      <c r="DI14" s="236">
        <v>0</v>
      </c>
      <c r="DJ14" s="236">
        <v>0</v>
      </c>
      <c r="DK14" s="236">
        <v>0</v>
      </c>
      <c r="DL14" s="236">
        <v>0</v>
      </c>
      <c r="DM14" s="236">
        <v>0</v>
      </c>
      <c r="DN14" s="236">
        <v>0</v>
      </c>
      <c r="DO14" s="236">
        <v>0</v>
      </c>
      <c r="DP14" s="236">
        <v>0</v>
      </c>
      <c r="DQ14" s="401">
        <v>0</v>
      </c>
      <c r="DR14" s="401">
        <v>0</v>
      </c>
      <c r="DS14" s="401">
        <v>0</v>
      </c>
      <c r="DT14" s="401">
        <v>0</v>
      </c>
      <c r="DU14" s="401">
        <v>0</v>
      </c>
      <c r="DV14" s="401">
        <v>0</v>
      </c>
      <c r="DW14" s="401">
        <v>0</v>
      </c>
      <c r="DX14" s="401">
        <v>0</v>
      </c>
      <c r="DY14" s="401">
        <v>0</v>
      </c>
      <c r="DZ14" s="401"/>
      <c r="EA14" s="989"/>
    </row>
    <row r="15" spans="1:131" s="76" customFormat="1">
      <c r="A15" s="76" t="s">
        <v>3858</v>
      </c>
      <c r="B15" s="73" t="s">
        <v>2527</v>
      </c>
      <c r="C15" s="51" t="s">
        <v>94</v>
      </c>
      <c r="D15" s="207" t="s">
        <v>4398</v>
      </c>
      <c r="E15" s="207"/>
      <c r="F15" s="295">
        <f>mamiabc!F125</f>
        <v>0</v>
      </c>
      <c r="G15" s="295">
        <f>mamiabc!G125</f>
        <v>0</v>
      </c>
      <c r="H15" s="295">
        <f>mamiabc!H125</f>
        <v>0</v>
      </c>
      <c r="I15" s="295">
        <f>mamiabc!I125</f>
        <v>0</v>
      </c>
      <c r="J15" s="295">
        <f>mamiabc!J125</f>
        <v>0</v>
      </c>
      <c r="K15" s="295">
        <f>mamiabc!K125</f>
        <v>0</v>
      </c>
      <c r="L15" s="295">
        <f>mamiabc!L125</f>
        <v>0</v>
      </c>
      <c r="M15" s="295">
        <f>mamiabc!M125</f>
        <v>0</v>
      </c>
      <c r="N15" s="295">
        <f>mamiabc!N125</f>
        <v>0</v>
      </c>
      <c r="O15" s="295">
        <f>mamiabc!O125</f>
        <v>0</v>
      </c>
      <c r="P15" s="295">
        <f>mamiabc!P125</f>
        <v>0</v>
      </c>
      <c r="Q15" s="295">
        <f>mamiabc!Q125</f>
        <v>0</v>
      </c>
      <c r="R15" s="295">
        <f>mamiabc!R125</f>
        <v>0</v>
      </c>
      <c r="S15" s="295">
        <f>mamiabc!S125</f>
        <v>0</v>
      </c>
      <c r="T15" s="295">
        <f>mamiabc!T125</f>
        <v>0</v>
      </c>
      <c r="U15" s="295">
        <f>mamiabc!U125</f>
        <v>0</v>
      </c>
      <c r="V15" s="295">
        <f>mamiabc!V125</f>
        <v>0</v>
      </c>
      <c r="W15" s="295">
        <f>mamiabc!W125</f>
        <v>0</v>
      </c>
      <c r="X15" s="295">
        <f>mamiabc!X125</f>
        <v>0</v>
      </c>
      <c r="Y15" s="295">
        <f>mamiabc!Y125</f>
        <v>0</v>
      </c>
      <c r="Z15" s="295">
        <f>mamiabc!Z125</f>
        <v>0</v>
      </c>
      <c r="AA15" s="295">
        <f>mamiabc!AA125</f>
        <v>0</v>
      </c>
      <c r="AB15" s="295">
        <f>mamiabc!AB125</f>
        <v>0</v>
      </c>
      <c r="AC15" s="295">
        <f>mamiabc!AC125</f>
        <v>0</v>
      </c>
      <c r="AD15" s="295">
        <f>mamiabc!AD125</f>
        <v>0</v>
      </c>
      <c r="AE15" s="295">
        <f>mamiabc!AE125</f>
        <v>0</v>
      </c>
      <c r="AF15" s="295">
        <f>mamiabc!AF125</f>
        <v>0</v>
      </c>
      <c r="AG15" s="295">
        <f>mamiabc!AG125</f>
        <v>0</v>
      </c>
      <c r="AH15" s="295">
        <f>mamiabc!AH125</f>
        <v>0</v>
      </c>
      <c r="AI15" s="295">
        <f>mamiabc!AI125</f>
        <v>0</v>
      </c>
      <c r="AJ15" s="295">
        <f>mamiabc!AJ125</f>
        <v>0</v>
      </c>
      <c r="AK15" s="295">
        <f>mamiabc!AK125</f>
        <v>0</v>
      </c>
      <c r="AL15" s="295">
        <f>mamiabc!AL125</f>
        <v>0</v>
      </c>
      <c r="AM15" s="295">
        <f>mamiabc!AM125</f>
        <v>0</v>
      </c>
      <c r="AN15" s="295">
        <f>mamiabc!AN125</f>
        <v>0</v>
      </c>
      <c r="AO15" s="295">
        <f>mamiabc!AO125</f>
        <v>0</v>
      </c>
      <c r="AP15" s="295">
        <f>mamiabc!AP125</f>
        <v>366.02201257861634</v>
      </c>
      <c r="AQ15" s="295">
        <f>mamiabc!AQ125</f>
        <v>408.82012578616354</v>
      </c>
      <c r="AR15" s="295">
        <f>mamiabc!AR125</f>
        <v>470.28050314465412</v>
      </c>
      <c r="AS15" s="295">
        <f>mamiabc!AS125</f>
        <v>483.49937106918236</v>
      </c>
      <c r="AT15" s="295">
        <f>mamiabc!AT125</f>
        <v>957.79559748427675</v>
      </c>
      <c r="AU15" s="295">
        <f>mamiabc!AU125</f>
        <v>1074.7045785881808</v>
      </c>
      <c r="AV15" s="74">
        <f>DataInput!AV70</f>
        <v>1382</v>
      </c>
      <c r="AW15" s="74">
        <f>DataInput!AW70</f>
        <v>1689</v>
      </c>
      <c r="AX15" s="74">
        <f>DataInput!AX70</f>
        <v>1616</v>
      </c>
      <c r="AY15" s="74">
        <f>DataInput!AY70</f>
        <v>2020</v>
      </c>
      <c r="AZ15" s="74">
        <f>DataInput!AZ70</f>
        <v>836</v>
      </c>
      <c r="BA15" s="74">
        <f>DataInput!BA70</f>
        <v>535</v>
      </c>
      <c r="BB15" s="74">
        <f>DataInput!BB70</f>
        <v>557.029</v>
      </c>
      <c r="BC15" s="74">
        <f>DataInput!BC70</f>
        <v>5</v>
      </c>
      <c r="BD15" s="74">
        <f>DataInput!BD70</f>
        <v>0</v>
      </c>
      <c r="BE15" s="74">
        <f>DataInput!BE70</f>
        <v>2.0019999999999998</v>
      </c>
      <c r="BF15" s="74">
        <f>DataInput!BF70</f>
        <v>192</v>
      </c>
      <c r="BG15" s="74">
        <f>DataInput!BG70</f>
        <v>260</v>
      </c>
      <c r="BH15" s="74">
        <f>DataInput!BH70</f>
        <v>0</v>
      </c>
      <c r="BI15" s="74">
        <f>DataInput!BI70</f>
        <v>0</v>
      </c>
      <c r="BJ15" s="74">
        <f>DataInput!BJ70</f>
        <v>0</v>
      </c>
      <c r="BK15" s="74">
        <f>DataInput!BK70</f>
        <v>0</v>
      </c>
      <c r="BL15" s="74">
        <f>DataInput!BL70</f>
        <v>0</v>
      </c>
      <c r="BM15" s="74">
        <f>DataInput!BM70</f>
        <v>0</v>
      </c>
      <c r="BN15" s="74">
        <f>DataInput!BN70</f>
        <v>0</v>
      </c>
      <c r="BO15" s="75">
        <f>BN15*(1+SIM!W$3/100)+finsim!BN15</f>
        <v>0</v>
      </c>
      <c r="BP15" s="75">
        <f>BO15*(1+SIM!X$3/100)+finsim!BO15</f>
        <v>0</v>
      </c>
      <c r="BQ15" s="75">
        <f>BP15*(1+SIM!Y$3/100)+finsim!BP15</f>
        <v>0</v>
      </c>
      <c r="BR15" s="75">
        <f>BQ15*(1+SIM!Z$3/100)+finsim!BQ15</f>
        <v>0</v>
      </c>
      <c r="BS15" s="75">
        <f>BR15*(1+SIM!AA$3/100)+finsim!BR15</f>
        <v>0</v>
      </c>
      <c r="BT15" s="75">
        <f>BS15*(1+SIM!AB$3/100)+finsim!BS15</f>
        <v>0</v>
      </c>
      <c r="BU15" s="75">
        <f>BT15*(1+SIM!AC$3/100)+finsim!BT15</f>
        <v>0</v>
      </c>
      <c r="BV15" s="75">
        <f>BU15*(1+SIM!AD$3/100)+finsim!BU15</f>
        <v>0</v>
      </c>
      <c r="BW15" s="75">
        <f>BV15*(1+SIM!AE$3/100)+finsim!BV15</f>
        <v>0</v>
      </c>
      <c r="BX15" s="75">
        <f>BW15*(1+SIM!AF$3/100)+finsim!BW15</f>
        <v>0</v>
      </c>
      <c r="BY15" s="75">
        <f>BX15*(1+SIM!AG$3/100)+finsim!BX15</f>
        <v>0</v>
      </c>
      <c r="BZ15" s="75">
        <f>BY15*(1+SIM!AH$3/100)+finsim!BY15</f>
        <v>0</v>
      </c>
      <c r="CA15" s="75">
        <f>BZ15*(1+SIM!AI$3/100)+finsim!BZ15</f>
        <v>0</v>
      </c>
      <c r="CB15" s="75">
        <f>CA15*(1+SIM!AJ$3/100)+finsim!CA15</f>
        <v>0</v>
      </c>
      <c r="CC15" s="75">
        <f>CB15*(1+SIM!AK$3/100)+finsim!CB15</f>
        <v>0</v>
      </c>
      <c r="CD15" s="75">
        <f>CC15*(1+SIM!AL$3/100)+finsim!CC15</f>
        <v>0</v>
      </c>
      <c r="CE15" s="75"/>
      <c r="CF15" s="438"/>
      <c r="CG15" s="235">
        <f t="shared" si="12"/>
        <v>0</v>
      </c>
      <c r="CH15" s="235">
        <f t="shared" si="12"/>
        <v>0</v>
      </c>
      <c r="CI15" s="235" t="e">
        <f>BM15-#REF!</f>
        <v>#REF!</v>
      </c>
      <c r="CJ15" s="235">
        <f t="shared" si="13"/>
        <v>0</v>
      </c>
      <c r="CK15" s="235">
        <f t="shared" si="13"/>
        <v>0</v>
      </c>
      <c r="CL15" s="235">
        <f t="shared" si="13"/>
        <v>0</v>
      </c>
      <c r="CM15" s="235">
        <f t="shared" si="13"/>
        <v>0</v>
      </c>
      <c r="CN15" s="235">
        <f t="shared" si="13"/>
        <v>0</v>
      </c>
      <c r="CO15" s="235">
        <f t="shared" si="13"/>
        <v>0</v>
      </c>
      <c r="CP15" s="235">
        <f t="shared" si="13"/>
        <v>0</v>
      </c>
      <c r="CQ15" s="235">
        <f t="shared" si="13"/>
        <v>0</v>
      </c>
      <c r="CR15" s="235">
        <f t="shared" si="13"/>
        <v>0</v>
      </c>
      <c r="CS15" s="235">
        <f t="shared" si="13"/>
        <v>0</v>
      </c>
      <c r="CT15" s="235">
        <f t="shared" si="14"/>
        <v>0</v>
      </c>
      <c r="CU15" s="235">
        <f t="shared" si="14"/>
        <v>0</v>
      </c>
      <c r="CV15" s="235">
        <f t="shared" si="14"/>
        <v>0</v>
      </c>
      <c r="CW15" s="235">
        <f t="shared" si="14"/>
        <v>0</v>
      </c>
      <c r="CX15" s="235">
        <f t="shared" si="14"/>
        <v>0</v>
      </c>
      <c r="CY15" s="235">
        <f t="shared" si="14"/>
        <v>0</v>
      </c>
      <c r="CZ15" s="235">
        <f t="shared" si="14"/>
        <v>0</v>
      </c>
      <c r="DA15" s="38"/>
      <c r="DB15" s="236">
        <v>191</v>
      </c>
      <c r="DC15" s="236">
        <v>192</v>
      </c>
      <c r="DD15" s="236">
        <v>260</v>
      </c>
      <c r="DE15" s="236">
        <v>0</v>
      </c>
      <c r="DF15" s="401">
        <v>0</v>
      </c>
      <c r="DG15" s="236">
        <v>0</v>
      </c>
      <c r="DH15" s="492">
        <v>0</v>
      </c>
      <c r="DI15" s="236">
        <v>0</v>
      </c>
      <c r="DJ15" s="236">
        <v>0</v>
      </c>
      <c r="DK15" s="236">
        <v>0</v>
      </c>
      <c r="DL15" s="236">
        <v>0</v>
      </c>
      <c r="DM15" s="236">
        <v>0</v>
      </c>
      <c r="DN15" s="236">
        <v>0</v>
      </c>
      <c r="DO15" s="236">
        <v>0</v>
      </c>
      <c r="DP15" s="236">
        <v>0</v>
      </c>
      <c r="DQ15" s="401">
        <v>0</v>
      </c>
      <c r="DR15" s="401">
        <v>0</v>
      </c>
      <c r="DS15" s="401">
        <v>0</v>
      </c>
      <c r="DT15" s="401">
        <v>0</v>
      </c>
      <c r="DU15" s="401">
        <v>0</v>
      </c>
      <c r="DV15" s="401">
        <v>0</v>
      </c>
      <c r="DW15" s="401">
        <v>0</v>
      </c>
      <c r="DX15" s="401">
        <v>0</v>
      </c>
      <c r="DY15" s="401">
        <v>0</v>
      </c>
      <c r="DZ15" s="401"/>
      <c r="EA15" s="989"/>
    </row>
    <row r="16" spans="1:131" s="76" customFormat="1">
      <c r="A16" s="76" t="s">
        <v>3859</v>
      </c>
      <c r="B16" s="73" t="s">
        <v>34</v>
      </c>
      <c r="C16" s="51" t="s">
        <v>363</v>
      </c>
      <c r="D16" s="207" t="s">
        <v>4398</v>
      </c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51">
        <v>0</v>
      </c>
      <c r="AV16" s="74">
        <f>DataInput!AV72</f>
        <v>0</v>
      </c>
      <c r="AW16" s="74">
        <f>DataInput!AW72</f>
        <v>203.7</v>
      </c>
      <c r="AX16" s="74">
        <f>DataInput!AX72</f>
        <v>355.29</v>
      </c>
      <c r="AY16" s="74">
        <f>DataInput!AY72</f>
        <v>583</v>
      </c>
      <c r="AZ16" s="74">
        <f>DataInput!AZ72</f>
        <v>367</v>
      </c>
      <c r="BA16" s="74">
        <f>DataInput!BA72</f>
        <v>761</v>
      </c>
      <c r="BB16" s="74">
        <f>DataInput!BB72</f>
        <v>1110</v>
      </c>
      <c r="BC16" s="74">
        <f>DataInput!BC72</f>
        <v>1120.74</v>
      </c>
      <c r="BD16" s="74">
        <f>DataInput!BD72</f>
        <v>627</v>
      </c>
      <c r="BE16" s="74">
        <f>DataInput!BE72</f>
        <v>827</v>
      </c>
      <c r="BF16" s="74">
        <f>DataInput!BF72</f>
        <v>858</v>
      </c>
      <c r="BG16" s="74">
        <f>DataInput!BG72</f>
        <v>1435</v>
      </c>
      <c r="BH16" s="74">
        <f>DataInput!BH72</f>
        <v>2534</v>
      </c>
      <c r="BI16" s="74">
        <f>DataInput!BI72</f>
        <v>2543</v>
      </c>
      <c r="BJ16" s="74">
        <f>DataInput!BJ72</f>
        <v>2434</v>
      </c>
      <c r="BK16" s="74">
        <f>DataInput!BK72</f>
        <v>3387</v>
      </c>
      <c r="BL16" s="74">
        <f>DataInput!BL72</f>
        <v>2814</v>
      </c>
      <c r="BM16" s="74">
        <f>DataInput!BM72</f>
        <v>2768</v>
      </c>
      <c r="BN16" s="1110">
        <f>DataInput!BN1070</f>
        <v>3005</v>
      </c>
      <c r="BO16" s="1110">
        <f>DataInput!BO1070</f>
        <v>0</v>
      </c>
      <c r="BP16" s="1110">
        <f>DataInput!BP1070</f>
        <v>0</v>
      </c>
      <c r="BQ16" s="1110">
        <f>DataInput!BQ1070</f>
        <v>0</v>
      </c>
      <c r="BR16" s="1110">
        <f>DataInput!BR1070</f>
        <v>0</v>
      </c>
      <c r="BS16" s="1110">
        <f>DataInput!BS1070</f>
        <v>0</v>
      </c>
      <c r="BT16" s="1110">
        <f>DataInput!BT1070</f>
        <v>0</v>
      </c>
      <c r="BU16" s="1110">
        <f>DataInput!BU1070</f>
        <v>0</v>
      </c>
      <c r="BV16" s="1110">
        <f>DataInput!BV1070</f>
        <v>0</v>
      </c>
      <c r="BW16" s="1110">
        <f>DataInput!BW1070</f>
        <v>0</v>
      </c>
      <c r="BX16" s="1110">
        <f>DataInput!BX1070</f>
        <v>0</v>
      </c>
      <c r="BY16" s="1110">
        <f>DataInput!BY1070</f>
        <v>0</v>
      </c>
      <c r="BZ16" s="1110">
        <f>DataInput!BZ1070</f>
        <v>0</v>
      </c>
      <c r="CA16" s="1110">
        <f>DataInput!CA1070</f>
        <v>0</v>
      </c>
      <c r="CB16" s="1110">
        <f>DataInput!CB1070</f>
        <v>0</v>
      </c>
      <c r="CC16" s="1110">
        <f>DataInput!CC1070</f>
        <v>0</v>
      </c>
      <c r="CD16" s="1110">
        <f>DataInput!CD1070</f>
        <v>0</v>
      </c>
      <c r="CE16" s="1105">
        <f>DataInput!CE1070</f>
        <v>0</v>
      </c>
      <c r="CF16" s="1103">
        <f>DataInput!CF1132</f>
        <v>0</v>
      </c>
      <c r="CG16" s="235">
        <f t="shared" si="12"/>
        <v>0</v>
      </c>
      <c r="CH16" s="235">
        <f t="shared" si="12"/>
        <v>0</v>
      </c>
      <c r="CI16" s="235" t="e">
        <f>BM16-#REF!</f>
        <v>#REF!</v>
      </c>
      <c r="CJ16" s="235">
        <f t="shared" si="13"/>
        <v>0</v>
      </c>
      <c r="CK16" s="235">
        <f t="shared" si="13"/>
        <v>0</v>
      </c>
      <c r="CL16" s="235">
        <f t="shared" si="13"/>
        <v>0</v>
      </c>
      <c r="CM16" s="235">
        <f t="shared" si="13"/>
        <v>0</v>
      </c>
      <c r="CN16" s="235">
        <f t="shared" si="13"/>
        <v>0</v>
      </c>
      <c r="CO16" s="235">
        <f t="shared" si="13"/>
        <v>0</v>
      </c>
      <c r="CP16" s="235">
        <f t="shared" si="13"/>
        <v>0</v>
      </c>
      <c r="CQ16" s="235">
        <f t="shared" si="13"/>
        <v>0</v>
      </c>
      <c r="CR16" s="235">
        <f t="shared" si="13"/>
        <v>0</v>
      </c>
      <c r="CS16" s="235">
        <f t="shared" si="13"/>
        <v>0</v>
      </c>
      <c r="CT16" s="235">
        <f t="shared" si="14"/>
        <v>0</v>
      </c>
      <c r="CU16" s="235">
        <f t="shared" si="14"/>
        <v>0</v>
      </c>
      <c r="CV16" s="235">
        <f t="shared" si="14"/>
        <v>0</v>
      </c>
      <c r="CW16" s="235">
        <f t="shared" si="14"/>
        <v>0</v>
      </c>
      <c r="CX16" s="235">
        <f t="shared" si="14"/>
        <v>0</v>
      </c>
      <c r="CY16" s="235">
        <f t="shared" si="14"/>
        <v>0</v>
      </c>
      <c r="CZ16" s="235">
        <f t="shared" si="14"/>
        <v>0</v>
      </c>
      <c r="DA16" s="38"/>
      <c r="DB16" s="236">
        <v>857</v>
      </c>
      <c r="DC16" s="236">
        <v>858</v>
      </c>
      <c r="DD16" s="236">
        <v>1435</v>
      </c>
      <c r="DE16" s="236">
        <v>2534</v>
      </c>
      <c r="DF16" s="401">
        <v>2543</v>
      </c>
      <c r="DG16" s="236">
        <v>3387</v>
      </c>
      <c r="DH16" s="492">
        <v>2814</v>
      </c>
      <c r="DI16" s="236">
        <v>3005</v>
      </c>
      <c r="DJ16" s="236">
        <v>0</v>
      </c>
      <c r="DK16" s="236">
        <v>0</v>
      </c>
      <c r="DL16" s="236">
        <v>0</v>
      </c>
      <c r="DM16" s="236">
        <v>0</v>
      </c>
      <c r="DN16" s="236">
        <v>0</v>
      </c>
      <c r="DO16" s="236">
        <v>0</v>
      </c>
      <c r="DP16" s="236">
        <v>0</v>
      </c>
      <c r="DQ16" s="401">
        <v>0</v>
      </c>
      <c r="DR16" s="401">
        <v>0</v>
      </c>
      <c r="DS16" s="401">
        <v>0</v>
      </c>
      <c r="DT16" s="401">
        <v>0</v>
      </c>
      <c r="DU16" s="401">
        <v>0</v>
      </c>
      <c r="DV16" s="401">
        <v>0</v>
      </c>
      <c r="DW16" s="401">
        <v>0</v>
      </c>
      <c r="DX16" s="401">
        <v>0</v>
      </c>
      <c r="DY16" s="401">
        <v>0</v>
      </c>
      <c r="DZ16" s="401">
        <v>0</v>
      </c>
      <c r="EA16" s="989"/>
    </row>
    <row r="17" spans="1:131" s="76" customFormat="1">
      <c r="A17" s="974" t="s">
        <v>372</v>
      </c>
      <c r="B17" s="921" t="str">
        <f>DataInput!B1071</f>
        <v>Fuel Oil</v>
      </c>
      <c r="C17" s="51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51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>
        <f>DataInput!BM1071</f>
        <v>0</v>
      </c>
      <c r="BN17" s="1110">
        <f>DataInput!BN1071</f>
        <v>0</v>
      </c>
      <c r="BO17" s="1110">
        <f>DataInput!BO1071</f>
        <v>2168</v>
      </c>
      <c r="BP17" s="1110">
        <f>DataInput!BP1071</f>
        <v>2640</v>
      </c>
      <c r="BQ17" s="1110">
        <f>DataInput!BQ1071</f>
        <v>1859</v>
      </c>
      <c r="BR17" s="1110">
        <f>DataInput!BR1071</f>
        <v>1859</v>
      </c>
      <c r="BS17" s="1110">
        <f>DataInput!BS1071</f>
        <v>1859</v>
      </c>
      <c r="BT17" s="1110">
        <f>DataInput!BT1071</f>
        <v>1859</v>
      </c>
      <c r="BU17" s="1110">
        <f>DataInput!BU1071</f>
        <v>1859</v>
      </c>
      <c r="BV17" s="1110">
        <f>DataInput!BV1071</f>
        <v>1859</v>
      </c>
      <c r="BW17" s="1110">
        <f>DataInput!BW1071</f>
        <v>1859</v>
      </c>
      <c r="BX17" s="1110">
        <f>DataInput!BX1071</f>
        <v>1859</v>
      </c>
      <c r="BY17" s="1110">
        <f>DataInput!BY1071</f>
        <v>1859</v>
      </c>
      <c r="BZ17" s="1110">
        <f>DataInput!BZ1071</f>
        <v>1859</v>
      </c>
      <c r="CA17" s="1110">
        <f>DataInput!CA1071</f>
        <v>1859</v>
      </c>
      <c r="CB17" s="1110">
        <f>DataInput!CB1071</f>
        <v>1859</v>
      </c>
      <c r="CC17" s="1110">
        <f>DataInput!CC1071</f>
        <v>1859</v>
      </c>
      <c r="CD17" s="1110">
        <f>DataInput!CD1071</f>
        <v>1859</v>
      </c>
      <c r="CE17" s="1105">
        <f>DataInput!CE1071</f>
        <v>0</v>
      </c>
      <c r="CF17" s="1103">
        <f>DataInput!CF1133</f>
        <v>0</v>
      </c>
      <c r="CG17" s="235"/>
      <c r="CH17" s="235">
        <f t="shared" ref="CH17:CH31" si="15">BL17-DH17</f>
        <v>0</v>
      </c>
      <c r="CI17" s="235" t="e">
        <f>BM17-#REF!</f>
        <v>#REF!</v>
      </c>
      <c r="CJ17" s="235">
        <f t="shared" si="13"/>
        <v>0</v>
      </c>
      <c r="CK17" s="235">
        <f t="shared" si="13"/>
        <v>0</v>
      </c>
      <c r="CL17" s="235">
        <f t="shared" si="13"/>
        <v>0</v>
      </c>
      <c r="CM17" s="235">
        <f t="shared" si="13"/>
        <v>0</v>
      </c>
      <c r="CN17" s="235">
        <f t="shared" si="13"/>
        <v>0</v>
      </c>
      <c r="CO17" s="235">
        <f t="shared" si="13"/>
        <v>0</v>
      </c>
      <c r="CP17" s="235">
        <f t="shared" si="13"/>
        <v>0</v>
      </c>
      <c r="CQ17" s="235">
        <f t="shared" si="13"/>
        <v>0</v>
      </c>
      <c r="CR17" s="235">
        <f t="shared" si="13"/>
        <v>0</v>
      </c>
      <c r="CS17" s="235">
        <f t="shared" si="13"/>
        <v>0</v>
      </c>
      <c r="CT17" s="235">
        <f t="shared" si="14"/>
        <v>0</v>
      </c>
      <c r="CU17" s="235">
        <f t="shared" si="14"/>
        <v>0</v>
      </c>
      <c r="CV17" s="235">
        <f t="shared" si="14"/>
        <v>0</v>
      </c>
      <c r="CW17" s="235">
        <f t="shared" si="14"/>
        <v>0</v>
      </c>
      <c r="CX17" s="235">
        <f t="shared" si="14"/>
        <v>0</v>
      </c>
      <c r="CY17" s="235">
        <f t="shared" si="14"/>
        <v>0</v>
      </c>
      <c r="CZ17" s="235">
        <f t="shared" si="14"/>
        <v>0</v>
      </c>
      <c r="DA17" s="38"/>
      <c r="DB17" s="236"/>
      <c r="DC17" s="236"/>
      <c r="DD17" s="236"/>
      <c r="DE17" s="236"/>
      <c r="DF17" s="401"/>
      <c r="DG17" s="236"/>
      <c r="DH17" s="492"/>
      <c r="DI17" s="236">
        <v>0</v>
      </c>
      <c r="DJ17" s="236">
        <v>2168</v>
      </c>
      <c r="DK17" s="236">
        <v>2640</v>
      </c>
      <c r="DL17" s="236">
        <v>1859</v>
      </c>
      <c r="DM17" s="236">
        <v>1859</v>
      </c>
      <c r="DN17" s="236">
        <v>1859</v>
      </c>
      <c r="DO17" s="236">
        <v>1859</v>
      </c>
      <c r="DP17" s="236">
        <v>1859</v>
      </c>
      <c r="DQ17" s="401">
        <v>1859</v>
      </c>
      <c r="DR17" s="401">
        <v>1859</v>
      </c>
      <c r="DS17" s="401">
        <v>1859</v>
      </c>
      <c r="DT17" s="401">
        <v>1859</v>
      </c>
      <c r="DU17" s="401">
        <v>1859</v>
      </c>
      <c r="DV17" s="401">
        <v>1859</v>
      </c>
      <c r="DW17" s="401">
        <v>1859</v>
      </c>
      <c r="DX17" s="401">
        <v>1859</v>
      </c>
      <c r="DY17" s="401">
        <v>1859</v>
      </c>
      <c r="DZ17" s="401">
        <v>0</v>
      </c>
      <c r="EA17" s="989"/>
    </row>
    <row r="18" spans="1:131" s="76" customFormat="1">
      <c r="A18" s="974" t="s">
        <v>373</v>
      </c>
      <c r="B18" s="921" t="str">
        <f>DataInput!B1072</f>
        <v>SO-Diesel (Gasoil)</v>
      </c>
      <c r="C18" s="51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51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>
        <f>DataInput!BM1072</f>
        <v>0</v>
      </c>
      <c r="BN18" s="1110">
        <f>DataInput!BN1072</f>
        <v>49</v>
      </c>
      <c r="BO18" s="1110">
        <f>DataInput!BO1072</f>
        <v>0</v>
      </c>
      <c r="BP18" s="1110">
        <f>DataInput!BP1072</f>
        <v>0</v>
      </c>
      <c r="BQ18" s="1110">
        <f>DataInput!BQ1072</f>
        <v>0</v>
      </c>
      <c r="BR18" s="1110">
        <f>DataInput!BR1072</f>
        <v>0</v>
      </c>
      <c r="BS18" s="1110">
        <f>DataInput!BS1072</f>
        <v>0</v>
      </c>
      <c r="BT18" s="1110">
        <f>DataInput!BT1072</f>
        <v>0</v>
      </c>
      <c r="BU18" s="1110">
        <f>DataInput!BU1072</f>
        <v>0</v>
      </c>
      <c r="BV18" s="1110">
        <f>DataInput!BV1072</f>
        <v>0</v>
      </c>
      <c r="BW18" s="1110">
        <f>DataInput!BW1072</f>
        <v>0</v>
      </c>
      <c r="BX18" s="1110">
        <f>DataInput!BX1072</f>
        <v>0</v>
      </c>
      <c r="BY18" s="1110">
        <f>DataInput!BY1072</f>
        <v>0</v>
      </c>
      <c r="BZ18" s="1110">
        <f>DataInput!BZ1072</f>
        <v>0</v>
      </c>
      <c r="CA18" s="1110">
        <f>DataInput!CA1072</f>
        <v>0</v>
      </c>
      <c r="CB18" s="1110">
        <f>DataInput!CB1072</f>
        <v>0</v>
      </c>
      <c r="CC18" s="1110">
        <f>DataInput!CC1072</f>
        <v>0</v>
      </c>
      <c r="CD18" s="1110">
        <f>DataInput!CD1072</f>
        <v>0</v>
      </c>
      <c r="CE18" s="1105">
        <f>DataInput!CE1072</f>
        <v>0</v>
      </c>
      <c r="CF18" s="1103">
        <f>DataInput!CF1134</f>
        <v>0</v>
      </c>
      <c r="CG18" s="235"/>
      <c r="CH18" s="235">
        <f t="shared" si="15"/>
        <v>0</v>
      </c>
      <c r="CI18" s="235" t="e">
        <f>BM18-#REF!</f>
        <v>#REF!</v>
      </c>
      <c r="CJ18" s="235">
        <f t="shared" si="13"/>
        <v>0</v>
      </c>
      <c r="CK18" s="235">
        <f t="shared" si="13"/>
        <v>0</v>
      </c>
      <c r="CL18" s="235">
        <f t="shared" si="13"/>
        <v>0</v>
      </c>
      <c r="CM18" s="235">
        <f t="shared" si="13"/>
        <v>0</v>
      </c>
      <c r="CN18" s="235">
        <f t="shared" si="13"/>
        <v>0</v>
      </c>
      <c r="CO18" s="235">
        <f t="shared" si="13"/>
        <v>0</v>
      </c>
      <c r="CP18" s="235">
        <f t="shared" si="13"/>
        <v>0</v>
      </c>
      <c r="CQ18" s="235">
        <f t="shared" si="13"/>
        <v>0</v>
      </c>
      <c r="CR18" s="235">
        <f t="shared" si="13"/>
        <v>0</v>
      </c>
      <c r="CS18" s="235">
        <f t="shared" si="13"/>
        <v>0</v>
      </c>
      <c r="CT18" s="235">
        <f t="shared" si="14"/>
        <v>0</v>
      </c>
      <c r="CU18" s="235">
        <f t="shared" si="14"/>
        <v>0</v>
      </c>
      <c r="CV18" s="235">
        <f t="shared" si="14"/>
        <v>0</v>
      </c>
      <c r="CW18" s="235">
        <f t="shared" si="14"/>
        <v>0</v>
      </c>
      <c r="CX18" s="235">
        <f t="shared" si="14"/>
        <v>0</v>
      </c>
      <c r="CY18" s="235">
        <f t="shared" si="14"/>
        <v>0</v>
      </c>
      <c r="CZ18" s="235">
        <f t="shared" si="14"/>
        <v>0</v>
      </c>
      <c r="DA18" s="38"/>
      <c r="DB18" s="236"/>
      <c r="DC18" s="236"/>
      <c r="DD18" s="236"/>
      <c r="DE18" s="236"/>
      <c r="DF18" s="401"/>
      <c r="DG18" s="236"/>
      <c r="DH18" s="492"/>
      <c r="DI18" s="236">
        <v>49</v>
      </c>
      <c r="DJ18" s="236">
        <v>0</v>
      </c>
      <c r="DK18" s="236">
        <v>0</v>
      </c>
      <c r="DL18" s="236">
        <v>0</v>
      </c>
      <c r="DM18" s="236">
        <v>0</v>
      </c>
      <c r="DN18" s="236">
        <v>0</v>
      </c>
      <c r="DO18" s="236">
        <v>0</v>
      </c>
      <c r="DP18" s="236">
        <v>0</v>
      </c>
      <c r="DQ18" s="401">
        <v>0</v>
      </c>
      <c r="DR18" s="401">
        <v>0</v>
      </c>
      <c r="DS18" s="401">
        <v>0</v>
      </c>
      <c r="DT18" s="401">
        <v>0</v>
      </c>
      <c r="DU18" s="401">
        <v>0</v>
      </c>
      <c r="DV18" s="401">
        <v>0</v>
      </c>
      <c r="DW18" s="401">
        <v>0</v>
      </c>
      <c r="DX18" s="401">
        <v>0</v>
      </c>
      <c r="DY18" s="401">
        <v>0</v>
      </c>
      <c r="DZ18" s="401">
        <v>0</v>
      </c>
      <c r="EA18" s="989"/>
    </row>
    <row r="19" spans="1:131" s="76" customFormat="1">
      <c r="A19" s="974" t="s">
        <v>376</v>
      </c>
      <c r="B19" s="921" t="str">
        <f>DataInput!B1075</f>
        <v>Sulfuric Acid</v>
      </c>
      <c r="C19" s="51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51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>
        <f>DataInput!BM1075</f>
        <v>0</v>
      </c>
      <c r="BN19" s="1110">
        <f>DataInput!BN1075</f>
        <v>0</v>
      </c>
      <c r="BO19" s="1110">
        <f>DataInput!BO1075</f>
        <v>0</v>
      </c>
      <c r="BP19" s="1110">
        <f>DataInput!BP1075</f>
        <v>0</v>
      </c>
      <c r="BQ19" s="1110">
        <f>DataInput!BQ1075</f>
        <v>0</v>
      </c>
      <c r="BR19" s="1110">
        <f>DataInput!BR1075</f>
        <v>0</v>
      </c>
      <c r="BS19" s="1110">
        <f>DataInput!BS1075</f>
        <v>0</v>
      </c>
      <c r="BT19" s="1110">
        <f>DataInput!BT1075</f>
        <v>0</v>
      </c>
      <c r="BU19" s="1110">
        <f>DataInput!BU1075</f>
        <v>0</v>
      </c>
      <c r="BV19" s="1110">
        <f>DataInput!BV1075</f>
        <v>0</v>
      </c>
      <c r="BW19" s="1110">
        <f>DataInput!BW1075</f>
        <v>0</v>
      </c>
      <c r="BX19" s="1110">
        <f>DataInput!BX1075</f>
        <v>0</v>
      </c>
      <c r="BY19" s="1110">
        <f>DataInput!BY1075</f>
        <v>0</v>
      </c>
      <c r="BZ19" s="1110">
        <f>DataInput!BZ1075</f>
        <v>0</v>
      </c>
      <c r="CA19" s="1110">
        <f>DataInput!CA1075</f>
        <v>0</v>
      </c>
      <c r="CB19" s="1110">
        <f>DataInput!CB1075</f>
        <v>0</v>
      </c>
      <c r="CC19" s="1110">
        <f>DataInput!CC1075</f>
        <v>0</v>
      </c>
      <c r="CD19" s="1110">
        <f>DataInput!CD1075</f>
        <v>0</v>
      </c>
      <c r="CE19" s="1105">
        <f>DataInput!CE1075</f>
        <v>0</v>
      </c>
      <c r="CF19" s="1103">
        <f>DataInput!CF1135</f>
        <v>0</v>
      </c>
      <c r="CG19" s="235"/>
      <c r="CH19" s="235">
        <f t="shared" si="15"/>
        <v>0</v>
      </c>
      <c r="CI19" s="235" t="e">
        <f>BM19-#REF!</f>
        <v>#REF!</v>
      </c>
      <c r="CJ19" s="235">
        <f t="shared" si="13"/>
        <v>0</v>
      </c>
      <c r="CK19" s="235">
        <f t="shared" si="13"/>
        <v>0</v>
      </c>
      <c r="CL19" s="235">
        <f t="shared" si="13"/>
        <v>0</v>
      </c>
      <c r="CM19" s="235">
        <f t="shared" si="13"/>
        <v>0</v>
      </c>
      <c r="CN19" s="235">
        <f t="shared" si="13"/>
        <v>0</v>
      </c>
      <c r="CO19" s="235">
        <f t="shared" si="13"/>
        <v>0</v>
      </c>
      <c r="CP19" s="235">
        <f t="shared" si="13"/>
        <v>0</v>
      </c>
      <c r="CQ19" s="235">
        <f t="shared" si="13"/>
        <v>0</v>
      </c>
      <c r="CR19" s="235">
        <f t="shared" si="13"/>
        <v>0</v>
      </c>
      <c r="CS19" s="235">
        <f t="shared" si="13"/>
        <v>0</v>
      </c>
      <c r="CT19" s="235">
        <f t="shared" si="14"/>
        <v>0</v>
      </c>
      <c r="CU19" s="235">
        <f t="shared" si="14"/>
        <v>0</v>
      </c>
      <c r="CV19" s="235">
        <f t="shared" si="14"/>
        <v>0</v>
      </c>
      <c r="CW19" s="235">
        <f t="shared" si="14"/>
        <v>0</v>
      </c>
      <c r="CX19" s="235">
        <f t="shared" si="14"/>
        <v>0</v>
      </c>
      <c r="CY19" s="235">
        <f t="shared" si="14"/>
        <v>0</v>
      </c>
      <c r="CZ19" s="235">
        <f t="shared" si="14"/>
        <v>0</v>
      </c>
      <c r="DA19" s="38"/>
      <c r="DB19" s="236"/>
      <c r="DC19" s="236"/>
      <c r="DD19" s="236"/>
      <c r="DE19" s="236"/>
      <c r="DF19" s="401"/>
      <c r="DG19" s="236"/>
      <c r="DH19" s="492"/>
      <c r="DI19" s="236">
        <v>0</v>
      </c>
      <c r="DJ19" s="236">
        <v>0</v>
      </c>
      <c r="DK19" s="236">
        <v>0</v>
      </c>
      <c r="DL19" s="236">
        <v>0</v>
      </c>
      <c r="DM19" s="236">
        <v>0</v>
      </c>
      <c r="DN19" s="236">
        <v>0</v>
      </c>
      <c r="DO19" s="236">
        <v>0</v>
      </c>
      <c r="DP19" s="236">
        <v>0</v>
      </c>
      <c r="DQ19" s="401">
        <v>0</v>
      </c>
      <c r="DR19" s="401">
        <v>0</v>
      </c>
      <c r="DS19" s="401">
        <v>0</v>
      </c>
      <c r="DT19" s="401">
        <v>0</v>
      </c>
      <c r="DU19" s="401">
        <v>0</v>
      </c>
      <c r="DV19" s="401">
        <v>0</v>
      </c>
      <c r="DW19" s="401">
        <v>0</v>
      </c>
      <c r="DX19" s="401">
        <v>0</v>
      </c>
      <c r="DY19" s="401">
        <v>0</v>
      </c>
      <c r="DZ19" s="401">
        <v>0</v>
      </c>
      <c r="EA19" s="989"/>
    </row>
    <row r="20" spans="1:131" s="76" customFormat="1">
      <c r="A20" s="974"/>
      <c r="B20" s="921" t="str">
        <f>DataInput!B1076</f>
        <v>Low Sulfur Diesel (Automotive Diesel)</v>
      </c>
      <c r="C20" s="51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51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>
        <f>DataInput!BM1076</f>
        <v>0</v>
      </c>
      <c r="BN20" s="1110">
        <f>DataInput!BN1076</f>
        <v>0</v>
      </c>
      <c r="BO20" s="1110">
        <f>DataInput!BO1076</f>
        <v>107</v>
      </c>
      <c r="BP20" s="1110">
        <f>DataInput!BP1076</f>
        <v>1173</v>
      </c>
      <c r="BQ20" s="1110">
        <f>DataInput!BQ1076</f>
        <v>1586</v>
      </c>
      <c r="BR20" s="1110">
        <f>DataInput!BR1076</f>
        <v>1586</v>
      </c>
      <c r="BS20" s="1110">
        <f>DataInput!BS1076</f>
        <v>1586</v>
      </c>
      <c r="BT20" s="1110">
        <f>DataInput!BT1076</f>
        <v>1586</v>
      </c>
      <c r="BU20" s="1110">
        <f>DataInput!BU1076</f>
        <v>1586</v>
      </c>
      <c r="BV20" s="1110">
        <f>DataInput!BV1076</f>
        <v>1586</v>
      </c>
      <c r="BW20" s="1110">
        <f>DataInput!BW1076</f>
        <v>1586</v>
      </c>
      <c r="BX20" s="1110">
        <f>DataInput!BX1076</f>
        <v>1586</v>
      </c>
      <c r="BY20" s="1110">
        <f>DataInput!BY1076</f>
        <v>1586</v>
      </c>
      <c r="BZ20" s="1110">
        <f>DataInput!BZ1076</f>
        <v>1586</v>
      </c>
      <c r="CA20" s="1110">
        <f>DataInput!CA1076</f>
        <v>1586</v>
      </c>
      <c r="CB20" s="1110">
        <f>DataInput!CB1076</f>
        <v>1586</v>
      </c>
      <c r="CC20" s="1110">
        <f>DataInput!CC1076</f>
        <v>1586</v>
      </c>
      <c r="CD20" s="1110">
        <f>DataInput!CD1076</f>
        <v>1586</v>
      </c>
      <c r="CE20" s="1105">
        <f>DataInput!CE1076</f>
        <v>0</v>
      </c>
      <c r="CF20" s="1103">
        <f>DataInput!CF1136</f>
        <v>0</v>
      </c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38"/>
      <c r="DB20" s="236"/>
      <c r="DC20" s="236"/>
      <c r="DD20" s="236"/>
      <c r="DE20" s="236"/>
      <c r="DF20" s="401"/>
      <c r="DG20" s="236"/>
      <c r="DH20" s="492"/>
      <c r="DI20" s="236">
        <v>0</v>
      </c>
      <c r="DJ20" s="236">
        <v>107</v>
      </c>
      <c r="DK20" s="236">
        <v>1173</v>
      </c>
      <c r="DL20" s="236">
        <v>1586</v>
      </c>
      <c r="DM20" s="236">
        <v>1586</v>
      </c>
      <c r="DN20" s="236">
        <v>1586</v>
      </c>
      <c r="DO20" s="236">
        <v>1586</v>
      </c>
      <c r="DP20" s="236">
        <v>1586</v>
      </c>
      <c r="DQ20" s="401">
        <v>1586</v>
      </c>
      <c r="DR20" s="401">
        <v>1586</v>
      </c>
      <c r="DS20" s="401">
        <v>1586</v>
      </c>
      <c r="DT20" s="401">
        <v>1586</v>
      </c>
      <c r="DU20" s="401">
        <v>1586</v>
      </c>
      <c r="DV20" s="401">
        <v>1586</v>
      </c>
      <c r="DW20" s="401">
        <v>1586</v>
      </c>
      <c r="DX20" s="401">
        <v>1586</v>
      </c>
      <c r="DY20" s="401">
        <v>1586</v>
      </c>
      <c r="DZ20" s="401">
        <v>0</v>
      </c>
      <c r="EA20" s="989"/>
    </row>
    <row r="21" spans="1:131" s="76" customFormat="1">
      <c r="A21" s="921" t="s">
        <v>1112</v>
      </c>
      <c r="B21" s="921" t="str">
        <f>DataInput!B1074</f>
        <v>Bitumen</v>
      </c>
      <c r="C21" s="51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51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>
        <f>DataInput!BM1074</f>
        <v>0</v>
      </c>
      <c r="BN21" s="1110">
        <f>DataInput!BN1074</f>
        <v>3.9</v>
      </c>
      <c r="BO21" s="1110">
        <f>DataInput!BO1074</f>
        <v>0</v>
      </c>
      <c r="BP21" s="1110">
        <f>DataInput!BP1074</f>
        <v>0</v>
      </c>
      <c r="BQ21" s="1110">
        <f>DataInput!BQ1074</f>
        <v>0</v>
      </c>
      <c r="BR21" s="1110">
        <f>DataInput!BR1074</f>
        <v>0</v>
      </c>
      <c r="BS21" s="1110">
        <f>DataInput!BS1074</f>
        <v>0</v>
      </c>
      <c r="BT21" s="1110">
        <f>DataInput!BT1074</f>
        <v>0</v>
      </c>
      <c r="BU21" s="1110">
        <f>DataInput!BU1074</f>
        <v>0</v>
      </c>
      <c r="BV21" s="1110">
        <f>DataInput!BV1074</f>
        <v>0</v>
      </c>
      <c r="BW21" s="1110">
        <f>DataInput!BW1074</f>
        <v>0</v>
      </c>
      <c r="BX21" s="1110">
        <f>DataInput!BX1074</f>
        <v>0</v>
      </c>
      <c r="BY21" s="1110">
        <f>DataInput!BY1074</f>
        <v>0</v>
      </c>
      <c r="BZ21" s="1110">
        <f>DataInput!BZ1074</f>
        <v>0</v>
      </c>
      <c r="CA21" s="1110">
        <f>DataInput!CA1074</f>
        <v>0</v>
      </c>
      <c r="CB21" s="1110">
        <f>DataInput!CB1074</f>
        <v>0</v>
      </c>
      <c r="CC21" s="1110">
        <f>DataInput!CC1074</f>
        <v>0</v>
      </c>
      <c r="CD21" s="1110">
        <f>DataInput!CD1074</f>
        <v>0</v>
      </c>
      <c r="CE21" s="1105">
        <f>DataInput!CE1074</f>
        <v>0</v>
      </c>
      <c r="CF21" s="1103">
        <f>DataInput!CF1137</f>
        <v>0</v>
      </c>
      <c r="CG21" s="235"/>
      <c r="CH21" s="235">
        <f t="shared" si="15"/>
        <v>0</v>
      </c>
      <c r="CI21" s="235" t="e">
        <f>BM21-#REF!</f>
        <v>#REF!</v>
      </c>
      <c r="CJ21" s="235">
        <f t="shared" ref="CJ21:CJ31" si="16">BN21-DI21</f>
        <v>0</v>
      </c>
      <c r="CK21" s="235">
        <f t="shared" ref="CK21:CK31" si="17">BO21-DJ21</f>
        <v>0</v>
      </c>
      <c r="CL21" s="235">
        <f t="shared" ref="CL21:CL31" si="18">BP21-DK21</f>
        <v>0</v>
      </c>
      <c r="CM21" s="235">
        <f t="shared" ref="CM21:CM31" si="19">BQ21-DL21</f>
        <v>0</v>
      </c>
      <c r="CN21" s="235">
        <f t="shared" ref="CN21:CN31" si="20">BR21-DM21</f>
        <v>0</v>
      </c>
      <c r="CO21" s="235">
        <f t="shared" ref="CO21:CO31" si="21">BS21-DN21</f>
        <v>0</v>
      </c>
      <c r="CP21" s="235">
        <f t="shared" ref="CP21:CP31" si="22">BT21-DO21</f>
        <v>0</v>
      </c>
      <c r="CQ21" s="235">
        <f t="shared" ref="CQ21:CQ31" si="23">BU21-DP21</f>
        <v>0</v>
      </c>
      <c r="CR21" s="235">
        <f t="shared" ref="CR21:CR31" si="24">BV21-DQ21</f>
        <v>0</v>
      </c>
      <c r="CS21" s="235">
        <f t="shared" ref="CS21:CS31" si="25">BW21-DR21</f>
        <v>0</v>
      </c>
      <c r="CT21" s="235">
        <f t="shared" ref="CT21:CT31" si="26">BX21-DS21</f>
        <v>0</v>
      </c>
      <c r="CU21" s="235">
        <f t="shared" ref="CU21:CU31" si="27">BY21-DT21</f>
        <v>0</v>
      </c>
      <c r="CV21" s="235">
        <f t="shared" ref="CV21:CV31" si="28">BZ21-DU21</f>
        <v>0</v>
      </c>
      <c r="CW21" s="235">
        <f t="shared" ref="CW21:CW31" si="29">CA21-DV21</f>
        <v>0</v>
      </c>
      <c r="CX21" s="235">
        <f t="shared" ref="CX21:CX31" si="30">CB21-DW21</f>
        <v>0</v>
      </c>
      <c r="CY21" s="235">
        <f t="shared" ref="CY21:CY31" si="31">CC21-DX21</f>
        <v>0</v>
      </c>
      <c r="CZ21" s="235">
        <f t="shared" ref="CZ21:CZ31" si="32">CD21-DY21</f>
        <v>0</v>
      </c>
      <c r="DA21" s="38"/>
      <c r="DB21" s="236"/>
      <c r="DC21" s="236"/>
      <c r="DD21" s="236"/>
      <c r="DE21" s="236"/>
      <c r="DF21" s="401"/>
      <c r="DG21" s="236"/>
      <c r="DH21" s="492"/>
      <c r="DI21" s="236">
        <v>3.9</v>
      </c>
      <c r="DJ21" s="236">
        <v>0</v>
      </c>
      <c r="DK21" s="236">
        <v>0</v>
      </c>
      <c r="DL21" s="236">
        <v>0</v>
      </c>
      <c r="DM21" s="236">
        <v>0</v>
      </c>
      <c r="DN21" s="236">
        <v>0</v>
      </c>
      <c r="DO21" s="236">
        <v>0</v>
      </c>
      <c r="DP21" s="236">
        <v>0</v>
      </c>
      <c r="DQ21" s="401">
        <v>0</v>
      </c>
      <c r="DR21" s="401">
        <v>0</v>
      </c>
      <c r="DS21" s="401">
        <v>0</v>
      </c>
      <c r="DT21" s="401">
        <v>0</v>
      </c>
      <c r="DU21" s="401">
        <v>0</v>
      </c>
      <c r="DV21" s="401">
        <v>0</v>
      </c>
      <c r="DW21" s="401">
        <v>0</v>
      </c>
      <c r="DX21" s="401">
        <v>0</v>
      </c>
      <c r="DY21" s="401">
        <v>0</v>
      </c>
      <c r="DZ21" s="401">
        <v>0</v>
      </c>
      <c r="EA21" s="989"/>
    </row>
    <row r="22" spans="1:131" s="76" customFormat="1">
      <c r="A22" s="974" t="s">
        <v>3860</v>
      </c>
      <c r="B22" s="921" t="str">
        <f>DataInput!B1008</f>
        <v>Suiker</v>
      </c>
      <c r="C22" s="51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51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>
        <f>DataInput!BM1008</f>
        <v>0</v>
      </c>
      <c r="BN22" s="74">
        <f>DataInput!BN1008</f>
        <v>0</v>
      </c>
      <c r="BO22" s="75">
        <f>DataInput!BO1008</f>
        <v>0</v>
      </c>
      <c r="BP22" s="75"/>
      <c r="BQ22" s="75"/>
      <c r="BR22" s="75">
        <f>DataInput!BR1008</f>
        <v>0</v>
      </c>
      <c r="BS22" s="75">
        <f>DataInput!BS1008</f>
        <v>0</v>
      </c>
      <c r="BT22" s="75">
        <f>DataInput!BT1008</f>
        <v>0</v>
      </c>
      <c r="BU22" s="75">
        <f>DataInput!BU1008</f>
        <v>0</v>
      </c>
      <c r="BV22" s="75">
        <f>DataInput!BV1008</f>
        <v>0</v>
      </c>
      <c r="BW22" s="75">
        <f>DataInput!BW1008</f>
        <v>0</v>
      </c>
      <c r="BX22" s="75">
        <f>DataInput!BX1008</f>
        <v>0</v>
      </c>
      <c r="BY22" s="75">
        <f>DataInput!BY1008</f>
        <v>0</v>
      </c>
      <c r="BZ22" s="75">
        <f>DataInput!BZ1008</f>
        <v>0</v>
      </c>
      <c r="CA22" s="75">
        <f>DataInput!CA1008</f>
        <v>0</v>
      </c>
      <c r="CB22" s="75">
        <f>DataInput!CB1008</f>
        <v>0</v>
      </c>
      <c r="CC22" s="75">
        <f>DataInput!CC1008</f>
        <v>0</v>
      </c>
      <c r="CD22" s="75">
        <f>DataInput!CD1008</f>
        <v>0</v>
      </c>
      <c r="CE22" s="75" t="s">
        <v>2219</v>
      </c>
      <c r="CF22" s="438"/>
      <c r="CG22" s="235"/>
      <c r="CH22" s="235">
        <f t="shared" si="15"/>
        <v>0</v>
      </c>
      <c r="CI22" s="235" t="e">
        <f>BM22-#REF!</f>
        <v>#REF!</v>
      </c>
      <c r="CJ22" s="235">
        <f t="shared" si="16"/>
        <v>0</v>
      </c>
      <c r="CK22" s="235">
        <f t="shared" si="17"/>
        <v>0</v>
      </c>
      <c r="CL22" s="235">
        <f t="shared" si="18"/>
        <v>0</v>
      </c>
      <c r="CM22" s="235">
        <f t="shared" si="19"/>
        <v>0</v>
      </c>
      <c r="CN22" s="235">
        <f t="shared" si="20"/>
        <v>0</v>
      </c>
      <c r="CO22" s="235">
        <f t="shared" si="21"/>
        <v>0</v>
      </c>
      <c r="CP22" s="235">
        <f t="shared" si="22"/>
        <v>0</v>
      </c>
      <c r="CQ22" s="235">
        <f t="shared" si="23"/>
        <v>0</v>
      </c>
      <c r="CR22" s="235">
        <f t="shared" si="24"/>
        <v>0</v>
      </c>
      <c r="CS22" s="235">
        <f t="shared" si="25"/>
        <v>0</v>
      </c>
      <c r="CT22" s="235">
        <f t="shared" si="26"/>
        <v>0</v>
      </c>
      <c r="CU22" s="235">
        <f t="shared" si="27"/>
        <v>0</v>
      </c>
      <c r="CV22" s="235">
        <f t="shared" si="28"/>
        <v>0</v>
      </c>
      <c r="CW22" s="235">
        <f t="shared" si="29"/>
        <v>0</v>
      </c>
      <c r="CX22" s="235">
        <f t="shared" si="30"/>
        <v>0</v>
      </c>
      <c r="CY22" s="235">
        <f t="shared" si="31"/>
        <v>0</v>
      </c>
      <c r="CZ22" s="235">
        <f t="shared" si="32"/>
        <v>0</v>
      </c>
      <c r="DA22" s="38"/>
      <c r="DB22" s="236"/>
      <c r="DC22" s="236"/>
      <c r="DD22" s="236"/>
      <c r="DE22" s="236"/>
      <c r="DF22" s="401"/>
      <c r="DG22" s="236"/>
      <c r="DH22" s="492"/>
      <c r="DI22" s="236">
        <v>0</v>
      </c>
      <c r="DJ22" s="236">
        <v>0</v>
      </c>
      <c r="DK22" s="236"/>
      <c r="DL22" s="236"/>
      <c r="DM22" s="236">
        <v>0</v>
      </c>
      <c r="DN22" s="236">
        <v>0</v>
      </c>
      <c r="DO22" s="236">
        <v>0</v>
      </c>
      <c r="DP22" s="236">
        <v>0</v>
      </c>
      <c r="DQ22" s="401">
        <v>0</v>
      </c>
      <c r="DR22" s="401">
        <v>0</v>
      </c>
      <c r="DS22" s="401">
        <v>0</v>
      </c>
      <c r="DT22" s="401">
        <v>0</v>
      </c>
      <c r="DU22" s="401">
        <v>0</v>
      </c>
      <c r="DV22" s="401">
        <v>0</v>
      </c>
      <c r="DW22" s="401">
        <v>0</v>
      </c>
      <c r="DX22" s="401">
        <v>0</v>
      </c>
      <c r="DY22" s="401">
        <v>0</v>
      </c>
      <c r="DZ22" s="401" t="s">
        <v>2219</v>
      </c>
      <c r="EA22" s="989"/>
    </row>
    <row r="23" spans="1:131" s="76" customFormat="1">
      <c r="A23" s="76" t="s">
        <v>3861</v>
      </c>
      <c r="B23" s="73" t="s">
        <v>3569</v>
      </c>
      <c r="C23" s="51" t="s">
        <v>3063</v>
      </c>
      <c r="D23" s="207" t="s">
        <v>2205</v>
      </c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90">
        <v>0</v>
      </c>
      <c r="AV23" s="74">
        <f>DataInput!AV74</f>
        <v>31.722000000000001</v>
      </c>
      <c r="AW23" s="74">
        <f>DataInput!AW74</f>
        <v>114.44799999999999</v>
      </c>
      <c r="AX23" s="74">
        <f>DataInput!AX74</f>
        <v>196.8</v>
      </c>
      <c r="AY23" s="74">
        <f>DataInput!AY74</f>
        <v>212.7</v>
      </c>
      <c r="AZ23" s="74">
        <f>DataInput!AZ74</f>
        <v>199.4</v>
      </c>
      <c r="BA23" s="74">
        <f>DataInput!BA74</f>
        <v>154.30000000000001</v>
      </c>
      <c r="BB23" s="74">
        <f>DataInput!BB74</f>
        <v>81.400000000000006</v>
      </c>
      <c r="BC23" s="74">
        <f>DataInput!BC74</f>
        <v>368.22223000000002</v>
      </c>
      <c r="BD23" s="74">
        <f>DataInput!BD74</f>
        <v>657</v>
      </c>
      <c r="BE23" s="74">
        <f>DataInput!BE74</f>
        <v>694.05372385744374</v>
      </c>
      <c r="BF23" s="74">
        <f>DataInput!BF74</f>
        <v>699.2139148327359</v>
      </c>
      <c r="BG23" s="74">
        <f>DataInput!BG74</f>
        <v>714.1294571028983</v>
      </c>
      <c r="BH23" s="74">
        <f>DataInput!BH74</f>
        <v>859.60422460494806</v>
      </c>
      <c r="BI23" s="74">
        <f>DataInput!BI74</f>
        <v>919.49780571318331</v>
      </c>
      <c r="BJ23" s="74">
        <f>DataInput!BJ74</f>
        <v>974.19422251515095</v>
      </c>
      <c r="BK23" s="74">
        <f>DataInput!BK74</f>
        <v>997.94838844503022</v>
      </c>
      <c r="BL23" s="74">
        <f>DataInput!BL74</f>
        <v>1072.0841316893595</v>
      </c>
      <c r="BM23" s="74">
        <f>DataInput!BM74</f>
        <v>1039.8961525230279</v>
      </c>
      <c r="BN23" s="74">
        <f>DataInput!BN74</f>
        <v>958.16598582153131</v>
      </c>
      <c r="BO23" s="74">
        <f>DataInput!BO74</f>
        <v>916.16598582153131</v>
      </c>
      <c r="BP23" s="74">
        <f>DataInput!BP74</f>
        <v>1091.1659858215312</v>
      </c>
      <c r="BQ23" s="74">
        <f>DataInput!BQ74</f>
        <v>1381.1659858215312</v>
      </c>
      <c r="BR23" s="74">
        <f>DataInput!BR74</f>
        <v>1416.1659858215312</v>
      </c>
      <c r="BS23" s="74">
        <f>DataInput!BS74</f>
        <v>1342.1659858215312</v>
      </c>
      <c r="BT23" s="74">
        <f>DataInput!BT74</f>
        <v>1349.1659858215312</v>
      </c>
      <c r="BU23" s="344">
        <f>BT23*(1+SIM!AC$3/100)*(1+SIM!AC7/100)*(1+DataInput!BU816/100)+finsim!BT17</f>
        <v>1403.1326252543925</v>
      </c>
      <c r="BV23" s="344">
        <f>BU23*(1+SIM!AD$3/100)*(1+SIM!AD7/100)*(1+DataInput!BV816/100)+finsim!BU17</f>
        <v>1459.2579302645681</v>
      </c>
      <c r="BW23" s="344">
        <f>BV23*(1+SIM!AE$3/100)*(1+SIM!AE7/100)*(1+DataInput!BW816/100)+finsim!BV17</f>
        <v>1517.6282474751508</v>
      </c>
      <c r="BX23" s="344">
        <f>BW23*(1+SIM!AF$3/100)*(1+SIM!AF7/100)*(1+DataInput!BX816/100)+finsim!BW17</f>
        <v>1578.333377374157</v>
      </c>
      <c r="BY23" s="344">
        <f>BX23*(1+SIM!AG$3/100)*(1+SIM!AG7/100)*(1+DataInput!BY816/100)+finsim!BX17</f>
        <v>1641.4667124691232</v>
      </c>
      <c r="BZ23" s="344">
        <f>BY23*(1+SIM!AH$3/100)*(1+SIM!AH7/100)*(1+DataInput!BZ816/100)+finsim!BY17</f>
        <v>1707.1253809678881</v>
      </c>
      <c r="CA23" s="344">
        <f>BZ23*(1+SIM!AI$3/100)*(1+SIM!AI7/100)*(1+DataInput!CA816/100)+finsim!BZ17</f>
        <v>1775.4103962066038</v>
      </c>
      <c r="CB23" s="344">
        <f>CA23*(1+SIM!AJ$3/100)*(1+SIM!AJ7/100)*(1+DataInput!CB816/100)+finsim!CA17</f>
        <v>1846.4268120548679</v>
      </c>
      <c r="CC23" s="344">
        <f>CB23*(1+SIM!AK$3/100)*(1+SIM!AK7/100)*(1+DataInput!CC816/100)+finsim!CB17</f>
        <v>1920.2838845370627</v>
      </c>
      <c r="CD23" s="344">
        <f>CC23*(1+SIM!AL$3/100)*(1+SIM!AL7/100)*(1+DataInput!CD816/100)+finsim!CC17</f>
        <v>1997.0952399185453</v>
      </c>
      <c r="CE23" s="75"/>
      <c r="CF23" s="438"/>
      <c r="CG23" s="235">
        <f t="shared" ref="CG23:CG31" si="33">BK23-DG23</f>
        <v>0</v>
      </c>
      <c r="CH23" s="235">
        <f t="shared" si="15"/>
        <v>0</v>
      </c>
      <c r="CI23" s="235" t="e">
        <f>BM23-#REF!</f>
        <v>#REF!</v>
      </c>
      <c r="CJ23" s="235">
        <f t="shared" si="16"/>
        <v>0</v>
      </c>
      <c r="CK23" s="235">
        <f t="shared" si="17"/>
        <v>0</v>
      </c>
      <c r="CL23" s="235">
        <f t="shared" si="18"/>
        <v>0</v>
      </c>
      <c r="CM23" s="235">
        <f t="shared" si="19"/>
        <v>0</v>
      </c>
      <c r="CN23" s="235">
        <f t="shared" si="20"/>
        <v>0</v>
      </c>
      <c r="CO23" s="235">
        <f t="shared" si="21"/>
        <v>0</v>
      </c>
      <c r="CP23" s="235">
        <f t="shared" si="22"/>
        <v>0</v>
      </c>
      <c r="CQ23" s="235">
        <f t="shared" si="23"/>
        <v>0</v>
      </c>
      <c r="CR23" s="235">
        <f t="shared" si="24"/>
        <v>0</v>
      </c>
      <c r="CS23" s="235">
        <f t="shared" si="25"/>
        <v>0</v>
      </c>
      <c r="CT23" s="235">
        <f t="shared" si="26"/>
        <v>0</v>
      </c>
      <c r="CU23" s="235">
        <f t="shared" si="27"/>
        <v>0</v>
      </c>
      <c r="CV23" s="235">
        <f t="shared" si="28"/>
        <v>0</v>
      </c>
      <c r="CW23" s="235">
        <f t="shared" si="29"/>
        <v>0</v>
      </c>
      <c r="CX23" s="235">
        <f t="shared" si="30"/>
        <v>0</v>
      </c>
      <c r="CY23" s="235">
        <f t="shared" si="31"/>
        <v>0</v>
      </c>
      <c r="CZ23" s="235">
        <f t="shared" si="32"/>
        <v>0</v>
      </c>
      <c r="DA23" s="38"/>
      <c r="DB23" s="236">
        <v>691.9973</v>
      </c>
      <c r="DC23" s="236">
        <v>692.9973</v>
      </c>
      <c r="DD23" s="236">
        <v>719</v>
      </c>
      <c r="DE23" s="236">
        <v>853.14297040525992</v>
      </c>
      <c r="DF23" s="401">
        <v>919.49780571318331</v>
      </c>
      <c r="DG23" s="236">
        <v>997.94838844503022</v>
      </c>
      <c r="DH23" s="492">
        <v>1072.0841316893595</v>
      </c>
      <c r="DI23" s="236">
        <v>958.16598582153131</v>
      </c>
      <c r="DJ23" s="236">
        <v>916.16598582153131</v>
      </c>
      <c r="DK23" s="236">
        <v>1091.1659858215312</v>
      </c>
      <c r="DL23" s="236">
        <v>1381.1659858215312</v>
      </c>
      <c r="DM23" s="236">
        <v>1416.1659858215312</v>
      </c>
      <c r="DN23" s="236">
        <v>1342.1659858215312</v>
      </c>
      <c r="DO23" s="236">
        <v>1349.1659858215312</v>
      </c>
      <c r="DP23" s="236">
        <v>1403.1326252543925</v>
      </c>
      <c r="DQ23" s="401">
        <v>1459.2579302645681</v>
      </c>
      <c r="DR23" s="401">
        <v>1517.6282474751508</v>
      </c>
      <c r="DS23" s="401">
        <v>1578.333377374157</v>
      </c>
      <c r="DT23" s="401">
        <v>1641.4667124691232</v>
      </c>
      <c r="DU23" s="401">
        <v>1707.1253809678881</v>
      </c>
      <c r="DV23" s="401">
        <v>1775.4103962066038</v>
      </c>
      <c r="DW23" s="401">
        <v>1846.4268120548679</v>
      </c>
      <c r="DX23" s="401">
        <v>1920.2838845370627</v>
      </c>
      <c r="DY23" s="401">
        <v>1997.0952399185453</v>
      </c>
      <c r="DZ23" s="401"/>
      <c r="EA23" s="989"/>
    </row>
    <row r="24" spans="1:131" s="76" customFormat="1">
      <c r="A24" s="76" t="s">
        <v>3862</v>
      </c>
      <c r="B24" s="73" t="s">
        <v>280</v>
      </c>
      <c r="C24" s="51" t="s">
        <v>3064</v>
      </c>
      <c r="D24" s="207" t="s">
        <v>4397</v>
      </c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90">
        <v>0</v>
      </c>
      <c r="AV24" s="74">
        <f>DataInput!AV81</f>
        <v>0</v>
      </c>
      <c r="AW24" s="74">
        <f>DataInput!AW81</f>
        <v>0</v>
      </c>
      <c r="AX24" s="74">
        <f>DataInput!AX81</f>
        <v>0</v>
      </c>
      <c r="AY24" s="74">
        <f>DataInput!AY81</f>
        <v>0</v>
      </c>
      <c r="AZ24" s="74">
        <f>DataInput!AZ81</f>
        <v>0</v>
      </c>
      <c r="BA24" s="74">
        <f>DataInput!BA81</f>
        <v>0</v>
      </c>
      <c r="BB24" s="74">
        <f>DataInput!BB81</f>
        <v>0</v>
      </c>
      <c r="BC24" s="74">
        <f>DataInput!BC81</f>
        <v>0</v>
      </c>
      <c r="BD24" s="74">
        <f>DataInput!BD81</f>
        <v>0</v>
      </c>
      <c r="BE24" s="74">
        <f>DataInput!BE81</f>
        <v>0</v>
      </c>
      <c r="BF24" s="74">
        <f>DataInput!BF81</f>
        <v>0</v>
      </c>
      <c r="BG24" s="74">
        <f>DataInput!BG81</f>
        <v>0</v>
      </c>
      <c r="BH24" s="74">
        <f>DataInput!BH81</f>
        <v>0</v>
      </c>
      <c r="BI24" s="74">
        <f>DataInput!BI81</f>
        <v>0</v>
      </c>
      <c r="BJ24" s="74">
        <f>DataInput!BJ81</f>
        <v>0</v>
      </c>
      <c r="BK24" s="74">
        <f>DataInput!BK81</f>
        <v>0</v>
      </c>
      <c r="BL24" s="74">
        <f>DataInput!BL81</f>
        <v>0</v>
      </c>
      <c r="BM24" s="74">
        <f>DataInput!BM81</f>
        <v>0</v>
      </c>
      <c r="BN24" s="74">
        <f>DataInput!BN81</f>
        <v>0</v>
      </c>
      <c r="BO24" s="344">
        <f>BN24*(1+SIM!W$3/100)+SIM!W8+finsim!BN18</f>
        <v>0</v>
      </c>
      <c r="BP24" s="344">
        <f>BO24*(1+SIM!X$3/100)+SIM!X8+finsim!BO18</f>
        <v>0</v>
      </c>
      <c r="BQ24" s="344">
        <f>BP24*(1+SIM!Y$3/100)+SIM!Y8+finsim!BP18</f>
        <v>0</v>
      </c>
      <c r="BR24" s="344">
        <f>BQ24*(1+SIM!Z$3/100)+SIM!Z8+finsim!BQ18</f>
        <v>0</v>
      </c>
      <c r="BS24" s="344">
        <f>BR24*(1+SIM!AA$3/100)+SIM!AA8+finsim!BR18</f>
        <v>0</v>
      </c>
      <c r="BT24" s="344">
        <f>BS24*(1+SIM!AB$3/100)+SIM!AB8+finsim!BS18</f>
        <v>0</v>
      </c>
      <c r="BU24" s="344">
        <f>BT24*(1+SIM!AC$3/100)+SIM!AC8+finsim!BT18</f>
        <v>0</v>
      </c>
      <c r="BV24" s="344">
        <f>BU24*(1+SIM!AD$3/100)+SIM!AD8+finsim!BU18</f>
        <v>0</v>
      </c>
      <c r="BW24" s="344">
        <f>BV24*(1+SIM!AE$3/100)+SIM!AE8+finsim!BV18</f>
        <v>0</v>
      </c>
      <c r="BX24" s="344">
        <f>BW24*(1+SIM!AF$3/100)+SIM!AF8+finsim!BW18</f>
        <v>0</v>
      </c>
      <c r="BY24" s="344">
        <f>BX24*(1+SIM!AG$3/100)+SIM!AG8+finsim!BX18</f>
        <v>0</v>
      </c>
      <c r="BZ24" s="344">
        <f>BY24*(1+SIM!AH$3/100)+SIM!AH8+finsim!BY18</f>
        <v>0</v>
      </c>
      <c r="CA24" s="344">
        <f>BZ24*(1+SIM!AI$3/100)+SIM!AI8+finsim!BZ18</f>
        <v>0</v>
      </c>
      <c r="CB24" s="344">
        <f>CA24*(1+SIM!AJ$3/100)+SIM!AJ8+finsim!CA18</f>
        <v>0</v>
      </c>
      <c r="CC24" s="344">
        <f>CB24*(1+SIM!AK$3/100)+SIM!AK8+finsim!CB18</f>
        <v>0</v>
      </c>
      <c r="CD24" s="344">
        <f>CC24*(1+SIM!AL$3/100)+SIM!AL8+finsim!CC18</f>
        <v>0</v>
      </c>
      <c r="CE24" s="344"/>
      <c r="CF24" s="438"/>
      <c r="CG24" s="235">
        <f t="shared" si="33"/>
        <v>0</v>
      </c>
      <c r="CH24" s="235">
        <f t="shared" si="15"/>
        <v>0</v>
      </c>
      <c r="CI24" s="235" t="e">
        <f>BM24-#REF!</f>
        <v>#REF!</v>
      </c>
      <c r="CJ24" s="235">
        <f t="shared" si="16"/>
        <v>0</v>
      </c>
      <c r="CK24" s="235">
        <f t="shared" si="17"/>
        <v>0</v>
      </c>
      <c r="CL24" s="235">
        <f t="shared" si="18"/>
        <v>0</v>
      </c>
      <c r="CM24" s="235">
        <f t="shared" si="19"/>
        <v>0</v>
      </c>
      <c r="CN24" s="235">
        <f t="shared" si="20"/>
        <v>0</v>
      </c>
      <c r="CO24" s="235">
        <f t="shared" si="21"/>
        <v>0</v>
      </c>
      <c r="CP24" s="235">
        <f t="shared" si="22"/>
        <v>0</v>
      </c>
      <c r="CQ24" s="235">
        <f t="shared" si="23"/>
        <v>0</v>
      </c>
      <c r="CR24" s="235">
        <f t="shared" si="24"/>
        <v>0</v>
      </c>
      <c r="CS24" s="235">
        <f t="shared" si="25"/>
        <v>0</v>
      </c>
      <c r="CT24" s="235">
        <f t="shared" si="26"/>
        <v>0</v>
      </c>
      <c r="CU24" s="235">
        <f t="shared" si="27"/>
        <v>0</v>
      </c>
      <c r="CV24" s="235">
        <f t="shared" si="28"/>
        <v>0</v>
      </c>
      <c r="CW24" s="235">
        <f t="shared" si="29"/>
        <v>0</v>
      </c>
      <c r="CX24" s="235">
        <f t="shared" si="30"/>
        <v>0</v>
      </c>
      <c r="CY24" s="235">
        <f t="shared" si="31"/>
        <v>0</v>
      </c>
      <c r="CZ24" s="235">
        <f t="shared" si="32"/>
        <v>0</v>
      </c>
      <c r="DA24" s="38"/>
      <c r="DB24" s="236">
        <v>-1</v>
      </c>
      <c r="DC24" s="236">
        <v>0</v>
      </c>
      <c r="DD24" s="236">
        <v>0</v>
      </c>
      <c r="DE24" s="236">
        <v>0</v>
      </c>
      <c r="DF24" s="401">
        <v>0</v>
      </c>
      <c r="DG24" s="236">
        <v>0</v>
      </c>
      <c r="DH24" s="492">
        <v>0</v>
      </c>
      <c r="DI24" s="236">
        <v>0</v>
      </c>
      <c r="DJ24" s="236">
        <v>0</v>
      </c>
      <c r="DK24" s="236">
        <v>0</v>
      </c>
      <c r="DL24" s="236">
        <v>0</v>
      </c>
      <c r="DM24" s="236">
        <v>0</v>
      </c>
      <c r="DN24" s="236">
        <v>0</v>
      </c>
      <c r="DO24" s="236">
        <v>0</v>
      </c>
      <c r="DP24" s="236">
        <v>0</v>
      </c>
      <c r="DQ24" s="401">
        <v>0</v>
      </c>
      <c r="DR24" s="401">
        <v>0</v>
      </c>
      <c r="DS24" s="401">
        <v>0</v>
      </c>
      <c r="DT24" s="401">
        <v>0</v>
      </c>
      <c r="DU24" s="401">
        <v>0</v>
      </c>
      <c r="DV24" s="401">
        <v>0</v>
      </c>
      <c r="DW24" s="401">
        <v>0</v>
      </c>
      <c r="DX24" s="401">
        <v>0</v>
      </c>
      <c r="DY24" s="401">
        <v>0</v>
      </c>
      <c r="DZ24" s="401"/>
      <c r="EA24" s="989"/>
    </row>
    <row r="25" spans="1:131" s="76" customFormat="1">
      <c r="A25" s="76" t="s">
        <v>3863</v>
      </c>
      <c r="B25" s="73" t="s">
        <v>4394</v>
      </c>
      <c r="C25" s="51" t="s">
        <v>2638</v>
      </c>
      <c r="D25" s="207" t="s">
        <v>4397</v>
      </c>
      <c r="E25" s="207"/>
      <c r="F25" s="295">
        <f>mamiabc!F115</f>
        <v>6.4169999999999998</v>
      </c>
      <c r="G25" s="295">
        <f>mamiabc!G115</f>
        <v>11.891</v>
      </c>
      <c r="H25" s="295">
        <f>mamiabc!H115</f>
        <v>14.673999999999999</v>
      </c>
      <c r="I25" s="295">
        <f>mamiabc!I115</f>
        <v>0</v>
      </c>
      <c r="J25" s="295">
        <f>mamiabc!J115</f>
        <v>10.241</v>
      </c>
      <c r="K25" s="295">
        <f>mamiabc!K115</f>
        <v>11.831</v>
      </c>
      <c r="L25" s="295">
        <f>mamiabc!L115</f>
        <v>17.937000000000001</v>
      </c>
      <c r="M25" s="295">
        <f>mamiabc!M115</f>
        <v>19.260000000000002</v>
      </c>
      <c r="N25" s="295">
        <f>mamiabc!N115</f>
        <v>20.677</v>
      </c>
      <c r="O25" s="295">
        <f>mamiabc!O115</f>
        <v>21.733000000000001</v>
      </c>
      <c r="P25" s="295">
        <f>mamiabc!P115</f>
        <v>14.4</v>
      </c>
      <c r="Q25" s="295">
        <f>mamiabc!Q115</f>
        <v>21.050999999999998</v>
      </c>
      <c r="R25" s="295">
        <f>mamiabc!R115</f>
        <v>22.826499999999999</v>
      </c>
      <c r="S25" s="295">
        <f>mamiabc!S115</f>
        <v>24.602</v>
      </c>
      <c r="T25" s="295">
        <f>mamiabc!T115</f>
        <v>31.858000000000001</v>
      </c>
      <c r="U25" s="295">
        <f>mamiabc!U115</f>
        <v>32.808999999999997</v>
      </c>
      <c r="V25" s="295">
        <f>mamiabc!V115</f>
        <v>16.119</v>
      </c>
      <c r="W25" s="295">
        <f>mamiabc!W115</f>
        <v>32.054000000000002</v>
      </c>
      <c r="X25" s="295">
        <f>mamiabc!X115</f>
        <v>30.706</v>
      </c>
      <c r="Y25" s="295">
        <f>mamiabc!Y115</f>
        <v>44.478999999999999</v>
      </c>
      <c r="Z25" s="295">
        <f>mamiabc!Z115</f>
        <v>46.253</v>
      </c>
      <c r="AA25" s="295">
        <f>mamiabc!AA115</f>
        <v>58.8</v>
      </c>
      <c r="AB25" s="295">
        <f>mamiabc!AB115</f>
        <v>57.5</v>
      </c>
      <c r="AC25" s="295">
        <f>mamiabc!AC115</f>
        <v>54.7</v>
      </c>
      <c r="AD25" s="295">
        <f>mamiabc!AD115</f>
        <v>74.7</v>
      </c>
      <c r="AE25" s="295">
        <f>mamiabc!AE115</f>
        <v>103</v>
      </c>
      <c r="AF25" s="295">
        <f>mamiabc!AF115</f>
        <v>110.7</v>
      </c>
      <c r="AG25" s="295">
        <f>mamiabc!AG115</f>
        <v>93.2</v>
      </c>
      <c r="AH25" s="295">
        <f>mamiabc!AH115</f>
        <v>130.80000000000001</v>
      </c>
      <c r="AI25" s="295">
        <f>mamiabc!AI115</f>
        <v>127.41</v>
      </c>
      <c r="AJ25" s="295">
        <f>mamiabc!AJ115</f>
        <v>94.7</v>
      </c>
      <c r="AK25" s="295">
        <f>mamiabc!AK115</f>
        <v>137.69999999999999</v>
      </c>
      <c r="AL25" s="295">
        <f>mamiabc!AL115</f>
        <v>108.1</v>
      </c>
      <c r="AM25" s="295">
        <f>mamiabc!AM115</f>
        <v>112.6</v>
      </c>
      <c r="AN25" s="295">
        <f>mamiabc!AN115</f>
        <v>77.7</v>
      </c>
      <c r="AO25" s="295">
        <f>mamiabc!AO115</f>
        <v>85.1</v>
      </c>
      <c r="AP25" s="295">
        <f>mamiabc!AP115</f>
        <v>64.900000000000006</v>
      </c>
      <c r="AQ25" s="295">
        <f>mamiabc!AQ115</f>
        <v>52.7</v>
      </c>
      <c r="AR25" s="295">
        <f>mamiabc!AR115</f>
        <v>78.099999999999994</v>
      </c>
      <c r="AS25" s="295">
        <f>mamiabc!AS115</f>
        <v>74.8</v>
      </c>
      <c r="AT25" s="295">
        <f>mamiabc!AT115</f>
        <v>80.599999999999994</v>
      </c>
      <c r="AU25" s="295">
        <f>mamiabc!AU115</f>
        <v>87.7</v>
      </c>
      <c r="AV25" s="74">
        <f>DataInput!AV61</f>
        <v>82.9</v>
      </c>
      <c r="AW25" s="74">
        <f>DataInput!AW61</f>
        <v>72.900000000000006</v>
      </c>
      <c r="AX25" s="74">
        <f>DataInput!AX61</f>
        <v>58.1</v>
      </c>
      <c r="AY25" s="74">
        <f>DataInput!AY61</f>
        <v>53.3</v>
      </c>
      <c r="AZ25" s="74">
        <f>DataInput!AZ61</f>
        <v>47.335999999999999</v>
      </c>
      <c r="BA25" s="74">
        <f>DataInput!BA61</f>
        <v>53.145000000000003</v>
      </c>
      <c r="BB25" s="74">
        <f>DataInput!BB61</f>
        <v>71.811999999999998</v>
      </c>
      <c r="BC25" s="74">
        <f>DataInput!BC61</f>
        <v>41.948999999999998</v>
      </c>
      <c r="BD25" s="74">
        <f>DataInput!BD61</f>
        <v>52.28</v>
      </c>
      <c r="BE25" s="74">
        <f>DataInput!BE61</f>
        <v>35.877000000000002</v>
      </c>
      <c r="BF25" s="74">
        <f>DataInput!BF61</f>
        <v>41.462000000000003</v>
      </c>
      <c r="BG25" s="74">
        <f>DataInput!BG61</f>
        <v>52.5</v>
      </c>
      <c r="BH25" s="74">
        <f>DataInput!BH61</f>
        <v>52.640999999999998</v>
      </c>
      <c r="BI25" s="74">
        <f>DataInput!BI61</f>
        <v>51.941000000000003</v>
      </c>
      <c r="BJ25" s="274">
        <f>DataInput!BJ61</f>
        <v>89.412000000000006</v>
      </c>
      <c r="BK25" s="274">
        <f>DataInput!BK61</f>
        <v>46.109000000000002</v>
      </c>
      <c r="BL25" s="274">
        <f>DataInput!BL61</f>
        <v>56.317</v>
      </c>
      <c r="BM25" s="274">
        <f>DataInput!BM61</f>
        <v>77.161000000000001</v>
      </c>
      <c r="BN25" s="274">
        <f>DataInput!BN61</f>
        <v>103.755</v>
      </c>
      <c r="BO25" s="344">
        <f>BN25*(1+SIM!W$3/100)*(1+SIM!W9/100)*(1+DataInput!BO815/100)+finsim!BN19</f>
        <v>93.379499999999993</v>
      </c>
      <c r="BP25" s="344">
        <f>BO25*(1+SIM!X$3/100)*(1+SIM!X9/100)*(1+DataInput!BP815/100)+finsim!BO19</f>
        <v>84.041550000000001</v>
      </c>
      <c r="BQ25" s="344">
        <f>BP25*(1+SIM!Y$3/100)*(1+SIM!Y9/100)*(1+DataInput!BQ815/100)+finsim!BP19</f>
        <v>88.243627500000002</v>
      </c>
      <c r="BR25" s="344">
        <f>BQ25*(1+SIM!Z$3/100)*(1+SIM!Z9/100)*(1+DataInput!BR815/100)+finsim!BQ19</f>
        <v>92.655808875000005</v>
      </c>
      <c r="BS25" s="344">
        <f>BR25*(1+SIM!AA$3/100)*(1+SIM!AA9/100)*(1+DataInput!BS815/100)+finsim!BR19</f>
        <v>97.288599318750016</v>
      </c>
      <c r="BT25" s="344">
        <f>BS25*(1+SIM!AB$3/100)*(1+SIM!AB9/100)*(1+DataInput!BT815/100)+finsim!BS19</f>
        <v>102.15302928468752</v>
      </c>
      <c r="BU25" s="344">
        <f>BT25*(1+SIM!AC$3/100)*(1+SIM!AC9/100)*(1+DataInput!BU815/100)+finsim!BT19</f>
        <v>107.2606807489219</v>
      </c>
      <c r="BV25" s="344">
        <f>BU25*(1+SIM!AD$3/100)*(1+SIM!AD9/100)*(1+DataInput!BV815/100)+finsim!BU19</f>
        <v>112.623714786368</v>
      </c>
      <c r="BW25" s="344">
        <f>BV25*(1+SIM!AE$3/100)*(1+SIM!AE9/100)*(1+DataInput!BW815/100)+finsim!BV19</f>
        <v>118.25490052568641</v>
      </c>
      <c r="BX25" s="344">
        <f>BW25*(1+SIM!AF$3/100)*(1+SIM!AF9/100)*(1+DataInput!BX815/100)+finsim!BW19</f>
        <v>124.16764555197074</v>
      </c>
      <c r="BY25" s="344">
        <f>BX25*(1+SIM!AG$3/100)*(1+SIM!AG9/100)*(1+DataInput!BY815/100)+finsim!BX19</f>
        <v>130.37602782956927</v>
      </c>
      <c r="BZ25" s="344">
        <f>BY25*(1+SIM!AH$3/100)*(1+SIM!AH9/100)*(1+DataInput!BZ815/100)+finsim!BY19</f>
        <v>136.89482922104773</v>
      </c>
      <c r="CA25" s="344">
        <f>BZ25*(1+SIM!AI$3/100)*(1+SIM!AI9/100)*(1+DataInput!CA815/100)+finsim!BZ19</f>
        <v>143.73957068210012</v>
      </c>
      <c r="CB25" s="344">
        <f>CA25*(1+SIM!AJ$3/100)*(1+SIM!AJ9/100)*(1+DataInput!CB815/100)+finsim!CA19</f>
        <v>150.92654921620513</v>
      </c>
      <c r="CC25" s="344">
        <f>CB25*(1+SIM!AK$3/100)*(1+SIM!AK9/100)*(1+DataInput!CC815/100)+finsim!CB19</f>
        <v>158.47287667701539</v>
      </c>
      <c r="CD25" s="344">
        <f>CC25*(1+SIM!AL$3/100)*(1+SIM!AL9/100)*(1+DataInput!CD815/100)+finsim!CC19</f>
        <v>166.39652051086617</v>
      </c>
      <c r="CE25" s="344"/>
      <c r="CF25" s="438"/>
      <c r="CG25" s="235">
        <f t="shared" si="33"/>
        <v>3.6890000000000001</v>
      </c>
      <c r="CH25" s="235">
        <f t="shared" si="15"/>
        <v>0</v>
      </c>
      <c r="CI25" s="235" t="e">
        <f>BM25-#REF!</f>
        <v>#REF!</v>
      </c>
      <c r="CJ25" s="235">
        <f t="shared" si="16"/>
        <v>0</v>
      </c>
      <c r="CK25" s="235">
        <f t="shared" si="17"/>
        <v>0</v>
      </c>
      <c r="CL25" s="235">
        <f t="shared" si="18"/>
        <v>0</v>
      </c>
      <c r="CM25" s="235">
        <f t="shared" si="19"/>
        <v>0</v>
      </c>
      <c r="CN25" s="235">
        <f t="shared" si="20"/>
        <v>0</v>
      </c>
      <c r="CO25" s="235">
        <f t="shared" si="21"/>
        <v>0</v>
      </c>
      <c r="CP25" s="235">
        <f t="shared" si="22"/>
        <v>0</v>
      </c>
      <c r="CQ25" s="235">
        <f t="shared" si="23"/>
        <v>0</v>
      </c>
      <c r="CR25" s="235">
        <f t="shared" si="24"/>
        <v>0</v>
      </c>
      <c r="CS25" s="235">
        <f t="shared" si="25"/>
        <v>0</v>
      </c>
      <c r="CT25" s="235">
        <f t="shared" si="26"/>
        <v>0</v>
      </c>
      <c r="CU25" s="235">
        <f t="shared" si="27"/>
        <v>0</v>
      </c>
      <c r="CV25" s="235">
        <f t="shared" si="28"/>
        <v>0</v>
      </c>
      <c r="CW25" s="235">
        <f t="shared" si="29"/>
        <v>0</v>
      </c>
      <c r="CX25" s="235">
        <f t="shared" si="30"/>
        <v>0</v>
      </c>
      <c r="CY25" s="235">
        <f t="shared" si="31"/>
        <v>0</v>
      </c>
      <c r="CZ25" s="235">
        <f t="shared" si="32"/>
        <v>0</v>
      </c>
      <c r="DA25" s="38"/>
      <c r="DB25" s="236">
        <v>40.463999999999999</v>
      </c>
      <c r="DC25" s="236">
        <v>41.463999999999999</v>
      </c>
      <c r="DD25" s="236">
        <v>52.5</v>
      </c>
      <c r="DE25" s="236">
        <v>52.640999999999998</v>
      </c>
      <c r="DF25" s="401">
        <v>51.941000000000003</v>
      </c>
      <c r="DG25" s="236">
        <v>42.42</v>
      </c>
      <c r="DH25" s="492">
        <v>56.317</v>
      </c>
      <c r="DI25" s="236">
        <v>103.755</v>
      </c>
      <c r="DJ25" s="236">
        <v>93.379499999999993</v>
      </c>
      <c r="DK25" s="236">
        <v>84.041550000000001</v>
      </c>
      <c r="DL25" s="236">
        <v>88.243627500000002</v>
      </c>
      <c r="DM25" s="236">
        <v>92.655808875000005</v>
      </c>
      <c r="DN25" s="236">
        <v>97.288599318750016</v>
      </c>
      <c r="DO25" s="236">
        <v>102.15302928468752</v>
      </c>
      <c r="DP25" s="236">
        <v>107.2606807489219</v>
      </c>
      <c r="DQ25" s="401">
        <v>112.623714786368</v>
      </c>
      <c r="DR25" s="401">
        <v>118.25490052568641</v>
      </c>
      <c r="DS25" s="401">
        <v>124.16764555197074</v>
      </c>
      <c r="DT25" s="401">
        <v>130.37602782956927</v>
      </c>
      <c r="DU25" s="401">
        <v>136.89482922104773</v>
      </c>
      <c r="DV25" s="401">
        <v>143.73957068210012</v>
      </c>
      <c r="DW25" s="401">
        <v>150.92654921620513</v>
      </c>
      <c r="DX25" s="401">
        <v>158.47287667701539</v>
      </c>
      <c r="DY25" s="401">
        <v>166.39652051086617</v>
      </c>
      <c r="DZ25" s="401"/>
      <c r="EA25" s="989"/>
    </row>
    <row r="26" spans="1:131" s="76" customFormat="1">
      <c r="A26" s="76" t="s">
        <v>3864</v>
      </c>
      <c r="B26" s="73" t="s">
        <v>2405</v>
      </c>
      <c r="C26" s="51" t="s">
        <v>95</v>
      </c>
      <c r="D26" s="207" t="s">
        <v>4397</v>
      </c>
      <c r="E26" s="207"/>
      <c r="F26" s="295">
        <f>mamiabc!F117</f>
        <v>1.4E-2</v>
      </c>
      <c r="G26" s="295">
        <f>mamiabc!G117</f>
        <v>0.22500000000000001</v>
      </c>
      <c r="H26" s="295">
        <f>mamiabc!H117</f>
        <v>0.19800000000000001</v>
      </c>
      <c r="I26" s="295">
        <f>mamiabc!I117</f>
        <v>0</v>
      </c>
      <c r="J26" s="295">
        <f>mamiabc!J117</f>
        <v>9.0999999999999998E-2</v>
      </c>
      <c r="K26" s="295">
        <f>mamiabc!K117</f>
        <v>0.10100000000000001</v>
      </c>
      <c r="L26" s="295">
        <f>mamiabc!L117</f>
        <v>0.50800000000000001</v>
      </c>
      <c r="M26" s="295">
        <f>mamiabc!M117</f>
        <v>1.069</v>
      </c>
      <c r="N26" s="295">
        <f>mamiabc!N117</f>
        <v>1.7129999999999999</v>
      </c>
      <c r="O26" s="295">
        <f>mamiabc!O117</f>
        <v>2.3240000000000003</v>
      </c>
      <c r="P26" s="295">
        <f>mamiabc!P117</f>
        <v>1.9789999999999999</v>
      </c>
      <c r="Q26" s="295">
        <f>mamiabc!Q117</f>
        <v>10.657</v>
      </c>
      <c r="R26" s="295">
        <f>mamiabc!R117</f>
        <v>15.516500000000001</v>
      </c>
      <c r="S26" s="295">
        <f>mamiabc!S117</f>
        <v>20.376000000000001</v>
      </c>
      <c r="T26" s="295">
        <f>mamiabc!T117</f>
        <v>36.494</v>
      </c>
      <c r="U26" s="295">
        <f>mamiabc!U117</f>
        <v>32.129000000000005</v>
      </c>
      <c r="V26" s="295">
        <f>mamiabc!V117</f>
        <v>25.091000000000001</v>
      </c>
      <c r="W26" s="295">
        <f>mamiabc!W117</f>
        <v>38.106000000000002</v>
      </c>
      <c r="X26" s="295">
        <f>mamiabc!X117</f>
        <v>39.668999999999997</v>
      </c>
      <c r="Y26" s="295">
        <f>mamiabc!Y117</f>
        <v>30.052</v>
      </c>
      <c r="Z26" s="295">
        <f>mamiabc!Z117</f>
        <v>34.601999999999997</v>
      </c>
      <c r="AA26" s="295">
        <f>mamiabc!AA117</f>
        <v>38.265000000000001</v>
      </c>
      <c r="AB26" s="295">
        <f>mamiabc!AB117</f>
        <v>37</v>
      </c>
      <c r="AC26" s="295">
        <f>mamiabc!AC117</f>
        <v>27.3</v>
      </c>
      <c r="AD26" s="295">
        <f>mamiabc!AD117</f>
        <v>29</v>
      </c>
      <c r="AE26" s="295">
        <f>mamiabc!AE117</f>
        <v>27.3</v>
      </c>
      <c r="AF26" s="295">
        <f>mamiabc!AF117</f>
        <v>34</v>
      </c>
      <c r="AG26" s="295">
        <f>mamiabc!AG117</f>
        <v>36.5</v>
      </c>
      <c r="AH26" s="295">
        <f>mamiabc!AH117</f>
        <v>37.5</v>
      </c>
      <c r="AI26" s="295">
        <f>mamiabc!AI117</f>
        <v>32.159999999999997</v>
      </c>
      <c r="AJ26" s="295">
        <f>mamiabc!AJ117</f>
        <v>34.9</v>
      </c>
      <c r="AK26" s="295">
        <f>mamiabc!AK117</f>
        <v>37.299999999999997</v>
      </c>
      <c r="AL26" s="295">
        <f>mamiabc!AL117</f>
        <v>36</v>
      </c>
      <c r="AM26" s="295">
        <f>mamiabc!AM117</f>
        <v>32.4</v>
      </c>
      <c r="AN26" s="295">
        <f>mamiabc!AN117</f>
        <v>35.6</v>
      </c>
      <c r="AO26" s="295">
        <f>mamiabc!AO117</f>
        <v>28.8</v>
      </c>
      <c r="AP26" s="295">
        <f>mamiabc!AP117</f>
        <v>28.3</v>
      </c>
      <c r="AQ26" s="295">
        <f>mamiabc!AQ117</f>
        <v>28.2</v>
      </c>
      <c r="AR26" s="295">
        <f>mamiabc!AR117</f>
        <v>29.9</v>
      </c>
      <c r="AS26" s="295">
        <f>mamiabc!AS117</f>
        <v>28.2</v>
      </c>
      <c r="AT26" s="295">
        <f>mamiabc!AT117</f>
        <v>33.299999999999997</v>
      </c>
      <c r="AU26" s="295">
        <f>mamiabc!AU117</f>
        <v>34</v>
      </c>
      <c r="AV26" s="74">
        <f>DataInput!AV63</f>
        <v>26.9</v>
      </c>
      <c r="AW26" s="74">
        <f>DataInput!AW63</f>
        <v>29</v>
      </c>
      <c r="AX26" s="74">
        <f>DataInput!AX63</f>
        <v>24.1</v>
      </c>
      <c r="AY26" s="74">
        <f>DataInput!AY63</f>
        <v>39.1</v>
      </c>
      <c r="AZ26" s="74">
        <f>DataInput!AZ63</f>
        <v>35.36</v>
      </c>
      <c r="BA26" s="74">
        <f>DataInput!BA63</f>
        <v>29.388999999999999</v>
      </c>
      <c r="BB26" s="74">
        <f>DataInput!BB63</f>
        <v>4.952</v>
      </c>
      <c r="BC26" s="74">
        <f>DataInput!BC63</f>
        <v>0</v>
      </c>
      <c r="BD26" s="74">
        <f>DataInput!BD63</f>
        <v>21.3</v>
      </c>
      <c r="BE26" s="74">
        <f>DataInput!BE63</f>
        <v>39.5</v>
      </c>
      <c r="BF26" s="74">
        <f>DataInput!BF63</f>
        <v>47.005000000000003</v>
      </c>
      <c r="BG26" s="74">
        <f>DataInput!BG63</f>
        <v>56.244999999999997</v>
      </c>
      <c r="BH26" s="74">
        <f>DataInput!BH63</f>
        <v>65.438419999999994</v>
      </c>
      <c r="BI26" s="74">
        <f>DataInput!BI63</f>
        <v>58.131999999999998</v>
      </c>
      <c r="BJ26" s="74">
        <f>DataInput!BJ63</f>
        <v>70.239000000000004</v>
      </c>
      <c r="BK26" s="74">
        <f>DataInput!BK63</f>
        <v>68.138000000000005</v>
      </c>
      <c r="BL26" s="74">
        <f>DataInput!BL63</f>
        <v>62.213000000000001</v>
      </c>
      <c r="BM26" s="74">
        <f>DataInput!BM63</f>
        <v>76.584999999999994</v>
      </c>
      <c r="BN26" s="74">
        <f>DataInput!BN63</f>
        <v>69.790000000000006</v>
      </c>
      <c r="BO26" s="344">
        <f>BN26*(1+SIM!W$3/100)*(1+SIM!W10/100)+finsim!BN20</f>
        <v>54.994520000000009</v>
      </c>
      <c r="BP26" s="344">
        <f>BO26*(1+SIM!X$3/100)*(1+SIM!X10/100)+finsim!BO20</f>
        <v>54.994520000000009</v>
      </c>
      <c r="BQ26" s="344">
        <f>BP26*(1+SIM!Y$3/100)*(1+SIM!Y10/100)+finsim!BP20</f>
        <v>54.994520000000009</v>
      </c>
      <c r="BR26" s="344">
        <f>BQ26*(1+SIM!Z$3/100)*(1+SIM!Z10/100)+finsim!BQ20</f>
        <v>54.994520000000009</v>
      </c>
      <c r="BS26" s="344">
        <f>BR26*(1+SIM!AA$3/100)*(1+SIM!AA10/100)+finsim!BR20</f>
        <v>54.994520000000009</v>
      </c>
      <c r="BT26" s="344">
        <f>BS26*(1+SIM!AB$3/100)*(1+SIM!AB10/100)+finsim!BS20</f>
        <v>54.994520000000009</v>
      </c>
      <c r="BU26" s="344">
        <f>BT26*(1+SIM!AC$3/100)*(1+SIM!AC10/100)+finsim!BT20</f>
        <v>54.994520000000009</v>
      </c>
      <c r="BV26" s="344">
        <f>BU26*(1+SIM!AD$3/100)*(1+SIM!AD10/100)+finsim!BU20</f>
        <v>54.994520000000009</v>
      </c>
      <c r="BW26" s="344">
        <f>BV26*(1+SIM!AE$3/100)*(1+SIM!AE10/100)+finsim!BV20</f>
        <v>54.994520000000009</v>
      </c>
      <c r="BX26" s="344">
        <f>BW26*(1+SIM!AF$3/100)*(1+SIM!AF10/100)+finsim!BW20</f>
        <v>54.994520000000009</v>
      </c>
      <c r="BY26" s="344">
        <f>BX26*(1+SIM!AG$3/100)*(1+SIM!AG10/100)+finsim!BX20</f>
        <v>54.994520000000009</v>
      </c>
      <c r="BZ26" s="344">
        <f>BY26*(1+SIM!AH$3/100)*(1+SIM!AH10/100)+finsim!BY20</f>
        <v>54.994520000000009</v>
      </c>
      <c r="CA26" s="344">
        <f>BZ26*(1+SIM!AI$3/100)*(1+SIM!AI10/100)+finsim!BZ20</f>
        <v>54.994520000000009</v>
      </c>
      <c r="CB26" s="344">
        <f>CA26*(1+SIM!AJ$3/100)*(1+SIM!AJ10/100)+finsim!CA20</f>
        <v>54.994520000000009</v>
      </c>
      <c r="CC26" s="344">
        <f>CB26*(1+SIM!AK$3/100)*(1+SIM!AK10/100)+finsim!CB20</f>
        <v>54.994520000000009</v>
      </c>
      <c r="CD26" s="344">
        <f>CC26*(1+SIM!AL$3/100)*(1+SIM!AL10/100)+finsim!CC20</f>
        <v>54.994520000000009</v>
      </c>
      <c r="CE26" s="344"/>
      <c r="CF26" s="438"/>
      <c r="CG26" s="235">
        <f t="shared" si="33"/>
        <v>-1.05274</v>
      </c>
      <c r="CH26" s="235">
        <f t="shared" si="15"/>
        <v>0</v>
      </c>
      <c r="CI26" s="235" t="e">
        <f>BM26-#REF!</f>
        <v>#REF!</v>
      </c>
      <c r="CJ26" s="235">
        <f t="shared" si="16"/>
        <v>0</v>
      </c>
      <c r="CK26" s="276">
        <f t="shared" si="17"/>
        <v>0</v>
      </c>
      <c r="CL26" s="235">
        <f t="shared" si="18"/>
        <v>0</v>
      </c>
      <c r="CM26" s="235">
        <f t="shared" si="19"/>
        <v>0</v>
      </c>
      <c r="CN26" s="235">
        <f t="shared" si="20"/>
        <v>0</v>
      </c>
      <c r="CO26" s="235">
        <f t="shared" si="21"/>
        <v>0</v>
      </c>
      <c r="CP26" s="235">
        <f t="shared" si="22"/>
        <v>0</v>
      </c>
      <c r="CQ26" s="235">
        <f t="shared" si="23"/>
        <v>0</v>
      </c>
      <c r="CR26" s="235">
        <f t="shared" si="24"/>
        <v>0</v>
      </c>
      <c r="CS26" s="235">
        <f t="shared" si="25"/>
        <v>0</v>
      </c>
      <c r="CT26" s="235">
        <f t="shared" si="26"/>
        <v>0</v>
      </c>
      <c r="CU26" s="235">
        <f t="shared" si="27"/>
        <v>0</v>
      </c>
      <c r="CV26" s="235">
        <f t="shared" si="28"/>
        <v>0</v>
      </c>
      <c r="CW26" s="235">
        <f t="shared" si="29"/>
        <v>0</v>
      </c>
      <c r="CX26" s="235">
        <f t="shared" si="30"/>
        <v>0</v>
      </c>
      <c r="CY26" s="235">
        <f t="shared" si="31"/>
        <v>0</v>
      </c>
      <c r="CZ26" s="235">
        <f t="shared" si="32"/>
        <v>0</v>
      </c>
      <c r="DA26" s="38"/>
      <c r="DB26" s="236">
        <v>46.134</v>
      </c>
      <c r="DC26" s="236">
        <v>47.134</v>
      </c>
      <c r="DD26" s="236">
        <v>56.244999999999997</v>
      </c>
      <c r="DE26" s="236">
        <v>65.438000000000002</v>
      </c>
      <c r="DF26" s="401">
        <v>56.993279999999999</v>
      </c>
      <c r="DG26" s="236">
        <v>69.190740000000005</v>
      </c>
      <c r="DH26" s="492">
        <v>62.213000000000001</v>
      </c>
      <c r="DI26" s="236">
        <v>69.790000000000006</v>
      </c>
      <c r="DJ26" s="236">
        <v>54.994520000000009</v>
      </c>
      <c r="DK26" s="236">
        <v>54.994520000000009</v>
      </c>
      <c r="DL26" s="236">
        <v>54.994520000000009</v>
      </c>
      <c r="DM26" s="236">
        <v>54.994520000000009</v>
      </c>
      <c r="DN26" s="236">
        <v>54.994520000000009</v>
      </c>
      <c r="DO26" s="236">
        <v>54.994520000000009</v>
      </c>
      <c r="DP26" s="236">
        <v>54.994520000000009</v>
      </c>
      <c r="DQ26" s="401">
        <v>54.994520000000009</v>
      </c>
      <c r="DR26" s="401">
        <v>54.994520000000009</v>
      </c>
      <c r="DS26" s="401">
        <v>54.994520000000009</v>
      </c>
      <c r="DT26" s="401">
        <v>54.994520000000009</v>
      </c>
      <c r="DU26" s="401">
        <v>54.994520000000009</v>
      </c>
      <c r="DV26" s="401">
        <v>54.994520000000009</v>
      </c>
      <c r="DW26" s="401">
        <v>54.994520000000009</v>
      </c>
      <c r="DX26" s="401">
        <v>54.994520000000009</v>
      </c>
      <c r="DY26" s="401">
        <v>54.994520000000009</v>
      </c>
      <c r="DZ26" s="401"/>
      <c r="EA26" s="989"/>
    </row>
    <row r="27" spans="1:131" s="76" customFormat="1">
      <c r="A27" s="76" t="s">
        <v>3865</v>
      </c>
      <c r="B27" s="73" t="s">
        <v>2406</v>
      </c>
      <c r="C27" s="51" t="s">
        <v>96</v>
      </c>
      <c r="D27" s="207" t="s">
        <v>4397</v>
      </c>
      <c r="E27" s="207"/>
      <c r="F27" s="295">
        <f>mamiabc!F119/1000</f>
        <v>1.4466666666666668E-2</v>
      </c>
      <c r="G27" s="295">
        <f>mamiabc!G119/1000</f>
        <v>2.4799999999999999E-2</v>
      </c>
      <c r="H27" s="295">
        <f>mamiabc!H119/1000</f>
        <v>9.7133333333333335E-2</v>
      </c>
      <c r="I27" s="295">
        <f>mamiabc!I119/1000</f>
        <v>0</v>
      </c>
      <c r="J27" s="295">
        <f>mamiabc!J119/1000</f>
        <v>0.12193333333333334</v>
      </c>
      <c r="K27" s="295">
        <f>mamiabc!K119/1000</f>
        <v>0.28933333333333333</v>
      </c>
      <c r="L27" s="295">
        <f>mamiabc!L119/1000</f>
        <v>0.4071333333333334</v>
      </c>
      <c r="M27" s="295">
        <f>mamiabc!M119/1000</f>
        <v>0.44639999999999996</v>
      </c>
      <c r="N27" s="295">
        <f>mamiabc!N119/1000</f>
        <v>1.0044</v>
      </c>
      <c r="O27" s="295">
        <f>mamiabc!O119/1000</f>
        <v>1.2999333333333334</v>
      </c>
      <c r="P27" s="295">
        <f>mamiabc!P119/1000</f>
        <v>1.6057999999999999</v>
      </c>
      <c r="Q27" s="295">
        <f>mamiabc!Q119/1000</f>
        <v>2.0831999999999997</v>
      </c>
      <c r="R27" s="295">
        <f>mamiabc!R119/1000</f>
        <v>2.2299333333333333</v>
      </c>
      <c r="S27" s="295">
        <f>mamiabc!S119/1000</f>
        <v>2.3766666666666665</v>
      </c>
      <c r="T27" s="295">
        <f>mamiabc!T119/1000</f>
        <v>3.2219333333333338</v>
      </c>
      <c r="U27" s="295">
        <f>mamiabc!U119/1000</f>
        <v>2.9491333333333332</v>
      </c>
      <c r="V27" s="295">
        <f>mamiabc!V119/1000</f>
        <v>3.081</v>
      </c>
      <c r="W27" s="295">
        <f>mamiabc!W119/1000</f>
        <v>2.629</v>
      </c>
      <c r="X27" s="295">
        <f>mamiabc!X119/1000</f>
        <v>2.9750000000000001</v>
      </c>
      <c r="Y27" s="295">
        <f>mamiabc!Y119/1000</f>
        <v>3.2530000000000001</v>
      </c>
      <c r="Z27" s="295">
        <f>mamiabc!Z119/1000</f>
        <v>2.6309999999999998</v>
      </c>
      <c r="AA27" s="295">
        <f>mamiabc!AA119/1000</f>
        <v>3.448</v>
      </c>
      <c r="AB27" s="295">
        <f>mamiabc!AB119/1000</f>
        <v>3.6150000000000002</v>
      </c>
      <c r="AC27" s="295">
        <f>mamiabc!AC119/1000</f>
        <v>3.8239999999999998</v>
      </c>
      <c r="AD27" s="295">
        <f>mamiabc!AD119/1000</f>
        <v>3.7229999999999999</v>
      </c>
      <c r="AE27" s="295">
        <f>mamiabc!AE119/1000</f>
        <v>3.2949999999999999</v>
      </c>
      <c r="AF27" s="295">
        <f>mamiabc!AF119/1000</f>
        <v>3.05</v>
      </c>
      <c r="AG27" s="295">
        <f>mamiabc!AG119/1000</f>
        <v>3.8</v>
      </c>
      <c r="AH27" s="295">
        <f>mamiabc!AH119/1000</f>
        <v>3.3</v>
      </c>
      <c r="AI27" s="295">
        <f>mamiabc!AI119/1000</f>
        <v>3.4</v>
      </c>
      <c r="AJ27" s="295">
        <f>mamiabc!AJ119/1000</f>
        <v>3.3</v>
      </c>
      <c r="AK27" s="295">
        <f>mamiabc!AK119/1000</f>
        <v>2.2000000000000002</v>
      </c>
      <c r="AL27" s="295">
        <f>mamiabc!AL119/1000</f>
        <v>2.7</v>
      </c>
      <c r="AM27" s="295">
        <f>mamiabc!AM119/1000</f>
        <v>3.1</v>
      </c>
      <c r="AN27" s="295">
        <f>mamiabc!AN119/1000</f>
        <v>2.2999999999999998</v>
      </c>
      <c r="AO27" s="295">
        <f>mamiabc!AO119/1000</f>
        <v>2</v>
      </c>
      <c r="AP27" s="295">
        <f>mamiabc!AP119/1000</f>
        <v>3.3129</v>
      </c>
      <c r="AQ27" s="295">
        <f>mamiabc!AQ119/1000</f>
        <v>3.0653999999999999</v>
      </c>
      <c r="AR27" s="295">
        <f>mamiabc!AR119/1000</f>
        <v>2.3410000000000002</v>
      </c>
      <c r="AS27" s="295">
        <f>mamiabc!AS119/1000</f>
        <v>2.0649999999999999</v>
      </c>
      <c r="AT27" s="295">
        <f>mamiabc!AT119/1000</f>
        <v>2.391</v>
      </c>
      <c r="AU27" s="295">
        <f>mamiabc!AU119/1000</f>
        <v>2.6</v>
      </c>
      <c r="AV27" s="77">
        <f>DataInput!AV65</f>
        <v>2.7530000000000001</v>
      </c>
      <c r="AW27" s="77">
        <f>DataInput!AW65</f>
        <v>2.73</v>
      </c>
      <c r="AX27" s="77">
        <f>DataInput!AX65</f>
        <v>3.2669999999999999</v>
      </c>
      <c r="AY27" s="77">
        <f>DataInput!AY65</f>
        <v>3.355</v>
      </c>
      <c r="AZ27" s="77">
        <f>DataInput!AZ65</f>
        <v>5.3230000000000004</v>
      </c>
      <c r="BA27" s="77">
        <f>DataInput!BA65</f>
        <v>6.4980000000000002</v>
      </c>
      <c r="BB27" s="77">
        <f>DataInput!BB65</f>
        <v>7.577</v>
      </c>
      <c r="BC27" s="77">
        <f>DataInput!BC65</f>
        <v>7.1790000000000003</v>
      </c>
      <c r="BD27" s="77">
        <f>DataInput!BD65</f>
        <v>6.3780000000000001</v>
      </c>
      <c r="BE27" s="77">
        <f>DataInput!BE65</f>
        <v>5.4119999999999999</v>
      </c>
      <c r="BF27" s="77">
        <f>DataInput!BF65</f>
        <v>5.62</v>
      </c>
      <c r="BG27" s="77">
        <f>DataInput!BG65</f>
        <v>5.2110000000000003</v>
      </c>
      <c r="BH27" s="77">
        <f>DataInput!BH65</f>
        <v>4.173</v>
      </c>
      <c r="BI27" s="77">
        <f>DataInput!BI65</f>
        <v>3.3319999999999999</v>
      </c>
      <c r="BJ27" s="77">
        <f>DataInput!BJ65</f>
        <v>6.6920000000000002</v>
      </c>
      <c r="BK27" s="77">
        <f>DataInput!BK65</f>
        <v>3.6379999999999999</v>
      </c>
      <c r="BL27" s="77">
        <f>DataInput!BL65</f>
        <v>3.1789999999999998</v>
      </c>
      <c r="BM27" s="77">
        <f>DataInput!BM65</f>
        <v>4.0529999999999999</v>
      </c>
      <c r="BN27" s="77">
        <f>DataInput!BN65</f>
        <v>2.778</v>
      </c>
      <c r="BO27" s="344">
        <f>BN27*(1+SIM!W$3/100)*(1+SIM!W11/100)+finsim!BN21</f>
        <v>2.850228</v>
      </c>
      <c r="BP27" s="344">
        <f>BO27*(1+SIM!X$3/100)*(1+SIM!X11/100)+finsim!BO21</f>
        <v>2.9243339280000002</v>
      </c>
      <c r="BQ27" s="344">
        <f>BP27*(1+SIM!Y$3/100)*(1+SIM!Y11/100)+finsim!BP21</f>
        <v>3.0003666101280002</v>
      </c>
      <c r="BR27" s="344">
        <f>BQ27*(1+SIM!Z$3/100)*(1+SIM!Z11/100)+finsim!BQ21</f>
        <v>3.0783761419913285</v>
      </c>
      <c r="BS27" s="344">
        <f>BR27*(1+SIM!AA$3/100)*(1+SIM!AA11/100)+finsim!BR21</f>
        <v>3.1183950318372156</v>
      </c>
      <c r="BT27" s="344">
        <f>BS27*(1+SIM!AB$3/100)*(1+SIM!AB11/100)+finsim!BS21</f>
        <v>3.1589341672510991</v>
      </c>
      <c r="BU27" s="344">
        <f>BT27*(1+SIM!AC$3/100)*(1+SIM!AC11/100)+finsim!BT21</f>
        <v>3.200000311425363</v>
      </c>
      <c r="BV27" s="344">
        <f>BU27*(1+SIM!AD$3/100)*(1+SIM!AD11/100)+finsim!BU21</f>
        <v>3.2416003154738924</v>
      </c>
      <c r="BW27" s="344">
        <f>BV27*(1+SIM!AE$3/100)*(1+SIM!AE11/100)+finsim!BV21</f>
        <v>3.2837411195750525</v>
      </c>
      <c r="BX27" s="344">
        <f>BW27*(1+SIM!AF$3/100)*(1+SIM!AF11/100)+finsim!BW21</f>
        <v>3.3264297541295278</v>
      </c>
      <c r="BY27" s="344">
        <f>BX27*(1+SIM!AG$3/100)*(1+SIM!AG11/100)+finsim!BX21</f>
        <v>3.3696733409332111</v>
      </c>
      <c r="BZ27" s="344">
        <f>BY27*(1+SIM!AH$3/100)*(1+SIM!AH11/100)+finsim!BY21</f>
        <v>3.4134790943653424</v>
      </c>
      <c r="CA27" s="344">
        <f>BZ27*(1+SIM!AI$3/100)*(1+SIM!AI11/100)+finsim!BZ21</f>
        <v>3.4578543225920915</v>
      </c>
      <c r="CB27" s="344">
        <f>CA27*(1+SIM!AJ$3/100)*(1+SIM!AJ11/100)+finsim!CA21</f>
        <v>3.5028064287857883</v>
      </c>
      <c r="CC27" s="344">
        <f>CB27*(1+SIM!AK$3/100)*(1+SIM!AK11/100)+finsim!CB21</f>
        <v>3.548342912360003</v>
      </c>
      <c r="CD27" s="344">
        <f>CC27*(1+SIM!AL$3/100)*(1+SIM!AL11/100)+finsim!CC21</f>
        <v>3.5944713702206825</v>
      </c>
      <c r="CE27" s="344"/>
      <c r="CF27" s="438"/>
      <c r="CG27" s="235">
        <f t="shared" si="33"/>
        <v>-3.0540000000000003</v>
      </c>
      <c r="CH27" s="235">
        <f t="shared" si="15"/>
        <v>0</v>
      </c>
      <c r="CI27" s="235" t="e">
        <f>BM27-#REF!</f>
        <v>#REF!</v>
      </c>
      <c r="CJ27" s="235">
        <f t="shared" si="16"/>
        <v>0</v>
      </c>
      <c r="CK27" s="235">
        <f t="shared" si="17"/>
        <v>0</v>
      </c>
      <c r="CL27" s="235">
        <f t="shared" si="18"/>
        <v>0</v>
      </c>
      <c r="CM27" s="235">
        <f t="shared" si="19"/>
        <v>0</v>
      </c>
      <c r="CN27" s="235">
        <f t="shared" si="20"/>
        <v>0</v>
      </c>
      <c r="CO27" s="235">
        <f t="shared" si="21"/>
        <v>0</v>
      </c>
      <c r="CP27" s="235">
        <f t="shared" si="22"/>
        <v>0</v>
      </c>
      <c r="CQ27" s="235">
        <f t="shared" si="23"/>
        <v>0</v>
      </c>
      <c r="CR27" s="235">
        <f t="shared" si="24"/>
        <v>0</v>
      </c>
      <c r="CS27" s="235">
        <f t="shared" si="25"/>
        <v>0</v>
      </c>
      <c r="CT27" s="235">
        <f t="shared" si="26"/>
        <v>0</v>
      </c>
      <c r="CU27" s="235">
        <f t="shared" si="27"/>
        <v>0</v>
      </c>
      <c r="CV27" s="235">
        <f t="shared" si="28"/>
        <v>0</v>
      </c>
      <c r="CW27" s="235">
        <f t="shared" si="29"/>
        <v>0</v>
      </c>
      <c r="CX27" s="235">
        <f t="shared" si="30"/>
        <v>0</v>
      </c>
      <c r="CY27" s="235">
        <f t="shared" si="31"/>
        <v>0</v>
      </c>
      <c r="CZ27" s="235">
        <f t="shared" si="32"/>
        <v>0</v>
      </c>
      <c r="DA27" s="38"/>
      <c r="DB27" s="236">
        <v>4.62</v>
      </c>
      <c r="DC27" s="236">
        <v>5.62</v>
      </c>
      <c r="DD27" s="236">
        <v>5.2110000000000003</v>
      </c>
      <c r="DE27" s="236">
        <v>4.173</v>
      </c>
      <c r="DF27" s="401">
        <v>3.3319999999999999</v>
      </c>
      <c r="DG27" s="236">
        <v>6.6920000000000002</v>
      </c>
      <c r="DH27" s="492">
        <v>3.1789999999999998</v>
      </c>
      <c r="DI27" s="236">
        <v>2.778</v>
      </c>
      <c r="DJ27" s="236">
        <v>2.850228</v>
      </c>
      <c r="DK27" s="236">
        <v>2.9243339280000002</v>
      </c>
      <c r="DL27" s="236">
        <v>3.0003666101280002</v>
      </c>
      <c r="DM27" s="236">
        <v>3.0783761419913285</v>
      </c>
      <c r="DN27" s="236">
        <v>3.1183950318372156</v>
      </c>
      <c r="DO27" s="236">
        <v>3.1589341672510991</v>
      </c>
      <c r="DP27" s="236">
        <v>3.200000311425363</v>
      </c>
      <c r="DQ27" s="401">
        <v>3.2416003154738924</v>
      </c>
      <c r="DR27" s="401">
        <v>3.2837411195750525</v>
      </c>
      <c r="DS27" s="401">
        <v>3.3264297541295278</v>
      </c>
      <c r="DT27" s="401">
        <v>3.3696733409332111</v>
      </c>
      <c r="DU27" s="401">
        <v>3.4134790943653424</v>
      </c>
      <c r="DV27" s="401">
        <v>3.4578543225920915</v>
      </c>
      <c r="DW27" s="401">
        <v>3.5028064287857883</v>
      </c>
      <c r="DX27" s="401">
        <v>3.548342912360003</v>
      </c>
      <c r="DY27" s="401">
        <v>3.5944713702206825</v>
      </c>
      <c r="DZ27" s="401"/>
      <c r="EA27" s="989"/>
    </row>
    <row r="28" spans="1:131" s="76" customFormat="1">
      <c r="A28" s="76" t="s">
        <v>3866</v>
      </c>
      <c r="B28" s="73" t="s">
        <v>1256</v>
      </c>
      <c r="C28" s="51" t="s">
        <v>3066</v>
      </c>
      <c r="D28" s="207" t="s">
        <v>4397</v>
      </c>
      <c r="E28" s="207"/>
      <c r="F28" s="295">
        <f>mamiabc!F123/1000</f>
        <v>0</v>
      </c>
      <c r="G28" s="295">
        <f>mamiabc!G123/1000</f>
        <v>0</v>
      </c>
      <c r="H28" s="295">
        <f>mamiabc!H123/1000</f>
        <v>0</v>
      </c>
      <c r="I28" s="295">
        <f>mamiabc!I123/1000</f>
        <v>0</v>
      </c>
      <c r="J28" s="295">
        <f>mamiabc!J123/1000</f>
        <v>0</v>
      </c>
      <c r="K28" s="295">
        <f>mamiabc!K123/1000</f>
        <v>0</v>
      </c>
      <c r="L28" s="295">
        <f>mamiabc!L123/1000</f>
        <v>0</v>
      </c>
      <c r="M28" s="295">
        <f>mamiabc!M123/1000</f>
        <v>0</v>
      </c>
      <c r="N28" s="295">
        <f>mamiabc!N123/1000</f>
        <v>0</v>
      </c>
      <c r="O28" s="295">
        <f>mamiabc!O123/1000</f>
        <v>0</v>
      </c>
      <c r="P28" s="295">
        <f>mamiabc!P123/1000</f>
        <v>0</v>
      </c>
      <c r="Q28" s="295">
        <f>mamiabc!Q123/1000</f>
        <v>0</v>
      </c>
      <c r="R28" s="295">
        <f>mamiabc!R123/1000</f>
        <v>0</v>
      </c>
      <c r="S28" s="295">
        <f>mamiabc!S123/1000</f>
        <v>0</v>
      </c>
      <c r="T28" s="295">
        <f>mamiabc!T123/1000</f>
        <v>0</v>
      </c>
      <c r="U28" s="295">
        <f>mamiabc!U123/1000</f>
        <v>0</v>
      </c>
      <c r="V28" s="295">
        <f>mamiabc!V123/1000</f>
        <v>0</v>
      </c>
      <c r="W28" s="295">
        <f>mamiabc!W123/1000</f>
        <v>0</v>
      </c>
      <c r="X28" s="295">
        <f>mamiabc!X123/1000</f>
        <v>0</v>
      </c>
      <c r="Y28" s="295">
        <f>mamiabc!Y123/1000</f>
        <v>0</v>
      </c>
      <c r="Z28" s="295">
        <f>mamiabc!Z123/1000</f>
        <v>0</v>
      </c>
      <c r="AA28" s="295">
        <f>mamiabc!AA123/1000</f>
        <v>0</v>
      </c>
      <c r="AB28" s="295">
        <f>mamiabc!AB123/1000</f>
        <v>0</v>
      </c>
      <c r="AC28" s="295">
        <f>mamiabc!AC123/1000</f>
        <v>0</v>
      </c>
      <c r="AD28" s="295">
        <f>mamiabc!AD123/1000</f>
        <v>0</v>
      </c>
      <c r="AE28" s="295">
        <f>mamiabc!AE123/1000</f>
        <v>0</v>
      </c>
      <c r="AF28" s="295">
        <f>mamiabc!AF123/1000</f>
        <v>0</v>
      </c>
      <c r="AG28" s="295">
        <f>mamiabc!AG123/1000</f>
        <v>0</v>
      </c>
      <c r="AH28" s="295">
        <f>mamiabc!AH123/1000</f>
        <v>0</v>
      </c>
      <c r="AI28" s="295">
        <f>mamiabc!AI123/1000</f>
        <v>0</v>
      </c>
      <c r="AJ28" s="295">
        <f>mamiabc!AJ123/1000</f>
        <v>0</v>
      </c>
      <c r="AK28" s="295">
        <f>mamiabc!AK123/1000</f>
        <v>0</v>
      </c>
      <c r="AL28" s="295">
        <f>mamiabc!AL123/1000</f>
        <v>0</v>
      </c>
      <c r="AM28" s="295">
        <f>mamiabc!AM123/1000</f>
        <v>0</v>
      </c>
      <c r="AN28" s="295">
        <f>mamiabc!AN123/1000</f>
        <v>0</v>
      </c>
      <c r="AO28" s="295">
        <f>mamiabc!AO123/1000</f>
        <v>0</v>
      </c>
      <c r="AP28" s="295">
        <f>mamiabc!AP123/1000</f>
        <v>1.0132999999999999</v>
      </c>
      <c r="AQ28" s="295">
        <f>mamiabc!AQ123/1000</f>
        <v>0.69210000000000005</v>
      </c>
      <c r="AR28" s="295">
        <f>mamiabc!AR123/1000</f>
        <v>3.1</v>
      </c>
      <c r="AS28" s="295">
        <f>mamiabc!AS123/1000</f>
        <v>4.9000000000000004</v>
      </c>
      <c r="AT28" s="295">
        <f>mamiabc!AT123/1000</f>
        <v>4.7</v>
      </c>
      <c r="AU28" s="295">
        <f>mamiabc!AU123/1000</f>
        <v>4.5999999999999996</v>
      </c>
      <c r="AV28" s="77">
        <f>DataInput!AV69</f>
        <v>4.1120000000000001</v>
      </c>
      <c r="AW28" s="77">
        <f>DataInput!AW69</f>
        <v>6.9530000000000003</v>
      </c>
      <c r="AX28" s="77">
        <f>DataInput!AX69</f>
        <v>8.0630000000000006</v>
      </c>
      <c r="AY28" s="77">
        <f>DataInput!AY69</f>
        <v>4.71</v>
      </c>
      <c r="AZ28" s="77">
        <f>DataInput!AZ69</f>
        <v>7.8559999999999999</v>
      </c>
      <c r="BA28" s="77">
        <f>DataInput!BA69</f>
        <v>7.7190000000000003</v>
      </c>
      <c r="BB28" s="77">
        <f>DataInput!BB69</f>
        <v>10.302</v>
      </c>
      <c r="BC28" s="77">
        <f>DataInput!BC69</f>
        <v>9.5839999999999996</v>
      </c>
      <c r="BD28" s="77">
        <f>DataInput!BD69</f>
        <v>9.5630000000000006</v>
      </c>
      <c r="BE28" s="77">
        <f>DataInput!BE69</f>
        <v>11.926</v>
      </c>
      <c r="BF28" s="77">
        <f>DataInput!BF69</f>
        <v>13.935</v>
      </c>
      <c r="BG28" s="77">
        <f>DataInput!BG69</f>
        <v>15.307</v>
      </c>
      <c r="BH28" s="77">
        <f>DataInput!BH69</f>
        <v>16.704000000000001</v>
      </c>
      <c r="BI28" s="77">
        <f>DataInput!BI69</f>
        <v>20.356000000000002</v>
      </c>
      <c r="BJ28" s="77">
        <f>DataInput!BJ69</f>
        <v>21.234999999999999</v>
      </c>
      <c r="BK28" s="77">
        <f>DataInput!BK69</f>
        <v>22.082999999999998</v>
      </c>
      <c r="BL28" s="77">
        <f>DataInput!BL69</f>
        <v>18.582999999999998</v>
      </c>
      <c r="BM28" s="77">
        <f>DataInput!BM69</f>
        <v>25.568000000000001</v>
      </c>
      <c r="BN28" s="77">
        <f>DataInput!BN69</f>
        <v>28.991</v>
      </c>
      <c r="BO28" s="344">
        <f>BN28*(1+SIM!W$3/100)*(1+SIM!W12/100)+finsim!BN22</f>
        <v>29.744766000000002</v>
      </c>
      <c r="BP28" s="344">
        <f>BO28*(1+SIM!X$3/100)*(1+SIM!X12/100)+finsim!BO22</f>
        <v>30.518129916000003</v>
      </c>
      <c r="BQ28" s="344">
        <f>BP28*(1+SIM!Y$3/100)*(1+SIM!Y12/100)+finsim!BP22</f>
        <v>31.311601293816004</v>
      </c>
      <c r="BR28" s="344">
        <f>BQ28*(1+SIM!Z$3/100)*(1+SIM!Z12/100)+finsim!BQ22</f>
        <v>32.125702927455222</v>
      </c>
      <c r="BS28" s="344">
        <f>BR28*(1+SIM!AA$3/100)*(1+SIM!AA12/100)+finsim!BR22</f>
        <v>32.543337065512134</v>
      </c>
      <c r="BT28" s="344">
        <f>BS28*(1+SIM!AB$3/100)*(1+SIM!AB12/100)+finsim!BS22</f>
        <v>32.966400447363789</v>
      </c>
      <c r="BU28" s="344">
        <f>BT28*(1+SIM!AC$3/100)*(1+SIM!AC12/100)+finsim!BT22</f>
        <v>33.394963653179516</v>
      </c>
      <c r="BV28" s="344">
        <f>BU28*(1+SIM!AD$3/100)*(1+SIM!AD12/100)+finsim!BU22</f>
        <v>33.829098180670847</v>
      </c>
      <c r="BW28" s="344">
        <f>BV28*(1+SIM!AE$3/100)*(1+SIM!AE12/100)+finsim!BV22</f>
        <v>34.268876457019566</v>
      </c>
      <c r="BX28" s="344">
        <f>BW28*(1+SIM!AF$3/100)*(1+SIM!AF12/100)+finsim!BW22</f>
        <v>34.714371850960816</v>
      </c>
      <c r="BY28" s="344">
        <f>BX28*(1+SIM!AG$3/100)*(1+SIM!AG12/100)+finsim!BX22</f>
        <v>35.165658685023303</v>
      </c>
      <c r="BZ28" s="344">
        <f>BY28*(1+SIM!AH$3/100)*(1+SIM!AH12/100)+finsim!BY22</f>
        <v>35.6228122479286</v>
      </c>
      <c r="CA28" s="344">
        <f>BZ28*(1+SIM!AI$3/100)*(1+SIM!AI12/100)+finsim!BZ22</f>
        <v>36.085908807151668</v>
      </c>
      <c r="CB28" s="344">
        <f>CA28*(1+SIM!AJ$3/100)*(1+SIM!AJ12/100)+finsim!CA22</f>
        <v>36.555025621644639</v>
      </c>
      <c r="CC28" s="344">
        <f>CB28*(1+SIM!AK$3/100)*(1+SIM!AK12/100)+finsim!CB22</f>
        <v>37.030240954726018</v>
      </c>
      <c r="CD28" s="344">
        <f>CC28*(1+SIM!AL$3/100)*(1+SIM!AL12/100)+finsim!CC22</f>
        <v>37.511634087137452</v>
      </c>
      <c r="CE28" s="344"/>
      <c r="CF28" s="438"/>
      <c r="CG28" s="235">
        <f t="shared" si="33"/>
        <v>0.6629999999999967</v>
      </c>
      <c r="CH28" s="235">
        <f t="shared" si="15"/>
        <v>0</v>
      </c>
      <c r="CI28" s="235" t="e">
        <f>BM28-#REF!</f>
        <v>#REF!</v>
      </c>
      <c r="CJ28" s="235">
        <f t="shared" si="16"/>
        <v>0</v>
      </c>
      <c r="CK28" s="235">
        <f t="shared" si="17"/>
        <v>0</v>
      </c>
      <c r="CL28" s="235">
        <f t="shared" si="18"/>
        <v>0</v>
      </c>
      <c r="CM28" s="235">
        <f t="shared" si="19"/>
        <v>0</v>
      </c>
      <c r="CN28" s="235">
        <f t="shared" si="20"/>
        <v>0</v>
      </c>
      <c r="CO28" s="235">
        <f t="shared" si="21"/>
        <v>0</v>
      </c>
      <c r="CP28" s="235">
        <f t="shared" si="22"/>
        <v>0</v>
      </c>
      <c r="CQ28" s="235">
        <f t="shared" si="23"/>
        <v>0</v>
      </c>
      <c r="CR28" s="235">
        <f t="shared" si="24"/>
        <v>0</v>
      </c>
      <c r="CS28" s="235">
        <f t="shared" si="25"/>
        <v>0</v>
      </c>
      <c r="CT28" s="235">
        <f t="shared" si="26"/>
        <v>0</v>
      </c>
      <c r="CU28" s="235">
        <f t="shared" si="27"/>
        <v>0</v>
      </c>
      <c r="CV28" s="235">
        <f t="shared" si="28"/>
        <v>0</v>
      </c>
      <c r="CW28" s="235">
        <f t="shared" si="29"/>
        <v>0</v>
      </c>
      <c r="CX28" s="235">
        <f t="shared" si="30"/>
        <v>0</v>
      </c>
      <c r="CY28" s="235">
        <f t="shared" si="31"/>
        <v>0</v>
      </c>
      <c r="CZ28" s="235">
        <f t="shared" si="32"/>
        <v>0</v>
      </c>
      <c r="DA28" s="38"/>
      <c r="DB28" s="236">
        <v>12.935</v>
      </c>
      <c r="DC28" s="236">
        <v>13.935</v>
      </c>
      <c r="DD28" s="236">
        <v>15.307</v>
      </c>
      <c r="DE28" s="236">
        <v>16.704000000000001</v>
      </c>
      <c r="DF28" s="401">
        <v>20.356000000000002</v>
      </c>
      <c r="DG28" s="236">
        <v>21.42</v>
      </c>
      <c r="DH28" s="492">
        <v>18.582999999999998</v>
      </c>
      <c r="DI28" s="236">
        <v>28.991</v>
      </c>
      <c r="DJ28" s="236">
        <v>29.744766000000002</v>
      </c>
      <c r="DK28" s="236">
        <v>30.518129916000003</v>
      </c>
      <c r="DL28" s="236">
        <v>31.311601293816004</v>
      </c>
      <c r="DM28" s="236">
        <v>32.125702927455222</v>
      </c>
      <c r="DN28" s="236">
        <v>32.543337065512134</v>
      </c>
      <c r="DO28" s="236">
        <v>32.966400447363789</v>
      </c>
      <c r="DP28" s="236">
        <v>33.394963653179516</v>
      </c>
      <c r="DQ28" s="401">
        <v>33.829098180670847</v>
      </c>
      <c r="DR28" s="401">
        <v>34.268876457019566</v>
      </c>
      <c r="DS28" s="401">
        <v>34.714371850960816</v>
      </c>
      <c r="DT28" s="401">
        <v>35.165658685023303</v>
      </c>
      <c r="DU28" s="401">
        <v>35.6228122479286</v>
      </c>
      <c r="DV28" s="401">
        <v>36.085908807151668</v>
      </c>
      <c r="DW28" s="401">
        <v>36.555025621644639</v>
      </c>
      <c r="DX28" s="401">
        <v>37.030240954726018</v>
      </c>
      <c r="DY28" s="401">
        <v>37.511634087137452</v>
      </c>
      <c r="DZ28" s="401"/>
      <c r="EA28" s="989"/>
    </row>
    <row r="29" spans="1:131" s="76" customFormat="1">
      <c r="A29" s="76" t="s">
        <v>3867</v>
      </c>
      <c r="B29" s="73" t="s">
        <v>2407</v>
      </c>
      <c r="C29" s="51" t="s">
        <v>97</v>
      </c>
      <c r="D29" s="207" t="s">
        <v>4399</v>
      </c>
      <c r="E29" s="207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41">
        <f>mamiabc!AP121*$AV29/mamiabc!$AV121</f>
        <v>1.6500000000000001</v>
      </c>
      <c r="AQ29" s="41">
        <f>mamiabc!AQ121*$AV29/mamiabc!$AV121</f>
        <v>1.6500000000000001</v>
      </c>
      <c r="AR29" s="41">
        <f>mamiabc!AR121*$AV29/mamiabc!$AV121</f>
        <v>4.5749999999999993</v>
      </c>
      <c r="AS29" s="41">
        <f>mamiabc!AS121*$AV29/mamiabc!$AV121</f>
        <v>4.5</v>
      </c>
      <c r="AT29" s="41">
        <f>mamiabc!AT121*$AV29/mamiabc!$AV121</f>
        <v>9.75</v>
      </c>
      <c r="AU29" s="41">
        <f>mamiabc!AU121*$AV29/mamiabc!$AV121</f>
        <v>9</v>
      </c>
      <c r="AV29" s="74">
        <f>DataInput!AV67</f>
        <v>27</v>
      </c>
      <c r="AW29" s="74">
        <f>DataInput!AW67</f>
        <v>31</v>
      </c>
      <c r="AX29" s="74">
        <f>DataInput!AX67</f>
        <v>22.007000000000001</v>
      </c>
      <c r="AY29" s="74">
        <f>DataInput!AY67</f>
        <v>17.321000000000002</v>
      </c>
      <c r="AZ29" s="74">
        <f>DataInput!AZ67</f>
        <v>10.121</v>
      </c>
      <c r="BA29" s="74">
        <f>DataInput!BA67</f>
        <v>8.0180000000000007</v>
      </c>
      <c r="BB29" s="74">
        <f>DataInput!BB67</f>
        <v>25.923000000000002</v>
      </c>
      <c r="BC29" s="74">
        <f>DataInput!BC67</f>
        <v>3.2530000000000001</v>
      </c>
      <c r="BD29" s="74">
        <f>DataInput!BD67</f>
        <v>6.2369999999999992</v>
      </c>
      <c r="BE29" s="74">
        <f>DataInput!BE67</f>
        <v>9.5649999999999995</v>
      </c>
      <c r="BF29" s="74">
        <f>DataInput!BF67</f>
        <v>18.66</v>
      </c>
      <c r="BG29" s="74">
        <f>DataInput!BG67</f>
        <v>12.862</v>
      </c>
      <c r="BH29" s="74">
        <f>DataInput!BH67</f>
        <v>28.950000000000003</v>
      </c>
      <c r="BI29" s="74">
        <f>DataInput!BI67</f>
        <v>29.975999999999999</v>
      </c>
      <c r="BJ29" s="74">
        <f>DataInput!BJ67</f>
        <v>48.398999999999994</v>
      </c>
      <c r="BK29" s="74">
        <f>DataInput!BK67</f>
        <v>91.768000000000001</v>
      </c>
      <c r="BL29" s="74">
        <f>DataInput!BL67</f>
        <v>109.12700000000001</v>
      </c>
      <c r="BM29" s="74">
        <f>DataInput!BM67</f>
        <v>96.152999999999992</v>
      </c>
      <c r="BN29" s="74">
        <f>DataInput!BN67</f>
        <v>211.727</v>
      </c>
      <c r="BO29" s="344">
        <f>BN29*(1+SIM!W$3/100)*(1+SIM!W13/100)+finsim!BN23</f>
        <v>243.48604999999998</v>
      </c>
      <c r="BP29" s="344">
        <f>BO29*(1+SIM!X$3/100)*(1+SIM!X13/100)+finsim!BO23</f>
        <v>280.00895749999995</v>
      </c>
      <c r="BQ29" s="344">
        <f>BP29*(1+SIM!Y$3/100)*(1+SIM!Y13/100)+finsim!BP23</f>
        <v>322.0103011249999</v>
      </c>
      <c r="BR29" s="344">
        <f>BQ29*(1+SIM!Z$3/100)*(1+SIM!Z13/100)+finsim!BQ23</f>
        <v>370.31184629374985</v>
      </c>
      <c r="BS29" s="344">
        <f>BR29*(1+SIM!AA$3/100)*(1+SIM!AA13/100)+finsim!BR23</f>
        <v>398.08523476578108</v>
      </c>
      <c r="BT29" s="344">
        <f>BS29*(1+SIM!AB$3/100)*(1+SIM!AB13/100)+finsim!BS23</f>
        <v>427.94162737321466</v>
      </c>
      <c r="BU29" s="344">
        <f>BT29*(1+SIM!AC$3/100)*(1+SIM!AC13/100)+finsim!BT23</f>
        <v>460.03724942620573</v>
      </c>
      <c r="BV29" s="344">
        <f>BU29*(1+SIM!AD$3/100)*(1+SIM!AD13/100)+finsim!BU23</f>
        <v>494.54004313317114</v>
      </c>
      <c r="BW29" s="344">
        <f>BV29*(1+SIM!AE$3/100)*(1+SIM!AE13/100)+finsim!BV23</f>
        <v>531.630546368159</v>
      </c>
      <c r="BX29" s="344">
        <f>BW29*(1+SIM!AF$3/100)*(1+SIM!AF13/100)+finsim!BW23</f>
        <v>571.5028373457709</v>
      </c>
      <c r="BY29" s="344">
        <f>BX29*(1+SIM!AG$3/100)*(1+SIM!AG13/100)+finsim!BX23</f>
        <v>614.36555014670364</v>
      </c>
      <c r="BZ29" s="344">
        <f>BY29*(1+SIM!AH$3/100)*(1+SIM!AH13/100)+finsim!BY23</f>
        <v>660.44296640770642</v>
      </c>
      <c r="CA29" s="344">
        <f>BZ29*(1+SIM!AI$3/100)*(1+SIM!AI13/100)+finsim!BZ23</f>
        <v>709.97618888828436</v>
      </c>
      <c r="CB29" s="344">
        <f>CA29*(1+SIM!AJ$3/100)*(1+SIM!AJ13/100)+finsim!CA23</f>
        <v>763.22440305490568</v>
      </c>
      <c r="CC29" s="344">
        <f>CB29*(1+SIM!AK$3/100)*(1+SIM!AK13/100)+finsim!CB23</f>
        <v>820.46623328402359</v>
      </c>
      <c r="CD29" s="344">
        <f>CC29*(1+SIM!AL$3/100)*(1+SIM!AL13/100)+finsim!CC23</f>
        <v>882.00120078032535</v>
      </c>
      <c r="CE29" s="344"/>
      <c r="CF29" s="438"/>
      <c r="CG29" s="235">
        <f t="shared" si="33"/>
        <v>-6.2319999999999993</v>
      </c>
      <c r="CH29" s="235">
        <f t="shared" si="15"/>
        <v>0</v>
      </c>
      <c r="CI29" s="235" t="e">
        <f>BM29-#REF!</f>
        <v>#REF!</v>
      </c>
      <c r="CJ29" s="235">
        <f t="shared" si="16"/>
        <v>0</v>
      </c>
      <c r="CK29" s="235">
        <f t="shared" si="17"/>
        <v>0</v>
      </c>
      <c r="CL29" s="235">
        <f t="shared" si="18"/>
        <v>0</v>
      </c>
      <c r="CM29" s="235">
        <f t="shared" si="19"/>
        <v>0</v>
      </c>
      <c r="CN29" s="235">
        <f t="shared" si="20"/>
        <v>0</v>
      </c>
      <c r="CO29" s="235">
        <f t="shared" si="21"/>
        <v>0</v>
      </c>
      <c r="CP29" s="235">
        <f t="shared" si="22"/>
        <v>0</v>
      </c>
      <c r="CQ29" s="235">
        <f t="shared" si="23"/>
        <v>0</v>
      </c>
      <c r="CR29" s="235">
        <f t="shared" si="24"/>
        <v>0</v>
      </c>
      <c r="CS29" s="235">
        <f t="shared" si="25"/>
        <v>0</v>
      </c>
      <c r="CT29" s="235">
        <f t="shared" si="26"/>
        <v>0</v>
      </c>
      <c r="CU29" s="235">
        <f t="shared" si="27"/>
        <v>0</v>
      </c>
      <c r="CV29" s="235">
        <f t="shared" si="28"/>
        <v>0</v>
      </c>
      <c r="CW29" s="235">
        <f t="shared" si="29"/>
        <v>0</v>
      </c>
      <c r="CX29" s="235">
        <f t="shared" si="30"/>
        <v>0</v>
      </c>
      <c r="CY29" s="235">
        <f t="shared" si="31"/>
        <v>0</v>
      </c>
      <c r="CZ29" s="235">
        <f t="shared" si="32"/>
        <v>0</v>
      </c>
      <c r="DA29" s="38"/>
      <c r="DB29" s="236">
        <v>17.605</v>
      </c>
      <c r="DC29" s="236">
        <v>18.605</v>
      </c>
      <c r="DD29" s="236">
        <v>12.601000000000001</v>
      </c>
      <c r="DE29" s="236">
        <v>35</v>
      </c>
      <c r="DF29" s="401">
        <v>105.9</v>
      </c>
      <c r="DG29" s="236">
        <v>98</v>
      </c>
      <c r="DH29" s="492">
        <v>109.12700000000001</v>
      </c>
      <c r="DI29" s="236">
        <v>211.727</v>
      </c>
      <c r="DJ29" s="236">
        <v>243.48604999999998</v>
      </c>
      <c r="DK29" s="236">
        <v>280.00895749999995</v>
      </c>
      <c r="DL29" s="236">
        <v>322.0103011249999</v>
      </c>
      <c r="DM29" s="236">
        <v>370.31184629374985</v>
      </c>
      <c r="DN29" s="236">
        <v>398.08523476578108</v>
      </c>
      <c r="DO29" s="236">
        <v>427.94162737321466</v>
      </c>
      <c r="DP29" s="236">
        <v>460.03724942620573</v>
      </c>
      <c r="DQ29" s="401">
        <v>494.54004313317114</v>
      </c>
      <c r="DR29" s="401">
        <v>531.630546368159</v>
      </c>
      <c r="DS29" s="401">
        <v>571.5028373457709</v>
      </c>
      <c r="DT29" s="401">
        <v>614.36555014670364</v>
      </c>
      <c r="DU29" s="401">
        <v>660.44296640770642</v>
      </c>
      <c r="DV29" s="401">
        <v>709.97618888828436</v>
      </c>
      <c r="DW29" s="401">
        <v>763.22440305490568</v>
      </c>
      <c r="DX29" s="401">
        <v>820.46623328402359</v>
      </c>
      <c r="DY29" s="401">
        <v>882.00120078032535</v>
      </c>
      <c r="DZ29" s="401"/>
      <c r="EA29" s="989"/>
    </row>
    <row r="30" spans="1:131" s="76" customFormat="1">
      <c r="A30" s="76" t="s">
        <v>3868</v>
      </c>
      <c r="B30" s="73" t="s">
        <v>105</v>
      </c>
      <c r="C30" s="51" t="s">
        <v>2639</v>
      </c>
      <c r="D30" s="207" t="s">
        <v>4399</v>
      </c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44">
        <v>0</v>
      </c>
      <c r="AV30" s="74">
        <f>DataInput!AV68</f>
        <v>9</v>
      </c>
      <c r="AW30" s="74">
        <f>DataInput!AW68</f>
        <v>11.600000000000001</v>
      </c>
      <c r="AX30" s="74">
        <f>DataInput!AX68</f>
        <v>8.3000000000000007</v>
      </c>
      <c r="AY30" s="74">
        <f>DataInput!AY68</f>
        <v>6.4</v>
      </c>
      <c r="AZ30" s="74">
        <f>DataInput!AZ68</f>
        <v>8.08</v>
      </c>
      <c r="BA30" s="74">
        <f>DataInput!BA68</f>
        <v>8.4899999999999984</v>
      </c>
      <c r="BB30" s="74">
        <f>DataInput!BB68</f>
        <v>8.532</v>
      </c>
      <c r="BC30" s="74">
        <f>DataInput!BC68</f>
        <v>7.8109999999999999</v>
      </c>
      <c r="BD30" s="74">
        <f>DataInput!BD68</f>
        <v>5</v>
      </c>
      <c r="BE30" s="74">
        <f>DataInput!BE68</f>
        <v>4.7</v>
      </c>
      <c r="BF30" s="74">
        <f>DataInput!BF68</f>
        <v>6.2</v>
      </c>
      <c r="BG30" s="74">
        <f>DataInput!BG68</f>
        <v>8.4</v>
      </c>
      <c r="BH30" s="74">
        <f>DataInput!BH68</f>
        <v>6.9</v>
      </c>
      <c r="BI30" s="74">
        <f>DataInput!BI68</f>
        <v>4.3</v>
      </c>
      <c r="BJ30" s="74">
        <f>DataInput!BJ68</f>
        <v>5.4</v>
      </c>
      <c r="BK30" s="74">
        <f>DataInput!BK68</f>
        <v>6.508</v>
      </c>
      <c r="BL30" s="74">
        <f>DataInput!BL68</f>
        <v>11.211</v>
      </c>
      <c r="BM30" s="74">
        <f>DataInput!BM68</f>
        <v>18.617999999999999</v>
      </c>
      <c r="BN30" s="74">
        <f>DataInput!BN68</f>
        <v>35.072000000000003</v>
      </c>
      <c r="BO30" s="344">
        <f>BN30*(1+SIM!W$3/100)*(1+SIM!W14/100)+finsim!BN24</f>
        <v>35.072000000000003</v>
      </c>
      <c r="BP30" s="344">
        <f>BO30*(1+SIM!X$3/100)*(1+SIM!X14/100)+finsim!BO24</f>
        <v>35.072000000000003</v>
      </c>
      <c r="BQ30" s="344">
        <f>BP30*(1+SIM!Y$3/100)*(1+SIM!Y14/100)+finsim!BP24</f>
        <v>35.072000000000003</v>
      </c>
      <c r="BR30" s="344">
        <f>BQ30*(1+SIM!Z$3/100)*(1+SIM!Z14/100)+finsim!BQ24</f>
        <v>35.072000000000003</v>
      </c>
      <c r="BS30" s="344">
        <f>BR30*(1+SIM!AA$3/100)*(1+SIM!AA14/100)+finsim!BR24</f>
        <v>35.072000000000003</v>
      </c>
      <c r="BT30" s="344">
        <f>BS30*(1+SIM!AB$3/100)*(1+SIM!AB14/100)+finsim!BS24</f>
        <v>35.072000000000003</v>
      </c>
      <c r="BU30" s="344">
        <f>BT30*(1+SIM!AC$3/100)*(1+SIM!AC14/100)+finsim!BT24</f>
        <v>35.072000000000003</v>
      </c>
      <c r="BV30" s="344">
        <f>BU30*(1+SIM!AD$3/100)*(1+SIM!AD14/100)+finsim!BU24</f>
        <v>35.072000000000003</v>
      </c>
      <c r="BW30" s="344">
        <f>BV30*(1+SIM!AE$3/100)*(1+SIM!AE14/100)+finsim!BV24</f>
        <v>35.072000000000003</v>
      </c>
      <c r="BX30" s="344">
        <f>BW30*(1+SIM!AF$3/100)*(1+SIM!AF14/100)+finsim!BW24</f>
        <v>35.072000000000003</v>
      </c>
      <c r="BY30" s="344">
        <f>BX30*(1+SIM!AG$3/100)*(1+SIM!AG14/100)+finsim!BX24</f>
        <v>35.072000000000003</v>
      </c>
      <c r="BZ30" s="344">
        <f>BY30*(1+SIM!AH$3/100)*(1+SIM!AH14/100)+finsim!BY24</f>
        <v>35.072000000000003</v>
      </c>
      <c r="CA30" s="344">
        <f>BZ30*(1+SIM!AI$3/100)*(1+SIM!AI14/100)+finsim!BZ24</f>
        <v>35.072000000000003</v>
      </c>
      <c r="CB30" s="344">
        <f>CA30*(1+SIM!AJ$3/100)*(1+SIM!AJ14/100)+finsim!CA24</f>
        <v>35.072000000000003</v>
      </c>
      <c r="CC30" s="344">
        <f>CB30*(1+SIM!AK$3/100)*(1+SIM!AK14/100)+finsim!CB24</f>
        <v>35.072000000000003</v>
      </c>
      <c r="CD30" s="344">
        <f>CC30*(1+SIM!AL$3/100)*(1+SIM!AL14/100)+finsim!CC24</f>
        <v>35.072000000000003</v>
      </c>
      <c r="CE30" s="344"/>
      <c r="CF30" s="438"/>
      <c r="CG30" s="235">
        <f t="shared" si="33"/>
        <v>0.30799999999999983</v>
      </c>
      <c r="CH30" s="235">
        <f t="shared" si="15"/>
        <v>0</v>
      </c>
      <c r="CI30" s="235" t="e">
        <f>BM30-#REF!</f>
        <v>#REF!</v>
      </c>
      <c r="CJ30" s="235">
        <f t="shared" si="16"/>
        <v>0</v>
      </c>
      <c r="CK30" s="235">
        <f t="shared" si="17"/>
        <v>0</v>
      </c>
      <c r="CL30" s="235">
        <f t="shared" si="18"/>
        <v>0</v>
      </c>
      <c r="CM30" s="235">
        <f t="shared" si="19"/>
        <v>0</v>
      </c>
      <c r="CN30" s="235">
        <f t="shared" si="20"/>
        <v>0</v>
      </c>
      <c r="CO30" s="235">
        <f t="shared" si="21"/>
        <v>0</v>
      </c>
      <c r="CP30" s="235">
        <f t="shared" si="22"/>
        <v>0</v>
      </c>
      <c r="CQ30" s="235">
        <f t="shared" si="23"/>
        <v>0</v>
      </c>
      <c r="CR30" s="235">
        <f t="shared" si="24"/>
        <v>0</v>
      </c>
      <c r="CS30" s="235">
        <f t="shared" si="25"/>
        <v>0</v>
      </c>
      <c r="CT30" s="235">
        <f t="shared" si="26"/>
        <v>0</v>
      </c>
      <c r="CU30" s="235">
        <f t="shared" si="27"/>
        <v>0</v>
      </c>
      <c r="CV30" s="235">
        <f t="shared" si="28"/>
        <v>0</v>
      </c>
      <c r="CW30" s="235">
        <f t="shared" si="29"/>
        <v>0</v>
      </c>
      <c r="CX30" s="235">
        <f t="shared" si="30"/>
        <v>0</v>
      </c>
      <c r="CY30" s="235">
        <f t="shared" si="31"/>
        <v>0</v>
      </c>
      <c r="CZ30" s="235">
        <f t="shared" si="32"/>
        <v>0</v>
      </c>
      <c r="DA30" s="38"/>
      <c r="DB30" s="236">
        <v>5.2060000000000004</v>
      </c>
      <c r="DC30" s="236">
        <v>6.2060000000000004</v>
      </c>
      <c r="DD30" s="236">
        <v>8.4390000000000001</v>
      </c>
      <c r="DE30" s="236">
        <v>6.9119999999999999</v>
      </c>
      <c r="DF30" s="401">
        <v>4.3</v>
      </c>
      <c r="DG30" s="236">
        <v>6.2</v>
      </c>
      <c r="DH30" s="492">
        <v>11.211</v>
      </c>
      <c r="DI30" s="236">
        <v>35.072000000000003</v>
      </c>
      <c r="DJ30" s="236">
        <v>35.072000000000003</v>
      </c>
      <c r="DK30" s="236">
        <v>35.072000000000003</v>
      </c>
      <c r="DL30" s="236">
        <v>35.072000000000003</v>
      </c>
      <c r="DM30" s="236">
        <v>35.072000000000003</v>
      </c>
      <c r="DN30" s="236">
        <v>35.072000000000003</v>
      </c>
      <c r="DO30" s="236">
        <v>35.072000000000003</v>
      </c>
      <c r="DP30" s="236">
        <v>35.072000000000003</v>
      </c>
      <c r="DQ30" s="401">
        <v>35.072000000000003</v>
      </c>
      <c r="DR30" s="401">
        <v>35.072000000000003</v>
      </c>
      <c r="DS30" s="401">
        <v>35.072000000000003</v>
      </c>
      <c r="DT30" s="401">
        <v>35.072000000000003</v>
      </c>
      <c r="DU30" s="401">
        <v>35.072000000000003</v>
      </c>
      <c r="DV30" s="401">
        <v>35.072000000000003</v>
      </c>
      <c r="DW30" s="401">
        <v>35.072000000000003</v>
      </c>
      <c r="DX30" s="401">
        <v>35.072000000000003</v>
      </c>
      <c r="DY30" s="401">
        <v>35.072000000000003</v>
      </c>
      <c r="DZ30" s="401"/>
      <c r="EA30" s="989"/>
    </row>
    <row r="31" spans="1:131" s="76" customFormat="1">
      <c r="A31" s="76" t="s">
        <v>3869</v>
      </c>
      <c r="B31" s="73" t="s">
        <v>3327</v>
      </c>
      <c r="C31" s="51" t="s">
        <v>3065</v>
      </c>
      <c r="D31" s="207" t="s">
        <v>2206</v>
      </c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44">
        <v>0</v>
      </c>
      <c r="AV31" s="77">
        <f>DataInput!AV79</f>
        <v>53.228000000000002</v>
      </c>
      <c r="AW31" s="77">
        <f>DataInput!AW79</f>
        <v>61.357999999999997</v>
      </c>
      <c r="AX31" s="77">
        <f>DataInput!AX79</f>
        <v>54.585000000000001</v>
      </c>
      <c r="AY31" s="77">
        <f>DataInput!AY79</f>
        <v>57.274999999999999</v>
      </c>
      <c r="AZ31" s="77">
        <f>DataInput!AZ79</f>
        <v>56.843000000000004</v>
      </c>
      <c r="BA31" s="77">
        <f>DataInput!BA79</f>
        <v>54.341000000000001</v>
      </c>
      <c r="BB31" s="77">
        <f>DataInput!BB79</f>
        <v>60.222999999999999</v>
      </c>
      <c r="BC31" s="77">
        <f>DataInput!BC79</f>
        <v>82.298000000000002</v>
      </c>
      <c r="BD31" s="77">
        <f>DataInput!BD79</f>
        <v>137.80799999999999</v>
      </c>
      <c r="BE31" s="77">
        <f>DataInput!BE79</f>
        <v>160.661</v>
      </c>
      <c r="BF31" s="77">
        <f>DataInput!BF79</f>
        <v>154.06</v>
      </c>
      <c r="BG31" s="77">
        <f>DataInput!BG79</f>
        <v>166.685</v>
      </c>
      <c r="BH31" s="77">
        <f>DataInput!BH79</f>
        <v>150.71100000000001</v>
      </c>
      <c r="BI31" s="77">
        <f>DataInput!BI79</f>
        <v>150.62799999999999</v>
      </c>
      <c r="BJ31" s="77">
        <f>DataInput!BJ79</f>
        <v>204.51900000000001</v>
      </c>
      <c r="BK31" s="77">
        <f>DataInput!BK79</f>
        <v>220.47499999999999</v>
      </c>
      <c r="BL31" s="77">
        <f>DataInput!BL79</f>
        <v>240.041</v>
      </c>
      <c r="BM31" s="77">
        <f>DataInput!BM79</f>
        <v>249.102</v>
      </c>
      <c r="BN31" s="77">
        <f>DataInput!BN79</f>
        <v>248.595</v>
      </c>
      <c r="BO31" s="344">
        <f>BN31*(1+SIM!W$3/100)*(1+SIM!W15/100)*(1+DataInput!BO817/100)+finsim!BN25</f>
        <v>265.85495085000002</v>
      </c>
      <c r="BP31" s="344">
        <f>BO31*(1+SIM!X$3/100)*(1+SIM!X15/100)*(1+DataInput!BP817/100)+finsim!BO25</f>
        <v>284.31326008751557</v>
      </c>
      <c r="BQ31" s="344">
        <f>BP31*(1+SIM!Y$3/100)*(1+SIM!Y15/100)*(1+DataInput!BQ817/100)+finsim!BP25</f>
        <v>304.05312973539179</v>
      </c>
      <c r="BR31" s="344">
        <f>BQ31*(1+SIM!Z$3/100)*(1+SIM!Z15/100)*(1+DataInput!BR817/100)+finsim!BQ25</f>
        <v>325.16353853292009</v>
      </c>
      <c r="BS31" s="344">
        <f>BR31*(1+SIM!AA$3/100)*(1+SIM!AA15/100)*(1+DataInput!BS817/100)+finsim!BR25</f>
        <v>336.54426238157225</v>
      </c>
      <c r="BT31" s="344">
        <f>BS31*(1+SIM!AB$3/100)*(1+SIM!AB15/100)*(1+DataInput!BT817/100)+finsim!BS25</f>
        <v>348.32331156492728</v>
      </c>
      <c r="BU31" s="344">
        <f>BT31*(1+SIM!AC$3/100)*(1+SIM!AC15/100)*(1+DataInput!BU817/100)+finsim!BT25</f>
        <v>360.51462746969969</v>
      </c>
      <c r="BV31" s="344">
        <f>BU31*(1+SIM!AD$3/100)*(1+SIM!AD15/100)*(1+DataInput!BV817/100)+finsim!BU25</f>
        <v>373.13263943113913</v>
      </c>
      <c r="BW31" s="344">
        <f>BV31*(1+SIM!AE$3/100)*(1+SIM!AE15/100)*(1+DataInput!BW817/100)+finsim!BV25</f>
        <v>386.19228181122895</v>
      </c>
      <c r="BX31" s="344">
        <f>BW31*(1+SIM!AF$3/100)*(1+SIM!AF15/100)*(1+DataInput!BX817/100)+finsim!BW25</f>
        <v>399.70901167462193</v>
      </c>
      <c r="BY31" s="344">
        <f>BX31*(1+SIM!AG$3/100)*(1+SIM!AG15/100)*(1+DataInput!BY817/100)+finsim!BX25</f>
        <v>413.69882708323365</v>
      </c>
      <c r="BZ31" s="344">
        <f>BY31*(1+SIM!AH$3/100)*(1+SIM!AH15/100)*(1+DataInput!BZ817/100)+finsim!BY25</f>
        <v>428.1782860311468</v>
      </c>
      <c r="CA31" s="344">
        <f>BZ31*(1+SIM!AI$3/100)*(1+SIM!AI15/100)*(1+DataInput!CA817/100)+finsim!BZ25</f>
        <v>443.1645260422369</v>
      </c>
      <c r="CB31" s="344">
        <f>CA31*(1+SIM!AJ$3/100)*(1+SIM!AJ15/100)*(1+DataInput!CB817/100)+finsim!CA25</f>
        <v>458.67528445371516</v>
      </c>
      <c r="CC31" s="344">
        <f>CB31*(1+SIM!AK$3/100)*(1+SIM!AK15/100)*(1+DataInput!CC817/100)+finsim!CB25</f>
        <v>474.72891940959516</v>
      </c>
      <c r="CD31" s="344">
        <f>CC31*(1+SIM!AL$3/100)*(1+SIM!AL15/100)*(1+DataInput!CD817/100)+finsim!CC25</f>
        <v>491.34443158893095</v>
      </c>
      <c r="CE31" s="344"/>
      <c r="CF31" s="438"/>
      <c r="CG31" s="235">
        <f t="shared" si="33"/>
        <v>0</v>
      </c>
      <c r="CH31" s="235">
        <f t="shared" si="15"/>
        <v>0</v>
      </c>
      <c r="CI31" s="235" t="e">
        <f>BM31-#REF!</f>
        <v>#REF!</v>
      </c>
      <c r="CJ31" s="235">
        <f t="shared" si="16"/>
        <v>0</v>
      </c>
      <c r="CK31" s="235">
        <f t="shared" si="17"/>
        <v>0</v>
      </c>
      <c r="CL31" s="235">
        <f t="shared" si="18"/>
        <v>0</v>
      </c>
      <c r="CM31" s="235">
        <f t="shared" si="19"/>
        <v>0</v>
      </c>
      <c r="CN31" s="235">
        <f t="shared" si="20"/>
        <v>0</v>
      </c>
      <c r="CO31" s="235">
        <f t="shared" si="21"/>
        <v>0</v>
      </c>
      <c r="CP31" s="235">
        <f t="shared" si="22"/>
        <v>0</v>
      </c>
      <c r="CQ31" s="235">
        <f t="shared" si="23"/>
        <v>0</v>
      </c>
      <c r="CR31" s="235">
        <f t="shared" si="24"/>
        <v>0</v>
      </c>
      <c r="CS31" s="235">
        <f t="shared" si="25"/>
        <v>0</v>
      </c>
      <c r="CT31" s="235">
        <f t="shared" si="26"/>
        <v>0</v>
      </c>
      <c r="CU31" s="235">
        <f t="shared" si="27"/>
        <v>0</v>
      </c>
      <c r="CV31" s="235">
        <f t="shared" si="28"/>
        <v>0</v>
      </c>
      <c r="CW31" s="235">
        <f t="shared" si="29"/>
        <v>0</v>
      </c>
      <c r="CX31" s="235">
        <f t="shared" si="30"/>
        <v>0</v>
      </c>
      <c r="CY31" s="235">
        <f t="shared" si="31"/>
        <v>0</v>
      </c>
      <c r="CZ31" s="235">
        <f t="shared" si="32"/>
        <v>0</v>
      </c>
      <c r="DA31" s="38"/>
      <c r="DB31" s="236">
        <v>154.78899999999999</v>
      </c>
      <c r="DC31" s="236">
        <v>155.78899999999999</v>
      </c>
      <c r="DD31" s="236">
        <v>162.5</v>
      </c>
      <c r="DE31" s="236">
        <v>183.46250000000001</v>
      </c>
      <c r="DF31" s="401">
        <v>240.697</v>
      </c>
      <c r="DG31" s="236">
        <v>220.47499999999999</v>
      </c>
      <c r="DH31" s="492">
        <v>240.041</v>
      </c>
      <c r="DI31" s="236">
        <v>248.595</v>
      </c>
      <c r="DJ31" s="236">
        <v>265.85495085000002</v>
      </c>
      <c r="DK31" s="236">
        <v>284.31326008751557</v>
      </c>
      <c r="DL31" s="236">
        <v>304.05312973539179</v>
      </c>
      <c r="DM31" s="236">
        <v>325.16353853292009</v>
      </c>
      <c r="DN31" s="236">
        <v>336.54426238157225</v>
      </c>
      <c r="DO31" s="236">
        <v>348.32331156492728</v>
      </c>
      <c r="DP31" s="236">
        <v>360.51462746969969</v>
      </c>
      <c r="DQ31" s="401">
        <v>373.13263943113913</v>
      </c>
      <c r="DR31" s="401">
        <v>386.19228181122895</v>
      </c>
      <c r="DS31" s="401">
        <v>399.70901167462193</v>
      </c>
      <c r="DT31" s="401">
        <v>413.69882708323365</v>
      </c>
      <c r="DU31" s="401">
        <v>428.1782860311468</v>
      </c>
      <c r="DV31" s="401">
        <v>443.1645260422369</v>
      </c>
      <c r="DW31" s="401">
        <v>458.67528445371516</v>
      </c>
      <c r="DX31" s="401">
        <v>474.72891940959516</v>
      </c>
      <c r="DY31" s="401">
        <v>491.34443158893095</v>
      </c>
      <c r="DZ31" s="401"/>
      <c r="EA31" s="989"/>
    </row>
    <row r="32" spans="1:131" s="19" customFormat="1">
      <c r="A32" s="76" t="s">
        <v>3870</v>
      </c>
      <c r="B32" s="20" t="s">
        <v>4381</v>
      </c>
      <c r="C32" s="42"/>
      <c r="D32" s="265" t="s">
        <v>2115</v>
      </c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44">
        <v>0</v>
      </c>
      <c r="AV32" s="77">
        <f>DataInput!AV80</f>
        <v>0</v>
      </c>
      <c r="AW32" s="77">
        <f>DataInput!AW80</f>
        <v>0</v>
      </c>
      <c r="AX32" s="77">
        <f>DataInput!AX80</f>
        <v>0</v>
      </c>
      <c r="AY32" s="77">
        <f>DataInput!AY80</f>
        <v>0</v>
      </c>
      <c r="AZ32" s="77">
        <f>DataInput!AZ80</f>
        <v>0</v>
      </c>
      <c r="BA32" s="77">
        <f>DataInput!BA80</f>
        <v>0</v>
      </c>
      <c r="BB32" s="77">
        <f>DataInput!BB80</f>
        <v>0</v>
      </c>
      <c r="BC32" s="77">
        <f>DataInput!BC80</f>
        <v>0</v>
      </c>
      <c r="BD32" s="77">
        <f>DataInput!BD80</f>
        <v>0</v>
      </c>
      <c r="BE32" s="77">
        <f>DataInput!BE80</f>
        <v>0</v>
      </c>
      <c r="BF32" s="77">
        <f>DataInput!BF80</f>
        <v>0</v>
      </c>
      <c r="BG32" s="77">
        <f>DataInput!BG80</f>
        <v>0</v>
      </c>
      <c r="BH32" s="77">
        <f>DataInput!BH80</f>
        <v>0</v>
      </c>
      <c r="BI32" s="77">
        <f>DataInput!BI80</f>
        <v>0</v>
      </c>
      <c r="BJ32" s="77">
        <f>DataInput!BJ80</f>
        <v>0</v>
      </c>
      <c r="BK32" s="77">
        <f>DataInput!BK80</f>
        <v>0</v>
      </c>
      <c r="BL32" s="77">
        <f>DataInput!BL80</f>
        <v>0</v>
      </c>
      <c r="BM32" s="77">
        <f>DataInput!BM80</f>
        <v>0</v>
      </c>
      <c r="BN32" s="77">
        <f>DataInput!BN80</f>
        <v>0</v>
      </c>
      <c r="BO32" s="344">
        <f>BN32*(1+SIM!W$3/100)+SIM!W16+finsim!BN26</f>
        <v>0</v>
      </c>
      <c r="BP32" s="344">
        <f>BO32*(1+SIM!X$3/100)+SIM!X16+finsim!BO26</f>
        <v>0</v>
      </c>
      <c r="BQ32" s="344">
        <f>BP32*(1+SIM!Y$3/100)+SIM!Y16+finsim!BP26</f>
        <v>0</v>
      </c>
      <c r="BR32" s="344">
        <f>BQ32*(1+SIM!Z$3/100)+SIM!Z16+finsim!BQ26</f>
        <v>0</v>
      </c>
      <c r="BS32" s="344">
        <f>BR32*(1+SIM!AA$3/100)+SIM!AA16+finsim!BR26</f>
        <v>0</v>
      </c>
      <c r="BT32" s="344">
        <f>BS32*(1+SIM!AB$3/100)+SIM!AB16+finsim!BS26</f>
        <v>0</v>
      </c>
      <c r="BU32" s="344">
        <f>BT32*(1+SIM!AC$3/100)+SIM!AC16+finsim!BT26</f>
        <v>0</v>
      </c>
      <c r="BV32" s="344">
        <f>BU32*(1+SIM!AD$3/100)+SIM!AD16+finsim!BU26</f>
        <v>0</v>
      </c>
      <c r="BW32" s="344">
        <f>BV32*(1+SIM!AE$3/100)+SIM!AE16+finsim!BV26</f>
        <v>0</v>
      </c>
      <c r="BX32" s="344">
        <f>BW32*(1+SIM!AF$3/100)+SIM!AF16+finsim!BW26</f>
        <v>0</v>
      </c>
      <c r="BY32" s="344">
        <f>BX32*(1+SIM!AG$3/100)+SIM!AG16+finsim!BX26</f>
        <v>0</v>
      </c>
      <c r="BZ32" s="344">
        <f>BY32*(1+SIM!AH$3/100)+SIM!AH16+finsim!BY26</f>
        <v>0</v>
      </c>
      <c r="CA32" s="344">
        <f>BZ32*(1+SIM!AI$3/100)+SIM!AI16+finsim!BZ26</f>
        <v>0</v>
      </c>
      <c r="CB32" s="344">
        <f>CA32*(1+SIM!AJ$3/100)+SIM!AJ16+finsim!CA26</f>
        <v>0</v>
      </c>
      <c r="CC32" s="344">
        <f>CB32*(1+SIM!AK$3/100)+SIM!AK16+finsim!CB26</f>
        <v>0</v>
      </c>
      <c r="CD32" s="344">
        <f>CC32*(1+SIM!AL$3/100)+SIM!AL16+finsim!CC26</f>
        <v>0</v>
      </c>
      <c r="CE32" s="344"/>
      <c r="CF32" s="439"/>
      <c r="CG32" s="235"/>
      <c r="CH32" s="235"/>
      <c r="CI32" s="235"/>
      <c r="CJ32" s="235"/>
      <c r="CK32" s="235"/>
      <c r="CL32" s="235"/>
      <c r="CM32" s="235"/>
      <c r="CN32" s="235"/>
      <c r="CO32" s="235"/>
      <c r="CP32" s="235"/>
      <c r="CQ32" s="235"/>
      <c r="CR32" s="235"/>
      <c r="CS32" s="235"/>
      <c r="CT32" s="235"/>
      <c r="CU32" s="235"/>
      <c r="CV32" s="235"/>
      <c r="CW32" s="235"/>
      <c r="CX32" s="235"/>
      <c r="CY32" s="235"/>
      <c r="CZ32" s="235"/>
      <c r="DA32" s="38"/>
      <c r="DB32" s="236">
        <v>-1</v>
      </c>
      <c r="DC32" s="236">
        <v>0</v>
      </c>
      <c r="DD32" s="236">
        <v>0</v>
      </c>
      <c r="DE32" s="236">
        <v>0</v>
      </c>
      <c r="DF32" s="401">
        <v>0</v>
      </c>
      <c r="DG32" s="236">
        <v>0</v>
      </c>
      <c r="DH32" s="492">
        <v>0</v>
      </c>
      <c r="DI32" s="236">
        <v>0</v>
      </c>
      <c r="DJ32" s="236">
        <v>0</v>
      </c>
      <c r="DK32" s="236">
        <v>0</v>
      </c>
      <c r="DL32" s="236">
        <v>0</v>
      </c>
      <c r="DM32" s="236">
        <v>0</v>
      </c>
      <c r="DN32" s="236">
        <v>0</v>
      </c>
      <c r="DO32" s="236">
        <v>0</v>
      </c>
      <c r="DP32" s="236">
        <v>0</v>
      </c>
      <c r="DQ32" s="1084">
        <v>0</v>
      </c>
      <c r="DR32" s="1084">
        <v>0</v>
      </c>
      <c r="DS32" s="1084">
        <v>0</v>
      </c>
      <c r="DT32" s="1084">
        <v>0</v>
      </c>
      <c r="DU32" s="1084">
        <v>0</v>
      </c>
      <c r="DV32" s="1084">
        <v>0</v>
      </c>
      <c r="DW32" s="1084">
        <v>0</v>
      </c>
      <c r="DX32" s="1084">
        <v>0</v>
      </c>
      <c r="DY32" s="1084">
        <v>0</v>
      </c>
      <c r="DZ32" s="1084"/>
      <c r="EA32" s="988"/>
    </row>
    <row r="33" spans="1:131" s="19" customFormat="1">
      <c r="A33" s="975" t="s">
        <v>3871</v>
      </c>
      <c r="B33" s="133" t="s">
        <v>2742</v>
      </c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63"/>
      <c r="AV33" s="340"/>
      <c r="AW33" s="340"/>
      <c r="AX33" s="340"/>
      <c r="AY33" s="340"/>
      <c r="AZ33" s="340"/>
      <c r="BA33" s="45"/>
      <c r="BB33" s="45"/>
      <c r="BC33" s="45"/>
      <c r="BD33" s="45"/>
      <c r="BE33" s="45"/>
      <c r="BF33" s="45"/>
      <c r="BG33" s="45"/>
      <c r="BH33" s="321"/>
      <c r="BI33" s="321"/>
      <c r="BJ33" s="321"/>
      <c r="BK33" s="321"/>
      <c r="BL33" s="321"/>
      <c r="BM33" s="321"/>
      <c r="BN33" s="978"/>
      <c r="BO33" s="978"/>
      <c r="BP33" s="978"/>
      <c r="BQ33" s="978"/>
      <c r="BR33" s="978"/>
      <c r="BS33" s="978"/>
      <c r="BT33" s="978"/>
      <c r="BU33" s="978"/>
      <c r="BV33" s="978"/>
      <c r="BW33" s="978"/>
      <c r="BX33" s="978"/>
      <c r="BY33" s="978"/>
      <c r="BZ33" s="978"/>
      <c r="CA33" s="978"/>
      <c r="CB33" s="978"/>
      <c r="CC33" s="978"/>
      <c r="CD33" s="978"/>
      <c r="CE33" s="408"/>
      <c r="CF33" s="4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38"/>
      <c r="DB33" s="236"/>
      <c r="DC33" s="236"/>
      <c r="DD33" s="236"/>
      <c r="DE33" s="236">
        <v>0</v>
      </c>
      <c r="DF33" s="402"/>
      <c r="DG33" s="236">
        <v>7.8017201335817159</v>
      </c>
      <c r="DH33" s="492"/>
      <c r="DI33" s="236"/>
      <c r="DJ33" s="236"/>
      <c r="DK33" s="236"/>
      <c r="DL33" s="236"/>
      <c r="DM33" s="236"/>
      <c r="DN33" s="236"/>
      <c r="DO33" s="236"/>
      <c r="DP33" s="236"/>
      <c r="DQ33" s="1084"/>
      <c r="DR33" s="1084"/>
      <c r="DS33" s="1084"/>
      <c r="DT33" s="1084"/>
      <c r="DU33" s="1084"/>
      <c r="DV33" s="1084"/>
      <c r="DW33" s="1084"/>
      <c r="DX33" s="1084"/>
      <c r="DY33" s="1084"/>
      <c r="DZ33" s="1084"/>
      <c r="EA33" s="988"/>
    </row>
    <row r="34" spans="1:131" s="33" customFormat="1">
      <c r="A34" s="76" t="s">
        <v>3857</v>
      </c>
      <c r="B34" s="78" t="s">
        <v>4463</v>
      </c>
      <c r="C34" s="37" t="s">
        <v>2802</v>
      </c>
      <c r="D34" s="209" t="s">
        <v>3426</v>
      </c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37"/>
      <c r="AV34" s="74">
        <f>DataInput!AV84</f>
        <v>191.48</v>
      </c>
      <c r="AW34" s="74">
        <f>DataInput!AW84</f>
        <v>190.22</v>
      </c>
      <c r="AX34" s="74">
        <f>DataInput!AX84</f>
        <v>171.33</v>
      </c>
      <c r="AY34" s="74">
        <f>DataInput!AY84</f>
        <v>159.88</v>
      </c>
      <c r="AZ34" s="74">
        <f>DataInput!AZ84</f>
        <v>182.85</v>
      </c>
      <c r="BA34" s="74">
        <f>DataInput!BA84</f>
        <v>173.03</v>
      </c>
      <c r="BB34" s="74">
        <f>DataInput!BB84</f>
        <v>153.72999999999999</v>
      </c>
      <c r="BC34" s="74">
        <f>DataInput!BC84</f>
        <v>164.48</v>
      </c>
      <c r="BD34" s="74">
        <f>DataInput!BD84</f>
        <v>203.97</v>
      </c>
      <c r="BE34" s="27">
        <f>DataInput!BE84</f>
        <v>230.5</v>
      </c>
      <c r="BF34" s="27">
        <f>DataInput!BF84</f>
        <v>302</v>
      </c>
      <c r="BG34" s="27">
        <f>DataInput!BG84</f>
        <v>325</v>
      </c>
      <c r="BH34" s="27">
        <f>DataInput!BH84</f>
        <v>328</v>
      </c>
      <c r="BI34" s="27">
        <f>DataInput!BI84</f>
        <v>210</v>
      </c>
      <c r="BJ34" s="35">
        <f>DataInput!BJ84</f>
        <v>285.52456839309428</v>
      </c>
      <c r="BK34" s="35">
        <f>DataInput!BK84</f>
        <v>348.17</v>
      </c>
      <c r="BL34" s="35">
        <f>DataInput!BL84</f>
        <v>298.89</v>
      </c>
      <c r="BM34" s="35">
        <f>DataInput!BM84</f>
        <v>301.33</v>
      </c>
      <c r="BN34" s="35">
        <f>DataInput!BN84</f>
        <v>321.5</v>
      </c>
      <c r="BO34" s="979">
        <f>BN34*(1+BO308/100)*(1+SIM!W31/100)+finsim!BN28</f>
        <v>321.49212324999996</v>
      </c>
      <c r="BP34" s="979">
        <f>BO34*(1+BP308/100)*(1+SIM!X31/100)+finsim!BO28</f>
        <v>321.50080353732773</v>
      </c>
      <c r="BQ34" s="979">
        <f>BP34*(1+BQ308/100)*(1+SIM!Y31/100)+finsim!BP28</f>
        <v>331.14582764344755</v>
      </c>
      <c r="BR34" s="979">
        <f>BQ34*(1+BR308/100)*(1+SIM!Z31/100)+finsim!BQ28</f>
        <v>341.08020247275095</v>
      </c>
      <c r="BS34" s="979">
        <f>BR34*(1+BS308/100)*(1+SIM!AA31/100)+finsim!BR28</f>
        <v>351.31260854693352</v>
      </c>
      <c r="BT34" s="979">
        <f>BS34*(1+BT308/100)*(1+SIM!AB31/100)+finsim!BS28</f>
        <v>361.85198680334156</v>
      </c>
      <c r="BU34" s="979">
        <f>BT34*(1+BU308/100)*(1+SIM!AC31/100)+finsim!BT28</f>
        <v>372.70754640744184</v>
      </c>
      <c r="BV34" s="979">
        <f>BU34*(1+BV308/100)*(1+SIM!AD31/100)+finsim!BU28</f>
        <v>383.88877279966511</v>
      </c>
      <c r="BW34" s="979">
        <f>BV34*(1+BW308/100)*(1+SIM!AE31/100)+finsim!BV28</f>
        <v>395.40543598365508</v>
      </c>
      <c r="BX34" s="979">
        <f>BW34*(1+BX308/100)*(1+SIM!AF31/100)+finsim!BW28</f>
        <v>407.26759906316477</v>
      </c>
      <c r="BY34" s="979">
        <f>BX34*(1+BY308/100)*(1+SIM!AG31/100)+finsim!BX28</f>
        <v>419.48562703505974</v>
      </c>
      <c r="BZ34" s="979">
        <f>BY34*(1+BZ308/100)*(1+SIM!AH31/100)+finsim!BY28</f>
        <v>432.07019584611152</v>
      </c>
      <c r="CA34" s="979">
        <f>BZ34*(1+CA308/100)*(1+SIM!AI31/100)+finsim!BZ28</f>
        <v>445.03230172149489</v>
      </c>
      <c r="CB34" s="979">
        <f>CA34*(1+CB308/100)*(1+SIM!AJ31/100)+finsim!CA28</f>
        <v>458.38327077313977</v>
      </c>
      <c r="CC34" s="979">
        <f>CB34*(1+CC308/100)*(1+SIM!AK31/100)+finsim!CB28</f>
        <v>472.13476889633398</v>
      </c>
      <c r="CD34" s="979">
        <f>CC34*(1+CD308/100)*(1+SIM!AL31/100)+finsim!CC28</f>
        <v>486.29881196322401</v>
      </c>
      <c r="CE34" s="79"/>
      <c r="CF34" s="440"/>
      <c r="CG34" s="235">
        <f t="shared" ref="CG34:CH37" si="34">BK34-DG34</f>
        <v>5.9538138000000345</v>
      </c>
      <c r="CH34" s="235">
        <f t="shared" si="34"/>
        <v>0</v>
      </c>
      <c r="CI34" s="235" t="e">
        <f>BM34-#REF!</f>
        <v>#REF!</v>
      </c>
      <c r="CJ34" s="235">
        <f t="shared" ref="CJ34:CS40" si="35">BN34-DI34</f>
        <v>0</v>
      </c>
      <c r="CK34" s="235">
        <f t="shared" si="35"/>
        <v>0</v>
      </c>
      <c r="CL34" s="235">
        <f t="shared" si="35"/>
        <v>0</v>
      </c>
      <c r="CM34" s="235">
        <f t="shared" si="35"/>
        <v>0</v>
      </c>
      <c r="CN34" s="235">
        <f t="shared" si="35"/>
        <v>0</v>
      </c>
      <c r="CO34" s="235">
        <f t="shared" si="35"/>
        <v>0</v>
      </c>
      <c r="CP34" s="235">
        <f t="shared" si="35"/>
        <v>0</v>
      </c>
      <c r="CQ34" s="235">
        <f t="shared" si="35"/>
        <v>0</v>
      </c>
      <c r="CR34" s="235">
        <f t="shared" si="35"/>
        <v>0</v>
      </c>
      <c r="CS34" s="235">
        <f t="shared" si="35"/>
        <v>0</v>
      </c>
      <c r="CT34" s="235">
        <f t="shared" ref="CT34:CZ40" si="36">BX34-DS34</f>
        <v>0</v>
      </c>
      <c r="CU34" s="235">
        <f t="shared" si="36"/>
        <v>0</v>
      </c>
      <c r="CV34" s="235">
        <f t="shared" si="36"/>
        <v>0</v>
      </c>
      <c r="CW34" s="235">
        <f t="shared" si="36"/>
        <v>0</v>
      </c>
      <c r="CX34" s="235">
        <f t="shared" si="36"/>
        <v>0</v>
      </c>
      <c r="CY34" s="235">
        <f t="shared" si="36"/>
        <v>0</v>
      </c>
      <c r="CZ34" s="235">
        <f t="shared" si="36"/>
        <v>0</v>
      </c>
      <c r="DA34" s="38"/>
      <c r="DB34" s="236">
        <v>302.19</v>
      </c>
      <c r="DC34" s="236">
        <v>303.19</v>
      </c>
      <c r="DD34" s="236">
        <v>324.36</v>
      </c>
      <c r="DE34" s="236">
        <v>328</v>
      </c>
      <c r="DF34" s="401">
        <v>210</v>
      </c>
      <c r="DG34" s="236">
        <v>342.21618619999998</v>
      </c>
      <c r="DH34" s="492">
        <v>298.89</v>
      </c>
      <c r="DI34" s="236">
        <v>321.5</v>
      </c>
      <c r="DJ34" s="236">
        <v>321.49212324999996</v>
      </c>
      <c r="DK34" s="236">
        <v>321.50080353732773</v>
      </c>
      <c r="DL34" s="236">
        <v>331.14582764344755</v>
      </c>
      <c r="DM34" s="236">
        <v>341.08020247275095</v>
      </c>
      <c r="DN34" s="236">
        <v>351.31260854693352</v>
      </c>
      <c r="DO34" s="236">
        <v>361.85198680334156</v>
      </c>
      <c r="DP34" s="236">
        <v>372.70754640744184</v>
      </c>
      <c r="DQ34" s="405">
        <v>383.88877279966511</v>
      </c>
      <c r="DR34" s="405">
        <v>395.40543598365508</v>
      </c>
      <c r="DS34" s="405">
        <v>407.26759906316477</v>
      </c>
      <c r="DT34" s="405">
        <v>419.48562703505974</v>
      </c>
      <c r="DU34" s="405">
        <v>432.07019584611152</v>
      </c>
      <c r="DV34" s="405">
        <v>445.03230172149489</v>
      </c>
      <c r="DW34" s="405">
        <v>458.38327077313977</v>
      </c>
      <c r="DX34" s="405">
        <v>472.13476889633398</v>
      </c>
      <c r="DY34" s="405">
        <v>486.29881196322401</v>
      </c>
      <c r="DZ34" s="405"/>
      <c r="EA34" s="990"/>
    </row>
    <row r="35" spans="1:131" s="33" customFormat="1">
      <c r="A35" s="73" t="s">
        <v>3172</v>
      </c>
      <c r="B35" s="78" t="s">
        <v>4039</v>
      </c>
      <c r="C35" s="37" t="s">
        <v>2803</v>
      </c>
      <c r="D35" s="209" t="s">
        <v>3426</v>
      </c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37"/>
      <c r="AV35" s="74">
        <f>DataInput!AV85</f>
        <v>1548.15</v>
      </c>
      <c r="AW35" s="74">
        <f>DataInput!AW85</f>
        <v>1625</v>
      </c>
      <c r="AX35" s="74">
        <f>DataInput!AX85</f>
        <v>1380</v>
      </c>
      <c r="AY35" s="74">
        <f>DataInput!AY85</f>
        <v>1339</v>
      </c>
      <c r="AZ35" s="74">
        <f>DataInput!AZ85</f>
        <v>1551.5</v>
      </c>
      <c r="BA35" s="74">
        <f>DataInput!BA85</f>
        <v>1446.7</v>
      </c>
      <c r="BB35" s="74">
        <f>DataInput!BB85</f>
        <v>1351.1</v>
      </c>
      <c r="BC35" s="74">
        <f>DataInput!BC85</f>
        <v>1515.5</v>
      </c>
      <c r="BD35" s="74">
        <f>DataInput!BD85</f>
        <v>0</v>
      </c>
      <c r="BE35" s="74">
        <f>DataInput!BE85</f>
        <v>1901</v>
      </c>
      <c r="BF35" s="74">
        <f>DataInput!BF85</f>
        <v>2753</v>
      </c>
      <c r="BG35" s="74">
        <f>DataInput!BG85</f>
        <v>2640</v>
      </c>
      <c r="BH35" s="74">
        <f>DataInput!BH85</f>
        <v>2486.5</v>
      </c>
      <c r="BI35" s="74">
        <f>DataInput!BI85</f>
        <v>1665</v>
      </c>
      <c r="BJ35" s="74">
        <f>DataInput!BJ85</f>
        <v>2171.9</v>
      </c>
      <c r="BK35" s="74">
        <f>DataInput!BK85</f>
        <v>2397.4</v>
      </c>
      <c r="BL35" s="74">
        <f>DataInput!BL85</f>
        <v>2023</v>
      </c>
      <c r="BM35" s="74">
        <f>DataInput!BM85</f>
        <v>1847</v>
      </c>
      <c r="BN35" s="74">
        <f>DataInput!BN85</f>
        <v>1867</v>
      </c>
      <c r="BO35" s="74">
        <f>DataInput!BO85</f>
        <v>1700</v>
      </c>
      <c r="BP35" s="74">
        <f>DataInput!BP85</f>
        <v>1650</v>
      </c>
      <c r="BQ35" s="74">
        <f>DataInput!BQ85</f>
        <v>1704</v>
      </c>
      <c r="BR35" s="74">
        <f>DataInput!BR85</f>
        <v>1759</v>
      </c>
      <c r="BS35" s="74">
        <f>DataInput!BS85</f>
        <v>1816</v>
      </c>
      <c r="BT35" s="74">
        <f>DataInput!BT85</f>
        <v>1875</v>
      </c>
      <c r="BU35" s="74">
        <f>DataInput!BU85</f>
        <v>1936</v>
      </c>
      <c r="BV35" s="74">
        <f>DataInput!BV85</f>
        <v>1999</v>
      </c>
      <c r="BW35" s="74">
        <f>DataInput!BW85</f>
        <v>2064</v>
      </c>
      <c r="BX35" s="74">
        <f>DataInput!BX85</f>
        <v>2131</v>
      </c>
      <c r="BY35" s="74">
        <f>DataInput!BY85</f>
        <v>2200</v>
      </c>
      <c r="BZ35" s="74">
        <f>DataInput!BZ85</f>
        <v>2200</v>
      </c>
      <c r="CA35" s="74">
        <f>DataInput!CA85</f>
        <v>2200</v>
      </c>
      <c r="CB35" s="74">
        <f>DataInput!CB85</f>
        <v>2200</v>
      </c>
      <c r="CC35" s="74">
        <f>DataInput!CC85</f>
        <v>2200</v>
      </c>
      <c r="CD35" s="74">
        <f>DataInput!CD85</f>
        <v>2200</v>
      </c>
      <c r="CE35" s="79"/>
      <c r="CF35" s="435"/>
      <c r="CG35" s="235">
        <f t="shared" si="34"/>
        <v>-3.5999999999999091</v>
      </c>
      <c r="CH35" s="235">
        <f t="shared" si="34"/>
        <v>0</v>
      </c>
      <c r="CI35" s="235" t="e">
        <f>BM35-#REF!</f>
        <v>#REF!</v>
      </c>
      <c r="CJ35" s="235">
        <f t="shared" si="35"/>
        <v>0</v>
      </c>
      <c r="CK35" s="235">
        <f t="shared" si="35"/>
        <v>0</v>
      </c>
      <c r="CL35" s="235">
        <f t="shared" si="35"/>
        <v>0</v>
      </c>
      <c r="CM35" s="235">
        <f t="shared" si="35"/>
        <v>0</v>
      </c>
      <c r="CN35" s="235">
        <f t="shared" si="35"/>
        <v>0</v>
      </c>
      <c r="CO35" s="235">
        <f t="shared" si="35"/>
        <v>0</v>
      </c>
      <c r="CP35" s="235">
        <f t="shared" si="35"/>
        <v>0</v>
      </c>
      <c r="CQ35" s="235">
        <f t="shared" si="35"/>
        <v>0</v>
      </c>
      <c r="CR35" s="235">
        <f t="shared" si="35"/>
        <v>0</v>
      </c>
      <c r="CS35" s="235">
        <f t="shared" si="35"/>
        <v>0</v>
      </c>
      <c r="CT35" s="235">
        <f t="shared" si="36"/>
        <v>0</v>
      </c>
      <c r="CU35" s="235">
        <f t="shared" si="36"/>
        <v>0</v>
      </c>
      <c r="CV35" s="235">
        <f t="shared" si="36"/>
        <v>0</v>
      </c>
      <c r="CW35" s="235">
        <f t="shared" si="36"/>
        <v>0</v>
      </c>
      <c r="CX35" s="235">
        <f t="shared" si="36"/>
        <v>0</v>
      </c>
      <c r="CY35" s="235">
        <f t="shared" si="36"/>
        <v>0</v>
      </c>
      <c r="CZ35" s="235">
        <f t="shared" si="36"/>
        <v>0</v>
      </c>
      <c r="DA35" s="38"/>
      <c r="DB35" s="236"/>
      <c r="DC35" s="236"/>
      <c r="DD35" s="236"/>
      <c r="DE35" s="236">
        <v>0</v>
      </c>
      <c r="DF35" s="401">
        <v>1665</v>
      </c>
      <c r="DG35" s="236">
        <v>2401</v>
      </c>
      <c r="DH35" s="492">
        <v>2023</v>
      </c>
      <c r="DI35" s="236">
        <v>1867</v>
      </c>
      <c r="DJ35" s="236">
        <v>1700</v>
      </c>
      <c r="DK35" s="236">
        <v>1650</v>
      </c>
      <c r="DL35" s="236">
        <v>1704</v>
      </c>
      <c r="DM35" s="236">
        <v>1759</v>
      </c>
      <c r="DN35" s="236">
        <v>1816</v>
      </c>
      <c r="DO35" s="236">
        <v>1875</v>
      </c>
      <c r="DP35" s="236">
        <v>1936</v>
      </c>
      <c r="DQ35" s="405">
        <v>1999</v>
      </c>
      <c r="DR35" s="405">
        <v>2064</v>
      </c>
      <c r="DS35" s="405">
        <v>2131</v>
      </c>
      <c r="DT35" s="405">
        <v>2200</v>
      </c>
      <c r="DU35" s="405">
        <v>2200</v>
      </c>
      <c r="DV35" s="405">
        <v>2200</v>
      </c>
      <c r="DW35" s="405">
        <v>2200</v>
      </c>
      <c r="DX35" s="405">
        <v>2200</v>
      </c>
      <c r="DY35" s="405">
        <v>2200</v>
      </c>
      <c r="DZ35" s="405"/>
      <c r="EA35" s="990"/>
    </row>
    <row r="36" spans="1:131" s="33" customFormat="1">
      <c r="A36" s="76" t="s">
        <v>3858</v>
      </c>
      <c r="B36" s="78" t="s">
        <v>4306</v>
      </c>
      <c r="C36" s="37" t="s">
        <v>2804</v>
      </c>
      <c r="D36" s="207" t="s">
        <v>4479</v>
      </c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37"/>
      <c r="AV36" s="74">
        <f>DataInput!AV86</f>
        <v>18.23</v>
      </c>
      <c r="AW36" s="74">
        <f>DataInput!AW86</f>
        <v>16.760000000000002</v>
      </c>
      <c r="AX36" s="74">
        <f>DataInput!AX86</f>
        <v>11.45</v>
      </c>
      <c r="AY36" s="74">
        <f>DataInput!AY86</f>
        <v>15.78</v>
      </c>
      <c r="AZ36" s="74">
        <f>DataInput!AZ86</f>
        <v>24.99</v>
      </c>
      <c r="BA36" s="74">
        <f>DataInput!BA86</f>
        <v>17.260000000000002</v>
      </c>
      <c r="BB36" s="74">
        <f>DataInput!BB86</f>
        <v>19.690000000000001</v>
      </c>
      <c r="BC36" s="74">
        <f>DataInput!BC86</f>
        <v>24.72</v>
      </c>
      <c r="BD36" s="74">
        <f>DataInput!BD86</f>
        <v>22.99</v>
      </c>
      <c r="BE36" s="74">
        <f>DataInput!BE86</f>
        <v>36.78</v>
      </c>
      <c r="BF36" s="74">
        <f>DataInput!BF86</f>
        <v>45.66</v>
      </c>
      <c r="BG36" s="74">
        <f>DataInput!BG86</f>
        <v>47.08</v>
      </c>
      <c r="BH36" s="74">
        <f>DataInput!BH86</f>
        <v>78.89</v>
      </c>
      <c r="BI36" s="74">
        <f>DataInput!BI86</f>
        <v>49.9825076765609</v>
      </c>
      <c r="BJ36" s="74">
        <f>DataInput!BJ86</f>
        <v>64.274759467758443</v>
      </c>
      <c r="BK36" s="74">
        <f>DataInput!BK86</f>
        <v>89.629375639713416</v>
      </c>
      <c r="BL36" s="74">
        <f>DataInput!BL86</f>
        <v>90.436847492323452</v>
      </c>
      <c r="BM36" s="74">
        <f>DataInput!BM86</f>
        <v>87.93368474923237</v>
      </c>
      <c r="BN36" s="74">
        <f>DataInput!BN86</f>
        <v>79.858966223132057</v>
      </c>
      <c r="BO36" s="74">
        <f>DataInput!BO86</f>
        <v>45.396067553735939</v>
      </c>
      <c r="BP36" s="74">
        <f>DataInput!BP86</f>
        <v>48.093023541453448</v>
      </c>
      <c r="BQ36" s="74">
        <f>DataInput!BQ86</f>
        <v>48.093023541453448</v>
      </c>
      <c r="BR36" s="74">
        <f>DataInput!BR86</f>
        <v>48.093023541453448</v>
      </c>
      <c r="BS36" s="74">
        <f>DataInput!BS86</f>
        <v>48.093023541453448</v>
      </c>
      <c r="BT36" s="74">
        <f>DataInput!BT86</f>
        <v>48.093023541453448</v>
      </c>
      <c r="BU36" s="74">
        <f>DataInput!BU86</f>
        <v>48.093023541453448</v>
      </c>
      <c r="BV36" s="74">
        <f>DataInput!BV86</f>
        <v>48.093023541453448</v>
      </c>
      <c r="BW36" s="74">
        <f>DataInput!BW86</f>
        <v>48.093023541453448</v>
      </c>
      <c r="BX36" s="74">
        <f>DataInput!BX86</f>
        <v>48.093023541453448</v>
      </c>
      <c r="BY36" s="74">
        <f>DataInput!BY86</f>
        <v>48.093023541453448</v>
      </c>
      <c r="BZ36" s="74">
        <f>DataInput!BZ86</f>
        <v>48.093023541453448</v>
      </c>
      <c r="CA36" s="74">
        <f>DataInput!CA86</f>
        <v>48.093023541453448</v>
      </c>
      <c r="CB36" s="74">
        <f>DataInput!CB86</f>
        <v>48.093023541453448</v>
      </c>
      <c r="CC36" s="74">
        <f>DataInput!CC86</f>
        <v>48.093023541453448</v>
      </c>
      <c r="CD36" s="74">
        <f>DataInput!CD86</f>
        <v>48.093023541453448</v>
      </c>
      <c r="CE36" s="79"/>
      <c r="CF36" s="435"/>
      <c r="CG36" s="235">
        <f t="shared" si="34"/>
        <v>0</v>
      </c>
      <c r="CH36" s="235">
        <f t="shared" si="34"/>
        <v>0</v>
      </c>
      <c r="CI36" s="235" t="e">
        <f>BM36-#REF!</f>
        <v>#REF!</v>
      </c>
      <c r="CJ36" s="235">
        <f t="shared" si="35"/>
        <v>0</v>
      </c>
      <c r="CK36" s="235">
        <f t="shared" si="35"/>
        <v>0</v>
      </c>
      <c r="CL36" s="235">
        <f t="shared" si="35"/>
        <v>0</v>
      </c>
      <c r="CM36" s="235">
        <f t="shared" si="35"/>
        <v>0</v>
      </c>
      <c r="CN36" s="235">
        <f t="shared" si="35"/>
        <v>0</v>
      </c>
      <c r="CO36" s="235">
        <f t="shared" si="35"/>
        <v>0</v>
      </c>
      <c r="CP36" s="235">
        <f t="shared" si="35"/>
        <v>0</v>
      </c>
      <c r="CQ36" s="235">
        <f t="shared" si="35"/>
        <v>0</v>
      </c>
      <c r="CR36" s="235">
        <f t="shared" si="35"/>
        <v>0</v>
      </c>
      <c r="CS36" s="235">
        <f t="shared" si="35"/>
        <v>0</v>
      </c>
      <c r="CT36" s="235">
        <f t="shared" si="36"/>
        <v>0</v>
      </c>
      <c r="CU36" s="235">
        <f t="shared" si="36"/>
        <v>0</v>
      </c>
      <c r="CV36" s="235">
        <f t="shared" si="36"/>
        <v>0</v>
      </c>
      <c r="CW36" s="235">
        <f t="shared" si="36"/>
        <v>0</v>
      </c>
      <c r="CX36" s="235">
        <f t="shared" si="36"/>
        <v>0</v>
      </c>
      <c r="CY36" s="235">
        <f t="shared" si="36"/>
        <v>0</v>
      </c>
      <c r="CZ36" s="235">
        <f t="shared" si="36"/>
        <v>0</v>
      </c>
      <c r="DA36" s="38"/>
      <c r="DB36" s="236">
        <v>44.66</v>
      </c>
      <c r="DC36" s="236">
        <v>45.66</v>
      </c>
      <c r="DD36" s="236">
        <v>47.08</v>
      </c>
      <c r="DE36" s="236">
        <v>78.89</v>
      </c>
      <c r="DF36" s="401">
        <v>49.595898175821908</v>
      </c>
      <c r="DG36" s="236">
        <v>89.629375639713416</v>
      </c>
      <c r="DH36" s="492">
        <v>90.436847492323452</v>
      </c>
      <c r="DI36" s="236">
        <v>79.858966223132057</v>
      </c>
      <c r="DJ36" s="236">
        <v>45.396067553735939</v>
      </c>
      <c r="DK36" s="236">
        <v>48.093023541453448</v>
      </c>
      <c r="DL36" s="236">
        <v>48.093023541453448</v>
      </c>
      <c r="DM36" s="236">
        <v>48.093023541453448</v>
      </c>
      <c r="DN36" s="236">
        <v>48.093023541453448</v>
      </c>
      <c r="DO36" s="236">
        <v>48.093023541453448</v>
      </c>
      <c r="DP36" s="236">
        <v>48.093023541453448</v>
      </c>
      <c r="DQ36" s="405">
        <v>48.093023541453448</v>
      </c>
      <c r="DR36" s="405">
        <v>48.093023541453448</v>
      </c>
      <c r="DS36" s="405">
        <v>48.093023541453448</v>
      </c>
      <c r="DT36" s="405">
        <v>48.093023541453448</v>
      </c>
      <c r="DU36" s="405">
        <v>48.093023541453448</v>
      </c>
      <c r="DV36" s="405">
        <v>48.093023541453448</v>
      </c>
      <c r="DW36" s="405">
        <v>48.093023541453448</v>
      </c>
      <c r="DX36" s="405">
        <v>48.093023541453448</v>
      </c>
      <c r="DY36" s="405">
        <v>48.093023541453448</v>
      </c>
      <c r="DZ36" s="405"/>
      <c r="EA36" s="990"/>
    </row>
    <row r="37" spans="1:131" s="33" customFormat="1">
      <c r="A37" s="76" t="s">
        <v>3859</v>
      </c>
      <c r="B37" s="78" t="s">
        <v>419</v>
      </c>
      <c r="C37" s="37" t="s">
        <v>358</v>
      </c>
      <c r="D37" s="209" t="s">
        <v>4479</v>
      </c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37"/>
      <c r="AV37" s="74">
        <f>DataInput!AV87</f>
        <v>11.75</v>
      </c>
      <c r="AW37" s="74">
        <f>DataInput!AW87</f>
        <v>14.24</v>
      </c>
      <c r="AX37" s="74">
        <f>DataInput!AX87</f>
        <v>10.98</v>
      </c>
      <c r="AY37" s="74">
        <f>DataInput!AY87</f>
        <v>7.89</v>
      </c>
      <c r="AZ37" s="74">
        <f>DataInput!AZ87</f>
        <v>11.93</v>
      </c>
      <c r="BA37" s="74">
        <f>DataInput!BA87</f>
        <v>22.240473061760841</v>
      </c>
      <c r="BB37" s="74">
        <f>DataInput!BB87</f>
        <v>24.610810810810811</v>
      </c>
      <c r="BC37" s="74">
        <f>DataInput!BC87</f>
        <v>27.66</v>
      </c>
      <c r="BD37" s="74">
        <f>DataInput!BD87</f>
        <v>30.25</v>
      </c>
      <c r="BE37" s="74">
        <f>DataInput!BE87</f>
        <v>55.26</v>
      </c>
      <c r="BF37" s="74">
        <f>DataInput!BF87</f>
        <v>60.58</v>
      </c>
      <c r="BG37" s="74">
        <f>DataInput!BG87</f>
        <v>56.43</v>
      </c>
      <c r="BH37" s="74">
        <f>DataInput!BH87</f>
        <v>78.89</v>
      </c>
      <c r="BI37" s="74">
        <f>DataInput!BI87</f>
        <v>49.81</v>
      </c>
      <c r="BJ37" s="74">
        <f>DataInput!BJ87</f>
        <v>73.469387755102048</v>
      </c>
      <c r="BK37" s="74">
        <f>DataInput!BK87</f>
        <v>101.26956008266903</v>
      </c>
      <c r="BL37" s="74">
        <f>DataInput!BL87</f>
        <v>103.38</v>
      </c>
      <c r="BM37" s="74">
        <f>DataInput!BM87</f>
        <v>95</v>
      </c>
      <c r="BN37" s="74">
        <f>DataInput!BN87</f>
        <v>82</v>
      </c>
      <c r="BO37" s="74">
        <f>DataInput!BO87</f>
        <v>46.613144590495445</v>
      </c>
      <c r="BP37" s="74">
        <f>DataInput!BP87</f>
        <v>49.38240647118301</v>
      </c>
      <c r="BQ37" s="74">
        <f>DataInput!BQ87</f>
        <v>52.624266936299286</v>
      </c>
      <c r="BR37" s="74">
        <f>DataInput!BR87</f>
        <v>55.277451971688571</v>
      </c>
      <c r="BS37" s="74">
        <f>DataInput!BS87</f>
        <v>56.736703741152681</v>
      </c>
      <c r="BT37" s="74">
        <f>DataInput!BT87</f>
        <v>66.246713852376146</v>
      </c>
      <c r="BU37" s="74">
        <f>DataInput!BU87</f>
        <v>66.246713852376146</v>
      </c>
      <c r="BV37" s="74">
        <f>DataInput!BV87</f>
        <v>66.246713852376146</v>
      </c>
      <c r="BW37" s="74">
        <f>DataInput!BW87</f>
        <v>66.246713852376146</v>
      </c>
      <c r="BX37" s="74">
        <f>DataInput!BX87</f>
        <v>66.246713852376146</v>
      </c>
      <c r="BY37" s="74">
        <f>DataInput!BY87</f>
        <v>66.246713852376146</v>
      </c>
      <c r="BZ37" s="74">
        <f>DataInput!BZ87</f>
        <v>66.246713852376146</v>
      </c>
      <c r="CA37" s="74">
        <f>DataInput!CA87</f>
        <v>66.246713852376146</v>
      </c>
      <c r="CB37" s="74">
        <f>DataInput!CB87</f>
        <v>66.246713852376146</v>
      </c>
      <c r="CC37" s="74">
        <f>DataInput!CC87</f>
        <v>66.246713852376146</v>
      </c>
      <c r="CD37" s="74">
        <f>DataInput!CD87</f>
        <v>66.246713852376146</v>
      </c>
      <c r="CE37" s="79"/>
      <c r="CF37" s="435"/>
      <c r="CG37" s="235">
        <f t="shared" si="34"/>
        <v>0</v>
      </c>
      <c r="CH37" s="235">
        <f t="shared" si="34"/>
        <v>0</v>
      </c>
      <c r="CI37" s="235" t="e">
        <f>BM37-#REF!</f>
        <v>#REF!</v>
      </c>
      <c r="CJ37" s="235">
        <f t="shared" si="35"/>
        <v>0</v>
      </c>
      <c r="CK37" s="235">
        <f t="shared" si="35"/>
        <v>0</v>
      </c>
      <c r="CL37" s="235">
        <f t="shared" si="35"/>
        <v>0</v>
      </c>
      <c r="CM37" s="235">
        <f t="shared" si="35"/>
        <v>0</v>
      </c>
      <c r="CN37" s="235">
        <f t="shared" si="35"/>
        <v>0</v>
      </c>
      <c r="CO37" s="235">
        <f t="shared" si="35"/>
        <v>0</v>
      </c>
      <c r="CP37" s="235">
        <f t="shared" si="35"/>
        <v>0</v>
      </c>
      <c r="CQ37" s="235">
        <f t="shared" si="35"/>
        <v>0</v>
      </c>
      <c r="CR37" s="235">
        <f t="shared" si="35"/>
        <v>0</v>
      </c>
      <c r="CS37" s="235">
        <f t="shared" si="35"/>
        <v>0</v>
      </c>
      <c r="CT37" s="235">
        <f t="shared" si="36"/>
        <v>0</v>
      </c>
      <c r="CU37" s="235">
        <f t="shared" si="36"/>
        <v>0</v>
      </c>
      <c r="CV37" s="235">
        <f t="shared" si="36"/>
        <v>0</v>
      </c>
      <c r="CW37" s="235">
        <f t="shared" si="36"/>
        <v>0</v>
      </c>
      <c r="CX37" s="235">
        <f t="shared" si="36"/>
        <v>0</v>
      </c>
      <c r="CY37" s="235">
        <f t="shared" si="36"/>
        <v>0</v>
      </c>
      <c r="CZ37" s="235">
        <f t="shared" si="36"/>
        <v>0</v>
      </c>
      <c r="DA37" s="38"/>
      <c r="DB37" s="236">
        <v>59.58</v>
      </c>
      <c r="DC37" s="236">
        <v>60.58</v>
      </c>
      <c r="DD37" s="236">
        <v>56.43</v>
      </c>
      <c r="DE37" s="236">
        <v>78.89</v>
      </c>
      <c r="DF37" s="401">
        <v>49.81</v>
      </c>
      <c r="DG37" s="236">
        <v>101.26956008266903</v>
      </c>
      <c r="DH37" s="492">
        <v>103.38</v>
      </c>
      <c r="DI37" s="236">
        <v>82</v>
      </c>
      <c r="DJ37" s="236">
        <v>46.613144590495445</v>
      </c>
      <c r="DK37" s="236">
        <v>49.38240647118301</v>
      </c>
      <c r="DL37" s="236">
        <v>52.624266936299286</v>
      </c>
      <c r="DM37" s="236">
        <v>55.277451971688571</v>
      </c>
      <c r="DN37" s="236">
        <v>56.736703741152681</v>
      </c>
      <c r="DO37" s="236">
        <v>66.246713852376146</v>
      </c>
      <c r="DP37" s="236">
        <v>66.246713852376146</v>
      </c>
      <c r="DQ37" s="405">
        <v>66.246713852376146</v>
      </c>
      <c r="DR37" s="405">
        <v>66.246713852376146</v>
      </c>
      <c r="DS37" s="405">
        <v>66.246713852376146</v>
      </c>
      <c r="DT37" s="405">
        <v>66.246713852376146</v>
      </c>
      <c r="DU37" s="405">
        <v>66.246713852376146</v>
      </c>
      <c r="DV37" s="405">
        <v>66.246713852376146</v>
      </c>
      <c r="DW37" s="405">
        <v>66.246713852376146</v>
      </c>
      <c r="DX37" s="405">
        <v>66.246713852376146</v>
      </c>
      <c r="DY37" s="405">
        <v>66.246713852376146</v>
      </c>
      <c r="DZ37" s="405"/>
      <c r="EA37" s="990"/>
    </row>
    <row r="38" spans="1:131" s="33" customFormat="1">
      <c r="A38" s="974" t="s">
        <v>372</v>
      </c>
      <c r="B38" s="921" t="str">
        <f t="shared" ref="B38:B43" si="37">B17</f>
        <v>Fuel Oil</v>
      </c>
      <c r="C38" s="37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37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290">
        <f t="shared" ref="BM38:BM43" si="38">BN38</f>
        <v>82</v>
      </c>
      <c r="BN38" s="1076">
        <f>DataInput!BN1090</f>
        <v>82</v>
      </c>
      <c r="BO38" s="1076">
        <f>DataInput!BO1090</f>
        <v>43.71</v>
      </c>
      <c r="BP38" s="1076">
        <f>DataInput!BP1090</f>
        <v>34.896787620064032</v>
      </c>
      <c r="BQ38" s="1076">
        <f>DataInput!BQ1090</f>
        <v>49.347694933604174</v>
      </c>
      <c r="BR38" s="1076">
        <f>DataInput!BR1090</f>
        <v>53.935683334227043</v>
      </c>
      <c r="BS38" s="1076">
        <f>DataInput!BS1090</f>
        <v>59.709514182708219</v>
      </c>
      <c r="BT38" s="1076">
        <f>DataInput!BT1090</f>
        <v>62.637816501510841</v>
      </c>
      <c r="BU38" s="1076">
        <f>DataInput!BU1090</f>
        <v>62.637816501510841</v>
      </c>
      <c r="BV38" s="1076">
        <f>DataInput!BV1090</f>
        <v>62.637816501510841</v>
      </c>
      <c r="BW38" s="1076">
        <f>DataInput!BW1090</f>
        <v>62.637816501510841</v>
      </c>
      <c r="BX38" s="1076">
        <f>DataInput!BX1090</f>
        <v>62.637816501510841</v>
      </c>
      <c r="BY38" s="1076">
        <f>DataInput!BY1090</f>
        <v>62.637816501510841</v>
      </c>
      <c r="BZ38" s="1076">
        <f>DataInput!BZ1090</f>
        <v>62.637816501510841</v>
      </c>
      <c r="CA38" s="1076">
        <f>DataInput!CA1090</f>
        <v>62.637816501510841</v>
      </c>
      <c r="CB38" s="1076">
        <f>DataInput!CB1090</f>
        <v>62.637816501510841</v>
      </c>
      <c r="CC38" s="1076">
        <f>DataInput!CC1090</f>
        <v>62.637816501510841</v>
      </c>
      <c r="CD38" s="1076">
        <f>DataInput!CD1090</f>
        <v>62.637816501510841</v>
      </c>
      <c r="CE38" s="79"/>
      <c r="CF38" s="435"/>
      <c r="CG38" s="235"/>
      <c r="CH38" s="235">
        <f t="shared" ref="CH38:CH71" si="39">BL38-DH38</f>
        <v>0</v>
      </c>
      <c r="CI38" s="235" t="e">
        <f>BM38-#REF!</f>
        <v>#REF!</v>
      </c>
      <c r="CJ38" s="235">
        <f t="shared" si="35"/>
        <v>0</v>
      </c>
      <c r="CK38" s="235">
        <f t="shared" si="35"/>
        <v>0</v>
      </c>
      <c r="CL38" s="235">
        <f t="shared" si="35"/>
        <v>0</v>
      </c>
      <c r="CM38" s="235">
        <f t="shared" si="35"/>
        <v>0</v>
      </c>
      <c r="CN38" s="235">
        <f t="shared" si="35"/>
        <v>0</v>
      </c>
      <c r="CO38" s="235">
        <f t="shared" si="35"/>
        <v>0</v>
      </c>
      <c r="CP38" s="235">
        <f t="shared" si="35"/>
        <v>0</v>
      </c>
      <c r="CQ38" s="235">
        <f t="shared" si="35"/>
        <v>0</v>
      </c>
      <c r="CR38" s="235">
        <f t="shared" si="35"/>
        <v>0</v>
      </c>
      <c r="CS38" s="235">
        <f t="shared" si="35"/>
        <v>0</v>
      </c>
      <c r="CT38" s="235">
        <f t="shared" si="36"/>
        <v>0</v>
      </c>
      <c r="CU38" s="235">
        <f t="shared" si="36"/>
        <v>0</v>
      </c>
      <c r="CV38" s="235">
        <f t="shared" si="36"/>
        <v>0</v>
      </c>
      <c r="CW38" s="235">
        <f t="shared" si="36"/>
        <v>0</v>
      </c>
      <c r="CX38" s="235">
        <f t="shared" si="36"/>
        <v>0</v>
      </c>
      <c r="CY38" s="235">
        <f t="shared" si="36"/>
        <v>0</v>
      </c>
      <c r="CZ38" s="235">
        <f t="shared" si="36"/>
        <v>0</v>
      </c>
      <c r="DA38" s="38"/>
      <c r="DB38" s="236"/>
      <c r="DC38" s="236"/>
      <c r="DD38" s="236"/>
      <c r="DE38" s="236"/>
      <c r="DF38" s="401"/>
      <c r="DG38" s="236"/>
      <c r="DH38" s="492"/>
      <c r="DI38" s="236">
        <v>82</v>
      </c>
      <c r="DJ38" s="236">
        <v>43.71</v>
      </c>
      <c r="DK38" s="236">
        <v>34.896787620064032</v>
      </c>
      <c r="DL38" s="236">
        <v>49.347694933604174</v>
      </c>
      <c r="DM38" s="236">
        <v>53.935683334227043</v>
      </c>
      <c r="DN38" s="236">
        <v>59.709514182708219</v>
      </c>
      <c r="DO38" s="236">
        <v>62.637816501510841</v>
      </c>
      <c r="DP38" s="236">
        <v>62.637816501510841</v>
      </c>
      <c r="DQ38" s="405">
        <v>62.637816501510841</v>
      </c>
      <c r="DR38" s="405">
        <v>62.637816501510841</v>
      </c>
      <c r="DS38" s="405">
        <v>62.637816501510841</v>
      </c>
      <c r="DT38" s="405">
        <v>62.637816501510841</v>
      </c>
      <c r="DU38" s="405">
        <v>62.637816501510841</v>
      </c>
      <c r="DV38" s="405">
        <v>62.637816501510841</v>
      </c>
      <c r="DW38" s="405">
        <v>62.637816501510841</v>
      </c>
      <c r="DX38" s="405">
        <v>62.637816501510841</v>
      </c>
      <c r="DY38" s="405">
        <v>62.637816501510841</v>
      </c>
      <c r="DZ38" s="405"/>
      <c r="EA38" s="990"/>
    </row>
    <row r="39" spans="1:131" s="33" customFormat="1">
      <c r="A39" s="974" t="s">
        <v>373</v>
      </c>
      <c r="B39" s="921" t="str">
        <f t="shared" si="37"/>
        <v>SO-Diesel (Gasoil)</v>
      </c>
      <c r="C39" s="37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37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290">
        <f t="shared" si="38"/>
        <v>111.70552486187846</v>
      </c>
      <c r="BN39" s="1076">
        <f>DataInput!BN1091</f>
        <v>111.70552486187846</v>
      </c>
      <c r="BO39" s="1076">
        <f>DataInput!BO1091</f>
        <v>76.56</v>
      </c>
      <c r="BP39" s="1076">
        <f>DataInput!BP1091</f>
        <v>91.318388473852735</v>
      </c>
      <c r="BQ39" s="1076">
        <f>DataInput!BQ1091</f>
        <v>95.603265890453869</v>
      </c>
      <c r="BR39" s="1076">
        <f>DataInput!BR1091</f>
        <v>100.25334546898628</v>
      </c>
      <c r="BS39" s="1076">
        <f>DataInput!BS1091</f>
        <v>104.89990146156791</v>
      </c>
      <c r="BT39" s="1076">
        <f>DataInput!BT1091</f>
        <v>109.7128602481262</v>
      </c>
      <c r="BU39" s="1076">
        <f>DataInput!BU1091</f>
        <v>109.7128602481262</v>
      </c>
      <c r="BV39" s="1076">
        <f>DataInput!BV1091</f>
        <v>109.7128602481262</v>
      </c>
      <c r="BW39" s="1076">
        <f>DataInput!BW1091</f>
        <v>109.7128602481262</v>
      </c>
      <c r="BX39" s="1076">
        <f>DataInput!BX1091</f>
        <v>109.7128602481262</v>
      </c>
      <c r="BY39" s="1076">
        <f>DataInput!BY1091</f>
        <v>109.7128602481262</v>
      </c>
      <c r="BZ39" s="1076">
        <f>DataInput!BZ1091</f>
        <v>109.7128602481262</v>
      </c>
      <c r="CA39" s="1076">
        <f>DataInput!CA1091</f>
        <v>109.7128602481262</v>
      </c>
      <c r="CB39" s="1076">
        <f>DataInput!CB1091</f>
        <v>109.7128602481262</v>
      </c>
      <c r="CC39" s="1076">
        <f>DataInput!CC1091</f>
        <v>109.7128602481262</v>
      </c>
      <c r="CD39" s="1076">
        <f>DataInput!CD1091</f>
        <v>109.7128602481262</v>
      </c>
      <c r="CE39" s="79"/>
      <c r="CF39" s="435"/>
      <c r="CG39" s="235"/>
      <c r="CH39" s="235">
        <f t="shared" si="39"/>
        <v>0</v>
      </c>
      <c r="CI39" s="235" t="e">
        <f>BM39-#REF!</f>
        <v>#REF!</v>
      </c>
      <c r="CJ39" s="235">
        <f t="shared" si="35"/>
        <v>0</v>
      </c>
      <c r="CK39" s="235">
        <f t="shared" si="35"/>
        <v>0</v>
      </c>
      <c r="CL39" s="235">
        <f t="shared" si="35"/>
        <v>0</v>
      </c>
      <c r="CM39" s="235">
        <f t="shared" si="35"/>
        <v>0</v>
      </c>
      <c r="CN39" s="235">
        <f t="shared" si="35"/>
        <v>0</v>
      </c>
      <c r="CO39" s="235">
        <f t="shared" si="35"/>
        <v>0</v>
      </c>
      <c r="CP39" s="235">
        <f t="shared" si="35"/>
        <v>0</v>
      </c>
      <c r="CQ39" s="235">
        <f t="shared" si="35"/>
        <v>0</v>
      </c>
      <c r="CR39" s="235">
        <f t="shared" si="35"/>
        <v>0</v>
      </c>
      <c r="CS39" s="235">
        <f t="shared" si="35"/>
        <v>0</v>
      </c>
      <c r="CT39" s="235">
        <f t="shared" si="36"/>
        <v>0</v>
      </c>
      <c r="CU39" s="235">
        <f t="shared" si="36"/>
        <v>0</v>
      </c>
      <c r="CV39" s="235">
        <f t="shared" si="36"/>
        <v>0</v>
      </c>
      <c r="CW39" s="235">
        <f t="shared" si="36"/>
        <v>0</v>
      </c>
      <c r="CX39" s="235">
        <f t="shared" si="36"/>
        <v>0</v>
      </c>
      <c r="CY39" s="235">
        <f t="shared" si="36"/>
        <v>0</v>
      </c>
      <c r="CZ39" s="235">
        <f t="shared" si="36"/>
        <v>0</v>
      </c>
      <c r="DA39" s="38"/>
      <c r="DB39" s="236"/>
      <c r="DC39" s="236"/>
      <c r="DD39" s="236"/>
      <c r="DE39" s="236"/>
      <c r="DF39" s="401"/>
      <c r="DG39" s="236"/>
      <c r="DH39" s="492"/>
      <c r="DI39" s="236">
        <v>111.70552486187846</v>
      </c>
      <c r="DJ39" s="236">
        <v>76.56</v>
      </c>
      <c r="DK39" s="236">
        <v>91.318388473852735</v>
      </c>
      <c r="DL39" s="236">
        <v>95.603265890453869</v>
      </c>
      <c r="DM39" s="236">
        <v>100.25334546898628</v>
      </c>
      <c r="DN39" s="236">
        <v>104.89990146156791</v>
      </c>
      <c r="DO39" s="236">
        <v>109.7128602481262</v>
      </c>
      <c r="DP39" s="236">
        <v>109.7128602481262</v>
      </c>
      <c r="DQ39" s="405">
        <v>109.7128602481262</v>
      </c>
      <c r="DR39" s="405">
        <v>109.7128602481262</v>
      </c>
      <c r="DS39" s="405">
        <v>109.7128602481262</v>
      </c>
      <c r="DT39" s="405">
        <v>109.7128602481262</v>
      </c>
      <c r="DU39" s="405">
        <v>109.7128602481262</v>
      </c>
      <c r="DV39" s="405">
        <v>109.7128602481262</v>
      </c>
      <c r="DW39" s="405">
        <v>109.7128602481262</v>
      </c>
      <c r="DX39" s="405">
        <v>109.7128602481262</v>
      </c>
      <c r="DY39" s="405">
        <v>109.7128602481262</v>
      </c>
      <c r="DZ39" s="405"/>
      <c r="EA39" s="990"/>
    </row>
    <row r="40" spans="1:131" s="33" customFormat="1">
      <c r="A40" s="974" t="s">
        <v>376</v>
      </c>
      <c r="B40" s="921" t="str">
        <f t="shared" si="37"/>
        <v>Sulfuric Acid</v>
      </c>
      <c r="C40" s="37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37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290">
        <f t="shared" si="38"/>
        <v>41</v>
      </c>
      <c r="BN40" s="1076">
        <f>DataInput!BN1094</f>
        <v>41</v>
      </c>
      <c r="BO40" s="1076">
        <f>DataInput!BO1094</f>
        <v>24.33</v>
      </c>
      <c r="BP40" s="1076">
        <f>DataInput!BP1094</f>
        <v>25.305432230522946</v>
      </c>
      <c r="BQ40" s="1076">
        <f>DataInput!BQ1094</f>
        <v>26.316685420941763</v>
      </c>
      <c r="BR40" s="1076">
        <f>DataInput!BR1094</f>
        <v>27.373507436807742</v>
      </c>
      <c r="BS40" s="1076">
        <f>DataInput!BS1094</f>
        <v>28.466131901916214</v>
      </c>
      <c r="BT40" s="1076">
        <f>DataInput!BT1094</f>
        <v>26.597526508301996</v>
      </c>
      <c r="BU40" s="1076">
        <f>DataInput!BU1094</f>
        <v>26.597526508301996</v>
      </c>
      <c r="BV40" s="1076">
        <f>DataInput!BV1094</f>
        <v>26.597526508301996</v>
      </c>
      <c r="BW40" s="1076">
        <f>DataInput!BW1094</f>
        <v>26.597526508301996</v>
      </c>
      <c r="BX40" s="1076">
        <f>DataInput!BX1094</f>
        <v>26.597526508301996</v>
      </c>
      <c r="BY40" s="1076">
        <f>DataInput!BY1094</f>
        <v>26.597526508301996</v>
      </c>
      <c r="BZ40" s="1076">
        <f>DataInput!BZ1094</f>
        <v>26.597526508301996</v>
      </c>
      <c r="CA40" s="1076">
        <f>DataInput!CA1094</f>
        <v>26.597526508301996</v>
      </c>
      <c r="CB40" s="1076">
        <f>DataInput!CB1094</f>
        <v>26.597526508301996</v>
      </c>
      <c r="CC40" s="1076">
        <f>DataInput!CC1094</f>
        <v>26.597526508301996</v>
      </c>
      <c r="CD40" s="1076">
        <f>DataInput!CD1094</f>
        <v>26.597526508301996</v>
      </c>
      <c r="CE40" s="79"/>
      <c r="CF40" s="435"/>
      <c r="CG40" s="235"/>
      <c r="CH40" s="235">
        <f t="shared" si="39"/>
        <v>0</v>
      </c>
      <c r="CI40" s="235" t="e">
        <f>BM40-#REF!</f>
        <v>#REF!</v>
      </c>
      <c r="CJ40" s="235">
        <f t="shared" si="35"/>
        <v>0</v>
      </c>
      <c r="CK40" s="235">
        <f t="shared" si="35"/>
        <v>0</v>
      </c>
      <c r="CL40" s="235">
        <f t="shared" si="35"/>
        <v>0</v>
      </c>
      <c r="CM40" s="235">
        <f t="shared" si="35"/>
        <v>0</v>
      </c>
      <c r="CN40" s="235">
        <f t="shared" si="35"/>
        <v>0</v>
      </c>
      <c r="CO40" s="235">
        <f t="shared" si="35"/>
        <v>0</v>
      </c>
      <c r="CP40" s="235">
        <f t="shared" si="35"/>
        <v>0</v>
      </c>
      <c r="CQ40" s="235">
        <f t="shared" si="35"/>
        <v>0</v>
      </c>
      <c r="CR40" s="235">
        <f t="shared" si="35"/>
        <v>0</v>
      </c>
      <c r="CS40" s="235">
        <f t="shared" si="35"/>
        <v>0</v>
      </c>
      <c r="CT40" s="235">
        <f t="shared" si="36"/>
        <v>0</v>
      </c>
      <c r="CU40" s="235">
        <f t="shared" si="36"/>
        <v>0</v>
      </c>
      <c r="CV40" s="235">
        <f t="shared" si="36"/>
        <v>0</v>
      </c>
      <c r="CW40" s="235">
        <f t="shared" si="36"/>
        <v>0</v>
      </c>
      <c r="CX40" s="235">
        <f t="shared" si="36"/>
        <v>0</v>
      </c>
      <c r="CY40" s="235">
        <f t="shared" si="36"/>
        <v>0</v>
      </c>
      <c r="CZ40" s="235">
        <f t="shared" si="36"/>
        <v>0</v>
      </c>
      <c r="DA40" s="38"/>
      <c r="DB40" s="236"/>
      <c r="DC40" s="236"/>
      <c r="DD40" s="236"/>
      <c r="DE40" s="236"/>
      <c r="DF40" s="401"/>
      <c r="DG40" s="236"/>
      <c r="DH40" s="492"/>
      <c r="DI40" s="236">
        <v>41</v>
      </c>
      <c r="DJ40" s="236">
        <v>24.33</v>
      </c>
      <c r="DK40" s="236">
        <v>25.305432230522946</v>
      </c>
      <c r="DL40" s="236">
        <v>26.316685420941763</v>
      </c>
      <c r="DM40" s="236">
        <v>27.373507436807742</v>
      </c>
      <c r="DN40" s="236">
        <v>28.466131901916214</v>
      </c>
      <c r="DO40" s="236">
        <v>26.597526508301996</v>
      </c>
      <c r="DP40" s="236">
        <v>26.597526508301996</v>
      </c>
      <c r="DQ40" s="405">
        <v>26.597526508301996</v>
      </c>
      <c r="DR40" s="405">
        <v>26.597526508301996</v>
      </c>
      <c r="DS40" s="405">
        <v>26.597526508301996</v>
      </c>
      <c r="DT40" s="405">
        <v>26.597526508301996</v>
      </c>
      <c r="DU40" s="405">
        <v>26.597526508301996</v>
      </c>
      <c r="DV40" s="405">
        <v>26.597526508301996</v>
      </c>
      <c r="DW40" s="405">
        <v>26.597526508301996</v>
      </c>
      <c r="DX40" s="405">
        <v>26.597526508301996</v>
      </c>
      <c r="DY40" s="405">
        <v>26.597526508301996</v>
      </c>
      <c r="DZ40" s="405"/>
      <c r="EA40" s="990"/>
    </row>
    <row r="41" spans="1:131" s="33" customFormat="1">
      <c r="A41" s="974"/>
      <c r="B41" s="921" t="str">
        <f t="shared" si="37"/>
        <v>Low Sulfur Diesel (Automotive Diesel)</v>
      </c>
      <c r="C41" s="37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37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290">
        <f t="shared" si="38"/>
        <v>105</v>
      </c>
      <c r="BN41" s="1076">
        <f>DataInput!BN1095</f>
        <v>105</v>
      </c>
      <c r="BO41" s="1076">
        <f>DataInput!BO1095</f>
        <v>76.52</v>
      </c>
      <c r="BP41" s="1076">
        <f>DataInput!BP1095</f>
        <v>65.146012095339742</v>
      </c>
      <c r="BQ41" s="1076">
        <f>DataInput!BQ1095</f>
        <v>78.392723097569061</v>
      </c>
      <c r="BR41" s="1076">
        <f>DataInput!BR1095</f>
        <v>83.125089789111854</v>
      </c>
      <c r="BS41" s="1076">
        <f>DataInput!BS1095</f>
        <v>89.41948243991186</v>
      </c>
      <c r="BT41" s="1076">
        <f>DataInput!BT1095</f>
        <v>94.087666914349796</v>
      </c>
      <c r="BU41" s="1076">
        <f>DataInput!BU1095</f>
        <v>94.087666914349796</v>
      </c>
      <c r="BV41" s="1076">
        <f>DataInput!BV1095</f>
        <v>94.087666914349796</v>
      </c>
      <c r="BW41" s="1076">
        <f>DataInput!BW1095</f>
        <v>94.087666914349796</v>
      </c>
      <c r="BX41" s="1076">
        <f>DataInput!BX1095</f>
        <v>94.087666914349796</v>
      </c>
      <c r="BY41" s="1076">
        <f>DataInput!BY1095</f>
        <v>94.087666914349796</v>
      </c>
      <c r="BZ41" s="1076">
        <f>DataInput!BZ1095</f>
        <v>94.087666914349796</v>
      </c>
      <c r="CA41" s="1076">
        <f>DataInput!CA1095</f>
        <v>94.087666914349796</v>
      </c>
      <c r="CB41" s="1076">
        <f>DataInput!CB1095</f>
        <v>94.087666914349796</v>
      </c>
      <c r="CC41" s="1076">
        <f>DataInput!CC1095</f>
        <v>94.087666914349796</v>
      </c>
      <c r="CD41" s="1076">
        <f>DataInput!CD1095</f>
        <v>94.087666914349796</v>
      </c>
      <c r="CE41" s="79"/>
      <c r="CF41" s="4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38"/>
      <c r="DB41" s="236"/>
      <c r="DC41" s="236"/>
      <c r="DD41" s="236"/>
      <c r="DE41" s="236"/>
      <c r="DF41" s="401"/>
      <c r="DG41" s="236"/>
      <c r="DH41" s="492"/>
      <c r="DI41" s="236">
        <v>105</v>
      </c>
      <c r="DJ41" s="236">
        <v>76.52</v>
      </c>
      <c r="DK41" s="236">
        <v>65.146012095339742</v>
      </c>
      <c r="DL41" s="236">
        <v>78.392723097569061</v>
      </c>
      <c r="DM41" s="236">
        <v>83.125089789111854</v>
      </c>
      <c r="DN41" s="236">
        <v>89.41948243991186</v>
      </c>
      <c r="DO41" s="236">
        <v>94.087666914349796</v>
      </c>
      <c r="DP41" s="236">
        <v>94.087666914349796</v>
      </c>
      <c r="DQ41" s="405">
        <v>94.087666914349796</v>
      </c>
      <c r="DR41" s="405">
        <v>94.087666914349796</v>
      </c>
      <c r="DS41" s="405">
        <v>94.087666914349796</v>
      </c>
      <c r="DT41" s="405">
        <v>94.087666914349796</v>
      </c>
      <c r="DU41" s="405">
        <v>94.087666914349796</v>
      </c>
      <c r="DV41" s="405">
        <v>94.087666914349796</v>
      </c>
      <c r="DW41" s="405">
        <v>94.087666914349796</v>
      </c>
      <c r="DX41" s="405">
        <v>94.087666914349796</v>
      </c>
      <c r="DY41" s="405">
        <v>94.087666914349796</v>
      </c>
      <c r="DZ41" s="405"/>
      <c r="EA41" s="990"/>
    </row>
    <row r="42" spans="1:131" s="33" customFormat="1">
      <c r="A42" s="921" t="s">
        <v>1112</v>
      </c>
      <c r="B42" s="921" t="str">
        <f t="shared" si="37"/>
        <v>Bitumen</v>
      </c>
      <c r="C42" s="37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37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290">
        <f t="shared" si="38"/>
        <v>32.800000000000004</v>
      </c>
      <c r="BN42" s="1076">
        <f>DataInput!BN1093</f>
        <v>32.800000000000004</v>
      </c>
      <c r="BO42" s="1076">
        <f>DataInput!BO1093</f>
        <v>43.71</v>
      </c>
      <c r="BP42" s="1076">
        <f>DataInput!BP1093</f>
        <v>34.896787620064032</v>
      </c>
      <c r="BQ42" s="1076">
        <f>DataInput!BQ1093</f>
        <v>49.347694933604174</v>
      </c>
      <c r="BR42" s="1076">
        <f>DataInput!BR1093</f>
        <v>53.935683334227043</v>
      </c>
      <c r="BS42" s="1076">
        <f>DataInput!BS1093</f>
        <v>59.709514182708219</v>
      </c>
      <c r="BT42" s="1076">
        <f>DataInput!BT1093</f>
        <v>62.637816501510841</v>
      </c>
      <c r="BU42" s="1076">
        <f>DataInput!BU1093</f>
        <v>62.637816501510841</v>
      </c>
      <c r="BV42" s="1076">
        <f>DataInput!BV1093</f>
        <v>62.637816501510841</v>
      </c>
      <c r="BW42" s="1076">
        <f>DataInput!BW1093</f>
        <v>62.637816501510841</v>
      </c>
      <c r="BX42" s="1076">
        <f>DataInput!BX1093</f>
        <v>62.637816501510841</v>
      </c>
      <c r="BY42" s="1076">
        <f>DataInput!BY1093</f>
        <v>62.637816501510841</v>
      </c>
      <c r="BZ42" s="1076">
        <f>DataInput!BZ1093</f>
        <v>62.637816501510841</v>
      </c>
      <c r="CA42" s="1076">
        <f>DataInput!CA1093</f>
        <v>62.637816501510841</v>
      </c>
      <c r="CB42" s="1076">
        <f>DataInput!CB1093</f>
        <v>62.637816501510841</v>
      </c>
      <c r="CC42" s="1076">
        <f>DataInput!CC1093</f>
        <v>62.637816501510841</v>
      </c>
      <c r="CD42" s="1076">
        <f>DataInput!CD1093</f>
        <v>62.637816501510841</v>
      </c>
      <c r="CE42" s="79"/>
      <c r="CF42" s="435"/>
      <c r="CG42" s="235"/>
      <c r="CH42" s="235">
        <f t="shared" si="39"/>
        <v>0</v>
      </c>
      <c r="CI42" s="235" t="e">
        <f>BM42-#REF!</f>
        <v>#REF!</v>
      </c>
      <c r="CJ42" s="235">
        <f t="shared" ref="CJ42:CJ62" si="40">BN42-DI42</f>
        <v>0</v>
      </c>
      <c r="CK42" s="235">
        <f t="shared" ref="CK42:CK62" si="41">BO42-DJ42</f>
        <v>0</v>
      </c>
      <c r="CL42" s="235">
        <f t="shared" ref="CL42:CL62" si="42">BP42-DK42</f>
        <v>0</v>
      </c>
      <c r="CM42" s="235">
        <f t="shared" ref="CM42:CM62" si="43">BQ42-DL42</f>
        <v>0</v>
      </c>
      <c r="CN42" s="235">
        <f t="shared" ref="CN42:CN62" si="44">BR42-DM42</f>
        <v>0</v>
      </c>
      <c r="CO42" s="235">
        <f t="shared" ref="CO42:CO62" si="45">BS42-DN42</f>
        <v>0</v>
      </c>
      <c r="CP42" s="235">
        <f t="shared" ref="CP42:CP62" si="46">BT42-DO42</f>
        <v>0</v>
      </c>
      <c r="CQ42" s="235">
        <f t="shared" ref="CQ42:CQ62" si="47">BU42-DP42</f>
        <v>0</v>
      </c>
      <c r="CR42" s="235">
        <f t="shared" ref="CR42:CR62" si="48">BV42-DQ42</f>
        <v>0</v>
      </c>
      <c r="CS42" s="235">
        <f t="shared" ref="CS42:CS62" si="49">BW42-DR42</f>
        <v>0</v>
      </c>
      <c r="CT42" s="235">
        <f t="shared" ref="CT42:CT62" si="50">BX42-DS42</f>
        <v>0</v>
      </c>
      <c r="CU42" s="235">
        <f t="shared" ref="CU42:CU62" si="51">BY42-DT42</f>
        <v>0</v>
      </c>
      <c r="CV42" s="235">
        <f t="shared" ref="CV42:CV62" si="52">BZ42-DU42</f>
        <v>0</v>
      </c>
      <c r="CW42" s="235">
        <f t="shared" ref="CW42:CW62" si="53">CA42-DV42</f>
        <v>0</v>
      </c>
      <c r="CX42" s="235">
        <f t="shared" ref="CX42:CX62" si="54">CB42-DW42</f>
        <v>0</v>
      </c>
      <c r="CY42" s="235">
        <f t="shared" ref="CY42:CY62" si="55">CC42-DX42</f>
        <v>0</v>
      </c>
      <c r="CZ42" s="235">
        <f t="shared" ref="CZ42:CZ62" si="56">CD42-DY42</f>
        <v>0</v>
      </c>
      <c r="DA42" s="38"/>
      <c r="DB42" s="236"/>
      <c r="DC42" s="236"/>
      <c r="DD42" s="236"/>
      <c r="DE42" s="236"/>
      <c r="DF42" s="401"/>
      <c r="DG42" s="236"/>
      <c r="DH42" s="492"/>
      <c r="DI42" s="236">
        <v>32.800000000000004</v>
      </c>
      <c r="DJ42" s="236">
        <v>43.71</v>
      </c>
      <c r="DK42" s="236">
        <v>34.896787620064032</v>
      </c>
      <c r="DL42" s="236">
        <v>49.347694933604174</v>
      </c>
      <c r="DM42" s="236">
        <v>53.935683334227043</v>
      </c>
      <c r="DN42" s="236">
        <v>59.709514182708219</v>
      </c>
      <c r="DO42" s="236">
        <v>62.637816501510841</v>
      </c>
      <c r="DP42" s="236">
        <v>62.637816501510841</v>
      </c>
      <c r="DQ42" s="405">
        <v>62.637816501510841</v>
      </c>
      <c r="DR42" s="405">
        <v>62.637816501510841</v>
      </c>
      <c r="DS42" s="405">
        <v>62.637816501510841</v>
      </c>
      <c r="DT42" s="405">
        <v>62.637816501510841</v>
      </c>
      <c r="DU42" s="405">
        <v>62.637816501510841</v>
      </c>
      <c r="DV42" s="405">
        <v>62.637816501510841</v>
      </c>
      <c r="DW42" s="405">
        <v>62.637816501510841</v>
      </c>
      <c r="DX42" s="405">
        <v>62.637816501510841</v>
      </c>
      <c r="DY42" s="405">
        <v>62.637816501510841</v>
      </c>
      <c r="DZ42" s="405"/>
      <c r="EA42" s="990"/>
    </row>
    <row r="43" spans="1:131" s="33" customFormat="1">
      <c r="A43" s="974" t="s">
        <v>3860</v>
      </c>
      <c r="B43" s="921" t="str">
        <f t="shared" si="37"/>
        <v>Suiker</v>
      </c>
      <c r="C43" s="37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37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290">
        <f t="shared" si="38"/>
        <v>0</v>
      </c>
      <c r="BN43" s="1076">
        <f>DataInput!BN1008</f>
        <v>0</v>
      </c>
      <c r="BO43" s="1076">
        <f>DataInput!BO1008</f>
        <v>0</v>
      </c>
      <c r="BP43" s="1076">
        <f>DataInput!BP1008</f>
        <v>0</v>
      </c>
      <c r="BQ43" s="1076">
        <f>DataInput!BQ1008</f>
        <v>0</v>
      </c>
      <c r="BR43" s="1076">
        <f>DataInput!BR1008</f>
        <v>0</v>
      </c>
      <c r="BS43" s="1076">
        <f>DataInput!BS1008</f>
        <v>0</v>
      </c>
      <c r="BT43" s="1076">
        <f>DataInput!BT1008</f>
        <v>0</v>
      </c>
      <c r="BU43" s="1076">
        <f>DataInput!BU1008</f>
        <v>0</v>
      </c>
      <c r="BV43" s="1076">
        <f>DataInput!BV1008</f>
        <v>0</v>
      </c>
      <c r="BW43" s="1076">
        <f>DataInput!BW1008</f>
        <v>0</v>
      </c>
      <c r="BX43" s="1076">
        <f>DataInput!BX1008</f>
        <v>0</v>
      </c>
      <c r="BY43" s="1076">
        <f>DataInput!BY1008</f>
        <v>0</v>
      </c>
      <c r="BZ43" s="1076">
        <f>DataInput!BZ1008</f>
        <v>0</v>
      </c>
      <c r="CA43" s="1076">
        <f>DataInput!CA1008</f>
        <v>0</v>
      </c>
      <c r="CB43" s="1076">
        <f>DataInput!CB1008</f>
        <v>0</v>
      </c>
      <c r="CC43" s="1076">
        <f>DataInput!CC1008</f>
        <v>0</v>
      </c>
      <c r="CD43" s="1076">
        <f>DataInput!CD1008</f>
        <v>0</v>
      </c>
      <c r="CE43" s="79"/>
      <c r="CF43" s="435"/>
      <c r="CG43" s="235"/>
      <c r="CH43" s="235">
        <f t="shared" si="39"/>
        <v>0</v>
      </c>
      <c r="CI43" s="235" t="e">
        <f>BM43-#REF!</f>
        <v>#REF!</v>
      </c>
      <c r="CJ43" s="235">
        <f t="shared" si="40"/>
        <v>0</v>
      </c>
      <c r="CK43" s="235">
        <f t="shared" si="41"/>
        <v>0</v>
      </c>
      <c r="CL43" s="235">
        <f t="shared" si="42"/>
        <v>0</v>
      </c>
      <c r="CM43" s="235">
        <f t="shared" si="43"/>
        <v>0</v>
      </c>
      <c r="CN43" s="235">
        <f t="shared" si="44"/>
        <v>0</v>
      </c>
      <c r="CO43" s="235">
        <f t="shared" si="45"/>
        <v>0</v>
      </c>
      <c r="CP43" s="235">
        <f t="shared" si="46"/>
        <v>0</v>
      </c>
      <c r="CQ43" s="235">
        <f t="shared" si="47"/>
        <v>0</v>
      </c>
      <c r="CR43" s="235">
        <f t="shared" si="48"/>
        <v>0</v>
      </c>
      <c r="CS43" s="235">
        <f t="shared" si="49"/>
        <v>0</v>
      </c>
      <c r="CT43" s="235">
        <f t="shared" si="50"/>
        <v>0</v>
      </c>
      <c r="CU43" s="235">
        <f t="shared" si="51"/>
        <v>0</v>
      </c>
      <c r="CV43" s="235">
        <f t="shared" si="52"/>
        <v>0</v>
      </c>
      <c r="CW43" s="235">
        <f t="shared" si="53"/>
        <v>0</v>
      </c>
      <c r="CX43" s="235">
        <f t="shared" si="54"/>
        <v>0</v>
      </c>
      <c r="CY43" s="235">
        <f t="shared" si="55"/>
        <v>0</v>
      </c>
      <c r="CZ43" s="235">
        <f t="shared" si="56"/>
        <v>0</v>
      </c>
      <c r="DA43" s="38"/>
      <c r="DB43" s="236"/>
      <c r="DC43" s="236"/>
      <c r="DD43" s="236"/>
      <c r="DE43" s="236"/>
      <c r="DF43" s="401"/>
      <c r="DG43" s="236"/>
      <c r="DH43" s="492"/>
      <c r="DI43" s="236">
        <v>0</v>
      </c>
      <c r="DJ43" s="236">
        <v>0</v>
      </c>
      <c r="DK43" s="236">
        <v>0</v>
      </c>
      <c r="DL43" s="236">
        <v>0</v>
      </c>
      <c r="DM43" s="236">
        <v>0</v>
      </c>
      <c r="DN43" s="236">
        <v>0</v>
      </c>
      <c r="DO43" s="236">
        <v>0</v>
      </c>
      <c r="DP43" s="236">
        <v>0</v>
      </c>
      <c r="DQ43" s="405">
        <v>0</v>
      </c>
      <c r="DR43" s="405">
        <v>0</v>
      </c>
      <c r="DS43" s="405">
        <v>0</v>
      </c>
      <c r="DT43" s="405">
        <v>0</v>
      </c>
      <c r="DU43" s="405">
        <v>0</v>
      </c>
      <c r="DV43" s="405">
        <v>0</v>
      </c>
      <c r="DW43" s="405">
        <v>0</v>
      </c>
      <c r="DX43" s="405">
        <v>0</v>
      </c>
      <c r="DY43" s="405">
        <v>0</v>
      </c>
      <c r="DZ43" s="405"/>
      <c r="EA43" s="990"/>
    </row>
    <row r="44" spans="1:131" s="33" customFormat="1">
      <c r="A44" s="76" t="s">
        <v>3861</v>
      </c>
      <c r="B44" s="78" t="s">
        <v>3004</v>
      </c>
      <c r="C44" s="37" t="s">
        <v>359</v>
      </c>
      <c r="D44" s="209" t="s">
        <v>4400</v>
      </c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37"/>
      <c r="AV44" s="74">
        <f>DataInput!AV96</f>
        <v>387.82</v>
      </c>
      <c r="AW44" s="74">
        <f>DataInput!AW96</f>
        <v>311.10000000000002</v>
      </c>
      <c r="AX44" s="74">
        <f>DataInput!AX96</f>
        <v>294</v>
      </c>
      <c r="AY44" s="74">
        <f>DataInput!AY96</f>
        <v>279</v>
      </c>
      <c r="AZ44" s="74">
        <f>DataInput!AZ96</f>
        <v>308.04000000000002</v>
      </c>
      <c r="BA44" s="74">
        <f>DataInput!BA96</f>
        <v>271</v>
      </c>
      <c r="BB44" s="74">
        <f>DataInput!BB96</f>
        <v>279.02999999999997</v>
      </c>
      <c r="BC44" s="74">
        <f>DataInput!BC96</f>
        <v>342.61</v>
      </c>
      <c r="BD44" s="74">
        <f>DataInput!BD96</f>
        <v>411.63</v>
      </c>
      <c r="BE44" s="74">
        <f>DataInput!BE96</f>
        <v>428.2088544215402</v>
      </c>
      <c r="BF44" s="74">
        <f>DataInput!BF96</f>
        <v>600.44786851879712</v>
      </c>
      <c r="BG44" s="74">
        <f>DataInput!BG96</f>
        <v>702.14029110936247</v>
      </c>
      <c r="BH44" s="74">
        <f>DataInput!BH96</f>
        <v>871.71065410290532</v>
      </c>
      <c r="BI44" s="74">
        <f>DataInput!BI96</f>
        <v>989.38953997218505</v>
      </c>
      <c r="BJ44" s="74">
        <f>DataInput!BJ96</f>
        <v>1190.7276528546229</v>
      </c>
      <c r="BK44" s="74">
        <f>DataInput!BK96</f>
        <v>1516.6986242028213</v>
      </c>
      <c r="BL44" s="74">
        <f>DataInput!BL96</f>
        <v>1606.8700359694894</v>
      </c>
      <c r="BM44" s="74">
        <f>DataInput!BM96</f>
        <v>1349.8778186593156</v>
      </c>
      <c r="BN44" s="74">
        <f>DataInput!BN96</f>
        <v>1216.9834408912043</v>
      </c>
      <c r="BO44" s="79">
        <f>BN44*(1+BO308/100)*(1+SIM!W33/100)+finsim!BN32</f>
        <v>1182.6705927752769</v>
      </c>
      <c r="BP44" s="79">
        <f>BO44*(1+BP308/100)*(1+SIM!X33/100)+finsim!BO32</f>
        <v>1164.5520792939597</v>
      </c>
      <c r="BQ44" s="79">
        <f>BP44*(1+BQ308/100)*(1+SIM!Y33/100)+finsim!BP32</f>
        <v>1175.6188177034901</v>
      </c>
      <c r="BR44" s="79">
        <f>BQ44*(1+BR308/100)*(1+SIM!Z33/100)+finsim!BQ32</f>
        <v>1196.9621773388969</v>
      </c>
      <c r="BS44" s="79">
        <f>BR44*(1+BS308/100)*(1+SIM!AA33/100)+finsim!BR32</f>
        <v>1219.9258967111439</v>
      </c>
      <c r="BT44" s="79">
        <f>BS44*(1+BT308/100)*(1+SIM!AB33/100)+finsim!BS32</f>
        <v>1220.0844870777164</v>
      </c>
      <c r="BU44" s="79">
        <f>BT44*(1+BU308/100)*(1+SIM!AC33/100)+finsim!BT32</f>
        <v>1220.2430980610366</v>
      </c>
      <c r="BV44" s="79">
        <f>BU44*(1+BV308/100)*(1+SIM!AD33/100)+finsim!BU32</f>
        <v>1220.4017296637844</v>
      </c>
      <c r="BW44" s="79">
        <f>BV44*(1+BW308/100)*(1+SIM!AE33/100)+finsim!BV32</f>
        <v>1220.5603818886407</v>
      </c>
      <c r="BX44" s="79">
        <f>BW44*(1+BX308/100)*(1+SIM!AF33/100)+finsim!BW32</f>
        <v>1220.7190547382861</v>
      </c>
      <c r="BY44" s="79">
        <f>BX44*(1+BY308/100)*(1+SIM!AG33/100)+finsim!BX32</f>
        <v>1220.8777482154021</v>
      </c>
      <c r="BZ44" s="79">
        <f>BY44*(1+BZ308/100)*(1+SIM!AH33/100)+finsim!BY32</f>
        <v>1257.5040806618642</v>
      </c>
      <c r="CA44" s="79">
        <f>BZ44*(1+CA308/100)*(1+SIM!AI33/100)+finsim!BZ32</f>
        <v>1295.2292030817202</v>
      </c>
      <c r="CB44" s="79">
        <f>CA44*(1+CB308/100)*(1+SIM!AJ33/100)+finsim!CA32</f>
        <v>1334.0860791741718</v>
      </c>
      <c r="CC44" s="79">
        <f>CB44*(1+CC308/100)*(1+SIM!AK33/100)+finsim!CB32</f>
        <v>1374.1086615493971</v>
      </c>
      <c r="CD44" s="79">
        <f>CC44*(1+CD308/100)*(1+SIM!AL33/100)+finsim!CC32</f>
        <v>1415.3319213958791</v>
      </c>
      <c r="CE44" s="79"/>
      <c r="CF44" s="440"/>
      <c r="CG44" s="235">
        <f t="shared" ref="CG44:CG59" si="57">BK44-DG44</f>
        <v>0</v>
      </c>
      <c r="CH44" s="235">
        <f t="shared" si="39"/>
        <v>0</v>
      </c>
      <c r="CI44" s="235" t="e">
        <f>BM44-#REF!</f>
        <v>#REF!</v>
      </c>
      <c r="CJ44" s="235">
        <f t="shared" si="40"/>
        <v>0</v>
      </c>
      <c r="CK44" s="235">
        <f t="shared" si="41"/>
        <v>0</v>
      </c>
      <c r="CL44" s="235">
        <f t="shared" si="42"/>
        <v>0</v>
      </c>
      <c r="CM44" s="235">
        <f t="shared" si="43"/>
        <v>0</v>
      </c>
      <c r="CN44" s="235">
        <f t="shared" si="44"/>
        <v>0</v>
      </c>
      <c r="CO44" s="235">
        <f t="shared" si="45"/>
        <v>0</v>
      </c>
      <c r="CP44" s="235">
        <f t="shared" si="46"/>
        <v>0</v>
      </c>
      <c r="CQ44" s="235">
        <f t="shared" si="47"/>
        <v>0</v>
      </c>
      <c r="CR44" s="235">
        <f t="shared" si="48"/>
        <v>0</v>
      </c>
      <c r="CS44" s="235">
        <f t="shared" si="49"/>
        <v>0</v>
      </c>
      <c r="CT44" s="235">
        <f t="shared" si="50"/>
        <v>0</v>
      </c>
      <c r="CU44" s="235">
        <f t="shared" si="51"/>
        <v>0</v>
      </c>
      <c r="CV44" s="235">
        <f t="shared" si="52"/>
        <v>0</v>
      </c>
      <c r="CW44" s="235">
        <f t="shared" si="53"/>
        <v>0</v>
      </c>
      <c r="CX44" s="235">
        <f t="shared" si="54"/>
        <v>0</v>
      </c>
      <c r="CY44" s="235">
        <f t="shared" si="55"/>
        <v>0</v>
      </c>
      <c r="CZ44" s="235">
        <f t="shared" si="56"/>
        <v>0</v>
      </c>
      <c r="DA44" s="38"/>
      <c r="DB44" s="236">
        <v>580.57000000000005</v>
      </c>
      <c r="DC44" s="236">
        <v>581.57000000000005</v>
      </c>
      <c r="DD44" s="236">
        <v>698.64</v>
      </c>
      <c r="DE44" s="236">
        <v>838.66811433741452</v>
      </c>
      <c r="DF44" s="401">
        <v>989.38953997218505</v>
      </c>
      <c r="DG44" s="236">
        <v>1516.6986242028213</v>
      </c>
      <c r="DH44" s="492">
        <v>1606.8700359694894</v>
      </c>
      <c r="DI44" s="236">
        <v>1216.9834408912043</v>
      </c>
      <c r="DJ44" s="236">
        <v>1182.6705927752769</v>
      </c>
      <c r="DK44" s="236">
        <v>1164.5520792939597</v>
      </c>
      <c r="DL44" s="236">
        <v>1175.6188177034901</v>
      </c>
      <c r="DM44" s="236">
        <v>1196.9621773388969</v>
      </c>
      <c r="DN44" s="236">
        <v>1219.9258967111439</v>
      </c>
      <c r="DO44" s="236">
        <v>1220.0844870777164</v>
      </c>
      <c r="DP44" s="236">
        <v>1220.2430980610366</v>
      </c>
      <c r="DQ44" s="405">
        <v>1220.4017296637844</v>
      </c>
      <c r="DR44" s="405">
        <v>1220.5603818886407</v>
      </c>
      <c r="DS44" s="405">
        <v>1220.7190547382861</v>
      </c>
      <c r="DT44" s="405">
        <v>1220.8777482154021</v>
      </c>
      <c r="DU44" s="405">
        <v>1257.5040806618642</v>
      </c>
      <c r="DV44" s="405">
        <v>1295.2292030817202</v>
      </c>
      <c r="DW44" s="405">
        <v>1334.0860791741718</v>
      </c>
      <c r="DX44" s="405">
        <v>1374.1086615493971</v>
      </c>
      <c r="DY44" s="405">
        <v>1415.3319213958791</v>
      </c>
      <c r="DZ44" s="405"/>
      <c r="EA44" s="990"/>
    </row>
    <row r="45" spans="1:131" s="33" customFormat="1">
      <c r="A45" s="76" t="s">
        <v>3862</v>
      </c>
      <c r="B45" s="78" t="s">
        <v>1500</v>
      </c>
      <c r="C45" s="33" t="s">
        <v>3451</v>
      </c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V45" s="74">
        <f>DataInput!AV97</f>
        <v>700</v>
      </c>
      <c r="AW45" s="74">
        <f>DataInput!AW97</f>
        <v>700</v>
      </c>
      <c r="AX45" s="74">
        <f>DataInput!AX97</f>
        <v>700</v>
      </c>
      <c r="AY45" s="74">
        <f>DataInput!AY97</f>
        <v>700</v>
      </c>
      <c r="AZ45" s="74">
        <f>DataInput!AZ97</f>
        <v>700</v>
      </c>
      <c r="BA45" s="74">
        <f>DataInput!BA97</f>
        <v>700</v>
      </c>
      <c r="BB45" s="74">
        <f>DataInput!BB97</f>
        <v>700</v>
      </c>
      <c r="BC45" s="74">
        <f>DataInput!BC97</f>
        <v>700</v>
      </c>
      <c r="BD45" s="74">
        <f>DataInput!BD97</f>
        <v>700</v>
      </c>
      <c r="BE45" s="74">
        <f>DataInput!BE97</f>
        <v>700</v>
      </c>
      <c r="BF45" s="74">
        <f>DataInput!BF97</f>
        <v>717.5</v>
      </c>
      <c r="BG45" s="74">
        <f>DataInput!BG97</f>
        <v>735.4375</v>
      </c>
      <c r="BH45" s="74">
        <f>DataInput!BH97</f>
        <v>753.82343749999973</v>
      </c>
      <c r="BI45" s="74">
        <f>DataInput!BI97</f>
        <v>772.66902343749962</v>
      </c>
      <c r="BJ45" s="74">
        <f>DataInput!BJ97</f>
        <v>791.98574902343705</v>
      </c>
      <c r="BK45" s="74">
        <f>DataInput!BK97</f>
        <v>792.98574902343705</v>
      </c>
      <c r="BL45" s="74">
        <f>DataInput!BL97</f>
        <v>793.98574902343705</v>
      </c>
      <c r="BM45" s="74">
        <f>DataInput!BM97</f>
        <v>794.98574902343705</v>
      </c>
      <c r="BN45" s="74">
        <f>DataInput!BN97</f>
        <v>795.98574902343705</v>
      </c>
      <c r="BO45" s="79">
        <f>BN45*(1+BO308/100)*(1+SIM!W34/100)+finsim!BN33</f>
        <v>819.86532149414018</v>
      </c>
      <c r="BP45" s="79">
        <f>BO45*(1+BP308/100)*(1+SIM!X34/100)+finsim!BO33</f>
        <v>844.46128113896441</v>
      </c>
      <c r="BQ45" s="79">
        <f>BP45*(1+BQ308/100)*(1+SIM!Y34/100)+finsim!BP33</f>
        <v>869.79511957313332</v>
      </c>
      <c r="BR45" s="79">
        <f>BQ45*(1+BR308/100)*(1+SIM!Z34/100)+finsim!BQ33</f>
        <v>895.8889731603274</v>
      </c>
      <c r="BS45" s="79">
        <f>BR45*(1+BS308/100)*(1+SIM!AA34/100)+finsim!BR33</f>
        <v>922.76564235513729</v>
      </c>
      <c r="BT45" s="79">
        <f>BS45*(1+BT308/100)*(1+SIM!AB34/100)+finsim!BS33</f>
        <v>950.44861162579139</v>
      </c>
      <c r="BU45" s="79">
        <f>BT45*(1+BU308/100)*(1+SIM!AC34/100)+finsim!BT33</f>
        <v>978.96206997456511</v>
      </c>
      <c r="BV45" s="79">
        <f>BU45*(1+BV308/100)*(1+SIM!AD34/100)+finsim!BU33</f>
        <v>1008.330932073802</v>
      </c>
      <c r="BW45" s="79">
        <f>BV45*(1+BW308/100)*(1+SIM!AE34/100)+finsim!BV33</f>
        <v>1038.5808600360162</v>
      </c>
      <c r="BX45" s="79">
        <f>BW45*(1+BX308/100)*(1+SIM!AF34/100)+finsim!BW33</f>
        <v>1069.7382858370968</v>
      </c>
      <c r="BY45" s="79">
        <f>BX45*(1+BY308/100)*(1+SIM!AG34/100)+finsim!BX33</f>
        <v>1101.8304344122098</v>
      </c>
      <c r="BZ45" s="79">
        <f>BY45*(1+BZ308/100)*(1+SIM!AH34/100)+finsim!BY33</f>
        <v>1134.8853474445762</v>
      </c>
      <c r="CA45" s="79">
        <f>BZ45*(1+CA308/100)*(1+SIM!AI34/100)+finsim!BZ33</f>
        <v>1168.9319078679134</v>
      </c>
      <c r="CB45" s="79">
        <f>CA45*(1+CB308/100)*(1+SIM!AJ34/100)+finsim!CA33</f>
        <v>1203.9998651039509</v>
      </c>
      <c r="CC45" s="79">
        <f>CB45*(1+CC308/100)*(1+SIM!AK34/100)+finsim!CB33</f>
        <v>1240.1198610570696</v>
      </c>
      <c r="CD45" s="79">
        <f>CC45*(1+CD308/100)*(1+SIM!AL34/100)+finsim!CC33</f>
        <v>1277.3234568887817</v>
      </c>
      <c r="CE45" s="79"/>
      <c r="CF45" s="435"/>
      <c r="CG45" s="235">
        <f t="shared" si="57"/>
        <v>0</v>
      </c>
      <c r="CH45" s="235">
        <f t="shared" si="39"/>
        <v>0</v>
      </c>
      <c r="CI45" s="235" t="e">
        <f>BM45-#REF!</f>
        <v>#REF!</v>
      </c>
      <c r="CJ45" s="235">
        <f t="shared" si="40"/>
        <v>0</v>
      </c>
      <c r="CK45" s="235">
        <f t="shared" si="41"/>
        <v>0</v>
      </c>
      <c r="CL45" s="235">
        <f t="shared" si="42"/>
        <v>0</v>
      </c>
      <c r="CM45" s="235">
        <f t="shared" si="43"/>
        <v>0</v>
      </c>
      <c r="CN45" s="235">
        <f t="shared" si="44"/>
        <v>0</v>
      </c>
      <c r="CO45" s="235">
        <f t="shared" si="45"/>
        <v>0</v>
      </c>
      <c r="CP45" s="235">
        <f t="shared" si="46"/>
        <v>0</v>
      </c>
      <c r="CQ45" s="235">
        <f t="shared" si="47"/>
        <v>0</v>
      </c>
      <c r="CR45" s="235">
        <f t="shared" si="48"/>
        <v>0</v>
      </c>
      <c r="CS45" s="235">
        <f t="shared" si="49"/>
        <v>0</v>
      </c>
      <c r="CT45" s="235">
        <f t="shared" si="50"/>
        <v>0</v>
      </c>
      <c r="CU45" s="235">
        <f t="shared" si="51"/>
        <v>0</v>
      </c>
      <c r="CV45" s="235">
        <f t="shared" si="52"/>
        <v>0</v>
      </c>
      <c r="CW45" s="235">
        <f t="shared" si="53"/>
        <v>0</v>
      </c>
      <c r="CX45" s="235">
        <f t="shared" si="54"/>
        <v>0</v>
      </c>
      <c r="CY45" s="235">
        <f t="shared" si="55"/>
        <v>0</v>
      </c>
      <c r="CZ45" s="235">
        <f t="shared" si="56"/>
        <v>0</v>
      </c>
      <c r="DA45" s="38"/>
      <c r="DB45" s="236">
        <v>716.5</v>
      </c>
      <c r="DC45" s="236">
        <v>717.5</v>
      </c>
      <c r="DD45" s="236">
        <v>735.4375</v>
      </c>
      <c r="DE45" s="236">
        <v>753.82343749999973</v>
      </c>
      <c r="DF45" s="401">
        <v>772.66902343749962</v>
      </c>
      <c r="DG45" s="236">
        <v>792.98574902343705</v>
      </c>
      <c r="DH45" s="492">
        <v>793.98574902343705</v>
      </c>
      <c r="DI45" s="236">
        <v>795.98574902343705</v>
      </c>
      <c r="DJ45" s="236">
        <v>819.86532149414018</v>
      </c>
      <c r="DK45" s="236">
        <v>844.46128113896441</v>
      </c>
      <c r="DL45" s="236">
        <v>869.79511957313332</v>
      </c>
      <c r="DM45" s="236">
        <v>895.8889731603274</v>
      </c>
      <c r="DN45" s="236">
        <v>922.76564235513729</v>
      </c>
      <c r="DO45" s="236">
        <v>950.44861162579139</v>
      </c>
      <c r="DP45" s="236">
        <v>978.96206997456511</v>
      </c>
      <c r="DQ45" s="405">
        <v>1008.330932073802</v>
      </c>
      <c r="DR45" s="405">
        <v>1038.5808600360162</v>
      </c>
      <c r="DS45" s="405">
        <v>1069.7382858370968</v>
      </c>
      <c r="DT45" s="405">
        <v>1101.8304344122098</v>
      </c>
      <c r="DU45" s="405">
        <v>1134.8853474445762</v>
      </c>
      <c r="DV45" s="405">
        <v>1168.9319078679134</v>
      </c>
      <c r="DW45" s="405">
        <v>1203.9998651039509</v>
      </c>
      <c r="DX45" s="405">
        <v>1240.1198610570696</v>
      </c>
      <c r="DY45" s="405">
        <v>1277.3234568887817</v>
      </c>
      <c r="DZ45" s="405"/>
      <c r="EA45" s="990"/>
    </row>
    <row r="46" spans="1:131" s="33" customFormat="1">
      <c r="A46" s="76" t="s">
        <v>3863</v>
      </c>
      <c r="B46" s="78" t="s">
        <v>59</v>
      </c>
      <c r="C46" s="37" t="s">
        <v>356</v>
      </c>
      <c r="D46" s="209" t="s">
        <v>3426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37"/>
      <c r="AV46" s="74">
        <f>DataInput!AV98</f>
        <v>404.1</v>
      </c>
      <c r="AW46" s="74">
        <f>DataInput!AW98</f>
        <v>338.82</v>
      </c>
      <c r="AX46" s="74">
        <f>DataInput!AX98</f>
        <v>286.89999999999998</v>
      </c>
      <c r="AY46" s="74">
        <f>DataInput!AY98</f>
        <v>266.7</v>
      </c>
      <c r="AZ46" s="74">
        <f>DataInput!AZ98</f>
        <v>231.51227920033278</v>
      </c>
      <c r="BA46" s="74">
        <f>DataInput!BA98</f>
        <v>208.33226421710754</v>
      </c>
      <c r="BB46" s="74">
        <f>DataInput!BB98</f>
        <v>197.39180640570413</v>
      </c>
      <c r="BC46" s="74">
        <f>DataInput!BC98</f>
        <v>216.86197185017181</v>
      </c>
      <c r="BD46" s="74">
        <f>DataInput!BD98</f>
        <v>228.84523291848541</v>
      </c>
      <c r="BE46" s="74">
        <f>DataInput!BE98</f>
        <v>248.06979401845192</v>
      </c>
      <c r="BF46" s="74">
        <f>DataInput!BF98</f>
        <v>277.77016243355712</v>
      </c>
      <c r="BG46" s="74">
        <f>DataInput!BG98</f>
        <v>293.61425145597809</v>
      </c>
      <c r="BH46" s="74">
        <f>DataInput!BH98</f>
        <v>618.25731755166908</v>
      </c>
      <c r="BI46" s="74">
        <f>DataInput!BI98</f>
        <v>408.2523627042803</v>
      </c>
      <c r="BJ46" s="274">
        <f>DataInput!BJ98</f>
        <v>423.28102355050601</v>
      </c>
      <c r="BK46" s="274">
        <f>DataInput!BK98</f>
        <v>665.07289583044849</v>
      </c>
      <c r="BL46" s="274">
        <f>DataInput!BL98</f>
        <v>563.59536196885483</v>
      </c>
      <c r="BM46" s="274">
        <f>DataInput!BM98</f>
        <v>526.82652555645393</v>
      </c>
      <c r="BN46" s="274">
        <f>DataInput!BN98</f>
        <v>533.25029748334657</v>
      </c>
      <c r="BO46" s="374">
        <f>BN46*(1+BO308/100)*(1+SIM!W35/100)+finsim!BN34</f>
        <v>526.17939853871735</v>
      </c>
      <c r="BP46" s="374">
        <f>BO46*(1+BP308/100)*(1+SIM!X35/100)+finsim!BO34</f>
        <v>541.96478049487894</v>
      </c>
      <c r="BQ46" s="374">
        <f>BP46*(1+BQ308/100)*(1+SIM!Y35/100)+finsim!BP34</f>
        <v>558.22372390972532</v>
      </c>
      <c r="BR46" s="374">
        <f>BQ46*(1+BR308/100)*(1+SIM!Z35/100)+finsim!BQ34</f>
        <v>574.97043562701708</v>
      </c>
      <c r="BS46" s="374">
        <f>BR46*(1+BS308/100)*(1+SIM!AA35/100)+finsim!BR34</f>
        <v>592.2195486958276</v>
      </c>
      <c r="BT46" s="374">
        <f>BS46*(1+BT308/100)*(1+SIM!AB35/100)+finsim!BS34</f>
        <v>609.9861351567024</v>
      </c>
      <c r="BU46" s="374">
        <f>BT46*(1+BU308/100)*(1+SIM!AC35/100)+finsim!BT34</f>
        <v>628.28571921140349</v>
      </c>
      <c r="BV46" s="374">
        <f>BU46*(1+BV308/100)*(1+SIM!AD35/100)+finsim!BU34</f>
        <v>647.13429078774561</v>
      </c>
      <c r="BW46" s="374">
        <f>BV46*(1+BW308/100)*(1+SIM!AE35/100)+finsim!BV34</f>
        <v>666.54831951137805</v>
      </c>
      <c r="BX46" s="374">
        <f>BW46*(1+BX308/100)*(1+SIM!AF35/100)+finsim!BW34</f>
        <v>686.54476909671939</v>
      </c>
      <c r="BY46" s="374">
        <f>BX46*(1+BY308/100)*(1+SIM!AG35/100)+finsim!BX34</f>
        <v>707.14111216962101</v>
      </c>
      <c r="BZ46" s="374">
        <f>BY46*(1+BZ308/100)*(1+SIM!AH35/100)+finsim!BY34</f>
        <v>728.35534553470961</v>
      </c>
      <c r="CA46" s="374">
        <f>BZ46*(1+CA308/100)*(1+SIM!AI35/100)+finsim!BZ34</f>
        <v>750.20600590075094</v>
      </c>
      <c r="CB46" s="374">
        <f>CA46*(1+CB308/100)*(1+SIM!AJ35/100)+finsim!CA34</f>
        <v>772.71218607777348</v>
      </c>
      <c r="CC46" s="374">
        <f>CB46*(1+CC308/100)*(1+SIM!AK35/100)+finsim!CB34</f>
        <v>795.89355166010671</v>
      </c>
      <c r="CD46" s="374">
        <f>CC46*(1+CD308/100)*(1+SIM!AL35/100)+finsim!CC34</f>
        <v>819.77035820990989</v>
      </c>
      <c r="CE46" s="374"/>
      <c r="CF46" s="440"/>
      <c r="CG46" s="235">
        <f t="shared" si="57"/>
        <v>216.54847607899438</v>
      </c>
      <c r="CH46" s="235">
        <f t="shared" si="39"/>
        <v>0</v>
      </c>
      <c r="CI46" s="235" t="e">
        <f>BM46-#REF!</f>
        <v>#REF!</v>
      </c>
      <c r="CJ46" s="235">
        <f t="shared" si="40"/>
        <v>0</v>
      </c>
      <c r="CK46" s="235">
        <f t="shared" si="41"/>
        <v>0</v>
      </c>
      <c r="CL46" s="235">
        <f t="shared" si="42"/>
        <v>0</v>
      </c>
      <c r="CM46" s="235">
        <f t="shared" si="43"/>
        <v>0</v>
      </c>
      <c r="CN46" s="235">
        <f t="shared" si="44"/>
        <v>0</v>
      </c>
      <c r="CO46" s="235">
        <f t="shared" si="45"/>
        <v>0</v>
      </c>
      <c r="CP46" s="235">
        <f t="shared" si="46"/>
        <v>0</v>
      </c>
      <c r="CQ46" s="235">
        <f t="shared" si="47"/>
        <v>0</v>
      </c>
      <c r="CR46" s="235">
        <f t="shared" si="48"/>
        <v>0</v>
      </c>
      <c r="CS46" s="235">
        <f t="shared" si="49"/>
        <v>0</v>
      </c>
      <c r="CT46" s="235">
        <f t="shared" si="50"/>
        <v>0</v>
      </c>
      <c r="CU46" s="235">
        <f t="shared" si="51"/>
        <v>0</v>
      </c>
      <c r="CV46" s="235">
        <f t="shared" si="52"/>
        <v>0</v>
      </c>
      <c r="CW46" s="235">
        <f t="shared" si="53"/>
        <v>0</v>
      </c>
      <c r="CX46" s="235">
        <f t="shared" si="54"/>
        <v>0</v>
      </c>
      <c r="CY46" s="235">
        <f t="shared" si="55"/>
        <v>0</v>
      </c>
      <c r="CZ46" s="235">
        <f t="shared" si="56"/>
        <v>0</v>
      </c>
      <c r="DA46" s="38"/>
      <c r="DB46" s="236">
        <v>270.33</v>
      </c>
      <c r="DC46" s="236">
        <v>271.33</v>
      </c>
      <c r="DD46" s="236">
        <v>291.52</v>
      </c>
      <c r="DE46" s="236">
        <v>690</v>
      </c>
      <c r="DF46" s="401">
        <v>408.2523627042803</v>
      </c>
      <c r="DG46" s="236">
        <v>448.5244197514541</v>
      </c>
      <c r="DH46" s="492">
        <v>563.59536196885483</v>
      </c>
      <c r="DI46" s="236">
        <v>533.25029748334657</v>
      </c>
      <c r="DJ46" s="236">
        <v>526.17939853871735</v>
      </c>
      <c r="DK46" s="236">
        <v>541.96478049487894</v>
      </c>
      <c r="DL46" s="236">
        <v>558.22372390972532</v>
      </c>
      <c r="DM46" s="236">
        <v>574.97043562701708</v>
      </c>
      <c r="DN46" s="236">
        <v>592.2195486958276</v>
      </c>
      <c r="DO46" s="236">
        <v>609.9861351567024</v>
      </c>
      <c r="DP46" s="236">
        <v>628.28571921140349</v>
      </c>
      <c r="DQ46" s="405">
        <v>647.13429078774561</v>
      </c>
      <c r="DR46" s="405">
        <v>666.54831951137805</v>
      </c>
      <c r="DS46" s="405">
        <v>686.54476909671939</v>
      </c>
      <c r="DT46" s="405">
        <v>707.14111216962101</v>
      </c>
      <c r="DU46" s="405">
        <v>728.35534553470961</v>
      </c>
      <c r="DV46" s="405">
        <v>750.20600590075094</v>
      </c>
      <c r="DW46" s="405">
        <v>772.71218607777348</v>
      </c>
      <c r="DX46" s="405">
        <v>795.89355166010671</v>
      </c>
      <c r="DY46" s="405">
        <v>819.77035820990989</v>
      </c>
      <c r="DZ46" s="405"/>
      <c r="EA46" s="990"/>
    </row>
    <row r="47" spans="1:131" s="33" customFormat="1">
      <c r="A47" s="76" t="s">
        <v>3864</v>
      </c>
      <c r="B47" s="78" t="s">
        <v>3603</v>
      </c>
      <c r="C47" s="81" t="s">
        <v>2805</v>
      </c>
      <c r="D47" s="209" t="s">
        <v>3426</v>
      </c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37"/>
      <c r="AV47" s="74">
        <f>DataInput!AV99</f>
        <v>453.53</v>
      </c>
      <c r="AW47" s="74">
        <f>DataInput!AW99</f>
        <v>465.52</v>
      </c>
      <c r="AX47" s="74">
        <f>DataInput!AX99</f>
        <v>452.3</v>
      </c>
      <c r="AY47" s="74">
        <f>DataInput!AY99</f>
        <v>506.4</v>
      </c>
      <c r="AZ47" s="74">
        <f>DataInput!AZ99</f>
        <v>244.37598279901161</v>
      </c>
      <c r="BA47" s="74">
        <f>DataInput!BA99</f>
        <v>213.88645720878867</v>
      </c>
      <c r="BB47" s="74">
        <f>DataInput!BB99</f>
        <v>213.86028767736536</v>
      </c>
      <c r="BC47" s="74">
        <f>DataInput!BC99</f>
        <v>220</v>
      </c>
      <c r="BD47" s="74">
        <f>DataInput!BD99</f>
        <v>249.24848853311718</v>
      </c>
      <c r="BE47" s="74">
        <f>DataInput!BE99</f>
        <v>266.5</v>
      </c>
      <c r="BF47" s="74">
        <f>DataInput!BF99</f>
        <v>303.5</v>
      </c>
      <c r="BG47" s="74">
        <f>DataInput!BG99</f>
        <v>379.32</v>
      </c>
      <c r="BH47" s="74">
        <f>DataInput!BH99</f>
        <v>480.68</v>
      </c>
      <c r="BI47" s="74">
        <f>DataInput!BI99</f>
        <v>457.41</v>
      </c>
      <c r="BJ47" s="74">
        <f>DataInput!BJ99</f>
        <v>482.62</v>
      </c>
      <c r="BK47" s="74">
        <f>DataInput!BK99</f>
        <v>499.35</v>
      </c>
      <c r="BL47" s="74">
        <f>DataInput!BL99</f>
        <v>506.83</v>
      </c>
      <c r="BM47" s="74">
        <f>DataInput!BM99</f>
        <v>467</v>
      </c>
      <c r="BN47" s="74">
        <f>DataInput!BN99</f>
        <v>494.82</v>
      </c>
      <c r="BO47" s="79">
        <f>BN47*(1+BO308/100)*(1+SIM!W36/100)+finsim!BN35</f>
        <v>495.39399120000002</v>
      </c>
      <c r="BP47" s="79">
        <f>BO47*(1+BP308/100)*(1+SIM!X36/100)+finsim!BO35</f>
        <v>510.25581093600005</v>
      </c>
      <c r="BQ47" s="79">
        <f>BP47*(1+BQ308/100)*(1+SIM!Y36/100)+finsim!BP35</f>
        <v>525.5634852640801</v>
      </c>
      <c r="BR47" s="79">
        <f>BQ47*(1+BR308/100)*(1+SIM!Z36/100)+finsim!BQ35</f>
        <v>541.33038982200253</v>
      </c>
      <c r="BS47" s="79">
        <f>BR47*(1+BS308/100)*(1+SIM!AA36/100)+finsim!BR35</f>
        <v>557.57030151666265</v>
      </c>
      <c r="BT47" s="79">
        <f>BS47*(1+BT308/100)*(1+SIM!AB36/100)+finsim!BS35</f>
        <v>574.29741056216255</v>
      </c>
      <c r="BU47" s="79">
        <f>BT47*(1+BU308/100)*(1+SIM!AC36/100)+finsim!BT35</f>
        <v>591.52633287902745</v>
      </c>
      <c r="BV47" s="79">
        <f>BU47*(1+BV308/100)*(1+SIM!AD36/100)+finsim!BU35</f>
        <v>609.27212286539827</v>
      </c>
      <c r="BW47" s="79">
        <f>BV47*(1+BW308/100)*(1+SIM!AE36/100)+finsim!BV35</f>
        <v>627.55028655136027</v>
      </c>
      <c r="BX47" s="79">
        <f>BW47*(1+BX308/100)*(1+SIM!AF36/100)+finsim!BW35</f>
        <v>646.37679514790113</v>
      </c>
      <c r="BY47" s="79">
        <f>BX47*(1+BY308/100)*(1+SIM!AG36/100)+finsim!BX35</f>
        <v>665.7680990023382</v>
      </c>
      <c r="BZ47" s="79">
        <f>BY47*(1+BZ308/100)*(1+SIM!AH36/100)+finsim!BY35</f>
        <v>685.7411419724084</v>
      </c>
      <c r="CA47" s="79">
        <f>BZ47*(1+CA308/100)*(1+SIM!AI36/100)+finsim!BZ35</f>
        <v>706.31337623158072</v>
      </c>
      <c r="CB47" s="79">
        <f>CA47*(1+CB308/100)*(1+SIM!AJ36/100)+finsim!CA35</f>
        <v>727.50277751852821</v>
      </c>
      <c r="CC47" s="79">
        <f>CB47*(1+CC308/100)*(1+SIM!AK36/100)+finsim!CB35</f>
        <v>749.32786084408406</v>
      </c>
      <c r="CD47" s="79">
        <f>CC47*(1+CD308/100)*(1+SIM!AL36/100)+finsim!CC35</f>
        <v>771.8076966694066</v>
      </c>
      <c r="CE47" s="79"/>
      <c r="CF47" s="440"/>
      <c r="CG47" s="235">
        <f t="shared" si="57"/>
        <v>0</v>
      </c>
      <c r="CH47" s="235">
        <f t="shared" si="39"/>
        <v>0</v>
      </c>
      <c r="CI47" s="235" t="e">
        <f>BM47-#REF!</f>
        <v>#REF!</v>
      </c>
      <c r="CJ47" s="235">
        <f t="shared" si="40"/>
        <v>0</v>
      </c>
      <c r="CK47" s="235">
        <f t="shared" si="41"/>
        <v>0</v>
      </c>
      <c r="CL47" s="235">
        <f t="shared" si="42"/>
        <v>0</v>
      </c>
      <c r="CM47" s="235">
        <f t="shared" si="43"/>
        <v>0</v>
      </c>
      <c r="CN47" s="235">
        <f t="shared" si="44"/>
        <v>0</v>
      </c>
      <c r="CO47" s="235">
        <f t="shared" si="45"/>
        <v>0</v>
      </c>
      <c r="CP47" s="235">
        <f t="shared" si="46"/>
        <v>0</v>
      </c>
      <c r="CQ47" s="235">
        <f t="shared" si="47"/>
        <v>0</v>
      </c>
      <c r="CR47" s="235">
        <f t="shared" si="48"/>
        <v>0</v>
      </c>
      <c r="CS47" s="235">
        <f t="shared" si="49"/>
        <v>0</v>
      </c>
      <c r="CT47" s="235">
        <f t="shared" si="50"/>
        <v>0</v>
      </c>
      <c r="CU47" s="235">
        <f t="shared" si="51"/>
        <v>0</v>
      </c>
      <c r="CV47" s="235">
        <f t="shared" si="52"/>
        <v>0</v>
      </c>
      <c r="CW47" s="235">
        <f t="shared" si="53"/>
        <v>0</v>
      </c>
      <c r="CX47" s="235">
        <f t="shared" si="54"/>
        <v>0</v>
      </c>
      <c r="CY47" s="235">
        <f t="shared" si="55"/>
        <v>0</v>
      </c>
      <c r="CZ47" s="235">
        <f t="shared" si="56"/>
        <v>0</v>
      </c>
      <c r="DA47" s="38"/>
      <c r="DB47" s="236">
        <v>373.52</v>
      </c>
      <c r="DC47" s="236">
        <v>374.52</v>
      </c>
      <c r="DD47" s="236">
        <v>374.53</v>
      </c>
      <c r="DE47" s="236">
        <v>505.94</v>
      </c>
      <c r="DF47" s="401">
        <v>462.67203782621391</v>
      </c>
      <c r="DG47" s="236">
        <v>499.35</v>
      </c>
      <c r="DH47" s="492">
        <v>506.83</v>
      </c>
      <c r="DI47" s="236">
        <v>494.82</v>
      </c>
      <c r="DJ47" s="236">
        <v>495.39399120000002</v>
      </c>
      <c r="DK47" s="236">
        <v>510.25581093600005</v>
      </c>
      <c r="DL47" s="236">
        <v>525.5634852640801</v>
      </c>
      <c r="DM47" s="236">
        <v>541.33038982200253</v>
      </c>
      <c r="DN47" s="236">
        <v>557.57030151666265</v>
      </c>
      <c r="DO47" s="236">
        <v>574.29741056216255</v>
      </c>
      <c r="DP47" s="236">
        <v>591.52633287902745</v>
      </c>
      <c r="DQ47" s="405">
        <v>609.27212286539827</v>
      </c>
      <c r="DR47" s="405">
        <v>627.55028655136027</v>
      </c>
      <c r="DS47" s="405">
        <v>646.37679514790113</v>
      </c>
      <c r="DT47" s="405">
        <v>665.7680990023382</v>
      </c>
      <c r="DU47" s="405">
        <v>685.7411419724084</v>
      </c>
      <c r="DV47" s="405">
        <v>706.31337623158072</v>
      </c>
      <c r="DW47" s="405">
        <v>727.50277751852821</v>
      </c>
      <c r="DX47" s="405">
        <v>749.32786084408406</v>
      </c>
      <c r="DY47" s="405">
        <v>771.8076966694066</v>
      </c>
      <c r="DZ47" s="405"/>
      <c r="EA47" s="990"/>
    </row>
    <row r="48" spans="1:131" s="33" customFormat="1">
      <c r="A48" s="76" t="s">
        <v>3865</v>
      </c>
      <c r="B48" s="78" t="s">
        <v>731</v>
      </c>
      <c r="C48" s="37" t="s">
        <v>2806</v>
      </c>
      <c r="D48" s="209" t="s">
        <v>3426</v>
      </c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37"/>
      <c r="AV48" s="74">
        <f>DataInput!AV100</f>
        <v>17775.6008728735</v>
      </c>
      <c r="AW48" s="74">
        <f>DataInput!AW100</f>
        <v>14347.692666627499</v>
      </c>
      <c r="AX48" s="74">
        <f>DataInput!AX100</f>
        <v>8127.1446164911104</v>
      </c>
      <c r="AY48" s="74">
        <f>DataInput!AY100</f>
        <v>8258.0236503380111</v>
      </c>
      <c r="AZ48" s="74">
        <f>DataInput!AZ100</f>
        <v>5579.5603982716511</v>
      </c>
      <c r="BA48" s="74">
        <f>DataInput!BA100</f>
        <v>5308.2766725426</v>
      </c>
      <c r="BB48" s="74">
        <f>DataInput!BB100</f>
        <v>4174.7563038215949</v>
      </c>
      <c r="BC48" s="74">
        <f>DataInput!BC100</f>
        <v>3969.0665233916384</v>
      </c>
      <c r="BD48" s="74">
        <f>DataInput!BD100</f>
        <v>4426.1298393082334</v>
      </c>
      <c r="BE48" s="27">
        <f>DataInput!BE100</f>
        <v>4626.2103399320458</v>
      </c>
      <c r="BF48" s="27">
        <f>DataInput!BF100</f>
        <v>3945.825545968919</v>
      </c>
      <c r="BG48" s="27">
        <f>DataInput!BG100</f>
        <v>4452.5346907275562</v>
      </c>
      <c r="BH48" s="27">
        <f>DataInput!BH100</f>
        <v>3500.7508012281764</v>
      </c>
      <c r="BI48" s="27">
        <f>DataInput!BI100</f>
        <v>3809.0416022524123</v>
      </c>
      <c r="BJ48" s="27">
        <f>DataInput!BJ100</f>
        <v>2255.2967787157004</v>
      </c>
      <c r="BK48" s="27">
        <f>DataInput!BK100</f>
        <v>4509.5783820357765</v>
      </c>
      <c r="BL48" s="27">
        <f>DataInput!BL100</f>
        <v>4369.8308611803423</v>
      </c>
      <c r="BM48" s="27">
        <f>DataInput!BM100</f>
        <v>4115.0904363339596</v>
      </c>
      <c r="BN48" s="27">
        <f>DataInput!BN100</f>
        <v>4303.4834136346017</v>
      </c>
      <c r="BO48" s="79">
        <f>BN48*(1+BO308/100)*(1+SIM!W37/100)+finsim!BN36</f>
        <v>3856.3514869579667</v>
      </c>
      <c r="BP48" s="79">
        <f>BO48*(1+BP308/100)*(1+SIM!X37/100)+finsim!BO36</f>
        <v>3972.0420315667056</v>
      </c>
      <c r="BQ48" s="79">
        <f>BP48*(1+BQ308/100)*(1+SIM!Y37/100)+finsim!BP36</f>
        <v>4091.2032925137069</v>
      </c>
      <c r="BR48" s="79">
        <f>BQ48*(1+BR308/100)*(1+SIM!Z37/100)+finsim!BQ36</f>
        <v>4213.9393912891182</v>
      </c>
      <c r="BS48" s="79">
        <f>BR48*(1+BS308/100)*(1+SIM!AA37/100)+finsim!BR36</f>
        <v>4340.3575730277917</v>
      </c>
      <c r="BT48" s="79">
        <f>BS48*(1+BT308/100)*(1+SIM!AB37/100)+finsim!BS36</f>
        <v>4470.5683002186252</v>
      </c>
      <c r="BU48" s="79">
        <f>BT48*(1+BU308/100)*(1+SIM!AC37/100)+finsim!BT36</f>
        <v>4604.6853492251839</v>
      </c>
      <c r="BV48" s="79">
        <f>BU48*(1+BV308/100)*(1+SIM!AD37/100)+finsim!BU36</f>
        <v>4742.82590970194</v>
      </c>
      <c r="BW48" s="79">
        <f>BV48*(1+BW308/100)*(1+SIM!AE37/100)+finsim!BV36</f>
        <v>4885.1106869929981</v>
      </c>
      <c r="BX48" s="79">
        <f>BW48*(1+BX308/100)*(1+SIM!AF37/100)+finsim!BW36</f>
        <v>5031.6640076027879</v>
      </c>
      <c r="BY48" s="79">
        <f>BX48*(1+BY308/100)*(1+SIM!AG37/100)+finsim!BX36</f>
        <v>5182.6139278308719</v>
      </c>
      <c r="BZ48" s="79">
        <f>BY48*(1+BZ308/100)*(1+SIM!AH37/100)+finsim!BY36</f>
        <v>5338.0923456657983</v>
      </c>
      <c r="CA48" s="79">
        <f>BZ48*(1+CA308/100)*(1+SIM!AI37/100)+finsim!BZ36</f>
        <v>5498.2351160357721</v>
      </c>
      <c r="CB48" s="79">
        <f>CA48*(1+CB308/100)*(1+SIM!AJ37/100)+finsim!CA36</f>
        <v>5663.1821695168455</v>
      </c>
      <c r="CC48" s="79">
        <f>CB48*(1+CC308/100)*(1+SIM!AK37/100)+finsim!CB36</f>
        <v>5833.0776346023513</v>
      </c>
      <c r="CD48" s="79">
        <f>CC48*(1+CD308/100)*(1+SIM!AL37/100)+finsim!CC36</f>
        <v>6008.0699636404224</v>
      </c>
      <c r="CE48" s="79"/>
      <c r="CF48" s="440"/>
      <c r="CG48" s="235">
        <f t="shared" si="57"/>
        <v>2254.2816033200761</v>
      </c>
      <c r="CH48" s="235">
        <f t="shared" si="39"/>
        <v>0</v>
      </c>
      <c r="CI48" s="235" t="e">
        <f>BM48-#REF!</f>
        <v>#REF!</v>
      </c>
      <c r="CJ48" s="235">
        <f t="shared" si="40"/>
        <v>0</v>
      </c>
      <c r="CK48" s="235">
        <f t="shared" si="41"/>
        <v>0</v>
      </c>
      <c r="CL48" s="235">
        <f t="shared" si="42"/>
        <v>0</v>
      </c>
      <c r="CM48" s="235">
        <f t="shared" si="43"/>
        <v>0</v>
      </c>
      <c r="CN48" s="235">
        <f t="shared" si="44"/>
        <v>0</v>
      </c>
      <c r="CO48" s="235">
        <f t="shared" si="45"/>
        <v>0</v>
      </c>
      <c r="CP48" s="235">
        <f t="shared" si="46"/>
        <v>0</v>
      </c>
      <c r="CQ48" s="235">
        <f t="shared" si="47"/>
        <v>0</v>
      </c>
      <c r="CR48" s="235">
        <f t="shared" si="48"/>
        <v>0</v>
      </c>
      <c r="CS48" s="235">
        <f t="shared" si="49"/>
        <v>0</v>
      </c>
      <c r="CT48" s="235">
        <f t="shared" si="50"/>
        <v>0</v>
      </c>
      <c r="CU48" s="235">
        <f t="shared" si="51"/>
        <v>0</v>
      </c>
      <c r="CV48" s="235">
        <f t="shared" si="52"/>
        <v>0</v>
      </c>
      <c r="CW48" s="235">
        <f t="shared" si="53"/>
        <v>0</v>
      </c>
      <c r="CX48" s="235">
        <f t="shared" si="54"/>
        <v>0</v>
      </c>
      <c r="CY48" s="235">
        <f t="shared" si="55"/>
        <v>0</v>
      </c>
      <c r="CZ48" s="235">
        <f t="shared" si="56"/>
        <v>0</v>
      </c>
      <c r="DA48" s="38"/>
      <c r="DB48" s="236">
        <v>3939.8719606934901</v>
      </c>
      <c r="DC48" s="236">
        <v>3940.8719606934901</v>
      </c>
      <c r="DD48" s="236">
        <v>4463.9946722226096</v>
      </c>
      <c r="DE48" s="236">
        <v>3387.1908578959983</v>
      </c>
      <c r="DF48" s="401">
        <v>3809.0416022524123</v>
      </c>
      <c r="DG48" s="236">
        <v>2255.2967787157004</v>
      </c>
      <c r="DH48" s="492">
        <v>4369.8308611803423</v>
      </c>
      <c r="DI48" s="236">
        <v>4303.4834136346017</v>
      </c>
      <c r="DJ48" s="236">
        <v>3856.3514869579667</v>
      </c>
      <c r="DK48" s="236">
        <v>3972.0420315667056</v>
      </c>
      <c r="DL48" s="236">
        <v>4091.2032925137069</v>
      </c>
      <c r="DM48" s="236">
        <v>4213.9393912891182</v>
      </c>
      <c r="DN48" s="236">
        <v>4340.3575730277917</v>
      </c>
      <c r="DO48" s="236">
        <v>4470.5683002186252</v>
      </c>
      <c r="DP48" s="236">
        <v>4604.6853492251839</v>
      </c>
      <c r="DQ48" s="405">
        <v>4742.82590970194</v>
      </c>
      <c r="DR48" s="405">
        <v>4885.1106869929981</v>
      </c>
      <c r="DS48" s="405">
        <v>5031.6640076027879</v>
      </c>
      <c r="DT48" s="405">
        <v>5182.6139278308719</v>
      </c>
      <c r="DU48" s="405">
        <v>5338.0923456657983</v>
      </c>
      <c r="DV48" s="405">
        <v>5498.2351160357721</v>
      </c>
      <c r="DW48" s="405">
        <v>5663.1821695168455</v>
      </c>
      <c r="DX48" s="405">
        <v>5833.0776346023513</v>
      </c>
      <c r="DY48" s="405">
        <v>6008.0699636404224</v>
      </c>
      <c r="DZ48" s="405"/>
      <c r="EA48" s="990"/>
    </row>
    <row r="49" spans="1:131" s="33" customFormat="1">
      <c r="A49" s="76" t="s">
        <v>3866</v>
      </c>
      <c r="B49" s="78" t="s">
        <v>1065</v>
      </c>
      <c r="C49" s="37" t="s">
        <v>360</v>
      </c>
      <c r="D49" s="209" t="s">
        <v>3426</v>
      </c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37"/>
      <c r="AV49" s="74">
        <f>DataInput!AV101</f>
        <v>851.16731517509697</v>
      </c>
      <c r="AW49" s="74">
        <f>DataInput!AW101</f>
        <v>632.82036530993798</v>
      </c>
      <c r="AX49" s="74">
        <f>DataInput!AX101</f>
        <v>545.70259208731193</v>
      </c>
      <c r="AY49" s="74">
        <f>DataInput!AY101</f>
        <v>594.47983014862007</v>
      </c>
      <c r="AZ49" s="74">
        <f>DataInput!AZ101</f>
        <v>611.27073028804205</v>
      </c>
      <c r="BA49" s="74">
        <f>DataInput!BA101</f>
        <v>665.47715789845586</v>
      </c>
      <c r="BB49" s="74">
        <f>DataInput!BB101</f>
        <v>804.61625184488673</v>
      </c>
      <c r="BC49" s="74">
        <f>DataInput!BC101</f>
        <v>873.03243501073223</v>
      </c>
      <c r="BD49" s="74">
        <f>DataInput!BD101</f>
        <v>804.02059195475374</v>
      </c>
      <c r="BE49" s="27">
        <f>DataInput!BE101</f>
        <v>778.5420162947288</v>
      </c>
      <c r="BF49" s="27">
        <f>DataInput!BF101</f>
        <v>795.57451993195536</v>
      </c>
      <c r="BG49" s="27">
        <f>DataInput!BG101</f>
        <v>717.56797214609583</v>
      </c>
      <c r="BH49" s="27">
        <f>DataInput!BH101</f>
        <v>701.4216213236308</v>
      </c>
      <c r="BI49" s="27">
        <f>DataInput!BI101</f>
        <v>824.37292453323641</v>
      </c>
      <c r="BJ49" s="27">
        <f>DataInput!BJ101</f>
        <v>752.35502673914561</v>
      </c>
      <c r="BK49" s="27">
        <f>DataInput!BK101</f>
        <v>806.45397259987681</v>
      </c>
      <c r="BL49" s="27">
        <f>DataInput!BL101</f>
        <v>862.35972497609487</v>
      </c>
      <c r="BM49" s="27">
        <f>DataInput!BM101</f>
        <v>839.75161259266383</v>
      </c>
      <c r="BN49" s="27">
        <f>DataInput!BN101</f>
        <v>850.73617011114857</v>
      </c>
      <c r="BO49" s="79">
        <f>BN49*(1+BO308/100)*(1+SIM!W38/100)+finsim!BN37</f>
        <v>867.49567266233817</v>
      </c>
      <c r="BP49" s="79">
        <f>BO49*(1+BP308/100)*(1+SIM!X38/100)+finsim!BO37</f>
        <v>893.52054284220833</v>
      </c>
      <c r="BQ49" s="79">
        <f>BP49*(1+BQ308/100)*(1+SIM!Y38/100)+finsim!BP37</f>
        <v>920.32615912747463</v>
      </c>
      <c r="BR49" s="79">
        <f>BQ49*(1+BR308/100)*(1+SIM!Z38/100)+finsim!BQ37</f>
        <v>947.93594390129886</v>
      </c>
      <c r="BS49" s="79">
        <f>BR49*(1+BS308/100)*(1+SIM!AA38/100)+finsim!BR37</f>
        <v>976.37402221833781</v>
      </c>
      <c r="BT49" s="79">
        <f>BS49*(1+BT308/100)*(1+SIM!AB38/100)+finsim!BS37</f>
        <v>1005.665242884888</v>
      </c>
      <c r="BU49" s="79">
        <f>BT49*(1+BU308/100)*(1+SIM!AC38/100)+finsim!BT37</f>
        <v>1035.8352001714347</v>
      </c>
      <c r="BV49" s="79">
        <f>BU49*(1+BV308/100)*(1+SIM!AD38/100)+finsim!BU37</f>
        <v>1066.9102561765778</v>
      </c>
      <c r="BW49" s="79">
        <f>BV49*(1+BW308/100)*(1+SIM!AE38/100)+finsim!BV37</f>
        <v>1098.9175638618751</v>
      </c>
      <c r="BX49" s="79">
        <f>BW49*(1+BX308/100)*(1+SIM!AF38/100)+finsim!BW37</f>
        <v>1131.8850907777314</v>
      </c>
      <c r="BY49" s="79">
        <f>BX49*(1+BY308/100)*(1+SIM!AG38/100)+finsim!BX37</f>
        <v>1165.8416435010633</v>
      </c>
      <c r="BZ49" s="79">
        <f>BY49*(1+BZ308/100)*(1+SIM!AH38/100)+finsim!BY37</f>
        <v>1200.8168928060952</v>
      </c>
      <c r="CA49" s="79">
        <f>BZ49*(1+CA308/100)*(1+SIM!AI38/100)+finsim!BZ37</f>
        <v>1236.8413995902781</v>
      </c>
      <c r="CB49" s="79">
        <f>CA49*(1+CB308/100)*(1+SIM!AJ38/100)+finsim!CA37</f>
        <v>1273.9466415779864</v>
      </c>
      <c r="CC49" s="79">
        <f>CB49*(1+CC308/100)*(1+SIM!AK38/100)+finsim!CB37</f>
        <v>1312.1650408253261</v>
      </c>
      <c r="CD49" s="79">
        <f>CC49*(1+CD308/100)*(1+SIM!AL38/100)+finsim!CC37</f>
        <v>1351.5299920500859</v>
      </c>
      <c r="CE49" s="79"/>
      <c r="CF49" s="440"/>
      <c r="CG49" s="235">
        <f t="shared" si="57"/>
        <v>45.713993154861328</v>
      </c>
      <c r="CH49" s="235">
        <f t="shared" si="39"/>
        <v>0</v>
      </c>
      <c r="CI49" s="235" t="e">
        <f>BM49-#REF!</f>
        <v>#REF!</v>
      </c>
      <c r="CJ49" s="235">
        <f t="shared" si="40"/>
        <v>0</v>
      </c>
      <c r="CK49" s="235">
        <f t="shared" si="41"/>
        <v>0</v>
      </c>
      <c r="CL49" s="235">
        <f t="shared" si="42"/>
        <v>0</v>
      </c>
      <c r="CM49" s="235">
        <f t="shared" si="43"/>
        <v>0</v>
      </c>
      <c r="CN49" s="235">
        <f t="shared" si="44"/>
        <v>0</v>
      </c>
      <c r="CO49" s="235">
        <f t="shared" si="45"/>
        <v>0</v>
      </c>
      <c r="CP49" s="235">
        <f t="shared" si="46"/>
        <v>0</v>
      </c>
      <c r="CQ49" s="235">
        <f t="shared" si="47"/>
        <v>0</v>
      </c>
      <c r="CR49" s="235">
        <f t="shared" si="48"/>
        <v>0</v>
      </c>
      <c r="CS49" s="235">
        <f t="shared" si="49"/>
        <v>0</v>
      </c>
      <c r="CT49" s="235">
        <f t="shared" si="50"/>
        <v>0</v>
      </c>
      <c r="CU49" s="235">
        <f t="shared" si="51"/>
        <v>0</v>
      </c>
      <c r="CV49" s="235">
        <f t="shared" si="52"/>
        <v>0</v>
      </c>
      <c r="CW49" s="235">
        <f t="shared" si="53"/>
        <v>0</v>
      </c>
      <c r="CX49" s="235">
        <f t="shared" si="54"/>
        <v>0</v>
      </c>
      <c r="CY49" s="235">
        <f t="shared" si="55"/>
        <v>0</v>
      </c>
      <c r="CZ49" s="235">
        <f t="shared" si="56"/>
        <v>0</v>
      </c>
      <c r="DA49" s="38"/>
      <c r="DB49" s="236">
        <v>787.66859343465899</v>
      </c>
      <c r="DC49" s="236">
        <v>788.66859343465899</v>
      </c>
      <c r="DD49" s="236">
        <v>717.59793885150589</v>
      </c>
      <c r="DE49" s="236">
        <v>701.49357339559378</v>
      </c>
      <c r="DF49" s="401">
        <v>824.37292453323641</v>
      </c>
      <c r="DG49" s="236">
        <v>760.73997944501548</v>
      </c>
      <c r="DH49" s="492">
        <v>862.35972497609487</v>
      </c>
      <c r="DI49" s="236">
        <v>850.73617011114857</v>
      </c>
      <c r="DJ49" s="236">
        <v>867.49567266233817</v>
      </c>
      <c r="DK49" s="236">
        <v>893.52054284220833</v>
      </c>
      <c r="DL49" s="236">
        <v>920.32615912747463</v>
      </c>
      <c r="DM49" s="236">
        <v>947.93594390129886</v>
      </c>
      <c r="DN49" s="236">
        <v>976.37402221833781</v>
      </c>
      <c r="DO49" s="236">
        <v>1005.665242884888</v>
      </c>
      <c r="DP49" s="236">
        <v>1035.8352001714347</v>
      </c>
      <c r="DQ49" s="405">
        <v>1066.9102561765778</v>
      </c>
      <c r="DR49" s="405">
        <v>1098.9175638618751</v>
      </c>
      <c r="DS49" s="405">
        <v>1131.8850907777314</v>
      </c>
      <c r="DT49" s="405">
        <v>1165.8416435010633</v>
      </c>
      <c r="DU49" s="405">
        <v>1200.8168928060952</v>
      </c>
      <c r="DV49" s="405">
        <v>1236.8413995902781</v>
      </c>
      <c r="DW49" s="405">
        <v>1273.9466415779864</v>
      </c>
      <c r="DX49" s="405">
        <v>1312.1650408253261</v>
      </c>
      <c r="DY49" s="405">
        <v>1351.5299920500859</v>
      </c>
      <c r="DZ49" s="405"/>
      <c r="EA49" s="990"/>
    </row>
    <row r="50" spans="1:131" s="33" customFormat="1">
      <c r="A50" s="76" t="s">
        <v>3867</v>
      </c>
      <c r="B50" s="78" t="s">
        <v>3545</v>
      </c>
      <c r="C50" s="37" t="s">
        <v>355</v>
      </c>
      <c r="D50" s="209" t="s">
        <v>981</v>
      </c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37"/>
      <c r="AV50" s="74">
        <f>DataInput!AV102</f>
        <v>123.4074074074074</v>
      </c>
      <c r="AW50" s="74">
        <f>DataInput!AW102</f>
        <v>86.096774193548384</v>
      </c>
      <c r="AX50" s="74">
        <f>DataInput!AX102</f>
        <v>84.791202799109371</v>
      </c>
      <c r="AY50" s="74">
        <f>DataInput!AY102</f>
        <v>99.174412562785051</v>
      </c>
      <c r="AZ50" s="74">
        <f>DataInput!AZ102</f>
        <v>128.03082699338009</v>
      </c>
      <c r="BA50" s="74">
        <f>DataInput!BA102</f>
        <v>144.00099775505112</v>
      </c>
      <c r="BB50" s="74">
        <f>DataInput!BB102</f>
        <v>124.75022181074721</v>
      </c>
      <c r="BC50" s="27">
        <f>DataInput!BC102</f>
        <v>173.40916077466954</v>
      </c>
      <c r="BD50" s="27">
        <f>DataInput!BD102</f>
        <v>149.99198332531668</v>
      </c>
      <c r="BE50" s="27">
        <f>DataInput!BE102</f>
        <v>159.44589649764768</v>
      </c>
      <c r="BF50" s="27">
        <f>DataInput!BF102</f>
        <v>140.30546623794211</v>
      </c>
      <c r="BG50" s="27">
        <f>DataInput!BG102</f>
        <v>223.22344891929714</v>
      </c>
      <c r="BH50" s="27">
        <f>DataInput!BH102</f>
        <v>125.56131260794471</v>
      </c>
      <c r="BI50" s="27">
        <f>DataInput!BI102</f>
        <v>127.72217774219375</v>
      </c>
      <c r="BJ50" s="27">
        <f>DataInput!BJ102</f>
        <v>131.9448748941094</v>
      </c>
      <c r="BK50" s="27">
        <f>DataInput!BK102</f>
        <v>130.35044895824254</v>
      </c>
      <c r="BL50" s="27">
        <f>DataInput!BL102</f>
        <v>134.4121986309529</v>
      </c>
      <c r="BM50" s="27">
        <f>DataInput!BM102</f>
        <v>133.22517238151696</v>
      </c>
      <c r="BN50" s="27">
        <f>DataInput!BN102</f>
        <v>99.31184969323705</v>
      </c>
      <c r="BO50" s="79">
        <f>BN50*(1+BO308/100)*(1+SIM!W39/100)+finsim!BN38</f>
        <v>104.54161169808292</v>
      </c>
      <c r="BP50" s="79">
        <f>BO50*(1+BP308/100)*(1+SIM!X39/100)+finsim!BO38</f>
        <v>107.67786004902541</v>
      </c>
      <c r="BQ50" s="79">
        <f>BP50*(1+BQ308/100)*(1+SIM!Y39/100)+finsim!BP38</f>
        <v>110.90819585049617</v>
      </c>
      <c r="BR50" s="79">
        <f>BQ50*(1+BR308/100)*(1+SIM!Z39/100)+finsim!BQ38</f>
        <v>114.23544172601106</v>
      </c>
      <c r="BS50" s="79">
        <f>BR50*(1+BS308/100)*(1+SIM!AA39/100)+finsim!BR38</f>
        <v>117.6625049777914</v>
      </c>
      <c r="BT50" s="79">
        <f>BS50*(1+BT308/100)*(1+SIM!AB39/100)+finsim!BS38</f>
        <v>121.19238012712515</v>
      </c>
      <c r="BU50" s="79">
        <f>BT50*(1+BU308/100)*(1+SIM!AC39/100)+finsim!BT38</f>
        <v>124.82815153093891</v>
      </c>
      <c r="BV50" s="79">
        <f>BU50*(1+BV308/100)*(1+SIM!AD39/100)+finsim!BU38</f>
        <v>128.57299607686707</v>
      </c>
      <c r="BW50" s="79">
        <f>BV50*(1+BW308/100)*(1+SIM!AE39/100)+finsim!BV38</f>
        <v>132.43018595917309</v>
      </c>
      <c r="BX50" s="79">
        <f>BW50*(1+BX308/100)*(1+SIM!AF39/100)+finsim!BW38</f>
        <v>136.40309153794828</v>
      </c>
      <c r="BY50" s="79">
        <f>BX50*(1+BY308/100)*(1+SIM!AG39/100)+finsim!BX38</f>
        <v>140.49518428408675</v>
      </c>
      <c r="BZ50" s="79">
        <f>BY50*(1+BZ308/100)*(1+SIM!AH39/100)+finsim!BY38</f>
        <v>144.71003981260935</v>
      </c>
      <c r="CA50" s="79">
        <f>BZ50*(1+CA308/100)*(1+SIM!AI39/100)+finsim!BZ38</f>
        <v>149.05134100698763</v>
      </c>
      <c r="CB50" s="79">
        <f>CA50*(1+CB308/100)*(1+SIM!AJ39/100)+finsim!CA38</f>
        <v>153.52288123719725</v>
      </c>
      <c r="CC50" s="79">
        <f>CB50*(1+CC308/100)*(1+SIM!AK39/100)+finsim!CB38</f>
        <v>158.12856767431319</v>
      </c>
      <c r="CD50" s="79">
        <f>CC50*(1+CD308/100)*(1+SIM!AL39/100)+finsim!CC38</f>
        <v>162.8724247045426</v>
      </c>
      <c r="CE50" s="79"/>
      <c r="CF50" s="440"/>
      <c r="CG50" s="235">
        <f t="shared" si="57"/>
        <v>-12.506693898900323</v>
      </c>
      <c r="CH50" s="235">
        <f t="shared" si="39"/>
        <v>0</v>
      </c>
      <c r="CI50" s="235" t="e">
        <f>BM50-#REF!</f>
        <v>#REF!</v>
      </c>
      <c r="CJ50" s="235">
        <f t="shared" si="40"/>
        <v>0</v>
      </c>
      <c r="CK50" s="235">
        <f t="shared" si="41"/>
        <v>0</v>
      </c>
      <c r="CL50" s="235">
        <f t="shared" si="42"/>
        <v>0</v>
      </c>
      <c r="CM50" s="235">
        <f t="shared" si="43"/>
        <v>0</v>
      </c>
      <c r="CN50" s="235">
        <f t="shared" si="44"/>
        <v>0</v>
      </c>
      <c r="CO50" s="235">
        <f t="shared" si="45"/>
        <v>0</v>
      </c>
      <c r="CP50" s="235">
        <f t="shared" si="46"/>
        <v>0</v>
      </c>
      <c r="CQ50" s="235">
        <f t="shared" si="47"/>
        <v>0</v>
      </c>
      <c r="CR50" s="235">
        <f t="shared" si="48"/>
        <v>0</v>
      </c>
      <c r="CS50" s="235">
        <f t="shared" si="49"/>
        <v>0</v>
      </c>
      <c r="CT50" s="235">
        <f t="shared" si="50"/>
        <v>0</v>
      </c>
      <c r="CU50" s="235">
        <f t="shared" si="51"/>
        <v>0</v>
      </c>
      <c r="CV50" s="235">
        <f t="shared" si="52"/>
        <v>0</v>
      </c>
      <c r="CW50" s="235">
        <f t="shared" si="53"/>
        <v>0</v>
      </c>
      <c r="CX50" s="235">
        <f t="shared" si="54"/>
        <v>0</v>
      </c>
      <c r="CY50" s="235">
        <f t="shared" si="55"/>
        <v>0</v>
      </c>
      <c r="CZ50" s="235">
        <f t="shared" si="56"/>
        <v>0</v>
      </c>
      <c r="DA50" s="38"/>
      <c r="DB50" s="236">
        <v>129.968718086536</v>
      </c>
      <c r="DC50" s="236">
        <v>130.96871808653586</v>
      </c>
      <c r="DD50" s="236">
        <v>141.95190857868423</v>
      </c>
      <c r="DE50" s="236">
        <v>158</v>
      </c>
      <c r="DF50" s="401">
        <v>36.150491029272899</v>
      </c>
      <c r="DG50" s="236">
        <v>142.85714285714286</v>
      </c>
      <c r="DH50" s="492">
        <v>134.4121986309529</v>
      </c>
      <c r="DI50" s="236">
        <v>99.31184969323705</v>
      </c>
      <c r="DJ50" s="236">
        <v>104.54161169808292</v>
      </c>
      <c r="DK50" s="236">
        <v>107.67786004902541</v>
      </c>
      <c r="DL50" s="236">
        <v>110.90819585049617</v>
      </c>
      <c r="DM50" s="236">
        <v>114.23544172601106</v>
      </c>
      <c r="DN50" s="236">
        <v>117.6625049777914</v>
      </c>
      <c r="DO50" s="236">
        <v>121.19238012712515</v>
      </c>
      <c r="DP50" s="236">
        <v>124.82815153093891</v>
      </c>
      <c r="DQ50" s="405">
        <v>128.57299607686707</v>
      </c>
      <c r="DR50" s="405">
        <v>132.43018595917309</v>
      </c>
      <c r="DS50" s="405">
        <v>136.40309153794828</v>
      </c>
      <c r="DT50" s="405">
        <v>140.49518428408675</v>
      </c>
      <c r="DU50" s="405">
        <v>144.71003981260935</v>
      </c>
      <c r="DV50" s="405">
        <v>149.05134100698763</v>
      </c>
      <c r="DW50" s="405">
        <v>153.52288123719725</v>
      </c>
      <c r="DX50" s="405">
        <v>158.12856767431319</v>
      </c>
      <c r="DY50" s="405">
        <v>162.8724247045426</v>
      </c>
      <c r="DZ50" s="405"/>
      <c r="EA50" s="990"/>
    </row>
    <row r="51" spans="1:131" s="33" customFormat="1">
      <c r="A51" s="76" t="s">
        <v>3868</v>
      </c>
      <c r="B51" s="78" t="s">
        <v>2430</v>
      </c>
      <c r="C51" s="37" t="s">
        <v>357</v>
      </c>
      <c r="D51" s="209" t="s">
        <v>981</v>
      </c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37"/>
      <c r="AV51" s="74">
        <f>DataInput!AV103</f>
        <v>256.77777777777777</v>
      </c>
      <c r="AW51" s="74">
        <f>DataInput!AW103</f>
        <v>293.9655172413793</v>
      </c>
      <c r="AX51" s="74">
        <f>DataInput!AX103</f>
        <v>302.40963855421683</v>
      </c>
      <c r="AY51" s="74">
        <f>DataInput!AY103</f>
        <v>239.375</v>
      </c>
      <c r="AZ51" s="74">
        <f>DataInput!AZ103</f>
        <v>247.52475247524751</v>
      </c>
      <c r="BA51" s="74">
        <f>DataInput!BA103</f>
        <v>278.66902237926979</v>
      </c>
      <c r="BB51" s="74">
        <f>DataInput!BB103</f>
        <v>254.46554149085793</v>
      </c>
      <c r="BC51" s="27">
        <f>DataInput!BC103</f>
        <v>246.31929330431444</v>
      </c>
      <c r="BD51" s="27">
        <f>DataInput!BD103</f>
        <v>280.8</v>
      </c>
      <c r="BE51" s="27">
        <f>DataInput!BE103</f>
        <v>300.21276595744678</v>
      </c>
      <c r="BF51" s="27">
        <f>DataInput!BF103</f>
        <v>312.25806451612902</v>
      </c>
      <c r="BG51" s="27">
        <f>DataInput!BG103</f>
        <v>248.33333333333331</v>
      </c>
      <c r="BH51" s="27">
        <f>DataInput!BH103</f>
        <v>276.50724637681157</v>
      </c>
      <c r="BI51" s="27">
        <f>DataInput!BI103</f>
        <v>314.34883720930236</v>
      </c>
      <c r="BJ51" s="27">
        <f>DataInput!BJ103</f>
        <v>354.4444444444444</v>
      </c>
      <c r="BK51" s="27">
        <f>DataInput!BK103</f>
        <v>353.13460356484325</v>
      </c>
      <c r="BL51" s="27">
        <f>DataInput!BL103</f>
        <v>325.3144233342253</v>
      </c>
      <c r="BM51" s="27">
        <f>DataInput!BM103</f>
        <v>338.17810720807825</v>
      </c>
      <c r="BN51" s="27">
        <f>DataInput!BN103</f>
        <v>198.15522354014595</v>
      </c>
      <c r="BO51" s="79">
        <f>BN51*(1+BO308/100)*(1+SIM!W40/100)+finsim!BN39</f>
        <v>201.65068168339411</v>
      </c>
      <c r="BP51" s="79">
        <f>BO51*(1+BP308/100)*(1+SIM!X40/100)+finsim!BO39</f>
        <v>207.70020213389594</v>
      </c>
      <c r="BQ51" s="79">
        <f>BP51*(1+BQ308/100)*(1+SIM!Y40/100)+finsim!BP39</f>
        <v>213.93120819791284</v>
      </c>
      <c r="BR51" s="79">
        <f>BQ51*(1+BR308/100)*(1+SIM!Z40/100)+finsim!BQ39</f>
        <v>220.34914444385024</v>
      </c>
      <c r="BS51" s="79">
        <f>BR51*(1+BS308/100)*(1+SIM!AA40/100)+finsim!BR39</f>
        <v>226.95961877716576</v>
      </c>
      <c r="BT51" s="79">
        <f>BS51*(1+BT308/100)*(1+SIM!AB40/100)+finsim!BS39</f>
        <v>233.76840734048074</v>
      </c>
      <c r="BU51" s="79">
        <f>BT51*(1+BU308/100)*(1+SIM!AC40/100)+finsim!BT39</f>
        <v>240.78145956069517</v>
      </c>
      <c r="BV51" s="79">
        <f>BU51*(1+BV308/100)*(1+SIM!AD40/100)+finsim!BU39</f>
        <v>248.00490334751603</v>
      </c>
      <c r="BW51" s="79">
        <f>BV51*(1+BW308/100)*(1+SIM!AE40/100)+finsim!BV39</f>
        <v>255.44505044794153</v>
      </c>
      <c r="BX51" s="79">
        <f>BW51*(1+BX308/100)*(1+SIM!AF40/100)+finsim!BW39</f>
        <v>263.1084019613798</v>
      </c>
      <c r="BY51" s="79">
        <f>BX51*(1+BY308/100)*(1+SIM!AG40/100)+finsim!BX39</f>
        <v>271.00165402022122</v>
      </c>
      <c r="BZ51" s="79">
        <f>BY51*(1+BZ308/100)*(1+SIM!AH40/100)+finsim!BY39</f>
        <v>279.13170364082788</v>
      </c>
      <c r="CA51" s="79">
        <f>BZ51*(1+CA308/100)*(1+SIM!AI40/100)+finsim!BZ39</f>
        <v>287.50565475005271</v>
      </c>
      <c r="CB51" s="79">
        <f>CA51*(1+CB308/100)*(1+SIM!AJ40/100)+finsim!CA39</f>
        <v>296.1308243925543</v>
      </c>
      <c r="CC51" s="79">
        <f>CB51*(1+CC308/100)*(1+SIM!AK40/100)+finsim!CB39</f>
        <v>305.01474912433093</v>
      </c>
      <c r="CD51" s="79">
        <f>CC51*(1+CD308/100)*(1+SIM!AL40/100)+finsim!CC39</f>
        <v>314.16519159806086</v>
      </c>
      <c r="CE51" s="79"/>
      <c r="CF51" s="440"/>
      <c r="CG51" s="235">
        <f t="shared" si="57"/>
        <v>14.102345500327147</v>
      </c>
      <c r="CH51" s="235">
        <f t="shared" si="39"/>
        <v>0</v>
      </c>
      <c r="CI51" s="235" t="e">
        <f>BM51-#REF!</f>
        <v>#REF!</v>
      </c>
      <c r="CJ51" s="235">
        <f t="shared" si="40"/>
        <v>0</v>
      </c>
      <c r="CK51" s="235">
        <f t="shared" si="41"/>
        <v>0</v>
      </c>
      <c r="CL51" s="235">
        <f t="shared" si="42"/>
        <v>0</v>
      </c>
      <c r="CM51" s="235">
        <f t="shared" si="43"/>
        <v>0</v>
      </c>
      <c r="CN51" s="235">
        <f t="shared" si="44"/>
        <v>0</v>
      </c>
      <c r="CO51" s="235">
        <f t="shared" si="45"/>
        <v>0</v>
      </c>
      <c r="CP51" s="235">
        <f t="shared" si="46"/>
        <v>0</v>
      </c>
      <c r="CQ51" s="235">
        <f t="shared" si="47"/>
        <v>0</v>
      </c>
      <c r="CR51" s="235">
        <f t="shared" si="48"/>
        <v>0</v>
      </c>
      <c r="CS51" s="235">
        <f t="shared" si="49"/>
        <v>0</v>
      </c>
      <c r="CT51" s="235">
        <f t="shared" si="50"/>
        <v>0</v>
      </c>
      <c r="CU51" s="235">
        <f t="shared" si="51"/>
        <v>0</v>
      </c>
      <c r="CV51" s="235">
        <f t="shared" si="52"/>
        <v>0</v>
      </c>
      <c r="CW51" s="235">
        <f t="shared" si="53"/>
        <v>0</v>
      </c>
      <c r="CX51" s="235">
        <f t="shared" si="54"/>
        <v>0</v>
      </c>
      <c r="CY51" s="235">
        <f t="shared" si="55"/>
        <v>0</v>
      </c>
      <c r="CZ51" s="235">
        <f t="shared" si="56"/>
        <v>0</v>
      </c>
      <c r="DA51" s="38"/>
      <c r="DB51" s="236">
        <v>137.942375313958</v>
      </c>
      <c r="DC51" s="236">
        <v>138.94237531395765</v>
      </c>
      <c r="DD51" s="236">
        <v>136.25824786045598</v>
      </c>
      <c r="DE51" s="236">
        <v>114.16792385057471</v>
      </c>
      <c r="DF51" s="401">
        <v>314.34883720930236</v>
      </c>
      <c r="DG51" s="236">
        <v>339.0322580645161</v>
      </c>
      <c r="DH51" s="492">
        <v>325.3144233342253</v>
      </c>
      <c r="DI51" s="236">
        <v>198.15522354014595</v>
      </c>
      <c r="DJ51" s="236">
        <v>201.65068168339411</v>
      </c>
      <c r="DK51" s="236">
        <v>207.70020213389594</v>
      </c>
      <c r="DL51" s="236">
        <v>213.93120819791284</v>
      </c>
      <c r="DM51" s="236">
        <v>220.34914444385024</v>
      </c>
      <c r="DN51" s="236">
        <v>226.95961877716576</v>
      </c>
      <c r="DO51" s="236">
        <v>233.76840734048074</v>
      </c>
      <c r="DP51" s="236">
        <v>240.78145956069517</v>
      </c>
      <c r="DQ51" s="405">
        <v>248.00490334751603</v>
      </c>
      <c r="DR51" s="405">
        <v>255.44505044794153</v>
      </c>
      <c r="DS51" s="405">
        <v>263.1084019613798</v>
      </c>
      <c r="DT51" s="405">
        <v>271.00165402022122</v>
      </c>
      <c r="DU51" s="405">
        <v>279.13170364082788</v>
      </c>
      <c r="DV51" s="405">
        <v>287.50565475005271</v>
      </c>
      <c r="DW51" s="405">
        <v>296.1308243925543</v>
      </c>
      <c r="DX51" s="405">
        <v>305.01474912433093</v>
      </c>
      <c r="DY51" s="405">
        <v>314.16519159806086</v>
      </c>
      <c r="DZ51" s="405"/>
      <c r="EA51" s="990"/>
    </row>
    <row r="52" spans="1:131" s="33" customFormat="1">
      <c r="A52" s="76" t="s">
        <v>3869</v>
      </c>
      <c r="B52" s="78" t="s">
        <v>4475</v>
      </c>
      <c r="C52" s="37" t="s">
        <v>3452</v>
      </c>
      <c r="D52" s="209" t="s">
        <v>1619</v>
      </c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37"/>
      <c r="AV52" s="74">
        <f>DataInput!AV104</f>
        <v>743.6</v>
      </c>
      <c r="AW52" s="74">
        <f>DataInput!AW104</f>
        <v>832</v>
      </c>
      <c r="AX52" s="74">
        <f>DataInput!AX104</f>
        <v>902.2</v>
      </c>
      <c r="AY52" s="74">
        <f>DataInput!AY104</f>
        <v>956.8</v>
      </c>
      <c r="AZ52" s="74">
        <f>DataInput!AZ104</f>
        <v>956.8</v>
      </c>
      <c r="BA52" s="74">
        <f>DataInput!BA104</f>
        <v>956.8</v>
      </c>
      <c r="BB52" s="74">
        <f>DataInput!BB104</f>
        <v>956.8</v>
      </c>
      <c r="BC52" s="74">
        <f>DataInput!BC104</f>
        <v>956.8</v>
      </c>
      <c r="BD52" s="74">
        <f>DataInput!BD104</f>
        <v>956.8</v>
      </c>
      <c r="BE52" s="74">
        <f>DataInput!BE104</f>
        <v>937</v>
      </c>
      <c r="BF52" s="74">
        <f>DataInput!BF104</f>
        <v>937</v>
      </c>
      <c r="BG52" s="74">
        <f>DataInput!BG104</f>
        <v>937</v>
      </c>
      <c r="BH52" s="74">
        <f>DataInput!BH104</f>
        <v>937</v>
      </c>
      <c r="BI52" s="74">
        <f>DataInput!BI104</f>
        <v>937</v>
      </c>
      <c r="BJ52" s="74">
        <f>DataInput!BJ104</f>
        <v>937</v>
      </c>
      <c r="BK52" s="74">
        <f>DataInput!BK104</f>
        <v>937</v>
      </c>
      <c r="BL52" s="74">
        <f>DataInput!BL104</f>
        <v>937</v>
      </c>
      <c r="BM52" s="74">
        <f>DataInput!BM104</f>
        <v>937</v>
      </c>
      <c r="BN52" s="74">
        <f>DataInput!BN104</f>
        <v>937</v>
      </c>
      <c r="BO52" s="79">
        <f>BN52*(1+BO308/100)*(1+SIM!W41/100)+finsim!BN40</f>
        <v>965.11</v>
      </c>
      <c r="BP52" s="79">
        <f>BO52*(1+BP308/100)*(1+SIM!X41/100)+finsim!BO40</f>
        <v>994.06330000000003</v>
      </c>
      <c r="BQ52" s="79">
        <f>BP52*(1+BQ308/100)*(1+SIM!Y41/100)+finsim!BP40</f>
        <v>1023.8851990000001</v>
      </c>
      <c r="BR52" s="79">
        <f>BQ52*(1+BR308/100)*(1+SIM!Z41/100)+finsim!BQ40</f>
        <v>1054.60175497</v>
      </c>
      <c r="BS52" s="79">
        <f>BR52*(1+BS308/100)*(1+SIM!AA41/100)+finsim!BR40</f>
        <v>1086.2398076191</v>
      </c>
      <c r="BT52" s="79">
        <f>BS52*(1+BT308/100)*(1+SIM!AB41/100)+finsim!BS40</f>
        <v>1118.827001847673</v>
      </c>
      <c r="BU52" s="79">
        <f>BT52*(1+BU308/100)*(1+SIM!AC41/100)+finsim!BT40</f>
        <v>1152.3918119031032</v>
      </c>
      <c r="BV52" s="79">
        <f>BU52*(1+BV308/100)*(1+SIM!AD41/100)+finsim!BU40</f>
        <v>1186.9635662601963</v>
      </c>
      <c r="BW52" s="79">
        <f>BV52*(1+BW308/100)*(1+SIM!AE41/100)+finsim!BV40</f>
        <v>1222.5724732480023</v>
      </c>
      <c r="BX52" s="79">
        <f>BW52*(1+BX308/100)*(1+SIM!AF41/100)+finsim!BW40</f>
        <v>1259.2496474454424</v>
      </c>
      <c r="BY52" s="79">
        <f>BX52*(1+BY308/100)*(1+SIM!AG41/100)+finsim!BX40</f>
        <v>1297.0271368688057</v>
      </c>
      <c r="BZ52" s="79">
        <f>BY52*(1+BZ308/100)*(1+SIM!AH41/100)+finsim!BY40</f>
        <v>1335.9379509748699</v>
      </c>
      <c r="CA52" s="79">
        <f>BZ52*(1+CA308/100)*(1+SIM!AI41/100)+finsim!BZ40</f>
        <v>1376.0160895041161</v>
      </c>
      <c r="CB52" s="79">
        <f>CA52*(1+CB308/100)*(1+SIM!AJ41/100)+finsim!CA40</f>
        <v>1417.2965721892397</v>
      </c>
      <c r="CC52" s="79">
        <f>CB52*(1+CC308/100)*(1+SIM!AK41/100)+finsim!CB40</f>
        <v>1459.8154693549168</v>
      </c>
      <c r="CD52" s="79">
        <f>CC52*(1+CD308/100)*(1+SIM!AL41/100)+finsim!CC40</f>
        <v>1503.6099334355642</v>
      </c>
      <c r="CE52" s="79"/>
      <c r="CF52" s="440"/>
      <c r="CG52" s="235">
        <f t="shared" si="57"/>
        <v>0</v>
      </c>
      <c r="CH52" s="235">
        <f t="shared" si="39"/>
        <v>0</v>
      </c>
      <c r="CI52" s="235" t="e">
        <f>BM52-#REF!</f>
        <v>#REF!</v>
      </c>
      <c r="CJ52" s="235">
        <f t="shared" si="40"/>
        <v>0</v>
      </c>
      <c r="CK52" s="235">
        <f t="shared" si="41"/>
        <v>0</v>
      </c>
      <c r="CL52" s="235">
        <f t="shared" si="42"/>
        <v>0</v>
      </c>
      <c r="CM52" s="235">
        <f t="shared" si="43"/>
        <v>0</v>
      </c>
      <c r="CN52" s="235">
        <f t="shared" si="44"/>
        <v>0</v>
      </c>
      <c r="CO52" s="235">
        <f t="shared" si="45"/>
        <v>0</v>
      </c>
      <c r="CP52" s="235">
        <f t="shared" si="46"/>
        <v>0</v>
      </c>
      <c r="CQ52" s="235">
        <f t="shared" si="47"/>
        <v>0</v>
      </c>
      <c r="CR52" s="235">
        <f t="shared" si="48"/>
        <v>0</v>
      </c>
      <c r="CS52" s="235">
        <f t="shared" si="49"/>
        <v>0</v>
      </c>
      <c r="CT52" s="235">
        <f t="shared" si="50"/>
        <v>0</v>
      </c>
      <c r="CU52" s="235">
        <f t="shared" si="51"/>
        <v>0</v>
      </c>
      <c r="CV52" s="235">
        <f t="shared" si="52"/>
        <v>0</v>
      </c>
      <c r="CW52" s="235">
        <f t="shared" si="53"/>
        <v>0</v>
      </c>
      <c r="CX52" s="235">
        <f t="shared" si="54"/>
        <v>0</v>
      </c>
      <c r="CY52" s="235">
        <f t="shared" si="55"/>
        <v>0</v>
      </c>
      <c r="CZ52" s="235">
        <f t="shared" si="56"/>
        <v>0</v>
      </c>
      <c r="DA52" s="38"/>
      <c r="DB52" s="236">
        <v>1005.30790648377</v>
      </c>
      <c r="DC52" s="236">
        <v>1006.307906483769</v>
      </c>
      <c r="DD52" s="236">
        <v>1080.8362071173385</v>
      </c>
      <c r="DE52" s="236">
        <v>1188.9119385136917</v>
      </c>
      <c r="DF52" s="401">
        <v>937</v>
      </c>
      <c r="DG52" s="236">
        <v>937</v>
      </c>
      <c r="DH52" s="492">
        <v>937</v>
      </c>
      <c r="DI52" s="236">
        <v>937</v>
      </c>
      <c r="DJ52" s="236">
        <v>965.11</v>
      </c>
      <c r="DK52" s="236">
        <v>994.06330000000003</v>
      </c>
      <c r="DL52" s="236">
        <v>1023.8851990000001</v>
      </c>
      <c r="DM52" s="236">
        <v>1054.60175497</v>
      </c>
      <c r="DN52" s="236">
        <v>1086.2398076191</v>
      </c>
      <c r="DO52" s="236">
        <v>1118.827001847673</v>
      </c>
      <c r="DP52" s="236">
        <v>1152.3918119031032</v>
      </c>
      <c r="DQ52" s="405">
        <v>1186.9635662601963</v>
      </c>
      <c r="DR52" s="405">
        <v>1222.5724732480023</v>
      </c>
      <c r="DS52" s="405">
        <v>1259.2496474454424</v>
      </c>
      <c r="DT52" s="405">
        <v>1297.0271368688057</v>
      </c>
      <c r="DU52" s="405">
        <v>1335.9379509748699</v>
      </c>
      <c r="DV52" s="405">
        <v>1376.0160895041161</v>
      </c>
      <c r="DW52" s="405">
        <v>1417.2965721892397</v>
      </c>
      <c r="DX52" s="405">
        <v>1459.8154693549168</v>
      </c>
      <c r="DY52" s="405">
        <v>1503.6099334355642</v>
      </c>
      <c r="DZ52" s="405"/>
      <c r="EA52" s="990"/>
    </row>
    <row r="53" spans="1:131" s="33" customFormat="1">
      <c r="A53" s="76" t="s">
        <v>3870</v>
      </c>
      <c r="B53" s="50" t="s">
        <v>639</v>
      </c>
      <c r="C53" s="37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37"/>
      <c r="AV53" s="74">
        <f>DataInput!AV105</f>
        <v>100</v>
      </c>
      <c r="AW53" s="74">
        <f>DataInput!AW105</f>
        <v>100</v>
      </c>
      <c r="AX53" s="74">
        <f>DataInput!AX105</f>
        <v>100</v>
      </c>
      <c r="AY53" s="74">
        <f>DataInput!AY105</f>
        <v>100</v>
      </c>
      <c r="AZ53" s="74">
        <f>DataInput!AZ105</f>
        <v>100</v>
      </c>
      <c r="BA53" s="74">
        <f>DataInput!BA105</f>
        <v>100</v>
      </c>
      <c r="BB53" s="74">
        <f>DataInput!BB105</f>
        <v>100</v>
      </c>
      <c r="BC53" s="74">
        <f>DataInput!BC105</f>
        <v>100</v>
      </c>
      <c r="BD53" s="74">
        <f>DataInput!BD105</f>
        <v>100</v>
      </c>
      <c r="BE53" s="74">
        <f>DataInput!BE105</f>
        <v>100</v>
      </c>
      <c r="BF53" s="74">
        <f>DataInput!BF105</f>
        <v>100</v>
      </c>
      <c r="BG53" s="74">
        <f>DataInput!BG105</f>
        <v>100</v>
      </c>
      <c r="BH53" s="74">
        <f>DataInput!BH105</f>
        <v>100</v>
      </c>
      <c r="BI53" s="74">
        <f>DataInput!BI105</f>
        <v>100</v>
      </c>
      <c r="BJ53" s="74">
        <f>DataInput!BJ105</f>
        <v>100</v>
      </c>
      <c r="BK53" s="74">
        <f>DataInput!BK105</f>
        <v>100</v>
      </c>
      <c r="BL53" s="74">
        <f>DataInput!BL105</f>
        <v>100</v>
      </c>
      <c r="BM53" s="74">
        <f>DataInput!BM105</f>
        <v>100</v>
      </c>
      <c r="BN53" s="74">
        <f>DataInput!BN105</f>
        <v>100</v>
      </c>
      <c r="BO53" s="79">
        <f>BN53*(1+BO308/100)*(1+SIM!W42/100)+finsim!BN41</f>
        <v>103</v>
      </c>
      <c r="BP53" s="79">
        <f>BO53*(1+BP308/100)*(1+SIM!X42/100)+finsim!BO41</f>
        <v>106.09</v>
      </c>
      <c r="BQ53" s="79">
        <f>BP53*(1+BQ308/100)*(1+SIM!Y42/100)+finsim!BP41</f>
        <v>109.2727</v>
      </c>
      <c r="BR53" s="79">
        <f>BQ53*(1+BR308/100)*(1+SIM!Z42/100)+finsim!BQ41</f>
        <v>112.550881</v>
      </c>
      <c r="BS53" s="79">
        <f>BR53*(1+BS308/100)*(1+SIM!AA42/100)+finsim!BR41</f>
        <v>115.92740743</v>
      </c>
      <c r="BT53" s="79">
        <f>BS53*(1+BT308/100)*(1+SIM!AB42/100)+finsim!BS41</f>
        <v>119.4052296529</v>
      </c>
      <c r="BU53" s="79">
        <f>BT53*(1+BU308/100)*(1+SIM!AC42/100)+finsim!BT41</f>
        <v>122.987386542487</v>
      </c>
      <c r="BV53" s="79">
        <f>BU53*(1+BV308/100)*(1+SIM!AD42/100)+finsim!BU41</f>
        <v>126.67700813876162</v>
      </c>
      <c r="BW53" s="79">
        <f>BV53*(1+BW308/100)*(1+SIM!AE42/100)+finsim!BV41</f>
        <v>130.47731838292447</v>
      </c>
      <c r="BX53" s="79">
        <f>BW53*(1+BX308/100)*(1+SIM!AF42/100)+finsim!BW41</f>
        <v>134.39163793441222</v>
      </c>
      <c r="BY53" s="79">
        <f>BX53*(1+BY308/100)*(1+SIM!AG42/100)+finsim!BX41</f>
        <v>138.4233870724446</v>
      </c>
      <c r="BZ53" s="79">
        <f>BY53*(1+BZ308/100)*(1+SIM!AH42/100)+finsim!BY41</f>
        <v>142.57608868461793</v>
      </c>
      <c r="CA53" s="79">
        <f>BZ53*(1+CA308/100)*(1+SIM!AI42/100)+finsim!BZ41</f>
        <v>146.85337134515646</v>
      </c>
      <c r="CB53" s="79">
        <f>CA53*(1+CB308/100)*(1+SIM!AJ42/100)+finsim!CA41</f>
        <v>151.25897248551115</v>
      </c>
      <c r="CC53" s="79">
        <f>CB53*(1+CC308/100)*(1+SIM!AK42/100)+finsim!CB41</f>
        <v>155.79674166007649</v>
      </c>
      <c r="CD53" s="79">
        <f>CC53*(1+CD308/100)*(1+SIM!AL42/100)+finsim!CC41</f>
        <v>160.47064390987879</v>
      </c>
      <c r="CE53" s="79"/>
      <c r="CF53" s="440"/>
      <c r="CG53" s="235">
        <f t="shared" si="57"/>
        <v>0</v>
      </c>
      <c r="CH53" s="235">
        <f t="shared" si="39"/>
        <v>0</v>
      </c>
      <c r="CI53" s="235" t="e">
        <f>BM53-#REF!</f>
        <v>#REF!</v>
      </c>
      <c r="CJ53" s="235">
        <f t="shared" si="40"/>
        <v>0</v>
      </c>
      <c r="CK53" s="235">
        <f t="shared" si="41"/>
        <v>0</v>
      </c>
      <c r="CL53" s="235">
        <f t="shared" si="42"/>
        <v>0</v>
      </c>
      <c r="CM53" s="235">
        <f t="shared" si="43"/>
        <v>0</v>
      </c>
      <c r="CN53" s="235">
        <f t="shared" si="44"/>
        <v>0</v>
      </c>
      <c r="CO53" s="235">
        <f t="shared" si="45"/>
        <v>0</v>
      </c>
      <c r="CP53" s="235">
        <f t="shared" si="46"/>
        <v>0</v>
      </c>
      <c r="CQ53" s="235">
        <f t="shared" si="47"/>
        <v>0</v>
      </c>
      <c r="CR53" s="235">
        <f t="shared" si="48"/>
        <v>0</v>
      </c>
      <c r="CS53" s="235">
        <f t="shared" si="49"/>
        <v>0</v>
      </c>
      <c r="CT53" s="235">
        <f t="shared" si="50"/>
        <v>0</v>
      </c>
      <c r="CU53" s="235">
        <f t="shared" si="51"/>
        <v>0</v>
      </c>
      <c r="CV53" s="235">
        <f t="shared" si="52"/>
        <v>0</v>
      </c>
      <c r="CW53" s="235">
        <f t="shared" si="53"/>
        <v>0</v>
      </c>
      <c r="CX53" s="235">
        <f t="shared" si="54"/>
        <v>0</v>
      </c>
      <c r="CY53" s="235">
        <f t="shared" si="55"/>
        <v>0</v>
      </c>
      <c r="CZ53" s="235">
        <f t="shared" si="56"/>
        <v>0</v>
      </c>
      <c r="DA53" s="38"/>
      <c r="DB53" s="236">
        <v>99</v>
      </c>
      <c r="DC53" s="236">
        <v>100</v>
      </c>
      <c r="DD53" s="236">
        <v>100</v>
      </c>
      <c r="DE53" s="236">
        <v>109.99927007299269</v>
      </c>
      <c r="DF53" s="401">
        <v>100</v>
      </c>
      <c r="DG53" s="236">
        <v>100</v>
      </c>
      <c r="DH53" s="492">
        <v>100</v>
      </c>
      <c r="DI53" s="236">
        <v>100</v>
      </c>
      <c r="DJ53" s="236">
        <v>103</v>
      </c>
      <c r="DK53" s="236">
        <v>106.09</v>
      </c>
      <c r="DL53" s="236">
        <v>109.2727</v>
      </c>
      <c r="DM53" s="236">
        <v>112.550881</v>
      </c>
      <c r="DN53" s="236">
        <v>115.92740743</v>
      </c>
      <c r="DO53" s="236">
        <v>119.4052296529</v>
      </c>
      <c r="DP53" s="236">
        <v>122.987386542487</v>
      </c>
      <c r="DQ53" s="405">
        <v>126.67700813876162</v>
      </c>
      <c r="DR53" s="405">
        <v>130.47731838292447</v>
      </c>
      <c r="DS53" s="405">
        <v>134.39163793441222</v>
      </c>
      <c r="DT53" s="405">
        <v>138.4233870724446</v>
      </c>
      <c r="DU53" s="405">
        <v>142.57608868461793</v>
      </c>
      <c r="DV53" s="405">
        <v>146.85337134515646</v>
      </c>
      <c r="DW53" s="405">
        <v>151.25897248551115</v>
      </c>
      <c r="DX53" s="405">
        <v>155.79674166007649</v>
      </c>
      <c r="DY53" s="405">
        <v>160.47064390987879</v>
      </c>
      <c r="DZ53" s="405"/>
      <c r="EA53" s="990"/>
    </row>
    <row r="54" spans="1:131" s="19" customFormat="1">
      <c r="A54" s="42" t="s">
        <v>3872</v>
      </c>
      <c r="B54" s="42" t="s">
        <v>318</v>
      </c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42"/>
      <c r="AV54" s="44"/>
      <c r="AW54" s="44"/>
      <c r="AX54" s="44"/>
      <c r="AY54" s="44"/>
      <c r="AZ54" s="44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86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35"/>
      <c r="CG54" s="235">
        <f t="shared" si="57"/>
        <v>0</v>
      </c>
      <c r="CH54" s="235">
        <f t="shared" si="39"/>
        <v>0</v>
      </c>
      <c r="CI54" s="235" t="e">
        <f>BM54-#REF!</f>
        <v>#REF!</v>
      </c>
      <c r="CJ54" s="235">
        <f t="shared" si="40"/>
        <v>0</v>
      </c>
      <c r="CK54" s="235">
        <f t="shared" si="41"/>
        <v>0</v>
      </c>
      <c r="CL54" s="235">
        <f t="shared" si="42"/>
        <v>0</v>
      </c>
      <c r="CM54" s="235">
        <f t="shared" si="43"/>
        <v>0</v>
      </c>
      <c r="CN54" s="235">
        <f t="shared" si="44"/>
        <v>0</v>
      </c>
      <c r="CO54" s="235">
        <f t="shared" si="45"/>
        <v>0</v>
      </c>
      <c r="CP54" s="235">
        <f t="shared" si="46"/>
        <v>0</v>
      </c>
      <c r="CQ54" s="235">
        <f t="shared" si="47"/>
        <v>0</v>
      </c>
      <c r="CR54" s="235">
        <f t="shared" si="48"/>
        <v>0</v>
      </c>
      <c r="CS54" s="235">
        <f t="shared" si="49"/>
        <v>0</v>
      </c>
      <c r="CT54" s="235">
        <f t="shared" si="50"/>
        <v>0</v>
      </c>
      <c r="CU54" s="235">
        <f t="shared" si="51"/>
        <v>0</v>
      </c>
      <c r="CV54" s="235">
        <f t="shared" si="52"/>
        <v>0</v>
      </c>
      <c r="CW54" s="235">
        <f t="shared" si="53"/>
        <v>0</v>
      </c>
      <c r="CX54" s="235">
        <f t="shared" si="54"/>
        <v>0</v>
      </c>
      <c r="CY54" s="235">
        <f t="shared" si="55"/>
        <v>0</v>
      </c>
      <c r="CZ54" s="235">
        <f t="shared" si="56"/>
        <v>0</v>
      </c>
      <c r="DA54" s="38"/>
      <c r="DB54" s="236"/>
      <c r="DC54" s="236"/>
      <c r="DD54" s="236"/>
      <c r="DE54" s="236"/>
      <c r="DF54" s="258"/>
      <c r="DG54" s="236"/>
      <c r="DH54" s="492"/>
      <c r="DI54" s="236"/>
      <c r="DJ54" s="236"/>
      <c r="DK54" s="236"/>
      <c r="DL54" s="236"/>
      <c r="DM54" s="236"/>
      <c r="DN54" s="236"/>
      <c r="DO54" s="236"/>
      <c r="DP54" s="236"/>
      <c r="DQ54" s="1084"/>
      <c r="DR54" s="1084"/>
      <c r="DS54" s="1084"/>
      <c r="DT54" s="1084"/>
      <c r="DU54" s="1084"/>
      <c r="DV54" s="1084"/>
      <c r="DW54" s="1084"/>
      <c r="DX54" s="1084"/>
      <c r="DY54" s="1084"/>
      <c r="DZ54" s="1084"/>
      <c r="EA54" s="988"/>
    </row>
    <row r="55" spans="1:131" s="19" customFormat="1">
      <c r="A55" s="153" t="s">
        <v>3873</v>
      </c>
      <c r="B55" s="133" t="s">
        <v>302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63"/>
      <c r="AV55" s="82"/>
      <c r="AW55" s="82"/>
      <c r="AX55" s="83"/>
      <c r="AY55" s="83"/>
      <c r="AZ55" s="83"/>
      <c r="BA55" s="84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406"/>
      <c r="BM55" s="406"/>
      <c r="BN55" s="406"/>
      <c r="BO55" s="406"/>
      <c r="BP55" s="406"/>
      <c r="BQ55" s="406"/>
      <c r="BR55" s="406"/>
      <c r="BS55" s="406"/>
      <c r="BT55" s="406"/>
      <c r="BU55" s="406"/>
      <c r="BV55" s="406"/>
      <c r="BW55" s="406"/>
      <c r="BX55" s="406"/>
      <c r="BY55" s="406"/>
      <c r="BZ55" s="406"/>
      <c r="CA55" s="406"/>
      <c r="CB55" s="406"/>
      <c r="CC55" s="406"/>
      <c r="CD55" s="406"/>
      <c r="CE55" s="406"/>
      <c r="CF55" s="435"/>
      <c r="CG55" s="235">
        <f t="shared" si="57"/>
        <v>0</v>
      </c>
      <c r="CH55" s="235">
        <f t="shared" si="39"/>
        <v>0</v>
      </c>
      <c r="CI55" s="235" t="e">
        <f>BM55-#REF!</f>
        <v>#REF!</v>
      </c>
      <c r="CJ55" s="235">
        <f t="shared" si="40"/>
        <v>0</v>
      </c>
      <c r="CK55" s="235">
        <f t="shared" si="41"/>
        <v>0</v>
      </c>
      <c r="CL55" s="235">
        <f t="shared" si="42"/>
        <v>0</v>
      </c>
      <c r="CM55" s="235">
        <f t="shared" si="43"/>
        <v>0</v>
      </c>
      <c r="CN55" s="235">
        <f t="shared" si="44"/>
        <v>0</v>
      </c>
      <c r="CO55" s="235">
        <f t="shared" si="45"/>
        <v>0</v>
      </c>
      <c r="CP55" s="235">
        <f t="shared" si="46"/>
        <v>0</v>
      </c>
      <c r="CQ55" s="235">
        <f t="shared" si="47"/>
        <v>0</v>
      </c>
      <c r="CR55" s="235">
        <f t="shared" si="48"/>
        <v>0</v>
      </c>
      <c r="CS55" s="235">
        <f t="shared" si="49"/>
        <v>0</v>
      </c>
      <c r="CT55" s="235">
        <f t="shared" si="50"/>
        <v>0</v>
      </c>
      <c r="CU55" s="235">
        <f t="shared" si="51"/>
        <v>0</v>
      </c>
      <c r="CV55" s="235">
        <f t="shared" si="52"/>
        <v>0</v>
      </c>
      <c r="CW55" s="235">
        <f t="shared" si="53"/>
        <v>0</v>
      </c>
      <c r="CX55" s="235">
        <f t="shared" si="54"/>
        <v>0</v>
      </c>
      <c r="CY55" s="235">
        <f t="shared" si="55"/>
        <v>0</v>
      </c>
      <c r="CZ55" s="235">
        <f t="shared" si="56"/>
        <v>0</v>
      </c>
      <c r="DA55" s="38"/>
      <c r="DB55" s="236"/>
      <c r="DC55" s="236"/>
      <c r="DD55" s="236"/>
      <c r="DE55" s="236"/>
      <c r="DF55" s="258"/>
      <c r="DG55" s="236"/>
      <c r="DH55" s="492"/>
      <c r="DI55" s="236"/>
      <c r="DJ55" s="236"/>
      <c r="DK55" s="236"/>
      <c r="DL55" s="236"/>
      <c r="DM55" s="236"/>
      <c r="DN55" s="236"/>
      <c r="DO55" s="236"/>
      <c r="DP55" s="236"/>
      <c r="DQ55" s="1084"/>
      <c r="DR55" s="1084"/>
      <c r="DS55" s="1084"/>
      <c r="DT55" s="1084"/>
      <c r="DU55" s="1084"/>
      <c r="DV55" s="1084"/>
      <c r="DW55" s="1084"/>
      <c r="DX55" s="1084"/>
      <c r="DY55" s="1084"/>
      <c r="DZ55" s="1084"/>
      <c r="EA55" s="988"/>
    </row>
    <row r="56" spans="1:131" s="76" customFormat="1">
      <c r="A56" s="76" t="s">
        <v>3857</v>
      </c>
      <c r="B56" s="73" t="s">
        <v>2450</v>
      </c>
      <c r="C56" s="85" t="s">
        <v>3068</v>
      </c>
      <c r="D56" s="209" t="s">
        <v>3426</v>
      </c>
      <c r="E56" s="209"/>
      <c r="F56" s="295"/>
      <c r="G56" s="295"/>
      <c r="H56" s="295"/>
      <c r="I56" s="295"/>
      <c r="J56" s="295"/>
      <c r="K56" s="295"/>
      <c r="L56" s="295"/>
      <c r="M56" s="295"/>
      <c r="N56" s="295"/>
      <c r="O56" s="295"/>
      <c r="P56" s="295"/>
      <c r="Q56" s="295">
        <f t="shared" ref="Q56:AU56" si="58">1000*Q80/Q13</f>
        <v>0.10508474576271187</v>
      </c>
      <c r="R56" s="295">
        <f t="shared" si="58"/>
        <v>0.10605187319884725</v>
      </c>
      <c r="S56" s="295">
        <f t="shared" si="58"/>
        <v>0.1051169590643275</v>
      </c>
      <c r="T56" s="295">
        <f t="shared" si="58"/>
        <v>0.10897435897435898</v>
      </c>
      <c r="U56" s="295">
        <f t="shared" si="58"/>
        <v>0.10992990654205607</v>
      </c>
      <c r="V56" s="295">
        <f t="shared" si="58"/>
        <v>0.11903695408734602</v>
      </c>
      <c r="W56" s="295">
        <f t="shared" si="58"/>
        <v>0.12036553524804179</v>
      </c>
      <c r="X56" s="295">
        <f t="shared" si="58"/>
        <v>0.11555903049257234</v>
      </c>
      <c r="Y56" s="295">
        <f t="shared" si="58"/>
        <v>0.11877584780810586</v>
      </c>
      <c r="Z56" s="295">
        <f t="shared" si="58"/>
        <v>0.16657381615598887</v>
      </c>
      <c r="AA56" s="295">
        <f t="shared" si="58"/>
        <v>0.20791168353265868</v>
      </c>
      <c r="AB56" s="295">
        <f t="shared" si="58"/>
        <v>0.23333333333333334</v>
      </c>
      <c r="AC56" s="295">
        <f t="shared" si="58"/>
        <v>0.2561850802644004</v>
      </c>
      <c r="AD56" s="295">
        <f t="shared" si="58"/>
        <v>0.2792</v>
      </c>
      <c r="AE56" s="295">
        <f t="shared" si="58"/>
        <v>0.30244725738396622</v>
      </c>
      <c r="AF56" s="295">
        <f t="shared" si="58"/>
        <v>0.37531978931527465</v>
      </c>
      <c r="AG56" s="295">
        <f t="shared" si="58"/>
        <v>0.40549377682403426</v>
      </c>
      <c r="AH56" s="295">
        <f t="shared" si="58"/>
        <v>0.3928015165876777</v>
      </c>
      <c r="AI56" s="295">
        <f t="shared" si="58"/>
        <v>0.3388451443569554</v>
      </c>
      <c r="AJ56" s="295">
        <f t="shared" si="58"/>
        <v>0.32333637192342751</v>
      </c>
      <c r="AK56" s="295">
        <f t="shared" si="58"/>
        <v>0.24498023715415018</v>
      </c>
      <c r="AL56" s="295">
        <f t="shared" si="58"/>
        <v>0.23380491437081161</v>
      </c>
      <c r="AM56" s="295">
        <f t="shared" si="58"/>
        <v>0.25683630131882873</v>
      </c>
      <c r="AN56" s="295">
        <f t="shared" si="58"/>
        <v>0.317239263803681</v>
      </c>
      <c r="AO56" s="295">
        <f t="shared" si="58"/>
        <v>0.50257566001287834</v>
      </c>
      <c r="AP56" s="295">
        <f t="shared" si="58"/>
        <v>0.43094876398287529</v>
      </c>
      <c r="AQ56" s="295">
        <f t="shared" si="58"/>
        <v>0.32467346059997126</v>
      </c>
      <c r="AR56" s="295">
        <f t="shared" si="58"/>
        <v>0.28554439746300214</v>
      </c>
      <c r="AS56" s="295">
        <f t="shared" si="58"/>
        <v>1.1933244513007504</v>
      </c>
      <c r="AT56" s="295">
        <f t="shared" si="58"/>
        <v>30.592129963898916</v>
      </c>
      <c r="AU56" s="295">
        <f t="shared" si="58"/>
        <v>86.275189155107171</v>
      </c>
      <c r="AV56" s="86">
        <f>AV34*$AV$363</f>
        <v>76.769118999999989</v>
      </c>
      <c r="AW56" s="86">
        <f t="shared" ref="AW56:BQ56" si="59">AV56*AW34/AV34*AW$363/AV$363</f>
        <v>76.278220000000005</v>
      </c>
      <c r="AX56" s="86">
        <f t="shared" si="59"/>
        <v>68.703330000000008</v>
      </c>
      <c r="AY56" s="86">
        <f t="shared" si="59"/>
        <v>137.48241079999997</v>
      </c>
      <c r="AZ56" s="86">
        <f t="shared" si="59"/>
        <v>242.51578349999988</v>
      </c>
      <c r="BA56" s="86">
        <f t="shared" si="59"/>
        <v>376.94585499999988</v>
      </c>
      <c r="BB56" s="86">
        <f t="shared" si="59"/>
        <v>357.72125484999992</v>
      </c>
      <c r="BC56" s="86">
        <f t="shared" si="59"/>
        <v>428.19571839999986</v>
      </c>
      <c r="BD56" s="86">
        <f t="shared" si="59"/>
        <v>557.65397999999982</v>
      </c>
      <c r="BE56" s="86">
        <f t="shared" si="59"/>
        <v>629.26499999999976</v>
      </c>
      <c r="BF56" s="86">
        <f t="shared" si="59"/>
        <v>828.23499999999979</v>
      </c>
      <c r="BG56" s="86">
        <f t="shared" si="59"/>
        <v>892.12499999999977</v>
      </c>
      <c r="BH56" s="86">
        <f t="shared" si="59"/>
        <v>900.35999999999967</v>
      </c>
      <c r="BI56" s="86">
        <f t="shared" si="59"/>
        <v>598.49999999999966</v>
      </c>
      <c r="BJ56" s="86">
        <f t="shared" si="59"/>
        <v>870.84993359893701</v>
      </c>
      <c r="BK56" s="86">
        <f t="shared" si="59"/>
        <v>1131.5524999999993</v>
      </c>
      <c r="BL56" s="86">
        <f t="shared" si="59"/>
        <v>1001.2814999999994</v>
      </c>
      <c r="BM56" s="86">
        <f t="shared" si="59"/>
        <v>1009.4554999999993</v>
      </c>
      <c r="BN56" s="86">
        <f t="shared" si="59"/>
        <v>1077.0249999999994</v>
      </c>
      <c r="BO56" s="86">
        <f t="shared" si="59"/>
        <v>1076.9986128874993</v>
      </c>
      <c r="BP56" s="86">
        <f t="shared" si="59"/>
        <v>1350.3033748567759</v>
      </c>
      <c r="BQ56" s="86">
        <f t="shared" si="59"/>
        <v>1390.8124761024792</v>
      </c>
      <c r="BR56" s="86">
        <f t="shared" ref="BR56:BX56" si="60">BQ56*BR34/BQ34*BR$363/BQ$363</f>
        <v>1432.5368503855534</v>
      </c>
      <c r="BS56" s="86">
        <f t="shared" si="60"/>
        <v>1475.51295589712</v>
      </c>
      <c r="BT56" s="86">
        <f t="shared" si="60"/>
        <v>1519.7783445740338</v>
      </c>
      <c r="BU56" s="86">
        <f t="shared" si="60"/>
        <v>1565.3716949112547</v>
      </c>
      <c r="BV56" s="86">
        <f t="shared" si="60"/>
        <v>1612.3328457585924</v>
      </c>
      <c r="BW56" s="86">
        <f t="shared" si="60"/>
        <v>1660.7028311313502</v>
      </c>
      <c r="BX56" s="86">
        <f t="shared" si="60"/>
        <v>1710.5239160652907</v>
      </c>
      <c r="BY56" s="86">
        <f t="shared" ref="BY56" si="61">BX56*BY34/BX34*BY$363/BX$363</f>
        <v>1761.8396335472496</v>
      </c>
      <c r="BZ56" s="86">
        <f t="shared" ref="BZ56" si="62">BY56*BZ34/BY34*BZ$363/BY$363</f>
        <v>1814.6948225536671</v>
      </c>
      <c r="CA56" s="86">
        <f t="shared" ref="CA56" si="63">BZ56*CA34/BZ34*CA$363/BZ$363</f>
        <v>1869.1356672302772</v>
      </c>
      <c r="CB56" s="86">
        <f t="shared" ref="CB56" si="64">CA56*CB34/CA34*CB$363/CA$363</f>
        <v>1925.2097372471856</v>
      </c>
      <c r="CC56" s="86">
        <f t="shared" ref="CC56" si="65">CB56*CC34/CB34*CC$363/CB$363</f>
        <v>1982.9660293646014</v>
      </c>
      <c r="CD56" s="86">
        <f t="shared" ref="CD56" si="66">CC56*CD34/CC34*CD$363/CC$363</f>
        <v>2042.4550102455396</v>
      </c>
      <c r="CE56" s="86"/>
      <c r="CF56" s="438"/>
      <c r="CG56" s="235">
        <f t="shared" si="57"/>
        <v>19.349894849999828</v>
      </c>
      <c r="CH56" s="235">
        <f t="shared" si="39"/>
        <v>0</v>
      </c>
      <c r="CI56" s="235" t="e">
        <f>BM56-#REF!</f>
        <v>#REF!</v>
      </c>
      <c r="CJ56" s="235">
        <f t="shared" si="40"/>
        <v>0</v>
      </c>
      <c r="CK56" s="235">
        <f t="shared" si="41"/>
        <v>0</v>
      </c>
      <c r="CL56" s="235">
        <f t="shared" si="42"/>
        <v>0</v>
      </c>
      <c r="CM56" s="235">
        <f t="shared" si="43"/>
        <v>0</v>
      </c>
      <c r="CN56" s="235">
        <f t="shared" si="44"/>
        <v>0</v>
      </c>
      <c r="CO56" s="235">
        <f t="shared" si="45"/>
        <v>0</v>
      </c>
      <c r="CP56" s="235">
        <f t="shared" si="46"/>
        <v>0</v>
      </c>
      <c r="CQ56" s="235">
        <f t="shared" si="47"/>
        <v>0</v>
      </c>
      <c r="CR56" s="235">
        <f t="shared" si="48"/>
        <v>0</v>
      </c>
      <c r="CS56" s="235">
        <f t="shared" si="49"/>
        <v>0</v>
      </c>
      <c r="CT56" s="235">
        <f t="shared" si="50"/>
        <v>0</v>
      </c>
      <c r="CU56" s="235">
        <f t="shared" si="51"/>
        <v>0</v>
      </c>
      <c r="CV56" s="235">
        <f t="shared" si="52"/>
        <v>0</v>
      </c>
      <c r="CW56" s="235">
        <f t="shared" si="53"/>
        <v>0</v>
      </c>
      <c r="CX56" s="235">
        <f t="shared" si="54"/>
        <v>0</v>
      </c>
      <c r="CY56" s="235">
        <f t="shared" si="55"/>
        <v>0</v>
      </c>
      <c r="CZ56" s="235">
        <f t="shared" si="56"/>
        <v>0</v>
      </c>
      <c r="DA56" s="38"/>
      <c r="DB56" s="236">
        <v>830.49857499999996</v>
      </c>
      <c r="DC56" s="236">
        <v>831.49857499999973</v>
      </c>
      <c r="DD56" s="236">
        <v>890.36819999999977</v>
      </c>
      <c r="DE56" s="236">
        <v>900.36</v>
      </c>
      <c r="DF56" s="401">
        <v>598.5</v>
      </c>
      <c r="DG56" s="236">
        <v>1112.2026051499995</v>
      </c>
      <c r="DH56" s="492">
        <v>1001.2814999999994</v>
      </c>
      <c r="DI56" s="236">
        <v>1077.0249999999994</v>
      </c>
      <c r="DJ56" s="236">
        <v>1076.9986128874993</v>
      </c>
      <c r="DK56" s="236">
        <v>1350.3033748567759</v>
      </c>
      <c r="DL56" s="236">
        <v>1390.8124761024792</v>
      </c>
      <c r="DM56" s="236">
        <v>1432.5368503855534</v>
      </c>
      <c r="DN56" s="236">
        <v>1475.51295589712</v>
      </c>
      <c r="DO56" s="236">
        <v>1519.7783445740338</v>
      </c>
      <c r="DP56" s="236">
        <v>1565.3716949112547</v>
      </c>
      <c r="DQ56" s="401">
        <v>1612.3328457585924</v>
      </c>
      <c r="DR56" s="401">
        <v>1660.7028311313502</v>
      </c>
      <c r="DS56" s="401">
        <v>1710.5239160652907</v>
      </c>
      <c r="DT56" s="401">
        <v>1761.8396335472496</v>
      </c>
      <c r="DU56" s="401">
        <v>1814.6948225536671</v>
      </c>
      <c r="DV56" s="401">
        <v>1869.1356672302772</v>
      </c>
      <c r="DW56" s="401">
        <v>1925.2097372471856</v>
      </c>
      <c r="DX56" s="401">
        <v>1982.9660293646014</v>
      </c>
      <c r="DY56" s="401">
        <v>2042.4550102455396</v>
      </c>
      <c r="DZ56" s="401"/>
      <c r="EA56" s="989"/>
    </row>
    <row r="57" spans="1:131" s="76" customFormat="1">
      <c r="A57" s="73" t="s">
        <v>3172</v>
      </c>
      <c r="B57" s="73" t="s">
        <v>2910</v>
      </c>
      <c r="C57" s="51" t="s">
        <v>3069</v>
      </c>
      <c r="D57" s="209" t="s">
        <v>3426</v>
      </c>
      <c r="E57" s="209"/>
      <c r="F57" s="295"/>
      <c r="G57" s="295"/>
      <c r="H57" s="295"/>
      <c r="I57" s="295"/>
      <c r="J57" s="295"/>
      <c r="K57" s="295"/>
      <c r="L57" s="295"/>
      <c r="M57" s="295"/>
      <c r="N57" s="295"/>
      <c r="O57" s="295"/>
      <c r="P57" s="295"/>
      <c r="Q57" s="295">
        <f t="shared" ref="Q57:AU57" si="67">1000*Q81/Q14</f>
        <v>0.69230769230769229</v>
      </c>
      <c r="R57" s="295">
        <f t="shared" si="67"/>
        <v>0.75294117647058822</v>
      </c>
      <c r="S57" s="295">
        <f t="shared" si="67"/>
        <v>0.78289473684210531</v>
      </c>
      <c r="T57" s="295">
        <f t="shared" si="67"/>
        <v>0.79166666666666663</v>
      </c>
      <c r="U57" s="295">
        <f t="shared" si="67"/>
        <v>0.90583804143126179</v>
      </c>
      <c r="V57" s="295">
        <f t="shared" si="67"/>
        <v>0.92045454545454553</v>
      </c>
      <c r="W57" s="295">
        <f t="shared" si="67"/>
        <v>0.95358649789029548</v>
      </c>
      <c r="X57" s="295">
        <f t="shared" si="67"/>
        <v>1.1173708920187793</v>
      </c>
      <c r="Y57" s="295">
        <f t="shared" si="67"/>
        <v>0.8210332103321033</v>
      </c>
      <c r="Z57" s="295">
        <f t="shared" si="67"/>
        <v>1.2550831792975972</v>
      </c>
      <c r="AA57" s="295">
        <f t="shared" si="67"/>
        <v>1.4848484848484851</v>
      </c>
      <c r="AB57" s="295">
        <f t="shared" si="67"/>
        <v>1.4989200863930887</v>
      </c>
      <c r="AC57" s="295">
        <f t="shared" si="67"/>
        <v>1.8370883882149045</v>
      </c>
      <c r="AD57" s="295">
        <f t="shared" si="67"/>
        <v>1.9727272727272727</v>
      </c>
      <c r="AE57" s="295">
        <f t="shared" si="67"/>
        <v>2.1039370078740158</v>
      </c>
      <c r="AF57" s="295">
        <f t="shared" si="67"/>
        <v>2.5251141552511416</v>
      </c>
      <c r="AG57" s="295">
        <f t="shared" si="67"/>
        <v>2.7673717542748575</v>
      </c>
      <c r="AH57" s="295">
        <f t="shared" si="67"/>
        <v>2.0614825870646767</v>
      </c>
      <c r="AI57" s="295">
        <f t="shared" si="67"/>
        <v>2.157068062827225</v>
      </c>
      <c r="AJ57" s="295">
        <f t="shared" si="67"/>
        <v>2.5645380434782608</v>
      </c>
      <c r="AK57" s="295">
        <f t="shared" si="67"/>
        <v>1.9323843416370106</v>
      </c>
      <c r="AL57" s="295">
        <f t="shared" si="67"/>
        <v>2.0983050847457627</v>
      </c>
      <c r="AM57" s="295">
        <f t="shared" si="67"/>
        <v>1.9687499999999998</v>
      </c>
      <c r="AN57" s="295">
        <f t="shared" si="67"/>
        <v>3.2749999999999999</v>
      </c>
      <c r="AO57" s="295">
        <f t="shared" si="67"/>
        <v>3.5134099616858236</v>
      </c>
      <c r="AP57" s="322">
        <f t="shared" si="67"/>
        <v>2.5218978102189782</v>
      </c>
      <c r="AQ57" s="295">
        <f t="shared" si="67"/>
        <v>2.7416267942583734</v>
      </c>
      <c r="AR57" s="295">
        <f t="shared" si="67"/>
        <v>2.1565217391304348</v>
      </c>
      <c r="AS57" s="295">
        <f t="shared" si="67"/>
        <v>9.0174216027874579</v>
      </c>
      <c r="AT57" s="295">
        <f t="shared" si="67"/>
        <v>211.12799999999999</v>
      </c>
      <c r="AU57" s="295">
        <f t="shared" si="67"/>
        <v>765.30844106463883</v>
      </c>
      <c r="AV57" s="86">
        <f>AV35*$AV$363</f>
        <v>620.69203875000005</v>
      </c>
      <c r="AW57" s="86">
        <f t="shared" ref="AW57:AY59" si="68">AV57*AW35/AV35*AW$363/AV$363</f>
        <v>651.62500000000011</v>
      </c>
      <c r="AX57" s="86">
        <f t="shared" si="68"/>
        <v>553.38000000000011</v>
      </c>
      <c r="AY57" s="86">
        <f t="shared" si="68"/>
        <v>1151.41949</v>
      </c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435"/>
      <c r="CG57" s="235">
        <f t="shared" si="57"/>
        <v>0</v>
      </c>
      <c r="CH57" s="235">
        <f t="shared" si="39"/>
        <v>0</v>
      </c>
      <c r="CI57" s="235" t="e">
        <f>BM57-#REF!</f>
        <v>#REF!</v>
      </c>
      <c r="CJ57" s="235">
        <f t="shared" si="40"/>
        <v>0</v>
      </c>
      <c r="CK57" s="235">
        <f t="shared" si="41"/>
        <v>0</v>
      </c>
      <c r="CL57" s="235">
        <f t="shared" si="42"/>
        <v>0</v>
      </c>
      <c r="CM57" s="235">
        <f t="shared" si="43"/>
        <v>0</v>
      </c>
      <c r="CN57" s="235">
        <f t="shared" si="44"/>
        <v>0</v>
      </c>
      <c r="CO57" s="235">
        <f t="shared" si="45"/>
        <v>0</v>
      </c>
      <c r="CP57" s="235">
        <f t="shared" si="46"/>
        <v>0</v>
      </c>
      <c r="CQ57" s="235">
        <f t="shared" si="47"/>
        <v>0</v>
      </c>
      <c r="CR57" s="235">
        <f t="shared" si="48"/>
        <v>0</v>
      </c>
      <c r="CS57" s="235">
        <f t="shared" si="49"/>
        <v>0</v>
      </c>
      <c r="CT57" s="235">
        <f t="shared" si="50"/>
        <v>0</v>
      </c>
      <c r="CU57" s="235">
        <f t="shared" si="51"/>
        <v>0</v>
      </c>
      <c r="CV57" s="235">
        <f t="shared" si="52"/>
        <v>0</v>
      </c>
      <c r="CW57" s="235">
        <f t="shared" si="53"/>
        <v>0</v>
      </c>
      <c r="CX57" s="235">
        <f t="shared" si="54"/>
        <v>0</v>
      </c>
      <c r="CY57" s="235">
        <f t="shared" si="55"/>
        <v>0</v>
      </c>
      <c r="CZ57" s="235">
        <f t="shared" si="56"/>
        <v>0</v>
      </c>
      <c r="DA57" s="38"/>
      <c r="DB57" s="236"/>
      <c r="DC57" s="236"/>
      <c r="DD57" s="236"/>
      <c r="DE57" s="236"/>
      <c r="DF57" s="401"/>
      <c r="DG57" s="236"/>
      <c r="DH57" s="492"/>
      <c r="DI57" s="236"/>
      <c r="DJ57" s="236"/>
      <c r="DK57" s="236"/>
      <c r="DL57" s="236"/>
      <c r="DM57" s="236"/>
      <c r="DN57" s="236"/>
      <c r="DO57" s="236"/>
      <c r="DP57" s="236"/>
      <c r="DQ57" s="401"/>
      <c r="DR57" s="401"/>
      <c r="DS57" s="401"/>
      <c r="DT57" s="401"/>
      <c r="DU57" s="401"/>
      <c r="DV57" s="401"/>
      <c r="DW57" s="401"/>
      <c r="DX57" s="401"/>
      <c r="DY57" s="401"/>
      <c r="DZ57" s="401"/>
      <c r="EA57" s="989"/>
    </row>
    <row r="58" spans="1:131" s="76" customFormat="1">
      <c r="A58" s="76" t="s">
        <v>3858</v>
      </c>
      <c r="B58" s="73" t="s">
        <v>2087</v>
      </c>
      <c r="C58" s="51" t="s">
        <v>3070</v>
      </c>
      <c r="D58" s="207" t="s">
        <v>4479</v>
      </c>
      <c r="E58" s="207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295"/>
      <c r="T58" s="295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322">
        <f t="shared" ref="AP58:AU58" si="69">1000*AP82/AP15</f>
        <v>2.8686799261136646E-2</v>
      </c>
      <c r="AQ58" s="295">
        <f t="shared" si="69"/>
        <v>2.6906698829581674E-2</v>
      </c>
      <c r="AR58" s="295">
        <f t="shared" si="69"/>
        <v>2.2539739430234327E-2</v>
      </c>
      <c r="AS58" s="295">
        <f t="shared" si="69"/>
        <v>2.1509852178301796E-2</v>
      </c>
      <c r="AT58" s="295">
        <f t="shared" si="69"/>
        <v>1.1242482245985441</v>
      </c>
      <c r="AU58" s="295">
        <f t="shared" si="69"/>
        <v>5.2981960005047108</v>
      </c>
      <c r="AV58" s="86">
        <f>AV36*$AV$363</f>
        <v>7.3088627499999994</v>
      </c>
      <c r="AW58" s="86">
        <f t="shared" si="68"/>
        <v>6.7207600000000012</v>
      </c>
      <c r="AX58" s="86">
        <f t="shared" si="68"/>
        <v>4.59145</v>
      </c>
      <c r="AY58" s="86">
        <f t="shared" si="68"/>
        <v>13.569379799999998</v>
      </c>
      <c r="AZ58" s="86">
        <f t="shared" ref="AZ58:BQ58" si="70">AY58*AZ36/AY36*AZ$363/AY$363</f>
        <v>33.144486899999997</v>
      </c>
      <c r="BA58" s="86">
        <f t="shared" si="70"/>
        <v>37.600910000000006</v>
      </c>
      <c r="BB58" s="86">
        <f t="shared" si="70"/>
        <v>45.817547050000016</v>
      </c>
      <c r="BC58" s="86">
        <f t="shared" si="70"/>
        <v>64.354317599999987</v>
      </c>
      <c r="BD58" s="86">
        <f t="shared" si="70"/>
        <v>62.854659999999996</v>
      </c>
      <c r="BE58" s="86">
        <f t="shared" si="70"/>
        <v>100.40939999999998</v>
      </c>
      <c r="BF58" s="86">
        <f t="shared" si="70"/>
        <v>125.22254999999996</v>
      </c>
      <c r="BG58" s="86">
        <f t="shared" si="70"/>
        <v>129.23459999999997</v>
      </c>
      <c r="BH58" s="86">
        <f t="shared" si="70"/>
        <v>216.55304999999998</v>
      </c>
      <c r="BI58" s="86">
        <f t="shared" si="70"/>
        <v>142.45014687819855</v>
      </c>
      <c r="BJ58" s="86">
        <f t="shared" si="70"/>
        <v>196.03801637666319</v>
      </c>
      <c r="BK58" s="86">
        <f t="shared" si="70"/>
        <v>291.29547082906856</v>
      </c>
      <c r="BL58" s="86">
        <f t="shared" si="70"/>
        <v>302.96343909928351</v>
      </c>
      <c r="BM58" s="86">
        <f t="shared" si="70"/>
        <v>294.57784390992839</v>
      </c>
      <c r="BN58" s="86">
        <f t="shared" si="70"/>
        <v>267.52753684749234</v>
      </c>
      <c r="BO58" s="86">
        <f t="shared" si="70"/>
        <v>152.07682630501537</v>
      </c>
      <c r="BP58" s="86">
        <f t="shared" si="70"/>
        <v>201.99069887410445</v>
      </c>
      <c r="BQ58" s="86">
        <f t="shared" si="70"/>
        <v>201.99069887410445</v>
      </c>
      <c r="BR58" s="86">
        <f t="shared" ref="BR58:BU62" si="71">BQ58*BR36/BQ36*BR$363/BQ$363</f>
        <v>201.99069887410445</v>
      </c>
      <c r="BS58" s="86">
        <f t="shared" si="71"/>
        <v>201.99069887410445</v>
      </c>
      <c r="BT58" s="86">
        <f t="shared" si="71"/>
        <v>201.99069887410445</v>
      </c>
      <c r="BU58" s="86">
        <f t="shared" si="71"/>
        <v>201.99069887410445</v>
      </c>
      <c r="BV58" s="86">
        <f t="shared" ref="BV58:BX58" si="72">BU58*BV36/BU36*BV$363/BU$363</f>
        <v>201.99069887410445</v>
      </c>
      <c r="BW58" s="86">
        <f t="shared" si="72"/>
        <v>201.99069887410445</v>
      </c>
      <c r="BX58" s="86">
        <f t="shared" si="72"/>
        <v>201.99069887410445</v>
      </c>
      <c r="BY58" s="86">
        <f t="shared" ref="BY58:BY62" si="73">BX58*BY36/BX36*BY$363/BX$363</f>
        <v>201.99069887410445</v>
      </c>
      <c r="BZ58" s="86">
        <f t="shared" ref="BZ58:BZ62" si="74">BY58*BZ36/BY36*BZ$363/BY$363</f>
        <v>201.99069887410445</v>
      </c>
      <c r="CA58" s="86">
        <f t="shared" ref="CA58:CA62" si="75">BZ58*CA36/BZ36*CA$363/BZ$363</f>
        <v>201.99069887410445</v>
      </c>
      <c r="CB58" s="86">
        <f t="shared" ref="CB58:CB62" si="76">CA58*CB36/CA36*CB$363/CA$363</f>
        <v>201.99069887410445</v>
      </c>
      <c r="CC58" s="86">
        <f t="shared" ref="CC58:CC62" si="77">CB58*CC36/CB36*CC$363/CB$363</f>
        <v>201.99069887410445</v>
      </c>
      <c r="CD58" s="86">
        <f t="shared" ref="CD58:CD62" si="78">CC58*CD36/CC36*CD$363/CC$363</f>
        <v>201.99069887410445</v>
      </c>
      <c r="CE58" s="86"/>
      <c r="CF58" s="438"/>
      <c r="CG58" s="235">
        <f t="shared" si="57"/>
        <v>0</v>
      </c>
      <c r="CH58" s="235">
        <f t="shared" si="39"/>
        <v>0</v>
      </c>
      <c r="CI58" s="235" t="e">
        <f>BM58-#REF!</f>
        <v>#REF!</v>
      </c>
      <c r="CJ58" s="235">
        <f t="shared" si="40"/>
        <v>0</v>
      </c>
      <c r="CK58" s="235">
        <f t="shared" si="41"/>
        <v>0</v>
      </c>
      <c r="CL58" s="235">
        <f t="shared" si="42"/>
        <v>0</v>
      </c>
      <c r="CM58" s="235">
        <f t="shared" si="43"/>
        <v>0</v>
      </c>
      <c r="CN58" s="235">
        <f t="shared" si="44"/>
        <v>0</v>
      </c>
      <c r="CO58" s="235">
        <f t="shared" si="45"/>
        <v>0</v>
      </c>
      <c r="CP58" s="235">
        <f t="shared" si="46"/>
        <v>0</v>
      </c>
      <c r="CQ58" s="235">
        <f t="shared" si="47"/>
        <v>0</v>
      </c>
      <c r="CR58" s="235">
        <f t="shared" si="48"/>
        <v>0</v>
      </c>
      <c r="CS58" s="235">
        <f t="shared" si="49"/>
        <v>0</v>
      </c>
      <c r="CT58" s="235">
        <f t="shared" si="50"/>
        <v>0</v>
      </c>
      <c r="CU58" s="235">
        <f t="shared" si="51"/>
        <v>0</v>
      </c>
      <c r="CV58" s="235">
        <f t="shared" si="52"/>
        <v>0</v>
      </c>
      <c r="CW58" s="235">
        <f t="shared" si="53"/>
        <v>0</v>
      </c>
      <c r="CX58" s="235">
        <f t="shared" si="54"/>
        <v>0</v>
      </c>
      <c r="CY58" s="235">
        <f t="shared" si="55"/>
        <v>0</v>
      </c>
      <c r="CZ58" s="235">
        <f t="shared" si="56"/>
        <v>0</v>
      </c>
      <c r="DA58" s="38"/>
      <c r="DB58" s="236">
        <v>124.22255</v>
      </c>
      <c r="DC58" s="236">
        <v>125.22254999999996</v>
      </c>
      <c r="DD58" s="236">
        <v>129.23459999999997</v>
      </c>
      <c r="DE58" s="236">
        <v>216.55304999999998</v>
      </c>
      <c r="DF58" s="401">
        <v>141.34830980109243</v>
      </c>
      <c r="DG58" s="236">
        <v>291.29547082906856</v>
      </c>
      <c r="DH58" s="492">
        <v>302.96343909928351</v>
      </c>
      <c r="DI58" s="236">
        <v>267.52753684749234</v>
      </c>
      <c r="DJ58" s="236">
        <v>152.07682630501537</v>
      </c>
      <c r="DK58" s="236">
        <v>201.99069887410445</v>
      </c>
      <c r="DL58" s="236">
        <v>201.99069887410445</v>
      </c>
      <c r="DM58" s="236">
        <v>201.99069887410445</v>
      </c>
      <c r="DN58" s="236">
        <v>201.99069887410445</v>
      </c>
      <c r="DO58" s="236">
        <v>201.99069887410445</v>
      </c>
      <c r="DP58" s="236">
        <v>201.99069887410445</v>
      </c>
      <c r="DQ58" s="401">
        <v>201.99069887410445</v>
      </c>
      <c r="DR58" s="401">
        <v>201.99069887410445</v>
      </c>
      <c r="DS58" s="401">
        <v>201.99069887410445</v>
      </c>
      <c r="DT58" s="401">
        <v>201.99069887410445</v>
      </c>
      <c r="DU58" s="401">
        <v>201.99069887410445</v>
      </c>
      <c r="DV58" s="401">
        <v>201.99069887410445</v>
      </c>
      <c r="DW58" s="401">
        <v>201.99069887410445</v>
      </c>
      <c r="DX58" s="401">
        <v>201.99069887410445</v>
      </c>
      <c r="DY58" s="401">
        <v>201.99069887410445</v>
      </c>
      <c r="DZ58" s="401"/>
      <c r="EA58" s="989"/>
    </row>
    <row r="59" spans="1:131" s="76" customFormat="1">
      <c r="A59" s="76" t="s">
        <v>3859</v>
      </c>
      <c r="B59" s="73" t="s">
        <v>3404</v>
      </c>
      <c r="C59" s="51" t="s">
        <v>489</v>
      </c>
      <c r="D59" s="209" t="s">
        <v>4479</v>
      </c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44">
        <v>0</v>
      </c>
      <c r="AV59" s="86">
        <f>AV37*$AV$363</f>
        <v>4.7108687499999995</v>
      </c>
      <c r="AW59" s="86">
        <f t="shared" si="68"/>
        <v>5.7102400000000006</v>
      </c>
      <c r="AX59" s="86">
        <f t="shared" si="68"/>
        <v>4.4029800000000012</v>
      </c>
      <c r="AY59" s="86">
        <f t="shared" si="68"/>
        <v>6.7846899000000001</v>
      </c>
      <c r="AZ59" s="86">
        <f t="shared" ref="AZ59:BQ59" si="79">AY59*AZ37/AY37*AZ$363/AY$363</f>
        <v>15.822878299999999</v>
      </c>
      <c r="BA59" s="86">
        <f t="shared" si="79"/>
        <v>48.450870565045996</v>
      </c>
      <c r="BB59" s="86">
        <f t="shared" si="79"/>
        <v>57.268003162162181</v>
      </c>
      <c r="BC59" s="86">
        <f t="shared" si="79"/>
        <v>72.008107800000005</v>
      </c>
      <c r="BD59" s="86">
        <f t="shared" si="79"/>
        <v>82.703500000000005</v>
      </c>
      <c r="BE59" s="86">
        <f t="shared" si="79"/>
        <v>150.85980000000001</v>
      </c>
      <c r="BF59" s="86">
        <f t="shared" si="79"/>
        <v>166.14065000000002</v>
      </c>
      <c r="BG59" s="86">
        <f t="shared" si="79"/>
        <v>154.90035000000003</v>
      </c>
      <c r="BH59" s="86">
        <f t="shared" si="79"/>
        <v>216.55305000000004</v>
      </c>
      <c r="BI59" s="86">
        <f t="shared" si="79"/>
        <v>141.95850000000002</v>
      </c>
      <c r="BJ59" s="86">
        <f t="shared" si="79"/>
        <v>224.08163265306123</v>
      </c>
      <c r="BK59" s="86">
        <f t="shared" si="79"/>
        <v>329.12607026867437</v>
      </c>
      <c r="BL59" s="86">
        <f t="shared" si="79"/>
        <v>346.32300000000004</v>
      </c>
      <c r="BM59" s="86">
        <f t="shared" si="79"/>
        <v>318.25000000000006</v>
      </c>
      <c r="BN59" s="86">
        <f t="shared" si="79"/>
        <v>274.70000000000005</v>
      </c>
      <c r="BO59" s="86">
        <f t="shared" si="79"/>
        <v>156.15403437815976</v>
      </c>
      <c r="BP59" s="86">
        <f t="shared" si="79"/>
        <v>207.40610717896868</v>
      </c>
      <c r="BQ59" s="86">
        <f t="shared" si="79"/>
        <v>221.02192113245704</v>
      </c>
      <c r="BR59" s="86">
        <f t="shared" si="71"/>
        <v>232.16529828109205</v>
      </c>
      <c r="BS59" s="86">
        <f t="shared" si="71"/>
        <v>238.29415571284133</v>
      </c>
      <c r="BT59" s="86">
        <f t="shared" si="71"/>
        <v>278.23619817997991</v>
      </c>
      <c r="BU59" s="86">
        <f t="shared" si="71"/>
        <v>278.23619817997991</v>
      </c>
      <c r="BV59" s="86">
        <f t="shared" ref="BV59:BX59" si="80">BU59*BV37/BU37*BV$363/BU$363</f>
        <v>278.23619817997991</v>
      </c>
      <c r="BW59" s="86">
        <f t="shared" si="80"/>
        <v>278.23619817997991</v>
      </c>
      <c r="BX59" s="86">
        <f t="shared" si="80"/>
        <v>278.23619817997991</v>
      </c>
      <c r="BY59" s="86">
        <f t="shared" si="73"/>
        <v>278.23619817997991</v>
      </c>
      <c r="BZ59" s="86">
        <f t="shared" si="74"/>
        <v>278.23619817997991</v>
      </c>
      <c r="CA59" s="86">
        <f t="shared" si="75"/>
        <v>278.23619817997991</v>
      </c>
      <c r="CB59" s="86">
        <f t="shared" si="76"/>
        <v>278.23619817997991</v>
      </c>
      <c r="CC59" s="86">
        <f t="shared" si="77"/>
        <v>278.23619817997991</v>
      </c>
      <c r="CD59" s="86">
        <f t="shared" si="78"/>
        <v>278.23619817997991</v>
      </c>
      <c r="CE59" s="86"/>
      <c r="CF59" s="438"/>
      <c r="CG59" s="235">
        <f t="shared" si="57"/>
        <v>0</v>
      </c>
      <c r="CH59" s="235">
        <f t="shared" si="39"/>
        <v>0</v>
      </c>
      <c r="CI59" s="235" t="e">
        <f>BM59-#REF!</f>
        <v>#REF!</v>
      </c>
      <c r="CJ59" s="235">
        <f t="shared" si="40"/>
        <v>0</v>
      </c>
      <c r="CK59" s="235">
        <f t="shared" si="41"/>
        <v>0</v>
      </c>
      <c r="CL59" s="235">
        <f t="shared" si="42"/>
        <v>0</v>
      </c>
      <c r="CM59" s="235">
        <f t="shared" si="43"/>
        <v>0</v>
      </c>
      <c r="CN59" s="235">
        <f t="shared" si="44"/>
        <v>0</v>
      </c>
      <c r="CO59" s="235">
        <f t="shared" si="45"/>
        <v>0</v>
      </c>
      <c r="CP59" s="235">
        <f t="shared" si="46"/>
        <v>0</v>
      </c>
      <c r="CQ59" s="235">
        <f t="shared" si="47"/>
        <v>0</v>
      </c>
      <c r="CR59" s="235">
        <f t="shared" si="48"/>
        <v>0</v>
      </c>
      <c r="CS59" s="235">
        <f t="shared" si="49"/>
        <v>0</v>
      </c>
      <c r="CT59" s="235">
        <f t="shared" si="50"/>
        <v>0</v>
      </c>
      <c r="CU59" s="235">
        <f t="shared" si="51"/>
        <v>0</v>
      </c>
      <c r="CV59" s="235">
        <f t="shared" si="52"/>
        <v>0</v>
      </c>
      <c r="CW59" s="235">
        <f t="shared" si="53"/>
        <v>0</v>
      </c>
      <c r="CX59" s="235">
        <f t="shared" si="54"/>
        <v>0</v>
      </c>
      <c r="CY59" s="235">
        <f t="shared" si="55"/>
        <v>0</v>
      </c>
      <c r="CZ59" s="235">
        <f t="shared" si="56"/>
        <v>0</v>
      </c>
      <c r="DA59" s="38"/>
      <c r="DB59" s="236">
        <v>165.14064999999999</v>
      </c>
      <c r="DC59" s="236">
        <v>166.14065000000002</v>
      </c>
      <c r="DD59" s="236">
        <v>154.90035000000003</v>
      </c>
      <c r="DE59" s="236">
        <v>216.55305000000004</v>
      </c>
      <c r="DF59" s="401">
        <v>141.95850000000002</v>
      </c>
      <c r="DG59" s="236">
        <v>329.12607026867437</v>
      </c>
      <c r="DH59" s="492">
        <v>346.32300000000004</v>
      </c>
      <c r="DI59" s="236">
        <v>274.70000000000005</v>
      </c>
      <c r="DJ59" s="236">
        <v>156.15403437815976</v>
      </c>
      <c r="DK59" s="236">
        <v>207.40610717896868</v>
      </c>
      <c r="DL59" s="236">
        <v>221.02192113245704</v>
      </c>
      <c r="DM59" s="236">
        <v>232.16529828109205</v>
      </c>
      <c r="DN59" s="236">
        <v>238.29415571284133</v>
      </c>
      <c r="DO59" s="236">
        <v>278.23619817997991</v>
      </c>
      <c r="DP59" s="236">
        <v>278.23619817997991</v>
      </c>
      <c r="DQ59" s="401">
        <v>278.23619817997991</v>
      </c>
      <c r="DR59" s="401">
        <v>278.23619817997991</v>
      </c>
      <c r="DS59" s="401">
        <v>278.23619817997991</v>
      </c>
      <c r="DT59" s="401">
        <v>278.23619817997991</v>
      </c>
      <c r="DU59" s="401">
        <v>278.23619817997991</v>
      </c>
      <c r="DV59" s="401">
        <v>278.23619817997991</v>
      </c>
      <c r="DW59" s="401">
        <v>278.23619817997991</v>
      </c>
      <c r="DX59" s="401">
        <v>278.23619817997991</v>
      </c>
      <c r="DY59" s="401">
        <v>278.23619817997991</v>
      </c>
      <c r="DZ59" s="401"/>
      <c r="EA59" s="989"/>
    </row>
    <row r="60" spans="1:131" s="76" customFormat="1">
      <c r="A60" s="974" t="s">
        <v>372</v>
      </c>
      <c r="B60" s="921" t="str">
        <f t="shared" ref="B60:B65" si="81">B38</f>
        <v>Fuel Oil</v>
      </c>
      <c r="C60" s="51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44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>
        <f>BM38*BM363</f>
        <v>274.7</v>
      </c>
      <c r="BN60" s="86">
        <f>BN38*BN363</f>
        <v>274.7</v>
      </c>
      <c r="BO60" s="86">
        <f t="shared" ref="BO60:BQ62" si="82">BN60*BO38/BN38*BO$363/BN$363</f>
        <v>146.42850000000001</v>
      </c>
      <c r="BP60" s="86">
        <f t="shared" si="82"/>
        <v>146.56650800426894</v>
      </c>
      <c r="BQ60" s="86">
        <f t="shared" si="82"/>
        <v>207.26031872113757</v>
      </c>
      <c r="BR60" s="86">
        <f t="shared" si="71"/>
        <v>226.52987000375364</v>
      </c>
      <c r="BS60" s="86">
        <f t="shared" si="71"/>
        <v>250.77995956737459</v>
      </c>
      <c r="BT60" s="86">
        <f t="shared" si="71"/>
        <v>263.0788293063456</v>
      </c>
      <c r="BU60" s="86">
        <f t="shared" si="71"/>
        <v>263.0788293063456</v>
      </c>
      <c r="BV60" s="86">
        <f t="shared" ref="BV60:BX60" si="83">BU60*BV38/BU38*BV$363/BU$363</f>
        <v>263.0788293063456</v>
      </c>
      <c r="BW60" s="86">
        <f t="shared" si="83"/>
        <v>263.0788293063456</v>
      </c>
      <c r="BX60" s="86">
        <f t="shared" si="83"/>
        <v>263.0788293063456</v>
      </c>
      <c r="BY60" s="86">
        <f t="shared" si="73"/>
        <v>263.0788293063456</v>
      </c>
      <c r="BZ60" s="86">
        <f t="shared" si="74"/>
        <v>263.0788293063456</v>
      </c>
      <c r="CA60" s="86">
        <f t="shared" si="75"/>
        <v>263.0788293063456</v>
      </c>
      <c r="CB60" s="86">
        <f t="shared" si="76"/>
        <v>263.0788293063456</v>
      </c>
      <c r="CC60" s="86">
        <f t="shared" si="77"/>
        <v>263.0788293063456</v>
      </c>
      <c r="CD60" s="86">
        <f t="shared" si="78"/>
        <v>263.0788293063456</v>
      </c>
      <c r="CE60" s="86"/>
      <c r="CF60" s="438"/>
      <c r="CG60" s="235"/>
      <c r="CH60" s="235">
        <f t="shared" si="39"/>
        <v>0</v>
      </c>
      <c r="CI60" s="235" t="e">
        <f>BM60-#REF!</f>
        <v>#REF!</v>
      </c>
      <c r="CJ60" s="235">
        <f t="shared" si="40"/>
        <v>0</v>
      </c>
      <c r="CK60" s="235">
        <f t="shared" si="41"/>
        <v>0</v>
      </c>
      <c r="CL60" s="235">
        <f t="shared" si="42"/>
        <v>0</v>
      </c>
      <c r="CM60" s="235">
        <f t="shared" si="43"/>
        <v>0</v>
      </c>
      <c r="CN60" s="235">
        <f t="shared" si="44"/>
        <v>0</v>
      </c>
      <c r="CO60" s="235">
        <f t="shared" si="45"/>
        <v>0</v>
      </c>
      <c r="CP60" s="235">
        <f t="shared" si="46"/>
        <v>0</v>
      </c>
      <c r="CQ60" s="235">
        <f t="shared" si="47"/>
        <v>0</v>
      </c>
      <c r="CR60" s="235">
        <f t="shared" si="48"/>
        <v>0</v>
      </c>
      <c r="CS60" s="235">
        <f t="shared" si="49"/>
        <v>0</v>
      </c>
      <c r="CT60" s="235">
        <f t="shared" si="50"/>
        <v>0</v>
      </c>
      <c r="CU60" s="235">
        <f t="shared" si="51"/>
        <v>0</v>
      </c>
      <c r="CV60" s="235">
        <f t="shared" si="52"/>
        <v>0</v>
      </c>
      <c r="CW60" s="235">
        <f t="shared" si="53"/>
        <v>0</v>
      </c>
      <c r="CX60" s="235">
        <f t="shared" si="54"/>
        <v>0</v>
      </c>
      <c r="CY60" s="235">
        <f t="shared" si="55"/>
        <v>0</v>
      </c>
      <c r="CZ60" s="235">
        <f t="shared" si="56"/>
        <v>0</v>
      </c>
      <c r="DA60" s="38"/>
      <c r="DB60" s="236"/>
      <c r="DC60" s="236"/>
      <c r="DD60" s="236"/>
      <c r="DE60" s="236"/>
      <c r="DF60" s="401"/>
      <c r="DG60" s="236"/>
      <c r="DH60" s="492"/>
      <c r="DI60" s="236">
        <v>274.7</v>
      </c>
      <c r="DJ60" s="236">
        <v>146.42850000000001</v>
      </c>
      <c r="DK60" s="236">
        <v>146.56650800426894</v>
      </c>
      <c r="DL60" s="236">
        <v>207.26031872113757</v>
      </c>
      <c r="DM60" s="236">
        <v>226.52987000375364</v>
      </c>
      <c r="DN60" s="236">
        <v>250.77995956737459</v>
      </c>
      <c r="DO60" s="236">
        <v>263.0788293063456</v>
      </c>
      <c r="DP60" s="236">
        <v>263.0788293063456</v>
      </c>
      <c r="DQ60" s="401">
        <v>263.0788293063456</v>
      </c>
      <c r="DR60" s="401">
        <v>263.0788293063456</v>
      </c>
      <c r="DS60" s="401">
        <v>263.0788293063456</v>
      </c>
      <c r="DT60" s="401">
        <v>263.0788293063456</v>
      </c>
      <c r="DU60" s="401">
        <v>263.0788293063456</v>
      </c>
      <c r="DV60" s="401">
        <v>263.0788293063456</v>
      </c>
      <c r="DW60" s="401">
        <v>263.0788293063456</v>
      </c>
      <c r="DX60" s="401">
        <v>263.0788293063456</v>
      </c>
      <c r="DY60" s="401">
        <v>263.0788293063456</v>
      </c>
      <c r="DZ60" s="401"/>
      <c r="EA60" s="989"/>
    </row>
    <row r="61" spans="1:131" s="76" customFormat="1">
      <c r="A61" s="974" t="s">
        <v>373</v>
      </c>
      <c r="B61" s="921" t="str">
        <f t="shared" si="81"/>
        <v>SO-Diesel (Gasoil)</v>
      </c>
      <c r="C61" s="51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44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>
        <f>BM39*BM363</f>
        <v>374.21350828729283</v>
      </c>
      <c r="BN61" s="86">
        <f>BN39*BN363</f>
        <v>374.21350828729283</v>
      </c>
      <c r="BO61" s="86">
        <f t="shared" si="82"/>
        <v>256.476</v>
      </c>
      <c r="BP61" s="86">
        <f t="shared" si="82"/>
        <v>383.53723159018148</v>
      </c>
      <c r="BQ61" s="86">
        <f t="shared" si="82"/>
        <v>401.5337167399062</v>
      </c>
      <c r="BR61" s="86">
        <f t="shared" si="71"/>
        <v>421.06405096974231</v>
      </c>
      <c r="BS61" s="86">
        <f t="shared" si="71"/>
        <v>440.57958613858511</v>
      </c>
      <c r="BT61" s="86">
        <f t="shared" si="71"/>
        <v>460.79401304212996</v>
      </c>
      <c r="BU61" s="86">
        <f t="shared" si="71"/>
        <v>460.79401304212996</v>
      </c>
      <c r="BV61" s="86">
        <f t="shared" ref="BV61:BX61" si="84">BU61*BV39/BU39*BV$363/BU$363</f>
        <v>460.79401304212996</v>
      </c>
      <c r="BW61" s="86">
        <f t="shared" si="84"/>
        <v>460.79401304212996</v>
      </c>
      <c r="BX61" s="86">
        <f t="shared" si="84"/>
        <v>460.79401304212996</v>
      </c>
      <c r="BY61" s="86">
        <f t="shared" si="73"/>
        <v>460.79401304212996</v>
      </c>
      <c r="BZ61" s="86">
        <f t="shared" si="74"/>
        <v>460.79401304212996</v>
      </c>
      <c r="CA61" s="86">
        <f t="shared" si="75"/>
        <v>460.79401304212996</v>
      </c>
      <c r="CB61" s="86">
        <f t="shared" si="76"/>
        <v>460.79401304212996</v>
      </c>
      <c r="CC61" s="86">
        <f t="shared" si="77"/>
        <v>460.79401304212996</v>
      </c>
      <c r="CD61" s="86">
        <f t="shared" si="78"/>
        <v>460.79401304212996</v>
      </c>
      <c r="CE61" s="86"/>
      <c r="CF61" s="438"/>
      <c r="CG61" s="235"/>
      <c r="CH61" s="235">
        <f t="shared" si="39"/>
        <v>0</v>
      </c>
      <c r="CI61" s="235" t="e">
        <f>BM61-#REF!</f>
        <v>#REF!</v>
      </c>
      <c r="CJ61" s="235">
        <f t="shared" si="40"/>
        <v>0</v>
      </c>
      <c r="CK61" s="235">
        <f t="shared" si="41"/>
        <v>0</v>
      </c>
      <c r="CL61" s="235">
        <f t="shared" si="42"/>
        <v>0</v>
      </c>
      <c r="CM61" s="235">
        <f t="shared" si="43"/>
        <v>0</v>
      </c>
      <c r="CN61" s="235">
        <f t="shared" si="44"/>
        <v>0</v>
      </c>
      <c r="CO61" s="235">
        <f t="shared" si="45"/>
        <v>0</v>
      </c>
      <c r="CP61" s="235">
        <f t="shared" si="46"/>
        <v>0</v>
      </c>
      <c r="CQ61" s="235">
        <f t="shared" si="47"/>
        <v>0</v>
      </c>
      <c r="CR61" s="235">
        <f t="shared" si="48"/>
        <v>0</v>
      </c>
      <c r="CS61" s="235">
        <f t="shared" si="49"/>
        <v>0</v>
      </c>
      <c r="CT61" s="235">
        <f t="shared" si="50"/>
        <v>0</v>
      </c>
      <c r="CU61" s="235">
        <f t="shared" si="51"/>
        <v>0</v>
      </c>
      <c r="CV61" s="235">
        <f t="shared" si="52"/>
        <v>0</v>
      </c>
      <c r="CW61" s="235">
        <f t="shared" si="53"/>
        <v>0</v>
      </c>
      <c r="CX61" s="235">
        <f t="shared" si="54"/>
        <v>0</v>
      </c>
      <c r="CY61" s="235">
        <f t="shared" si="55"/>
        <v>0</v>
      </c>
      <c r="CZ61" s="235">
        <f t="shared" si="56"/>
        <v>0</v>
      </c>
      <c r="DA61" s="38"/>
      <c r="DB61" s="236"/>
      <c r="DC61" s="236"/>
      <c r="DD61" s="236"/>
      <c r="DE61" s="236"/>
      <c r="DF61" s="401"/>
      <c r="DG61" s="236"/>
      <c r="DH61" s="492"/>
      <c r="DI61" s="236">
        <v>374.21350828729283</v>
      </c>
      <c r="DJ61" s="236">
        <v>256.476</v>
      </c>
      <c r="DK61" s="236">
        <v>383.53723159018148</v>
      </c>
      <c r="DL61" s="236">
        <v>401.5337167399062</v>
      </c>
      <c r="DM61" s="236">
        <v>421.06405096974231</v>
      </c>
      <c r="DN61" s="236">
        <v>440.57958613858511</v>
      </c>
      <c r="DO61" s="236">
        <v>460.79401304212996</v>
      </c>
      <c r="DP61" s="236">
        <v>460.79401304212996</v>
      </c>
      <c r="DQ61" s="401">
        <v>460.79401304212996</v>
      </c>
      <c r="DR61" s="401">
        <v>460.79401304212996</v>
      </c>
      <c r="DS61" s="401">
        <v>460.79401304212996</v>
      </c>
      <c r="DT61" s="401">
        <v>460.79401304212996</v>
      </c>
      <c r="DU61" s="401">
        <v>460.79401304212996</v>
      </c>
      <c r="DV61" s="401">
        <v>460.79401304212996</v>
      </c>
      <c r="DW61" s="401">
        <v>460.79401304212996</v>
      </c>
      <c r="DX61" s="401">
        <v>460.79401304212996</v>
      </c>
      <c r="DY61" s="401">
        <v>460.79401304212996</v>
      </c>
      <c r="DZ61" s="401"/>
      <c r="EA61" s="989"/>
    </row>
    <row r="62" spans="1:131" s="76" customFormat="1">
      <c r="A62" s="974" t="s">
        <v>376</v>
      </c>
      <c r="B62" s="921" t="str">
        <f t="shared" si="81"/>
        <v>Sulfuric Acid</v>
      </c>
      <c r="C62" s="51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44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>
        <f>BM40*BM363</f>
        <v>137.35</v>
      </c>
      <c r="BN62" s="86">
        <f>BN40*BN363</f>
        <v>137.35</v>
      </c>
      <c r="BO62" s="86">
        <f t="shared" si="82"/>
        <v>81.505499999999984</v>
      </c>
      <c r="BP62" s="86">
        <f t="shared" si="82"/>
        <v>106.28281536819637</v>
      </c>
      <c r="BQ62" s="86">
        <f t="shared" si="82"/>
        <v>110.5300787679554</v>
      </c>
      <c r="BR62" s="86">
        <f t="shared" si="71"/>
        <v>114.96873123459252</v>
      </c>
      <c r="BS62" s="86">
        <f t="shared" si="71"/>
        <v>119.55775398804811</v>
      </c>
      <c r="BT62" s="86">
        <f t="shared" si="71"/>
        <v>111.7096113348684</v>
      </c>
      <c r="BU62" s="86">
        <f t="shared" si="71"/>
        <v>111.7096113348684</v>
      </c>
      <c r="BV62" s="86">
        <f t="shared" ref="BV62:BX62" si="85">BU62*BV40/BU40*BV$363/BU$363</f>
        <v>111.7096113348684</v>
      </c>
      <c r="BW62" s="86">
        <f t="shared" si="85"/>
        <v>111.7096113348684</v>
      </c>
      <c r="BX62" s="86">
        <f t="shared" si="85"/>
        <v>111.7096113348684</v>
      </c>
      <c r="BY62" s="86">
        <f t="shared" si="73"/>
        <v>111.7096113348684</v>
      </c>
      <c r="BZ62" s="86">
        <f t="shared" si="74"/>
        <v>111.7096113348684</v>
      </c>
      <c r="CA62" s="86">
        <f t="shared" si="75"/>
        <v>111.7096113348684</v>
      </c>
      <c r="CB62" s="86">
        <f t="shared" si="76"/>
        <v>111.7096113348684</v>
      </c>
      <c r="CC62" s="86">
        <f t="shared" si="77"/>
        <v>111.7096113348684</v>
      </c>
      <c r="CD62" s="86">
        <f t="shared" si="78"/>
        <v>111.7096113348684</v>
      </c>
      <c r="CE62" s="86"/>
      <c r="CF62" s="438"/>
      <c r="CG62" s="235"/>
      <c r="CH62" s="235">
        <f t="shared" si="39"/>
        <v>0</v>
      </c>
      <c r="CI62" s="235" t="e">
        <f>BM62-#REF!</f>
        <v>#REF!</v>
      </c>
      <c r="CJ62" s="235">
        <f t="shared" si="40"/>
        <v>0</v>
      </c>
      <c r="CK62" s="235">
        <f t="shared" si="41"/>
        <v>0</v>
      </c>
      <c r="CL62" s="235">
        <f t="shared" si="42"/>
        <v>0</v>
      </c>
      <c r="CM62" s="235">
        <f t="shared" si="43"/>
        <v>0</v>
      </c>
      <c r="CN62" s="235">
        <f t="shared" si="44"/>
        <v>0</v>
      </c>
      <c r="CO62" s="235">
        <f t="shared" si="45"/>
        <v>0</v>
      </c>
      <c r="CP62" s="235">
        <f t="shared" si="46"/>
        <v>0</v>
      </c>
      <c r="CQ62" s="235">
        <f t="shared" si="47"/>
        <v>0</v>
      </c>
      <c r="CR62" s="235">
        <f t="shared" si="48"/>
        <v>0</v>
      </c>
      <c r="CS62" s="235">
        <f t="shared" si="49"/>
        <v>0</v>
      </c>
      <c r="CT62" s="235">
        <f t="shared" si="50"/>
        <v>0</v>
      </c>
      <c r="CU62" s="235">
        <f t="shared" si="51"/>
        <v>0</v>
      </c>
      <c r="CV62" s="235">
        <f t="shared" si="52"/>
        <v>0</v>
      </c>
      <c r="CW62" s="235">
        <f t="shared" si="53"/>
        <v>0</v>
      </c>
      <c r="CX62" s="235">
        <f t="shared" si="54"/>
        <v>0</v>
      </c>
      <c r="CY62" s="235">
        <f t="shared" si="55"/>
        <v>0</v>
      </c>
      <c r="CZ62" s="235">
        <f t="shared" si="56"/>
        <v>0</v>
      </c>
      <c r="DA62" s="38"/>
      <c r="DB62" s="236"/>
      <c r="DC62" s="236"/>
      <c r="DD62" s="236"/>
      <c r="DE62" s="236"/>
      <c r="DF62" s="401"/>
      <c r="DG62" s="236"/>
      <c r="DH62" s="492"/>
      <c r="DI62" s="236">
        <v>137.35</v>
      </c>
      <c r="DJ62" s="236">
        <v>81.505499999999984</v>
      </c>
      <c r="DK62" s="236">
        <v>106.28281536819637</v>
      </c>
      <c r="DL62" s="236">
        <v>110.5300787679554</v>
      </c>
      <c r="DM62" s="236">
        <v>114.96873123459252</v>
      </c>
      <c r="DN62" s="236">
        <v>119.55775398804811</v>
      </c>
      <c r="DO62" s="236">
        <v>111.7096113348684</v>
      </c>
      <c r="DP62" s="236">
        <v>111.7096113348684</v>
      </c>
      <c r="DQ62" s="401">
        <v>111.7096113348684</v>
      </c>
      <c r="DR62" s="401">
        <v>111.7096113348684</v>
      </c>
      <c r="DS62" s="401">
        <v>111.7096113348684</v>
      </c>
      <c r="DT62" s="401">
        <v>111.7096113348684</v>
      </c>
      <c r="DU62" s="401">
        <v>111.7096113348684</v>
      </c>
      <c r="DV62" s="401">
        <v>111.7096113348684</v>
      </c>
      <c r="DW62" s="401">
        <v>111.7096113348684</v>
      </c>
      <c r="DX62" s="401">
        <v>111.7096113348684</v>
      </c>
      <c r="DY62" s="401">
        <v>111.7096113348684</v>
      </c>
      <c r="DZ62" s="401"/>
      <c r="EA62" s="989"/>
    </row>
    <row r="63" spans="1:131" s="76" customFormat="1">
      <c r="A63" s="974"/>
      <c r="B63" s="921" t="str">
        <f t="shared" si="81"/>
        <v>Low Sulfur Diesel (Automotive Diesel)</v>
      </c>
      <c r="C63" s="51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44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>
        <f t="shared" ref="BM63:BS63" si="86">BM41*BM363</f>
        <v>351.75</v>
      </c>
      <c r="BN63" s="86">
        <f t="shared" si="86"/>
        <v>351.75</v>
      </c>
      <c r="BO63" s="86">
        <f t="shared" si="86"/>
        <v>256.34199999999998</v>
      </c>
      <c r="BP63" s="86">
        <f t="shared" si="86"/>
        <v>273.61325080042695</v>
      </c>
      <c r="BQ63" s="86">
        <f t="shared" si="86"/>
        <v>329.24943700979009</v>
      </c>
      <c r="BR63" s="86">
        <f t="shared" si="86"/>
        <v>349.12537711426978</v>
      </c>
      <c r="BS63" s="86">
        <f t="shared" si="86"/>
        <v>375.56182624762982</v>
      </c>
      <c r="BT63" s="86">
        <f>BT41*BT363</f>
        <v>395.16820104026914</v>
      </c>
      <c r="BU63" s="86">
        <f>BU41*BU363</f>
        <v>395.16820104026914</v>
      </c>
      <c r="BV63" s="86">
        <f>BV41*BV363</f>
        <v>395.16820104026914</v>
      </c>
      <c r="BW63" s="86">
        <f t="shared" ref="BW63:BX63" si="87">BW41*BW363</f>
        <v>395.16820104026914</v>
      </c>
      <c r="BX63" s="86">
        <f t="shared" si="87"/>
        <v>395.16820104026914</v>
      </c>
      <c r="BY63" s="86">
        <f t="shared" ref="BY63:CD63" si="88">BY41*BY363</f>
        <v>395.16820104026914</v>
      </c>
      <c r="BZ63" s="86">
        <f t="shared" si="88"/>
        <v>395.16820104026914</v>
      </c>
      <c r="CA63" s="86">
        <f t="shared" si="88"/>
        <v>395.16820104026914</v>
      </c>
      <c r="CB63" s="86">
        <f t="shared" si="88"/>
        <v>395.16820104026914</v>
      </c>
      <c r="CC63" s="86">
        <f t="shared" si="88"/>
        <v>395.16820104026914</v>
      </c>
      <c r="CD63" s="86">
        <f t="shared" si="88"/>
        <v>395.16820104026914</v>
      </c>
      <c r="CE63" s="86"/>
      <c r="CF63" s="438"/>
      <c r="CG63" s="235"/>
      <c r="CH63" s="235"/>
      <c r="CI63" s="235"/>
      <c r="CJ63" s="235"/>
      <c r="CK63" s="235"/>
      <c r="CL63" s="235"/>
      <c r="CM63" s="235"/>
      <c r="CN63" s="235"/>
      <c r="CO63" s="235"/>
      <c r="CP63" s="235"/>
      <c r="CQ63" s="235"/>
      <c r="CR63" s="235"/>
      <c r="CS63" s="235"/>
      <c r="CT63" s="235"/>
      <c r="CU63" s="235"/>
      <c r="CV63" s="235"/>
      <c r="CW63" s="235"/>
      <c r="CX63" s="235"/>
      <c r="CY63" s="235"/>
      <c r="CZ63" s="235"/>
      <c r="DA63" s="38"/>
      <c r="DB63" s="236"/>
      <c r="DC63" s="236"/>
      <c r="DD63" s="236"/>
      <c r="DE63" s="236"/>
      <c r="DF63" s="401"/>
      <c r="DG63" s="236"/>
      <c r="DH63" s="492"/>
      <c r="DI63" s="236">
        <v>351.75</v>
      </c>
      <c r="DJ63" s="236">
        <v>256.34199999999998</v>
      </c>
      <c r="DK63" s="236">
        <v>273.61325080042695</v>
      </c>
      <c r="DL63" s="236">
        <v>329.24943700979009</v>
      </c>
      <c r="DM63" s="236">
        <v>349.12537711426978</v>
      </c>
      <c r="DN63" s="236">
        <v>375.56182624762982</v>
      </c>
      <c r="DO63" s="236">
        <v>395.16820104026914</v>
      </c>
      <c r="DP63" s="236">
        <v>395.16820104026914</v>
      </c>
      <c r="DQ63" s="401">
        <v>395.16820104026914</v>
      </c>
      <c r="DR63" s="401">
        <v>395.16820104026914</v>
      </c>
      <c r="DS63" s="401">
        <v>395.16820104026914</v>
      </c>
      <c r="DT63" s="401">
        <v>395.16820104026914</v>
      </c>
      <c r="DU63" s="401">
        <v>395.16820104026914</v>
      </c>
      <c r="DV63" s="401">
        <v>395.16820104026914</v>
      </c>
      <c r="DW63" s="401">
        <v>395.16820104026914</v>
      </c>
      <c r="DX63" s="401">
        <v>395.16820104026914</v>
      </c>
      <c r="DY63" s="401">
        <v>395.16820104026914</v>
      </c>
      <c r="DZ63" s="401"/>
      <c r="EA63" s="989"/>
    </row>
    <row r="64" spans="1:131" s="76" customFormat="1">
      <c r="A64" s="921" t="s">
        <v>1112</v>
      </c>
      <c r="B64" s="921" t="str">
        <f t="shared" si="81"/>
        <v>Bitumen</v>
      </c>
      <c r="C64" s="51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44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>
        <f t="shared" ref="BN64:BS64" si="89">BN42*BN363</f>
        <v>109.88000000000002</v>
      </c>
      <c r="BO64" s="86">
        <f t="shared" si="89"/>
        <v>146.42850000000001</v>
      </c>
      <c r="BP64" s="86">
        <f t="shared" si="89"/>
        <v>146.56650800426894</v>
      </c>
      <c r="BQ64" s="86">
        <f t="shared" si="89"/>
        <v>207.26031872113754</v>
      </c>
      <c r="BR64" s="86">
        <f t="shared" si="89"/>
        <v>226.52987000375359</v>
      </c>
      <c r="BS64" s="86">
        <f t="shared" si="89"/>
        <v>250.77995956737453</v>
      </c>
      <c r="BT64" s="86">
        <f>BT42*BT363</f>
        <v>263.07882930634554</v>
      </c>
      <c r="BU64" s="86">
        <f>BU42*BU363</f>
        <v>263.07882930634554</v>
      </c>
      <c r="BV64" s="86">
        <f>BV42*BV363</f>
        <v>263.07882930634554</v>
      </c>
      <c r="BW64" s="86">
        <f t="shared" ref="BW64:BX64" si="90">BW42*BW363</f>
        <v>263.07882930634554</v>
      </c>
      <c r="BX64" s="86">
        <f t="shared" si="90"/>
        <v>263.07882930634554</v>
      </c>
      <c r="BY64" s="86">
        <f t="shared" ref="BY64:CD64" si="91">BY42*BY363</f>
        <v>263.07882930634554</v>
      </c>
      <c r="BZ64" s="86">
        <f t="shared" si="91"/>
        <v>263.07882930634554</v>
      </c>
      <c r="CA64" s="86">
        <f t="shared" si="91"/>
        <v>263.07882930634554</v>
      </c>
      <c r="CB64" s="86">
        <f t="shared" si="91"/>
        <v>263.07882930634554</v>
      </c>
      <c r="CC64" s="86">
        <f t="shared" si="91"/>
        <v>263.07882930634554</v>
      </c>
      <c r="CD64" s="86">
        <f t="shared" si="91"/>
        <v>263.07882930634554</v>
      </c>
      <c r="CE64" s="86"/>
      <c r="CF64" s="438"/>
      <c r="CG64" s="235"/>
      <c r="CH64" s="235">
        <f t="shared" si="39"/>
        <v>0</v>
      </c>
      <c r="CI64" s="235" t="e">
        <f>BM64-#REF!</f>
        <v>#REF!</v>
      </c>
      <c r="CJ64" s="235">
        <f t="shared" ref="CJ64:CJ86" si="92">BN64-DI64</f>
        <v>0</v>
      </c>
      <c r="CK64" s="235">
        <f t="shared" ref="CK64:CK86" si="93">BO64-DJ64</f>
        <v>0</v>
      </c>
      <c r="CL64" s="235">
        <f t="shared" ref="CL64:CL86" si="94">BP64-DK64</f>
        <v>0</v>
      </c>
      <c r="CM64" s="235">
        <f t="shared" ref="CM64:CM86" si="95">BQ64-DL64</f>
        <v>0</v>
      </c>
      <c r="CN64" s="235">
        <f t="shared" ref="CN64:CN86" si="96">BR64-DM64</f>
        <v>0</v>
      </c>
      <c r="CO64" s="235">
        <f t="shared" ref="CO64:CO86" si="97">BS64-DN64</f>
        <v>0</v>
      </c>
      <c r="CP64" s="235">
        <f t="shared" ref="CP64:CP86" si="98">BT64-DO64</f>
        <v>0</v>
      </c>
      <c r="CQ64" s="235">
        <f t="shared" ref="CQ64:CQ86" si="99">BU64-DP64</f>
        <v>0</v>
      </c>
      <c r="CR64" s="235">
        <f t="shared" ref="CR64:CR86" si="100">BV64-DQ64</f>
        <v>0</v>
      </c>
      <c r="CS64" s="235">
        <f t="shared" ref="CS64:CS86" si="101">BW64-DR64</f>
        <v>0</v>
      </c>
      <c r="CT64" s="235">
        <f t="shared" ref="CT64:CT86" si="102">BX64-DS64</f>
        <v>0</v>
      </c>
      <c r="CU64" s="235">
        <f t="shared" ref="CU64:CU86" si="103">BY64-DT64</f>
        <v>0</v>
      </c>
      <c r="CV64" s="235">
        <f t="shared" ref="CV64:CV86" si="104">BZ64-DU64</f>
        <v>0</v>
      </c>
      <c r="CW64" s="235">
        <f t="shared" ref="CW64:CW86" si="105">CA64-DV64</f>
        <v>0</v>
      </c>
      <c r="CX64" s="235">
        <f t="shared" ref="CX64:CX86" si="106">CB64-DW64</f>
        <v>0</v>
      </c>
      <c r="CY64" s="235">
        <f t="shared" ref="CY64:CY86" si="107">CC64-DX64</f>
        <v>0</v>
      </c>
      <c r="CZ64" s="235">
        <f t="shared" ref="CZ64:CZ86" si="108">CD64-DY64</f>
        <v>0</v>
      </c>
      <c r="DA64" s="38"/>
      <c r="DB64" s="236"/>
      <c r="DC64" s="236"/>
      <c r="DD64" s="236"/>
      <c r="DE64" s="236"/>
      <c r="DF64" s="401"/>
      <c r="DG64" s="236"/>
      <c r="DH64" s="492"/>
      <c r="DI64" s="236">
        <v>109.88000000000002</v>
      </c>
      <c r="DJ64" s="236">
        <v>146.42850000000001</v>
      </c>
      <c r="DK64" s="236">
        <v>146.56650800426894</v>
      </c>
      <c r="DL64" s="236">
        <v>207.26031872113754</v>
      </c>
      <c r="DM64" s="236">
        <v>226.52987000375359</v>
      </c>
      <c r="DN64" s="236">
        <v>250.77995956737453</v>
      </c>
      <c r="DO64" s="236">
        <v>263.07882930634554</v>
      </c>
      <c r="DP64" s="236">
        <v>263.07882930634554</v>
      </c>
      <c r="DQ64" s="401">
        <v>263.07882930634554</v>
      </c>
      <c r="DR64" s="401">
        <v>263.07882930634554</v>
      </c>
      <c r="DS64" s="401">
        <v>263.07882930634554</v>
      </c>
      <c r="DT64" s="401">
        <v>263.07882930634554</v>
      </c>
      <c r="DU64" s="401">
        <v>263.07882930634554</v>
      </c>
      <c r="DV64" s="401">
        <v>263.07882930634554</v>
      </c>
      <c r="DW64" s="401">
        <v>263.07882930634554</v>
      </c>
      <c r="DX64" s="401">
        <v>263.07882930634554</v>
      </c>
      <c r="DY64" s="401">
        <v>263.07882930634554</v>
      </c>
      <c r="DZ64" s="401"/>
      <c r="EA64" s="989"/>
    </row>
    <row r="65" spans="1:131" s="76" customFormat="1">
      <c r="A65" s="974" t="s">
        <v>3860</v>
      </c>
      <c r="B65" s="921" t="str">
        <f t="shared" si="81"/>
        <v>Suiker</v>
      </c>
      <c r="C65" s="51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44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438"/>
      <c r="CG65" s="235"/>
      <c r="CH65" s="235">
        <f t="shared" si="39"/>
        <v>0</v>
      </c>
      <c r="CI65" s="235" t="e">
        <f>BM65-#REF!</f>
        <v>#REF!</v>
      </c>
      <c r="CJ65" s="235">
        <f t="shared" si="92"/>
        <v>0</v>
      </c>
      <c r="CK65" s="235">
        <f t="shared" si="93"/>
        <v>0</v>
      </c>
      <c r="CL65" s="235">
        <f t="shared" si="94"/>
        <v>0</v>
      </c>
      <c r="CM65" s="235">
        <f t="shared" si="95"/>
        <v>0</v>
      </c>
      <c r="CN65" s="235">
        <f t="shared" si="96"/>
        <v>0</v>
      </c>
      <c r="CO65" s="235">
        <f t="shared" si="97"/>
        <v>0</v>
      </c>
      <c r="CP65" s="235">
        <f t="shared" si="98"/>
        <v>0</v>
      </c>
      <c r="CQ65" s="235">
        <f t="shared" si="99"/>
        <v>0</v>
      </c>
      <c r="CR65" s="235">
        <f t="shared" si="100"/>
        <v>0</v>
      </c>
      <c r="CS65" s="235">
        <f t="shared" si="101"/>
        <v>0</v>
      </c>
      <c r="CT65" s="235">
        <f t="shared" si="102"/>
        <v>0</v>
      </c>
      <c r="CU65" s="235">
        <f t="shared" si="103"/>
        <v>0</v>
      </c>
      <c r="CV65" s="235">
        <f t="shared" si="104"/>
        <v>0</v>
      </c>
      <c r="CW65" s="235">
        <f t="shared" si="105"/>
        <v>0</v>
      </c>
      <c r="CX65" s="235">
        <f t="shared" si="106"/>
        <v>0</v>
      </c>
      <c r="CY65" s="235">
        <f t="shared" si="107"/>
        <v>0</v>
      </c>
      <c r="CZ65" s="235">
        <f t="shared" si="108"/>
        <v>0</v>
      </c>
      <c r="DA65" s="38"/>
      <c r="DB65" s="236"/>
      <c r="DC65" s="236"/>
      <c r="DD65" s="236"/>
      <c r="DE65" s="236"/>
      <c r="DF65" s="401"/>
      <c r="DG65" s="236"/>
      <c r="DH65" s="492"/>
      <c r="DI65" s="236"/>
      <c r="DJ65" s="236"/>
      <c r="DK65" s="236"/>
      <c r="DL65" s="236"/>
      <c r="DM65" s="236"/>
      <c r="DN65" s="236"/>
      <c r="DO65" s="236"/>
      <c r="DP65" s="236"/>
      <c r="DQ65" s="401"/>
      <c r="DR65" s="401"/>
      <c r="DS65" s="401"/>
      <c r="DT65" s="401"/>
      <c r="DU65" s="401"/>
      <c r="DV65" s="401"/>
      <c r="DW65" s="401"/>
      <c r="DX65" s="401"/>
      <c r="DY65" s="401"/>
      <c r="DZ65" s="401"/>
      <c r="EA65" s="989"/>
    </row>
    <row r="66" spans="1:131" s="76" customFormat="1">
      <c r="A66" s="76" t="s">
        <v>3861</v>
      </c>
      <c r="B66" s="73" t="s">
        <v>3003</v>
      </c>
      <c r="C66" s="51" t="s">
        <v>490</v>
      </c>
      <c r="D66" s="209" t="s">
        <v>4400</v>
      </c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44">
        <v>0</v>
      </c>
      <c r="AV66" s="86">
        <f>(0.97*0.92)*AV44*$AV$363</f>
        <v>138.75636097539999</v>
      </c>
      <c r="AW66" s="86">
        <f t="shared" ref="AW66:BQ66" si="109">AV66*AW44/AV44*AW$363/AV$363</f>
        <v>111.32788164000002</v>
      </c>
      <c r="AX66" s="86">
        <f t="shared" si="109"/>
        <v>105.20860560000001</v>
      </c>
      <c r="AY66" s="86">
        <f t="shared" si="109"/>
        <v>214.10004783599999</v>
      </c>
      <c r="AZ66" s="86">
        <f t="shared" si="109"/>
        <v>364.59584951375996</v>
      </c>
      <c r="BA66" s="86">
        <f t="shared" si="109"/>
        <v>526.84931140000003</v>
      </c>
      <c r="BB66" s="86">
        <f t="shared" si="109"/>
        <v>579.42413229354008</v>
      </c>
      <c r="BC66" s="86">
        <f t="shared" si="109"/>
        <v>795.95555779612005</v>
      </c>
      <c r="BD66" s="86">
        <f t="shared" si="109"/>
        <v>1004.3037652080002</v>
      </c>
      <c r="BE66" s="86">
        <f t="shared" si="109"/>
        <v>1043.2246780021865</v>
      </c>
      <c r="BF66" s="86">
        <f t="shared" si="109"/>
        <v>1469.5403165479843</v>
      </c>
      <c r="BG66" s="86">
        <f t="shared" si="109"/>
        <v>1719.9895384325571</v>
      </c>
      <c r="BH66" s="86">
        <f t="shared" si="109"/>
        <v>2135.3755432953335</v>
      </c>
      <c r="BI66" s="86">
        <f t="shared" si="109"/>
        <v>2516.3539925928576</v>
      </c>
      <c r="BJ66" s="86">
        <f t="shared" si="109"/>
        <v>3240.9463400927702</v>
      </c>
      <c r="BK66" s="86">
        <f t="shared" si="109"/>
        <v>4398.8810197754437</v>
      </c>
      <c r="BL66" s="86">
        <f t="shared" si="109"/>
        <v>4803.8022473322289</v>
      </c>
      <c r="BM66" s="86">
        <f t="shared" si="109"/>
        <v>4035.5137339947714</v>
      </c>
      <c r="BN66" s="86">
        <f t="shared" si="109"/>
        <v>3638.220675881892</v>
      </c>
      <c r="BO66" s="86">
        <f t="shared" si="109"/>
        <v>3535.6410439254028</v>
      </c>
      <c r="BP66" s="86">
        <f t="shared" si="109"/>
        <v>4364.834357360106</v>
      </c>
      <c r="BQ66" s="86">
        <f t="shared" si="109"/>
        <v>4406.313378258099</v>
      </c>
      <c r="BR66" s="86">
        <f t="shared" ref="BR66:BR75" si="110">BQ66*BR44/BQ44*BR$363/BQ$363</f>
        <v>4486.3099976403746</v>
      </c>
      <c r="BS66" s="86">
        <f t="shared" ref="BS66:BS75" si="111">BR66*BS44/BR44*BS$363/BR$363</f>
        <v>4572.3798549451058</v>
      </c>
      <c r="BT66" s="86">
        <f t="shared" ref="BT66:BT75" si="112">BS66*BT44/BS44*BT$363/BS$363</f>
        <v>4572.9742643262489</v>
      </c>
      <c r="BU66" s="86">
        <f t="shared" ref="BU66:BU75" si="113">BT66*BU44/BT44*BU$363/BT$363</f>
        <v>4573.5687509806121</v>
      </c>
      <c r="BV66" s="86">
        <f t="shared" ref="BV66:BV75" si="114">BU66*BV44/BU44*BV$363/BU$363</f>
        <v>4574.1633149182398</v>
      </c>
      <c r="BW66" s="86">
        <f t="shared" ref="BW66:BW75" si="115">BV66*BW44/BV44*BW$363/BV$363</f>
        <v>4574.7579561491793</v>
      </c>
      <c r="BX66" s="86">
        <f t="shared" ref="BX66:BX75" si="116">BW66*BX44/BW44*BX$363/BW$363</f>
        <v>4575.3526746834787</v>
      </c>
      <c r="BY66" s="86">
        <f t="shared" ref="BY66:BY75" si="117">BX66*BY44/BX44*BY$363/BX$363</f>
        <v>4575.9474705311877</v>
      </c>
      <c r="BZ66" s="86">
        <f t="shared" ref="BZ66:BZ75" si="118">BY66*BZ44/BY44*BZ$363/BY$363</f>
        <v>4713.2258946471238</v>
      </c>
      <c r="CA66" s="86">
        <f t="shared" ref="CA66:CA75" si="119">BZ66*CA44/BZ44*CA$363/BZ$363</f>
        <v>4854.6226714865379</v>
      </c>
      <c r="CB66" s="86">
        <f t="shared" ref="CB66:CB75" si="120">CA66*CB44/CA44*CB$363/CA$363</f>
        <v>5000.2613516311339</v>
      </c>
      <c r="CC66" s="86">
        <f t="shared" ref="CC66:CC75" si="121">CB66*CC44/CB44*CC$363/CB$363</f>
        <v>5150.2691921800688</v>
      </c>
      <c r="CD66" s="86">
        <f t="shared" ref="CD66:CD75" si="122">CC66*CD44/CC44*CD$363/CC$363</f>
        <v>5304.7772679454711</v>
      </c>
      <c r="CE66" s="86"/>
      <c r="CF66" s="438"/>
      <c r="CG66" s="235">
        <f t="shared" ref="CG66:CG83" si="123">BK66-DG66</f>
        <v>0</v>
      </c>
      <c r="CH66" s="235">
        <f t="shared" si="39"/>
        <v>0</v>
      </c>
      <c r="CI66" s="235" t="e">
        <f>BM66-#REF!</f>
        <v>#REF!</v>
      </c>
      <c r="CJ66" s="235">
        <f t="shared" si="92"/>
        <v>0</v>
      </c>
      <c r="CK66" s="235">
        <f t="shared" si="93"/>
        <v>0</v>
      </c>
      <c r="CL66" s="235">
        <f t="shared" si="94"/>
        <v>0</v>
      </c>
      <c r="CM66" s="235">
        <f t="shared" si="95"/>
        <v>0</v>
      </c>
      <c r="CN66" s="235">
        <f t="shared" si="96"/>
        <v>0</v>
      </c>
      <c r="CO66" s="235">
        <f t="shared" si="97"/>
        <v>0</v>
      </c>
      <c r="CP66" s="235">
        <f t="shared" si="98"/>
        <v>0</v>
      </c>
      <c r="CQ66" s="235">
        <f t="shared" si="99"/>
        <v>0</v>
      </c>
      <c r="CR66" s="235">
        <f t="shared" si="100"/>
        <v>0</v>
      </c>
      <c r="CS66" s="235">
        <f t="shared" si="101"/>
        <v>0</v>
      </c>
      <c r="CT66" s="235">
        <f t="shared" si="102"/>
        <v>0</v>
      </c>
      <c r="CU66" s="235">
        <f t="shared" si="103"/>
        <v>0</v>
      </c>
      <c r="CV66" s="235">
        <f t="shared" si="104"/>
        <v>0</v>
      </c>
      <c r="CW66" s="235">
        <f t="shared" si="105"/>
        <v>0</v>
      </c>
      <c r="CX66" s="235">
        <f t="shared" si="106"/>
        <v>0</v>
      </c>
      <c r="CY66" s="235">
        <f t="shared" si="107"/>
        <v>0</v>
      </c>
      <c r="CZ66" s="235">
        <f t="shared" si="108"/>
        <v>0</v>
      </c>
      <c r="DA66" s="38"/>
      <c r="DB66" s="236">
        <v>1422.3384889900001</v>
      </c>
      <c r="DC66" s="236">
        <v>1423.3384889900001</v>
      </c>
      <c r="DD66" s="236">
        <v>1711.41509232</v>
      </c>
      <c r="DE66" s="236">
        <v>2054.4332822692754</v>
      </c>
      <c r="DF66" s="401">
        <v>2516.3539925928576</v>
      </c>
      <c r="DG66" s="236">
        <v>4398.8810197754437</v>
      </c>
      <c r="DH66" s="492">
        <v>4803.8022473322289</v>
      </c>
      <c r="DI66" s="236">
        <v>3638.220675881892</v>
      </c>
      <c r="DJ66" s="236">
        <v>3535.6410439254028</v>
      </c>
      <c r="DK66" s="236">
        <v>4364.834357360106</v>
      </c>
      <c r="DL66" s="236">
        <v>4406.313378258099</v>
      </c>
      <c r="DM66" s="236">
        <v>4486.3099976403746</v>
      </c>
      <c r="DN66" s="236">
        <v>4572.3798549451058</v>
      </c>
      <c r="DO66" s="236">
        <v>4572.9742643262489</v>
      </c>
      <c r="DP66" s="236">
        <v>4573.5687509806121</v>
      </c>
      <c r="DQ66" s="401">
        <v>4574.1633149182398</v>
      </c>
      <c r="DR66" s="401">
        <v>4574.7579561491793</v>
      </c>
      <c r="DS66" s="401">
        <v>4575.3526746834787</v>
      </c>
      <c r="DT66" s="401">
        <v>4575.9474705311877</v>
      </c>
      <c r="DU66" s="401">
        <v>4713.2258946471238</v>
      </c>
      <c r="DV66" s="401">
        <v>4854.6226714865379</v>
      </c>
      <c r="DW66" s="401">
        <v>5000.2613516311339</v>
      </c>
      <c r="DX66" s="401">
        <v>5150.2691921800688</v>
      </c>
      <c r="DY66" s="401">
        <v>5304.7772679454711</v>
      </c>
      <c r="DZ66" s="401"/>
      <c r="EA66" s="989"/>
    </row>
    <row r="67" spans="1:131" s="76" customFormat="1">
      <c r="A67" s="76" t="s">
        <v>3862</v>
      </c>
      <c r="B67" s="73" t="s">
        <v>903</v>
      </c>
      <c r="C67" s="51" t="s">
        <v>491</v>
      </c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44">
        <v>0</v>
      </c>
      <c r="AV67" s="86">
        <f>DataInput!AV97*$AV$363</f>
        <v>280.64749999999998</v>
      </c>
      <c r="AW67" s="86">
        <f>AV67*DataInput!AW97/DataInput!AV97*AW$363/AV$363</f>
        <v>280.70000000000005</v>
      </c>
      <c r="AX67" s="86">
        <f t="shared" ref="AX67:BQ67" si="124">AW67*AX45/AW45*AX$363/AW$363</f>
        <v>280.70000000000005</v>
      </c>
      <c r="AY67" s="86">
        <f t="shared" si="124"/>
        <v>601.93700000000001</v>
      </c>
      <c r="AZ67" s="86">
        <f t="shared" si="124"/>
        <v>928.41699999999992</v>
      </c>
      <c r="BA67" s="86">
        <f t="shared" si="124"/>
        <v>1524.95</v>
      </c>
      <c r="BB67" s="86">
        <f t="shared" si="124"/>
        <v>1628.8615000000002</v>
      </c>
      <c r="BC67" s="86">
        <f t="shared" si="124"/>
        <v>1822.3309999999994</v>
      </c>
      <c r="BD67" s="86">
        <f t="shared" si="124"/>
        <v>1913.7999999999997</v>
      </c>
      <c r="BE67" s="86">
        <f t="shared" si="124"/>
        <v>1910.9999999999998</v>
      </c>
      <c r="BF67" s="86">
        <f t="shared" si="124"/>
        <v>1967.7437499999999</v>
      </c>
      <c r="BG67" s="86">
        <f t="shared" si="124"/>
        <v>2018.7759374999996</v>
      </c>
      <c r="BH67" s="86">
        <f t="shared" si="124"/>
        <v>2069.245335937499</v>
      </c>
      <c r="BI67" s="86">
        <f t="shared" si="124"/>
        <v>2202.1067167968736</v>
      </c>
      <c r="BJ67" s="86">
        <f t="shared" si="124"/>
        <v>2415.5565345214823</v>
      </c>
      <c r="BK67" s="86">
        <f t="shared" si="124"/>
        <v>2577.2036843261699</v>
      </c>
      <c r="BL67" s="86">
        <f t="shared" si="124"/>
        <v>2659.8522592285135</v>
      </c>
      <c r="BM67" s="86">
        <f t="shared" si="124"/>
        <v>2663.202259228513</v>
      </c>
      <c r="BN67" s="86">
        <f t="shared" si="124"/>
        <v>2666.5522592285133</v>
      </c>
      <c r="BO67" s="86">
        <f t="shared" si="124"/>
        <v>2746.5488270053688</v>
      </c>
      <c r="BP67" s="86">
        <f t="shared" si="124"/>
        <v>3546.7373807836493</v>
      </c>
      <c r="BQ67" s="86">
        <f t="shared" si="124"/>
        <v>3653.1395022071588</v>
      </c>
      <c r="BR67" s="86">
        <f t="shared" si="110"/>
        <v>3762.733687273374</v>
      </c>
      <c r="BS67" s="86">
        <f t="shared" si="111"/>
        <v>3875.6156978915756</v>
      </c>
      <c r="BT67" s="86">
        <f t="shared" si="112"/>
        <v>3991.8841688283228</v>
      </c>
      <c r="BU67" s="86">
        <f t="shared" si="113"/>
        <v>4111.6406938931723</v>
      </c>
      <c r="BV67" s="86">
        <f t="shared" si="114"/>
        <v>4234.9899147099677</v>
      </c>
      <c r="BW67" s="86">
        <f t="shared" si="115"/>
        <v>4362.0396121512676</v>
      </c>
      <c r="BX67" s="86">
        <f t="shared" si="116"/>
        <v>4492.9008005158066</v>
      </c>
      <c r="BY67" s="86">
        <f t="shared" si="117"/>
        <v>4627.687824531281</v>
      </c>
      <c r="BZ67" s="86">
        <f t="shared" si="118"/>
        <v>4766.5184592672194</v>
      </c>
      <c r="CA67" s="86">
        <f t="shared" si="119"/>
        <v>4909.5140130452355</v>
      </c>
      <c r="CB67" s="86">
        <f t="shared" si="120"/>
        <v>5056.7994334365931</v>
      </c>
      <c r="CC67" s="86">
        <f t="shared" si="121"/>
        <v>5208.5034164396911</v>
      </c>
      <c r="CD67" s="86">
        <f t="shared" si="122"/>
        <v>5364.758518932882</v>
      </c>
      <c r="CE67" s="86"/>
      <c r="CF67" s="438"/>
      <c r="CG67" s="235">
        <f t="shared" si="123"/>
        <v>0</v>
      </c>
      <c r="CH67" s="235">
        <f t="shared" si="39"/>
        <v>0</v>
      </c>
      <c r="CI67" s="235" t="e">
        <f>BM67-#REF!</f>
        <v>#REF!</v>
      </c>
      <c r="CJ67" s="235">
        <f t="shared" si="92"/>
        <v>0</v>
      </c>
      <c r="CK67" s="235">
        <f t="shared" si="93"/>
        <v>0</v>
      </c>
      <c r="CL67" s="235">
        <f t="shared" si="94"/>
        <v>0</v>
      </c>
      <c r="CM67" s="235">
        <f t="shared" si="95"/>
        <v>0</v>
      </c>
      <c r="CN67" s="235">
        <f t="shared" si="96"/>
        <v>0</v>
      </c>
      <c r="CO67" s="235">
        <f t="shared" si="97"/>
        <v>0</v>
      </c>
      <c r="CP67" s="235">
        <f t="shared" si="98"/>
        <v>0</v>
      </c>
      <c r="CQ67" s="235">
        <f t="shared" si="99"/>
        <v>0</v>
      </c>
      <c r="CR67" s="235">
        <f t="shared" si="100"/>
        <v>0</v>
      </c>
      <c r="CS67" s="235">
        <f t="shared" si="101"/>
        <v>0</v>
      </c>
      <c r="CT67" s="235">
        <f t="shared" si="102"/>
        <v>0</v>
      </c>
      <c r="CU67" s="235">
        <f t="shared" si="103"/>
        <v>0</v>
      </c>
      <c r="CV67" s="235">
        <f t="shared" si="104"/>
        <v>0</v>
      </c>
      <c r="CW67" s="235">
        <f t="shared" si="105"/>
        <v>0</v>
      </c>
      <c r="CX67" s="235">
        <f t="shared" si="106"/>
        <v>0</v>
      </c>
      <c r="CY67" s="235">
        <f t="shared" si="107"/>
        <v>0</v>
      </c>
      <c r="CZ67" s="235">
        <f t="shared" si="108"/>
        <v>0</v>
      </c>
      <c r="DA67" s="38"/>
      <c r="DB67" s="236">
        <v>1966.7437500000001</v>
      </c>
      <c r="DC67" s="236">
        <v>1967.7437499999999</v>
      </c>
      <c r="DD67" s="236">
        <v>2018.7759374999996</v>
      </c>
      <c r="DE67" s="236">
        <v>2069.245335937499</v>
      </c>
      <c r="DF67" s="401">
        <v>2202.1067167968736</v>
      </c>
      <c r="DG67" s="236">
        <v>2577.2036843261699</v>
      </c>
      <c r="DH67" s="492">
        <v>2659.8522592285135</v>
      </c>
      <c r="DI67" s="236">
        <v>2666.5522592285133</v>
      </c>
      <c r="DJ67" s="236">
        <v>2746.5488270053688</v>
      </c>
      <c r="DK67" s="236">
        <v>3546.7373807836493</v>
      </c>
      <c r="DL67" s="236">
        <v>3653.1395022071588</v>
      </c>
      <c r="DM67" s="236">
        <v>3762.733687273374</v>
      </c>
      <c r="DN67" s="236">
        <v>3875.6156978915756</v>
      </c>
      <c r="DO67" s="236">
        <v>3991.8841688283228</v>
      </c>
      <c r="DP67" s="236">
        <v>4111.6406938931723</v>
      </c>
      <c r="DQ67" s="401">
        <v>4234.9899147099677</v>
      </c>
      <c r="DR67" s="401">
        <v>4362.0396121512676</v>
      </c>
      <c r="DS67" s="401">
        <v>4492.9008005158066</v>
      </c>
      <c r="DT67" s="401">
        <v>4627.687824531281</v>
      </c>
      <c r="DU67" s="401">
        <v>4766.5184592672194</v>
      </c>
      <c r="DV67" s="401">
        <v>4909.5140130452355</v>
      </c>
      <c r="DW67" s="401">
        <v>5056.7994334365931</v>
      </c>
      <c r="DX67" s="401">
        <v>5208.5034164396911</v>
      </c>
      <c r="DY67" s="401">
        <v>5364.758518932882</v>
      </c>
      <c r="DZ67" s="401"/>
      <c r="EA67" s="989"/>
    </row>
    <row r="68" spans="1:131" s="76" customFormat="1">
      <c r="A68" s="76" t="s">
        <v>3863</v>
      </c>
      <c r="B68" s="73" t="s">
        <v>2271</v>
      </c>
      <c r="C68" s="51" t="s">
        <v>2303</v>
      </c>
      <c r="D68" s="209" t="s">
        <v>3426</v>
      </c>
      <c r="E68" s="209"/>
      <c r="F68" s="295">
        <f t="shared" ref="F68:AT68" si="125">1000*F92/F25</f>
        <v>0.29047841670562569</v>
      </c>
      <c r="G68" s="295">
        <f t="shared" si="125"/>
        <v>0.23505171978807501</v>
      </c>
      <c r="H68" s="295">
        <f t="shared" si="125"/>
        <v>0.23354231974921633</v>
      </c>
      <c r="I68" s="295"/>
      <c r="J68" s="295">
        <f t="shared" si="125"/>
        <v>0.23708622204862806</v>
      </c>
      <c r="K68" s="295">
        <f t="shared" si="125"/>
        <v>0.22719972952413153</v>
      </c>
      <c r="L68" s="295">
        <f t="shared" si="125"/>
        <v>0.2082845514857557</v>
      </c>
      <c r="M68" s="295">
        <f t="shared" si="125"/>
        <v>0.17959501557632399</v>
      </c>
      <c r="N68" s="295">
        <f t="shared" si="125"/>
        <v>0.23668810755912367</v>
      </c>
      <c r="O68" s="295">
        <f t="shared" si="125"/>
        <v>0.23577048727741221</v>
      </c>
      <c r="P68" s="295">
        <f t="shared" si="125"/>
        <v>0.23069444444444445</v>
      </c>
      <c r="Q68" s="295">
        <f t="shared" si="125"/>
        <v>0.2308678922616503</v>
      </c>
      <c r="R68" s="295">
        <f t="shared" si="125"/>
        <v>0</v>
      </c>
      <c r="S68" s="295">
        <f t="shared" si="125"/>
        <v>0.29030160149581336</v>
      </c>
      <c r="T68" s="295">
        <f t="shared" si="125"/>
        <v>0.31065980287525896</v>
      </c>
      <c r="U68" s="295">
        <f t="shared" si="125"/>
        <v>0.23642902862019569</v>
      </c>
      <c r="V68" s="295">
        <f t="shared" si="125"/>
        <v>0.32985917240523605</v>
      </c>
      <c r="W68" s="295">
        <f t="shared" si="125"/>
        <v>0.3119735446434142</v>
      </c>
      <c r="X68" s="295">
        <f t="shared" si="125"/>
        <v>0.28007555526607175</v>
      </c>
      <c r="Y68" s="295">
        <f t="shared" si="125"/>
        <v>0.4631399087209695</v>
      </c>
      <c r="Z68" s="295">
        <f t="shared" si="125"/>
        <v>0.70914319071195375</v>
      </c>
      <c r="AA68" s="295">
        <f t="shared" si="125"/>
        <v>0.55952380952380953</v>
      </c>
      <c r="AB68" s="295">
        <f t="shared" si="125"/>
        <v>0.47652173913043477</v>
      </c>
      <c r="AC68" s="295">
        <f t="shared" si="125"/>
        <v>0.55941499085923219</v>
      </c>
      <c r="AD68" s="295">
        <f t="shared" si="125"/>
        <v>0.55957161981258363</v>
      </c>
      <c r="AE68" s="295">
        <f t="shared" si="125"/>
        <v>0.65825242718446597</v>
      </c>
      <c r="AF68" s="295">
        <f t="shared" si="125"/>
        <v>0.68021680216802161</v>
      </c>
      <c r="AG68" s="295">
        <f t="shared" si="125"/>
        <v>0.68124946351931315</v>
      </c>
      <c r="AH68" s="295">
        <f t="shared" si="125"/>
        <v>0.53741055045871555</v>
      </c>
      <c r="AI68" s="295">
        <f t="shared" si="125"/>
        <v>0.51879758260733067</v>
      </c>
      <c r="AJ68" s="295">
        <f t="shared" si="125"/>
        <v>0.65047518479408661</v>
      </c>
      <c r="AK68" s="295">
        <f t="shared" si="125"/>
        <v>0.60130718954248374</v>
      </c>
      <c r="AL68" s="295">
        <f t="shared" si="125"/>
        <v>0.5901942645698427</v>
      </c>
      <c r="AM68" s="295">
        <f t="shared" si="125"/>
        <v>0.59680284191829491</v>
      </c>
      <c r="AN68" s="295">
        <f t="shared" si="125"/>
        <v>0.91377091377091368</v>
      </c>
      <c r="AO68" s="295">
        <f t="shared" si="125"/>
        <v>0.35252643948296125</v>
      </c>
      <c r="AP68" s="295">
        <f t="shared" si="125"/>
        <v>0.69953775038520793</v>
      </c>
      <c r="AQ68" s="295">
        <f t="shared" si="125"/>
        <v>0.74383301707779892</v>
      </c>
      <c r="AR68" s="295">
        <f t="shared" si="125"/>
        <v>0.73111395646606925</v>
      </c>
      <c r="AS68" s="295">
        <f t="shared" si="125"/>
        <v>0.65240641711229941</v>
      </c>
      <c r="AT68" s="295">
        <f t="shared" si="125"/>
        <v>42.212158808933005</v>
      </c>
      <c r="AU68" s="295">
        <f>1000*AU92/AU25</f>
        <v>185.81873888255413</v>
      </c>
      <c r="AV68" s="86">
        <f t="shared" ref="AV68:AV75" si="126">AV46*$AV$363</f>
        <v>162.01379249999999</v>
      </c>
      <c r="AW68" s="86">
        <f t="shared" ref="AW68:AW75" si="127">AV68*AW46/AV46*AW$363/AV$363</f>
        <v>135.86682000000002</v>
      </c>
      <c r="AX68" s="86">
        <f t="shared" ref="AX68:BQ68" si="128">AW68*AX46/AW46*AX$363/AW$363</f>
        <v>115.04690000000001</v>
      </c>
      <c r="AY68" s="86">
        <f t="shared" si="128"/>
        <v>229.33799699999997</v>
      </c>
      <c r="AZ68" s="86">
        <f t="shared" si="128"/>
        <v>307.05705102619334</v>
      </c>
      <c r="BA68" s="86">
        <f t="shared" si="128"/>
        <v>453.85183759696878</v>
      </c>
      <c r="BB68" s="86">
        <f t="shared" si="128"/>
        <v>459.31987695672132</v>
      </c>
      <c r="BC68" s="86">
        <f t="shared" si="128"/>
        <v>564.56327717670786</v>
      </c>
      <c r="BD68" s="86">
        <f t="shared" si="128"/>
        <v>625.66286679913935</v>
      </c>
      <c r="BE68" s="86">
        <f t="shared" si="128"/>
        <v>677.23053767037402</v>
      </c>
      <c r="BF68" s="86">
        <f t="shared" si="128"/>
        <v>761.7846704740308</v>
      </c>
      <c r="BG68" s="86">
        <f t="shared" si="128"/>
        <v>805.97112024666035</v>
      </c>
      <c r="BH68" s="86">
        <f t="shared" si="128"/>
        <v>1697.1163366793326</v>
      </c>
      <c r="BI68" s="86">
        <f t="shared" si="128"/>
        <v>1163.5192337071994</v>
      </c>
      <c r="BJ68" s="86">
        <f t="shared" si="128"/>
        <v>1291.0071218290436</v>
      </c>
      <c r="BK68" s="86">
        <f t="shared" si="128"/>
        <v>2161.4869114489584</v>
      </c>
      <c r="BL68" s="86">
        <f t="shared" si="128"/>
        <v>1888.0444625956645</v>
      </c>
      <c r="BM68" s="86">
        <f t="shared" si="128"/>
        <v>1764.8688606141213</v>
      </c>
      <c r="BN68" s="86">
        <f t="shared" si="128"/>
        <v>1786.3884965692116</v>
      </c>
      <c r="BO68" s="86">
        <f t="shared" si="128"/>
        <v>1762.7009851047037</v>
      </c>
      <c r="BP68" s="86">
        <f t="shared" si="128"/>
        <v>2276.2520780784921</v>
      </c>
      <c r="BQ68" s="86">
        <f t="shared" si="128"/>
        <v>2344.5396404208468</v>
      </c>
      <c r="BR68" s="86">
        <f t="shared" si="110"/>
        <v>2414.8758296334722</v>
      </c>
      <c r="BS68" s="86">
        <f t="shared" si="111"/>
        <v>2487.3221045224764</v>
      </c>
      <c r="BT68" s="86">
        <f t="shared" si="112"/>
        <v>2561.9417676581506</v>
      </c>
      <c r="BU68" s="86">
        <f t="shared" si="113"/>
        <v>2638.8000206878951</v>
      </c>
      <c r="BV68" s="86">
        <f t="shared" si="114"/>
        <v>2717.9640213085322</v>
      </c>
      <c r="BW68" s="86">
        <f t="shared" si="115"/>
        <v>2799.5029419477883</v>
      </c>
      <c r="BX68" s="86">
        <f t="shared" si="116"/>
        <v>2883.488030206222</v>
      </c>
      <c r="BY68" s="86">
        <f t="shared" si="117"/>
        <v>2969.9926711124085</v>
      </c>
      <c r="BZ68" s="86">
        <f t="shared" si="118"/>
        <v>3059.0924512457805</v>
      </c>
      <c r="CA68" s="86">
        <f t="shared" si="119"/>
        <v>3150.8652247831542</v>
      </c>
      <c r="CB68" s="86">
        <f t="shared" si="120"/>
        <v>3245.3911815266488</v>
      </c>
      <c r="CC68" s="86">
        <f t="shared" si="121"/>
        <v>3342.7529169724485</v>
      </c>
      <c r="CD68" s="86">
        <f t="shared" si="122"/>
        <v>3443.0355044816215</v>
      </c>
      <c r="CE68" s="86"/>
      <c r="CF68" s="438"/>
      <c r="CG68" s="235">
        <f t="shared" si="123"/>
        <v>703.78254725673173</v>
      </c>
      <c r="CH68" s="235">
        <f t="shared" si="39"/>
        <v>0</v>
      </c>
      <c r="CI68" s="235" t="e">
        <f>BM68-#REF!</f>
        <v>#REF!</v>
      </c>
      <c r="CJ68" s="235">
        <f t="shared" si="92"/>
        <v>0</v>
      </c>
      <c r="CK68" s="235">
        <f t="shared" si="93"/>
        <v>0</v>
      </c>
      <c r="CL68" s="235">
        <f t="shared" si="94"/>
        <v>0</v>
      </c>
      <c r="CM68" s="235">
        <f t="shared" si="95"/>
        <v>0</v>
      </c>
      <c r="CN68" s="235">
        <f t="shared" si="96"/>
        <v>0</v>
      </c>
      <c r="CO68" s="235">
        <f t="shared" si="97"/>
        <v>0</v>
      </c>
      <c r="CP68" s="235">
        <f t="shared" si="98"/>
        <v>0</v>
      </c>
      <c r="CQ68" s="235">
        <f t="shared" si="99"/>
        <v>0</v>
      </c>
      <c r="CR68" s="235">
        <f t="shared" si="100"/>
        <v>0</v>
      </c>
      <c r="CS68" s="235">
        <f t="shared" si="101"/>
        <v>0</v>
      </c>
      <c r="CT68" s="235">
        <f t="shared" si="102"/>
        <v>0</v>
      </c>
      <c r="CU68" s="235">
        <f t="shared" si="103"/>
        <v>0</v>
      </c>
      <c r="CV68" s="235">
        <f t="shared" si="104"/>
        <v>0</v>
      </c>
      <c r="CW68" s="235">
        <f t="shared" si="105"/>
        <v>0</v>
      </c>
      <c r="CX68" s="235">
        <f t="shared" si="106"/>
        <v>0</v>
      </c>
      <c r="CY68" s="235">
        <f t="shared" si="107"/>
        <v>0</v>
      </c>
      <c r="CZ68" s="235">
        <f t="shared" si="108"/>
        <v>0</v>
      </c>
      <c r="DA68" s="38"/>
      <c r="DB68" s="236">
        <v>743.122525</v>
      </c>
      <c r="DC68" s="236">
        <v>744.12252499999988</v>
      </c>
      <c r="DD68" s="236">
        <v>800.22239999999988</v>
      </c>
      <c r="DE68" s="236">
        <v>1894.05</v>
      </c>
      <c r="DF68" s="401">
        <v>1163.5192337071994</v>
      </c>
      <c r="DG68" s="236">
        <v>1457.7043641922266</v>
      </c>
      <c r="DH68" s="492">
        <v>1888.0444625956645</v>
      </c>
      <c r="DI68" s="236">
        <v>1786.3884965692116</v>
      </c>
      <c r="DJ68" s="236">
        <v>1762.7009851047037</v>
      </c>
      <c r="DK68" s="236">
        <v>2276.2520780784921</v>
      </c>
      <c r="DL68" s="236">
        <v>2344.5396404208468</v>
      </c>
      <c r="DM68" s="236">
        <v>2414.8758296334722</v>
      </c>
      <c r="DN68" s="236">
        <v>2487.3221045224764</v>
      </c>
      <c r="DO68" s="236">
        <v>2561.9417676581506</v>
      </c>
      <c r="DP68" s="236">
        <v>2638.8000206878951</v>
      </c>
      <c r="DQ68" s="401">
        <v>2717.9640213085322</v>
      </c>
      <c r="DR68" s="401">
        <v>2799.5029419477883</v>
      </c>
      <c r="DS68" s="401">
        <v>2883.488030206222</v>
      </c>
      <c r="DT68" s="401">
        <v>2969.9926711124085</v>
      </c>
      <c r="DU68" s="401">
        <v>3059.0924512457805</v>
      </c>
      <c r="DV68" s="401">
        <v>3150.8652247831542</v>
      </c>
      <c r="DW68" s="401">
        <v>3245.3911815266488</v>
      </c>
      <c r="DX68" s="401">
        <v>3342.7529169724485</v>
      </c>
      <c r="DY68" s="401">
        <v>3443.0355044816215</v>
      </c>
      <c r="DZ68" s="401"/>
      <c r="EA68" s="989"/>
    </row>
    <row r="69" spans="1:131" s="76" customFormat="1">
      <c r="A69" s="76" t="s">
        <v>3864</v>
      </c>
      <c r="B69" s="73" t="s">
        <v>1631</v>
      </c>
      <c r="C69" s="51" t="s">
        <v>4413</v>
      </c>
      <c r="D69" s="209" t="s">
        <v>3426</v>
      </c>
      <c r="E69" s="209"/>
      <c r="F69" s="295">
        <f t="shared" ref="F69:AT69" si="129">1000*F93/F26</f>
        <v>0</v>
      </c>
      <c r="G69" s="295">
        <f t="shared" si="129"/>
        <v>0</v>
      </c>
      <c r="H69" s="295">
        <f t="shared" si="129"/>
        <v>0</v>
      </c>
      <c r="I69" s="295"/>
      <c r="J69" s="295">
        <f t="shared" si="129"/>
        <v>0</v>
      </c>
      <c r="K69" s="295">
        <f t="shared" si="129"/>
        <v>0</v>
      </c>
      <c r="L69" s="295">
        <f t="shared" si="129"/>
        <v>0</v>
      </c>
      <c r="M69" s="295">
        <f t="shared" si="129"/>
        <v>0</v>
      </c>
      <c r="N69" s="295">
        <f t="shared" si="129"/>
        <v>8.9900758902510217E-2</v>
      </c>
      <c r="O69" s="295">
        <f t="shared" si="129"/>
        <v>9.3803786574870901E-2</v>
      </c>
      <c r="P69" s="295">
        <f t="shared" si="129"/>
        <v>0.11268317331985853</v>
      </c>
      <c r="Q69" s="295">
        <f t="shared" si="129"/>
        <v>0.10068499577742329</v>
      </c>
      <c r="R69" s="295">
        <f t="shared" si="129"/>
        <v>0</v>
      </c>
      <c r="S69" s="295">
        <f t="shared" si="129"/>
        <v>0.12765017667844522</v>
      </c>
      <c r="T69" s="295">
        <f t="shared" si="129"/>
        <v>0.12662355455691349</v>
      </c>
      <c r="U69" s="295">
        <f t="shared" si="129"/>
        <v>0.1269258302468175</v>
      </c>
      <c r="V69" s="295">
        <f t="shared" si="129"/>
        <v>0.12291259814276034</v>
      </c>
      <c r="W69" s="295">
        <f t="shared" si="129"/>
        <v>0.12347136933816197</v>
      </c>
      <c r="X69" s="295">
        <f t="shared" si="129"/>
        <v>0.11595956540371574</v>
      </c>
      <c r="Y69" s="295">
        <f t="shared" si="129"/>
        <v>0.12644749101557301</v>
      </c>
      <c r="Z69" s="295">
        <f t="shared" si="129"/>
        <v>0.11560025432055952</v>
      </c>
      <c r="AA69" s="295">
        <f t="shared" si="129"/>
        <v>0.15941460865020252</v>
      </c>
      <c r="AB69" s="295">
        <f t="shared" si="129"/>
        <v>0.2</v>
      </c>
      <c r="AC69" s="295">
        <f t="shared" si="129"/>
        <v>0.21611721611721613</v>
      </c>
      <c r="AD69" s="295">
        <f t="shared" si="129"/>
        <v>0.2413793103448276</v>
      </c>
      <c r="AE69" s="295">
        <f t="shared" si="129"/>
        <v>0.27106227106227104</v>
      </c>
      <c r="AF69" s="295">
        <f t="shared" si="129"/>
        <v>0.30882352941176472</v>
      </c>
      <c r="AG69" s="295">
        <f t="shared" si="129"/>
        <v>0.35602191780821918</v>
      </c>
      <c r="AH69" s="295">
        <f t="shared" si="129"/>
        <v>0.35176399999999997</v>
      </c>
      <c r="AI69" s="295">
        <f t="shared" si="129"/>
        <v>0.41044776119402987</v>
      </c>
      <c r="AJ69" s="295">
        <f t="shared" si="129"/>
        <v>0.45845272206303728</v>
      </c>
      <c r="AK69" s="295">
        <f t="shared" si="129"/>
        <v>0.49061662198391426</v>
      </c>
      <c r="AL69" s="295">
        <f t="shared" si="129"/>
        <v>0.5527777777777777</v>
      </c>
      <c r="AM69" s="295">
        <f t="shared" si="129"/>
        <v>0.52160493827160492</v>
      </c>
      <c r="AN69" s="295">
        <f t="shared" si="129"/>
        <v>1.0168539325842696</v>
      </c>
      <c r="AO69" s="295">
        <f t="shared" si="129"/>
        <v>0.3611111111111111</v>
      </c>
      <c r="AP69" s="295">
        <f t="shared" si="129"/>
        <v>0.65017667844522964</v>
      </c>
      <c r="AQ69" s="295">
        <f t="shared" si="129"/>
        <v>0.57801418439716312</v>
      </c>
      <c r="AR69" s="295">
        <f t="shared" si="129"/>
        <v>0.79933110367892979</v>
      </c>
      <c r="AS69" s="295">
        <f t="shared" si="129"/>
        <v>0.51773049645390068</v>
      </c>
      <c r="AT69" s="295">
        <f t="shared" si="129"/>
        <v>38.267267267267272</v>
      </c>
      <c r="AU69" s="295">
        <f>1000*AU93/AU26</f>
        <v>122.73529411764706</v>
      </c>
      <c r="AV69" s="86">
        <f t="shared" si="126"/>
        <v>181.83151524999997</v>
      </c>
      <c r="AW69" s="86">
        <f t="shared" si="127"/>
        <v>186.67352000000002</v>
      </c>
      <c r="AX69" s="86">
        <f t="shared" ref="AX69:BQ69" si="130">AW69*AX47/AW47*AX$363/AW$363</f>
        <v>181.37230000000002</v>
      </c>
      <c r="AY69" s="86">
        <f t="shared" si="130"/>
        <v>435.45842399999998</v>
      </c>
      <c r="AZ69" s="86">
        <f t="shared" si="130"/>
        <v>324.11830974615708</v>
      </c>
      <c r="BA69" s="86">
        <f t="shared" si="130"/>
        <v>465.95164702934608</v>
      </c>
      <c r="BB69" s="86">
        <f t="shared" si="130"/>
        <v>497.64112710940697</v>
      </c>
      <c r="BC69" s="86">
        <f t="shared" si="130"/>
        <v>572.73259999999982</v>
      </c>
      <c r="BD69" s="86">
        <f t="shared" si="130"/>
        <v>681.44536764954228</v>
      </c>
      <c r="BE69" s="86">
        <f t="shared" si="130"/>
        <v>727.54499999999985</v>
      </c>
      <c r="BF69" s="86">
        <f t="shared" si="130"/>
        <v>832.34874999999977</v>
      </c>
      <c r="BG69" s="86">
        <f t="shared" si="130"/>
        <v>1041.2333999999996</v>
      </c>
      <c r="BH69" s="86">
        <f t="shared" si="130"/>
        <v>1319.4665999999995</v>
      </c>
      <c r="BI69" s="86">
        <f t="shared" si="130"/>
        <v>1303.6184999999996</v>
      </c>
      <c r="BJ69" s="86">
        <f t="shared" si="130"/>
        <v>1471.9909999999993</v>
      </c>
      <c r="BK69" s="86">
        <f t="shared" si="130"/>
        <v>1622.8874999999994</v>
      </c>
      <c r="BL69" s="86">
        <f t="shared" si="130"/>
        <v>1697.8804999999991</v>
      </c>
      <c r="BM69" s="86">
        <f t="shared" si="130"/>
        <v>1564.4499999999991</v>
      </c>
      <c r="BN69" s="86">
        <f t="shared" si="130"/>
        <v>1657.646999999999</v>
      </c>
      <c r="BO69" s="86">
        <f t="shared" si="130"/>
        <v>1659.5698705199991</v>
      </c>
      <c r="BP69" s="86">
        <f t="shared" si="130"/>
        <v>2143.0744059311987</v>
      </c>
      <c r="BQ69" s="86">
        <f t="shared" si="130"/>
        <v>2207.3666381091348</v>
      </c>
      <c r="BR69" s="86">
        <f t="shared" si="110"/>
        <v>2273.587637252409</v>
      </c>
      <c r="BS69" s="86">
        <f t="shared" si="111"/>
        <v>2341.7952663699812</v>
      </c>
      <c r="BT69" s="86">
        <f t="shared" si="112"/>
        <v>2412.0491243610809</v>
      </c>
      <c r="BU69" s="86">
        <f t="shared" si="113"/>
        <v>2484.4105980919135</v>
      </c>
      <c r="BV69" s="86">
        <f t="shared" si="114"/>
        <v>2558.9429160346708</v>
      </c>
      <c r="BW69" s="86">
        <f t="shared" si="115"/>
        <v>2635.7112035157111</v>
      </c>
      <c r="BX69" s="86">
        <f t="shared" si="116"/>
        <v>2714.7825396211824</v>
      </c>
      <c r="BY69" s="86">
        <f t="shared" si="117"/>
        <v>2796.2260158098179</v>
      </c>
      <c r="BZ69" s="86">
        <f t="shared" si="118"/>
        <v>2880.1127962841124</v>
      </c>
      <c r="CA69" s="86">
        <f t="shared" si="119"/>
        <v>2966.5161801726363</v>
      </c>
      <c r="CB69" s="86">
        <f t="shared" si="120"/>
        <v>3055.5116655778156</v>
      </c>
      <c r="CC69" s="86">
        <f t="shared" si="121"/>
        <v>3147.1770155451504</v>
      </c>
      <c r="CD69" s="86">
        <f t="shared" si="122"/>
        <v>3241.5923260115046</v>
      </c>
      <c r="CE69" s="86"/>
      <c r="CF69" s="438"/>
      <c r="CG69" s="235">
        <f t="shared" si="123"/>
        <v>0</v>
      </c>
      <c r="CH69" s="235">
        <f t="shared" si="39"/>
        <v>0</v>
      </c>
      <c r="CI69" s="235" t="e">
        <f>BM69-#REF!</f>
        <v>#REF!</v>
      </c>
      <c r="CJ69" s="235">
        <f t="shared" si="92"/>
        <v>0</v>
      </c>
      <c r="CK69" s="235">
        <f t="shared" si="93"/>
        <v>0</v>
      </c>
      <c r="CL69" s="235">
        <f t="shared" si="94"/>
        <v>0</v>
      </c>
      <c r="CM69" s="235">
        <f t="shared" si="95"/>
        <v>0</v>
      </c>
      <c r="CN69" s="235">
        <f t="shared" si="96"/>
        <v>0</v>
      </c>
      <c r="CO69" s="235">
        <f t="shared" si="97"/>
        <v>0</v>
      </c>
      <c r="CP69" s="235">
        <f t="shared" si="98"/>
        <v>0</v>
      </c>
      <c r="CQ69" s="235">
        <f t="shared" si="99"/>
        <v>0</v>
      </c>
      <c r="CR69" s="235">
        <f t="shared" si="100"/>
        <v>0</v>
      </c>
      <c r="CS69" s="235">
        <f t="shared" si="101"/>
        <v>0</v>
      </c>
      <c r="CT69" s="235">
        <f t="shared" si="102"/>
        <v>0</v>
      </c>
      <c r="CU69" s="235">
        <f t="shared" si="103"/>
        <v>0</v>
      </c>
      <c r="CV69" s="235">
        <f t="shared" si="104"/>
        <v>0</v>
      </c>
      <c r="CW69" s="235">
        <f t="shared" si="105"/>
        <v>0</v>
      </c>
      <c r="CX69" s="235">
        <f t="shared" si="106"/>
        <v>0</v>
      </c>
      <c r="CY69" s="235">
        <f t="shared" si="107"/>
        <v>0</v>
      </c>
      <c r="CZ69" s="235">
        <f t="shared" si="108"/>
        <v>0</v>
      </c>
      <c r="DA69" s="38"/>
      <c r="DB69" s="236">
        <v>1026.1211000000001</v>
      </c>
      <c r="DC69" s="236">
        <v>1027.1211000000001</v>
      </c>
      <c r="DD69" s="236">
        <v>1028.08485</v>
      </c>
      <c r="DE69" s="236">
        <v>1388.8053</v>
      </c>
      <c r="DF69" s="401">
        <v>1318.6153078047096</v>
      </c>
      <c r="DG69" s="236">
        <v>1622.8874999999994</v>
      </c>
      <c r="DH69" s="492">
        <v>1697.8804999999991</v>
      </c>
      <c r="DI69" s="236">
        <v>1657.646999999999</v>
      </c>
      <c r="DJ69" s="236">
        <v>1659.5698705199991</v>
      </c>
      <c r="DK69" s="236">
        <v>2143.0744059311987</v>
      </c>
      <c r="DL69" s="236">
        <v>2207.3666381091348</v>
      </c>
      <c r="DM69" s="236">
        <v>2273.587637252409</v>
      </c>
      <c r="DN69" s="236">
        <v>2341.7952663699812</v>
      </c>
      <c r="DO69" s="236">
        <v>2412.0491243610809</v>
      </c>
      <c r="DP69" s="236">
        <v>2484.4105980919135</v>
      </c>
      <c r="DQ69" s="401">
        <v>2558.9429160346708</v>
      </c>
      <c r="DR69" s="401">
        <v>2635.7112035157111</v>
      </c>
      <c r="DS69" s="401">
        <v>2714.7825396211824</v>
      </c>
      <c r="DT69" s="401">
        <v>2796.2260158098179</v>
      </c>
      <c r="DU69" s="401">
        <v>2880.1127962841124</v>
      </c>
      <c r="DV69" s="401">
        <v>2966.5161801726363</v>
      </c>
      <c r="DW69" s="401">
        <v>3055.5116655778156</v>
      </c>
      <c r="DX69" s="401">
        <v>3147.1770155451504</v>
      </c>
      <c r="DY69" s="401">
        <v>3241.5923260115046</v>
      </c>
      <c r="DZ69" s="401"/>
      <c r="EA69" s="989"/>
    </row>
    <row r="70" spans="1:131" s="76" customFormat="1">
      <c r="A70" s="76" t="s">
        <v>3865</v>
      </c>
      <c r="B70" s="73" t="s">
        <v>171</v>
      </c>
      <c r="C70" s="51" t="s">
        <v>1294</v>
      </c>
      <c r="D70" s="209" t="s">
        <v>3426</v>
      </c>
      <c r="E70" s="209"/>
      <c r="F70" s="295">
        <f t="shared" ref="F70:AT70" si="131">1000*F94/F27</f>
        <v>0.82949308755760365</v>
      </c>
      <c r="G70" s="295">
        <f t="shared" si="131"/>
        <v>1.0483870967741935</v>
      </c>
      <c r="H70" s="295">
        <f t="shared" si="131"/>
        <v>1.4001372683596431</v>
      </c>
      <c r="I70" s="295"/>
      <c r="J70" s="295">
        <f t="shared" si="131"/>
        <v>1.2629852378348825</v>
      </c>
      <c r="K70" s="295">
        <f t="shared" si="131"/>
        <v>1.7557603686635945</v>
      </c>
      <c r="L70" s="295">
        <f t="shared" si="131"/>
        <v>1.2330112985099064</v>
      </c>
      <c r="M70" s="295">
        <f t="shared" si="131"/>
        <v>0.97446236559139787</v>
      </c>
      <c r="N70" s="295">
        <f t="shared" si="131"/>
        <v>1.1708482676224612</v>
      </c>
      <c r="O70" s="295">
        <f t="shared" si="131"/>
        <v>1.2339094312528849</v>
      </c>
      <c r="P70" s="295">
        <f t="shared" si="131"/>
        <v>1.0399800722381367</v>
      </c>
      <c r="Q70" s="295">
        <f t="shared" si="131"/>
        <v>1.144873271889401</v>
      </c>
      <c r="R70" s="295">
        <f t="shared" si="131"/>
        <v>0</v>
      </c>
      <c r="S70" s="295">
        <f t="shared" si="131"/>
        <v>0.78176718092566633</v>
      </c>
      <c r="T70" s="295">
        <f t="shared" si="131"/>
        <v>0.32682240476732388</v>
      </c>
      <c r="U70" s="295">
        <f t="shared" si="131"/>
        <v>0.33467459366593577</v>
      </c>
      <c r="V70" s="295">
        <f t="shared" si="131"/>
        <v>0.35702693930542034</v>
      </c>
      <c r="W70" s="295">
        <f t="shared" si="131"/>
        <v>0.3803727653100038</v>
      </c>
      <c r="X70" s="295">
        <f t="shared" si="131"/>
        <v>0.33613445378151258</v>
      </c>
      <c r="Y70" s="295">
        <f t="shared" si="131"/>
        <v>0.52259452812788187</v>
      </c>
      <c r="Z70" s="295">
        <f t="shared" si="131"/>
        <v>6.1573546180159635</v>
      </c>
      <c r="AA70" s="295">
        <f t="shared" si="131"/>
        <v>6.8735498839907194</v>
      </c>
      <c r="AB70" s="295">
        <f t="shared" si="131"/>
        <v>13.112033195020746</v>
      </c>
      <c r="AC70" s="295">
        <f t="shared" si="131"/>
        <v>13.493723849372385</v>
      </c>
      <c r="AD70" s="295">
        <f t="shared" si="131"/>
        <v>14.289551437013163</v>
      </c>
      <c r="AE70" s="295">
        <f t="shared" si="131"/>
        <v>14.506828528072838</v>
      </c>
      <c r="AF70" s="295">
        <f t="shared" si="131"/>
        <v>18.295081967213115</v>
      </c>
      <c r="AG70" s="295">
        <f t="shared" si="131"/>
        <v>19.000855263157895</v>
      </c>
      <c r="AH70" s="295">
        <f t="shared" si="131"/>
        <v>22.696545454545458</v>
      </c>
      <c r="AI70" s="295">
        <f t="shared" si="131"/>
        <v>17.766000000000002</v>
      </c>
      <c r="AJ70" s="295">
        <f t="shared" si="131"/>
        <v>19.454545454545457</v>
      </c>
      <c r="AK70" s="295">
        <f t="shared" si="131"/>
        <v>19.909090909090907</v>
      </c>
      <c r="AL70" s="295">
        <f t="shared" si="131"/>
        <v>25.407407407407405</v>
      </c>
      <c r="AM70" s="295">
        <f t="shared" si="131"/>
        <v>23.967741935483868</v>
      </c>
      <c r="AN70" s="295">
        <f t="shared" si="131"/>
        <v>23.913043478260871</v>
      </c>
      <c r="AO70" s="295">
        <f t="shared" si="131"/>
        <v>22.35</v>
      </c>
      <c r="AP70" s="295">
        <f t="shared" si="131"/>
        <v>19.227866823628847</v>
      </c>
      <c r="AQ70" s="295">
        <f t="shared" si="131"/>
        <v>18.725125595354601</v>
      </c>
      <c r="AR70" s="295">
        <f t="shared" si="131"/>
        <v>33.575395130286196</v>
      </c>
      <c r="AS70" s="295">
        <f t="shared" si="131"/>
        <v>30.411622276029053</v>
      </c>
      <c r="AT70" s="295">
        <f t="shared" si="131"/>
        <v>2198.828941865328</v>
      </c>
      <c r="AU70" s="295">
        <f>1000*AU94/AU27</f>
        <v>5585.3444230769228</v>
      </c>
      <c r="AV70" s="86">
        <f t="shared" si="126"/>
        <v>7126.6827799568073</v>
      </c>
      <c r="AW70" s="86">
        <f t="shared" si="127"/>
        <v>5753.4247593176269</v>
      </c>
      <c r="AX70" s="86">
        <f t="shared" ref="AX70:BQ70" si="132">AW70*AX48/AW48*AX$363/AW$363</f>
        <v>3258.9849912129353</v>
      </c>
      <c r="AY70" s="86">
        <f t="shared" si="132"/>
        <v>7101.1571171621581</v>
      </c>
      <c r="AZ70" s="86">
        <f t="shared" si="132"/>
        <v>7400.226751831673</v>
      </c>
      <c r="BA70" s="86">
        <f t="shared" si="132"/>
        <v>11564.080731134056</v>
      </c>
      <c r="BB70" s="86">
        <f t="shared" si="132"/>
        <v>9714.4283073961415</v>
      </c>
      <c r="BC70" s="86">
        <f t="shared" si="132"/>
        <v>10332.789952341154</v>
      </c>
      <c r="BD70" s="86">
        <f t="shared" si="132"/>
        <v>12101.038980668711</v>
      </c>
      <c r="BE70" s="86">
        <f t="shared" si="132"/>
        <v>12629.554228014487</v>
      </c>
      <c r="BF70" s="86">
        <f t="shared" si="132"/>
        <v>10821.426559819763</v>
      </c>
      <c r="BG70" s="86">
        <f t="shared" si="132"/>
        <v>12222.207726047145</v>
      </c>
      <c r="BH70" s="86">
        <f t="shared" si="132"/>
        <v>9609.5609493713473</v>
      </c>
      <c r="BI70" s="86">
        <f t="shared" si="132"/>
        <v>10855.768566419378</v>
      </c>
      <c r="BJ70" s="86">
        <f t="shared" si="132"/>
        <v>6878.6551750828867</v>
      </c>
      <c r="BK70" s="86">
        <f t="shared" si="132"/>
        <v>14656.129741616276</v>
      </c>
      <c r="BL70" s="86">
        <f t="shared" si="132"/>
        <v>14638.933384954151</v>
      </c>
      <c r="BM70" s="86">
        <f t="shared" si="132"/>
        <v>13785.552961718768</v>
      </c>
      <c r="BN70" s="86">
        <f t="shared" si="132"/>
        <v>14416.669435675918</v>
      </c>
      <c r="BO70" s="86">
        <f t="shared" si="132"/>
        <v>12918.777481309191</v>
      </c>
      <c r="BP70" s="86">
        <f t="shared" si="132"/>
        <v>16682.576532580166</v>
      </c>
      <c r="BQ70" s="86">
        <f t="shared" si="132"/>
        <v>17183.053828557571</v>
      </c>
      <c r="BR70" s="86">
        <f t="shared" si="110"/>
        <v>17698.545443414299</v>
      </c>
      <c r="BS70" s="86">
        <f t="shared" si="111"/>
        <v>18229.501806716729</v>
      </c>
      <c r="BT70" s="86">
        <f t="shared" si="112"/>
        <v>18776.386860918232</v>
      </c>
      <c r="BU70" s="86">
        <f t="shared" si="113"/>
        <v>19339.67846674578</v>
      </c>
      <c r="BV70" s="86">
        <f t="shared" si="114"/>
        <v>19919.868820748154</v>
      </c>
      <c r="BW70" s="86">
        <f t="shared" si="115"/>
        <v>20517.464885370598</v>
      </c>
      <c r="BX70" s="86">
        <f t="shared" si="116"/>
        <v>21132.988831931718</v>
      </c>
      <c r="BY70" s="86">
        <f t="shared" si="117"/>
        <v>21766.978496889671</v>
      </c>
      <c r="BZ70" s="86">
        <f t="shared" si="118"/>
        <v>22419.987851796363</v>
      </c>
      <c r="CA70" s="86">
        <f t="shared" si="119"/>
        <v>23092.587487350251</v>
      </c>
      <c r="CB70" s="86">
        <f t="shared" si="120"/>
        <v>23785.365111970761</v>
      </c>
      <c r="CC70" s="86">
        <f t="shared" si="121"/>
        <v>24498.926065329888</v>
      </c>
      <c r="CD70" s="86">
        <f t="shared" si="122"/>
        <v>25233.893847289786</v>
      </c>
      <c r="CE70" s="86"/>
      <c r="CF70" s="438"/>
      <c r="CG70" s="235">
        <f t="shared" si="123"/>
        <v>7326.4152107902482</v>
      </c>
      <c r="CH70" s="235">
        <f t="shared" si="39"/>
        <v>0</v>
      </c>
      <c r="CI70" s="235" t="e">
        <f>BM70-#REF!</f>
        <v>#REF!</v>
      </c>
      <c r="CJ70" s="235">
        <f t="shared" si="92"/>
        <v>0</v>
      </c>
      <c r="CK70" s="235">
        <f t="shared" si="93"/>
        <v>0</v>
      </c>
      <c r="CL70" s="235">
        <f t="shared" si="94"/>
        <v>0</v>
      </c>
      <c r="CM70" s="235">
        <f t="shared" si="95"/>
        <v>0</v>
      </c>
      <c r="CN70" s="235">
        <f t="shared" si="96"/>
        <v>0</v>
      </c>
      <c r="CO70" s="235">
        <f t="shared" si="97"/>
        <v>0</v>
      </c>
      <c r="CP70" s="235">
        <f t="shared" si="98"/>
        <v>0</v>
      </c>
      <c r="CQ70" s="235">
        <f t="shared" si="99"/>
        <v>0</v>
      </c>
      <c r="CR70" s="235">
        <f t="shared" si="100"/>
        <v>0</v>
      </c>
      <c r="CS70" s="235">
        <f t="shared" si="101"/>
        <v>0</v>
      </c>
      <c r="CT70" s="235">
        <f t="shared" si="102"/>
        <v>0</v>
      </c>
      <c r="CU70" s="235">
        <f t="shared" si="103"/>
        <v>0</v>
      </c>
      <c r="CV70" s="235">
        <f t="shared" si="104"/>
        <v>0</v>
      </c>
      <c r="CW70" s="235">
        <f t="shared" si="105"/>
        <v>0</v>
      </c>
      <c r="CX70" s="235">
        <f t="shared" si="106"/>
        <v>0</v>
      </c>
      <c r="CY70" s="235">
        <f t="shared" si="107"/>
        <v>0</v>
      </c>
      <c r="CZ70" s="235">
        <f t="shared" si="108"/>
        <v>0</v>
      </c>
      <c r="DA70" s="38"/>
      <c r="DB70" s="236">
        <v>10806.8413522019</v>
      </c>
      <c r="DC70" s="236">
        <v>10807.841352201896</v>
      </c>
      <c r="DD70" s="236">
        <v>12253.665375251061</v>
      </c>
      <c r="DE70" s="236">
        <v>9297.8389049245143</v>
      </c>
      <c r="DF70" s="401">
        <v>10855.768566419378</v>
      </c>
      <c r="DG70" s="236">
        <v>7329.7145308260278</v>
      </c>
      <c r="DH70" s="492">
        <v>14638.933384954151</v>
      </c>
      <c r="DI70" s="236">
        <v>14416.669435675918</v>
      </c>
      <c r="DJ70" s="236">
        <v>12918.777481309191</v>
      </c>
      <c r="DK70" s="236">
        <v>16682.576532580166</v>
      </c>
      <c r="DL70" s="236">
        <v>17183.053828557571</v>
      </c>
      <c r="DM70" s="236">
        <v>17698.545443414299</v>
      </c>
      <c r="DN70" s="236">
        <v>18229.501806716729</v>
      </c>
      <c r="DO70" s="236">
        <v>18776.386860918232</v>
      </c>
      <c r="DP70" s="236">
        <v>19339.67846674578</v>
      </c>
      <c r="DQ70" s="401">
        <v>19919.868820748154</v>
      </c>
      <c r="DR70" s="401">
        <v>20517.464885370598</v>
      </c>
      <c r="DS70" s="401">
        <v>21132.988831931718</v>
      </c>
      <c r="DT70" s="401">
        <v>21766.978496889671</v>
      </c>
      <c r="DU70" s="401">
        <v>22419.987851796363</v>
      </c>
      <c r="DV70" s="401">
        <v>23092.587487350251</v>
      </c>
      <c r="DW70" s="401">
        <v>23785.365111970761</v>
      </c>
      <c r="DX70" s="401">
        <v>24498.926065329888</v>
      </c>
      <c r="DY70" s="401">
        <v>25233.893847289786</v>
      </c>
      <c r="DZ70" s="401"/>
      <c r="EA70" s="989"/>
    </row>
    <row r="71" spans="1:131" s="76" customFormat="1">
      <c r="A71" s="76" t="s">
        <v>3866</v>
      </c>
      <c r="B71" s="73" t="s">
        <v>4523</v>
      </c>
      <c r="C71" s="51" t="s">
        <v>1228</v>
      </c>
      <c r="D71" s="209" t="s">
        <v>3426</v>
      </c>
      <c r="E71" s="209"/>
      <c r="F71" s="295"/>
      <c r="G71" s="295"/>
      <c r="H71" s="295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>
        <f t="shared" ref="AP71:AT72" si="133">1000*AP95/AP28</f>
        <v>3.0593111615513675</v>
      </c>
      <c r="AQ71" s="295">
        <f t="shared" si="133"/>
        <v>1.7338534893801472</v>
      </c>
      <c r="AR71" s="295">
        <f t="shared" si="133"/>
        <v>1.903225806451613</v>
      </c>
      <c r="AS71" s="295">
        <f t="shared" si="133"/>
        <v>1.2448979591836733</v>
      </c>
      <c r="AT71" s="295">
        <f t="shared" si="133"/>
        <v>106.42553191489361</v>
      </c>
      <c r="AU71" s="295">
        <f>1000*AU95/AU28</f>
        <v>297.46184782608697</v>
      </c>
      <c r="AV71" s="86">
        <f t="shared" si="126"/>
        <v>341.25425583657574</v>
      </c>
      <c r="AW71" s="86">
        <f t="shared" si="127"/>
        <v>253.76096648928518</v>
      </c>
      <c r="AX71" s="86">
        <f t="shared" ref="AX71:BQ71" si="134">AW71*AX49/AW49*AX$363/AW$363</f>
        <v>218.82673942701214</v>
      </c>
      <c r="AY71" s="86">
        <f t="shared" si="134"/>
        <v>511.19915074309995</v>
      </c>
      <c r="AZ71" s="86">
        <f t="shared" si="134"/>
        <v>810.73448228833308</v>
      </c>
      <c r="BA71" s="86">
        <f t="shared" si="134"/>
        <v>1449.7419884817864</v>
      </c>
      <c r="BB71" s="86">
        <f t="shared" si="134"/>
        <v>1872.2977641492007</v>
      </c>
      <c r="BC71" s="86">
        <f t="shared" si="134"/>
        <v>2272.7915290364899</v>
      </c>
      <c r="BD71" s="86">
        <f t="shared" si="134"/>
        <v>2198.1922984042972</v>
      </c>
      <c r="BE71" s="86">
        <f t="shared" si="134"/>
        <v>2125.4197044846101</v>
      </c>
      <c r="BF71" s="86">
        <f t="shared" si="134"/>
        <v>2181.8631209133882</v>
      </c>
      <c r="BG71" s="86">
        <f t="shared" si="134"/>
        <v>1969.7240835410337</v>
      </c>
      <c r="BH71" s="86">
        <f t="shared" si="134"/>
        <v>1925.4023505333671</v>
      </c>
      <c r="BI71" s="86">
        <f t="shared" si="134"/>
        <v>2349.4628349197242</v>
      </c>
      <c r="BJ71" s="86">
        <f t="shared" si="134"/>
        <v>2294.6828315543949</v>
      </c>
      <c r="BK71" s="86">
        <f t="shared" si="134"/>
        <v>2620.9754109496007</v>
      </c>
      <c r="BL71" s="86">
        <f t="shared" si="134"/>
        <v>2888.9050786699195</v>
      </c>
      <c r="BM71" s="86">
        <f t="shared" si="134"/>
        <v>2813.1679021854252</v>
      </c>
      <c r="BN71" s="86">
        <f t="shared" si="134"/>
        <v>2849.9661698723489</v>
      </c>
      <c r="BO71" s="86">
        <f t="shared" si="134"/>
        <v>2906.110503418834</v>
      </c>
      <c r="BP71" s="86">
        <f t="shared" si="134"/>
        <v>3752.786279937277</v>
      </c>
      <c r="BQ71" s="86">
        <f t="shared" si="134"/>
        <v>3865.3698683353955</v>
      </c>
      <c r="BR71" s="86">
        <f t="shared" si="110"/>
        <v>3981.3309643854568</v>
      </c>
      <c r="BS71" s="86">
        <f t="shared" si="111"/>
        <v>4100.7708933170206</v>
      </c>
      <c r="BT71" s="86">
        <f t="shared" si="112"/>
        <v>4223.794020116532</v>
      </c>
      <c r="BU71" s="86">
        <f t="shared" si="113"/>
        <v>4350.5078407200281</v>
      </c>
      <c r="BV71" s="86">
        <f t="shared" si="114"/>
        <v>4481.0230759416299</v>
      </c>
      <c r="BW71" s="86">
        <f t="shared" si="115"/>
        <v>4615.4537682198779</v>
      </c>
      <c r="BX71" s="86">
        <f t="shared" si="116"/>
        <v>4753.9173812664749</v>
      </c>
      <c r="BY71" s="86">
        <f t="shared" si="117"/>
        <v>4896.5349027044695</v>
      </c>
      <c r="BZ71" s="86">
        <f t="shared" si="118"/>
        <v>5043.4309497856038</v>
      </c>
      <c r="CA71" s="86">
        <f t="shared" si="119"/>
        <v>5194.7338782791721</v>
      </c>
      <c r="CB71" s="86">
        <f t="shared" si="120"/>
        <v>5350.5758946275473</v>
      </c>
      <c r="CC71" s="86">
        <f t="shared" si="121"/>
        <v>5511.0931714663739</v>
      </c>
      <c r="CD71" s="86">
        <f t="shared" si="122"/>
        <v>5676.4259666103653</v>
      </c>
      <c r="CE71" s="86"/>
      <c r="CF71" s="438"/>
      <c r="CG71" s="235">
        <f t="shared" si="123"/>
        <v>148.57047775330057</v>
      </c>
      <c r="CH71" s="235">
        <f t="shared" si="39"/>
        <v>0</v>
      </c>
      <c r="CI71" s="235" t="e">
        <f>BM71-#REF!</f>
        <v>#REF!</v>
      </c>
      <c r="CJ71" s="235">
        <f t="shared" si="92"/>
        <v>0</v>
      </c>
      <c r="CK71" s="235">
        <f t="shared" si="93"/>
        <v>0</v>
      </c>
      <c r="CL71" s="235">
        <f t="shared" si="94"/>
        <v>0</v>
      </c>
      <c r="CM71" s="235">
        <f t="shared" si="95"/>
        <v>0</v>
      </c>
      <c r="CN71" s="235">
        <f t="shared" si="96"/>
        <v>0</v>
      </c>
      <c r="CO71" s="235">
        <f t="shared" si="97"/>
        <v>0</v>
      </c>
      <c r="CP71" s="235">
        <f t="shared" si="98"/>
        <v>0</v>
      </c>
      <c r="CQ71" s="235">
        <f t="shared" si="99"/>
        <v>0</v>
      </c>
      <c r="CR71" s="235">
        <f t="shared" si="100"/>
        <v>0</v>
      </c>
      <c r="CS71" s="235">
        <f t="shared" si="101"/>
        <v>0</v>
      </c>
      <c r="CT71" s="235">
        <f t="shared" si="102"/>
        <v>0</v>
      </c>
      <c r="CU71" s="235">
        <f t="shared" si="103"/>
        <v>0</v>
      </c>
      <c r="CV71" s="235">
        <f t="shared" si="104"/>
        <v>0</v>
      </c>
      <c r="CW71" s="235">
        <f t="shared" si="105"/>
        <v>0</v>
      </c>
      <c r="CX71" s="235">
        <f t="shared" si="106"/>
        <v>0</v>
      </c>
      <c r="CY71" s="235">
        <f t="shared" si="107"/>
        <v>0</v>
      </c>
      <c r="CZ71" s="235">
        <f t="shared" si="108"/>
        <v>0</v>
      </c>
      <c r="DA71" s="38"/>
      <c r="DB71" s="236">
        <v>2161.9236174945499</v>
      </c>
      <c r="DC71" s="236">
        <v>2162.9236174945527</v>
      </c>
      <c r="DD71" s="236">
        <v>1969.8063421473842</v>
      </c>
      <c r="DE71" s="236">
        <v>1925.5998589709054</v>
      </c>
      <c r="DF71" s="401">
        <v>2349.4628349197242</v>
      </c>
      <c r="DG71" s="236">
        <v>2472.4049331963001</v>
      </c>
      <c r="DH71" s="492">
        <v>2888.9050786699195</v>
      </c>
      <c r="DI71" s="236">
        <v>2849.9661698723489</v>
      </c>
      <c r="DJ71" s="236">
        <v>2906.110503418834</v>
      </c>
      <c r="DK71" s="236">
        <v>3752.786279937277</v>
      </c>
      <c r="DL71" s="236">
        <v>3865.3698683353955</v>
      </c>
      <c r="DM71" s="236">
        <v>3981.3309643854568</v>
      </c>
      <c r="DN71" s="236">
        <v>4100.7708933170206</v>
      </c>
      <c r="DO71" s="236">
        <v>4223.794020116532</v>
      </c>
      <c r="DP71" s="236">
        <v>4350.5078407200281</v>
      </c>
      <c r="DQ71" s="401">
        <v>4481.0230759416299</v>
      </c>
      <c r="DR71" s="401">
        <v>4615.4537682198779</v>
      </c>
      <c r="DS71" s="401">
        <v>4753.9173812664749</v>
      </c>
      <c r="DT71" s="401">
        <v>4896.5349027044695</v>
      </c>
      <c r="DU71" s="401">
        <v>5043.4309497856038</v>
      </c>
      <c r="DV71" s="401">
        <v>5194.7338782791721</v>
      </c>
      <c r="DW71" s="401">
        <v>5350.5758946275473</v>
      </c>
      <c r="DX71" s="401">
        <v>5511.0931714663739</v>
      </c>
      <c r="DY71" s="401">
        <v>5676.4259666103653</v>
      </c>
      <c r="DZ71" s="401"/>
      <c r="EA71" s="989"/>
    </row>
    <row r="72" spans="1:131" s="76" customFormat="1">
      <c r="A72" s="76" t="s">
        <v>3867</v>
      </c>
      <c r="B72" s="73" t="s">
        <v>4051</v>
      </c>
      <c r="C72" s="51" t="s">
        <v>1295</v>
      </c>
      <c r="D72" s="209" t="s">
        <v>981</v>
      </c>
      <c r="E72" s="209"/>
      <c r="F72" s="295"/>
      <c r="G72" s="295"/>
      <c r="H72" s="295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>
        <f t="shared" si="133"/>
        <v>0.3857629425113332</v>
      </c>
      <c r="AQ72" s="295">
        <f t="shared" si="133"/>
        <v>0.3857629425113332</v>
      </c>
      <c r="AR72" s="295">
        <f t="shared" si="133"/>
        <v>0.32463111009150453</v>
      </c>
      <c r="AS72" s="295">
        <f t="shared" si="133"/>
        <v>0.41255203574128696</v>
      </c>
      <c r="AT72" s="295">
        <f t="shared" si="133"/>
        <v>14.209924184917469</v>
      </c>
      <c r="AU72" s="295">
        <f>1000*AU96/AU29</f>
        <v>156.08434784230744</v>
      </c>
      <c r="AV72" s="86">
        <f t="shared" si="126"/>
        <v>49.477114814814811</v>
      </c>
      <c r="AW72" s="86">
        <f t="shared" si="127"/>
        <v>34.524806451612903</v>
      </c>
      <c r="AX72" s="86">
        <f t="shared" ref="AX72:BQ72" si="135">AW72*AX50/AW50*AX$363/AW$363</f>
        <v>34.001272322442858</v>
      </c>
      <c r="AY72" s="86">
        <f t="shared" si="135"/>
        <v>85.281069106864493</v>
      </c>
      <c r="AZ72" s="86">
        <f t="shared" si="135"/>
        <v>169.80856614958992</v>
      </c>
      <c r="BA72" s="86">
        <f t="shared" si="135"/>
        <v>313.70617360937882</v>
      </c>
      <c r="BB72" s="86">
        <f t="shared" si="135"/>
        <v>290.28690489140916</v>
      </c>
      <c r="BC72" s="86">
        <f t="shared" si="135"/>
        <v>451.4412705195204</v>
      </c>
      <c r="BD72" s="86">
        <f t="shared" si="135"/>
        <v>410.07808241141572</v>
      </c>
      <c r="BE72" s="86">
        <f t="shared" si="135"/>
        <v>435.28729743857804</v>
      </c>
      <c r="BF72" s="86">
        <f t="shared" si="135"/>
        <v>384.78774115755613</v>
      </c>
      <c r="BG72" s="86">
        <f t="shared" si="135"/>
        <v>612.74836728347032</v>
      </c>
      <c r="BH72" s="86">
        <f t="shared" si="135"/>
        <v>344.66580310880806</v>
      </c>
      <c r="BI72" s="86">
        <f t="shared" si="135"/>
        <v>364.00820656525201</v>
      </c>
      <c r="BJ72" s="86">
        <f t="shared" si="135"/>
        <v>402.43186842703346</v>
      </c>
      <c r="BK72" s="86">
        <f t="shared" si="135"/>
        <v>423.63895911428807</v>
      </c>
      <c r="BL72" s="86">
        <f t="shared" si="135"/>
        <v>450.28086541369208</v>
      </c>
      <c r="BM72" s="86">
        <f t="shared" si="135"/>
        <v>446.30432747808169</v>
      </c>
      <c r="BN72" s="86">
        <f t="shared" si="135"/>
        <v>332.69469647234399</v>
      </c>
      <c r="BO72" s="86">
        <f t="shared" si="135"/>
        <v>350.21439918857766</v>
      </c>
      <c r="BP72" s="86">
        <f t="shared" si="135"/>
        <v>452.24701220590657</v>
      </c>
      <c r="BQ72" s="86">
        <f t="shared" si="135"/>
        <v>465.81442257208374</v>
      </c>
      <c r="BR72" s="86">
        <f t="shared" si="110"/>
        <v>479.78885524924624</v>
      </c>
      <c r="BS72" s="86">
        <f t="shared" si="111"/>
        <v>494.18252090672365</v>
      </c>
      <c r="BT72" s="86">
        <f t="shared" si="112"/>
        <v>509.00799653392528</v>
      </c>
      <c r="BU72" s="86">
        <f t="shared" si="113"/>
        <v>524.27823642994304</v>
      </c>
      <c r="BV72" s="86">
        <f t="shared" si="114"/>
        <v>540.00658352284131</v>
      </c>
      <c r="BW72" s="86">
        <f t="shared" si="115"/>
        <v>556.20678102852651</v>
      </c>
      <c r="BX72" s="86">
        <f t="shared" si="116"/>
        <v>572.89298445938232</v>
      </c>
      <c r="BY72" s="86">
        <f t="shared" si="117"/>
        <v>590.07977399316383</v>
      </c>
      <c r="BZ72" s="86">
        <f t="shared" si="118"/>
        <v>607.78216721295871</v>
      </c>
      <c r="CA72" s="86">
        <f t="shared" si="119"/>
        <v>626.01563222934749</v>
      </c>
      <c r="CB72" s="86">
        <f t="shared" si="120"/>
        <v>644.79610119622794</v>
      </c>
      <c r="CC72" s="86">
        <f t="shared" si="121"/>
        <v>664.13998423211478</v>
      </c>
      <c r="CD72" s="86">
        <f t="shared" si="122"/>
        <v>684.06418375907833</v>
      </c>
      <c r="CE72" s="86"/>
      <c r="CF72" s="438"/>
      <c r="CG72" s="235">
        <f t="shared" si="123"/>
        <v>-40.64675517142598</v>
      </c>
      <c r="CH72" s="235">
        <f t="shared" ref="CH72:CH104" si="136">BL72-DH72</f>
        <v>0</v>
      </c>
      <c r="CI72" s="235" t="e">
        <f>BM72-#REF!</f>
        <v>#REF!</v>
      </c>
      <c r="CJ72" s="235">
        <f t="shared" si="92"/>
        <v>0</v>
      </c>
      <c r="CK72" s="235">
        <f t="shared" si="93"/>
        <v>0</v>
      </c>
      <c r="CL72" s="235">
        <f t="shared" si="94"/>
        <v>0</v>
      </c>
      <c r="CM72" s="235">
        <f t="shared" si="95"/>
        <v>0</v>
      </c>
      <c r="CN72" s="235">
        <f t="shared" si="96"/>
        <v>0</v>
      </c>
      <c r="CO72" s="235">
        <f t="shared" si="97"/>
        <v>0</v>
      </c>
      <c r="CP72" s="235">
        <f t="shared" si="98"/>
        <v>0</v>
      </c>
      <c r="CQ72" s="235">
        <f t="shared" si="99"/>
        <v>0</v>
      </c>
      <c r="CR72" s="235">
        <f t="shared" si="100"/>
        <v>0</v>
      </c>
      <c r="CS72" s="235">
        <f t="shared" si="101"/>
        <v>0</v>
      </c>
      <c r="CT72" s="235">
        <f t="shared" si="102"/>
        <v>0</v>
      </c>
      <c r="CU72" s="235">
        <f t="shared" si="103"/>
        <v>0</v>
      </c>
      <c r="CV72" s="235">
        <f t="shared" si="104"/>
        <v>0</v>
      </c>
      <c r="CW72" s="235">
        <f t="shared" si="105"/>
        <v>0</v>
      </c>
      <c r="CX72" s="235">
        <f t="shared" si="106"/>
        <v>0</v>
      </c>
      <c r="CY72" s="235">
        <f t="shared" si="107"/>
        <v>0</v>
      </c>
      <c r="CZ72" s="235">
        <f t="shared" si="108"/>
        <v>0</v>
      </c>
      <c r="DA72" s="38"/>
      <c r="DB72" s="236">
        <v>358.18170935232502</v>
      </c>
      <c r="DC72" s="236">
        <v>359.18170935232462</v>
      </c>
      <c r="DD72" s="236">
        <v>389.65798904848822</v>
      </c>
      <c r="DE72" s="236">
        <v>433.71</v>
      </c>
      <c r="DF72" s="401">
        <v>103.02889943342768</v>
      </c>
      <c r="DG72" s="236">
        <v>464.28571428571405</v>
      </c>
      <c r="DH72" s="492">
        <v>450.28086541369208</v>
      </c>
      <c r="DI72" s="236">
        <v>332.69469647234399</v>
      </c>
      <c r="DJ72" s="236">
        <v>350.21439918857766</v>
      </c>
      <c r="DK72" s="236">
        <v>452.24701220590657</v>
      </c>
      <c r="DL72" s="236">
        <v>465.81442257208374</v>
      </c>
      <c r="DM72" s="236">
        <v>479.78885524924624</v>
      </c>
      <c r="DN72" s="236">
        <v>494.18252090672365</v>
      </c>
      <c r="DO72" s="236">
        <v>509.00799653392528</v>
      </c>
      <c r="DP72" s="236">
        <v>524.27823642994304</v>
      </c>
      <c r="DQ72" s="401">
        <v>540.00658352284131</v>
      </c>
      <c r="DR72" s="401">
        <v>556.20678102852651</v>
      </c>
      <c r="DS72" s="401">
        <v>572.89298445938232</v>
      </c>
      <c r="DT72" s="401">
        <v>590.07977399316383</v>
      </c>
      <c r="DU72" s="401">
        <v>607.78216721295871</v>
      </c>
      <c r="DV72" s="401">
        <v>626.01563222934749</v>
      </c>
      <c r="DW72" s="401">
        <v>644.79610119622794</v>
      </c>
      <c r="DX72" s="401">
        <v>664.13998423211478</v>
      </c>
      <c r="DY72" s="401">
        <v>684.06418375907833</v>
      </c>
      <c r="DZ72" s="401"/>
      <c r="EA72" s="989"/>
    </row>
    <row r="73" spans="1:131" s="76" customFormat="1">
      <c r="A73" s="76" t="s">
        <v>3868</v>
      </c>
      <c r="B73" s="73" t="s">
        <v>4464</v>
      </c>
      <c r="C73" s="51" t="s">
        <v>2304</v>
      </c>
      <c r="D73" s="209" t="s">
        <v>981</v>
      </c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44">
        <v>0</v>
      </c>
      <c r="AV73" s="86">
        <f t="shared" si="126"/>
        <v>102.94863055555555</v>
      </c>
      <c r="AW73" s="86">
        <f t="shared" si="127"/>
        <v>117.8801724137931</v>
      </c>
      <c r="AX73" s="86">
        <f t="shared" ref="AX73:BQ73" si="137">AW73*AX51/AW51*AX$363/AW$363</f>
        <v>121.26626506024094</v>
      </c>
      <c r="AY73" s="86">
        <f t="shared" si="137"/>
        <v>205.84095624999995</v>
      </c>
      <c r="AZ73" s="86">
        <f t="shared" si="137"/>
        <v>328.29455445544539</v>
      </c>
      <c r="BA73" s="86">
        <f t="shared" si="137"/>
        <v>607.08046525323903</v>
      </c>
      <c r="BB73" s="86">
        <f t="shared" si="137"/>
        <v>592.1273194444442</v>
      </c>
      <c r="BC73" s="86">
        <f t="shared" si="137"/>
        <v>641.25040583792054</v>
      </c>
      <c r="BD73" s="86">
        <f t="shared" si="137"/>
        <v>767.7071999999996</v>
      </c>
      <c r="BE73" s="86">
        <f t="shared" si="137"/>
        <v>819.58085106382919</v>
      </c>
      <c r="BF73" s="86">
        <f t="shared" si="137"/>
        <v>856.36774193548342</v>
      </c>
      <c r="BG73" s="86">
        <f t="shared" si="137"/>
        <v>681.67499999999961</v>
      </c>
      <c r="BH73" s="86">
        <f t="shared" si="137"/>
        <v>759.01239130434737</v>
      </c>
      <c r="BI73" s="86">
        <f t="shared" si="137"/>
        <v>895.89418604651109</v>
      </c>
      <c r="BJ73" s="86">
        <f t="shared" si="137"/>
        <v>1081.0555555555545</v>
      </c>
      <c r="BK73" s="86">
        <f t="shared" si="137"/>
        <v>1147.6874615857398</v>
      </c>
      <c r="BL73" s="86">
        <f t="shared" si="137"/>
        <v>1089.8033181696539</v>
      </c>
      <c r="BM73" s="86">
        <f t="shared" si="137"/>
        <v>1132.8966591470614</v>
      </c>
      <c r="BN73" s="86">
        <f t="shared" si="137"/>
        <v>663.81999885948858</v>
      </c>
      <c r="BO73" s="86">
        <f t="shared" si="137"/>
        <v>675.52978363936984</v>
      </c>
      <c r="BP73" s="86">
        <f t="shared" si="137"/>
        <v>872.34084896236243</v>
      </c>
      <c r="BQ73" s="86">
        <f t="shared" si="137"/>
        <v>898.51107443123328</v>
      </c>
      <c r="BR73" s="86">
        <f t="shared" si="110"/>
        <v>925.46640666417034</v>
      </c>
      <c r="BS73" s="86">
        <f t="shared" si="111"/>
        <v>953.23039886409549</v>
      </c>
      <c r="BT73" s="86">
        <f t="shared" si="112"/>
        <v>981.82731083001829</v>
      </c>
      <c r="BU73" s="86">
        <f t="shared" si="113"/>
        <v>1011.2821301549187</v>
      </c>
      <c r="BV73" s="86">
        <f t="shared" si="114"/>
        <v>1041.6205940595662</v>
      </c>
      <c r="BW73" s="86">
        <f t="shared" si="115"/>
        <v>1072.8692118813533</v>
      </c>
      <c r="BX73" s="86">
        <f t="shared" si="116"/>
        <v>1105.055288237794</v>
      </c>
      <c r="BY73" s="86">
        <f t="shared" si="117"/>
        <v>1138.2069468849279</v>
      </c>
      <c r="BZ73" s="86">
        <f t="shared" si="118"/>
        <v>1172.3531552914758</v>
      </c>
      <c r="CA73" s="86">
        <f t="shared" si="119"/>
        <v>1207.52374995022</v>
      </c>
      <c r="CB73" s="86">
        <f t="shared" si="120"/>
        <v>1243.7494624487267</v>
      </c>
      <c r="CC73" s="86">
        <f t="shared" si="121"/>
        <v>1281.0619463221885</v>
      </c>
      <c r="CD73" s="86">
        <f t="shared" si="122"/>
        <v>1319.4938047118542</v>
      </c>
      <c r="CE73" s="86"/>
      <c r="CF73" s="438"/>
      <c r="CG73" s="235">
        <f t="shared" si="123"/>
        <v>45.832622876063397</v>
      </c>
      <c r="CH73" s="235">
        <f t="shared" si="136"/>
        <v>0</v>
      </c>
      <c r="CI73" s="235" t="e">
        <f>BM73-#REF!</f>
        <v>#REF!</v>
      </c>
      <c r="CJ73" s="235">
        <f t="shared" si="92"/>
        <v>0</v>
      </c>
      <c r="CK73" s="235">
        <f t="shared" si="93"/>
        <v>0</v>
      </c>
      <c r="CL73" s="235">
        <f t="shared" si="94"/>
        <v>0</v>
      </c>
      <c r="CM73" s="235">
        <f t="shared" si="95"/>
        <v>0</v>
      </c>
      <c r="CN73" s="235">
        <f t="shared" si="96"/>
        <v>0</v>
      </c>
      <c r="CO73" s="235">
        <f t="shared" si="97"/>
        <v>0</v>
      </c>
      <c r="CP73" s="235">
        <f t="shared" si="98"/>
        <v>0</v>
      </c>
      <c r="CQ73" s="235">
        <f t="shared" si="99"/>
        <v>0</v>
      </c>
      <c r="CR73" s="235">
        <f t="shared" si="100"/>
        <v>0</v>
      </c>
      <c r="CS73" s="235">
        <f t="shared" si="101"/>
        <v>0</v>
      </c>
      <c r="CT73" s="235">
        <f t="shared" si="102"/>
        <v>0</v>
      </c>
      <c r="CU73" s="235">
        <f t="shared" si="103"/>
        <v>0</v>
      </c>
      <c r="CV73" s="235">
        <f t="shared" si="104"/>
        <v>0</v>
      </c>
      <c r="CW73" s="235">
        <f t="shared" si="105"/>
        <v>0</v>
      </c>
      <c r="CX73" s="235">
        <f t="shared" si="106"/>
        <v>0</v>
      </c>
      <c r="CY73" s="235">
        <f t="shared" si="107"/>
        <v>0</v>
      </c>
      <c r="CZ73" s="235">
        <f t="shared" si="108"/>
        <v>0</v>
      </c>
      <c r="DA73" s="38"/>
      <c r="DB73" s="236">
        <v>380.04946429852902</v>
      </c>
      <c r="DC73" s="236">
        <v>381.04946429852879</v>
      </c>
      <c r="DD73" s="236">
        <v>374.02889037695161</v>
      </c>
      <c r="DE73" s="236">
        <v>313.39095096982754</v>
      </c>
      <c r="DF73" s="401">
        <v>895.89418604651109</v>
      </c>
      <c r="DG73" s="236">
        <v>1101.8548387096764</v>
      </c>
      <c r="DH73" s="492">
        <v>1089.8033181696539</v>
      </c>
      <c r="DI73" s="236">
        <v>663.81999885948858</v>
      </c>
      <c r="DJ73" s="236">
        <v>675.52978363936984</v>
      </c>
      <c r="DK73" s="236">
        <v>872.34084896236243</v>
      </c>
      <c r="DL73" s="236">
        <v>898.51107443123328</v>
      </c>
      <c r="DM73" s="236">
        <v>925.46640666417034</v>
      </c>
      <c r="DN73" s="236">
        <v>953.23039886409549</v>
      </c>
      <c r="DO73" s="236">
        <v>981.82731083001829</v>
      </c>
      <c r="DP73" s="236">
        <v>1011.2821301549187</v>
      </c>
      <c r="DQ73" s="401">
        <v>1041.6205940595662</v>
      </c>
      <c r="DR73" s="401">
        <v>1072.8692118813533</v>
      </c>
      <c r="DS73" s="401">
        <v>1105.055288237794</v>
      </c>
      <c r="DT73" s="401">
        <v>1138.2069468849279</v>
      </c>
      <c r="DU73" s="401">
        <v>1172.3531552914758</v>
      </c>
      <c r="DV73" s="401">
        <v>1207.52374995022</v>
      </c>
      <c r="DW73" s="401">
        <v>1243.7494624487267</v>
      </c>
      <c r="DX73" s="401">
        <v>1281.0619463221885</v>
      </c>
      <c r="DY73" s="401">
        <v>1319.4938047118542</v>
      </c>
      <c r="DZ73" s="401"/>
      <c r="EA73" s="989"/>
    </row>
    <row r="74" spans="1:131" s="76" customFormat="1">
      <c r="A74" s="76" t="s">
        <v>3869</v>
      </c>
      <c r="B74" s="73" t="s">
        <v>212</v>
      </c>
      <c r="C74" s="51" t="s">
        <v>1227</v>
      </c>
      <c r="D74" s="209" t="s">
        <v>213</v>
      </c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44">
        <v>0</v>
      </c>
      <c r="AV74" s="86">
        <f t="shared" si="126"/>
        <v>298.12783000000002</v>
      </c>
      <c r="AW74" s="86">
        <f t="shared" si="127"/>
        <v>333.63200000000006</v>
      </c>
      <c r="AX74" s="86">
        <f t="shared" ref="AX74:BQ74" si="138">AW74*AX52/AW52*AX$363/AW$363</f>
        <v>361.78220000000005</v>
      </c>
      <c r="AY74" s="86">
        <f t="shared" si="138"/>
        <v>822.761888</v>
      </c>
      <c r="AZ74" s="86">
        <f t="shared" si="138"/>
        <v>1269.013408</v>
      </c>
      <c r="BA74" s="86">
        <f t="shared" si="138"/>
        <v>2084.3888000000002</v>
      </c>
      <c r="BB74" s="86">
        <f t="shared" si="138"/>
        <v>2226.4209760000003</v>
      </c>
      <c r="BC74" s="86">
        <f t="shared" si="138"/>
        <v>2490.8661439999996</v>
      </c>
      <c r="BD74" s="86">
        <f t="shared" si="138"/>
        <v>2615.8912</v>
      </c>
      <c r="BE74" s="86">
        <f t="shared" si="138"/>
        <v>2558.0100000000002</v>
      </c>
      <c r="BF74" s="86">
        <f t="shared" si="138"/>
        <v>2569.7225000000003</v>
      </c>
      <c r="BG74" s="86">
        <f t="shared" si="138"/>
        <v>2572.0650000000005</v>
      </c>
      <c r="BH74" s="86">
        <f t="shared" si="138"/>
        <v>2572.0650000000001</v>
      </c>
      <c r="BI74" s="86">
        <f t="shared" si="138"/>
        <v>2670.45</v>
      </c>
      <c r="BJ74" s="86">
        <f t="shared" si="138"/>
        <v>2857.8499999999995</v>
      </c>
      <c r="BK74" s="86">
        <f t="shared" si="138"/>
        <v>3045.25</v>
      </c>
      <c r="BL74" s="86">
        <f t="shared" si="138"/>
        <v>3138.95</v>
      </c>
      <c r="BM74" s="86">
        <f t="shared" si="138"/>
        <v>3138.95</v>
      </c>
      <c r="BN74" s="86">
        <f t="shared" si="138"/>
        <v>3138.95</v>
      </c>
      <c r="BO74" s="86">
        <f t="shared" si="138"/>
        <v>3233.1185</v>
      </c>
      <c r="BP74" s="86">
        <f t="shared" si="138"/>
        <v>4175.0658599999997</v>
      </c>
      <c r="BQ74" s="86">
        <f t="shared" si="138"/>
        <v>4300.3178358000005</v>
      </c>
      <c r="BR74" s="86">
        <f t="shared" si="110"/>
        <v>4429.3273708740007</v>
      </c>
      <c r="BS74" s="86">
        <f t="shared" si="111"/>
        <v>4562.2071920002209</v>
      </c>
      <c r="BT74" s="86">
        <f t="shared" si="112"/>
        <v>4699.0734077602274</v>
      </c>
      <c r="BU74" s="86">
        <f t="shared" si="113"/>
        <v>4840.0456099930343</v>
      </c>
      <c r="BV74" s="86">
        <f t="shared" si="114"/>
        <v>4985.2469782928256</v>
      </c>
      <c r="BW74" s="86">
        <f t="shared" si="115"/>
        <v>5134.8043876416114</v>
      </c>
      <c r="BX74" s="86">
        <f t="shared" si="116"/>
        <v>5288.8485192708595</v>
      </c>
      <c r="BY74" s="86">
        <f t="shared" si="117"/>
        <v>5447.5139748489846</v>
      </c>
      <c r="BZ74" s="86">
        <f t="shared" si="118"/>
        <v>5610.9393940944547</v>
      </c>
      <c r="CA74" s="86">
        <f t="shared" si="119"/>
        <v>5779.2675759172889</v>
      </c>
      <c r="CB74" s="86">
        <f t="shared" si="120"/>
        <v>5952.6456031948082</v>
      </c>
      <c r="CC74" s="86">
        <f t="shared" si="121"/>
        <v>6131.2249712906523</v>
      </c>
      <c r="CD74" s="86">
        <f t="shared" si="122"/>
        <v>6315.1617204293725</v>
      </c>
      <c r="CE74" s="86"/>
      <c r="CF74" s="438"/>
      <c r="CG74" s="235">
        <f t="shared" si="123"/>
        <v>0</v>
      </c>
      <c r="CH74" s="235">
        <f t="shared" si="136"/>
        <v>0</v>
      </c>
      <c r="CI74" s="235" t="e">
        <f>BM74-#REF!</f>
        <v>#REF!</v>
      </c>
      <c r="CJ74" s="235">
        <f t="shared" si="92"/>
        <v>0</v>
      </c>
      <c r="CK74" s="235">
        <f t="shared" si="93"/>
        <v>0</v>
      </c>
      <c r="CL74" s="235">
        <f t="shared" si="94"/>
        <v>0</v>
      </c>
      <c r="CM74" s="235">
        <f t="shared" si="95"/>
        <v>0</v>
      </c>
      <c r="CN74" s="235">
        <f t="shared" si="96"/>
        <v>0</v>
      </c>
      <c r="CO74" s="235">
        <f t="shared" si="97"/>
        <v>0</v>
      </c>
      <c r="CP74" s="235">
        <f t="shared" si="98"/>
        <v>0</v>
      </c>
      <c r="CQ74" s="235">
        <f t="shared" si="99"/>
        <v>0</v>
      </c>
      <c r="CR74" s="235">
        <f t="shared" si="100"/>
        <v>0</v>
      </c>
      <c r="CS74" s="235">
        <f t="shared" si="101"/>
        <v>0</v>
      </c>
      <c r="CT74" s="235">
        <f t="shared" si="102"/>
        <v>0</v>
      </c>
      <c r="CU74" s="235">
        <f t="shared" si="103"/>
        <v>0</v>
      </c>
      <c r="CV74" s="235">
        <f t="shared" si="104"/>
        <v>0</v>
      </c>
      <c r="CW74" s="235">
        <f t="shared" si="105"/>
        <v>0</v>
      </c>
      <c r="CX74" s="235">
        <f t="shared" si="106"/>
        <v>0</v>
      </c>
      <c r="CY74" s="235">
        <f t="shared" si="107"/>
        <v>0</v>
      </c>
      <c r="CZ74" s="235">
        <f t="shared" si="108"/>
        <v>0</v>
      </c>
      <c r="DA74" s="38"/>
      <c r="DB74" s="236">
        <v>2758.7994335317399</v>
      </c>
      <c r="DC74" s="236">
        <v>2759.7994335317367</v>
      </c>
      <c r="DD74" s="236">
        <v>2966.8953885370943</v>
      </c>
      <c r="DE74" s="236">
        <v>3263.5632712200832</v>
      </c>
      <c r="DF74" s="401">
        <v>2670.45</v>
      </c>
      <c r="DG74" s="236">
        <v>3045.25</v>
      </c>
      <c r="DH74" s="492">
        <v>3138.95</v>
      </c>
      <c r="DI74" s="236">
        <v>3138.95</v>
      </c>
      <c r="DJ74" s="236">
        <v>3233.1185</v>
      </c>
      <c r="DK74" s="236">
        <v>4175.0658599999997</v>
      </c>
      <c r="DL74" s="236">
        <v>4300.3178358000005</v>
      </c>
      <c r="DM74" s="236">
        <v>4429.3273708740007</v>
      </c>
      <c r="DN74" s="236">
        <v>4562.2071920002209</v>
      </c>
      <c r="DO74" s="236">
        <v>4699.0734077602274</v>
      </c>
      <c r="DP74" s="236">
        <v>4840.0456099930343</v>
      </c>
      <c r="DQ74" s="401">
        <v>4985.2469782928256</v>
      </c>
      <c r="DR74" s="401">
        <v>5134.8043876416114</v>
      </c>
      <c r="DS74" s="401">
        <v>5288.8485192708595</v>
      </c>
      <c r="DT74" s="401">
        <v>5447.5139748489846</v>
      </c>
      <c r="DU74" s="401">
        <v>5610.9393940944547</v>
      </c>
      <c r="DV74" s="401">
        <v>5779.2675759172889</v>
      </c>
      <c r="DW74" s="401">
        <v>5952.6456031948082</v>
      </c>
      <c r="DX74" s="401">
        <v>6131.2249712906523</v>
      </c>
      <c r="DY74" s="401">
        <v>6315.1617204293725</v>
      </c>
      <c r="DZ74" s="401"/>
      <c r="EA74" s="989"/>
    </row>
    <row r="75" spans="1:131" s="76" customFormat="1">
      <c r="A75" s="76" t="s">
        <v>3870</v>
      </c>
      <c r="B75" s="87" t="s">
        <v>640</v>
      </c>
      <c r="C75" s="51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44">
        <v>0</v>
      </c>
      <c r="AV75" s="86">
        <f t="shared" si="126"/>
        <v>40.092500000000001</v>
      </c>
      <c r="AW75" s="86">
        <f t="shared" si="127"/>
        <v>40.100000000000009</v>
      </c>
      <c r="AX75" s="86">
        <f t="shared" ref="AX75:BQ75" si="139">AW75*AX53/AW53*AX$363/AW$363</f>
        <v>40.100000000000009</v>
      </c>
      <c r="AY75" s="86">
        <f t="shared" si="139"/>
        <v>85.991000000000014</v>
      </c>
      <c r="AZ75" s="86">
        <f t="shared" si="139"/>
        <v>132.63100000000003</v>
      </c>
      <c r="BA75" s="86">
        <f t="shared" si="139"/>
        <v>217.85000000000008</v>
      </c>
      <c r="BB75" s="86">
        <f t="shared" si="139"/>
        <v>232.69450000000009</v>
      </c>
      <c r="BC75" s="86">
        <f t="shared" si="139"/>
        <v>260.33300000000003</v>
      </c>
      <c r="BD75" s="86">
        <f t="shared" si="139"/>
        <v>273.40000000000003</v>
      </c>
      <c r="BE75" s="86">
        <f t="shared" si="139"/>
        <v>273</v>
      </c>
      <c r="BF75" s="86">
        <f t="shared" si="139"/>
        <v>274.25000000000006</v>
      </c>
      <c r="BG75" s="86">
        <f t="shared" si="139"/>
        <v>274.50000000000006</v>
      </c>
      <c r="BH75" s="86">
        <f t="shared" si="139"/>
        <v>274.50000000000006</v>
      </c>
      <c r="BI75" s="86">
        <f t="shared" si="139"/>
        <v>285.00000000000006</v>
      </c>
      <c r="BJ75" s="86">
        <f t="shared" si="139"/>
        <v>305.00000000000006</v>
      </c>
      <c r="BK75" s="86">
        <f t="shared" si="139"/>
        <v>325.00000000000011</v>
      </c>
      <c r="BL75" s="86">
        <f t="shared" si="139"/>
        <v>335.00000000000011</v>
      </c>
      <c r="BM75" s="86">
        <f t="shared" si="139"/>
        <v>335.00000000000017</v>
      </c>
      <c r="BN75" s="86">
        <f t="shared" si="139"/>
        <v>335.00000000000017</v>
      </c>
      <c r="BO75" s="86">
        <f t="shared" si="139"/>
        <v>345.05000000000013</v>
      </c>
      <c r="BP75" s="86">
        <f t="shared" si="139"/>
        <v>445.5780000000002</v>
      </c>
      <c r="BQ75" s="86">
        <f t="shared" si="139"/>
        <v>458.94534000000021</v>
      </c>
      <c r="BR75" s="86">
        <f t="shared" si="110"/>
        <v>472.71370020000023</v>
      </c>
      <c r="BS75" s="86">
        <f t="shared" si="111"/>
        <v>486.89511120600025</v>
      </c>
      <c r="BT75" s="86">
        <f t="shared" si="112"/>
        <v>501.50196454218019</v>
      </c>
      <c r="BU75" s="86">
        <f t="shared" si="113"/>
        <v>516.54702347844557</v>
      </c>
      <c r="BV75" s="86">
        <f t="shared" si="114"/>
        <v>532.04343418279905</v>
      </c>
      <c r="BW75" s="86">
        <f t="shared" si="115"/>
        <v>548.00473720828302</v>
      </c>
      <c r="BX75" s="86">
        <f t="shared" si="116"/>
        <v>564.4448793245316</v>
      </c>
      <c r="BY75" s="86">
        <f t="shared" si="117"/>
        <v>581.37822570426761</v>
      </c>
      <c r="BZ75" s="86">
        <f t="shared" si="118"/>
        <v>598.8195724753956</v>
      </c>
      <c r="CA75" s="86">
        <f t="shared" si="119"/>
        <v>616.78415964965745</v>
      </c>
      <c r="CB75" s="86">
        <f t="shared" si="120"/>
        <v>635.28768443914714</v>
      </c>
      <c r="CC75" s="86">
        <f t="shared" si="121"/>
        <v>654.34631497232158</v>
      </c>
      <c r="CD75" s="86">
        <f t="shared" si="122"/>
        <v>673.97670442149126</v>
      </c>
      <c r="CE75" s="86"/>
      <c r="CF75" s="438"/>
      <c r="CG75" s="235">
        <f t="shared" si="123"/>
        <v>0</v>
      </c>
      <c r="CH75" s="235">
        <f t="shared" si="136"/>
        <v>0</v>
      </c>
      <c r="CI75" s="235" t="e">
        <f>BM75-#REF!</f>
        <v>#REF!</v>
      </c>
      <c r="CJ75" s="235">
        <f t="shared" si="92"/>
        <v>0</v>
      </c>
      <c r="CK75" s="235">
        <f t="shared" si="93"/>
        <v>0</v>
      </c>
      <c r="CL75" s="235">
        <f t="shared" si="94"/>
        <v>0</v>
      </c>
      <c r="CM75" s="235">
        <f t="shared" si="95"/>
        <v>0</v>
      </c>
      <c r="CN75" s="235">
        <f t="shared" si="96"/>
        <v>0</v>
      </c>
      <c r="CO75" s="235">
        <f t="shared" si="97"/>
        <v>0</v>
      </c>
      <c r="CP75" s="235">
        <f t="shared" si="98"/>
        <v>0</v>
      </c>
      <c r="CQ75" s="235">
        <f t="shared" si="99"/>
        <v>0</v>
      </c>
      <c r="CR75" s="235">
        <f t="shared" si="100"/>
        <v>0</v>
      </c>
      <c r="CS75" s="235">
        <f t="shared" si="101"/>
        <v>0</v>
      </c>
      <c r="CT75" s="235">
        <f t="shared" si="102"/>
        <v>0</v>
      </c>
      <c r="CU75" s="235">
        <f t="shared" si="103"/>
        <v>0</v>
      </c>
      <c r="CV75" s="235">
        <f t="shared" si="104"/>
        <v>0</v>
      </c>
      <c r="CW75" s="235">
        <f t="shared" si="105"/>
        <v>0</v>
      </c>
      <c r="CX75" s="235">
        <f t="shared" si="106"/>
        <v>0</v>
      </c>
      <c r="CY75" s="235">
        <f t="shared" si="107"/>
        <v>0</v>
      </c>
      <c r="CZ75" s="235">
        <f t="shared" si="108"/>
        <v>0</v>
      </c>
      <c r="DA75" s="38"/>
      <c r="DB75" s="236">
        <v>273.25</v>
      </c>
      <c r="DC75" s="236">
        <v>274.25</v>
      </c>
      <c r="DD75" s="236">
        <v>274.5</v>
      </c>
      <c r="DE75" s="236">
        <v>301.94799635036497</v>
      </c>
      <c r="DF75" s="401">
        <v>285</v>
      </c>
      <c r="DG75" s="236">
        <v>325.00000000000011</v>
      </c>
      <c r="DH75" s="492">
        <v>335.00000000000011</v>
      </c>
      <c r="DI75" s="236">
        <v>335.00000000000017</v>
      </c>
      <c r="DJ75" s="236">
        <v>345.05000000000013</v>
      </c>
      <c r="DK75" s="236">
        <v>445.5780000000002</v>
      </c>
      <c r="DL75" s="236">
        <v>458.94534000000021</v>
      </c>
      <c r="DM75" s="236">
        <v>472.71370020000023</v>
      </c>
      <c r="DN75" s="236">
        <v>486.89511120600025</v>
      </c>
      <c r="DO75" s="236">
        <v>501.50196454218019</v>
      </c>
      <c r="DP75" s="236">
        <v>516.54702347844557</v>
      </c>
      <c r="DQ75" s="401">
        <v>532.04343418279905</v>
      </c>
      <c r="DR75" s="401">
        <v>548.00473720828302</v>
      </c>
      <c r="DS75" s="401">
        <v>564.4448793245316</v>
      </c>
      <c r="DT75" s="401">
        <v>581.37822570426761</v>
      </c>
      <c r="DU75" s="401">
        <v>598.8195724753956</v>
      </c>
      <c r="DV75" s="401">
        <v>616.78415964965745</v>
      </c>
      <c r="DW75" s="401">
        <v>635.28768443914714</v>
      </c>
      <c r="DX75" s="401">
        <v>654.34631497232158</v>
      </c>
      <c r="DY75" s="401">
        <v>673.97670442149126</v>
      </c>
      <c r="DZ75" s="401"/>
      <c r="EA75" s="989"/>
    </row>
    <row r="76" spans="1:131">
      <c r="CF76" s="435"/>
      <c r="CG76" s="235">
        <f t="shared" si="123"/>
        <v>0</v>
      </c>
      <c r="CH76" s="235">
        <f t="shared" si="136"/>
        <v>0</v>
      </c>
      <c r="CI76" s="235" t="e">
        <f>BM76-#REF!</f>
        <v>#REF!</v>
      </c>
      <c r="CJ76" s="235">
        <f t="shared" si="92"/>
        <v>0</v>
      </c>
      <c r="CK76" s="235">
        <f t="shared" si="93"/>
        <v>0</v>
      </c>
      <c r="CL76" s="235">
        <f t="shared" si="94"/>
        <v>0</v>
      </c>
      <c r="CM76" s="235">
        <f t="shared" si="95"/>
        <v>0</v>
      </c>
      <c r="CN76" s="235">
        <f t="shared" si="96"/>
        <v>0</v>
      </c>
      <c r="CO76" s="235">
        <f t="shared" si="97"/>
        <v>0</v>
      </c>
      <c r="CP76" s="235">
        <f t="shared" si="98"/>
        <v>0</v>
      </c>
      <c r="CQ76" s="235">
        <f t="shared" si="99"/>
        <v>0</v>
      </c>
      <c r="CR76" s="235">
        <f t="shared" si="100"/>
        <v>0</v>
      </c>
      <c r="CS76" s="235">
        <f t="shared" si="101"/>
        <v>0</v>
      </c>
      <c r="CT76" s="235">
        <f t="shared" si="102"/>
        <v>0</v>
      </c>
      <c r="CU76" s="235">
        <f t="shared" si="103"/>
        <v>0</v>
      </c>
      <c r="CV76" s="235">
        <f t="shared" si="104"/>
        <v>0</v>
      </c>
      <c r="CW76" s="235">
        <f t="shared" si="105"/>
        <v>0</v>
      </c>
      <c r="CX76" s="235">
        <f t="shared" si="106"/>
        <v>0</v>
      </c>
      <c r="CY76" s="235">
        <f t="shared" si="107"/>
        <v>0</v>
      </c>
      <c r="CZ76" s="235">
        <f t="shared" si="108"/>
        <v>0</v>
      </c>
      <c r="DF76" s="258"/>
    </row>
    <row r="77" spans="1:131" s="19" customFormat="1">
      <c r="A77" s="42" t="s">
        <v>3874</v>
      </c>
      <c r="B77" s="42" t="s">
        <v>1530</v>
      </c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42"/>
      <c r="AW77" s="43"/>
      <c r="AX77" s="43"/>
      <c r="AY77" s="13"/>
      <c r="AZ77" s="13"/>
      <c r="BA77" s="13"/>
      <c r="BB77" s="47"/>
      <c r="BC77" s="47"/>
      <c r="BD77" s="47"/>
      <c r="BE77" s="47"/>
      <c r="BF77" s="47"/>
      <c r="BG77" s="47"/>
      <c r="BH77" s="47"/>
      <c r="BI77" s="47"/>
      <c r="BJ77" s="47"/>
      <c r="BK77" s="955">
        <f t="shared" ref="BK77:BQ77" si="140">BK78-BJ78</f>
        <v>1114.75</v>
      </c>
      <c r="BL77" s="955">
        <f t="shared" si="140"/>
        <v>-140.19707799999992</v>
      </c>
      <c r="BM77" s="955">
        <f t="shared" si="140"/>
        <v>-93.636921999999913</v>
      </c>
      <c r="BN77" s="955">
        <f t="shared" si="140"/>
        <v>-36.677506093922602</v>
      </c>
      <c r="BO77" s="955">
        <f t="shared" si="140"/>
        <v>-499.35291190607757</v>
      </c>
      <c r="BP77" s="955">
        <f t="shared" si="140"/>
        <v>362.99834232017076</v>
      </c>
      <c r="BQ77" s="955">
        <f t="shared" si="140"/>
        <v>199.60261527995101</v>
      </c>
      <c r="BR77" s="955">
        <f t="shared" ref="BR77:BX77" si="141">BR78-BQ78</f>
        <v>67.34533684008818</v>
      </c>
      <c r="BS77" s="955">
        <f t="shared" si="141"/>
        <v>87.009124824280207</v>
      </c>
      <c r="BT77" s="955">
        <f t="shared" si="141"/>
        <v>53.959309265873117</v>
      </c>
      <c r="BU77" s="955">
        <f t="shared" si="141"/>
        <v>0</v>
      </c>
      <c r="BV77" s="955">
        <f t="shared" si="141"/>
        <v>0</v>
      </c>
      <c r="BW77" s="955">
        <f t="shared" si="141"/>
        <v>0</v>
      </c>
      <c r="BX77" s="955">
        <f t="shared" si="141"/>
        <v>0</v>
      </c>
      <c r="BY77" s="955">
        <f t="shared" ref="BY77" si="142">BY78-BX78</f>
        <v>0</v>
      </c>
      <c r="BZ77" s="955">
        <f t="shared" ref="BZ77" si="143">BZ78-BY78</f>
        <v>0</v>
      </c>
      <c r="CA77" s="955">
        <f t="shared" ref="CA77" si="144">CA78-BZ78</f>
        <v>0</v>
      </c>
      <c r="CB77" s="955">
        <f t="shared" ref="CB77" si="145">CB78-CA78</f>
        <v>0</v>
      </c>
      <c r="CC77" s="955">
        <f t="shared" ref="CC77" si="146">CC78-CB78</f>
        <v>0</v>
      </c>
      <c r="CD77" s="955">
        <f t="shared" ref="CD77" si="147">CD78-CC78</f>
        <v>0</v>
      </c>
      <c r="CE77" s="47"/>
      <c r="CF77" s="435"/>
      <c r="CG77" s="235">
        <f t="shared" si="123"/>
        <v>0</v>
      </c>
      <c r="CH77" s="235">
        <f t="shared" si="136"/>
        <v>0</v>
      </c>
      <c r="CI77" s="235" t="e">
        <f>BM77-#REF!</f>
        <v>#REF!</v>
      </c>
      <c r="CJ77" s="235">
        <f t="shared" si="92"/>
        <v>0</v>
      </c>
      <c r="CK77" s="235">
        <f t="shared" si="93"/>
        <v>0</v>
      </c>
      <c r="CL77" s="235">
        <f t="shared" si="94"/>
        <v>0</v>
      </c>
      <c r="CM77" s="235">
        <f t="shared" si="95"/>
        <v>0</v>
      </c>
      <c r="CN77" s="235">
        <f t="shared" si="96"/>
        <v>0</v>
      </c>
      <c r="CO77" s="235">
        <f t="shared" si="97"/>
        <v>0</v>
      </c>
      <c r="CP77" s="235">
        <f t="shared" si="98"/>
        <v>0</v>
      </c>
      <c r="CQ77" s="235">
        <f t="shared" si="99"/>
        <v>0</v>
      </c>
      <c r="CR77" s="235">
        <f t="shared" si="100"/>
        <v>0</v>
      </c>
      <c r="CS77" s="235">
        <f t="shared" si="101"/>
        <v>0</v>
      </c>
      <c r="CT77" s="235">
        <f t="shared" si="102"/>
        <v>0</v>
      </c>
      <c r="CU77" s="235">
        <f t="shared" si="103"/>
        <v>0</v>
      </c>
      <c r="CV77" s="235">
        <f t="shared" si="104"/>
        <v>0</v>
      </c>
      <c r="CW77" s="235">
        <f t="shared" si="105"/>
        <v>0</v>
      </c>
      <c r="CX77" s="235">
        <f t="shared" si="106"/>
        <v>0</v>
      </c>
      <c r="CY77" s="235">
        <f t="shared" si="107"/>
        <v>0</v>
      </c>
      <c r="CZ77" s="235">
        <f t="shared" si="108"/>
        <v>0</v>
      </c>
      <c r="DA77" s="38"/>
      <c r="DB77" s="236"/>
      <c r="DC77" s="236"/>
      <c r="DD77" s="236"/>
      <c r="DE77" s="236"/>
      <c r="DF77" s="258"/>
      <c r="DG77" s="236">
        <v>1114.75</v>
      </c>
      <c r="DH77" s="492">
        <v>-140.19707799999992</v>
      </c>
      <c r="DI77" s="236">
        <v>-36.677506093922602</v>
      </c>
      <c r="DJ77" s="236">
        <v>-499.35291190607757</v>
      </c>
      <c r="DK77" s="236">
        <v>362.99834232017076</v>
      </c>
      <c r="DL77" s="236">
        <v>199.60261527995101</v>
      </c>
      <c r="DM77" s="236">
        <v>67.34533684008818</v>
      </c>
      <c r="DN77" s="236">
        <v>87.009124824280207</v>
      </c>
      <c r="DO77" s="236">
        <v>53.959309265873117</v>
      </c>
      <c r="DP77" s="236">
        <v>0</v>
      </c>
      <c r="DQ77" s="1084">
        <v>0</v>
      </c>
      <c r="DR77" s="1084">
        <v>0</v>
      </c>
      <c r="DS77" s="1084">
        <v>0</v>
      </c>
      <c r="DT77" s="1084">
        <v>0</v>
      </c>
      <c r="DU77" s="1084">
        <v>0</v>
      </c>
      <c r="DV77" s="1084">
        <v>0</v>
      </c>
      <c r="DW77" s="1084">
        <v>0</v>
      </c>
      <c r="DX77" s="1084">
        <v>0</v>
      </c>
      <c r="DY77" s="1084">
        <v>0</v>
      </c>
      <c r="DZ77" s="1084"/>
      <c r="EA77" s="988"/>
    </row>
    <row r="78" spans="1:131" s="19" customFormat="1">
      <c r="A78" s="89" t="s">
        <v>3875</v>
      </c>
      <c r="B78" s="89" t="s">
        <v>1081</v>
      </c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89"/>
      <c r="AV78" s="44"/>
      <c r="AW78" s="44"/>
      <c r="AX78" s="44"/>
      <c r="AY78" s="44"/>
      <c r="AZ78" s="44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954">
        <f t="shared" ref="BK78:BQ78" si="148">SUM(BK83:BK89)</f>
        <v>1114.75</v>
      </c>
      <c r="BL78" s="954">
        <f t="shared" si="148"/>
        <v>974.55292200000008</v>
      </c>
      <c r="BM78" s="954">
        <f t="shared" si="148"/>
        <v>880.91600000000017</v>
      </c>
      <c r="BN78" s="954">
        <f t="shared" si="148"/>
        <v>844.23849390607757</v>
      </c>
      <c r="BO78" s="954">
        <f t="shared" si="148"/>
        <v>344.885582</v>
      </c>
      <c r="BP78" s="954">
        <f t="shared" si="148"/>
        <v>707.88392432017076</v>
      </c>
      <c r="BQ78" s="954">
        <f t="shared" si="148"/>
        <v>907.48653960012177</v>
      </c>
      <c r="BR78" s="954">
        <f>SUM(BR83:BR89)</f>
        <v>974.83187644020995</v>
      </c>
      <c r="BS78" s="954">
        <f>SUM(BS83:BS89)</f>
        <v>1061.8410012644902</v>
      </c>
      <c r="BT78" s="954">
        <f>SUM(BT83:BT89)</f>
        <v>1115.8003105303633</v>
      </c>
      <c r="BU78" s="954">
        <f>SUM(BU83:BU89)</f>
        <v>1115.8003105303633</v>
      </c>
      <c r="BV78" s="954">
        <f>SUM(BV83:BV89)</f>
        <v>1115.8003105303633</v>
      </c>
      <c r="BW78" s="954">
        <f t="shared" ref="BW78:BX78" si="149">SUM(BW83:BW89)</f>
        <v>1115.8003105303633</v>
      </c>
      <c r="BX78" s="954">
        <f t="shared" si="149"/>
        <v>1115.8003105303633</v>
      </c>
      <c r="BY78" s="954">
        <f t="shared" ref="BY78:CD78" si="150">SUM(BY83:BY89)</f>
        <v>1115.8003105303633</v>
      </c>
      <c r="BZ78" s="954">
        <f t="shared" si="150"/>
        <v>1115.8003105303633</v>
      </c>
      <c r="CA78" s="954">
        <f t="shared" si="150"/>
        <v>1115.8003105303633</v>
      </c>
      <c r="CB78" s="954">
        <f t="shared" si="150"/>
        <v>1115.8003105303633</v>
      </c>
      <c r="CC78" s="954">
        <f t="shared" si="150"/>
        <v>1115.8003105303633</v>
      </c>
      <c r="CD78" s="954">
        <f t="shared" si="150"/>
        <v>1115.8003105303633</v>
      </c>
      <c r="CE78" s="45"/>
      <c r="CF78" s="435"/>
      <c r="CG78" s="235">
        <f t="shared" si="123"/>
        <v>0</v>
      </c>
      <c r="CH78" s="235">
        <f t="shared" si="136"/>
        <v>0</v>
      </c>
      <c r="CI78" s="235" t="e">
        <f>BM78-#REF!</f>
        <v>#REF!</v>
      </c>
      <c r="CJ78" s="235">
        <f t="shared" si="92"/>
        <v>0</v>
      </c>
      <c r="CK78" s="235">
        <f t="shared" si="93"/>
        <v>0</v>
      </c>
      <c r="CL78" s="235">
        <f t="shared" si="94"/>
        <v>0</v>
      </c>
      <c r="CM78" s="235">
        <f t="shared" si="95"/>
        <v>0</v>
      </c>
      <c r="CN78" s="235">
        <f t="shared" si="96"/>
        <v>0</v>
      </c>
      <c r="CO78" s="235">
        <f t="shared" si="97"/>
        <v>0</v>
      </c>
      <c r="CP78" s="235">
        <f t="shared" si="98"/>
        <v>0</v>
      </c>
      <c r="CQ78" s="235">
        <f t="shared" si="99"/>
        <v>0</v>
      </c>
      <c r="CR78" s="235">
        <f t="shared" si="100"/>
        <v>0</v>
      </c>
      <c r="CS78" s="235">
        <f t="shared" si="101"/>
        <v>0</v>
      </c>
      <c r="CT78" s="235">
        <f t="shared" si="102"/>
        <v>0</v>
      </c>
      <c r="CU78" s="235">
        <f t="shared" si="103"/>
        <v>0</v>
      </c>
      <c r="CV78" s="235">
        <f t="shared" si="104"/>
        <v>0</v>
      </c>
      <c r="CW78" s="235">
        <f t="shared" si="105"/>
        <v>0</v>
      </c>
      <c r="CX78" s="235">
        <f t="shared" si="106"/>
        <v>0</v>
      </c>
      <c r="CY78" s="235">
        <f t="shared" si="107"/>
        <v>0</v>
      </c>
      <c r="CZ78" s="235">
        <f t="shared" si="108"/>
        <v>0</v>
      </c>
      <c r="DA78" s="38"/>
      <c r="DB78" s="236"/>
      <c r="DC78" s="236"/>
      <c r="DD78" s="236"/>
      <c r="DE78" s="236"/>
      <c r="DF78" s="258"/>
      <c r="DG78" s="236">
        <v>1114.75</v>
      </c>
      <c r="DH78" s="492">
        <v>974.55292200000008</v>
      </c>
      <c r="DI78" s="236">
        <v>844.23849390607757</v>
      </c>
      <c r="DJ78" s="236">
        <v>344.885582</v>
      </c>
      <c r="DK78" s="236">
        <v>707.88392432017076</v>
      </c>
      <c r="DL78" s="236">
        <v>907.48653960012177</v>
      </c>
      <c r="DM78" s="236">
        <v>974.83187644020995</v>
      </c>
      <c r="DN78" s="236">
        <v>1061.8410012644902</v>
      </c>
      <c r="DO78" s="236">
        <v>1115.8003105303633</v>
      </c>
      <c r="DP78" s="236">
        <v>1115.8003105303633</v>
      </c>
      <c r="DQ78" s="1084">
        <v>1115.8003105303633</v>
      </c>
      <c r="DR78" s="1084">
        <v>1115.8003105303633</v>
      </c>
      <c r="DS78" s="1084">
        <v>1115.8003105303633</v>
      </c>
      <c r="DT78" s="1084">
        <v>1115.8003105303633</v>
      </c>
      <c r="DU78" s="1084">
        <v>1115.8003105303633</v>
      </c>
      <c r="DV78" s="1084">
        <v>1115.8003105303633</v>
      </c>
      <c r="DW78" s="1084">
        <v>1115.8003105303633</v>
      </c>
      <c r="DX78" s="1084">
        <v>1115.8003105303633</v>
      </c>
      <c r="DY78" s="1084">
        <v>1115.8003105303633</v>
      </c>
      <c r="DZ78" s="1084"/>
      <c r="EA78" s="988"/>
    </row>
    <row r="79" spans="1:131" s="76" customFormat="1">
      <c r="A79" s="76" t="s">
        <v>3876</v>
      </c>
      <c r="B79" s="76" t="s">
        <v>1096</v>
      </c>
      <c r="C79" s="51" t="s">
        <v>4359</v>
      </c>
      <c r="D79" s="212"/>
      <c r="E79" s="212"/>
      <c r="F79" s="87">
        <f t="shared" ref="F79:AT79" si="151">SUM(F80:F99)</f>
        <v>1.8760000000000003E-3</v>
      </c>
      <c r="G79" s="87">
        <f t="shared" si="151"/>
        <v>2.8209999999999997E-3</v>
      </c>
      <c r="H79" s="87">
        <f t="shared" si="151"/>
        <v>3.5629999999999998E-3</v>
      </c>
      <c r="I79" s="87">
        <f t="shared" si="151"/>
        <v>0</v>
      </c>
      <c r="J79" s="87">
        <f t="shared" si="151"/>
        <v>2.5820000000000001E-3</v>
      </c>
      <c r="K79" s="87">
        <f t="shared" si="151"/>
        <v>3.1960000000000001E-3</v>
      </c>
      <c r="L79" s="87">
        <f t="shared" si="151"/>
        <v>4.2380000000000004E-3</v>
      </c>
      <c r="M79" s="87">
        <f t="shared" si="151"/>
        <v>3.8940000000000003E-3</v>
      </c>
      <c r="N79" s="87">
        <f t="shared" si="151"/>
        <v>6.2239999999999995E-3</v>
      </c>
      <c r="O79" s="87">
        <f t="shared" si="151"/>
        <v>6.9460000000000008E-3</v>
      </c>
      <c r="P79" s="87">
        <f t="shared" si="151"/>
        <v>5.215E-3</v>
      </c>
      <c r="Q79" s="87">
        <f t="shared" si="151"/>
        <v>1.5417999999999999E-2</v>
      </c>
      <c r="R79" s="87">
        <f t="shared" si="151"/>
        <v>5.5999999999999994E-2</v>
      </c>
      <c r="S79" s="87">
        <f t="shared" si="151"/>
        <v>0.10730100000000001</v>
      </c>
      <c r="T79" s="87">
        <f t="shared" si="151"/>
        <v>0.12627099999999999</v>
      </c>
      <c r="U79" s="87">
        <f t="shared" si="151"/>
        <v>0.15502199999999999</v>
      </c>
      <c r="V79" s="87">
        <f t="shared" si="151"/>
        <v>0.16440099999999996</v>
      </c>
      <c r="W79" s="87">
        <f t="shared" si="151"/>
        <v>0.19920499999999999</v>
      </c>
      <c r="X79" s="87">
        <f t="shared" si="151"/>
        <v>0.20960000000000001</v>
      </c>
      <c r="Y79" s="87">
        <f t="shared" si="151"/>
        <v>0.2142</v>
      </c>
      <c r="Z79" s="87">
        <f t="shared" si="151"/>
        <v>0.30030000000000001</v>
      </c>
      <c r="AA79" s="87">
        <f t="shared" si="151"/>
        <v>0.32789999999999997</v>
      </c>
      <c r="AB79" s="87">
        <f t="shared" si="151"/>
        <v>0.40150000000000002</v>
      </c>
      <c r="AC79" s="87">
        <f t="shared" si="151"/>
        <v>0.46539999999999998</v>
      </c>
      <c r="AD79" s="87">
        <f t="shared" si="151"/>
        <v>0.52460000000000007</v>
      </c>
      <c r="AE79" s="87">
        <f t="shared" si="151"/>
        <v>0.61499999999999988</v>
      </c>
      <c r="AF79" s="87">
        <f t="shared" si="151"/>
        <v>0.751</v>
      </c>
      <c r="AG79" s="87">
        <f t="shared" si="151"/>
        <v>0.70848434999999998</v>
      </c>
      <c r="AH79" s="87">
        <f t="shared" si="151"/>
        <v>0.69709605000000008</v>
      </c>
      <c r="AI79" s="87">
        <f t="shared" si="151"/>
        <v>0.58880440000000012</v>
      </c>
      <c r="AJ79" s="87">
        <f t="shared" si="151"/>
        <v>0.57200000000000006</v>
      </c>
      <c r="AK79" s="87">
        <f t="shared" si="151"/>
        <v>0.50909999999999989</v>
      </c>
      <c r="AL79" s="87">
        <f t="shared" si="151"/>
        <v>0.5282</v>
      </c>
      <c r="AM79" s="87">
        <f t="shared" si="151"/>
        <v>0.50940000000000007</v>
      </c>
      <c r="AN79" s="87">
        <f t="shared" si="151"/>
        <v>0.70550000000000002</v>
      </c>
      <c r="AO79" s="87">
        <f t="shared" si="151"/>
        <v>0.95729999999999993</v>
      </c>
      <c r="AP79" s="87">
        <f t="shared" si="151"/>
        <v>0.83493650885514359</v>
      </c>
      <c r="AQ79" s="87">
        <f t="shared" si="151"/>
        <v>0.63543650885514358</v>
      </c>
      <c r="AR79" s="87">
        <f t="shared" si="151"/>
        <v>0.68418518732866873</v>
      </c>
      <c r="AS79" s="87">
        <f t="shared" si="151"/>
        <v>2.1051564841608363</v>
      </c>
      <c r="AT79" s="87">
        <f t="shared" si="151"/>
        <v>59.297846760802933</v>
      </c>
      <c r="AU79" s="87">
        <f t="shared" ref="AU79:BJ79" si="152">SUM(AU80:AU99)</f>
        <v>200.41834003058077</v>
      </c>
      <c r="AV79" s="87">
        <f t="shared" si="152"/>
        <v>212.18228026354768</v>
      </c>
      <c r="AW79" s="87">
        <f t="shared" si="152"/>
        <v>224.82966537287183</v>
      </c>
      <c r="AX79" s="87">
        <f t="shared" si="152"/>
        <v>208.92233241957268</v>
      </c>
      <c r="AY79" s="87">
        <f t="shared" si="152"/>
        <v>445.34688188259611</v>
      </c>
      <c r="AZ79" s="87">
        <f t="shared" si="152"/>
        <v>707.81294861589458</v>
      </c>
      <c r="BA79" s="87">
        <f t="shared" si="152"/>
        <v>1102.955030188456</v>
      </c>
      <c r="BB79" s="87">
        <f t="shared" si="152"/>
        <v>1085.919117821024</v>
      </c>
      <c r="BC79" s="87">
        <f t="shared" si="152"/>
        <v>1579.1751753390938</v>
      </c>
      <c r="BD79" s="87">
        <f t="shared" si="152"/>
        <v>2356.0333557067956</v>
      </c>
      <c r="BE79" s="87">
        <f t="shared" si="152"/>
        <v>2639.2876647938979</v>
      </c>
      <c r="BF79" s="87">
        <f t="shared" si="152"/>
        <v>3526.2365864401136</v>
      </c>
      <c r="BG79" s="87">
        <f t="shared" si="152"/>
        <v>4049.7821301066501</v>
      </c>
      <c r="BH79" s="87">
        <f t="shared" si="152"/>
        <v>4994.7827960406976</v>
      </c>
      <c r="BI79" s="87">
        <f t="shared" si="152"/>
        <v>4231.3516981776611</v>
      </c>
      <c r="BJ79" s="87">
        <f t="shared" si="152"/>
        <v>5937.4928208220053</v>
      </c>
      <c r="BK79" s="87">
        <f t="shared" ref="BK79:BQ79" si="153">SUM(BK80:BK99)</f>
        <v>8140.9096112613333</v>
      </c>
      <c r="BL79" s="87">
        <f t="shared" si="153"/>
        <v>8455.4870443927575</v>
      </c>
      <c r="BM79" s="87">
        <f t="shared" si="153"/>
        <v>7463.6812371657679</v>
      </c>
      <c r="BN79" s="87">
        <f t="shared" si="153"/>
        <v>6878.4926134383441</v>
      </c>
      <c r="BO79" s="87">
        <f t="shared" si="153"/>
        <v>5769.5553978549469</v>
      </c>
      <c r="BP79" s="87">
        <f t="shared" si="153"/>
        <v>7287.3678026422076</v>
      </c>
      <c r="BQ79" s="87">
        <f t="shared" si="153"/>
        <v>8983.2415636077039</v>
      </c>
      <c r="BR79" s="87">
        <f>SUM(BR80:BR99)</f>
        <v>9509.7496939351604</v>
      </c>
      <c r="BS79" s="87">
        <f>SUM(BS80:BS99)</f>
        <v>9525.350391462769</v>
      </c>
      <c r="BT79" s="87">
        <f>SUM(BT80:BT99)</f>
        <v>9767.475073619571</v>
      </c>
      <c r="BU79" s="87">
        <f>SUM(BU80:BU99)</f>
        <v>10181.526778999754</v>
      </c>
      <c r="BV79" s="87">
        <f>SUM(BV80:BV99)</f>
        <v>10617.425639251009</v>
      </c>
      <c r="BW79" s="87">
        <f t="shared" ref="BW79:BX79" si="154">SUM(BW80:BW99)</f>
        <v>11076.473302578408</v>
      </c>
      <c r="BX79" s="87">
        <f t="shared" si="154"/>
        <v>11560.059784190376</v>
      </c>
      <c r="BY79" s="87">
        <f t="shared" ref="BY79:CD79" si="155">SUM(BY80:BY99)</f>
        <v>12069.670233030429</v>
      </c>
      <c r="BZ79" s="87">
        <f t="shared" si="155"/>
        <v>12840.228228828159</v>
      </c>
      <c r="CA79" s="87">
        <f t="shared" si="155"/>
        <v>13666.074372113777</v>
      </c>
      <c r="CB79" s="87">
        <f t="shared" si="155"/>
        <v>14551.251326343487</v>
      </c>
      <c r="CC79" s="87">
        <f t="shared" si="155"/>
        <v>15500.103756648337</v>
      </c>
      <c r="CD79" s="87">
        <f t="shared" si="155"/>
        <v>16517.301485903692</v>
      </c>
      <c r="CE79" s="87" t="s">
        <v>2219</v>
      </c>
      <c r="CF79" s="435"/>
      <c r="CG79" s="235">
        <f t="shared" si="123"/>
        <v>66.633627162366793</v>
      </c>
      <c r="CH79" s="235">
        <f t="shared" si="136"/>
        <v>0</v>
      </c>
      <c r="CI79" s="235" t="e">
        <f>BM79-#REF!</f>
        <v>#REF!</v>
      </c>
      <c r="CJ79" s="235">
        <f t="shared" si="92"/>
        <v>0</v>
      </c>
      <c r="CK79" s="235">
        <f t="shared" si="93"/>
        <v>0</v>
      </c>
      <c r="CL79" s="235">
        <f t="shared" si="94"/>
        <v>0</v>
      </c>
      <c r="CM79" s="235">
        <f t="shared" si="95"/>
        <v>0</v>
      </c>
      <c r="CN79" s="235">
        <f t="shared" si="96"/>
        <v>0</v>
      </c>
      <c r="CO79" s="235">
        <f t="shared" si="97"/>
        <v>0</v>
      </c>
      <c r="CP79" s="235">
        <f t="shared" si="98"/>
        <v>0</v>
      </c>
      <c r="CQ79" s="235">
        <f t="shared" si="99"/>
        <v>0</v>
      </c>
      <c r="CR79" s="235">
        <f t="shared" si="100"/>
        <v>0</v>
      </c>
      <c r="CS79" s="235">
        <f t="shared" si="101"/>
        <v>0</v>
      </c>
      <c r="CT79" s="235">
        <f t="shared" si="102"/>
        <v>0</v>
      </c>
      <c r="CU79" s="235">
        <f t="shared" si="103"/>
        <v>0</v>
      </c>
      <c r="CV79" s="235">
        <f t="shared" si="104"/>
        <v>0</v>
      </c>
      <c r="CW79" s="235">
        <f t="shared" si="105"/>
        <v>0</v>
      </c>
      <c r="CX79" s="235">
        <f t="shared" si="106"/>
        <v>0</v>
      </c>
      <c r="CY79" s="235">
        <f t="shared" si="107"/>
        <v>0</v>
      </c>
      <c r="CZ79" s="235">
        <f t="shared" si="108"/>
        <v>0</v>
      </c>
      <c r="DA79" s="38"/>
      <c r="DB79" s="236">
        <v>3529.8548903562501</v>
      </c>
      <c r="DC79" s="236">
        <v>3530.8548903562478</v>
      </c>
      <c r="DD79" s="236">
        <v>4095.1755721837822</v>
      </c>
      <c r="DE79" s="236">
        <v>5138.7701067598555</v>
      </c>
      <c r="DF79" s="401">
        <v>4471.245970485661</v>
      </c>
      <c r="DG79" s="236">
        <v>8074.2759840989665</v>
      </c>
      <c r="DH79" s="492">
        <v>8455.4870443927575</v>
      </c>
      <c r="DI79" s="236">
        <v>6878.4926134383441</v>
      </c>
      <c r="DJ79" s="236">
        <v>5769.5553978549469</v>
      </c>
      <c r="DK79" s="236">
        <v>7287.3678026422076</v>
      </c>
      <c r="DL79" s="236">
        <v>8983.2415636077039</v>
      </c>
      <c r="DM79" s="236">
        <v>9509.7496939351604</v>
      </c>
      <c r="DN79" s="236">
        <v>9525.350391462769</v>
      </c>
      <c r="DO79" s="236">
        <v>9767.475073619571</v>
      </c>
      <c r="DP79" s="236">
        <v>10181.526778999754</v>
      </c>
      <c r="DQ79" s="401">
        <v>10617.425639251009</v>
      </c>
      <c r="DR79" s="401">
        <v>11076.473302578408</v>
      </c>
      <c r="DS79" s="401">
        <v>11560.059784190376</v>
      </c>
      <c r="DT79" s="401">
        <v>12069.670233030429</v>
      </c>
      <c r="DU79" s="401">
        <v>12840.228228828159</v>
      </c>
      <c r="DV79" s="401">
        <v>13666.074372113777</v>
      </c>
      <c r="DW79" s="401">
        <v>14551.251326343487</v>
      </c>
      <c r="DX79" s="401">
        <v>15500.103756648337</v>
      </c>
      <c r="DY79" s="401">
        <v>16517.301485903692</v>
      </c>
      <c r="DZ79" s="401" t="s">
        <v>2219</v>
      </c>
      <c r="EA79" s="989"/>
    </row>
    <row r="80" spans="1:131" s="76" customFormat="1">
      <c r="A80" s="76" t="s">
        <v>3857</v>
      </c>
      <c r="B80" s="73" t="s">
        <v>2072</v>
      </c>
      <c r="C80" s="51" t="s">
        <v>991</v>
      </c>
      <c r="D80" s="207"/>
      <c r="E80" s="207"/>
      <c r="F80" s="295">
        <f>mamiabc!F110</f>
        <v>0</v>
      </c>
      <c r="G80" s="295">
        <f>mamiabc!G110</f>
        <v>0</v>
      </c>
      <c r="H80" s="295">
        <f>mamiabc!H110</f>
        <v>0</v>
      </c>
      <c r="I80" s="295">
        <f>mamiabc!I110</f>
        <v>0</v>
      </c>
      <c r="J80" s="295">
        <f>mamiabc!J110</f>
        <v>0</v>
      </c>
      <c r="K80" s="295">
        <f>mamiabc!K110</f>
        <v>0</v>
      </c>
      <c r="L80" s="295">
        <f>mamiabc!L110</f>
        <v>0</v>
      </c>
      <c r="M80" s="295">
        <f>mamiabc!M110</f>
        <v>0</v>
      </c>
      <c r="N80" s="295">
        <f>mamiabc!N110</f>
        <v>0</v>
      </c>
      <c r="O80" s="295">
        <f>mamiabc!O110</f>
        <v>0</v>
      </c>
      <c r="P80" s="295">
        <f>mamiabc!P110</f>
        <v>0</v>
      </c>
      <c r="Q80" s="295">
        <f>mamiabc!Q110</f>
        <v>6.1999999999999998E-3</v>
      </c>
      <c r="R80" s="295">
        <f>mamiabc!R110</f>
        <v>3.6799999999999999E-2</v>
      </c>
      <c r="S80" s="295">
        <f>mamiabc!S110</f>
        <v>7.1900000000000006E-2</v>
      </c>
      <c r="T80" s="295">
        <f>mamiabc!T110</f>
        <v>7.6499999999999999E-2</v>
      </c>
      <c r="U80" s="295">
        <f>mamiabc!U110</f>
        <v>9.4099999999999989E-2</v>
      </c>
      <c r="V80" s="295">
        <f>mamiabc!V110</f>
        <v>0.10629999999999999</v>
      </c>
      <c r="W80" s="295">
        <f>mamiabc!W110</f>
        <v>0.13830000000000001</v>
      </c>
      <c r="X80" s="295">
        <f>mamiabc!X110</f>
        <v>0.14780000000000001</v>
      </c>
      <c r="Y80" s="295">
        <f>mamiabc!Y110</f>
        <v>0.14360000000000001</v>
      </c>
      <c r="Z80" s="295">
        <f>mamiabc!Z110</f>
        <v>0.1794</v>
      </c>
      <c r="AA80" s="295">
        <f>mamiabc!AA110</f>
        <v>0.22600000000000001</v>
      </c>
      <c r="AB80" s="295">
        <f>mamiabc!AB110</f>
        <v>0.24990000000000001</v>
      </c>
      <c r="AC80" s="295">
        <f>mamiabc!AC110</f>
        <v>0.27129999999999999</v>
      </c>
      <c r="AD80" s="295">
        <f>mamiabc!AD110</f>
        <v>0.31410000000000005</v>
      </c>
      <c r="AE80" s="295">
        <f>mamiabc!AE110</f>
        <v>0.3584</v>
      </c>
      <c r="AF80" s="295">
        <f>mamiabc!AF110</f>
        <v>0.49880000000000002</v>
      </c>
      <c r="AG80" s="295">
        <f>mamiabc!AG110</f>
        <v>0.47240024999999991</v>
      </c>
      <c r="AH80" s="295">
        <f>mamiabc!AH110</f>
        <v>0.41440559999999999</v>
      </c>
      <c r="AI80" s="295">
        <f>mamiabc!AI110</f>
        <v>0.38730000000000003</v>
      </c>
      <c r="AJ80" s="295">
        <f>mamiabc!AJ110</f>
        <v>0.35470000000000002</v>
      </c>
      <c r="AK80" s="295">
        <f>mamiabc!AK110</f>
        <v>0.30989999999999995</v>
      </c>
      <c r="AL80" s="295">
        <f>mamiabc!AL110</f>
        <v>0.314</v>
      </c>
      <c r="AM80" s="295">
        <f>mamiabc!AM110</f>
        <v>0.34470000000000001</v>
      </c>
      <c r="AN80" s="295">
        <f>mamiabc!AN110</f>
        <v>0.5171</v>
      </c>
      <c r="AO80" s="295">
        <f>mamiabc!AO110</f>
        <v>0.78049999999999997</v>
      </c>
      <c r="AP80" s="295">
        <f>mamiabc!AP110</f>
        <v>0.62409999999999999</v>
      </c>
      <c r="AQ80" s="295">
        <f>mamiabc!AQ110</f>
        <v>0.45239999999999997</v>
      </c>
      <c r="AR80" s="295">
        <f>mamiabc!AR110</f>
        <v>0.43219999999999997</v>
      </c>
      <c r="AS80" s="295">
        <f>mamiabc!AS110</f>
        <v>1.7018</v>
      </c>
      <c r="AT80" s="295">
        <f>mamiabc!AT110</f>
        <v>42.370100000000001</v>
      </c>
      <c r="AU80" s="295">
        <f>mamiabc!AU110</f>
        <v>136.83244999999999</v>
      </c>
      <c r="AV80" s="76">
        <f t="shared" ref="AV80:BQ80" si="156">(AV13*AV56)/1000</f>
        <v>123.44474335199997</v>
      </c>
      <c r="AW80" s="76">
        <f t="shared" si="156"/>
        <v>125.63022834</v>
      </c>
      <c r="AX80" s="76">
        <f t="shared" si="156"/>
        <v>119.54379420000002</v>
      </c>
      <c r="AY80" s="76">
        <f t="shared" si="156"/>
        <v>255.44231926639995</v>
      </c>
      <c r="AZ80" s="76">
        <f t="shared" si="156"/>
        <v>453.33475409654977</v>
      </c>
      <c r="BA80" s="76">
        <f t="shared" si="156"/>
        <v>719.58963719499968</v>
      </c>
      <c r="BB80" s="76">
        <f t="shared" si="156"/>
        <v>674.6622866470999</v>
      </c>
      <c r="BC80" s="76">
        <f t="shared" si="156"/>
        <v>873.94746125439974</v>
      </c>
      <c r="BD80" s="76">
        <f t="shared" si="156"/>
        <v>1132.0375793999997</v>
      </c>
      <c r="BE80" s="76">
        <f t="shared" si="156"/>
        <v>1224.5496899999994</v>
      </c>
      <c r="BF80" s="76">
        <f t="shared" si="156"/>
        <v>1761.8107249449995</v>
      </c>
      <c r="BG80" s="76">
        <f t="shared" si="156"/>
        <v>1928.5538951249996</v>
      </c>
      <c r="BH80" s="76">
        <f t="shared" si="156"/>
        <v>1959.6614511599992</v>
      </c>
      <c r="BI80" s="76">
        <f t="shared" si="156"/>
        <v>919.34747099999947</v>
      </c>
      <c r="BJ80" s="76">
        <f t="shared" si="156"/>
        <v>1311.3850478087641</v>
      </c>
      <c r="BK80" s="76">
        <f t="shared" si="156"/>
        <v>1597.1139343899988</v>
      </c>
      <c r="BL80" s="76">
        <f t="shared" si="156"/>
        <v>1203.8407474499993</v>
      </c>
      <c r="BM80" s="76">
        <f t="shared" si="156"/>
        <v>1156.5331663499994</v>
      </c>
      <c r="BN80" s="76">
        <f t="shared" si="156"/>
        <v>1250.4787992249992</v>
      </c>
      <c r="BO80" s="76">
        <f t="shared" si="156"/>
        <v>837.80026887126007</v>
      </c>
      <c r="BP80" s="76">
        <f t="shared" si="156"/>
        <v>1.050404810275832E-5</v>
      </c>
      <c r="BQ80" s="76">
        <f t="shared" si="156"/>
        <v>1.0819169545841069E-5</v>
      </c>
      <c r="BR80" s="76">
        <f t="shared" ref="BR80:BS99" si="157">(BR13*BR56)/1000</f>
        <v>1.1143744632216302E-5</v>
      </c>
      <c r="BS80" s="76">
        <f t="shared" si="157"/>
        <v>1.1478056971182789E-5</v>
      </c>
      <c r="BT80" s="76">
        <f t="shared" ref="BT80:BU99" si="158">(BT13*BT56)/1000</f>
        <v>1.1822398680318274E-5</v>
      </c>
      <c r="BU80" s="76">
        <f t="shared" si="158"/>
        <v>1.2177070640727821E-5</v>
      </c>
      <c r="BV80" s="76">
        <f t="shared" ref="BV80:BV99" si="159">(BV13*BV56)/1000</f>
        <v>1.2542382759949657E-5</v>
      </c>
      <c r="BW80" s="76">
        <f t="shared" ref="BW80:BX80" si="160">(BW13*BW56)/1000</f>
        <v>1.2918654242748146E-5</v>
      </c>
      <c r="BX80" s="76">
        <f t="shared" si="160"/>
        <v>1.330621387003059E-5</v>
      </c>
      <c r="BY80" s="76">
        <f t="shared" ref="BY80:CD80" si="161">(BY13*BY56)/1000</f>
        <v>1.370540028613151E-5</v>
      </c>
      <c r="BZ80" s="76">
        <f t="shared" si="161"/>
        <v>1.4116562294715457E-5</v>
      </c>
      <c r="CA80" s="76">
        <f t="shared" si="161"/>
        <v>1.454005916355692E-5</v>
      </c>
      <c r="CB80" s="76">
        <f t="shared" si="161"/>
        <v>1.4976260938463628E-5</v>
      </c>
      <c r="CC80" s="76">
        <f t="shared" si="161"/>
        <v>1.5425548766617538E-5</v>
      </c>
      <c r="CD80" s="76">
        <f t="shared" si="161"/>
        <v>1.5888315229616066E-5</v>
      </c>
      <c r="CF80" s="435"/>
      <c r="CG80" s="235">
        <f t="shared" si="123"/>
        <v>27.311138187504184</v>
      </c>
      <c r="CH80" s="235">
        <f t="shared" si="136"/>
        <v>0</v>
      </c>
      <c r="CI80" s="235" t="e">
        <f>BM80-#REF!</f>
        <v>#REF!</v>
      </c>
      <c r="CJ80" s="235">
        <f t="shared" si="92"/>
        <v>0</v>
      </c>
      <c r="CK80" s="235">
        <f t="shared" si="93"/>
        <v>0</v>
      </c>
      <c r="CL80" s="235">
        <f t="shared" si="94"/>
        <v>0</v>
      </c>
      <c r="CM80" s="235">
        <f t="shared" si="95"/>
        <v>0</v>
      </c>
      <c r="CN80" s="235">
        <f t="shared" si="96"/>
        <v>0</v>
      </c>
      <c r="CO80" s="235">
        <f t="shared" si="97"/>
        <v>0</v>
      </c>
      <c r="CP80" s="235">
        <f t="shared" si="98"/>
        <v>0</v>
      </c>
      <c r="CQ80" s="235">
        <f t="shared" si="99"/>
        <v>0</v>
      </c>
      <c r="CR80" s="235">
        <f t="shared" si="100"/>
        <v>0</v>
      </c>
      <c r="CS80" s="235">
        <f t="shared" si="101"/>
        <v>0</v>
      </c>
      <c r="CT80" s="235">
        <f t="shared" si="102"/>
        <v>0</v>
      </c>
      <c r="CU80" s="235">
        <f t="shared" si="103"/>
        <v>0</v>
      </c>
      <c r="CV80" s="235">
        <f t="shared" si="104"/>
        <v>0</v>
      </c>
      <c r="CW80" s="235">
        <f t="shared" si="105"/>
        <v>0</v>
      </c>
      <c r="CX80" s="235">
        <f t="shared" si="106"/>
        <v>0</v>
      </c>
      <c r="CY80" s="235">
        <f t="shared" si="107"/>
        <v>0</v>
      </c>
      <c r="CZ80" s="235">
        <f t="shared" si="108"/>
        <v>0</v>
      </c>
      <c r="DA80" s="38"/>
      <c r="DB80" s="236">
        <v>1767.7529592585199</v>
      </c>
      <c r="DC80" s="236">
        <v>1768.7529592585242</v>
      </c>
      <c r="DD80" s="236">
        <v>1924.7561274545997</v>
      </c>
      <c r="DE80" s="236">
        <v>1959.6614511599992</v>
      </c>
      <c r="DF80" s="401">
        <v>919.34747099999947</v>
      </c>
      <c r="DG80" s="236">
        <v>1569.8027962024946</v>
      </c>
      <c r="DH80" s="492">
        <v>1203.8407474499993</v>
      </c>
      <c r="DI80" s="236">
        <v>1250.4787992249992</v>
      </c>
      <c r="DJ80" s="236">
        <v>837.80026887126007</v>
      </c>
      <c r="DK80" s="236">
        <v>1.050404810275832E-5</v>
      </c>
      <c r="DL80" s="236">
        <v>1.0819169545841069E-5</v>
      </c>
      <c r="DM80" s="236">
        <v>1.1143744632216302E-5</v>
      </c>
      <c r="DN80" s="236">
        <v>1.1478056971182789E-5</v>
      </c>
      <c r="DO80" s="236">
        <v>1.1822398680318274E-5</v>
      </c>
      <c r="DP80" s="236">
        <v>1.2177070640727821E-5</v>
      </c>
      <c r="DQ80" s="401">
        <v>1.2542382759949657E-5</v>
      </c>
      <c r="DR80" s="401">
        <v>1.2918654242748146E-5</v>
      </c>
      <c r="DS80" s="401">
        <v>1.330621387003059E-5</v>
      </c>
      <c r="DT80" s="401">
        <v>1.370540028613151E-5</v>
      </c>
      <c r="DU80" s="401">
        <v>1.4116562294715457E-5</v>
      </c>
      <c r="DV80" s="401">
        <v>1.454005916355692E-5</v>
      </c>
      <c r="DW80" s="401">
        <v>1.4976260938463628E-5</v>
      </c>
      <c r="DX80" s="401">
        <v>1.5425548766617538E-5</v>
      </c>
      <c r="DY80" s="401">
        <v>1.5888315229616066E-5</v>
      </c>
      <c r="DZ80" s="401"/>
      <c r="EA80" s="989"/>
    </row>
    <row r="81" spans="1:131" s="76" customFormat="1">
      <c r="A81" s="73" t="s">
        <v>3172</v>
      </c>
      <c r="B81" s="73" t="s">
        <v>3172</v>
      </c>
      <c r="C81" s="51" t="s">
        <v>992</v>
      </c>
      <c r="D81" s="207"/>
      <c r="E81" s="207"/>
      <c r="F81" s="295">
        <f>mamiabc!F112</f>
        <v>0</v>
      </c>
      <c r="G81" s="295">
        <f>mamiabc!G112</f>
        <v>0</v>
      </c>
      <c r="H81" s="295">
        <f>mamiabc!H112</f>
        <v>0</v>
      </c>
      <c r="I81" s="295">
        <f>mamiabc!I112</f>
        <v>0</v>
      </c>
      <c r="J81" s="295">
        <f>mamiabc!J112</f>
        <v>0</v>
      </c>
      <c r="K81" s="295">
        <f>mamiabc!K112</f>
        <v>0</v>
      </c>
      <c r="L81" s="295">
        <f>mamiabc!L112</f>
        <v>0</v>
      </c>
      <c r="M81" s="295">
        <f>mamiabc!M112</f>
        <v>0</v>
      </c>
      <c r="N81" s="295">
        <f>mamiabc!N112</f>
        <v>0</v>
      </c>
      <c r="O81" s="295">
        <f>mamiabc!O112</f>
        <v>0</v>
      </c>
      <c r="P81" s="295">
        <f>mamiabc!P112</f>
        <v>0</v>
      </c>
      <c r="Q81" s="295">
        <f>mamiabc!Q112</f>
        <v>8.9999999999999998E-4</v>
      </c>
      <c r="R81" s="295">
        <f>mamiabc!R112</f>
        <v>1.9199999999999998E-2</v>
      </c>
      <c r="S81" s="295">
        <f>mamiabc!S112</f>
        <v>2.3800000000000002E-2</v>
      </c>
      <c r="T81" s="295">
        <f>mamiabc!T112</f>
        <v>3.4200000000000001E-2</v>
      </c>
      <c r="U81" s="295">
        <f>mamiabc!U112</f>
        <v>4.8100000000000004E-2</v>
      </c>
      <c r="V81" s="295">
        <f>mamiabc!V112</f>
        <v>4.8600000000000004E-2</v>
      </c>
      <c r="W81" s="295">
        <f>mamiabc!W112</f>
        <v>4.5200000000000004E-2</v>
      </c>
      <c r="X81" s="295">
        <f>mamiabc!X112</f>
        <v>4.7600000000000003E-2</v>
      </c>
      <c r="Y81" s="295">
        <f>mamiabc!Y112</f>
        <v>4.4499999999999998E-2</v>
      </c>
      <c r="Z81" s="295">
        <f>mamiabc!Z112</f>
        <v>6.7900000000000002E-2</v>
      </c>
      <c r="AA81" s="295">
        <f>mamiabc!AA112</f>
        <v>3.9200000000000006E-2</v>
      </c>
      <c r="AB81" s="295">
        <f>mamiabc!AB112</f>
        <v>6.9400000000000003E-2</v>
      </c>
      <c r="AC81" s="295">
        <f>mamiabc!AC112</f>
        <v>0.106</v>
      </c>
      <c r="AD81" s="295">
        <f>mamiabc!AD112</f>
        <v>0.1085</v>
      </c>
      <c r="AE81" s="295">
        <f>mamiabc!AE112</f>
        <v>0.1336</v>
      </c>
      <c r="AF81" s="295">
        <f>mamiabc!AF112</f>
        <v>0.11059999999999999</v>
      </c>
      <c r="AG81" s="295">
        <f>mamiabc!AG112</f>
        <v>8.7393599999999988E-2</v>
      </c>
      <c r="AH81" s="295">
        <f>mamiabc!AH112</f>
        <v>0.1243074</v>
      </c>
      <c r="AI81" s="295">
        <f>mamiabc!AI112</f>
        <v>6.1799999999999994E-2</v>
      </c>
      <c r="AJ81" s="295">
        <f>mamiabc!AJ112</f>
        <v>7.5499999999999998E-2</v>
      </c>
      <c r="AK81" s="295">
        <f>mamiabc!AK112</f>
        <v>5.4299999999999994E-2</v>
      </c>
      <c r="AL81" s="295">
        <f>mamiabc!AL112</f>
        <v>6.1899999999999997E-2</v>
      </c>
      <c r="AM81" s="295">
        <f>mamiabc!AM112</f>
        <v>6.3E-3</v>
      </c>
      <c r="AN81" s="295">
        <f>mamiabc!AN112</f>
        <v>2.6199999999999998E-2</v>
      </c>
      <c r="AO81" s="295">
        <f>mamiabc!AO112</f>
        <v>9.1700000000000004E-2</v>
      </c>
      <c r="AP81" s="295">
        <f>mamiabc!AP112</f>
        <v>6.9099999999999995E-2</v>
      </c>
      <c r="AQ81" s="295">
        <f>mamiabc!AQ112</f>
        <v>5.7299999999999997E-2</v>
      </c>
      <c r="AR81" s="295">
        <f>mamiabc!AR112</f>
        <v>7.4400000000000008E-2</v>
      </c>
      <c r="AS81" s="295">
        <f>mamiabc!AS112</f>
        <v>0.25880000000000003</v>
      </c>
      <c r="AT81" s="295">
        <f>mamiabc!AT112</f>
        <v>5.2782</v>
      </c>
      <c r="AU81" s="295">
        <f>mamiabc!AU112</f>
        <v>20.127612000000003</v>
      </c>
      <c r="AV81" s="76">
        <f t="shared" ref="AV81:BQ81" si="162">(AV14*AV57)/1000</f>
        <v>16.758685046250001</v>
      </c>
      <c r="AW81" s="76">
        <f t="shared" si="162"/>
        <v>18.245500000000003</v>
      </c>
      <c r="AX81" s="76">
        <f t="shared" si="162"/>
        <v>14.719908000000004</v>
      </c>
      <c r="AY81" s="76">
        <f t="shared" si="162"/>
        <v>7.5993686339999993</v>
      </c>
      <c r="AZ81" s="76">
        <f t="shared" si="162"/>
        <v>0</v>
      </c>
      <c r="BA81" s="76">
        <f t="shared" si="162"/>
        <v>0</v>
      </c>
      <c r="BB81" s="76">
        <f t="shared" si="162"/>
        <v>0</v>
      </c>
      <c r="BC81" s="76">
        <f t="shared" si="162"/>
        <v>0</v>
      </c>
      <c r="BD81" s="76">
        <f t="shared" si="162"/>
        <v>0</v>
      </c>
      <c r="BE81" s="76">
        <f t="shared" si="162"/>
        <v>0</v>
      </c>
      <c r="BF81" s="76">
        <f t="shared" si="162"/>
        <v>0</v>
      </c>
      <c r="BG81" s="76">
        <f t="shared" si="162"/>
        <v>0</v>
      </c>
      <c r="BH81" s="76">
        <f t="shared" si="162"/>
        <v>0</v>
      </c>
      <c r="BI81" s="76">
        <f t="shared" si="162"/>
        <v>0</v>
      </c>
      <c r="BJ81" s="76">
        <f t="shared" si="162"/>
        <v>0</v>
      </c>
      <c r="BK81" s="76">
        <f t="shared" si="162"/>
        <v>0</v>
      </c>
      <c r="BL81" s="76">
        <f t="shared" si="162"/>
        <v>0</v>
      </c>
      <c r="BM81" s="76">
        <f t="shared" si="162"/>
        <v>0</v>
      </c>
      <c r="BN81" s="76">
        <f t="shared" si="162"/>
        <v>0</v>
      </c>
      <c r="BO81" s="76">
        <f t="shared" si="162"/>
        <v>0</v>
      </c>
      <c r="BP81" s="76">
        <f t="shared" si="162"/>
        <v>0</v>
      </c>
      <c r="BQ81" s="76">
        <f t="shared" si="162"/>
        <v>0</v>
      </c>
      <c r="BR81" s="76">
        <f t="shared" si="157"/>
        <v>0</v>
      </c>
      <c r="BS81" s="76">
        <f t="shared" si="157"/>
        <v>0</v>
      </c>
      <c r="BT81" s="76">
        <f t="shared" si="158"/>
        <v>0</v>
      </c>
      <c r="BU81" s="76">
        <f t="shared" si="158"/>
        <v>0</v>
      </c>
      <c r="BV81" s="76">
        <f t="shared" si="159"/>
        <v>0</v>
      </c>
      <c r="BW81" s="76">
        <f t="shared" ref="BW81:BX81" si="163">(BW14*BW57)/1000</f>
        <v>0</v>
      </c>
      <c r="BX81" s="76">
        <f t="shared" si="163"/>
        <v>0</v>
      </c>
      <c r="BY81" s="76">
        <f t="shared" ref="BY81:CD81" si="164">(BY14*BY57)/1000</f>
        <v>0</v>
      </c>
      <c r="BZ81" s="76">
        <f t="shared" si="164"/>
        <v>0</v>
      </c>
      <c r="CA81" s="76">
        <f t="shared" si="164"/>
        <v>0</v>
      </c>
      <c r="CB81" s="76">
        <f t="shared" si="164"/>
        <v>0</v>
      </c>
      <c r="CC81" s="76">
        <f t="shared" si="164"/>
        <v>0</v>
      </c>
      <c r="CD81" s="76">
        <f t="shared" si="164"/>
        <v>0</v>
      </c>
      <c r="CF81" s="435"/>
      <c r="CG81" s="235">
        <f t="shared" si="123"/>
        <v>0</v>
      </c>
      <c r="CH81" s="235">
        <f t="shared" si="136"/>
        <v>0</v>
      </c>
      <c r="CI81" s="235" t="e">
        <f>BM81-#REF!</f>
        <v>#REF!</v>
      </c>
      <c r="CJ81" s="235">
        <f t="shared" si="92"/>
        <v>0</v>
      </c>
      <c r="CK81" s="235">
        <f t="shared" si="93"/>
        <v>0</v>
      </c>
      <c r="CL81" s="235">
        <f t="shared" si="94"/>
        <v>0</v>
      </c>
      <c r="CM81" s="235">
        <f t="shared" si="95"/>
        <v>0</v>
      </c>
      <c r="CN81" s="235">
        <f t="shared" si="96"/>
        <v>0</v>
      </c>
      <c r="CO81" s="235">
        <f t="shared" si="97"/>
        <v>0</v>
      </c>
      <c r="CP81" s="235">
        <f t="shared" si="98"/>
        <v>0</v>
      </c>
      <c r="CQ81" s="235">
        <f t="shared" si="99"/>
        <v>0</v>
      </c>
      <c r="CR81" s="235">
        <f t="shared" si="100"/>
        <v>0</v>
      </c>
      <c r="CS81" s="235">
        <f t="shared" si="101"/>
        <v>0</v>
      </c>
      <c r="CT81" s="235">
        <f t="shared" si="102"/>
        <v>0</v>
      </c>
      <c r="CU81" s="235">
        <f t="shared" si="103"/>
        <v>0</v>
      </c>
      <c r="CV81" s="235">
        <f t="shared" si="104"/>
        <v>0</v>
      </c>
      <c r="CW81" s="235">
        <f t="shared" si="105"/>
        <v>0</v>
      </c>
      <c r="CX81" s="235">
        <f t="shared" si="106"/>
        <v>0</v>
      </c>
      <c r="CY81" s="235">
        <f t="shared" si="107"/>
        <v>0</v>
      </c>
      <c r="CZ81" s="235">
        <f t="shared" si="108"/>
        <v>0</v>
      </c>
      <c r="DA81" s="38"/>
      <c r="DB81" s="236">
        <v>-1</v>
      </c>
      <c r="DC81" s="236">
        <v>0</v>
      </c>
      <c r="DD81" s="236">
        <v>0</v>
      </c>
      <c r="DE81" s="236">
        <v>0</v>
      </c>
      <c r="DF81" s="401">
        <v>0</v>
      </c>
      <c r="DG81" s="236">
        <v>0</v>
      </c>
      <c r="DH81" s="492">
        <v>0</v>
      </c>
      <c r="DI81" s="236">
        <v>0</v>
      </c>
      <c r="DJ81" s="236">
        <v>0</v>
      </c>
      <c r="DK81" s="236">
        <v>0</v>
      </c>
      <c r="DL81" s="236">
        <v>0</v>
      </c>
      <c r="DM81" s="236">
        <v>0</v>
      </c>
      <c r="DN81" s="236">
        <v>0</v>
      </c>
      <c r="DO81" s="236">
        <v>0</v>
      </c>
      <c r="DP81" s="236">
        <v>0</v>
      </c>
      <c r="DQ81" s="401">
        <v>0</v>
      </c>
      <c r="DR81" s="401">
        <v>0</v>
      </c>
      <c r="DS81" s="401">
        <v>0</v>
      </c>
      <c r="DT81" s="401">
        <v>0</v>
      </c>
      <c r="DU81" s="401">
        <v>0</v>
      </c>
      <c r="DV81" s="401">
        <v>0</v>
      </c>
      <c r="DW81" s="401">
        <v>0</v>
      </c>
      <c r="DX81" s="401">
        <v>0</v>
      </c>
      <c r="DY81" s="401">
        <v>0</v>
      </c>
      <c r="DZ81" s="401"/>
      <c r="EA81" s="989"/>
    </row>
    <row r="82" spans="1:131" s="76" customFormat="1">
      <c r="A82" s="76" t="s">
        <v>3858</v>
      </c>
      <c r="B82" s="73" t="s">
        <v>3350</v>
      </c>
      <c r="C82" s="51" t="s">
        <v>1666</v>
      </c>
      <c r="D82" s="207"/>
      <c r="E82" s="207"/>
      <c r="F82" s="295">
        <f>mamiabc!F124</f>
        <v>0</v>
      </c>
      <c r="G82" s="295">
        <f>mamiabc!G124</f>
        <v>0</v>
      </c>
      <c r="H82" s="295">
        <f>mamiabc!H124</f>
        <v>0</v>
      </c>
      <c r="I82" s="295">
        <f>mamiabc!I124</f>
        <v>0</v>
      </c>
      <c r="J82" s="295">
        <f>mamiabc!J124</f>
        <v>0</v>
      </c>
      <c r="K82" s="295">
        <f>mamiabc!K124</f>
        <v>0</v>
      </c>
      <c r="L82" s="295">
        <f>mamiabc!L124</f>
        <v>0</v>
      </c>
      <c r="M82" s="295">
        <f>mamiabc!M124</f>
        <v>0</v>
      </c>
      <c r="N82" s="295">
        <f>mamiabc!N124</f>
        <v>0</v>
      </c>
      <c r="O82" s="295">
        <f>mamiabc!O124</f>
        <v>0</v>
      </c>
      <c r="P82" s="295">
        <f>mamiabc!P124</f>
        <v>0</v>
      </c>
      <c r="Q82" s="295">
        <f>mamiabc!Q124</f>
        <v>0</v>
      </c>
      <c r="R82" s="295">
        <f>mamiabc!R124</f>
        <v>0</v>
      </c>
      <c r="S82" s="295">
        <f>mamiabc!S124</f>
        <v>0</v>
      </c>
      <c r="T82" s="295">
        <f>mamiabc!T124</f>
        <v>0</v>
      </c>
      <c r="U82" s="295">
        <f>mamiabc!U124</f>
        <v>0</v>
      </c>
      <c r="V82" s="295">
        <f>mamiabc!V124</f>
        <v>0</v>
      </c>
      <c r="W82" s="295">
        <f>mamiabc!W124</f>
        <v>0</v>
      </c>
      <c r="X82" s="295">
        <f>mamiabc!X124</f>
        <v>0</v>
      </c>
      <c r="Y82" s="295">
        <f>mamiabc!Y124</f>
        <v>0</v>
      </c>
      <c r="Z82" s="295">
        <f>mamiabc!Z124</f>
        <v>0</v>
      </c>
      <c r="AA82" s="295">
        <f>mamiabc!AA124</f>
        <v>0</v>
      </c>
      <c r="AB82" s="295">
        <f>mamiabc!AB124</f>
        <v>0</v>
      </c>
      <c r="AC82" s="295">
        <f>mamiabc!AC124</f>
        <v>0</v>
      </c>
      <c r="AD82" s="295">
        <f>mamiabc!AD124</f>
        <v>0</v>
      </c>
      <c r="AE82" s="295">
        <f>mamiabc!AE124</f>
        <v>0</v>
      </c>
      <c r="AF82" s="295">
        <f>mamiabc!AF124</f>
        <v>0</v>
      </c>
      <c r="AG82" s="295">
        <f>mamiabc!AG124</f>
        <v>0</v>
      </c>
      <c r="AH82" s="295">
        <f>mamiabc!AH124</f>
        <v>0</v>
      </c>
      <c r="AI82" s="295">
        <f>mamiabc!AI124</f>
        <v>0</v>
      </c>
      <c r="AJ82" s="295">
        <f>mamiabc!AJ124</f>
        <v>0</v>
      </c>
      <c r="AK82" s="295">
        <f>mamiabc!AK124</f>
        <v>0</v>
      </c>
      <c r="AL82" s="295">
        <f>mamiabc!AL124</f>
        <v>0</v>
      </c>
      <c r="AM82" s="295">
        <f>mamiabc!AM124</f>
        <v>0</v>
      </c>
      <c r="AN82" s="295">
        <f>mamiabc!AN124</f>
        <v>0</v>
      </c>
      <c r="AO82" s="295">
        <f>mamiabc!AO124</f>
        <v>0</v>
      </c>
      <c r="AP82" s="295">
        <f>mamiabc!AP124</f>
        <v>1.0500000000000001E-2</v>
      </c>
      <c r="AQ82" s="295">
        <f>mamiabc!AQ124</f>
        <v>1.0999999999999999E-2</v>
      </c>
      <c r="AR82" s="295">
        <f>mamiabc!AR124</f>
        <v>1.06E-2</v>
      </c>
      <c r="AS82" s="295">
        <f>mamiabc!AS124</f>
        <v>1.04E-2</v>
      </c>
      <c r="AT82" s="295">
        <f>mamiabc!AT124</f>
        <v>1.0768</v>
      </c>
      <c r="AU82" s="295">
        <f>mamiabc!AU124</f>
        <v>5.6939954999999998</v>
      </c>
      <c r="AV82" s="76">
        <f t="shared" ref="AV82:BQ82" si="165">(AV15*AV58)/1000</f>
        <v>10.100848320499999</v>
      </c>
      <c r="AW82" s="76">
        <f t="shared" si="165"/>
        <v>11.351363640000001</v>
      </c>
      <c r="AX82" s="76">
        <f t="shared" si="165"/>
        <v>7.4197831999999995</v>
      </c>
      <c r="AY82" s="76">
        <f t="shared" si="165"/>
        <v>27.410147195999997</v>
      </c>
      <c r="AZ82" s="76">
        <f t="shared" si="165"/>
        <v>27.708791048399998</v>
      </c>
      <c r="BA82" s="76">
        <f t="shared" si="165"/>
        <v>20.116486850000005</v>
      </c>
      <c r="BB82" s="76">
        <f t="shared" si="165"/>
        <v>25.521702415714458</v>
      </c>
      <c r="BC82" s="76">
        <f t="shared" si="165"/>
        <v>0.32177158799999994</v>
      </c>
      <c r="BD82" s="76">
        <f t="shared" si="165"/>
        <v>0</v>
      </c>
      <c r="BE82" s="76">
        <f t="shared" si="165"/>
        <v>0.20101961879999994</v>
      </c>
      <c r="BF82" s="76">
        <f t="shared" si="165"/>
        <v>24.042729599999991</v>
      </c>
      <c r="BG82" s="76">
        <f t="shared" si="165"/>
        <v>33.600995999999995</v>
      </c>
      <c r="BH82" s="76">
        <f t="shared" si="165"/>
        <v>0</v>
      </c>
      <c r="BI82" s="76">
        <f t="shared" si="165"/>
        <v>0</v>
      </c>
      <c r="BJ82" s="76">
        <f t="shared" si="165"/>
        <v>0</v>
      </c>
      <c r="BK82" s="76">
        <f t="shared" si="165"/>
        <v>0</v>
      </c>
      <c r="BL82" s="76">
        <f t="shared" si="165"/>
        <v>0</v>
      </c>
      <c r="BM82" s="76">
        <f t="shared" si="165"/>
        <v>0</v>
      </c>
      <c r="BN82" s="76">
        <f t="shared" si="165"/>
        <v>0</v>
      </c>
      <c r="BO82" s="76">
        <f t="shared" si="165"/>
        <v>0</v>
      </c>
      <c r="BP82" s="76">
        <f t="shared" si="165"/>
        <v>0</v>
      </c>
      <c r="BQ82" s="76">
        <f t="shared" si="165"/>
        <v>0</v>
      </c>
      <c r="BR82" s="76">
        <f t="shared" si="157"/>
        <v>0</v>
      </c>
      <c r="BS82" s="76">
        <f t="shared" si="157"/>
        <v>0</v>
      </c>
      <c r="BT82" s="76">
        <f t="shared" si="158"/>
        <v>0</v>
      </c>
      <c r="BU82" s="76">
        <f t="shared" si="158"/>
        <v>0</v>
      </c>
      <c r="BV82" s="76">
        <f t="shared" si="159"/>
        <v>0</v>
      </c>
      <c r="BW82" s="76">
        <f t="shared" ref="BW82:BX82" si="166">(BW15*BW58)/1000</f>
        <v>0</v>
      </c>
      <c r="BX82" s="76">
        <f t="shared" si="166"/>
        <v>0</v>
      </c>
      <c r="BY82" s="76">
        <f t="shared" ref="BY82:CD82" si="167">(BY15*BY58)/1000</f>
        <v>0</v>
      </c>
      <c r="BZ82" s="76">
        <f t="shared" si="167"/>
        <v>0</v>
      </c>
      <c r="CA82" s="76">
        <f t="shared" si="167"/>
        <v>0</v>
      </c>
      <c r="CB82" s="76">
        <f t="shared" si="167"/>
        <v>0</v>
      </c>
      <c r="CC82" s="76">
        <f t="shared" si="167"/>
        <v>0</v>
      </c>
      <c r="CD82" s="76">
        <f t="shared" si="167"/>
        <v>0</v>
      </c>
      <c r="CF82" s="435"/>
      <c r="CG82" s="235">
        <f t="shared" si="123"/>
        <v>0</v>
      </c>
      <c r="CH82" s="235">
        <f t="shared" si="136"/>
        <v>0</v>
      </c>
      <c r="CI82" s="235" t="e">
        <f>BM82-#REF!</f>
        <v>#REF!</v>
      </c>
      <c r="CJ82" s="235">
        <f t="shared" si="92"/>
        <v>0</v>
      </c>
      <c r="CK82" s="235">
        <f t="shared" si="93"/>
        <v>0</v>
      </c>
      <c r="CL82" s="235">
        <f t="shared" si="94"/>
        <v>0</v>
      </c>
      <c r="CM82" s="235">
        <f t="shared" si="95"/>
        <v>0</v>
      </c>
      <c r="CN82" s="235">
        <f t="shared" si="96"/>
        <v>0</v>
      </c>
      <c r="CO82" s="235">
        <f t="shared" si="97"/>
        <v>0</v>
      </c>
      <c r="CP82" s="235">
        <f t="shared" si="98"/>
        <v>0</v>
      </c>
      <c r="CQ82" s="235">
        <f t="shared" si="99"/>
        <v>0</v>
      </c>
      <c r="CR82" s="235">
        <f t="shared" si="100"/>
        <v>0</v>
      </c>
      <c r="CS82" s="235">
        <f t="shared" si="101"/>
        <v>0</v>
      </c>
      <c r="CT82" s="235">
        <f t="shared" si="102"/>
        <v>0</v>
      </c>
      <c r="CU82" s="235">
        <f t="shared" si="103"/>
        <v>0</v>
      </c>
      <c r="CV82" s="235">
        <f t="shared" si="104"/>
        <v>0</v>
      </c>
      <c r="CW82" s="235">
        <f t="shared" si="105"/>
        <v>0</v>
      </c>
      <c r="CX82" s="235">
        <f t="shared" si="106"/>
        <v>0</v>
      </c>
      <c r="CY82" s="235">
        <f t="shared" si="107"/>
        <v>0</v>
      </c>
      <c r="CZ82" s="235">
        <f t="shared" si="108"/>
        <v>0</v>
      </c>
      <c r="DA82" s="38"/>
      <c r="DB82" s="236">
        <v>23.042729600000001</v>
      </c>
      <c r="DC82" s="236">
        <v>24.042729599999991</v>
      </c>
      <c r="DD82" s="236">
        <v>33.600995999999995</v>
      </c>
      <c r="DE82" s="236">
        <v>0</v>
      </c>
      <c r="DF82" s="401">
        <v>0</v>
      </c>
      <c r="DG82" s="236">
        <v>0</v>
      </c>
      <c r="DH82" s="492">
        <v>0</v>
      </c>
      <c r="DI82" s="236">
        <v>0</v>
      </c>
      <c r="DJ82" s="236">
        <v>0</v>
      </c>
      <c r="DK82" s="236">
        <v>0</v>
      </c>
      <c r="DL82" s="236">
        <v>0</v>
      </c>
      <c r="DM82" s="236">
        <v>0</v>
      </c>
      <c r="DN82" s="236">
        <v>0</v>
      </c>
      <c r="DO82" s="236">
        <v>0</v>
      </c>
      <c r="DP82" s="236">
        <v>0</v>
      </c>
      <c r="DQ82" s="401">
        <v>0</v>
      </c>
      <c r="DR82" s="401">
        <v>0</v>
      </c>
      <c r="DS82" s="401">
        <v>0</v>
      </c>
      <c r="DT82" s="401">
        <v>0</v>
      </c>
      <c r="DU82" s="401">
        <v>0</v>
      </c>
      <c r="DV82" s="401">
        <v>0</v>
      </c>
      <c r="DW82" s="401">
        <v>0</v>
      </c>
      <c r="DX82" s="401">
        <v>0</v>
      </c>
      <c r="DY82" s="401">
        <v>0</v>
      </c>
      <c r="DZ82" s="401"/>
      <c r="EA82" s="989"/>
    </row>
    <row r="83" spans="1:131" s="76" customFormat="1">
      <c r="A83" s="76" t="s">
        <v>3859</v>
      </c>
      <c r="B83" s="73" t="s">
        <v>2103</v>
      </c>
      <c r="C83" s="51" t="s">
        <v>9</v>
      </c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44">
        <v>0</v>
      </c>
      <c r="AV83" s="76">
        <f t="shared" ref="AV83:BQ83" si="168">(AV16*AV59)/1000</f>
        <v>0</v>
      </c>
      <c r="AW83" s="76">
        <f t="shared" si="168"/>
        <v>1.163175888</v>
      </c>
      <c r="AX83" s="76">
        <f t="shared" si="168"/>
        <v>1.5643347642000005</v>
      </c>
      <c r="AY83" s="76">
        <f t="shared" si="168"/>
        <v>3.9554742116999999</v>
      </c>
      <c r="AZ83" s="76">
        <f t="shared" si="168"/>
        <v>5.8069963361000001</v>
      </c>
      <c r="BA83" s="76">
        <f t="shared" si="168"/>
        <v>36.871112500000002</v>
      </c>
      <c r="BB83" s="76">
        <f t="shared" si="168"/>
        <v>63.567483510000017</v>
      </c>
      <c r="BC83" s="76">
        <f t="shared" si="168"/>
        <v>80.702366735772017</v>
      </c>
      <c r="BD83" s="76">
        <f t="shared" si="168"/>
        <v>51.855094500000007</v>
      </c>
      <c r="BE83" s="76">
        <f t="shared" si="168"/>
        <v>124.76105460000001</v>
      </c>
      <c r="BF83" s="76">
        <f t="shared" si="168"/>
        <v>142.54867770000004</v>
      </c>
      <c r="BG83" s="76">
        <f t="shared" si="168"/>
        <v>222.28200225000006</v>
      </c>
      <c r="BH83" s="76">
        <f t="shared" si="168"/>
        <v>548.74542870000005</v>
      </c>
      <c r="BI83" s="76">
        <f t="shared" si="168"/>
        <v>361.00046550000008</v>
      </c>
      <c r="BJ83" s="76">
        <f t="shared" si="168"/>
        <v>545.41469387755103</v>
      </c>
      <c r="BK83" s="76">
        <f t="shared" si="168"/>
        <v>1114.75</v>
      </c>
      <c r="BL83" s="76">
        <f t="shared" si="168"/>
        <v>974.55292200000008</v>
      </c>
      <c r="BM83" s="76">
        <f t="shared" si="168"/>
        <v>880.91600000000017</v>
      </c>
      <c r="BN83" s="76">
        <f t="shared" si="168"/>
        <v>825.47350000000017</v>
      </c>
      <c r="BO83" s="76">
        <f t="shared" si="168"/>
        <v>0</v>
      </c>
      <c r="BP83" s="76">
        <f t="shared" si="168"/>
        <v>0</v>
      </c>
      <c r="BQ83" s="76">
        <f t="shared" si="168"/>
        <v>0</v>
      </c>
      <c r="BR83" s="76">
        <f t="shared" si="157"/>
        <v>0</v>
      </c>
      <c r="BS83" s="76">
        <f t="shared" si="157"/>
        <v>0</v>
      </c>
      <c r="BT83" s="76">
        <f t="shared" si="158"/>
        <v>0</v>
      </c>
      <c r="BU83" s="76">
        <f t="shared" si="158"/>
        <v>0</v>
      </c>
      <c r="BV83" s="76">
        <f t="shared" si="159"/>
        <v>0</v>
      </c>
      <c r="BW83" s="76">
        <f t="shared" ref="BW83:BX83" si="169">(BW16*BW59)/1000</f>
        <v>0</v>
      </c>
      <c r="BX83" s="76">
        <f t="shared" si="169"/>
        <v>0</v>
      </c>
      <c r="BY83" s="76">
        <f t="shared" ref="BY83:CD83" si="170">(BY16*BY59)/1000</f>
        <v>0</v>
      </c>
      <c r="BZ83" s="76">
        <f t="shared" si="170"/>
        <v>0</v>
      </c>
      <c r="CA83" s="76">
        <f t="shared" si="170"/>
        <v>0</v>
      </c>
      <c r="CB83" s="76">
        <f t="shared" si="170"/>
        <v>0</v>
      </c>
      <c r="CC83" s="76">
        <f t="shared" si="170"/>
        <v>0</v>
      </c>
      <c r="CD83" s="76">
        <f t="shared" si="170"/>
        <v>0</v>
      </c>
      <c r="CF83" s="435"/>
      <c r="CG83" s="235">
        <f t="shared" si="123"/>
        <v>0</v>
      </c>
      <c r="CH83" s="235">
        <f t="shared" si="136"/>
        <v>0</v>
      </c>
      <c r="CI83" s="235" t="e">
        <f>BM83-#REF!</f>
        <v>#REF!</v>
      </c>
      <c r="CJ83" s="235">
        <f t="shared" si="92"/>
        <v>0</v>
      </c>
      <c r="CK83" s="235">
        <f t="shared" si="93"/>
        <v>0</v>
      </c>
      <c r="CL83" s="235">
        <f t="shared" si="94"/>
        <v>0</v>
      </c>
      <c r="CM83" s="235">
        <f t="shared" si="95"/>
        <v>0</v>
      </c>
      <c r="CN83" s="235">
        <f t="shared" si="96"/>
        <v>0</v>
      </c>
      <c r="CO83" s="235">
        <f t="shared" si="97"/>
        <v>0</v>
      </c>
      <c r="CP83" s="235">
        <f t="shared" si="98"/>
        <v>0</v>
      </c>
      <c r="CQ83" s="235">
        <f t="shared" si="99"/>
        <v>0</v>
      </c>
      <c r="CR83" s="235">
        <f t="shared" si="100"/>
        <v>0</v>
      </c>
      <c r="CS83" s="235">
        <f t="shared" si="101"/>
        <v>0</v>
      </c>
      <c r="CT83" s="235">
        <f t="shared" si="102"/>
        <v>0</v>
      </c>
      <c r="CU83" s="235">
        <f t="shared" si="103"/>
        <v>0</v>
      </c>
      <c r="CV83" s="235">
        <f t="shared" si="104"/>
        <v>0</v>
      </c>
      <c r="CW83" s="235">
        <f t="shared" si="105"/>
        <v>0</v>
      </c>
      <c r="CX83" s="235">
        <f t="shared" si="106"/>
        <v>0</v>
      </c>
      <c r="CY83" s="235">
        <f t="shared" si="107"/>
        <v>0</v>
      </c>
      <c r="CZ83" s="235">
        <f t="shared" si="108"/>
        <v>0</v>
      </c>
      <c r="DA83" s="38"/>
      <c r="DB83" s="236">
        <v>141.54867770000001</v>
      </c>
      <c r="DC83" s="236">
        <v>142.54867770000004</v>
      </c>
      <c r="DD83" s="236">
        <v>222.28200225000006</v>
      </c>
      <c r="DE83" s="236">
        <v>548.74542870000005</v>
      </c>
      <c r="DF83" s="401">
        <v>361.00046550000008</v>
      </c>
      <c r="DG83" s="236">
        <v>1114.75</v>
      </c>
      <c r="DH83" s="492">
        <v>974.55292200000008</v>
      </c>
      <c r="DI83" s="236">
        <v>825.47350000000017</v>
      </c>
      <c r="DJ83" s="236">
        <v>0</v>
      </c>
      <c r="DK83" s="236">
        <v>0</v>
      </c>
      <c r="DL83" s="236">
        <v>0</v>
      </c>
      <c r="DM83" s="236">
        <v>0</v>
      </c>
      <c r="DN83" s="236">
        <v>0</v>
      </c>
      <c r="DO83" s="236">
        <v>0</v>
      </c>
      <c r="DP83" s="236">
        <v>0</v>
      </c>
      <c r="DQ83" s="401">
        <v>0</v>
      </c>
      <c r="DR83" s="401">
        <v>0</v>
      </c>
      <c r="DS83" s="401">
        <v>0</v>
      </c>
      <c r="DT83" s="401">
        <v>0</v>
      </c>
      <c r="DU83" s="401">
        <v>0</v>
      </c>
      <c r="DV83" s="401">
        <v>0</v>
      </c>
      <c r="DW83" s="401">
        <v>0</v>
      </c>
      <c r="DX83" s="401">
        <v>0</v>
      </c>
      <c r="DY83" s="401">
        <v>0</v>
      </c>
      <c r="DZ83" s="401"/>
      <c r="EA83" s="989"/>
    </row>
    <row r="84" spans="1:131" s="76" customFormat="1">
      <c r="A84" s="974" t="s">
        <v>372</v>
      </c>
      <c r="B84" s="921" t="str">
        <f t="shared" ref="B84:B89" si="171">B60</f>
        <v>Fuel Oil</v>
      </c>
      <c r="C84" s="51"/>
      <c r="D84" s="207"/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07"/>
      <c r="V84" s="207"/>
      <c r="W84" s="207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44"/>
      <c r="BN84" s="76">
        <f t="shared" ref="BN84:BQ86" si="172">(BN17*BN60)/1000</f>
        <v>0</v>
      </c>
      <c r="BO84" s="76">
        <f t="shared" si="172"/>
        <v>317.45698800000002</v>
      </c>
      <c r="BP84" s="76">
        <f t="shared" si="172"/>
        <v>386.93558113127</v>
      </c>
      <c r="BQ84" s="76">
        <f t="shared" si="172"/>
        <v>385.2969325025947</v>
      </c>
      <c r="BR84" s="76">
        <f t="shared" si="157"/>
        <v>421.11902833697803</v>
      </c>
      <c r="BS84" s="76">
        <f t="shared" si="157"/>
        <v>466.19994483574936</v>
      </c>
      <c r="BT84" s="76">
        <f t="shared" si="158"/>
        <v>489.06354368049648</v>
      </c>
      <c r="BU84" s="76">
        <f t="shared" si="158"/>
        <v>489.06354368049648</v>
      </c>
      <c r="BV84" s="76">
        <f t="shared" si="159"/>
        <v>489.06354368049648</v>
      </c>
      <c r="BW84" s="76">
        <f t="shared" ref="BW84:BX84" si="173">(BW17*BW60)/1000</f>
        <v>489.06354368049648</v>
      </c>
      <c r="BX84" s="76">
        <f t="shared" si="173"/>
        <v>489.06354368049648</v>
      </c>
      <c r="BY84" s="76">
        <f t="shared" ref="BY84:CD84" si="174">(BY17*BY60)/1000</f>
        <v>489.06354368049648</v>
      </c>
      <c r="BZ84" s="76">
        <f t="shared" si="174"/>
        <v>489.06354368049648</v>
      </c>
      <c r="CA84" s="76">
        <f t="shared" si="174"/>
        <v>489.06354368049648</v>
      </c>
      <c r="CB84" s="76">
        <f t="shared" si="174"/>
        <v>489.06354368049648</v>
      </c>
      <c r="CC84" s="76">
        <f t="shared" si="174"/>
        <v>489.06354368049648</v>
      </c>
      <c r="CD84" s="76">
        <f t="shared" si="174"/>
        <v>489.06354368049648</v>
      </c>
      <c r="CF84" s="435"/>
      <c r="CG84" s="235"/>
      <c r="CH84" s="235">
        <f t="shared" si="136"/>
        <v>0</v>
      </c>
      <c r="CI84" s="235" t="e">
        <f>BM84-#REF!</f>
        <v>#REF!</v>
      </c>
      <c r="CJ84" s="235">
        <f t="shared" si="92"/>
        <v>0</v>
      </c>
      <c r="CK84" s="235">
        <f t="shared" si="93"/>
        <v>0</v>
      </c>
      <c r="CL84" s="235">
        <f t="shared" si="94"/>
        <v>0</v>
      </c>
      <c r="CM84" s="235">
        <f t="shared" si="95"/>
        <v>0</v>
      </c>
      <c r="CN84" s="235">
        <f t="shared" si="96"/>
        <v>0</v>
      </c>
      <c r="CO84" s="235">
        <f t="shared" si="97"/>
        <v>0</v>
      </c>
      <c r="CP84" s="235">
        <f t="shared" si="98"/>
        <v>0</v>
      </c>
      <c r="CQ84" s="235">
        <f t="shared" si="99"/>
        <v>0</v>
      </c>
      <c r="CR84" s="235">
        <f t="shared" si="100"/>
        <v>0</v>
      </c>
      <c r="CS84" s="235">
        <f t="shared" si="101"/>
        <v>0</v>
      </c>
      <c r="CT84" s="235">
        <f t="shared" si="102"/>
        <v>0</v>
      </c>
      <c r="CU84" s="235">
        <f t="shared" si="103"/>
        <v>0</v>
      </c>
      <c r="CV84" s="235">
        <f t="shared" si="104"/>
        <v>0</v>
      </c>
      <c r="CW84" s="235">
        <f t="shared" si="105"/>
        <v>0</v>
      </c>
      <c r="CX84" s="235">
        <f t="shared" si="106"/>
        <v>0</v>
      </c>
      <c r="CY84" s="235">
        <f t="shared" si="107"/>
        <v>0</v>
      </c>
      <c r="CZ84" s="235">
        <f t="shared" si="108"/>
        <v>0</v>
      </c>
      <c r="DA84" s="38"/>
      <c r="DB84" s="236"/>
      <c r="DC84" s="236"/>
      <c r="DD84" s="236"/>
      <c r="DE84" s="236"/>
      <c r="DF84" s="401"/>
      <c r="DG84" s="236"/>
      <c r="DH84" s="492"/>
      <c r="DI84" s="236">
        <v>0</v>
      </c>
      <c r="DJ84" s="236">
        <v>317.45698800000002</v>
      </c>
      <c r="DK84" s="236">
        <v>386.93558113127</v>
      </c>
      <c r="DL84" s="236">
        <v>385.2969325025947</v>
      </c>
      <c r="DM84" s="236">
        <v>421.11902833697803</v>
      </c>
      <c r="DN84" s="236">
        <v>466.19994483574936</v>
      </c>
      <c r="DO84" s="236">
        <v>489.06354368049648</v>
      </c>
      <c r="DP84" s="236">
        <v>489.06354368049648</v>
      </c>
      <c r="DQ84" s="401">
        <v>489.06354368049648</v>
      </c>
      <c r="DR84" s="401">
        <v>489.06354368049648</v>
      </c>
      <c r="DS84" s="401">
        <v>489.06354368049648</v>
      </c>
      <c r="DT84" s="401">
        <v>489.06354368049648</v>
      </c>
      <c r="DU84" s="401">
        <v>489.06354368049648</v>
      </c>
      <c r="DV84" s="401">
        <v>489.06354368049648</v>
      </c>
      <c r="DW84" s="401">
        <v>489.06354368049648</v>
      </c>
      <c r="DX84" s="401">
        <v>489.06354368049648</v>
      </c>
      <c r="DY84" s="401">
        <v>489.06354368049648</v>
      </c>
      <c r="DZ84" s="401"/>
      <c r="EA84" s="989"/>
    </row>
    <row r="85" spans="1:131" s="76" customFormat="1">
      <c r="A85" s="974" t="s">
        <v>373</v>
      </c>
      <c r="B85" s="921" t="str">
        <f t="shared" si="171"/>
        <v>SO-Diesel (Gasoil)</v>
      </c>
      <c r="C85" s="51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44"/>
      <c r="BN85" s="28">
        <f t="shared" si="172"/>
        <v>18.336461906077346</v>
      </c>
      <c r="BO85" s="28">
        <f t="shared" si="172"/>
        <v>0</v>
      </c>
      <c r="BP85" s="28">
        <f t="shared" si="172"/>
        <v>0</v>
      </c>
      <c r="BQ85" s="28">
        <f t="shared" si="172"/>
        <v>0</v>
      </c>
      <c r="BR85" s="28">
        <f t="shared" si="157"/>
        <v>0</v>
      </c>
      <c r="BS85" s="28">
        <f t="shared" si="157"/>
        <v>0</v>
      </c>
      <c r="BT85" s="28">
        <f t="shared" si="158"/>
        <v>0</v>
      </c>
      <c r="BU85" s="28">
        <f t="shared" si="158"/>
        <v>0</v>
      </c>
      <c r="BV85" s="28">
        <f t="shared" si="159"/>
        <v>0</v>
      </c>
      <c r="BW85" s="28">
        <f t="shared" ref="BW85:BX85" si="175">(BW18*BW61)/1000</f>
        <v>0</v>
      </c>
      <c r="BX85" s="28">
        <f t="shared" si="175"/>
        <v>0</v>
      </c>
      <c r="BY85" s="28">
        <f t="shared" ref="BY85:CD85" si="176">(BY18*BY61)/1000</f>
        <v>0</v>
      </c>
      <c r="BZ85" s="28">
        <f t="shared" si="176"/>
        <v>0</v>
      </c>
      <c r="CA85" s="28">
        <f t="shared" si="176"/>
        <v>0</v>
      </c>
      <c r="CB85" s="28">
        <f t="shared" si="176"/>
        <v>0</v>
      </c>
      <c r="CC85" s="28">
        <f t="shared" si="176"/>
        <v>0</v>
      </c>
      <c r="CD85" s="28">
        <f t="shared" si="176"/>
        <v>0</v>
      </c>
      <c r="CF85" s="435"/>
      <c r="CG85" s="235"/>
      <c r="CH85" s="235">
        <f t="shared" si="136"/>
        <v>0</v>
      </c>
      <c r="CI85" s="235" t="e">
        <f>BM85-#REF!</f>
        <v>#REF!</v>
      </c>
      <c r="CJ85" s="235">
        <f t="shared" si="92"/>
        <v>0</v>
      </c>
      <c r="CK85" s="235">
        <f t="shared" si="93"/>
        <v>0</v>
      </c>
      <c r="CL85" s="235">
        <f t="shared" si="94"/>
        <v>0</v>
      </c>
      <c r="CM85" s="235">
        <f t="shared" si="95"/>
        <v>0</v>
      </c>
      <c r="CN85" s="235">
        <f t="shared" si="96"/>
        <v>0</v>
      </c>
      <c r="CO85" s="235">
        <f t="shared" si="97"/>
        <v>0</v>
      </c>
      <c r="CP85" s="235">
        <f t="shared" si="98"/>
        <v>0</v>
      </c>
      <c r="CQ85" s="235">
        <f t="shared" si="99"/>
        <v>0</v>
      </c>
      <c r="CR85" s="235">
        <f t="shared" si="100"/>
        <v>0</v>
      </c>
      <c r="CS85" s="235">
        <f t="shared" si="101"/>
        <v>0</v>
      </c>
      <c r="CT85" s="235">
        <f t="shared" si="102"/>
        <v>0</v>
      </c>
      <c r="CU85" s="235">
        <f t="shared" si="103"/>
        <v>0</v>
      </c>
      <c r="CV85" s="235">
        <f t="shared" si="104"/>
        <v>0</v>
      </c>
      <c r="CW85" s="235">
        <f t="shared" si="105"/>
        <v>0</v>
      </c>
      <c r="CX85" s="235">
        <f t="shared" si="106"/>
        <v>0</v>
      </c>
      <c r="CY85" s="235">
        <f t="shared" si="107"/>
        <v>0</v>
      </c>
      <c r="CZ85" s="235">
        <f t="shared" si="108"/>
        <v>0</v>
      </c>
      <c r="DA85" s="38"/>
      <c r="DB85" s="236"/>
      <c r="DC85" s="236"/>
      <c r="DD85" s="236"/>
      <c r="DE85" s="236"/>
      <c r="DF85" s="401"/>
      <c r="DG85" s="236"/>
      <c r="DH85" s="492"/>
      <c r="DI85" s="236">
        <v>18.336461906077346</v>
      </c>
      <c r="DJ85" s="236">
        <v>0</v>
      </c>
      <c r="DK85" s="236">
        <v>0</v>
      </c>
      <c r="DL85" s="236">
        <v>0</v>
      </c>
      <c r="DM85" s="236">
        <v>0</v>
      </c>
      <c r="DN85" s="236">
        <v>0</v>
      </c>
      <c r="DO85" s="236">
        <v>0</v>
      </c>
      <c r="DP85" s="236">
        <v>0</v>
      </c>
      <c r="DQ85" s="401">
        <v>0</v>
      </c>
      <c r="DR85" s="401">
        <v>0</v>
      </c>
      <c r="DS85" s="401">
        <v>0</v>
      </c>
      <c r="DT85" s="401">
        <v>0</v>
      </c>
      <c r="DU85" s="401">
        <v>0</v>
      </c>
      <c r="DV85" s="401">
        <v>0</v>
      </c>
      <c r="DW85" s="401">
        <v>0</v>
      </c>
      <c r="DX85" s="401">
        <v>0</v>
      </c>
      <c r="DY85" s="401">
        <v>0</v>
      </c>
      <c r="DZ85" s="401"/>
      <c r="EA85" s="989"/>
    </row>
    <row r="86" spans="1:131" s="76" customFormat="1">
      <c r="A86" s="974" t="s">
        <v>376</v>
      </c>
      <c r="B86" s="921" t="str">
        <f t="shared" si="171"/>
        <v>Sulfuric Acid</v>
      </c>
      <c r="C86" s="51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44"/>
      <c r="BN86" s="28">
        <f t="shared" si="172"/>
        <v>0</v>
      </c>
      <c r="BO86" s="28">
        <f t="shared" si="172"/>
        <v>0</v>
      </c>
      <c r="BP86" s="28">
        <f t="shared" si="172"/>
        <v>0</v>
      </c>
      <c r="BQ86" s="28">
        <f t="shared" si="172"/>
        <v>0</v>
      </c>
      <c r="BR86" s="28">
        <f t="shared" si="157"/>
        <v>0</v>
      </c>
      <c r="BS86" s="28">
        <f t="shared" si="157"/>
        <v>0</v>
      </c>
      <c r="BT86" s="28">
        <f t="shared" si="158"/>
        <v>0</v>
      </c>
      <c r="BU86" s="28">
        <f t="shared" si="158"/>
        <v>0</v>
      </c>
      <c r="BV86" s="28">
        <f t="shared" si="159"/>
        <v>0</v>
      </c>
      <c r="BW86" s="28">
        <f t="shared" ref="BW86:BX86" si="177">(BW19*BW62)/1000</f>
        <v>0</v>
      </c>
      <c r="BX86" s="28">
        <f t="shared" si="177"/>
        <v>0</v>
      </c>
      <c r="BY86" s="28">
        <f t="shared" ref="BY86:CD86" si="178">(BY19*BY62)/1000</f>
        <v>0</v>
      </c>
      <c r="BZ86" s="28">
        <f t="shared" si="178"/>
        <v>0</v>
      </c>
      <c r="CA86" s="28">
        <f t="shared" si="178"/>
        <v>0</v>
      </c>
      <c r="CB86" s="28">
        <f t="shared" si="178"/>
        <v>0</v>
      </c>
      <c r="CC86" s="28">
        <f t="shared" si="178"/>
        <v>0</v>
      </c>
      <c r="CD86" s="28">
        <f t="shared" si="178"/>
        <v>0</v>
      </c>
      <c r="CF86" s="435"/>
      <c r="CG86" s="235"/>
      <c r="CH86" s="235">
        <f t="shared" si="136"/>
        <v>0</v>
      </c>
      <c r="CI86" s="235" t="e">
        <f>BM86-#REF!</f>
        <v>#REF!</v>
      </c>
      <c r="CJ86" s="235">
        <f t="shared" si="92"/>
        <v>0</v>
      </c>
      <c r="CK86" s="235">
        <f t="shared" si="93"/>
        <v>0</v>
      </c>
      <c r="CL86" s="235">
        <f t="shared" si="94"/>
        <v>0</v>
      </c>
      <c r="CM86" s="235">
        <f t="shared" si="95"/>
        <v>0</v>
      </c>
      <c r="CN86" s="235">
        <f t="shared" si="96"/>
        <v>0</v>
      </c>
      <c r="CO86" s="235">
        <f t="shared" si="97"/>
        <v>0</v>
      </c>
      <c r="CP86" s="235">
        <f t="shared" si="98"/>
        <v>0</v>
      </c>
      <c r="CQ86" s="235">
        <f t="shared" si="99"/>
        <v>0</v>
      </c>
      <c r="CR86" s="235">
        <f t="shared" si="100"/>
        <v>0</v>
      </c>
      <c r="CS86" s="235">
        <f t="shared" si="101"/>
        <v>0</v>
      </c>
      <c r="CT86" s="235">
        <f t="shared" si="102"/>
        <v>0</v>
      </c>
      <c r="CU86" s="235">
        <f t="shared" si="103"/>
        <v>0</v>
      </c>
      <c r="CV86" s="235">
        <f t="shared" si="104"/>
        <v>0</v>
      </c>
      <c r="CW86" s="235">
        <f t="shared" si="105"/>
        <v>0</v>
      </c>
      <c r="CX86" s="235">
        <f t="shared" si="106"/>
        <v>0</v>
      </c>
      <c r="CY86" s="235">
        <f t="shared" si="107"/>
        <v>0</v>
      </c>
      <c r="CZ86" s="235">
        <f t="shared" si="108"/>
        <v>0</v>
      </c>
      <c r="DA86" s="38"/>
      <c r="DB86" s="236"/>
      <c r="DC86" s="236"/>
      <c r="DD86" s="236"/>
      <c r="DE86" s="236"/>
      <c r="DF86" s="401"/>
      <c r="DG86" s="236"/>
      <c r="DH86" s="492"/>
      <c r="DI86" s="236">
        <v>0</v>
      </c>
      <c r="DJ86" s="236">
        <v>0</v>
      </c>
      <c r="DK86" s="236">
        <v>0</v>
      </c>
      <c r="DL86" s="236">
        <v>0</v>
      </c>
      <c r="DM86" s="236">
        <v>0</v>
      </c>
      <c r="DN86" s="236">
        <v>0</v>
      </c>
      <c r="DO86" s="236">
        <v>0</v>
      </c>
      <c r="DP86" s="236">
        <v>0</v>
      </c>
      <c r="DQ86" s="401">
        <v>0</v>
      </c>
      <c r="DR86" s="401">
        <v>0</v>
      </c>
      <c r="DS86" s="401">
        <v>0</v>
      </c>
      <c r="DT86" s="401">
        <v>0</v>
      </c>
      <c r="DU86" s="401">
        <v>0</v>
      </c>
      <c r="DV86" s="401">
        <v>0</v>
      </c>
      <c r="DW86" s="401">
        <v>0</v>
      </c>
      <c r="DX86" s="401">
        <v>0</v>
      </c>
      <c r="DY86" s="401">
        <v>0</v>
      </c>
      <c r="DZ86" s="401"/>
      <c r="EA86" s="989"/>
    </row>
    <row r="87" spans="1:131" s="76" customFormat="1">
      <c r="A87" s="974"/>
      <c r="B87" s="921" t="str">
        <f t="shared" si="171"/>
        <v>Low Sulfur Diesel (Automotive Diesel)</v>
      </c>
      <c r="C87" s="51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44"/>
      <c r="BN87" s="28">
        <f>(BN20*BN63)/1000</f>
        <v>0</v>
      </c>
      <c r="BO87" s="28">
        <f>(BO20*BO63)/1000</f>
        <v>27.428593999999997</v>
      </c>
      <c r="BP87" s="28">
        <f>(BP20*BP63)/1000</f>
        <v>320.94834318890076</v>
      </c>
      <c r="BQ87" s="28">
        <f>(BQ20*BQ63)/1000</f>
        <v>522.18960709752707</v>
      </c>
      <c r="BR87" s="28">
        <f t="shared" si="157"/>
        <v>553.71284810323186</v>
      </c>
      <c r="BS87" s="28">
        <f t="shared" si="157"/>
        <v>595.64105642874085</v>
      </c>
      <c r="BT87" s="28">
        <f t="shared" si="158"/>
        <v>626.73676684986685</v>
      </c>
      <c r="BU87" s="28">
        <f t="shared" si="158"/>
        <v>626.73676684986685</v>
      </c>
      <c r="BV87" s="28">
        <f t="shared" si="159"/>
        <v>626.73676684986685</v>
      </c>
      <c r="BW87" s="28">
        <f t="shared" ref="BW87:BX87" si="179">(BW20*BW63)/1000</f>
        <v>626.73676684986685</v>
      </c>
      <c r="BX87" s="28">
        <f t="shared" si="179"/>
        <v>626.73676684986685</v>
      </c>
      <c r="BY87" s="28">
        <f t="shared" ref="BY87:CD87" si="180">(BY20*BY63)/1000</f>
        <v>626.73676684986685</v>
      </c>
      <c r="BZ87" s="28">
        <f t="shared" si="180"/>
        <v>626.73676684986685</v>
      </c>
      <c r="CA87" s="28">
        <f t="shared" si="180"/>
        <v>626.73676684986685</v>
      </c>
      <c r="CB87" s="28">
        <f t="shared" si="180"/>
        <v>626.73676684986685</v>
      </c>
      <c r="CC87" s="28">
        <f t="shared" si="180"/>
        <v>626.73676684986685</v>
      </c>
      <c r="CD87" s="28">
        <f t="shared" si="180"/>
        <v>626.73676684986685</v>
      </c>
      <c r="CF87" s="435"/>
      <c r="CG87" s="235"/>
      <c r="CH87" s="235"/>
      <c r="CI87" s="235"/>
      <c r="CJ87" s="235"/>
      <c r="CK87" s="235"/>
      <c r="CL87" s="235"/>
      <c r="CM87" s="235"/>
      <c r="CN87" s="235"/>
      <c r="CO87" s="235"/>
      <c r="CP87" s="235"/>
      <c r="CQ87" s="235"/>
      <c r="CR87" s="235"/>
      <c r="CS87" s="235"/>
      <c r="CT87" s="235"/>
      <c r="CU87" s="235"/>
      <c r="CV87" s="235"/>
      <c r="CW87" s="235"/>
      <c r="CX87" s="235"/>
      <c r="CY87" s="235"/>
      <c r="CZ87" s="235"/>
      <c r="DA87" s="38"/>
      <c r="DB87" s="236"/>
      <c r="DC87" s="236"/>
      <c r="DD87" s="236"/>
      <c r="DE87" s="236"/>
      <c r="DF87" s="401"/>
      <c r="DG87" s="236"/>
      <c r="DH87" s="492"/>
      <c r="DI87" s="236">
        <v>0</v>
      </c>
      <c r="DJ87" s="236">
        <v>27.428593999999997</v>
      </c>
      <c r="DK87" s="236">
        <v>320.94834318890076</v>
      </c>
      <c r="DL87" s="236">
        <v>522.18960709752707</v>
      </c>
      <c r="DM87" s="236">
        <v>553.71284810323186</v>
      </c>
      <c r="DN87" s="236">
        <v>595.64105642874085</v>
      </c>
      <c r="DO87" s="236">
        <v>626.73676684986685</v>
      </c>
      <c r="DP87" s="236">
        <v>626.73676684986685</v>
      </c>
      <c r="DQ87" s="401">
        <v>626.73676684986685</v>
      </c>
      <c r="DR87" s="401">
        <v>626.73676684986685</v>
      </c>
      <c r="DS87" s="401">
        <v>626.73676684986685</v>
      </c>
      <c r="DT87" s="401">
        <v>626.73676684986685</v>
      </c>
      <c r="DU87" s="401">
        <v>626.73676684986685</v>
      </c>
      <c r="DV87" s="401">
        <v>626.73676684986685</v>
      </c>
      <c r="DW87" s="401">
        <v>626.73676684986685</v>
      </c>
      <c r="DX87" s="401">
        <v>626.73676684986685</v>
      </c>
      <c r="DY87" s="401">
        <v>626.73676684986685</v>
      </c>
      <c r="DZ87" s="401"/>
      <c r="EA87" s="989"/>
    </row>
    <row r="88" spans="1:131" s="76" customFormat="1">
      <c r="A88" s="921" t="s">
        <v>1112</v>
      </c>
      <c r="B88" s="921" t="str">
        <f t="shared" si="171"/>
        <v>Bitumen</v>
      </c>
      <c r="C88" s="51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44"/>
      <c r="BN88" s="28">
        <f t="shared" ref="BN88:BQ89" si="181">(BN21*BN64)/1000</f>
        <v>0.42853200000000008</v>
      </c>
      <c r="BO88" s="28">
        <f t="shared" si="181"/>
        <v>0</v>
      </c>
      <c r="BP88" s="28">
        <f t="shared" si="181"/>
        <v>0</v>
      </c>
      <c r="BQ88" s="28">
        <f t="shared" si="181"/>
        <v>0</v>
      </c>
      <c r="BR88" s="28">
        <f t="shared" si="157"/>
        <v>0</v>
      </c>
      <c r="BS88" s="28">
        <f t="shared" si="157"/>
        <v>0</v>
      </c>
      <c r="BT88" s="28">
        <f t="shared" si="158"/>
        <v>0</v>
      </c>
      <c r="BU88" s="28">
        <f t="shared" si="158"/>
        <v>0</v>
      </c>
      <c r="BV88" s="28">
        <f t="shared" si="159"/>
        <v>0</v>
      </c>
      <c r="BW88" s="28">
        <f t="shared" ref="BW88:BX88" si="182">(BW21*BW64)/1000</f>
        <v>0</v>
      </c>
      <c r="BX88" s="28">
        <f t="shared" si="182"/>
        <v>0</v>
      </c>
      <c r="BY88" s="28">
        <f t="shared" ref="BY88:CD88" si="183">(BY21*BY64)/1000</f>
        <v>0</v>
      </c>
      <c r="BZ88" s="28">
        <f t="shared" si="183"/>
        <v>0</v>
      </c>
      <c r="CA88" s="28">
        <f t="shared" si="183"/>
        <v>0</v>
      </c>
      <c r="CB88" s="28">
        <f t="shared" si="183"/>
        <v>0</v>
      </c>
      <c r="CC88" s="28">
        <f t="shared" si="183"/>
        <v>0</v>
      </c>
      <c r="CD88" s="28">
        <f t="shared" si="183"/>
        <v>0</v>
      </c>
      <c r="CF88" s="435"/>
      <c r="CG88" s="235"/>
      <c r="CH88" s="235">
        <f t="shared" si="136"/>
        <v>0</v>
      </c>
      <c r="CI88" s="235" t="e">
        <f>BM88-#REF!</f>
        <v>#REF!</v>
      </c>
      <c r="CJ88" s="235">
        <f t="shared" ref="CJ88:CJ108" si="184">BN88-DI88</f>
        <v>0</v>
      </c>
      <c r="CK88" s="235">
        <f t="shared" ref="CK88:CK108" si="185">BO88-DJ88</f>
        <v>0</v>
      </c>
      <c r="CL88" s="235">
        <f t="shared" ref="CL88:CL108" si="186">BP88-DK88</f>
        <v>0</v>
      </c>
      <c r="CM88" s="235">
        <f t="shared" ref="CM88:CM108" si="187">BQ88-DL88</f>
        <v>0</v>
      </c>
      <c r="CN88" s="235">
        <f t="shared" ref="CN88:CN108" si="188">BR88-DM88</f>
        <v>0</v>
      </c>
      <c r="CO88" s="235">
        <f t="shared" ref="CO88:CO108" si="189">BS88-DN88</f>
        <v>0</v>
      </c>
      <c r="CP88" s="235">
        <f t="shared" ref="CP88:CP108" si="190">BT88-DO88</f>
        <v>0</v>
      </c>
      <c r="CQ88" s="235">
        <f t="shared" ref="CQ88:CQ108" si="191">BU88-DP88</f>
        <v>0</v>
      </c>
      <c r="CR88" s="235">
        <f t="shared" ref="CR88:CR108" si="192">BV88-DQ88</f>
        <v>0</v>
      </c>
      <c r="CS88" s="235">
        <f t="shared" ref="CS88:CS108" si="193">BW88-DR88</f>
        <v>0</v>
      </c>
      <c r="CT88" s="235">
        <f t="shared" ref="CT88:CT108" si="194">BX88-DS88</f>
        <v>0</v>
      </c>
      <c r="CU88" s="235">
        <f t="shared" ref="CU88:CU108" si="195">BY88-DT88</f>
        <v>0</v>
      </c>
      <c r="CV88" s="235">
        <f t="shared" ref="CV88:CV108" si="196">BZ88-DU88</f>
        <v>0</v>
      </c>
      <c r="CW88" s="235">
        <f t="shared" ref="CW88:CW108" si="197">CA88-DV88</f>
        <v>0</v>
      </c>
      <c r="CX88" s="235">
        <f t="shared" ref="CX88:CX108" si="198">CB88-DW88</f>
        <v>0</v>
      </c>
      <c r="CY88" s="235">
        <f t="shared" ref="CY88:CY108" si="199">CC88-DX88</f>
        <v>0</v>
      </c>
      <c r="CZ88" s="235">
        <f t="shared" ref="CZ88:CZ108" si="200">CD88-DY88</f>
        <v>0</v>
      </c>
      <c r="DA88" s="38"/>
      <c r="DB88" s="236"/>
      <c r="DC88" s="236"/>
      <c r="DD88" s="236"/>
      <c r="DE88" s="236"/>
      <c r="DF88" s="401"/>
      <c r="DG88" s="236"/>
      <c r="DH88" s="492"/>
      <c r="DI88" s="236">
        <v>0.42853200000000008</v>
      </c>
      <c r="DJ88" s="236">
        <v>0</v>
      </c>
      <c r="DK88" s="236">
        <v>0</v>
      </c>
      <c r="DL88" s="236">
        <v>0</v>
      </c>
      <c r="DM88" s="236">
        <v>0</v>
      </c>
      <c r="DN88" s="236">
        <v>0</v>
      </c>
      <c r="DO88" s="236">
        <v>0</v>
      </c>
      <c r="DP88" s="236">
        <v>0</v>
      </c>
      <c r="DQ88" s="401">
        <v>0</v>
      </c>
      <c r="DR88" s="401">
        <v>0</v>
      </c>
      <c r="DS88" s="401">
        <v>0</v>
      </c>
      <c r="DT88" s="401">
        <v>0</v>
      </c>
      <c r="DU88" s="401">
        <v>0</v>
      </c>
      <c r="DV88" s="401">
        <v>0</v>
      </c>
      <c r="DW88" s="401">
        <v>0</v>
      </c>
      <c r="DX88" s="401">
        <v>0</v>
      </c>
      <c r="DY88" s="401">
        <v>0</v>
      </c>
      <c r="DZ88" s="401"/>
      <c r="EA88" s="989"/>
    </row>
    <row r="89" spans="1:131" s="76" customFormat="1">
      <c r="A89" s="974" t="s">
        <v>3860</v>
      </c>
      <c r="B89" s="921" t="str">
        <f t="shared" si="171"/>
        <v>Suiker</v>
      </c>
      <c r="C89" s="51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  <c r="AA89" s="207"/>
      <c r="AB89" s="207"/>
      <c r="AC89" s="207"/>
      <c r="AD89" s="207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44"/>
      <c r="BO89" s="28">
        <f t="shared" si="181"/>
        <v>0</v>
      </c>
      <c r="BP89" s="28">
        <f t="shared" si="181"/>
        <v>0</v>
      </c>
      <c r="BQ89" s="28">
        <f t="shared" si="181"/>
        <v>0</v>
      </c>
      <c r="BR89" s="28">
        <f t="shared" si="157"/>
        <v>0</v>
      </c>
      <c r="BS89" s="28">
        <f t="shared" si="157"/>
        <v>0</v>
      </c>
      <c r="BT89" s="28">
        <f t="shared" si="158"/>
        <v>0</v>
      </c>
      <c r="BU89" s="28">
        <f t="shared" si="158"/>
        <v>0</v>
      </c>
      <c r="BV89" s="28">
        <f t="shared" si="159"/>
        <v>0</v>
      </c>
      <c r="BW89" s="28">
        <f t="shared" ref="BW89:BX89" si="201">(BW22*BW65)/1000</f>
        <v>0</v>
      </c>
      <c r="BX89" s="28">
        <f t="shared" si="201"/>
        <v>0</v>
      </c>
      <c r="BY89" s="28">
        <f t="shared" ref="BY89:CD89" si="202">(BY22*BY65)/1000</f>
        <v>0</v>
      </c>
      <c r="BZ89" s="28">
        <f t="shared" si="202"/>
        <v>0</v>
      </c>
      <c r="CA89" s="28">
        <f t="shared" si="202"/>
        <v>0</v>
      </c>
      <c r="CB89" s="28">
        <f t="shared" si="202"/>
        <v>0</v>
      </c>
      <c r="CC89" s="28">
        <f t="shared" si="202"/>
        <v>0</v>
      </c>
      <c r="CD89" s="28">
        <f t="shared" si="202"/>
        <v>0</v>
      </c>
      <c r="CF89" s="435"/>
      <c r="CG89" s="235"/>
      <c r="CH89" s="235">
        <f t="shared" si="136"/>
        <v>0</v>
      </c>
      <c r="CI89" s="235" t="e">
        <f>BM89-#REF!</f>
        <v>#REF!</v>
      </c>
      <c r="CJ89" s="235">
        <f t="shared" si="184"/>
        <v>0</v>
      </c>
      <c r="CK89" s="235">
        <f t="shared" si="185"/>
        <v>0</v>
      </c>
      <c r="CL89" s="235">
        <f t="shared" si="186"/>
        <v>0</v>
      </c>
      <c r="CM89" s="235">
        <f t="shared" si="187"/>
        <v>0</v>
      </c>
      <c r="CN89" s="235">
        <f t="shared" si="188"/>
        <v>0</v>
      </c>
      <c r="CO89" s="235">
        <f t="shared" si="189"/>
        <v>0</v>
      </c>
      <c r="CP89" s="235">
        <f t="shared" si="190"/>
        <v>0</v>
      </c>
      <c r="CQ89" s="235">
        <f t="shared" si="191"/>
        <v>0</v>
      </c>
      <c r="CR89" s="235">
        <f t="shared" si="192"/>
        <v>0</v>
      </c>
      <c r="CS89" s="235">
        <f t="shared" si="193"/>
        <v>0</v>
      </c>
      <c r="CT89" s="235">
        <f t="shared" si="194"/>
        <v>0</v>
      </c>
      <c r="CU89" s="235">
        <f t="shared" si="195"/>
        <v>0</v>
      </c>
      <c r="CV89" s="235">
        <f t="shared" si="196"/>
        <v>0</v>
      </c>
      <c r="CW89" s="235">
        <f t="shared" si="197"/>
        <v>0</v>
      </c>
      <c r="CX89" s="235">
        <f t="shared" si="198"/>
        <v>0</v>
      </c>
      <c r="CY89" s="235">
        <f t="shared" si="199"/>
        <v>0</v>
      </c>
      <c r="CZ89" s="235">
        <f t="shared" si="200"/>
        <v>0</v>
      </c>
      <c r="DA89" s="38"/>
      <c r="DB89" s="236"/>
      <c r="DC89" s="236"/>
      <c r="DD89" s="236"/>
      <c r="DE89" s="236"/>
      <c r="DF89" s="401"/>
      <c r="DG89" s="236"/>
      <c r="DH89" s="492"/>
      <c r="DI89" s="236"/>
      <c r="DJ89" s="236">
        <v>0</v>
      </c>
      <c r="DK89" s="236">
        <v>0</v>
      </c>
      <c r="DL89" s="236">
        <v>0</v>
      </c>
      <c r="DM89" s="236">
        <v>0</v>
      </c>
      <c r="DN89" s="236">
        <v>0</v>
      </c>
      <c r="DO89" s="236">
        <v>0</v>
      </c>
      <c r="DP89" s="236">
        <v>0</v>
      </c>
      <c r="DQ89" s="401">
        <v>0</v>
      </c>
      <c r="DR89" s="401">
        <v>0</v>
      </c>
      <c r="DS89" s="401">
        <v>0</v>
      </c>
      <c r="DT89" s="401">
        <v>0</v>
      </c>
      <c r="DU89" s="401">
        <v>0</v>
      </c>
      <c r="DV89" s="401">
        <v>0</v>
      </c>
      <c r="DW89" s="401">
        <v>0</v>
      </c>
      <c r="DX89" s="401">
        <v>0</v>
      </c>
      <c r="DY89" s="401">
        <v>0</v>
      </c>
      <c r="DZ89" s="401"/>
      <c r="EA89" s="989"/>
    </row>
    <row r="90" spans="1:131" s="76" customFormat="1">
      <c r="A90" s="76" t="s">
        <v>3861</v>
      </c>
      <c r="B90" s="73" t="s">
        <v>2569</v>
      </c>
      <c r="C90" s="51" t="s">
        <v>3217</v>
      </c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44">
        <v>0</v>
      </c>
      <c r="AV90" s="76">
        <f t="shared" ref="AV90:BI90" si="203">(AV23*AV66)/1000</f>
        <v>4.4016292828616388</v>
      </c>
      <c r="AW90" s="76">
        <f t="shared" si="203"/>
        <v>12.74125339793472</v>
      </c>
      <c r="AX90" s="76">
        <f t="shared" si="203"/>
        <v>20.705053582080005</v>
      </c>
      <c r="AY90" s="76">
        <f t="shared" si="203"/>
        <v>45.539080174717192</v>
      </c>
      <c r="AZ90" s="76">
        <f t="shared" si="203"/>
        <v>72.700412393043734</v>
      </c>
      <c r="BA90" s="76">
        <f t="shared" si="203"/>
        <v>81.29284874902001</v>
      </c>
      <c r="BB90" s="76">
        <f t="shared" si="203"/>
        <v>47.165124368694165</v>
      </c>
      <c r="BC90" s="76">
        <f t="shared" si="203"/>
        <v>293.08853047258123</v>
      </c>
      <c r="BD90" s="76">
        <f t="shared" si="203"/>
        <v>659.82757374165612</v>
      </c>
      <c r="BE90" s="76">
        <f t="shared" si="203"/>
        <v>724.05397258740027</v>
      </c>
      <c r="BF90" s="76">
        <f t="shared" si="203"/>
        <v>1027.523037738054</v>
      </c>
      <c r="BG90" s="76">
        <f t="shared" si="203"/>
        <v>1228.2951953035067</v>
      </c>
      <c r="BH90" s="76">
        <f t="shared" si="203"/>
        <v>1835.577838134755</v>
      </c>
      <c r="BI90" s="76">
        <f t="shared" si="203"/>
        <v>2313.7819745867405</v>
      </c>
      <c r="BJ90" s="76">
        <f t="shared" ref="BJ90:BQ90" si="204">(BJ23*BJ66)/1000</f>
        <v>3157.3112000000001</v>
      </c>
      <c r="BK90" s="76">
        <f t="shared" si="204"/>
        <v>4389.8562246463352</v>
      </c>
      <c r="BL90" s="76">
        <f t="shared" si="204"/>
        <v>5150.0801611385659</v>
      </c>
      <c r="BM90" s="76">
        <f t="shared" si="204"/>
        <v>4196.5152054350001</v>
      </c>
      <c r="BN90" s="76">
        <f t="shared" si="204"/>
        <v>3486.0193005426513</v>
      </c>
      <c r="BO90" s="76">
        <f t="shared" si="204"/>
        <v>3239.2340625189845</v>
      </c>
      <c r="BP90" s="76">
        <f t="shared" si="204"/>
        <v>4762.7587844965301</v>
      </c>
      <c r="BQ90" s="76">
        <f t="shared" si="204"/>
        <v>6085.8501609204486</v>
      </c>
      <c r="BR90" s="76">
        <f t="shared" si="157"/>
        <v>6353.3596205093718</v>
      </c>
      <c r="BS90" s="76">
        <f t="shared" si="157"/>
        <v>6136.8927155629081</v>
      </c>
      <c r="BT90" s="76">
        <f t="shared" si="158"/>
        <v>6169.7013314662145</v>
      </c>
      <c r="BU90" s="76">
        <f t="shared" si="158"/>
        <v>6417.3235283448794</v>
      </c>
      <c r="BV90" s="76">
        <f t="shared" si="159"/>
        <v>6674.8840916197069</v>
      </c>
      <c r="BW90" s="76">
        <f t="shared" ref="BW90:BX90" si="205">(BW23*BW66)/1000</f>
        <v>6942.7818996136821</v>
      </c>
      <c r="BX90" s="76">
        <f t="shared" si="205"/>
        <v>7221.4318397110574</v>
      </c>
      <c r="BY90" s="76">
        <f t="shared" ref="BY90:CD90" si="206">(BY23*BY66)/1000</f>
        <v>7511.2654508842288</v>
      </c>
      <c r="BZ90" s="76">
        <f t="shared" si="206"/>
        <v>8046.0675509871862</v>
      </c>
      <c r="CA90" s="76">
        <f t="shared" si="206"/>
        <v>8618.9475606174747</v>
      </c>
      <c r="CB90" s="76">
        <f t="shared" si="206"/>
        <v>9232.616626933439</v>
      </c>
      <c r="CC90" s="76">
        <f t="shared" si="206"/>
        <v>9889.9789307711035</v>
      </c>
      <c r="CD90" s="76">
        <f t="shared" si="206"/>
        <v>10594.145430642006</v>
      </c>
      <c r="CF90" s="435"/>
      <c r="CG90" s="235">
        <f t="shared" ref="CG90:CG105" si="207">BK90-DG90</f>
        <v>0</v>
      </c>
      <c r="CH90" s="235">
        <f t="shared" si="136"/>
        <v>0</v>
      </c>
      <c r="CI90" s="235" t="e">
        <f>BM90-#REF!</f>
        <v>#REF!</v>
      </c>
      <c r="CJ90" s="235">
        <f t="shared" si="184"/>
        <v>0</v>
      </c>
      <c r="CK90" s="235">
        <f t="shared" si="185"/>
        <v>0</v>
      </c>
      <c r="CL90" s="235">
        <f t="shared" si="186"/>
        <v>0</v>
      </c>
      <c r="CM90" s="235">
        <f t="shared" si="187"/>
        <v>0</v>
      </c>
      <c r="CN90" s="235">
        <f t="shared" si="188"/>
        <v>0</v>
      </c>
      <c r="CO90" s="235">
        <f t="shared" si="189"/>
        <v>0</v>
      </c>
      <c r="CP90" s="235">
        <f t="shared" si="190"/>
        <v>0</v>
      </c>
      <c r="CQ90" s="235">
        <f t="shared" si="191"/>
        <v>0</v>
      </c>
      <c r="CR90" s="235">
        <f t="shared" si="192"/>
        <v>0</v>
      </c>
      <c r="CS90" s="235">
        <f t="shared" si="193"/>
        <v>0</v>
      </c>
      <c r="CT90" s="235">
        <f t="shared" si="194"/>
        <v>0</v>
      </c>
      <c r="CU90" s="235">
        <f t="shared" si="195"/>
        <v>0</v>
      </c>
      <c r="CV90" s="235">
        <f t="shared" si="196"/>
        <v>0</v>
      </c>
      <c r="CW90" s="235">
        <f t="shared" si="197"/>
        <v>0</v>
      </c>
      <c r="CX90" s="235">
        <f t="shared" si="198"/>
        <v>0</v>
      </c>
      <c r="CY90" s="235">
        <f t="shared" si="199"/>
        <v>0</v>
      </c>
      <c r="CZ90" s="235">
        <f t="shared" si="200"/>
        <v>0</v>
      </c>
      <c r="DA90" s="38"/>
      <c r="DB90" s="236">
        <v>985.36972985615</v>
      </c>
      <c r="DC90" s="236">
        <v>986.36972985614977</v>
      </c>
      <c r="DD90" s="236">
        <v>1230.5074513780801</v>
      </c>
      <c r="DE90" s="236">
        <v>1752.7253129346375</v>
      </c>
      <c r="DF90" s="401">
        <v>2313.7819745867405</v>
      </c>
      <c r="DG90" s="236">
        <v>4389.8562246463352</v>
      </c>
      <c r="DH90" s="492">
        <v>5150.0801611385659</v>
      </c>
      <c r="DI90" s="236">
        <v>3486.0193005426513</v>
      </c>
      <c r="DJ90" s="236">
        <v>3239.2340625189845</v>
      </c>
      <c r="DK90" s="236">
        <v>4762.7587844965301</v>
      </c>
      <c r="DL90" s="236">
        <v>6085.8501609204486</v>
      </c>
      <c r="DM90" s="236">
        <v>6353.3596205093718</v>
      </c>
      <c r="DN90" s="236">
        <v>6136.8927155629081</v>
      </c>
      <c r="DO90" s="236">
        <v>6169.7013314662145</v>
      </c>
      <c r="DP90" s="236">
        <v>6417.3235283448794</v>
      </c>
      <c r="DQ90" s="401">
        <v>6674.8840916197069</v>
      </c>
      <c r="DR90" s="401">
        <v>6942.7818996136821</v>
      </c>
      <c r="DS90" s="401">
        <v>7221.4318397110574</v>
      </c>
      <c r="DT90" s="401">
        <v>7511.2654508842288</v>
      </c>
      <c r="DU90" s="401">
        <v>8046.0675509871862</v>
      </c>
      <c r="DV90" s="401">
        <v>8618.9475606174747</v>
      </c>
      <c r="DW90" s="401">
        <v>9232.616626933439</v>
      </c>
      <c r="DX90" s="401">
        <v>9889.9789307711035</v>
      </c>
      <c r="DY90" s="401">
        <v>10594.145430642006</v>
      </c>
      <c r="DZ90" s="401"/>
      <c r="EA90" s="989"/>
    </row>
    <row r="91" spans="1:131" s="76" customFormat="1">
      <c r="A91" s="76" t="s">
        <v>3862</v>
      </c>
      <c r="B91" s="73" t="s">
        <v>1404</v>
      </c>
      <c r="C91" s="51" t="s">
        <v>3218</v>
      </c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44">
        <v>0</v>
      </c>
      <c r="AV91" s="76">
        <f t="shared" ref="AV91:BI91" si="208">(AV24*AV67)/1000</f>
        <v>0</v>
      </c>
      <c r="AW91" s="76">
        <f t="shared" si="208"/>
        <v>0</v>
      </c>
      <c r="AX91" s="76">
        <f t="shared" si="208"/>
        <v>0</v>
      </c>
      <c r="AY91" s="76">
        <f t="shared" si="208"/>
        <v>0</v>
      </c>
      <c r="AZ91" s="76">
        <f t="shared" si="208"/>
        <v>0</v>
      </c>
      <c r="BA91" s="76">
        <f t="shared" si="208"/>
        <v>0</v>
      </c>
      <c r="BB91" s="76">
        <f t="shared" si="208"/>
        <v>0</v>
      </c>
      <c r="BC91" s="76">
        <f t="shared" si="208"/>
        <v>0</v>
      </c>
      <c r="BD91" s="76">
        <f t="shared" si="208"/>
        <v>0</v>
      </c>
      <c r="BE91" s="76">
        <f t="shared" si="208"/>
        <v>0</v>
      </c>
      <c r="BF91" s="76">
        <f t="shared" si="208"/>
        <v>0</v>
      </c>
      <c r="BG91" s="76">
        <f t="shared" si="208"/>
        <v>0</v>
      </c>
      <c r="BH91" s="76">
        <f t="shared" si="208"/>
        <v>0</v>
      </c>
      <c r="BI91" s="76">
        <f t="shared" si="208"/>
        <v>0</v>
      </c>
      <c r="BJ91" s="76">
        <f t="shared" ref="BJ91:BQ91" si="209">(BJ24*BJ67)/1000</f>
        <v>0</v>
      </c>
      <c r="BK91" s="76">
        <f t="shared" si="209"/>
        <v>0</v>
      </c>
      <c r="BL91" s="76">
        <f t="shared" si="209"/>
        <v>0</v>
      </c>
      <c r="BM91" s="76">
        <f t="shared" si="209"/>
        <v>0</v>
      </c>
      <c r="BN91" s="76">
        <f t="shared" si="209"/>
        <v>0</v>
      </c>
      <c r="BO91" s="76">
        <f t="shared" si="209"/>
        <v>0</v>
      </c>
      <c r="BP91" s="76">
        <f t="shared" si="209"/>
        <v>0</v>
      </c>
      <c r="BQ91" s="76">
        <f t="shared" si="209"/>
        <v>0</v>
      </c>
      <c r="BR91" s="76">
        <f t="shared" si="157"/>
        <v>0</v>
      </c>
      <c r="BS91" s="76">
        <f t="shared" si="157"/>
        <v>0</v>
      </c>
      <c r="BT91" s="76">
        <f t="shared" si="158"/>
        <v>0</v>
      </c>
      <c r="BU91" s="76">
        <f t="shared" si="158"/>
        <v>0</v>
      </c>
      <c r="BV91" s="76">
        <f t="shared" si="159"/>
        <v>0</v>
      </c>
      <c r="BW91" s="76">
        <f t="shared" ref="BW91:BX91" si="210">(BW24*BW67)/1000</f>
        <v>0</v>
      </c>
      <c r="BX91" s="76">
        <f t="shared" si="210"/>
        <v>0</v>
      </c>
      <c r="BY91" s="76">
        <f t="shared" ref="BY91:CD91" si="211">(BY24*BY67)/1000</f>
        <v>0</v>
      </c>
      <c r="BZ91" s="76">
        <f t="shared" si="211"/>
        <v>0</v>
      </c>
      <c r="CA91" s="76">
        <f t="shared" si="211"/>
        <v>0</v>
      </c>
      <c r="CB91" s="76">
        <f t="shared" si="211"/>
        <v>0</v>
      </c>
      <c r="CC91" s="76">
        <f t="shared" si="211"/>
        <v>0</v>
      </c>
      <c r="CD91" s="76">
        <f t="shared" si="211"/>
        <v>0</v>
      </c>
      <c r="CF91" s="435"/>
      <c r="CG91" s="235">
        <f t="shared" si="207"/>
        <v>0</v>
      </c>
      <c r="CH91" s="235">
        <f t="shared" si="136"/>
        <v>0</v>
      </c>
      <c r="CI91" s="235" t="e">
        <f>BM91-#REF!</f>
        <v>#REF!</v>
      </c>
      <c r="CJ91" s="235">
        <f t="shared" si="184"/>
        <v>0</v>
      </c>
      <c r="CK91" s="235">
        <f t="shared" si="185"/>
        <v>0</v>
      </c>
      <c r="CL91" s="235">
        <f t="shared" si="186"/>
        <v>0</v>
      </c>
      <c r="CM91" s="235">
        <f t="shared" si="187"/>
        <v>0</v>
      </c>
      <c r="CN91" s="235">
        <f t="shared" si="188"/>
        <v>0</v>
      </c>
      <c r="CO91" s="235">
        <f t="shared" si="189"/>
        <v>0</v>
      </c>
      <c r="CP91" s="235">
        <f t="shared" si="190"/>
        <v>0</v>
      </c>
      <c r="CQ91" s="235">
        <f t="shared" si="191"/>
        <v>0</v>
      </c>
      <c r="CR91" s="235">
        <f t="shared" si="192"/>
        <v>0</v>
      </c>
      <c r="CS91" s="235">
        <f t="shared" si="193"/>
        <v>0</v>
      </c>
      <c r="CT91" s="235">
        <f t="shared" si="194"/>
        <v>0</v>
      </c>
      <c r="CU91" s="235">
        <f t="shared" si="195"/>
        <v>0</v>
      </c>
      <c r="CV91" s="235">
        <f t="shared" si="196"/>
        <v>0</v>
      </c>
      <c r="CW91" s="235">
        <f t="shared" si="197"/>
        <v>0</v>
      </c>
      <c r="CX91" s="235">
        <f t="shared" si="198"/>
        <v>0</v>
      </c>
      <c r="CY91" s="235">
        <f t="shared" si="199"/>
        <v>0</v>
      </c>
      <c r="CZ91" s="235">
        <f t="shared" si="200"/>
        <v>0</v>
      </c>
      <c r="DA91" s="38"/>
      <c r="DB91" s="236">
        <v>-1</v>
      </c>
      <c r="DC91" s="236">
        <v>0</v>
      </c>
      <c r="DD91" s="236">
        <v>0</v>
      </c>
      <c r="DE91" s="236">
        <v>0</v>
      </c>
      <c r="DF91" s="401">
        <v>0</v>
      </c>
      <c r="DG91" s="236">
        <v>0</v>
      </c>
      <c r="DH91" s="492">
        <v>0</v>
      </c>
      <c r="DI91" s="236">
        <v>0</v>
      </c>
      <c r="DJ91" s="236">
        <v>0</v>
      </c>
      <c r="DK91" s="236">
        <v>0</v>
      </c>
      <c r="DL91" s="236">
        <v>0</v>
      </c>
      <c r="DM91" s="236">
        <v>0</v>
      </c>
      <c r="DN91" s="236">
        <v>0</v>
      </c>
      <c r="DO91" s="236">
        <v>0</v>
      </c>
      <c r="DP91" s="236">
        <v>0</v>
      </c>
      <c r="DQ91" s="401">
        <v>0</v>
      </c>
      <c r="DR91" s="401">
        <v>0</v>
      </c>
      <c r="DS91" s="401">
        <v>0</v>
      </c>
      <c r="DT91" s="401">
        <v>0</v>
      </c>
      <c r="DU91" s="401">
        <v>0</v>
      </c>
      <c r="DV91" s="401">
        <v>0</v>
      </c>
      <c r="DW91" s="401">
        <v>0</v>
      </c>
      <c r="DX91" s="401">
        <v>0</v>
      </c>
      <c r="DY91" s="401">
        <v>0</v>
      </c>
      <c r="DZ91" s="401"/>
      <c r="EA91" s="989"/>
    </row>
    <row r="92" spans="1:131" s="76" customFormat="1">
      <c r="A92" s="76" t="s">
        <v>3863</v>
      </c>
      <c r="B92" s="73" t="s">
        <v>2210</v>
      </c>
      <c r="C92" s="51" t="s">
        <v>3174</v>
      </c>
      <c r="D92" s="207"/>
      <c r="E92" s="207"/>
      <c r="F92" s="41">
        <f>mamiabc!F114</f>
        <v>1.8640000000000002E-3</v>
      </c>
      <c r="G92" s="41">
        <f>mamiabc!G114</f>
        <v>2.7949999999999997E-3</v>
      </c>
      <c r="H92" s="41">
        <f>mamiabc!H114</f>
        <v>3.4269999999999999E-3</v>
      </c>
      <c r="I92" s="41">
        <f>mamiabc!I114</f>
        <v>0</v>
      </c>
      <c r="J92" s="41">
        <f>mamiabc!J114</f>
        <v>2.428E-3</v>
      </c>
      <c r="K92" s="41">
        <f>mamiabc!K114</f>
        <v>2.6880000000000003E-3</v>
      </c>
      <c r="L92" s="41">
        <f>mamiabc!L114</f>
        <v>3.7360000000000002E-3</v>
      </c>
      <c r="M92" s="41">
        <f>mamiabc!M114</f>
        <v>3.4590000000000003E-3</v>
      </c>
      <c r="N92" s="41">
        <f>mamiabc!N114</f>
        <v>4.8939999999999999E-3</v>
      </c>
      <c r="O92" s="41">
        <f>mamiabc!O114</f>
        <v>5.1240000000000001E-3</v>
      </c>
      <c r="P92" s="41">
        <f>mamiabc!P114</f>
        <v>3.3219999999999999E-3</v>
      </c>
      <c r="Q92" s="41">
        <f>mamiabc!Q114</f>
        <v>4.8600000000000006E-3</v>
      </c>
      <c r="R92" s="41">
        <f>mamiabc!R114</f>
        <v>0</v>
      </c>
      <c r="S92" s="41">
        <f>mamiabc!S114</f>
        <v>7.1420000000000008E-3</v>
      </c>
      <c r="T92" s="41">
        <f>mamiabc!T114</f>
        <v>9.8969999999999995E-3</v>
      </c>
      <c r="U92" s="41">
        <f>mamiabc!U114</f>
        <v>7.757E-3</v>
      </c>
      <c r="V92" s="41">
        <f>mamiabc!V114</f>
        <v>5.3170000000000005E-3</v>
      </c>
      <c r="W92" s="41">
        <f>mamiabc!W114</f>
        <v>0.01</v>
      </c>
      <c r="X92" s="41">
        <f>mamiabc!X114</f>
        <v>8.6E-3</v>
      </c>
      <c r="Y92" s="41">
        <f>mamiabc!Y114</f>
        <v>2.06E-2</v>
      </c>
      <c r="Z92" s="41">
        <f>mamiabc!Z114</f>
        <v>3.2799999999999996E-2</v>
      </c>
      <c r="AA92" s="41">
        <f>mamiabc!AA114</f>
        <v>3.2899999999999999E-2</v>
      </c>
      <c r="AB92" s="41">
        <f>mamiabc!AB114</f>
        <v>2.7399999999999997E-2</v>
      </c>
      <c r="AC92" s="41">
        <f>mamiabc!AC114</f>
        <v>3.0600000000000002E-2</v>
      </c>
      <c r="AD92" s="41">
        <f>mamiabc!AD114</f>
        <v>4.1799999999999997E-2</v>
      </c>
      <c r="AE92" s="41">
        <f>mamiabc!AE114</f>
        <v>6.7799999999999999E-2</v>
      </c>
      <c r="AF92" s="41">
        <f>mamiabc!AF114</f>
        <v>7.5299999999999992E-2</v>
      </c>
      <c r="AG92" s="41">
        <f>mamiabc!AG114</f>
        <v>6.3492449999999992E-2</v>
      </c>
      <c r="AH92" s="41">
        <f>mamiabc!AH114</f>
        <v>7.0293300000000003E-2</v>
      </c>
      <c r="AI92" s="41">
        <f>mamiabc!AI114</f>
        <v>6.6099999999999992E-2</v>
      </c>
      <c r="AJ92" s="41">
        <f>mamiabc!AJ114</f>
        <v>6.1600000000000002E-2</v>
      </c>
      <c r="AK92" s="41">
        <f>mamiabc!AK114</f>
        <v>8.2799999999999999E-2</v>
      </c>
      <c r="AL92" s="41">
        <f>mamiabc!AL114</f>
        <v>6.3799999999999996E-2</v>
      </c>
      <c r="AM92" s="41">
        <f>mamiabc!AM114</f>
        <v>6.720000000000001E-2</v>
      </c>
      <c r="AN92" s="41">
        <f>mamiabc!AN114</f>
        <v>7.0999999999999994E-2</v>
      </c>
      <c r="AO92" s="41">
        <f>mamiabc!AO114</f>
        <v>0.03</v>
      </c>
      <c r="AP92" s="41">
        <f>mamiabc!AP114</f>
        <v>4.5399999999999996E-2</v>
      </c>
      <c r="AQ92" s="41">
        <f>mamiabc!AQ114</f>
        <v>3.9200000000000006E-2</v>
      </c>
      <c r="AR92" s="41">
        <f>mamiabc!AR114</f>
        <v>5.7099999999999998E-2</v>
      </c>
      <c r="AS92" s="41">
        <f>mamiabc!AS114</f>
        <v>4.8799999999999996E-2</v>
      </c>
      <c r="AT92" s="41">
        <f>mamiabc!AT114</f>
        <v>3.4023000000000003</v>
      </c>
      <c r="AU92" s="41">
        <f>mamiabc!AU114</f>
        <v>16.296303399999999</v>
      </c>
      <c r="AV92" s="76">
        <f t="shared" ref="AV92:BI92" si="212">(AV25*AV68)/1000</f>
        <v>13.430943398249999</v>
      </c>
      <c r="AW92" s="76">
        <f t="shared" si="212"/>
        <v>9.904691178000002</v>
      </c>
      <c r="AX92" s="76">
        <f t="shared" si="212"/>
        <v>6.6842248900000003</v>
      </c>
      <c r="AY92" s="76">
        <f t="shared" si="212"/>
        <v>12.223715240099999</v>
      </c>
      <c r="AZ92" s="76">
        <f t="shared" si="212"/>
        <v>14.534852567375887</v>
      </c>
      <c r="BA92" s="76">
        <f t="shared" si="212"/>
        <v>24.119955909090905</v>
      </c>
      <c r="BB92" s="76">
        <f t="shared" si="212"/>
        <v>32.984679004016073</v>
      </c>
      <c r="BC92" s="76">
        <f t="shared" si="212"/>
        <v>23.682864914285716</v>
      </c>
      <c r="BD92" s="76">
        <f t="shared" si="212"/>
        <v>32.709654676259007</v>
      </c>
      <c r="BE92" s="76">
        <f t="shared" si="212"/>
        <v>24.297000000000011</v>
      </c>
      <c r="BF92" s="76">
        <f t="shared" si="212"/>
        <v>31.585116007194269</v>
      </c>
      <c r="BG92" s="76">
        <f t="shared" si="212"/>
        <v>42.31348381294967</v>
      </c>
      <c r="BH92" s="76">
        <f t="shared" si="212"/>
        <v>89.337901079136742</v>
      </c>
      <c r="BI92" s="76">
        <f t="shared" si="212"/>
        <v>60.434352517985651</v>
      </c>
      <c r="BJ92" s="76">
        <f t="shared" ref="BJ92:BQ92" si="213">(BJ25*BJ68)/1000</f>
        <v>115.43152877697847</v>
      </c>
      <c r="BK92" s="76">
        <f t="shared" si="213"/>
        <v>99.66400000000003</v>
      </c>
      <c r="BL92" s="76">
        <f t="shared" si="213"/>
        <v>106.32900000000005</v>
      </c>
      <c r="BM92" s="76">
        <f t="shared" si="213"/>
        <v>136.17904615384623</v>
      </c>
      <c r="BN92" s="76">
        <f t="shared" si="213"/>
        <v>185.34673846153854</v>
      </c>
      <c r="BO92" s="76">
        <f t="shared" si="213"/>
        <v>164.60013663858467</v>
      </c>
      <c r="BP92" s="76">
        <f t="shared" si="213"/>
        <v>191.29975283243749</v>
      </c>
      <c r="BQ92" s="76">
        <f t="shared" si="213"/>
        <v>206.89068268828115</v>
      </c>
      <c r="BR92" s="76">
        <f t="shared" si="157"/>
        <v>223.75227332737609</v>
      </c>
      <c r="BS92" s="76">
        <f t="shared" si="157"/>
        <v>241.98808360355727</v>
      </c>
      <c r="BT92" s="76">
        <f t="shared" si="158"/>
        <v>261.71011241724716</v>
      </c>
      <c r="BU92" s="76">
        <f t="shared" si="158"/>
        <v>283.03948657925281</v>
      </c>
      <c r="BV92" s="76">
        <f t="shared" si="159"/>
        <v>306.10720473546195</v>
      </c>
      <c r="BW92" s="76">
        <f t="shared" ref="BW92:BX92" si="214">(BW25*BW68)/1000</f>
        <v>331.05494192140219</v>
      </c>
      <c r="BX92" s="76">
        <f t="shared" si="214"/>
        <v>358.03591968799645</v>
      </c>
      <c r="BY92" s="76">
        <f t="shared" ref="BY92:CD92" si="215">(BY25*BY68)/1000</f>
        <v>387.21584714256812</v>
      </c>
      <c r="BZ92" s="76">
        <f t="shared" si="215"/>
        <v>418.77393868468738</v>
      </c>
      <c r="CA92" s="76">
        <f t="shared" si="215"/>
        <v>452.90401468748951</v>
      </c>
      <c r="CB92" s="76">
        <f t="shared" si="215"/>
        <v>489.81569188451988</v>
      </c>
      <c r="CC92" s="76">
        <f t="shared" si="215"/>
        <v>529.73567077310827</v>
      </c>
      <c r="CD92" s="76">
        <f t="shared" si="215"/>
        <v>572.90912794111659</v>
      </c>
      <c r="CF92" s="435"/>
      <c r="CG92" s="235">
        <f t="shared" si="207"/>
        <v>37.828180870965774</v>
      </c>
      <c r="CH92" s="235">
        <f t="shared" si="136"/>
        <v>0</v>
      </c>
      <c r="CI92" s="235" t="e">
        <f>BM92-#REF!</f>
        <v>#REF!</v>
      </c>
      <c r="CJ92" s="235">
        <f t="shared" si="184"/>
        <v>0</v>
      </c>
      <c r="CK92" s="235">
        <f t="shared" si="185"/>
        <v>0</v>
      </c>
      <c r="CL92" s="235">
        <f t="shared" si="186"/>
        <v>0</v>
      </c>
      <c r="CM92" s="235">
        <f t="shared" si="187"/>
        <v>0</v>
      </c>
      <c r="CN92" s="235">
        <f t="shared" si="188"/>
        <v>0</v>
      </c>
      <c r="CO92" s="235">
        <f t="shared" si="189"/>
        <v>0</v>
      </c>
      <c r="CP92" s="235">
        <f t="shared" si="190"/>
        <v>0</v>
      </c>
      <c r="CQ92" s="235">
        <f t="shared" si="191"/>
        <v>0</v>
      </c>
      <c r="CR92" s="235">
        <f t="shared" si="192"/>
        <v>0</v>
      </c>
      <c r="CS92" s="235">
        <f t="shared" si="193"/>
        <v>0</v>
      </c>
      <c r="CT92" s="235">
        <f t="shared" si="194"/>
        <v>0</v>
      </c>
      <c r="CU92" s="235">
        <f t="shared" si="195"/>
        <v>0</v>
      </c>
      <c r="CV92" s="235">
        <f t="shared" si="196"/>
        <v>0</v>
      </c>
      <c r="CW92" s="235">
        <f t="shared" si="197"/>
        <v>0</v>
      </c>
      <c r="CX92" s="235">
        <f t="shared" si="198"/>
        <v>0</v>
      </c>
      <c r="CY92" s="235">
        <f t="shared" si="199"/>
        <v>0</v>
      </c>
      <c r="CZ92" s="235">
        <f t="shared" si="200"/>
        <v>0</v>
      </c>
      <c r="DA92" s="38"/>
      <c r="DB92" s="236">
        <v>29.854296376600001</v>
      </c>
      <c r="DC92" s="236">
        <v>30.854296376599997</v>
      </c>
      <c r="DD92" s="236">
        <v>42.011675999999994</v>
      </c>
      <c r="DE92" s="236">
        <v>99.704686049999992</v>
      </c>
      <c r="DF92" s="401">
        <v>60.434352517985651</v>
      </c>
      <c r="DG92" s="236">
        <v>61.835819129034256</v>
      </c>
      <c r="DH92" s="492">
        <v>106.32900000000005</v>
      </c>
      <c r="DI92" s="236">
        <v>185.34673846153854</v>
      </c>
      <c r="DJ92" s="236">
        <v>164.60013663858467</v>
      </c>
      <c r="DK92" s="236">
        <v>191.29975283243749</v>
      </c>
      <c r="DL92" s="236">
        <v>206.89068268828115</v>
      </c>
      <c r="DM92" s="236">
        <v>223.75227332737609</v>
      </c>
      <c r="DN92" s="236">
        <v>241.98808360355727</v>
      </c>
      <c r="DO92" s="236">
        <v>261.71011241724716</v>
      </c>
      <c r="DP92" s="236">
        <v>283.03948657925281</v>
      </c>
      <c r="DQ92" s="401">
        <v>306.10720473546195</v>
      </c>
      <c r="DR92" s="401">
        <v>331.05494192140219</v>
      </c>
      <c r="DS92" s="401">
        <v>358.03591968799645</v>
      </c>
      <c r="DT92" s="401">
        <v>387.21584714256812</v>
      </c>
      <c r="DU92" s="401">
        <v>418.77393868468738</v>
      </c>
      <c r="DV92" s="401">
        <v>452.90401468748951</v>
      </c>
      <c r="DW92" s="401">
        <v>489.81569188451988</v>
      </c>
      <c r="DX92" s="401">
        <v>529.73567077310827</v>
      </c>
      <c r="DY92" s="401">
        <v>572.90912794111659</v>
      </c>
      <c r="DZ92" s="401"/>
      <c r="EA92" s="989"/>
    </row>
    <row r="93" spans="1:131" s="76" customFormat="1">
      <c r="A93" s="76" t="s">
        <v>3864</v>
      </c>
      <c r="B93" s="73" t="s">
        <v>2857</v>
      </c>
      <c r="C93" s="51" t="s">
        <v>3157</v>
      </c>
      <c r="D93" s="207"/>
      <c r="E93" s="207"/>
      <c r="F93" s="295">
        <f>mamiabc!F116</f>
        <v>0</v>
      </c>
      <c r="G93" s="295">
        <f>mamiabc!G116</f>
        <v>0</v>
      </c>
      <c r="H93" s="295">
        <f>mamiabc!H116</f>
        <v>0</v>
      </c>
      <c r="I93" s="295">
        <f>mamiabc!I116</f>
        <v>0</v>
      </c>
      <c r="J93" s="295">
        <f>mamiabc!J116</f>
        <v>0</v>
      </c>
      <c r="K93" s="295">
        <f>mamiabc!K116</f>
        <v>0</v>
      </c>
      <c r="L93" s="295">
        <f>mamiabc!L116</f>
        <v>0</v>
      </c>
      <c r="M93" s="295">
        <f>mamiabc!M116</f>
        <v>0</v>
      </c>
      <c r="N93" s="295">
        <f>mamiabc!N116</f>
        <v>1.54E-4</v>
      </c>
      <c r="O93" s="295">
        <f>mamiabc!O116</f>
        <v>2.1799999999999999E-4</v>
      </c>
      <c r="P93" s="295">
        <f>mamiabc!P116</f>
        <v>2.23E-4</v>
      </c>
      <c r="Q93" s="295">
        <f>mamiabc!Q116</f>
        <v>1.073E-3</v>
      </c>
      <c r="R93" s="295">
        <f>mamiabc!R116</f>
        <v>0</v>
      </c>
      <c r="S93" s="295">
        <f>mamiabc!S116</f>
        <v>2.601E-3</v>
      </c>
      <c r="T93" s="295">
        <f>mamiabc!T116</f>
        <v>4.6210000000000001E-3</v>
      </c>
      <c r="U93" s="295">
        <f>mamiabc!U116</f>
        <v>4.078E-3</v>
      </c>
      <c r="V93" s="295">
        <f>mamiabc!V116</f>
        <v>3.0839999999999999E-3</v>
      </c>
      <c r="W93" s="295">
        <f>mamiabc!W116</f>
        <v>4.705E-3</v>
      </c>
      <c r="X93" s="295">
        <f>mamiabc!X116</f>
        <v>4.5999999999999999E-3</v>
      </c>
      <c r="Y93" s="295">
        <f>mamiabc!Y116</f>
        <v>3.8E-3</v>
      </c>
      <c r="Z93" s="295">
        <f>mamiabc!Z116</f>
        <v>4.0000000000000001E-3</v>
      </c>
      <c r="AA93" s="295">
        <f>mamiabc!AA116</f>
        <v>6.0999999999999995E-3</v>
      </c>
      <c r="AB93" s="295">
        <f>mamiabc!AB116</f>
        <v>7.4000000000000003E-3</v>
      </c>
      <c r="AC93" s="295">
        <f>mamiabc!AC116</f>
        <v>5.9000000000000007E-3</v>
      </c>
      <c r="AD93" s="295">
        <f>mamiabc!AD116</f>
        <v>7.0000000000000001E-3</v>
      </c>
      <c r="AE93" s="295">
        <f>mamiabc!AE116</f>
        <v>7.4000000000000003E-3</v>
      </c>
      <c r="AF93" s="295">
        <f>mamiabc!AF116</f>
        <v>1.0500000000000001E-2</v>
      </c>
      <c r="AG93" s="295">
        <f>mamiabc!AG116</f>
        <v>1.2994799999999999E-2</v>
      </c>
      <c r="AH93" s="295">
        <f>mamiabc!AH116</f>
        <v>1.3191149999999999E-2</v>
      </c>
      <c r="AI93" s="295">
        <f>mamiabc!AI116</f>
        <v>1.32E-2</v>
      </c>
      <c r="AJ93" s="295">
        <f>mamiabc!AJ116</f>
        <v>1.6E-2</v>
      </c>
      <c r="AK93" s="295">
        <f>mamiabc!AK116</f>
        <v>1.83E-2</v>
      </c>
      <c r="AL93" s="295">
        <f>mamiabc!AL116</f>
        <v>1.9899999999999998E-2</v>
      </c>
      <c r="AM93" s="295">
        <f>mamiabc!AM116</f>
        <v>1.6899999999999998E-2</v>
      </c>
      <c r="AN93" s="295">
        <f>mamiabc!AN116</f>
        <v>3.6200000000000003E-2</v>
      </c>
      <c r="AO93" s="295">
        <f>mamiabc!AO116</f>
        <v>1.04E-2</v>
      </c>
      <c r="AP93" s="295">
        <f>mamiabc!AP116</f>
        <v>1.84E-2</v>
      </c>
      <c r="AQ93" s="295">
        <f>mamiabc!AQ116</f>
        <v>1.6300000000000002E-2</v>
      </c>
      <c r="AR93" s="295">
        <f>mamiabc!AR116</f>
        <v>2.3899999999999998E-2</v>
      </c>
      <c r="AS93" s="295">
        <f>mamiabc!AS116</f>
        <v>1.46E-2</v>
      </c>
      <c r="AT93" s="295">
        <f>mamiabc!AT116</f>
        <v>1.2743</v>
      </c>
      <c r="AU93" s="295">
        <f>mamiabc!AU116</f>
        <v>4.173</v>
      </c>
      <c r="AV93" s="76">
        <f t="shared" ref="AV93:BI93" si="216">(AV26*AV69)/1000</f>
        <v>4.8912677602249985</v>
      </c>
      <c r="AW93" s="76">
        <f t="shared" si="216"/>
        <v>5.4135320800000013</v>
      </c>
      <c r="AX93" s="76">
        <f t="shared" si="216"/>
        <v>4.3710724300000008</v>
      </c>
      <c r="AY93" s="76">
        <f t="shared" si="216"/>
        <v>17.026424378399998</v>
      </c>
      <c r="AZ93" s="76">
        <f t="shared" si="216"/>
        <v>11.460823432624114</v>
      </c>
      <c r="BA93" s="76">
        <f t="shared" si="216"/>
        <v>13.69385295454545</v>
      </c>
      <c r="BB93" s="76">
        <f t="shared" si="216"/>
        <v>2.4643188614457832</v>
      </c>
      <c r="BC93" s="76">
        <f t="shared" si="216"/>
        <v>0</v>
      </c>
      <c r="BD93" s="76">
        <f t="shared" si="216"/>
        <v>14.51478633093525</v>
      </c>
      <c r="BE93" s="76">
        <f t="shared" si="216"/>
        <v>28.738027499999994</v>
      </c>
      <c r="BF93" s="76">
        <f t="shared" si="216"/>
        <v>39.124552993749987</v>
      </c>
      <c r="BG93" s="76">
        <f t="shared" si="216"/>
        <v>58.56417258299998</v>
      </c>
      <c r="BH93" s="76">
        <f t="shared" si="216"/>
        <v>86.343809546771951</v>
      </c>
      <c r="BI93" s="76">
        <f t="shared" si="216"/>
        <v>75.78195064199997</v>
      </c>
      <c r="BJ93" s="76">
        <f t="shared" ref="BJ93:BQ93" si="217">(BJ26*BJ69)/1000</f>
        <v>103.39117584899996</v>
      </c>
      <c r="BK93" s="76">
        <f t="shared" si="217"/>
        <v>110.58030847499997</v>
      </c>
      <c r="BL93" s="76">
        <f t="shared" si="217"/>
        <v>105.63023954649994</v>
      </c>
      <c r="BM93" s="76">
        <f t="shared" si="217"/>
        <v>119.81340324999994</v>
      </c>
      <c r="BN93" s="76">
        <f t="shared" si="217"/>
        <v>115.68718412999993</v>
      </c>
      <c r="BO93" s="76">
        <f t="shared" si="217"/>
        <v>91.267248435709504</v>
      </c>
      <c r="BP93" s="76">
        <f t="shared" si="217"/>
        <v>117.85734827847145</v>
      </c>
      <c r="BQ93" s="76">
        <f t="shared" si="217"/>
        <v>121.3930687268256</v>
      </c>
      <c r="BR93" s="76">
        <f t="shared" si="157"/>
        <v>125.03486078863037</v>
      </c>
      <c r="BS93" s="76">
        <f t="shared" si="157"/>
        <v>128.7859066122893</v>
      </c>
      <c r="BT93" s="76">
        <f t="shared" si="158"/>
        <v>132.64948381065798</v>
      </c>
      <c r="BU93" s="76">
        <f t="shared" si="158"/>
        <v>136.62896832497773</v>
      </c>
      <c r="BV93" s="76">
        <f t="shared" si="159"/>
        <v>140.72783737472705</v>
      </c>
      <c r="BW93" s="76">
        <f t="shared" ref="BW93:BX93" si="218">(BW26*BW69)/1000</f>
        <v>144.94967249596888</v>
      </c>
      <c r="BX93" s="76">
        <f t="shared" si="218"/>
        <v>149.29816267084794</v>
      </c>
      <c r="BY93" s="76">
        <f t="shared" ref="BY93:CD93" si="219">(BY26*BY69)/1000</f>
        <v>153.77710755097337</v>
      </c>
      <c r="BZ93" s="76">
        <f t="shared" si="219"/>
        <v>158.39042077750256</v>
      </c>
      <c r="CA93" s="76">
        <f t="shared" si="219"/>
        <v>163.14213340082767</v>
      </c>
      <c r="CB93" s="76">
        <f t="shared" si="219"/>
        <v>168.03639740285251</v>
      </c>
      <c r="CC93" s="76">
        <f t="shared" si="219"/>
        <v>173.07748932493809</v>
      </c>
      <c r="CD93" s="76">
        <f t="shared" si="219"/>
        <v>178.26981400468622</v>
      </c>
      <c r="CF93" s="435"/>
      <c r="CG93" s="235">
        <f t="shared" si="207"/>
        <v>-1.7084785867499903</v>
      </c>
      <c r="CH93" s="235">
        <f t="shared" si="136"/>
        <v>0</v>
      </c>
      <c r="CI93" s="235" t="e">
        <f>BM93-#REF!</f>
        <v>#REF!</v>
      </c>
      <c r="CJ93" s="235">
        <f t="shared" si="184"/>
        <v>0</v>
      </c>
      <c r="CK93" s="235">
        <f t="shared" si="185"/>
        <v>0</v>
      </c>
      <c r="CL93" s="235">
        <f t="shared" si="186"/>
        <v>0</v>
      </c>
      <c r="CM93" s="235">
        <f t="shared" si="187"/>
        <v>0</v>
      </c>
      <c r="CN93" s="235">
        <f t="shared" si="188"/>
        <v>0</v>
      </c>
      <c r="CO93" s="235">
        <f t="shared" si="189"/>
        <v>0</v>
      </c>
      <c r="CP93" s="235">
        <f t="shared" si="190"/>
        <v>0</v>
      </c>
      <c r="CQ93" s="235">
        <f t="shared" si="191"/>
        <v>0</v>
      </c>
      <c r="CR93" s="235">
        <f t="shared" si="192"/>
        <v>0</v>
      </c>
      <c r="CS93" s="235">
        <f t="shared" si="193"/>
        <v>0</v>
      </c>
      <c r="CT93" s="235">
        <f t="shared" si="194"/>
        <v>0</v>
      </c>
      <c r="CU93" s="235">
        <f t="shared" si="195"/>
        <v>0</v>
      </c>
      <c r="CV93" s="235">
        <f t="shared" si="196"/>
        <v>0</v>
      </c>
      <c r="CW93" s="235">
        <f t="shared" si="197"/>
        <v>0</v>
      </c>
      <c r="CX93" s="235">
        <f t="shared" si="198"/>
        <v>0</v>
      </c>
      <c r="CY93" s="235">
        <f t="shared" si="199"/>
        <v>0</v>
      </c>
      <c r="CZ93" s="235">
        <f t="shared" si="200"/>
        <v>0</v>
      </c>
      <c r="DA93" s="38"/>
      <c r="DB93" s="236">
        <v>47.412325927399998</v>
      </c>
      <c r="DC93" s="236">
        <v>48.412325927399998</v>
      </c>
      <c r="DD93" s="236">
        <v>57.824632388249995</v>
      </c>
      <c r="DE93" s="236">
        <v>90.880641221399998</v>
      </c>
      <c r="DF93" s="401">
        <v>75.152211449999996</v>
      </c>
      <c r="DG93" s="236">
        <v>112.28878706174996</v>
      </c>
      <c r="DH93" s="492">
        <v>105.63023954649994</v>
      </c>
      <c r="DI93" s="236">
        <v>115.68718412999993</v>
      </c>
      <c r="DJ93" s="236">
        <v>91.267248435709504</v>
      </c>
      <c r="DK93" s="236">
        <v>117.85734827847145</v>
      </c>
      <c r="DL93" s="236">
        <v>121.3930687268256</v>
      </c>
      <c r="DM93" s="236">
        <v>125.03486078863037</v>
      </c>
      <c r="DN93" s="236">
        <v>128.7859066122893</v>
      </c>
      <c r="DO93" s="236">
        <v>132.64948381065798</v>
      </c>
      <c r="DP93" s="236">
        <v>136.62896832497773</v>
      </c>
      <c r="DQ93" s="401">
        <v>140.72783737472705</v>
      </c>
      <c r="DR93" s="401">
        <v>144.94967249596888</v>
      </c>
      <c r="DS93" s="401">
        <v>149.29816267084794</v>
      </c>
      <c r="DT93" s="401">
        <v>153.77710755097337</v>
      </c>
      <c r="DU93" s="401">
        <v>158.39042077750256</v>
      </c>
      <c r="DV93" s="401">
        <v>163.14213340082767</v>
      </c>
      <c r="DW93" s="401">
        <v>168.03639740285251</v>
      </c>
      <c r="DX93" s="401">
        <v>173.07748932493809</v>
      </c>
      <c r="DY93" s="401">
        <v>178.26981400468622</v>
      </c>
      <c r="DZ93" s="401"/>
      <c r="EA93" s="989"/>
    </row>
    <row r="94" spans="1:131" s="76" customFormat="1">
      <c r="A94" s="76" t="s">
        <v>3865</v>
      </c>
      <c r="B94" s="73" t="s">
        <v>2212</v>
      </c>
      <c r="C94" s="51" t="s">
        <v>978</v>
      </c>
      <c r="D94" s="207"/>
      <c r="E94" s="207"/>
      <c r="F94" s="295">
        <f>mamiabc!F118</f>
        <v>1.2E-5</v>
      </c>
      <c r="G94" s="295">
        <f>mamiabc!G118</f>
        <v>2.5999999999999998E-5</v>
      </c>
      <c r="H94" s="295">
        <f>mamiabc!H118</f>
        <v>1.36E-4</v>
      </c>
      <c r="I94" s="295">
        <f>mamiabc!I118</f>
        <v>0</v>
      </c>
      <c r="J94" s="295">
        <f>mamiabc!J118</f>
        <v>1.54E-4</v>
      </c>
      <c r="K94" s="295">
        <f>mamiabc!K118</f>
        <v>5.0799999999999999E-4</v>
      </c>
      <c r="L94" s="295">
        <f>mamiabc!L118</f>
        <v>5.0199999999999995E-4</v>
      </c>
      <c r="M94" s="295">
        <f>mamiabc!M118</f>
        <v>4.35E-4</v>
      </c>
      <c r="N94" s="295">
        <f>mamiabc!N118</f>
        <v>1.176E-3</v>
      </c>
      <c r="O94" s="295">
        <f>mamiabc!O118</f>
        <v>1.6040000000000002E-3</v>
      </c>
      <c r="P94" s="295">
        <f>mamiabc!P118</f>
        <v>1.6699999999999998E-3</v>
      </c>
      <c r="Q94" s="295">
        <f>mamiabc!Q118</f>
        <v>2.385E-3</v>
      </c>
      <c r="R94" s="295">
        <f>mamiabc!R118</f>
        <v>0</v>
      </c>
      <c r="S94" s="295">
        <f>mamiabc!S118</f>
        <v>1.8580000000000001E-3</v>
      </c>
      <c r="T94" s="295">
        <f>mamiabc!T118</f>
        <v>1.0529999999999999E-3</v>
      </c>
      <c r="U94" s="295">
        <f>mamiabc!U118</f>
        <v>9.8700000000000003E-4</v>
      </c>
      <c r="V94" s="295">
        <f>mamiabc!V118</f>
        <v>1.1000000000000001E-3</v>
      </c>
      <c r="W94" s="295">
        <f>mamiabc!W118</f>
        <v>1E-3</v>
      </c>
      <c r="X94" s="295">
        <f>mamiabc!X118</f>
        <v>1E-3</v>
      </c>
      <c r="Y94" s="295">
        <f>mamiabc!Y118</f>
        <v>1.6999999999999999E-3</v>
      </c>
      <c r="Z94" s="295">
        <f>mamiabc!Z118</f>
        <v>1.6199999999999999E-2</v>
      </c>
      <c r="AA94" s="295">
        <f>mamiabc!AA118</f>
        <v>2.3699999999999999E-2</v>
      </c>
      <c r="AB94" s="295">
        <f>mamiabc!AB118</f>
        <v>4.7399999999999998E-2</v>
      </c>
      <c r="AC94" s="295">
        <f>mamiabc!AC118</f>
        <v>5.16E-2</v>
      </c>
      <c r="AD94" s="295">
        <f>mamiabc!AD118</f>
        <v>5.3200000000000004E-2</v>
      </c>
      <c r="AE94" s="295">
        <f>mamiabc!AE118</f>
        <v>4.7799999999999995E-2</v>
      </c>
      <c r="AF94" s="295">
        <f>mamiabc!AF118</f>
        <v>5.5799999999999995E-2</v>
      </c>
      <c r="AG94" s="295">
        <f>mamiabc!AG118</f>
        <v>7.2203249999999997E-2</v>
      </c>
      <c r="AH94" s="295">
        <f>mamiabc!AH118</f>
        <v>7.4898599999999996E-2</v>
      </c>
      <c r="AI94" s="295">
        <f>mamiabc!AI118</f>
        <v>6.0404400000000004E-2</v>
      </c>
      <c r="AJ94" s="295">
        <f>mamiabc!AJ118</f>
        <v>6.4200000000000007E-2</v>
      </c>
      <c r="AK94" s="295">
        <f>mamiabc!AK118</f>
        <v>4.3799999999999999E-2</v>
      </c>
      <c r="AL94" s="295">
        <f>mamiabc!AL118</f>
        <v>6.8599999999999994E-2</v>
      </c>
      <c r="AM94" s="295">
        <f>mamiabc!AM118</f>
        <v>7.4299999999999991E-2</v>
      </c>
      <c r="AN94" s="295">
        <f>mamiabc!AN118</f>
        <v>5.5E-2</v>
      </c>
      <c r="AO94" s="295">
        <f>mamiabc!AO118</f>
        <v>4.4700000000000004E-2</v>
      </c>
      <c r="AP94" s="295">
        <f>mamiabc!AP118</f>
        <v>6.3700000000000007E-2</v>
      </c>
      <c r="AQ94" s="295">
        <f>mamiabc!AQ118</f>
        <v>5.74E-2</v>
      </c>
      <c r="AR94" s="295">
        <f>mamiabc!AR118</f>
        <v>7.8599999999999989E-2</v>
      </c>
      <c r="AS94" s="295">
        <f>mamiabc!AS118</f>
        <v>6.2799999999999995E-2</v>
      </c>
      <c r="AT94" s="295">
        <f>mamiabc!AT118</f>
        <v>5.2573999999999996</v>
      </c>
      <c r="AU94" s="295">
        <f>mamiabc!AU118</f>
        <v>14.521895499999999</v>
      </c>
      <c r="AV94" s="76">
        <f t="shared" ref="AV94:BI94" si="220">(AV27*AV70)/1000</f>
        <v>19.619757693221089</v>
      </c>
      <c r="AW94" s="76">
        <f t="shared" si="220"/>
        <v>15.706849592937122</v>
      </c>
      <c r="AX94" s="76">
        <f t="shared" si="220"/>
        <v>10.64710396629266</v>
      </c>
      <c r="AY94" s="76">
        <f t="shared" si="220"/>
        <v>23.824382128079041</v>
      </c>
      <c r="AZ94" s="76">
        <f t="shared" si="220"/>
        <v>39.391407000000001</v>
      </c>
      <c r="BA94" s="76">
        <f t="shared" si="220"/>
        <v>75.143396590909092</v>
      </c>
      <c r="BB94" s="76">
        <f t="shared" si="220"/>
        <v>73.606223285140558</v>
      </c>
      <c r="BC94" s="76">
        <f t="shared" si="220"/>
        <v>74.179099067857152</v>
      </c>
      <c r="BD94" s="76">
        <f t="shared" si="220"/>
        <v>77.180426618705042</v>
      </c>
      <c r="BE94" s="76">
        <f t="shared" si="220"/>
        <v>68.351147482014412</v>
      </c>
      <c r="BF94" s="76">
        <f t="shared" si="220"/>
        <v>60.816417266187067</v>
      </c>
      <c r="BG94" s="76">
        <f t="shared" si="220"/>
        <v>63.689924460431676</v>
      </c>
      <c r="BH94" s="76">
        <f t="shared" si="220"/>
        <v>40.100697841726628</v>
      </c>
      <c r="BI94" s="76">
        <f t="shared" si="220"/>
        <v>36.171420863309365</v>
      </c>
      <c r="BJ94" s="76">
        <f t="shared" ref="BJ94:BQ94" si="221">(BJ27*BJ70)/1000</f>
        <v>46.031960431654674</v>
      </c>
      <c r="BK94" s="76">
        <f t="shared" si="221"/>
        <v>53.319000000000017</v>
      </c>
      <c r="BL94" s="76">
        <f t="shared" si="221"/>
        <v>46.537169230769244</v>
      </c>
      <c r="BM94" s="76">
        <f t="shared" si="221"/>
        <v>55.872846153846162</v>
      </c>
      <c r="BN94" s="76">
        <f t="shared" si="221"/>
        <v>40.049507692307699</v>
      </c>
      <c r="BO94" s="76">
        <f t="shared" si="221"/>
        <v>36.82146130299693</v>
      </c>
      <c r="BP94" s="76">
        <f t="shared" si="221"/>
        <v>48.785424560680781</v>
      </c>
      <c r="BQ94" s="76">
        <f t="shared" si="221"/>
        <v>51.555460967236236</v>
      </c>
      <c r="BR94" s="76">
        <f t="shared" si="157"/>
        <v>54.482780040955923</v>
      </c>
      <c r="BS94" s="76">
        <f t="shared" si="157"/>
        <v>56.846787866932992</v>
      </c>
      <c r="BT94" s="76">
        <f t="shared" si="158"/>
        <v>59.313369992479217</v>
      </c>
      <c r="BU94" s="76">
        <f t="shared" si="158"/>
        <v>61.886977116452883</v>
      </c>
      <c r="BV94" s="76">
        <f t="shared" si="159"/>
        <v>64.572253053535761</v>
      </c>
      <c r="BW94" s="76">
        <f t="shared" ref="BW94:BX94" si="222">(BW27*BW70)/1000</f>
        <v>67.374043113528671</v>
      </c>
      <c r="BX94" s="76">
        <f t="shared" si="222"/>
        <v>70.297402844224678</v>
      </c>
      <c r="BY94" s="76">
        <f t="shared" ref="BY94:CD94" si="223">(BY27*BY70)/1000</f>
        <v>73.347607153635593</v>
      </c>
      <c r="BZ94" s="76">
        <f t="shared" si="223"/>
        <v>76.530159828031827</v>
      </c>
      <c r="CA94" s="76">
        <f t="shared" si="223"/>
        <v>79.85080346297012</v>
      </c>
      <c r="CB94" s="76">
        <f t="shared" si="223"/>
        <v>83.315529825228381</v>
      </c>
      <c r="CC94" s="76">
        <f t="shared" si="223"/>
        <v>86.930590664345047</v>
      </c>
      <c r="CD94" s="76">
        <f t="shared" si="223"/>
        <v>90.702508993270968</v>
      </c>
      <c r="CF94" s="435"/>
      <c r="CG94" s="235">
        <f t="shared" si="207"/>
        <v>4.2685503597122363</v>
      </c>
      <c r="CH94" s="235">
        <f t="shared" si="136"/>
        <v>0</v>
      </c>
      <c r="CI94" s="235" t="e">
        <f>BM94-#REF!</f>
        <v>#REF!</v>
      </c>
      <c r="CJ94" s="235">
        <f t="shared" si="184"/>
        <v>0</v>
      </c>
      <c r="CK94" s="235">
        <f t="shared" si="185"/>
        <v>0</v>
      </c>
      <c r="CL94" s="235">
        <f t="shared" si="186"/>
        <v>0</v>
      </c>
      <c r="CM94" s="235">
        <f t="shared" si="187"/>
        <v>0</v>
      </c>
      <c r="CN94" s="235">
        <f t="shared" si="188"/>
        <v>0</v>
      </c>
      <c r="CO94" s="235">
        <f t="shared" si="189"/>
        <v>0</v>
      </c>
      <c r="CP94" s="235">
        <f t="shared" si="190"/>
        <v>0</v>
      </c>
      <c r="CQ94" s="235">
        <f t="shared" si="191"/>
        <v>0</v>
      </c>
      <c r="CR94" s="235">
        <f t="shared" si="192"/>
        <v>0</v>
      </c>
      <c r="CS94" s="235">
        <f t="shared" si="193"/>
        <v>0</v>
      </c>
      <c r="CT94" s="235">
        <f t="shared" si="194"/>
        <v>0</v>
      </c>
      <c r="CU94" s="235">
        <f t="shared" si="195"/>
        <v>0</v>
      </c>
      <c r="CV94" s="235">
        <f t="shared" si="196"/>
        <v>0</v>
      </c>
      <c r="CW94" s="235">
        <f t="shared" si="197"/>
        <v>0</v>
      </c>
      <c r="CX94" s="235">
        <f t="shared" si="198"/>
        <v>0</v>
      </c>
      <c r="CY94" s="235">
        <f t="shared" si="199"/>
        <v>0</v>
      </c>
      <c r="CZ94" s="235">
        <f t="shared" si="200"/>
        <v>0</v>
      </c>
      <c r="DA94" s="38"/>
      <c r="DB94" s="236">
        <v>59.740068399374699</v>
      </c>
      <c r="DC94" s="236">
        <v>60.740068399374657</v>
      </c>
      <c r="DD94" s="236">
        <v>63.853850270433284</v>
      </c>
      <c r="DE94" s="236">
        <v>38.799881750249995</v>
      </c>
      <c r="DF94" s="401">
        <v>36.171420863309365</v>
      </c>
      <c r="DG94" s="236">
        <v>49.050449640287781</v>
      </c>
      <c r="DH94" s="492">
        <v>46.537169230769244</v>
      </c>
      <c r="DI94" s="236">
        <v>40.049507692307699</v>
      </c>
      <c r="DJ94" s="236">
        <v>36.82146130299693</v>
      </c>
      <c r="DK94" s="236">
        <v>48.785424560680781</v>
      </c>
      <c r="DL94" s="236">
        <v>51.555460967236236</v>
      </c>
      <c r="DM94" s="236">
        <v>54.482780040955923</v>
      </c>
      <c r="DN94" s="236">
        <v>56.846787866932992</v>
      </c>
      <c r="DO94" s="236">
        <v>59.313369992479217</v>
      </c>
      <c r="DP94" s="236">
        <v>61.886977116452883</v>
      </c>
      <c r="DQ94" s="401">
        <v>64.572253053535761</v>
      </c>
      <c r="DR94" s="401">
        <v>67.374043113528671</v>
      </c>
      <c r="DS94" s="401">
        <v>70.297402844224678</v>
      </c>
      <c r="DT94" s="401">
        <v>73.347607153635593</v>
      </c>
      <c r="DU94" s="401">
        <v>76.530159828031827</v>
      </c>
      <c r="DV94" s="401">
        <v>79.85080346297012</v>
      </c>
      <c r="DW94" s="401">
        <v>83.315529825228381</v>
      </c>
      <c r="DX94" s="401">
        <v>86.930590664345047</v>
      </c>
      <c r="DY94" s="401">
        <v>90.702508993270968</v>
      </c>
      <c r="DZ94" s="401"/>
      <c r="EA94" s="989"/>
    </row>
    <row r="95" spans="1:131" s="76" customFormat="1">
      <c r="A95" s="76" t="s">
        <v>3866</v>
      </c>
      <c r="B95" s="73" t="s">
        <v>2214</v>
      </c>
      <c r="C95" s="51" t="s">
        <v>3026</v>
      </c>
      <c r="D95" s="207"/>
      <c r="E95" s="207"/>
      <c r="F95" s="295">
        <f>mamiabc!F122</f>
        <v>0</v>
      </c>
      <c r="G95" s="295">
        <f>mamiabc!G122</f>
        <v>0</v>
      </c>
      <c r="H95" s="295">
        <f>mamiabc!H122</f>
        <v>0</v>
      </c>
      <c r="I95" s="295">
        <f>mamiabc!I122</f>
        <v>0</v>
      </c>
      <c r="J95" s="295">
        <f>mamiabc!J122</f>
        <v>0</v>
      </c>
      <c r="K95" s="295">
        <f>mamiabc!K122</f>
        <v>0</v>
      </c>
      <c r="L95" s="295">
        <f>mamiabc!L122</f>
        <v>0</v>
      </c>
      <c r="M95" s="295">
        <f>mamiabc!M122</f>
        <v>0</v>
      </c>
      <c r="N95" s="295">
        <f>mamiabc!N122</f>
        <v>0</v>
      </c>
      <c r="O95" s="295">
        <f>mamiabc!O122</f>
        <v>0</v>
      </c>
      <c r="P95" s="295">
        <f>mamiabc!P122</f>
        <v>0</v>
      </c>
      <c r="Q95" s="295">
        <f>mamiabc!Q122</f>
        <v>0</v>
      </c>
      <c r="R95" s="295">
        <f>mamiabc!R122</f>
        <v>0</v>
      </c>
      <c r="S95" s="295">
        <f>mamiabc!S122</f>
        <v>0</v>
      </c>
      <c r="T95" s="295">
        <f>mamiabc!T122</f>
        <v>0</v>
      </c>
      <c r="U95" s="295">
        <f>mamiabc!U122</f>
        <v>0</v>
      </c>
      <c r="V95" s="295">
        <f>mamiabc!V122</f>
        <v>0</v>
      </c>
      <c r="W95" s="295">
        <f>mamiabc!W122</f>
        <v>0</v>
      </c>
      <c r="X95" s="295">
        <f>mamiabc!X122</f>
        <v>0</v>
      </c>
      <c r="Y95" s="295">
        <f>mamiabc!Y122</f>
        <v>0</v>
      </c>
      <c r="Z95" s="295">
        <f>mamiabc!Z122</f>
        <v>0</v>
      </c>
      <c r="AA95" s="295">
        <f>mamiabc!AA122</f>
        <v>0</v>
      </c>
      <c r="AB95" s="295">
        <f>mamiabc!AB122</f>
        <v>0</v>
      </c>
      <c r="AC95" s="295">
        <f>mamiabc!AC122</f>
        <v>0</v>
      </c>
      <c r="AD95" s="295">
        <f>mamiabc!AD122</f>
        <v>0</v>
      </c>
      <c r="AE95" s="295">
        <f>mamiabc!AE122</f>
        <v>0</v>
      </c>
      <c r="AF95" s="295">
        <f>mamiabc!AF122</f>
        <v>0</v>
      </c>
      <c r="AG95" s="295">
        <f>mamiabc!AG122</f>
        <v>0</v>
      </c>
      <c r="AH95" s="295">
        <f>mamiabc!AH122</f>
        <v>0</v>
      </c>
      <c r="AI95" s="295">
        <f>mamiabc!AI122</f>
        <v>0</v>
      </c>
      <c r="AJ95" s="295">
        <f>mamiabc!AJ122</f>
        <v>0</v>
      </c>
      <c r="AK95" s="295">
        <f>mamiabc!AK122</f>
        <v>0</v>
      </c>
      <c r="AL95" s="295">
        <f>mamiabc!AL122</f>
        <v>0</v>
      </c>
      <c r="AM95" s="295">
        <f>mamiabc!AM122</f>
        <v>0</v>
      </c>
      <c r="AN95" s="295">
        <f>mamiabc!AN122</f>
        <v>0</v>
      </c>
      <c r="AO95" s="295">
        <f>mamiabc!AO122</f>
        <v>0</v>
      </c>
      <c r="AP95" s="295">
        <f>mamiabc!AP122</f>
        <v>3.0999999999999999E-3</v>
      </c>
      <c r="AQ95" s="295">
        <f>mamiabc!AQ122</f>
        <v>1.1999999999999999E-3</v>
      </c>
      <c r="AR95" s="295">
        <f>mamiabc!AR122</f>
        <v>5.9000000000000007E-3</v>
      </c>
      <c r="AS95" s="295">
        <f>mamiabc!AS122</f>
        <v>6.0999999999999995E-3</v>
      </c>
      <c r="AT95" s="295">
        <f>mamiabc!AT122</f>
        <v>0.50019999999999998</v>
      </c>
      <c r="AU95" s="295">
        <f>mamiabc!AU122</f>
        <v>1.3683244999999999</v>
      </c>
      <c r="AV95" s="76">
        <f t="shared" ref="AV95:BI95" si="224">(AV28*AV71)/1000</f>
        <v>1.4032374999999995</v>
      </c>
      <c r="AW95" s="76">
        <f t="shared" si="224"/>
        <v>1.7644</v>
      </c>
      <c r="AX95" s="76">
        <f t="shared" si="224"/>
        <v>1.7643999999999989</v>
      </c>
      <c r="AY95" s="76">
        <f t="shared" si="224"/>
        <v>2.4077480000000011</v>
      </c>
      <c r="AZ95" s="76">
        <f t="shared" si="224"/>
        <v>6.3691300928571444</v>
      </c>
      <c r="BA95" s="76">
        <f t="shared" si="224"/>
        <v>11.190558409090908</v>
      </c>
      <c r="BB95" s="76">
        <f t="shared" si="224"/>
        <v>19.288411566265065</v>
      </c>
      <c r="BC95" s="76">
        <f t="shared" si="224"/>
        <v>21.78243401428572</v>
      </c>
      <c r="BD95" s="76">
        <f t="shared" si="224"/>
        <v>21.021312949640294</v>
      </c>
      <c r="BE95" s="76">
        <f t="shared" si="224"/>
        <v>25.34775539568346</v>
      </c>
      <c r="BF95" s="76">
        <f t="shared" si="224"/>
        <v>30.404262589928063</v>
      </c>
      <c r="BG95" s="76">
        <f t="shared" si="224"/>
        <v>30.150566546762601</v>
      </c>
      <c r="BH95" s="76">
        <f t="shared" si="224"/>
        <v>32.161920863309369</v>
      </c>
      <c r="BI95" s="76">
        <f t="shared" si="224"/>
        <v>47.825665467625903</v>
      </c>
      <c r="BJ95" s="76">
        <f t="shared" ref="BJ95:BQ95" si="225">(BJ28*BJ71)/1000</f>
        <v>48.727589928057576</v>
      </c>
      <c r="BK95" s="76">
        <f t="shared" si="225"/>
        <v>57.879000000000026</v>
      </c>
      <c r="BL95" s="76">
        <f t="shared" si="225"/>
        <v>53.684523076923107</v>
      </c>
      <c r="BM95" s="76">
        <f t="shared" si="225"/>
        <v>71.927076923076953</v>
      </c>
      <c r="BN95" s="76">
        <f t="shared" si="225"/>
        <v>82.623369230769271</v>
      </c>
      <c r="BO95" s="76">
        <f t="shared" si="225"/>
        <v>86.441576894335427</v>
      </c>
      <c r="BP95" s="76">
        <f t="shared" si="225"/>
        <v>114.52801923810817</v>
      </c>
      <c r="BQ95" s="76">
        <f t="shared" si="225"/>
        <v>121.03092017044797</v>
      </c>
      <c r="BR95" s="76">
        <f t="shared" si="157"/>
        <v>127.903055817726</v>
      </c>
      <c r="BS95" s="76">
        <f t="shared" si="157"/>
        <v>133.45276940965709</v>
      </c>
      <c r="BT95" s="76">
        <f t="shared" si="158"/>
        <v>139.24328507434214</v>
      </c>
      <c r="BU95" s="76">
        <f t="shared" si="158"/>
        <v>145.28505121371785</v>
      </c>
      <c r="BV95" s="76">
        <f t="shared" si="159"/>
        <v>151.58896958588107</v>
      </c>
      <c r="BW95" s="76">
        <f t="shared" ref="BW95:BX95" si="226">(BW28*BW71)/1000</f>
        <v>158.16641497621242</v>
      </c>
      <c r="BX95" s="76">
        <f t="shared" si="226"/>
        <v>165.02925572203026</v>
      </c>
      <c r="BY95" s="76">
        <f t="shared" ref="BY95:CD95" si="227">(BY28*BY71)/1000</f>
        <v>172.18987512780916</v>
      </c>
      <c r="BZ95" s="76">
        <f t="shared" si="227"/>
        <v>179.66119380960475</v>
      </c>
      <c r="CA95" s="76">
        <f t="shared" si="227"/>
        <v>187.45669300900354</v>
      </c>
      <c r="CB95" s="76">
        <f t="shared" si="227"/>
        <v>195.59043891866418</v>
      </c>
      <c r="CC95" s="76">
        <f t="shared" si="227"/>
        <v>204.07710806334501</v>
      </c>
      <c r="CD95" s="76">
        <f t="shared" si="227"/>
        <v>212.93201378221352</v>
      </c>
      <c r="CF95" s="435"/>
      <c r="CG95" s="235">
        <f t="shared" si="207"/>
        <v>4.9200863309352769</v>
      </c>
      <c r="CH95" s="235">
        <f t="shared" si="136"/>
        <v>0</v>
      </c>
      <c r="CI95" s="235" t="e">
        <f>BM95-#REF!</f>
        <v>#REF!</v>
      </c>
      <c r="CJ95" s="235">
        <f t="shared" si="184"/>
        <v>0</v>
      </c>
      <c r="CK95" s="235">
        <f t="shared" si="185"/>
        <v>0</v>
      </c>
      <c r="CL95" s="235">
        <f t="shared" si="186"/>
        <v>0</v>
      </c>
      <c r="CM95" s="235">
        <f t="shared" si="187"/>
        <v>0</v>
      </c>
      <c r="CN95" s="235">
        <f t="shared" si="188"/>
        <v>0</v>
      </c>
      <c r="CO95" s="235">
        <f t="shared" si="189"/>
        <v>0</v>
      </c>
      <c r="CP95" s="235">
        <f t="shared" si="190"/>
        <v>0</v>
      </c>
      <c r="CQ95" s="235">
        <f t="shared" si="191"/>
        <v>0</v>
      </c>
      <c r="CR95" s="235">
        <f t="shared" si="192"/>
        <v>0</v>
      </c>
      <c r="CS95" s="235">
        <f t="shared" si="193"/>
        <v>0</v>
      </c>
      <c r="CT95" s="235">
        <f t="shared" si="194"/>
        <v>0</v>
      </c>
      <c r="CU95" s="235">
        <f t="shared" si="195"/>
        <v>0</v>
      </c>
      <c r="CV95" s="235">
        <f t="shared" si="196"/>
        <v>0</v>
      </c>
      <c r="CW95" s="235">
        <f t="shared" si="197"/>
        <v>0</v>
      </c>
      <c r="CX95" s="235">
        <f t="shared" si="198"/>
        <v>0</v>
      </c>
      <c r="CY95" s="235">
        <f t="shared" si="199"/>
        <v>0</v>
      </c>
      <c r="CZ95" s="235">
        <f t="shared" si="200"/>
        <v>0</v>
      </c>
      <c r="DA95" s="38"/>
      <c r="DB95" s="236">
        <v>29.140340609786598</v>
      </c>
      <c r="DC95" s="236">
        <v>30.140340609786591</v>
      </c>
      <c r="DD95" s="236">
        <v>30.15182567925001</v>
      </c>
      <c r="DE95" s="236">
        <v>32.165220044250006</v>
      </c>
      <c r="DF95" s="401">
        <v>47.825665467625903</v>
      </c>
      <c r="DG95" s="236">
        <v>52.958913669064749</v>
      </c>
      <c r="DH95" s="492">
        <v>53.684523076923107</v>
      </c>
      <c r="DI95" s="236">
        <v>82.623369230769271</v>
      </c>
      <c r="DJ95" s="236">
        <v>86.441576894335427</v>
      </c>
      <c r="DK95" s="236">
        <v>114.52801923810817</v>
      </c>
      <c r="DL95" s="236">
        <v>121.03092017044797</v>
      </c>
      <c r="DM95" s="236">
        <v>127.903055817726</v>
      </c>
      <c r="DN95" s="236">
        <v>133.45276940965709</v>
      </c>
      <c r="DO95" s="236">
        <v>139.24328507434214</v>
      </c>
      <c r="DP95" s="236">
        <v>145.28505121371785</v>
      </c>
      <c r="DQ95" s="401">
        <v>151.58896958588107</v>
      </c>
      <c r="DR95" s="401">
        <v>158.16641497621242</v>
      </c>
      <c r="DS95" s="401">
        <v>165.02925572203026</v>
      </c>
      <c r="DT95" s="401">
        <v>172.18987512780916</v>
      </c>
      <c r="DU95" s="401">
        <v>179.66119380960475</v>
      </c>
      <c r="DV95" s="401">
        <v>187.45669300900354</v>
      </c>
      <c r="DW95" s="401">
        <v>195.59043891866418</v>
      </c>
      <c r="DX95" s="401">
        <v>204.07710806334501</v>
      </c>
      <c r="DY95" s="401">
        <v>212.93201378221352</v>
      </c>
      <c r="DZ95" s="401"/>
      <c r="EA95" s="989"/>
    </row>
    <row r="96" spans="1:131" s="76" customFormat="1">
      <c r="A96" s="76" t="s">
        <v>3867</v>
      </c>
      <c r="B96" s="73" t="s">
        <v>2213</v>
      </c>
      <c r="C96" s="51" t="s">
        <v>979</v>
      </c>
      <c r="D96" s="207"/>
      <c r="E96" s="207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295">
        <f>mamiabc!AP120*$AV96/mamiabc!$AV120</f>
        <v>6.3650885514369981E-4</v>
      </c>
      <c r="AQ96" s="295">
        <f>mamiabc!AQ120*$AV96/mamiabc!$AV120</f>
        <v>6.3650885514369981E-4</v>
      </c>
      <c r="AR96" s="295">
        <f>mamiabc!AR120*$AV96/mamiabc!$AV120</f>
        <v>1.4851873286686331E-3</v>
      </c>
      <c r="AS96" s="295">
        <f>mamiabc!AS120*$AV96/mamiabc!$AV120</f>
        <v>1.8564841608357913E-3</v>
      </c>
      <c r="AT96" s="295">
        <f>mamiabc!AT120*$AV96/mamiabc!$AV120</f>
        <v>0.13854676080294534</v>
      </c>
      <c r="AU96" s="48">
        <f>mamiabc!AU120*$AV96/mamiabc!$AV120</f>
        <v>1.404759130580767</v>
      </c>
      <c r="AV96" s="33">
        <f t="shared" ref="AV96:BI96" si="228">(AV29*AV72)/1000</f>
        <v>1.3358820999999999</v>
      </c>
      <c r="AW96" s="76">
        <f t="shared" si="228"/>
        <v>1.0702689999999999</v>
      </c>
      <c r="AX96" s="76">
        <f t="shared" si="228"/>
        <v>0.7482660000000001</v>
      </c>
      <c r="AY96" s="76">
        <f t="shared" si="228"/>
        <v>1.477153398</v>
      </c>
      <c r="AZ96" s="76">
        <f t="shared" si="228"/>
        <v>1.7186324979999996</v>
      </c>
      <c r="BA96" s="76">
        <f t="shared" si="228"/>
        <v>2.5152960999999996</v>
      </c>
      <c r="BB96" s="76">
        <f t="shared" si="228"/>
        <v>7.5251074354999998</v>
      </c>
      <c r="BC96" s="76">
        <f t="shared" si="228"/>
        <v>1.4685384529999999</v>
      </c>
      <c r="BD96" s="76">
        <f t="shared" si="228"/>
        <v>2.5576569999999998</v>
      </c>
      <c r="BE96" s="76">
        <f t="shared" si="228"/>
        <v>4.1635229999999988</v>
      </c>
      <c r="BF96" s="76">
        <f t="shared" si="228"/>
        <v>7.1801392499999972</v>
      </c>
      <c r="BG96" s="76">
        <f t="shared" si="228"/>
        <v>7.8811694999999951</v>
      </c>
      <c r="BH96" s="76">
        <f t="shared" si="228"/>
        <v>9.9780749999999951</v>
      </c>
      <c r="BI96" s="76">
        <f t="shared" si="228"/>
        <v>10.911509999999994</v>
      </c>
      <c r="BJ96" s="76">
        <f t="shared" ref="BJ96:BQ96" si="229">(BJ29*BJ72)/1000</f>
        <v>19.477299999999989</v>
      </c>
      <c r="BK96" s="76">
        <f t="shared" si="229"/>
        <v>38.876499999999986</v>
      </c>
      <c r="BL96" s="76">
        <f t="shared" si="229"/>
        <v>49.137799999999984</v>
      </c>
      <c r="BM96" s="76">
        <f t="shared" si="229"/>
        <v>42.913499999999985</v>
      </c>
      <c r="BN96" s="76">
        <f t="shared" si="229"/>
        <v>70.440449999999984</v>
      </c>
      <c r="BO96" s="76">
        <f t="shared" si="229"/>
        <v>85.272320711549966</v>
      </c>
      <c r="BP96" s="76">
        <f t="shared" si="229"/>
        <v>126.63321442026565</v>
      </c>
      <c r="BQ96" s="76">
        <f t="shared" si="229"/>
        <v>149.99704248080462</v>
      </c>
      <c r="BR96" s="76">
        <f t="shared" si="157"/>
        <v>177.67149681851305</v>
      </c>
      <c r="BS96" s="76">
        <f t="shared" si="157"/>
        <v>196.7267648522986</v>
      </c>
      <c r="BT96" s="76">
        <f t="shared" si="158"/>
        <v>217.8257103827076</v>
      </c>
      <c r="BU96" s="76">
        <f t="shared" si="158"/>
        <v>241.18751782125295</v>
      </c>
      <c r="BV96" s="76">
        <f t="shared" si="159"/>
        <v>267.05487910758234</v>
      </c>
      <c r="BW96" s="76">
        <f t="shared" ref="BW96:BX96" si="230">(BW29*BW72)/1000</f>
        <v>295.69651489187049</v>
      </c>
      <c r="BX96" s="76">
        <f t="shared" si="230"/>
        <v>327.40996611402363</v>
      </c>
      <c r="BY96" s="76">
        <f t="shared" ref="BY96:CD96" si="231">(BY29*BY72)/1000</f>
        <v>362.52468497975264</v>
      </c>
      <c r="BZ96" s="76">
        <f t="shared" si="231"/>
        <v>401.4054574438311</v>
      </c>
      <c r="CA96" s="76">
        <f t="shared" si="231"/>
        <v>444.45619275468198</v>
      </c>
      <c r="CB96" s="76">
        <f t="shared" si="231"/>
        <v>492.12411942762162</v>
      </c>
      <c r="CC96" s="76">
        <f t="shared" si="231"/>
        <v>544.90443123623402</v>
      </c>
      <c r="CD96" s="76">
        <f t="shared" si="231"/>
        <v>603.34543148632019</v>
      </c>
      <c r="CF96" s="435"/>
      <c r="CG96" s="235">
        <f t="shared" si="207"/>
        <v>-6.6234999999999928</v>
      </c>
      <c r="CH96" s="235">
        <f t="shared" si="136"/>
        <v>0</v>
      </c>
      <c r="CI96" s="235" t="e">
        <f>BM96-#REF!</f>
        <v>#REF!</v>
      </c>
      <c r="CJ96" s="235">
        <f t="shared" si="184"/>
        <v>0</v>
      </c>
      <c r="CK96" s="235">
        <f t="shared" si="185"/>
        <v>0</v>
      </c>
      <c r="CL96" s="235">
        <f t="shared" si="186"/>
        <v>0</v>
      </c>
      <c r="CM96" s="235">
        <f t="shared" si="187"/>
        <v>0</v>
      </c>
      <c r="CN96" s="235">
        <f t="shared" si="188"/>
        <v>0</v>
      </c>
      <c r="CO96" s="235">
        <f t="shared" si="189"/>
        <v>0</v>
      </c>
      <c r="CP96" s="235">
        <f t="shared" si="190"/>
        <v>0</v>
      </c>
      <c r="CQ96" s="235">
        <f t="shared" si="191"/>
        <v>0</v>
      </c>
      <c r="CR96" s="235">
        <f t="shared" si="192"/>
        <v>0</v>
      </c>
      <c r="CS96" s="235">
        <f t="shared" si="193"/>
        <v>0</v>
      </c>
      <c r="CT96" s="235">
        <f t="shared" si="194"/>
        <v>0</v>
      </c>
      <c r="CU96" s="235">
        <f t="shared" si="195"/>
        <v>0</v>
      </c>
      <c r="CV96" s="235">
        <f t="shared" si="196"/>
        <v>0</v>
      </c>
      <c r="CW96" s="235">
        <f t="shared" si="197"/>
        <v>0</v>
      </c>
      <c r="CX96" s="235">
        <f t="shared" si="198"/>
        <v>0</v>
      </c>
      <c r="CY96" s="235">
        <f t="shared" si="199"/>
        <v>0</v>
      </c>
      <c r="CZ96" s="235">
        <f t="shared" si="200"/>
        <v>0</v>
      </c>
      <c r="DA96" s="38"/>
      <c r="DB96" s="236">
        <v>5.6825757025000003</v>
      </c>
      <c r="DC96" s="236">
        <v>6.6825757024999994</v>
      </c>
      <c r="DD96" s="236">
        <v>4.9100803199999996</v>
      </c>
      <c r="DE96" s="236">
        <v>15.179850000000004</v>
      </c>
      <c r="DF96" s="401">
        <v>10.910760449999993</v>
      </c>
      <c r="DG96" s="236">
        <v>45.499999999999979</v>
      </c>
      <c r="DH96" s="492">
        <v>49.137799999999984</v>
      </c>
      <c r="DI96" s="236">
        <v>70.440449999999984</v>
      </c>
      <c r="DJ96" s="236">
        <v>85.272320711549966</v>
      </c>
      <c r="DK96" s="236">
        <v>126.63321442026565</v>
      </c>
      <c r="DL96" s="236">
        <v>149.99704248080462</v>
      </c>
      <c r="DM96" s="236">
        <v>177.67149681851305</v>
      </c>
      <c r="DN96" s="236">
        <v>196.7267648522986</v>
      </c>
      <c r="DO96" s="236">
        <v>217.8257103827076</v>
      </c>
      <c r="DP96" s="236">
        <v>241.18751782125295</v>
      </c>
      <c r="DQ96" s="401">
        <v>267.05487910758234</v>
      </c>
      <c r="DR96" s="401">
        <v>295.69651489187049</v>
      </c>
      <c r="DS96" s="401">
        <v>327.40996611402363</v>
      </c>
      <c r="DT96" s="401">
        <v>362.52468497975264</v>
      </c>
      <c r="DU96" s="401">
        <v>401.4054574438311</v>
      </c>
      <c r="DV96" s="401">
        <v>444.45619275468198</v>
      </c>
      <c r="DW96" s="401">
        <v>492.12411942762162</v>
      </c>
      <c r="DX96" s="401">
        <v>544.90443123623402</v>
      </c>
      <c r="DY96" s="401">
        <v>603.34543148632019</v>
      </c>
      <c r="DZ96" s="401"/>
      <c r="EA96" s="989"/>
    </row>
    <row r="97" spans="1:131" s="76" customFormat="1">
      <c r="A97" s="76" t="s">
        <v>3868</v>
      </c>
      <c r="B97" s="73" t="s">
        <v>2858</v>
      </c>
      <c r="C97" s="51" t="s">
        <v>3175</v>
      </c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1059">
        <v>0</v>
      </c>
      <c r="AQ97" s="1059">
        <v>0</v>
      </c>
      <c r="AR97" s="1059">
        <v>0</v>
      </c>
      <c r="AS97" s="1059">
        <v>0</v>
      </c>
      <c r="AT97" s="1059">
        <v>0</v>
      </c>
      <c r="AU97" s="1059">
        <v>0</v>
      </c>
      <c r="AV97" s="76">
        <f t="shared" ref="AV97:BI97" si="232">(AV30*AV73)/1000</f>
        <v>0.92653767500000006</v>
      </c>
      <c r="AW97" s="76">
        <f t="shared" si="232"/>
        <v>1.36741</v>
      </c>
      <c r="AX97" s="76">
        <f t="shared" si="232"/>
        <v>1.0065099999999998</v>
      </c>
      <c r="AY97" s="76">
        <f t="shared" si="232"/>
        <v>1.3173821199999998</v>
      </c>
      <c r="AZ97" s="76">
        <f t="shared" si="232"/>
        <v>2.6526199999999989</v>
      </c>
      <c r="BA97" s="76">
        <f t="shared" si="232"/>
        <v>5.1541131499999979</v>
      </c>
      <c r="BB97" s="76">
        <f t="shared" si="232"/>
        <v>5.0520302894999976</v>
      </c>
      <c r="BC97" s="76">
        <f t="shared" si="232"/>
        <v>5.0088069199999969</v>
      </c>
      <c r="BD97" s="76">
        <f t="shared" si="232"/>
        <v>3.8385359999999982</v>
      </c>
      <c r="BE97" s="76">
        <f t="shared" si="232"/>
        <v>3.8520299999999974</v>
      </c>
      <c r="BF97" s="76">
        <f t="shared" si="232"/>
        <v>5.309479999999998</v>
      </c>
      <c r="BG97" s="76">
        <f t="shared" si="232"/>
        <v>5.7260699999999973</v>
      </c>
      <c r="BH97" s="76">
        <f t="shared" si="232"/>
        <v>5.2371854999999972</v>
      </c>
      <c r="BI97" s="76">
        <f t="shared" si="232"/>
        <v>3.8523449999999975</v>
      </c>
      <c r="BJ97" s="76">
        <f t="shared" ref="BJ97:BQ97" si="233">(BJ30*BJ73)/1000</f>
        <v>5.8376999999999946</v>
      </c>
      <c r="BK97" s="76">
        <f t="shared" si="233"/>
        <v>7.4691499999999955</v>
      </c>
      <c r="BL97" s="76">
        <f t="shared" si="233"/>
        <v>12.21778499999999</v>
      </c>
      <c r="BM97" s="76">
        <f t="shared" si="233"/>
        <v>21.092269999999989</v>
      </c>
      <c r="BN97" s="76">
        <f t="shared" si="233"/>
        <v>23.281494999999985</v>
      </c>
      <c r="BO97" s="76">
        <f t="shared" si="233"/>
        <v>23.69218057179998</v>
      </c>
      <c r="BP97" s="76">
        <f t="shared" si="233"/>
        <v>30.594738254807975</v>
      </c>
      <c r="BQ97" s="76">
        <f t="shared" si="233"/>
        <v>31.512580402452215</v>
      </c>
      <c r="BR97" s="76">
        <f t="shared" si="157"/>
        <v>32.457957814525784</v>
      </c>
      <c r="BS97" s="76">
        <f t="shared" si="157"/>
        <v>33.431696548961561</v>
      </c>
      <c r="BT97" s="76">
        <f t="shared" si="158"/>
        <v>34.434647445430407</v>
      </c>
      <c r="BU97" s="76">
        <f t="shared" si="158"/>
        <v>35.467686868793308</v>
      </c>
      <c r="BV97" s="76">
        <f t="shared" si="159"/>
        <v>36.531717474857103</v>
      </c>
      <c r="BW97" s="76">
        <f t="shared" ref="BW97:BX97" si="234">(BW30*BW73)/1000</f>
        <v>37.627668999102823</v>
      </c>
      <c r="BX97" s="76">
        <f t="shared" si="234"/>
        <v>38.756499069075915</v>
      </c>
      <c r="BY97" s="76">
        <f t="shared" ref="BY97:CD97" si="235">(BY30*BY73)/1000</f>
        <v>39.919194041148195</v>
      </c>
      <c r="BZ97" s="76">
        <f t="shared" si="235"/>
        <v>41.116769862382647</v>
      </c>
      <c r="CA97" s="76">
        <f t="shared" si="235"/>
        <v>42.350272958254124</v>
      </c>
      <c r="CB97" s="76">
        <f t="shared" si="235"/>
        <v>43.62078114700175</v>
      </c>
      <c r="CC97" s="76">
        <f t="shared" si="235"/>
        <v>44.929404581411802</v>
      </c>
      <c r="CD97" s="76">
        <f t="shared" si="235"/>
        <v>46.277286718854157</v>
      </c>
      <c r="CF97" s="435"/>
      <c r="CG97" s="235">
        <f t="shared" si="207"/>
        <v>0.6376500000000016</v>
      </c>
      <c r="CH97" s="235">
        <f t="shared" si="136"/>
        <v>0</v>
      </c>
      <c r="CI97" s="235" t="e">
        <f>BM97-#REF!</f>
        <v>#REF!</v>
      </c>
      <c r="CJ97" s="235">
        <f t="shared" si="184"/>
        <v>0</v>
      </c>
      <c r="CK97" s="235">
        <f t="shared" si="185"/>
        <v>0</v>
      </c>
      <c r="CL97" s="235">
        <f t="shared" si="186"/>
        <v>0</v>
      </c>
      <c r="CM97" s="235">
        <f t="shared" si="187"/>
        <v>0</v>
      </c>
      <c r="CN97" s="235">
        <f t="shared" si="188"/>
        <v>0</v>
      </c>
      <c r="CO97" s="235">
        <f t="shared" si="189"/>
        <v>0</v>
      </c>
      <c r="CP97" s="235">
        <f t="shared" si="190"/>
        <v>0</v>
      </c>
      <c r="CQ97" s="235">
        <f t="shared" si="191"/>
        <v>0</v>
      </c>
      <c r="CR97" s="235">
        <f t="shared" si="192"/>
        <v>0</v>
      </c>
      <c r="CS97" s="235">
        <f t="shared" si="193"/>
        <v>0</v>
      </c>
      <c r="CT97" s="235">
        <f t="shared" si="194"/>
        <v>0</v>
      </c>
      <c r="CU97" s="235">
        <f t="shared" si="195"/>
        <v>0</v>
      </c>
      <c r="CV97" s="235">
        <f t="shared" si="196"/>
        <v>0</v>
      </c>
      <c r="CW97" s="235">
        <f t="shared" si="197"/>
        <v>0</v>
      </c>
      <c r="CX97" s="235">
        <f t="shared" si="198"/>
        <v>0</v>
      </c>
      <c r="CY97" s="235">
        <f t="shared" si="199"/>
        <v>0</v>
      </c>
      <c r="CZ97" s="235">
        <f t="shared" si="200"/>
        <v>0</v>
      </c>
      <c r="DA97" s="38"/>
      <c r="DB97" s="236">
        <v>1.3647929754366701</v>
      </c>
      <c r="DC97" s="236">
        <v>2.3647929754366697</v>
      </c>
      <c r="DD97" s="236">
        <v>3.1564298058910945</v>
      </c>
      <c r="DE97" s="236">
        <v>2.1661582531034478</v>
      </c>
      <c r="DF97" s="401">
        <v>3.8523449999999975</v>
      </c>
      <c r="DG97" s="236">
        <v>6.8314999999999939</v>
      </c>
      <c r="DH97" s="492">
        <v>12.21778499999999</v>
      </c>
      <c r="DI97" s="236">
        <v>23.281494999999985</v>
      </c>
      <c r="DJ97" s="236">
        <v>23.69218057179998</v>
      </c>
      <c r="DK97" s="236">
        <v>30.594738254807975</v>
      </c>
      <c r="DL97" s="236">
        <v>31.512580402452215</v>
      </c>
      <c r="DM97" s="236">
        <v>32.457957814525784</v>
      </c>
      <c r="DN97" s="236">
        <v>33.431696548961561</v>
      </c>
      <c r="DO97" s="236">
        <v>34.434647445430407</v>
      </c>
      <c r="DP97" s="236">
        <v>35.467686868793308</v>
      </c>
      <c r="DQ97" s="401">
        <v>36.531717474857103</v>
      </c>
      <c r="DR97" s="401">
        <v>37.627668999102823</v>
      </c>
      <c r="DS97" s="401">
        <v>38.756499069075915</v>
      </c>
      <c r="DT97" s="401">
        <v>39.919194041148195</v>
      </c>
      <c r="DU97" s="401">
        <v>41.116769862382647</v>
      </c>
      <c r="DV97" s="401">
        <v>42.350272958254124</v>
      </c>
      <c r="DW97" s="401">
        <v>43.62078114700175</v>
      </c>
      <c r="DX97" s="401">
        <v>44.929404581411802</v>
      </c>
      <c r="DY97" s="401">
        <v>46.277286718854157</v>
      </c>
      <c r="DZ97" s="401"/>
      <c r="EA97" s="989"/>
    </row>
    <row r="98" spans="1:131" s="76" customFormat="1">
      <c r="A98" s="76" t="s">
        <v>3869</v>
      </c>
      <c r="B98" s="73" t="s">
        <v>2859</v>
      </c>
      <c r="C98" s="51" t="s">
        <v>3029</v>
      </c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90">
        <v>0</v>
      </c>
      <c r="AV98" s="76">
        <f t="shared" ref="AV98:BI98" si="236">(AV31*AV74)/1000</f>
        <v>15.868748135240001</v>
      </c>
      <c r="AW98" s="76">
        <f t="shared" si="236"/>
        <v>20.470992256000002</v>
      </c>
      <c r="AX98" s="76">
        <f t="shared" si="236"/>
        <v>19.747881387</v>
      </c>
      <c r="AY98" s="76">
        <f t="shared" si="236"/>
        <v>47.123687135200001</v>
      </c>
      <c r="AZ98" s="76">
        <f t="shared" si="236"/>
        <v>72.134529150944005</v>
      </c>
      <c r="BA98" s="76">
        <f t="shared" si="236"/>
        <v>113.26777178080002</v>
      </c>
      <c r="BB98" s="76">
        <f t="shared" si="236"/>
        <v>134.081750437648</v>
      </c>
      <c r="BC98" s="76">
        <f t="shared" si="236"/>
        <v>204.99330191891198</v>
      </c>
      <c r="BD98" s="76">
        <f t="shared" si="236"/>
        <v>360.49073448960002</v>
      </c>
      <c r="BE98" s="76">
        <f t="shared" si="236"/>
        <v>410.97244461000008</v>
      </c>
      <c r="BF98" s="76">
        <f t="shared" si="236"/>
        <v>395.89144835000008</v>
      </c>
      <c r="BG98" s="76">
        <f t="shared" si="236"/>
        <v>428.72465452500006</v>
      </c>
      <c r="BH98" s="76">
        <f t="shared" si="236"/>
        <v>387.638488215</v>
      </c>
      <c r="BI98" s="76">
        <f t="shared" si="236"/>
        <v>402.24454259999993</v>
      </c>
      <c r="BJ98" s="76">
        <f t="shared" ref="BJ98:BQ98" si="237">(BJ31*BJ74)/1000</f>
        <v>584.48462414999995</v>
      </c>
      <c r="BK98" s="76">
        <f t="shared" si="237"/>
        <v>671.40149374999999</v>
      </c>
      <c r="BL98" s="76">
        <f t="shared" si="237"/>
        <v>753.4766969499999</v>
      </c>
      <c r="BM98" s="76">
        <f t="shared" si="237"/>
        <v>781.91872289999992</v>
      </c>
      <c r="BN98" s="76">
        <f t="shared" si="237"/>
        <v>780.32727524999996</v>
      </c>
      <c r="BO98" s="76">
        <f t="shared" si="237"/>
        <v>859.54055990972574</v>
      </c>
      <c r="BP98" s="76">
        <f t="shared" si="237"/>
        <v>1187.0265857366869</v>
      </c>
      <c r="BQ98" s="76">
        <f t="shared" si="237"/>
        <v>1307.5250968319169</v>
      </c>
      <c r="BR98" s="76">
        <f t="shared" si="157"/>
        <v>1440.2557612341059</v>
      </c>
      <c r="BS98" s="76">
        <f t="shared" si="157"/>
        <v>1535.3846542636184</v>
      </c>
      <c r="BT98" s="76">
        <f t="shared" si="158"/>
        <v>1636.7968106777303</v>
      </c>
      <c r="BU98" s="76">
        <f t="shared" si="158"/>
        <v>1744.9072400229941</v>
      </c>
      <c r="BV98" s="76">
        <f t="shared" si="159"/>
        <v>1860.1583632265126</v>
      </c>
      <c r="BW98" s="76">
        <f t="shared" ref="BW98:BX98" si="238">(BW31*BW74)/1000</f>
        <v>1983.0218231176241</v>
      </c>
      <c r="BX98" s="76">
        <f t="shared" si="238"/>
        <v>2114.0004145345429</v>
      </c>
      <c r="BY98" s="76">
        <f t="shared" ref="BY98:CD98" si="239">(BY31*BY74)/1000</f>
        <v>2253.6301419145489</v>
      </c>
      <c r="BZ98" s="76">
        <f t="shared" si="239"/>
        <v>2402.4824127880051</v>
      </c>
      <c r="CA98" s="76">
        <f t="shared" si="239"/>
        <v>2561.1663761526529</v>
      </c>
      <c r="CB98" s="76">
        <f t="shared" si="239"/>
        <v>2730.3314152975358</v>
      </c>
      <c r="CC98" s="76">
        <f t="shared" si="239"/>
        <v>2910.6698052779375</v>
      </c>
      <c r="CD98" s="76">
        <f t="shared" si="239"/>
        <v>3102.9195459165453</v>
      </c>
      <c r="CF98" s="435"/>
      <c r="CG98" s="235">
        <f t="shared" si="207"/>
        <v>0</v>
      </c>
      <c r="CH98" s="235">
        <f t="shared" si="136"/>
        <v>0</v>
      </c>
      <c r="CI98" s="235" t="e">
        <f>BM98-#REF!</f>
        <v>#REF!</v>
      </c>
      <c r="CJ98" s="235">
        <f t="shared" si="184"/>
        <v>0</v>
      </c>
      <c r="CK98" s="235">
        <f t="shared" si="185"/>
        <v>0</v>
      </c>
      <c r="CL98" s="235">
        <f t="shared" si="186"/>
        <v>0</v>
      </c>
      <c r="CM98" s="235">
        <f t="shared" si="187"/>
        <v>0</v>
      </c>
      <c r="CN98" s="235">
        <f t="shared" si="188"/>
        <v>0</v>
      </c>
      <c r="CO98" s="235">
        <f t="shared" si="189"/>
        <v>0</v>
      </c>
      <c r="CP98" s="235">
        <f t="shared" si="190"/>
        <v>0</v>
      </c>
      <c r="CQ98" s="235">
        <f t="shared" si="191"/>
        <v>0</v>
      </c>
      <c r="CR98" s="235">
        <f t="shared" si="192"/>
        <v>0</v>
      </c>
      <c r="CS98" s="235">
        <f t="shared" si="193"/>
        <v>0</v>
      </c>
      <c r="CT98" s="235">
        <f t="shared" si="194"/>
        <v>0</v>
      </c>
      <c r="CU98" s="235">
        <f t="shared" si="195"/>
        <v>0</v>
      </c>
      <c r="CV98" s="235">
        <f t="shared" si="196"/>
        <v>0</v>
      </c>
      <c r="CW98" s="235">
        <f t="shared" si="197"/>
        <v>0</v>
      </c>
      <c r="CX98" s="235">
        <f t="shared" si="198"/>
        <v>0</v>
      </c>
      <c r="CY98" s="235">
        <f t="shared" si="199"/>
        <v>0</v>
      </c>
      <c r="CZ98" s="235">
        <f t="shared" si="200"/>
        <v>0</v>
      </c>
      <c r="DA98" s="38"/>
      <c r="DB98" s="236">
        <v>428.94639395047602</v>
      </c>
      <c r="DC98" s="236">
        <v>429.94639395047568</v>
      </c>
      <c r="DD98" s="236">
        <v>482.12050063727787</v>
      </c>
      <c r="DE98" s="236">
        <v>598.74147664621444</v>
      </c>
      <c r="DF98" s="401">
        <v>642.76930364999998</v>
      </c>
      <c r="DG98" s="236">
        <v>671.40149374999999</v>
      </c>
      <c r="DH98" s="492">
        <v>753.4766969499999</v>
      </c>
      <c r="DI98" s="236">
        <v>780.32727524999996</v>
      </c>
      <c r="DJ98" s="236">
        <v>859.54055990972574</v>
      </c>
      <c r="DK98" s="236">
        <v>1187.0265857366869</v>
      </c>
      <c r="DL98" s="236">
        <v>1307.5250968319169</v>
      </c>
      <c r="DM98" s="236">
        <v>1440.2557612341059</v>
      </c>
      <c r="DN98" s="236">
        <v>1535.3846542636184</v>
      </c>
      <c r="DO98" s="236">
        <v>1636.7968106777303</v>
      </c>
      <c r="DP98" s="236">
        <v>1744.9072400229941</v>
      </c>
      <c r="DQ98" s="401">
        <v>1860.1583632265126</v>
      </c>
      <c r="DR98" s="401">
        <v>1983.0218231176241</v>
      </c>
      <c r="DS98" s="401">
        <v>2114.0004145345429</v>
      </c>
      <c r="DT98" s="401">
        <v>2253.6301419145489</v>
      </c>
      <c r="DU98" s="401">
        <v>2402.4824127880051</v>
      </c>
      <c r="DV98" s="401">
        <v>2561.1663761526529</v>
      </c>
      <c r="DW98" s="401">
        <v>2730.3314152975358</v>
      </c>
      <c r="DX98" s="401">
        <v>2910.6698052779375</v>
      </c>
      <c r="DY98" s="401">
        <v>3102.9195459165453</v>
      </c>
      <c r="DZ98" s="401"/>
      <c r="EA98" s="989"/>
    </row>
    <row r="99" spans="1:131" s="76" customFormat="1">
      <c r="A99" s="76" t="s">
        <v>3870</v>
      </c>
      <c r="B99" s="80" t="s">
        <v>638</v>
      </c>
      <c r="C99" s="51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90">
        <v>0</v>
      </c>
      <c r="AV99" s="76">
        <f t="shared" ref="AV99:BI99" si="240">(AV32*AV75)/1000</f>
        <v>0</v>
      </c>
      <c r="AW99" s="76">
        <f t="shared" si="240"/>
        <v>0</v>
      </c>
      <c r="AX99" s="76">
        <f t="shared" si="240"/>
        <v>0</v>
      </c>
      <c r="AY99" s="76">
        <f t="shared" si="240"/>
        <v>0</v>
      </c>
      <c r="AZ99" s="76">
        <f t="shared" si="240"/>
        <v>0</v>
      </c>
      <c r="BA99" s="76">
        <f t="shared" si="240"/>
        <v>0</v>
      </c>
      <c r="BB99" s="76">
        <f t="shared" si="240"/>
        <v>0</v>
      </c>
      <c r="BC99" s="76">
        <f t="shared" si="240"/>
        <v>0</v>
      </c>
      <c r="BD99" s="76">
        <f t="shared" si="240"/>
        <v>0</v>
      </c>
      <c r="BE99" s="76">
        <f t="shared" si="240"/>
        <v>0</v>
      </c>
      <c r="BF99" s="76">
        <f t="shared" si="240"/>
        <v>0</v>
      </c>
      <c r="BG99" s="76">
        <f t="shared" si="240"/>
        <v>0</v>
      </c>
      <c r="BH99" s="76">
        <f t="shared" si="240"/>
        <v>0</v>
      </c>
      <c r="BI99" s="76">
        <f t="shared" si="240"/>
        <v>0</v>
      </c>
      <c r="BJ99" s="76">
        <f t="shared" ref="BJ99:BQ99" si="241">(BJ32*BJ75)/1000</f>
        <v>0</v>
      </c>
      <c r="BK99" s="76">
        <f t="shared" si="241"/>
        <v>0</v>
      </c>
      <c r="BL99" s="76">
        <f t="shared" si="241"/>
        <v>0</v>
      </c>
      <c r="BM99" s="76">
        <f t="shared" si="241"/>
        <v>0</v>
      </c>
      <c r="BN99" s="76">
        <f t="shared" si="241"/>
        <v>0</v>
      </c>
      <c r="BO99" s="76">
        <f t="shared" si="241"/>
        <v>0</v>
      </c>
      <c r="BP99" s="76">
        <f t="shared" si="241"/>
        <v>0</v>
      </c>
      <c r="BQ99" s="76">
        <f t="shared" si="241"/>
        <v>0</v>
      </c>
      <c r="BR99" s="76">
        <f t="shared" si="157"/>
        <v>0</v>
      </c>
      <c r="BS99" s="76">
        <f t="shared" si="157"/>
        <v>0</v>
      </c>
      <c r="BT99" s="76">
        <f t="shared" si="158"/>
        <v>0</v>
      </c>
      <c r="BU99" s="76">
        <f t="shared" si="158"/>
        <v>0</v>
      </c>
      <c r="BV99" s="76">
        <f t="shared" si="159"/>
        <v>0</v>
      </c>
      <c r="BW99" s="76">
        <f t="shared" ref="BW99:BX99" si="242">(BW32*BW75)/1000</f>
        <v>0</v>
      </c>
      <c r="BX99" s="76">
        <f t="shared" si="242"/>
        <v>0</v>
      </c>
      <c r="BY99" s="76">
        <f t="shared" ref="BY99:CD99" si="243">(BY32*BY75)/1000</f>
        <v>0</v>
      </c>
      <c r="BZ99" s="76">
        <f t="shared" si="243"/>
        <v>0</v>
      </c>
      <c r="CA99" s="76">
        <f t="shared" si="243"/>
        <v>0</v>
      </c>
      <c r="CB99" s="76">
        <f t="shared" si="243"/>
        <v>0</v>
      </c>
      <c r="CC99" s="76">
        <f t="shared" si="243"/>
        <v>0</v>
      </c>
      <c r="CD99" s="76">
        <f t="shared" si="243"/>
        <v>0</v>
      </c>
      <c r="CF99" s="435"/>
      <c r="CG99" s="235">
        <f t="shared" si="207"/>
        <v>0</v>
      </c>
      <c r="CH99" s="235">
        <f t="shared" si="136"/>
        <v>0</v>
      </c>
      <c r="CI99" s="235" t="e">
        <f>BM99-#REF!</f>
        <v>#REF!</v>
      </c>
      <c r="CJ99" s="235">
        <f t="shared" si="184"/>
        <v>0</v>
      </c>
      <c r="CK99" s="235">
        <f t="shared" si="185"/>
        <v>0</v>
      </c>
      <c r="CL99" s="235">
        <f t="shared" si="186"/>
        <v>0</v>
      </c>
      <c r="CM99" s="235">
        <f t="shared" si="187"/>
        <v>0</v>
      </c>
      <c r="CN99" s="235">
        <f t="shared" si="188"/>
        <v>0</v>
      </c>
      <c r="CO99" s="235">
        <f t="shared" si="189"/>
        <v>0</v>
      </c>
      <c r="CP99" s="235">
        <f t="shared" si="190"/>
        <v>0</v>
      </c>
      <c r="CQ99" s="235">
        <f t="shared" si="191"/>
        <v>0</v>
      </c>
      <c r="CR99" s="235">
        <f t="shared" si="192"/>
        <v>0</v>
      </c>
      <c r="CS99" s="235">
        <f t="shared" si="193"/>
        <v>0</v>
      </c>
      <c r="CT99" s="235">
        <f t="shared" si="194"/>
        <v>0</v>
      </c>
      <c r="CU99" s="235">
        <f t="shared" si="195"/>
        <v>0</v>
      </c>
      <c r="CV99" s="235">
        <f t="shared" si="196"/>
        <v>0</v>
      </c>
      <c r="CW99" s="235">
        <f t="shared" si="197"/>
        <v>0</v>
      </c>
      <c r="CX99" s="235">
        <f t="shared" si="198"/>
        <v>0</v>
      </c>
      <c r="CY99" s="235">
        <f t="shared" si="199"/>
        <v>0</v>
      </c>
      <c r="CZ99" s="235">
        <f t="shared" si="200"/>
        <v>0</v>
      </c>
      <c r="DA99" s="38"/>
      <c r="DB99" s="236">
        <v>-1</v>
      </c>
      <c r="DC99" s="236">
        <v>0</v>
      </c>
      <c r="DD99" s="236">
        <v>0</v>
      </c>
      <c r="DE99" s="236">
        <v>0</v>
      </c>
      <c r="DF99" s="401">
        <v>0</v>
      </c>
      <c r="DG99" s="236">
        <v>0</v>
      </c>
      <c r="DH99" s="492">
        <v>0</v>
      </c>
      <c r="DI99" s="236">
        <v>0</v>
      </c>
      <c r="DJ99" s="236">
        <v>0</v>
      </c>
      <c r="DK99" s="236">
        <v>0</v>
      </c>
      <c r="DL99" s="236">
        <v>0</v>
      </c>
      <c r="DM99" s="236">
        <v>0</v>
      </c>
      <c r="DN99" s="236">
        <v>0</v>
      </c>
      <c r="DO99" s="236">
        <v>0</v>
      </c>
      <c r="DP99" s="236">
        <v>0</v>
      </c>
      <c r="DQ99" s="401">
        <v>0</v>
      </c>
      <c r="DR99" s="401">
        <v>0</v>
      </c>
      <c r="DS99" s="401">
        <v>0</v>
      </c>
      <c r="DT99" s="401">
        <v>0</v>
      </c>
      <c r="DU99" s="401">
        <v>0</v>
      </c>
      <c r="DV99" s="401">
        <v>0</v>
      </c>
      <c r="DW99" s="401">
        <v>0</v>
      </c>
      <c r="DX99" s="401">
        <v>0</v>
      </c>
      <c r="DY99" s="401">
        <v>0</v>
      </c>
      <c r="DZ99" s="401"/>
      <c r="EA99" s="989"/>
    </row>
    <row r="100" spans="1:131" s="19" customFormat="1">
      <c r="B100" s="20"/>
      <c r="C100" s="43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0"/>
      <c r="AT100" s="200"/>
      <c r="AU100" s="43"/>
      <c r="AV100" s="90"/>
      <c r="AW100" s="90"/>
      <c r="AX100" s="90"/>
      <c r="AY100" s="90"/>
      <c r="AZ100" s="90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1"/>
      <c r="CD100" s="91"/>
      <c r="CE100" s="91"/>
      <c r="CF100" s="435"/>
      <c r="CG100" s="235">
        <f t="shared" si="207"/>
        <v>0</v>
      </c>
      <c r="CH100" s="235">
        <f t="shared" si="136"/>
        <v>0</v>
      </c>
      <c r="CI100" s="235" t="e">
        <f>BM100-#REF!</f>
        <v>#REF!</v>
      </c>
      <c r="CJ100" s="235">
        <f t="shared" si="184"/>
        <v>0</v>
      </c>
      <c r="CK100" s="235">
        <f t="shared" si="185"/>
        <v>0</v>
      </c>
      <c r="CL100" s="235">
        <f t="shared" si="186"/>
        <v>0</v>
      </c>
      <c r="CM100" s="235">
        <f t="shared" si="187"/>
        <v>0</v>
      </c>
      <c r="CN100" s="235">
        <f t="shared" si="188"/>
        <v>0</v>
      </c>
      <c r="CO100" s="235">
        <f t="shared" si="189"/>
        <v>0</v>
      </c>
      <c r="CP100" s="235">
        <f t="shared" si="190"/>
        <v>0</v>
      </c>
      <c r="CQ100" s="235">
        <f t="shared" si="191"/>
        <v>0</v>
      </c>
      <c r="CR100" s="235">
        <f t="shared" si="192"/>
        <v>0</v>
      </c>
      <c r="CS100" s="235">
        <f t="shared" si="193"/>
        <v>0</v>
      </c>
      <c r="CT100" s="235">
        <f t="shared" si="194"/>
        <v>0</v>
      </c>
      <c r="CU100" s="235">
        <f t="shared" si="195"/>
        <v>0</v>
      </c>
      <c r="CV100" s="235">
        <f t="shared" si="196"/>
        <v>0</v>
      </c>
      <c r="CW100" s="235">
        <f t="shared" si="197"/>
        <v>0</v>
      </c>
      <c r="CX100" s="235">
        <f t="shared" si="198"/>
        <v>0</v>
      </c>
      <c r="CY100" s="235">
        <f t="shared" si="199"/>
        <v>0</v>
      </c>
      <c r="CZ100" s="235">
        <f t="shared" si="200"/>
        <v>0</v>
      </c>
      <c r="DA100" s="38"/>
      <c r="DB100" s="236"/>
      <c r="DC100" s="236"/>
      <c r="DD100" s="236"/>
      <c r="DE100" s="236"/>
      <c r="DF100" s="401"/>
      <c r="DG100" s="236"/>
      <c r="DH100" s="492"/>
      <c r="DI100" s="236"/>
      <c r="DJ100" s="236"/>
      <c r="DK100" s="236"/>
      <c r="DL100" s="236"/>
      <c r="DM100" s="236"/>
      <c r="DN100" s="236"/>
      <c r="DO100" s="236"/>
      <c r="DP100" s="236"/>
      <c r="DQ100" s="1084"/>
      <c r="DR100" s="1084"/>
      <c r="DS100" s="1084"/>
      <c r="DT100" s="1084"/>
      <c r="DU100" s="1084"/>
      <c r="DV100" s="1084"/>
      <c r="DW100" s="1084"/>
      <c r="DX100" s="1084"/>
      <c r="DY100" s="1084"/>
      <c r="DZ100" s="1084"/>
      <c r="EA100" s="988"/>
    </row>
    <row r="101" spans="1:131" s="76" customFormat="1">
      <c r="A101" s="139" t="s">
        <v>2815</v>
      </c>
      <c r="B101" s="139" t="s">
        <v>942</v>
      </c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51">
        <f t="shared" ref="AQ101:AV101" si="244">SUM(AQ102:AQ121)</f>
        <v>0.78181499569831658</v>
      </c>
      <c r="AR101" s="51">
        <f t="shared" si="244"/>
        <v>0.72501688327461189</v>
      </c>
      <c r="AS101" s="51">
        <f t="shared" si="244"/>
        <v>0.63735328743208586</v>
      </c>
      <c r="AT101" s="51">
        <f t="shared" si="244"/>
        <v>2.0512039212099333</v>
      </c>
      <c r="AU101" s="51">
        <f t="shared" si="244"/>
        <v>66.617514665142494</v>
      </c>
      <c r="AV101" s="51">
        <f t="shared" si="244"/>
        <v>206.23578551471749</v>
      </c>
      <c r="AW101" s="51">
        <f t="shared" ref="AW101:BJ101" si="245">SUM(AW102:AW121)</f>
        <v>232.93580354049504</v>
      </c>
      <c r="AX101" s="51">
        <f t="shared" si="245"/>
        <v>238.04089723846096</v>
      </c>
      <c r="AY101" s="51">
        <f t="shared" si="245"/>
        <v>212.7969728186232</v>
      </c>
      <c r="AZ101" s="51">
        <f t="shared" si="245"/>
        <v>430.88517454107682</v>
      </c>
      <c r="BA101" s="51">
        <f t="shared" si="245"/>
        <v>702.29027749821785</v>
      </c>
      <c r="BB101" s="51">
        <f t="shared" si="245"/>
        <v>1104.8263248547123</v>
      </c>
      <c r="BC101" s="51">
        <f t="shared" si="245"/>
        <v>1303.6289522425045</v>
      </c>
      <c r="BD101" s="51">
        <f t="shared" si="245"/>
        <v>1915.9641784394285</v>
      </c>
      <c r="BE101" s="51">
        <f t="shared" si="245"/>
        <v>2419.6298225259075</v>
      </c>
      <c r="BF101" s="51">
        <f t="shared" si="245"/>
        <v>2786.8821383791519</v>
      </c>
      <c r="BG101" s="51">
        <f t="shared" si="245"/>
        <v>3727.9254272624389</v>
      </c>
      <c r="BH101" s="51">
        <f t="shared" si="245"/>
        <v>4417.3159279561942</v>
      </c>
      <c r="BI101" s="51">
        <f t="shared" si="245"/>
        <v>4534.284085125676</v>
      </c>
      <c r="BJ101" s="51">
        <f t="shared" si="245"/>
        <v>4584.9548218228247</v>
      </c>
      <c r="BK101" s="51">
        <f t="shared" ref="BK101:BQ101" si="246">SUM(BK102:BK121)</f>
        <v>6131.9845684494167</v>
      </c>
      <c r="BL101" s="51">
        <f t="shared" si="246"/>
        <v>8110.6694799897577</v>
      </c>
      <c r="BM101" s="51">
        <f t="shared" si="246"/>
        <v>8355.6609890935597</v>
      </c>
      <c r="BN101" s="51">
        <f t="shared" si="246"/>
        <v>7340.1016600914954</v>
      </c>
      <c r="BO101" s="51">
        <f t="shared" si="246"/>
        <v>6126.8510255398696</v>
      </c>
      <c r="BP101" s="51">
        <f t="shared" si="246"/>
        <v>5952.0807185591721</v>
      </c>
      <c r="BQ101" s="51">
        <f t="shared" si="246"/>
        <v>8666.9249712970086</v>
      </c>
      <c r="BR101" s="51">
        <f>SUM(BR102:BR121)</f>
        <v>9265.5753357358935</v>
      </c>
      <c r="BS101" s="51">
        <f>SUM(BS102:BS121)</f>
        <v>9255.0556975468862</v>
      </c>
      <c r="BT101" s="51">
        <f>SUM(BT102:BT121)</f>
        <v>9640.4233191353069</v>
      </c>
      <c r="BU101" s="51">
        <f>SUM(BU102:BU121)</f>
        <v>10103.554685667375</v>
      </c>
      <c r="BV101" s="51">
        <f>SUM(BV102:BV121)</f>
        <v>10534.225748068202</v>
      </c>
      <c r="BW101" s="51">
        <f t="shared" ref="BW101:BX101" si="247">SUM(BW102:BW121)</f>
        <v>10987.671117692882</v>
      </c>
      <c r="BX101" s="51">
        <f t="shared" si="247"/>
        <v>11465.252354040198</v>
      </c>
      <c r="BY101" s="51">
        <f t="shared" ref="BY101:CD101" si="248">SUM(BY102:BY121)</f>
        <v>11968.42386229184</v>
      </c>
      <c r="BZ101" s="51">
        <f t="shared" si="248"/>
        <v>12498.740037033076</v>
      </c>
      <c r="CA101" s="51">
        <f t="shared" si="248"/>
        <v>13300.532409155036</v>
      </c>
      <c r="CB101" s="51">
        <f t="shared" si="248"/>
        <v>14159.927510348934</v>
      </c>
      <c r="CC101" s="51">
        <f t="shared" si="248"/>
        <v>15081.143462101205</v>
      </c>
      <c r="CD101" s="51">
        <f t="shared" si="248"/>
        <v>16068.714073028741</v>
      </c>
      <c r="CE101" s="51"/>
      <c r="CF101" s="435"/>
      <c r="CG101" s="235">
        <f t="shared" si="207"/>
        <v>-18.990688198873613</v>
      </c>
      <c r="CH101" s="235">
        <f t="shared" si="136"/>
        <v>0</v>
      </c>
      <c r="CI101" s="235" t="e">
        <f>BM101-#REF!</f>
        <v>#REF!</v>
      </c>
      <c r="CJ101" s="235">
        <f t="shared" si="184"/>
        <v>0</v>
      </c>
      <c r="CK101" s="235">
        <f t="shared" si="185"/>
        <v>0</v>
      </c>
      <c r="CL101" s="235">
        <f t="shared" si="186"/>
        <v>0</v>
      </c>
      <c r="CM101" s="235">
        <f t="shared" si="187"/>
        <v>0</v>
      </c>
      <c r="CN101" s="235">
        <f t="shared" si="188"/>
        <v>0</v>
      </c>
      <c r="CO101" s="235">
        <f t="shared" si="189"/>
        <v>0</v>
      </c>
      <c r="CP101" s="235">
        <f t="shared" si="190"/>
        <v>0</v>
      </c>
      <c r="CQ101" s="235">
        <f t="shared" si="191"/>
        <v>0</v>
      </c>
      <c r="CR101" s="235">
        <f t="shared" si="192"/>
        <v>0</v>
      </c>
      <c r="CS101" s="235">
        <f t="shared" si="193"/>
        <v>0</v>
      </c>
      <c r="CT101" s="235">
        <f t="shared" si="194"/>
        <v>0</v>
      </c>
      <c r="CU101" s="235">
        <f t="shared" si="195"/>
        <v>0</v>
      </c>
      <c r="CV101" s="235">
        <f t="shared" si="196"/>
        <v>0</v>
      </c>
      <c r="CW101" s="235">
        <f t="shared" si="197"/>
        <v>0</v>
      </c>
      <c r="CX101" s="235">
        <f t="shared" si="198"/>
        <v>0</v>
      </c>
      <c r="CY101" s="235">
        <f t="shared" si="199"/>
        <v>0</v>
      </c>
      <c r="CZ101" s="235">
        <f t="shared" si="200"/>
        <v>0</v>
      </c>
      <c r="DA101" s="38"/>
      <c r="DB101" s="236">
        <v>2785.3194672874001</v>
      </c>
      <c r="DC101" s="236">
        <v>2786.3194672874019</v>
      </c>
      <c r="DD101" s="236">
        <v>3734.3181333647694</v>
      </c>
      <c r="DE101" s="236">
        <v>4544.4891081217984</v>
      </c>
      <c r="DF101" s="401">
        <v>4760.855633397995</v>
      </c>
      <c r="DG101" s="236">
        <v>6150.9752566482903</v>
      </c>
      <c r="DH101" s="492">
        <v>8110.6694799897577</v>
      </c>
      <c r="DI101" s="236">
        <v>7340.1016600914954</v>
      </c>
      <c r="DJ101" s="236">
        <v>6126.8510255398696</v>
      </c>
      <c r="DK101" s="236">
        <v>5952.0807185591721</v>
      </c>
      <c r="DL101" s="236">
        <v>8666.9249712970086</v>
      </c>
      <c r="DM101" s="236">
        <v>9265.5753357358935</v>
      </c>
      <c r="DN101" s="236">
        <v>9255.0556975468862</v>
      </c>
      <c r="DO101" s="236">
        <v>9640.4233191353069</v>
      </c>
      <c r="DP101" s="236">
        <v>10103.554685667375</v>
      </c>
      <c r="DQ101" s="401">
        <v>10534.225748068202</v>
      </c>
      <c r="DR101" s="401">
        <v>10987.671117692882</v>
      </c>
      <c r="DS101" s="401">
        <v>11465.252354040198</v>
      </c>
      <c r="DT101" s="401">
        <v>11968.42386229184</v>
      </c>
      <c r="DU101" s="401">
        <v>12498.740037033076</v>
      </c>
      <c r="DV101" s="401">
        <v>13300.532409155036</v>
      </c>
      <c r="DW101" s="401">
        <v>14159.927510348934</v>
      </c>
      <c r="DX101" s="401">
        <v>15081.143462101205</v>
      </c>
      <c r="DY101" s="401">
        <v>16068.714073028741</v>
      </c>
      <c r="DZ101" s="401"/>
      <c r="EA101" s="989"/>
    </row>
    <row r="102" spans="1:131" s="76" customFormat="1">
      <c r="A102" s="76" t="s">
        <v>3857</v>
      </c>
      <c r="B102" s="73" t="s">
        <v>2072</v>
      </c>
      <c r="C102" s="51" t="s">
        <v>827</v>
      </c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V102" s="207"/>
      <c r="W102" s="20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51">
        <f t="shared" ref="AQ102:BQ102" si="249">(AQ13*AP56)/1000</f>
        <v>0.60048400773373856</v>
      </c>
      <c r="AR102" s="51">
        <f t="shared" si="249"/>
        <v>0.49142574996411648</v>
      </c>
      <c r="AS102" s="51">
        <f t="shared" si="249"/>
        <v>0.40721486522198735</v>
      </c>
      <c r="AT102" s="51">
        <f t="shared" si="249"/>
        <v>1.6527543650515393</v>
      </c>
      <c r="AU102" s="51">
        <f t="shared" si="249"/>
        <v>48.519118122743684</v>
      </c>
      <c r="AV102" s="51">
        <f t="shared" si="249"/>
        <v>138.73050416141234</v>
      </c>
      <c r="AW102" s="51">
        <f t="shared" si="249"/>
        <v>126.43873899299997</v>
      </c>
      <c r="AX102" s="51">
        <f t="shared" si="249"/>
        <v>132.72410280000003</v>
      </c>
      <c r="AY102" s="51">
        <f t="shared" si="249"/>
        <v>127.65078714000002</v>
      </c>
      <c r="AZ102" s="51">
        <f t="shared" si="249"/>
        <v>256.99587050843991</v>
      </c>
      <c r="BA102" s="51">
        <f t="shared" si="249"/>
        <v>462.96263070149973</v>
      </c>
      <c r="BB102" s="51">
        <f t="shared" si="249"/>
        <v>710.91988252999988</v>
      </c>
      <c r="BC102" s="51">
        <f t="shared" si="249"/>
        <v>730.10908114884978</v>
      </c>
      <c r="BD102" s="51">
        <f t="shared" si="249"/>
        <v>869.23730835199979</v>
      </c>
      <c r="BE102" s="51">
        <f t="shared" si="249"/>
        <v>1085.1946450799996</v>
      </c>
      <c r="BF102" s="51">
        <f t="shared" si="249"/>
        <v>1338.5643275549994</v>
      </c>
      <c r="BG102" s="51">
        <f t="shared" si="249"/>
        <v>1790.4394959549998</v>
      </c>
      <c r="BH102" s="51">
        <f t="shared" si="249"/>
        <v>1941.7377183749995</v>
      </c>
      <c r="BI102" s="51">
        <f t="shared" si="249"/>
        <v>1383.0303909599995</v>
      </c>
      <c r="BJ102" s="51">
        <f t="shared" si="249"/>
        <v>901.26199799999949</v>
      </c>
      <c r="BK102" s="51">
        <f t="shared" si="249"/>
        <v>1229.1489468791492</v>
      </c>
      <c r="BL102" s="51">
        <f t="shared" si="249"/>
        <v>1360.465570749999</v>
      </c>
      <c r="BM102" s="51">
        <f t="shared" si="249"/>
        <v>1147.1682145499992</v>
      </c>
      <c r="BN102" s="51">
        <f t="shared" si="249"/>
        <v>1172.0272988194993</v>
      </c>
      <c r="BO102" s="51">
        <f t="shared" si="249"/>
        <v>837.82079548074944</v>
      </c>
      <c r="BP102" s="51">
        <f t="shared" si="249"/>
        <v>8.3780026377955319E-6</v>
      </c>
      <c r="BQ102" s="51">
        <f t="shared" si="249"/>
        <v>1.050404810275832E-5</v>
      </c>
      <c r="BR102" s="51">
        <f t="shared" ref="BR102:BR121" si="250">(BR13*BQ56)/1000</f>
        <v>1.0819169545841069E-5</v>
      </c>
      <c r="BS102" s="51">
        <f t="shared" ref="BS102:BS121" si="251">(BS13*BR56)/1000</f>
        <v>1.1143744632216302E-5</v>
      </c>
      <c r="BT102" s="51">
        <f t="shared" ref="BT102:BT121" si="252">(BT13*BS56)/1000</f>
        <v>1.1478056971182789E-5</v>
      </c>
      <c r="BU102" s="51">
        <f t="shared" ref="BU102:BU121" si="253">(BU13*BT56)/1000</f>
        <v>1.1822398680318274E-5</v>
      </c>
      <c r="BV102" s="51">
        <f t="shared" ref="BV102:BV121" si="254">(BV13*BU56)/1000</f>
        <v>1.2177070640727821E-5</v>
      </c>
      <c r="BW102" s="51">
        <f t="shared" ref="BW102:BW121" si="255">(BW13*BV56)/1000</f>
        <v>1.2542382759949657E-5</v>
      </c>
      <c r="BX102" s="51">
        <f t="shared" ref="BX102:BX121" si="256">(BX13*BW56)/1000</f>
        <v>1.2918654242748146E-5</v>
      </c>
      <c r="BY102" s="51">
        <f t="shared" ref="BY102:BY121" si="257">(BY13*BX56)/1000</f>
        <v>1.330621387003059E-5</v>
      </c>
      <c r="BZ102" s="51">
        <f t="shared" ref="BZ102:BZ121" si="258">(BZ13*BY56)/1000</f>
        <v>1.370540028613151E-5</v>
      </c>
      <c r="CA102" s="51">
        <f t="shared" ref="CA102:CA121" si="259">(CA13*BZ56)/1000</f>
        <v>1.4116562294715457E-5</v>
      </c>
      <c r="CB102" s="51">
        <f t="shared" ref="CB102:CB121" si="260">(CB13*CA56)/1000</f>
        <v>1.454005916355692E-5</v>
      </c>
      <c r="CC102" s="51">
        <f t="shared" ref="CC102:CC121" si="261">(CC13*CB56)/1000</f>
        <v>1.4976260938463628E-5</v>
      </c>
      <c r="CD102" s="51">
        <f t="shared" ref="CD102:CD121" si="262">(CD13*CC56)/1000</f>
        <v>1.5425548766617538E-5</v>
      </c>
      <c r="CE102" s="51"/>
      <c r="CF102" s="435"/>
      <c r="CG102" s="235">
        <f t="shared" si="207"/>
        <v>0</v>
      </c>
      <c r="CH102" s="235">
        <f t="shared" si="136"/>
        <v>0</v>
      </c>
      <c r="CI102" s="235" t="e">
        <f>BM102-#REF!</f>
        <v>#REF!</v>
      </c>
      <c r="CJ102" s="235">
        <f t="shared" si="184"/>
        <v>0</v>
      </c>
      <c r="CK102" s="235">
        <f t="shared" si="185"/>
        <v>0</v>
      </c>
      <c r="CL102" s="235">
        <f t="shared" si="186"/>
        <v>0</v>
      </c>
      <c r="CM102" s="235">
        <f t="shared" si="187"/>
        <v>0</v>
      </c>
      <c r="CN102" s="235">
        <f t="shared" si="188"/>
        <v>0</v>
      </c>
      <c r="CO102" s="235">
        <f t="shared" si="189"/>
        <v>0</v>
      </c>
      <c r="CP102" s="235">
        <f t="shared" si="190"/>
        <v>0</v>
      </c>
      <c r="CQ102" s="235">
        <f t="shared" si="191"/>
        <v>0</v>
      </c>
      <c r="CR102" s="235">
        <f t="shared" si="192"/>
        <v>0</v>
      </c>
      <c r="CS102" s="235">
        <f t="shared" si="193"/>
        <v>0</v>
      </c>
      <c r="CT102" s="235">
        <f t="shared" si="194"/>
        <v>0</v>
      </c>
      <c r="CU102" s="235">
        <f t="shared" si="195"/>
        <v>0</v>
      </c>
      <c r="CV102" s="235">
        <f t="shared" si="196"/>
        <v>0</v>
      </c>
      <c r="CW102" s="235">
        <f t="shared" si="197"/>
        <v>0</v>
      </c>
      <c r="CX102" s="235">
        <f t="shared" si="198"/>
        <v>0</v>
      </c>
      <c r="CY102" s="235">
        <f t="shared" si="199"/>
        <v>0</v>
      </c>
      <c r="CZ102" s="235">
        <f t="shared" si="200"/>
        <v>0</v>
      </c>
      <c r="DA102" s="38"/>
      <c r="DB102" s="236">
        <v>1337.5643275550001</v>
      </c>
      <c r="DC102" s="236">
        <v>1338.5643275549994</v>
      </c>
      <c r="DD102" s="236">
        <v>1797.4945390019745</v>
      </c>
      <c r="DE102" s="236">
        <v>1937.9139887141996</v>
      </c>
      <c r="DF102" s="401">
        <v>1383.0303909599995</v>
      </c>
      <c r="DG102" s="236">
        <v>1229.1489468791492</v>
      </c>
      <c r="DH102" s="492">
        <v>1360.465570749999</v>
      </c>
      <c r="DI102" s="236">
        <v>1172.0272988194993</v>
      </c>
      <c r="DJ102" s="236">
        <v>837.82079548074944</v>
      </c>
      <c r="DK102" s="236">
        <v>8.3780026377955319E-6</v>
      </c>
      <c r="DL102" s="236">
        <v>1.050404810275832E-5</v>
      </c>
      <c r="DM102" s="236">
        <v>1.0819169545841069E-5</v>
      </c>
      <c r="DN102" s="236">
        <v>1.1143744632216302E-5</v>
      </c>
      <c r="DO102" s="236">
        <v>1.1478056971182789E-5</v>
      </c>
      <c r="DP102" s="236">
        <v>1.1822398680318274E-5</v>
      </c>
      <c r="DQ102" s="401">
        <v>1.2177070640727821E-5</v>
      </c>
      <c r="DR102" s="401">
        <v>1.2542382759949657E-5</v>
      </c>
      <c r="DS102" s="401">
        <v>1.2918654242748146E-5</v>
      </c>
      <c r="DT102" s="401">
        <v>1.330621387003059E-5</v>
      </c>
      <c r="DU102" s="401">
        <v>1.370540028613151E-5</v>
      </c>
      <c r="DV102" s="401">
        <v>1.4116562294715457E-5</v>
      </c>
      <c r="DW102" s="401">
        <v>1.454005916355692E-5</v>
      </c>
      <c r="DX102" s="401">
        <v>1.4976260938463628E-5</v>
      </c>
      <c r="DY102" s="401">
        <v>1.5425548766617538E-5</v>
      </c>
      <c r="DZ102" s="401"/>
      <c r="EA102" s="989"/>
    </row>
    <row r="103" spans="1:131" s="76" customFormat="1">
      <c r="A103" s="73" t="s">
        <v>3172</v>
      </c>
      <c r="B103" s="73" t="s">
        <v>3172</v>
      </c>
      <c r="C103" s="51" t="s">
        <v>828</v>
      </c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51">
        <f t="shared" ref="AQ103:BQ103" si="263">(AQ14*AP57)/1000</f>
        <v>5.2707664233576645E-2</v>
      </c>
      <c r="AR103" s="51">
        <f t="shared" si="263"/>
        <v>9.4586124401913885E-2</v>
      </c>
      <c r="AS103" s="51">
        <f t="shared" si="263"/>
        <v>6.1892173913043476E-2</v>
      </c>
      <c r="AT103" s="51">
        <f t="shared" si="263"/>
        <v>0.22543554006968644</v>
      </c>
      <c r="AU103" s="51">
        <f t="shared" si="263"/>
        <v>5.5526663999999997</v>
      </c>
      <c r="AV103" s="51">
        <f t="shared" si="263"/>
        <v>20.663327908745245</v>
      </c>
      <c r="AW103" s="51">
        <f t="shared" si="263"/>
        <v>17.379377085000002</v>
      </c>
      <c r="AX103" s="51">
        <f t="shared" si="263"/>
        <v>17.333225000000002</v>
      </c>
      <c r="AY103" s="51">
        <f t="shared" si="263"/>
        <v>3.6523080000000006</v>
      </c>
      <c r="AZ103" s="51">
        <f t="shared" si="263"/>
        <v>0</v>
      </c>
      <c r="BA103" s="51">
        <f t="shared" si="263"/>
        <v>0</v>
      </c>
      <c r="BB103" s="51">
        <f t="shared" si="263"/>
        <v>0</v>
      </c>
      <c r="BC103" s="51">
        <f t="shared" si="263"/>
        <v>0</v>
      </c>
      <c r="BD103" s="51">
        <f t="shared" si="263"/>
        <v>0</v>
      </c>
      <c r="BE103" s="51">
        <f t="shared" si="263"/>
        <v>0</v>
      </c>
      <c r="BF103" s="51">
        <f t="shared" si="263"/>
        <v>0</v>
      </c>
      <c r="BG103" s="51">
        <f t="shared" si="263"/>
        <v>0</v>
      </c>
      <c r="BH103" s="51">
        <f t="shared" si="263"/>
        <v>0</v>
      </c>
      <c r="BI103" s="51">
        <f t="shared" si="263"/>
        <v>0</v>
      </c>
      <c r="BJ103" s="51">
        <f t="shared" si="263"/>
        <v>0</v>
      </c>
      <c r="BK103" s="51">
        <f t="shared" si="263"/>
        <v>0</v>
      </c>
      <c r="BL103" s="51">
        <f t="shared" si="263"/>
        <v>0</v>
      </c>
      <c r="BM103" s="51">
        <f t="shared" si="263"/>
        <v>0</v>
      </c>
      <c r="BN103" s="51">
        <f t="shared" si="263"/>
        <v>0</v>
      </c>
      <c r="BO103" s="51">
        <f t="shared" si="263"/>
        <v>0</v>
      </c>
      <c r="BP103" s="51">
        <f t="shared" si="263"/>
        <v>0</v>
      </c>
      <c r="BQ103" s="51">
        <f t="shared" si="263"/>
        <v>0</v>
      </c>
      <c r="BR103" s="51">
        <f t="shared" si="250"/>
        <v>0</v>
      </c>
      <c r="BS103" s="51">
        <f t="shared" si="251"/>
        <v>0</v>
      </c>
      <c r="BT103" s="51">
        <f t="shared" si="252"/>
        <v>0</v>
      </c>
      <c r="BU103" s="51">
        <f t="shared" si="253"/>
        <v>0</v>
      </c>
      <c r="BV103" s="51">
        <f t="shared" si="254"/>
        <v>0</v>
      </c>
      <c r="BW103" s="51">
        <f t="shared" si="255"/>
        <v>0</v>
      </c>
      <c r="BX103" s="51">
        <f t="shared" si="256"/>
        <v>0</v>
      </c>
      <c r="BY103" s="51">
        <f t="shared" si="257"/>
        <v>0</v>
      </c>
      <c r="BZ103" s="51">
        <f t="shared" si="258"/>
        <v>0</v>
      </c>
      <c r="CA103" s="51">
        <f t="shared" si="259"/>
        <v>0</v>
      </c>
      <c r="CB103" s="51">
        <f t="shared" si="260"/>
        <v>0</v>
      </c>
      <c r="CC103" s="51">
        <f t="shared" si="261"/>
        <v>0</v>
      </c>
      <c r="CD103" s="51">
        <f t="shared" si="262"/>
        <v>0</v>
      </c>
      <c r="CE103" s="51"/>
      <c r="CF103" s="435"/>
      <c r="CG103" s="235">
        <f t="shared" si="207"/>
        <v>0</v>
      </c>
      <c r="CH103" s="235">
        <f t="shared" si="136"/>
        <v>0</v>
      </c>
      <c r="CI103" s="235" t="e">
        <f>BM103-#REF!</f>
        <v>#REF!</v>
      </c>
      <c r="CJ103" s="235">
        <f t="shared" si="184"/>
        <v>0</v>
      </c>
      <c r="CK103" s="235">
        <f t="shared" si="185"/>
        <v>0</v>
      </c>
      <c r="CL103" s="235">
        <f t="shared" si="186"/>
        <v>0</v>
      </c>
      <c r="CM103" s="235">
        <f t="shared" si="187"/>
        <v>0</v>
      </c>
      <c r="CN103" s="235">
        <f t="shared" si="188"/>
        <v>0</v>
      </c>
      <c r="CO103" s="235">
        <f t="shared" si="189"/>
        <v>0</v>
      </c>
      <c r="CP103" s="235">
        <f t="shared" si="190"/>
        <v>0</v>
      </c>
      <c r="CQ103" s="235">
        <f t="shared" si="191"/>
        <v>0</v>
      </c>
      <c r="CR103" s="235">
        <f t="shared" si="192"/>
        <v>0</v>
      </c>
      <c r="CS103" s="235">
        <f t="shared" si="193"/>
        <v>0</v>
      </c>
      <c r="CT103" s="235">
        <f t="shared" si="194"/>
        <v>0</v>
      </c>
      <c r="CU103" s="235">
        <f t="shared" si="195"/>
        <v>0</v>
      </c>
      <c r="CV103" s="235">
        <f t="shared" si="196"/>
        <v>0</v>
      </c>
      <c r="CW103" s="235">
        <f t="shared" si="197"/>
        <v>0</v>
      </c>
      <c r="CX103" s="235">
        <f t="shared" si="198"/>
        <v>0</v>
      </c>
      <c r="CY103" s="235">
        <f t="shared" si="199"/>
        <v>0</v>
      </c>
      <c r="CZ103" s="235">
        <f t="shared" si="200"/>
        <v>0</v>
      </c>
      <c r="DA103" s="38"/>
      <c r="DB103" s="236">
        <v>-1</v>
      </c>
      <c r="DC103" s="236">
        <v>0</v>
      </c>
      <c r="DD103" s="236">
        <v>0</v>
      </c>
      <c r="DE103" s="236">
        <v>0</v>
      </c>
      <c r="DF103" s="401">
        <v>0</v>
      </c>
      <c r="DG103" s="236">
        <v>0</v>
      </c>
      <c r="DH103" s="492">
        <v>0</v>
      </c>
      <c r="DI103" s="236">
        <v>0</v>
      </c>
      <c r="DJ103" s="236">
        <v>0</v>
      </c>
      <c r="DK103" s="236">
        <v>0</v>
      </c>
      <c r="DL103" s="236">
        <v>0</v>
      </c>
      <c r="DM103" s="236">
        <v>0</v>
      </c>
      <c r="DN103" s="236">
        <v>0</v>
      </c>
      <c r="DO103" s="236">
        <v>0</v>
      </c>
      <c r="DP103" s="236">
        <v>0</v>
      </c>
      <c r="DQ103" s="401">
        <v>0</v>
      </c>
      <c r="DR103" s="401">
        <v>0</v>
      </c>
      <c r="DS103" s="401">
        <v>0</v>
      </c>
      <c r="DT103" s="401">
        <v>0</v>
      </c>
      <c r="DU103" s="401">
        <v>0</v>
      </c>
      <c r="DV103" s="401">
        <v>0</v>
      </c>
      <c r="DW103" s="401">
        <v>0</v>
      </c>
      <c r="DX103" s="401">
        <v>0</v>
      </c>
      <c r="DY103" s="401">
        <v>0</v>
      </c>
      <c r="DZ103" s="401"/>
      <c r="EA103" s="989"/>
    </row>
    <row r="104" spans="1:131" s="76" customFormat="1">
      <c r="A104" s="76" t="s">
        <v>3858</v>
      </c>
      <c r="B104" s="73" t="s">
        <v>3350</v>
      </c>
      <c r="C104" s="51" t="s">
        <v>4131</v>
      </c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51">
        <f t="shared" ref="AQ104:BQ104" si="264">(AQ15*AP58)/1000</f>
        <v>1.1727740882340307E-2</v>
      </c>
      <c r="AR104" s="51">
        <f t="shared" si="264"/>
        <v>1.2653695863537345E-2</v>
      </c>
      <c r="AS104" s="51">
        <f t="shared" si="264"/>
        <v>1.0897949838581548E-2</v>
      </c>
      <c r="AT104" s="51">
        <f t="shared" si="264"/>
        <v>2.060204171891504E-2</v>
      </c>
      <c r="AU104" s="51">
        <f t="shared" si="264"/>
        <v>1.2082347144456886</v>
      </c>
      <c r="AV104" s="51">
        <f t="shared" si="264"/>
        <v>7.3221068726975096</v>
      </c>
      <c r="AW104" s="51">
        <f t="shared" si="264"/>
        <v>12.344669184749998</v>
      </c>
      <c r="AX104" s="51">
        <f t="shared" si="264"/>
        <v>10.860748160000002</v>
      </c>
      <c r="AY104" s="51">
        <f t="shared" si="264"/>
        <v>9.2747289999999989</v>
      </c>
      <c r="AZ104" s="51">
        <f t="shared" si="264"/>
        <v>11.344001512799998</v>
      </c>
      <c r="BA104" s="51">
        <f t="shared" si="264"/>
        <v>17.732300491499998</v>
      </c>
      <c r="BB104" s="51">
        <f t="shared" si="264"/>
        <v>20.944797296390004</v>
      </c>
      <c r="BC104" s="51">
        <f t="shared" si="264"/>
        <v>0.22908773525000009</v>
      </c>
      <c r="BD104" s="51">
        <f t="shared" si="264"/>
        <v>0</v>
      </c>
      <c r="BE104" s="51">
        <f t="shared" si="264"/>
        <v>0.12583502931999999</v>
      </c>
      <c r="BF104" s="51">
        <f t="shared" si="264"/>
        <v>19.278604799999993</v>
      </c>
      <c r="BG104" s="51">
        <f t="shared" si="264"/>
        <v>32.55786299999999</v>
      </c>
      <c r="BH104" s="51">
        <f t="shared" si="264"/>
        <v>0</v>
      </c>
      <c r="BI104" s="51">
        <f t="shared" si="264"/>
        <v>0</v>
      </c>
      <c r="BJ104" s="51">
        <f t="shared" si="264"/>
        <v>0</v>
      </c>
      <c r="BK104" s="51">
        <f t="shared" si="264"/>
        <v>0</v>
      </c>
      <c r="BL104" s="51">
        <f t="shared" si="264"/>
        <v>0</v>
      </c>
      <c r="BM104" s="51">
        <f t="shared" si="264"/>
        <v>0</v>
      </c>
      <c r="BN104" s="51">
        <f t="shared" si="264"/>
        <v>0</v>
      </c>
      <c r="BO104" s="51">
        <f t="shared" si="264"/>
        <v>0</v>
      </c>
      <c r="BP104" s="51">
        <f t="shared" si="264"/>
        <v>0</v>
      </c>
      <c r="BQ104" s="51">
        <f t="shared" si="264"/>
        <v>0</v>
      </c>
      <c r="BR104" s="51">
        <f t="shared" si="250"/>
        <v>0</v>
      </c>
      <c r="BS104" s="51">
        <f t="shared" si="251"/>
        <v>0</v>
      </c>
      <c r="BT104" s="51">
        <f t="shared" si="252"/>
        <v>0</v>
      </c>
      <c r="BU104" s="51">
        <f t="shared" si="253"/>
        <v>0</v>
      </c>
      <c r="BV104" s="51">
        <f t="shared" si="254"/>
        <v>0</v>
      </c>
      <c r="BW104" s="51">
        <f t="shared" si="255"/>
        <v>0</v>
      </c>
      <c r="BX104" s="51">
        <f t="shared" si="256"/>
        <v>0</v>
      </c>
      <c r="BY104" s="51">
        <f t="shared" si="257"/>
        <v>0</v>
      </c>
      <c r="BZ104" s="51">
        <f t="shared" si="258"/>
        <v>0</v>
      </c>
      <c r="CA104" s="51">
        <f t="shared" si="259"/>
        <v>0</v>
      </c>
      <c r="CB104" s="51">
        <f t="shared" si="260"/>
        <v>0</v>
      </c>
      <c r="CC104" s="51">
        <f t="shared" si="261"/>
        <v>0</v>
      </c>
      <c r="CD104" s="51">
        <f t="shared" si="262"/>
        <v>0</v>
      </c>
      <c r="CE104" s="51"/>
      <c r="CF104" s="435"/>
      <c r="CG104" s="235">
        <f t="shared" si="207"/>
        <v>0</v>
      </c>
      <c r="CH104" s="235">
        <f t="shared" si="136"/>
        <v>0</v>
      </c>
      <c r="CI104" s="235" t="e">
        <f>BM104-#REF!</f>
        <v>#REF!</v>
      </c>
      <c r="CJ104" s="235">
        <f t="shared" si="184"/>
        <v>0</v>
      </c>
      <c r="CK104" s="235">
        <f t="shared" si="185"/>
        <v>0</v>
      </c>
      <c r="CL104" s="235">
        <f t="shared" si="186"/>
        <v>0</v>
      </c>
      <c r="CM104" s="235">
        <f t="shared" si="187"/>
        <v>0</v>
      </c>
      <c r="CN104" s="235">
        <f t="shared" si="188"/>
        <v>0</v>
      </c>
      <c r="CO104" s="235">
        <f t="shared" si="189"/>
        <v>0</v>
      </c>
      <c r="CP104" s="235">
        <f t="shared" si="190"/>
        <v>0</v>
      </c>
      <c r="CQ104" s="235">
        <f t="shared" si="191"/>
        <v>0</v>
      </c>
      <c r="CR104" s="235">
        <f t="shared" si="192"/>
        <v>0</v>
      </c>
      <c r="CS104" s="235">
        <f t="shared" si="193"/>
        <v>0</v>
      </c>
      <c r="CT104" s="235">
        <f t="shared" si="194"/>
        <v>0</v>
      </c>
      <c r="CU104" s="235">
        <f t="shared" si="195"/>
        <v>0</v>
      </c>
      <c r="CV104" s="235">
        <f t="shared" si="196"/>
        <v>0</v>
      </c>
      <c r="CW104" s="235">
        <f t="shared" si="197"/>
        <v>0</v>
      </c>
      <c r="CX104" s="235">
        <f t="shared" si="198"/>
        <v>0</v>
      </c>
      <c r="CY104" s="235">
        <f t="shared" si="199"/>
        <v>0</v>
      </c>
      <c r="CZ104" s="235">
        <f t="shared" si="200"/>
        <v>0</v>
      </c>
      <c r="DA104" s="38"/>
      <c r="DB104" s="236">
        <v>18.2786048</v>
      </c>
      <c r="DC104" s="236">
        <v>19.278604799999993</v>
      </c>
      <c r="DD104" s="236">
        <v>32.55786299999999</v>
      </c>
      <c r="DE104" s="236">
        <v>0</v>
      </c>
      <c r="DF104" s="401">
        <v>0</v>
      </c>
      <c r="DG104" s="236">
        <v>0</v>
      </c>
      <c r="DH104" s="492">
        <v>0</v>
      </c>
      <c r="DI104" s="236">
        <v>0</v>
      </c>
      <c r="DJ104" s="236">
        <v>0</v>
      </c>
      <c r="DK104" s="236">
        <v>0</v>
      </c>
      <c r="DL104" s="236">
        <v>0</v>
      </c>
      <c r="DM104" s="236">
        <v>0</v>
      </c>
      <c r="DN104" s="236">
        <v>0</v>
      </c>
      <c r="DO104" s="236">
        <v>0</v>
      </c>
      <c r="DP104" s="236">
        <v>0</v>
      </c>
      <c r="DQ104" s="401">
        <v>0</v>
      </c>
      <c r="DR104" s="401">
        <v>0</v>
      </c>
      <c r="DS104" s="401">
        <v>0</v>
      </c>
      <c r="DT104" s="401">
        <v>0</v>
      </c>
      <c r="DU104" s="401">
        <v>0</v>
      </c>
      <c r="DV104" s="401">
        <v>0</v>
      </c>
      <c r="DW104" s="401">
        <v>0</v>
      </c>
      <c r="DX104" s="401">
        <v>0</v>
      </c>
      <c r="DY104" s="401">
        <v>0</v>
      </c>
      <c r="DZ104" s="401"/>
      <c r="EA104" s="989"/>
    </row>
    <row r="105" spans="1:131" s="76" customFormat="1">
      <c r="A105" s="76" t="s">
        <v>3859</v>
      </c>
      <c r="B105" s="73" t="s">
        <v>2103</v>
      </c>
      <c r="C105" s="51" t="s">
        <v>4132</v>
      </c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51">
        <f t="shared" ref="AQ105:BQ105" si="265">(AQ16*AP59)/1000</f>
        <v>0</v>
      </c>
      <c r="AR105" s="51">
        <f t="shared" si="265"/>
        <v>0</v>
      </c>
      <c r="AS105" s="51">
        <f t="shared" si="265"/>
        <v>0</v>
      </c>
      <c r="AT105" s="51">
        <f t="shared" si="265"/>
        <v>0</v>
      </c>
      <c r="AU105" s="51">
        <f t="shared" si="265"/>
        <v>0</v>
      </c>
      <c r="AV105" s="51">
        <f t="shared" si="265"/>
        <v>0</v>
      </c>
      <c r="AW105" s="51">
        <f t="shared" si="265"/>
        <v>0.95960396437499984</v>
      </c>
      <c r="AX105" s="51">
        <f t="shared" si="265"/>
        <v>2.0287911696000003</v>
      </c>
      <c r="AY105" s="51">
        <f t="shared" si="265"/>
        <v>2.5669373400000008</v>
      </c>
      <c r="AZ105" s="51">
        <f t="shared" si="265"/>
        <v>2.4899811933000002</v>
      </c>
      <c r="BA105" s="51">
        <f t="shared" si="265"/>
        <v>12.0412103863</v>
      </c>
      <c r="BB105" s="51">
        <f t="shared" si="265"/>
        <v>53.780466327201061</v>
      </c>
      <c r="BC105" s="51">
        <f t="shared" si="265"/>
        <v>64.182541863961646</v>
      </c>
      <c r="BD105" s="51">
        <f t="shared" si="265"/>
        <v>45.149083590600007</v>
      </c>
      <c r="BE105" s="51">
        <f t="shared" si="265"/>
        <v>68.395794500000008</v>
      </c>
      <c r="BF105" s="51">
        <f t="shared" si="265"/>
        <v>129.43770839999999</v>
      </c>
      <c r="BG105" s="51">
        <f t="shared" si="265"/>
        <v>238.41183275000003</v>
      </c>
      <c r="BH105" s="51">
        <f t="shared" si="265"/>
        <v>392.51748690000005</v>
      </c>
      <c r="BI105" s="51">
        <f t="shared" si="265"/>
        <v>550.69440615000008</v>
      </c>
      <c r="BJ105" s="51">
        <f t="shared" si="265"/>
        <v>345.52698900000007</v>
      </c>
      <c r="BK105" s="51">
        <f t="shared" si="265"/>
        <v>758.96448979591833</v>
      </c>
      <c r="BL105" s="51">
        <f t="shared" si="265"/>
        <v>926.16076173604972</v>
      </c>
      <c r="BM105" s="51">
        <f t="shared" si="265"/>
        <v>958.62206400000014</v>
      </c>
      <c r="BN105" s="51">
        <f t="shared" si="265"/>
        <v>956.34125000000017</v>
      </c>
      <c r="BO105" s="51">
        <f t="shared" si="265"/>
        <v>0</v>
      </c>
      <c r="BP105" s="51">
        <f t="shared" si="265"/>
        <v>0</v>
      </c>
      <c r="BQ105" s="51">
        <f t="shared" si="265"/>
        <v>0</v>
      </c>
      <c r="BR105" s="51">
        <f t="shared" si="250"/>
        <v>0</v>
      </c>
      <c r="BS105" s="51">
        <f t="shared" si="251"/>
        <v>0</v>
      </c>
      <c r="BT105" s="51">
        <f t="shared" si="252"/>
        <v>0</v>
      </c>
      <c r="BU105" s="51">
        <f t="shared" si="253"/>
        <v>0</v>
      </c>
      <c r="BV105" s="51">
        <f t="shared" si="254"/>
        <v>0</v>
      </c>
      <c r="BW105" s="51">
        <f t="shared" si="255"/>
        <v>0</v>
      </c>
      <c r="BX105" s="51">
        <f t="shared" si="256"/>
        <v>0</v>
      </c>
      <c r="BY105" s="51">
        <f t="shared" si="257"/>
        <v>0</v>
      </c>
      <c r="BZ105" s="51">
        <f t="shared" si="258"/>
        <v>0</v>
      </c>
      <c r="CA105" s="51">
        <f t="shared" si="259"/>
        <v>0</v>
      </c>
      <c r="CB105" s="51">
        <f t="shared" si="260"/>
        <v>0</v>
      </c>
      <c r="CC105" s="51">
        <f t="shared" si="261"/>
        <v>0</v>
      </c>
      <c r="CD105" s="51">
        <f t="shared" si="262"/>
        <v>0</v>
      </c>
      <c r="CE105" s="51"/>
      <c r="CF105" s="435"/>
      <c r="CG105" s="235">
        <f t="shared" si="207"/>
        <v>0</v>
      </c>
      <c r="CH105" s="235">
        <f t="shared" ref="CH105:CH138" si="266">BL105-DH105</f>
        <v>0</v>
      </c>
      <c r="CI105" s="235" t="e">
        <f>BM105-#REF!</f>
        <v>#REF!</v>
      </c>
      <c r="CJ105" s="235">
        <f t="shared" si="184"/>
        <v>0</v>
      </c>
      <c r="CK105" s="235">
        <f t="shared" si="185"/>
        <v>0</v>
      </c>
      <c r="CL105" s="235">
        <f t="shared" si="186"/>
        <v>0</v>
      </c>
      <c r="CM105" s="235">
        <f t="shared" si="187"/>
        <v>0</v>
      </c>
      <c r="CN105" s="235">
        <f t="shared" si="188"/>
        <v>0</v>
      </c>
      <c r="CO105" s="235">
        <f t="shared" si="189"/>
        <v>0</v>
      </c>
      <c r="CP105" s="235">
        <f t="shared" si="190"/>
        <v>0</v>
      </c>
      <c r="CQ105" s="235">
        <f t="shared" si="191"/>
        <v>0</v>
      </c>
      <c r="CR105" s="235">
        <f t="shared" si="192"/>
        <v>0</v>
      </c>
      <c r="CS105" s="235">
        <f t="shared" si="193"/>
        <v>0</v>
      </c>
      <c r="CT105" s="235">
        <f t="shared" si="194"/>
        <v>0</v>
      </c>
      <c r="CU105" s="235">
        <f t="shared" si="195"/>
        <v>0</v>
      </c>
      <c r="CV105" s="235">
        <f t="shared" si="196"/>
        <v>0</v>
      </c>
      <c r="CW105" s="235">
        <f t="shared" si="197"/>
        <v>0</v>
      </c>
      <c r="CX105" s="235">
        <f t="shared" si="198"/>
        <v>0</v>
      </c>
      <c r="CY105" s="235">
        <f t="shared" si="199"/>
        <v>0</v>
      </c>
      <c r="CZ105" s="235">
        <f t="shared" si="200"/>
        <v>0</v>
      </c>
      <c r="DA105" s="38"/>
      <c r="DB105" s="236">
        <v>128.43770839999999</v>
      </c>
      <c r="DC105" s="236">
        <v>129.43770839999999</v>
      </c>
      <c r="DD105" s="236">
        <v>238.41183275000003</v>
      </c>
      <c r="DE105" s="236">
        <v>392.51748690000005</v>
      </c>
      <c r="DF105" s="401">
        <v>550.69440615000008</v>
      </c>
      <c r="DG105" s="236">
        <v>758.96448979591833</v>
      </c>
      <c r="DH105" s="492">
        <v>926.16076173604972</v>
      </c>
      <c r="DI105" s="236">
        <v>956.34125000000017</v>
      </c>
      <c r="DJ105" s="236">
        <v>0</v>
      </c>
      <c r="DK105" s="236">
        <v>0</v>
      </c>
      <c r="DL105" s="236">
        <v>0</v>
      </c>
      <c r="DM105" s="236">
        <v>0</v>
      </c>
      <c r="DN105" s="236">
        <v>0</v>
      </c>
      <c r="DO105" s="236">
        <v>0</v>
      </c>
      <c r="DP105" s="236">
        <v>0</v>
      </c>
      <c r="DQ105" s="401">
        <v>0</v>
      </c>
      <c r="DR105" s="401">
        <v>0</v>
      </c>
      <c r="DS105" s="401">
        <v>0</v>
      </c>
      <c r="DT105" s="401">
        <v>0</v>
      </c>
      <c r="DU105" s="401">
        <v>0</v>
      </c>
      <c r="DV105" s="401">
        <v>0</v>
      </c>
      <c r="DW105" s="401">
        <v>0</v>
      </c>
      <c r="DX105" s="401">
        <v>0</v>
      </c>
      <c r="DY105" s="401">
        <v>0</v>
      </c>
      <c r="DZ105" s="401"/>
      <c r="EA105" s="989"/>
    </row>
    <row r="106" spans="1:131" s="76" customFormat="1">
      <c r="A106" s="974" t="s">
        <v>372</v>
      </c>
      <c r="B106" s="921" t="str">
        <f t="shared" ref="B106:B111" si="267">B84</f>
        <v>Fuel Oil</v>
      </c>
      <c r="C106" s="51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>
        <f t="shared" ref="BN106:BQ108" si="268">(BN17*BM60)/1000</f>
        <v>0</v>
      </c>
      <c r="BO106" s="51">
        <f t="shared" si="268"/>
        <v>595.54959999999994</v>
      </c>
      <c r="BP106" s="51">
        <f t="shared" si="268"/>
        <v>386.57124000000005</v>
      </c>
      <c r="BQ106" s="51">
        <f t="shared" si="268"/>
        <v>272.46713837993593</v>
      </c>
      <c r="BR106" s="51">
        <f t="shared" si="250"/>
        <v>385.2969325025947</v>
      </c>
      <c r="BS106" s="51">
        <f t="shared" si="251"/>
        <v>421.11902833697803</v>
      </c>
      <c r="BT106" s="51">
        <f t="shared" si="252"/>
        <v>466.19994483574936</v>
      </c>
      <c r="BU106" s="51">
        <f t="shared" si="253"/>
        <v>489.06354368049648</v>
      </c>
      <c r="BV106" s="51">
        <f t="shared" si="254"/>
        <v>489.06354368049648</v>
      </c>
      <c r="BW106" s="51">
        <f t="shared" si="255"/>
        <v>489.06354368049648</v>
      </c>
      <c r="BX106" s="51">
        <f t="shared" si="256"/>
        <v>489.06354368049648</v>
      </c>
      <c r="BY106" s="51">
        <f t="shared" si="257"/>
        <v>489.06354368049648</v>
      </c>
      <c r="BZ106" s="51">
        <f t="shared" si="258"/>
        <v>489.06354368049648</v>
      </c>
      <c r="CA106" s="51">
        <f t="shared" si="259"/>
        <v>489.06354368049648</v>
      </c>
      <c r="CB106" s="51">
        <f t="shared" si="260"/>
        <v>489.06354368049648</v>
      </c>
      <c r="CC106" s="51">
        <f t="shared" si="261"/>
        <v>489.06354368049648</v>
      </c>
      <c r="CD106" s="51">
        <f t="shared" si="262"/>
        <v>489.06354368049648</v>
      </c>
      <c r="CE106" s="51"/>
      <c r="CF106" s="435"/>
      <c r="CG106" s="235"/>
      <c r="CH106" s="235">
        <f t="shared" si="266"/>
        <v>0</v>
      </c>
      <c r="CI106" s="235" t="e">
        <f>BM106-#REF!</f>
        <v>#REF!</v>
      </c>
      <c r="CJ106" s="235">
        <f t="shared" si="184"/>
        <v>0</v>
      </c>
      <c r="CK106" s="235">
        <f t="shared" si="185"/>
        <v>0</v>
      </c>
      <c r="CL106" s="235">
        <f t="shared" si="186"/>
        <v>0</v>
      </c>
      <c r="CM106" s="235">
        <f t="shared" si="187"/>
        <v>0</v>
      </c>
      <c r="CN106" s="235">
        <f t="shared" si="188"/>
        <v>0</v>
      </c>
      <c r="CO106" s="235">
        <f t="shared" si="189"/>
        <v>0</v>
      </c>
      <c r="CP106" s="235">
        <f t="shared" si="190"/>
        <v>0</v>
      </c>
      <c r="CQ106" s="235">
        <f t="shared" si="191"/>
        <v>0</v>
      </c>
      <c r="CR106" s="235">
        <f t="shared" si="192"/>
        <v>0</v>
      </c>
      <c r="CS106" s="235">
        <f t="shared" si="193"/>
        <v>0</v>
      </c>
      <c r="CT106" s="235">
        <f t="shared" si="194"/>
        <v>0</v>
      </c>
      <c r="CU106" s="235">
        <f t="shared" si="195"/>
        <v>0</v>
      </c>
      <c r="CV106" s="235">
        <f t="shared" si="196"/>
        <v>0</v>
      </c>
      <c r="CW106" s="235">
        <f t="shared" si="197"/>
        <v>0</v>
      </c>
      <c r="CX106" s="235">
        <f t="shared" si="198"/>
        <v>0</v>
      </c>
      <c r="CY106" s="235">
        <f t="shared" si="199"/>
        <v>0</v>
      </c>
      <c r="CZ106" s="235">
        <f t="shared" si="200"/>
        <v>0</v>
      </c>
      <c r="DA106" s="38"/>
      <c r="DB106" s="236"/>
      <c r="DC106" s="236"/>
      <c r="DD106" s="236"/>
      <c r="DE106" s="236"/>
      <c r="DF106" s="401"/>
      <c r="DG106" s="236"/>
      <c r="DH106" s="492"/>
      <c r="DI106" s="236">
        <v>0</v>
      </c>
      <c r="DJ106" s="236">
        <v>595.54959999999994</v>
      </c>
      <c r="DK106" s="236">
        <v>386.57124000000005</v>
      </c>
      <c r="DL106" s="236">
        <v>272.46713837993593</v>
      </c>
      <c r="DM106" s="236">
        <v>385.2969325025947</v>
      </c>
      <c r="DN106" s="236">
        <v>421.11902833697803</v>
      </c>
      <c r="DO106" s="236">
        <v>466.19994483574936</v>
      </c>
      <c r="DP106" s="236">
        <v>489.06354368049648</v>
      </c>
      <c r="DQ106" s="401">
        <v>489.06354368049648</v>
      </c>
      <c r="DR106" s="401">
        <v>489.06354368049648</v>
      </c>
      <c r="DS106" s="401">
        <v>489.06354368049648</v>
      </c>
      <c r="DT106" s="401">
        <v>489.06354368049648</v>
      </c>
      <c r="DU106" s="401">
        <v>489.06354368049648</v>
      </c>
      <c r="DV106" s="401">
        <v>489.06354368049648</v>
      </c>
      <c r="DW106" s="401">
        <v>489.06354368049648</v>
      </c>
      <c r="DX106" s="401">
        <v>489.06354368049648</v>
      </c>
      <c r="DY106" s="401">
        <v>489.06354368049648</v>
      </c>
      <c r="DZ106" s="401"/>
      <c r="EA106" s="989"/>
    </row>
    <row r="107" spans="1:131" s="76" customFormat="1">
      <c r="A107" s="974" t="s">
        <v>373</v>
      </c>
      <c r="B107" s="921" t="str">
        <f t="shared" si="267"/>
        <v>SO-Diesel (Gasoil)</v>
      </c>
      <c r="C107" s="51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>
        <f t="shared" si="268"/>
        <v>18.336461906077346</v>
      </c>
      <c r="BO107" s="51">
        <f t="shared" si="268"/>
        <v>0</v>
      </c>
      <c r="BP107" s="51">
        <f t="shared" si="268"/>
        <v>0</v>
      </c>
      <c r="BQ107" s="51">
        <f t="shared" si="268"/>
        <v>0</v>
      </c>
      <c r="BR107" s="51">
        <f t="shared" si="250"/>
        <v>0</v>
      </c>
      <c r="BS107" s="51">
        <f t="shared" si="251"/>
        <v>0</v>
      </c>
      <c r="BT107" s="51">
        <f t="shared" si="252"/>
        <v>0</v>
      </c>
      <c r="BU107" s="51">
        <f t="shared" si="253"/>
        <v>0</v>
      </c>
      <c r="BV107" s="51">
        <f t="shared" si="254"/>
        <v>0</v>
      </c>
      <c r="BW107" s="51">
        <f t="shared" si="255"/>
        <v>0</v>
      </c>
      <c r="BX107" s="51">
        <f t="shared" si="256"/>
        <v>0</v>
      </c>
      <c r="BY107" s="51">
        <f t="shared" si="257"/>
        <v>0</v>
      </c>
      <c r="BZ107" s="51">
        <f t="shared" si="258"/>
        <v>0</v>
      </c>
      <c r="CA107" s="51">
        <f t="shared" si="259"/>
        <v>0</v>
      </c>
      <c r="CB107" s="51">
        <f t="shared" si="260"/>
        <v>0</v>
      </c>
      <c r="CC107" s="51">
        <f t="shared" si="261"/>
        <v>0</v>
      </c>
      <c r="CD107" s="51">
        <f t="shared" si="262"/>
        <v>0</v>
      </c>
      <c r="CE107" s="51"/>
      <c r="CF107" s="435"/>
      <c r="CG107" s="235"/>
      <c r="CH107" s="235">
        <f t="shared" si="266"/>
        <v>0</v>
      </c>
      <c r="CI107" s="235" t="e">
        <f>BM107-#REF!</f>
        <v>#REF!</v>
      </c>
      <c r="CJ107" s="235">
        <f t="shared" si="184"/>
        <v>0</v>
      </c>
      <c r="CK107" s="235">
        <f t="shared" si="185"/>
        <v>0</v>
      </c>
      <c r="CL107" s="235">
        <f t="shared" si="186"/>
        <v>0</v>
      </c>
      <c r="CM107" s="235">
        <f t="shared" si="187"/>
        <v>0</v>
      </c>
      <c r="CN107" s="235">
        <f t="shared" si="188"/>
        <v>0</v>
      </c>
      <c r="CO107" s="235">
        <f t="shared" si="189"/>
        <v>0</v>
      </c>
      <c r="CP107" s="235">
        <f t="shared" si="190"/>
        <v>0</v>
      </c>
      <c r="CQ107" s="235">
        <f t="shared" si="191"/>
        <v>0</v>
      </c>
      <c r="CR107" s="235">
        <f t="shared" si="192"/>
        <v>0</v>
      </c>
      <c r="CS107" s="235">
        <f t="shared" si="193"/>
        <v>0</v>
      </c>
      <c r="CT107" s="235">
        <f t="shared" si="194"/>
        <v>0</v>
      </c>
      <c r="CU107" s="235">
        <f t="shared" si="195"/>
        <v>0</v>
      </c>
      <c r="CV107" s="235">
        <f t="shared" si="196"/>
        <v>0</v>
      </c>
      <c r="CW107" s="235">
        <f t="shared" si="197"/>
        <v>0</v>
      </c>
      <c r="CX107" s="235">
        <f t="shared" si="198"/>
        <v>0</v>
      </c>
      <c r="CY107" s="235">
        <f t="shared" si="199"/>
        <v>0</v>
      </c>
      <c r="CZ107" s="235">
        <f t="shared" si="200"/>
        <v>0</v>
      </c>
      <c r="DA107" s="38"/>
      <c r="DB107" s="236"/>
      <c r="DC107" s="236"/>
      <c r="DD107" s="236"/>
      <c r="DE107" s="236"/>
      <c r="DF107" s="401"/>
      <c r="DG107" s="236"/>
      <c r="DH107" s="492"/>
      <c r="DI107" s="236">
        <v>18.336461906077346</v>
      </c>
      <c r="DJ107" s="236">
        <v>0</v>
      </c>
      <c r="DK107" s="236">
        <v>0</v>
      </c>
      <c r="DL107" s="236">
        <v>0</v>
      </c>
      <c r="DM107" s="236">
        <v>0</v>
      </c>
      <c r="DN107" s="236">
        <v>0</v>
      </c>
      <c r="DO107" s="236">
        <v>0</v>
      </c>
      <c r="DP107" s="236">
        <v>0</v>
      </c>
      <c r="DQ107" s="401">
        <v>0</v>
      </c>
      <c r="DR107" s="401">
        <v>0</v>
      </c>
      <c r="DS107" s="401">
        <v>0</v>
      </c>
      <c r="DT107" s="401">
        <v>0</v>
      </c>
      <c r="DU107" s="401">
        <v>0</v>
      </c>
      <c r="DV107" s="401">
        <v>0</v>
      </c>
      <c r="DW107" s="401">
        <v>0</v>
      </c>
      <c r="DX107" s="401">
        <v>0</v>
      </c>
      <c r="DY107" s="401">
        <v>0</v>
      </c>
      <c r="DZ107" s="401"/>
      <c r="EA107" s="989"/>
    </row>
    <row r="108" spans="1:131" s="76" customFormat="1">
      <c r="A108" s="974" t="s">
        <v>376</v>
      </c>
      <c r="B108" s="921" t="str">
        <f t="shared" si="267"/>
        <v>Sulfuric Acid</v>
      </c>
      <c r="C108" s="51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>
        <f t="shared" si="268"/>
        <v>0</v>
      </c>
      <c r="BO108" s="51">
        <f t="shared" si="268"/>
        <v>0</v>
      </c>
      <c r="BP108" s="51">
        <f t="shared" si="268"/>
        <v>0</v>
      </c>
      <c r="BQ108" s="51">
        <f t="shared" si="268"/>
        <v>0</v>
      </c>
      <c r="BR108" s="51">
        <f t="shared" si="250"/>
        <v>0</v>
      </c>
      <c r="BS108" s="51">
        <f t="shared" si="251"/>
        <v>0</v>
      </c>
      <c r="BT108" s="51">
        <f t="shared" si="252"/>
        <v>0</v>
      </c>
      <c r="BU108" s="51">
        <f t="shared" si="253"/>
        <v>0</v>
      </c>
      <c r="BV108" s="51">
        <f t="shared" si="254"/>
        <v>0</v>
      </c>
      <c r="BW108" s="51">
        <f t="shared" si="255"/>
        <v>0</v>
      </c>
      <c r="BX108" s="51">
        <f t="shared" si="256"/>
        <v>0</v>
      </c>
      <c r="BY108" s="51">
        <f t="shared" si="257"/>
        <v>0</v>
      </c>
      <c r="BZ108" s="51">
        <f t="shared" si="258"/>
        <v>0</v>
      </c>
      <c r="CA108" s="51">
        <f t="shared" si="259"/>
        <v>0</v>
      </c>
      <c r="CB108" s="51">
        <f t="shared" si="260"/>
        <v>0</v>
      </c>
      <c r="CC108" s="51">
        <f t="shared" si="261"/>
        <v>0</v>
      </c>
      <c r="CD108" s="51">
        <f t="shared" si="262"/>
        <v>0</v>
      </c>
      <c r="CE108" s="51"/>
      <c r="CF108" s="435"/>
      <c r="CG108" s="235"/>
      <c r="CH108" s="235">
        <f t="shared" si="266"/>
        <v>0</v>
      </c>
      <c r="CI108" s="235" t="e">
        <f>BM108-#REF!</f>
        <v>#REF!</v>
      </c>
      <c r="CJ108" s="235">
        <f t="shared" si="184"/>
        <v>0</v>
      </c>
      <c r="CK108" s="235">
        <f t="shared" si="185"/>
        <v>0</v>
      </c>
      <c r="CL108" s="235">
        <f t="shared" si="186"/>
        <v>0</v>
      </c>
      <c r="CM108" s="235">
        <f t="shared" si="187"/>
        <v>0</v>
      </c>
      <c r="CN108" s="235">
        <f t="shared" si="188"/>
        <v>0</v>
      </c>
      <c r="CO108" s="235">
        <f t="shared" si="189"/>
        <v>0</v>
      </c>
      <c r="CP108" s="235">
        <f t="shared" si="190"/>
        <v>0</v>
      </c>
      <c r="CQ108" s="235">
        <f t="shared" si="191"/>
        <v>0</v>
      </c>
      <c r="CR108" s="235">
        <f t="shared" si="192"/>
        <v>0</v>
      </c>
      <c r="CS108" s="235">
        <f t="shared" si="193"/>
        <v>0</v>
      </c>
      <c r="CT108" s="235">
        <f t="shared" si="194"/>
        <v>0</v>
      </c>
      <c r="CU108" s="235">
        <f t="shared" si="195"/>
        <v>0</v>
      </c>
      <c r="CV108" s="235">
        <f t="shared" si="196"/>
        <v>0</v>
      </c>
      <c r="CW108" s="235">
        <f t="shared" si="197"/>
        <v>0</v>
      </c>
      <c r="CX108" s="235">
        <f t="shared" si="198"/>
        <v>0</v>
      </c>
      <c r="CY108" s="235">
        <f t="shared" si="199"/>
        <v>0</v>
      </c>
      <c r="CZ108" s="235">
        <f t="shared" si="200"/>
        <v>0</v>
      </c>
      <c r="DA108" s="38"/>
      <c r="DB108" s="236"/>
      <c r="DC108" s="236"/>
      <c r="DD108" s="236"/>
      <c r="DE108" s="236"/>
      <c r="DF108" s="401"/>
      <c r="DG108" s="236"/>
      <c r="DH108" s="492"/>
      <c r="DI108" s="236">
        <v>0</v>
      </c>
      <c r="DJ108" s="236">
        <v>0</v>
      </c>
      <c r="DK108" s="236">
        <v>0</v>
      </c>
      <c r="DL108" s="236">
        <v>0</v>
      </c>
      <c r="DM108" s="236">
        <v>0</v>
      </c>
      <c r="DN108" s="236">
        <v>0</v>
      </c>
      <c r="DO108" s="236">
        <v>0</v>
      </c>
      <c r="DP108" s="236">
        <v>0</v>
      </c>
      <c r="DQ108" s="401">
        <v>0</v>
      </c>
      <c r="DR108" s="401">
        <v>0</v>
      </c>
      <c r="DS108" s="401">
        <v>0</v>
      </c>
      <c r="DT108" s="401">
        <v>0</v>
      </c>
      <c r="DU108" s="401">
        <v>0</v>
      </c>
      <c r="DV108" s="401">
        <v>0</v>
      </c>
      <c r="DW108" s="401">
        <v>0</v>
      </c>
      <c r="DX108" s="401">
        <v>0</v>
      </c>
      <c r="DY108" s="401">
        <v>0</v>
      </c>
      <c r="DZ108" s="401"/>
      <c r="EA108" s="989"/>
    </row>
    <row r="109" spans="1:131" s="76" customFormat="1">
      <c r="A109" s="974"/>
      <c r="B109" s="921" t="str">
        <f t="shared" si="267"/>
        <v>Low Sulfur Diesel (Automotive Diesel)</v>
      </c>
      <c r="C109" s="51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>
        <f t="shared" ref="BN109:BO111" si="269">(BN20*BM63)/1000</f>
        <v>0</v>
      </c>
      <c r="BO109" s="51">
        <f t="shared" si="269"/>
        <v>37.637250000000002</v>
      </c>
      <c r="BP109" s="51">
        <f t="shared" ref="BP109:BQ111" si="270">(BP20*BO63)/1000</f>
        <v>300.68916599999994</v>
      </c>
      <c r="BQ109" s="51">
        <f t="shared" si="270"/>
        <v>433.95061576947717</v>
      </c>
      <c r="BR109" s="51">
        <f t="shared" si="250"/>
        <v>522.18960709752707</v>
      </c>
      <c r="BS109" s="51">
        <f t="shared" si="251"/>
        <v>553.71284810323186</v>
      </c>
      <c r="BT109" s="51">
        <f t="shared" si="252"/>
        <v>595.64105642874085</v>
      </c>
      <c r="BU109" s="51">
        <f t="shared" si="253"/>
        <v>626.73676684986685</v>
      </c>
      <c r="BV109" s="51">
        <f t="shared" si="254"/>
        <v>626.73676684986685</v>
      </c>
      <c r="BW109" s="51">
        <f t="shared" si="255"/>
        <v>626.73676684986685</v>
      </c>
      <c r="BX109" s="51">
        <f t="shared" si="256"/>
        <v>626.73676684986685</v>
      </c>
      <c r="BY109" s="51">
        <f t="shared" si="257"/>
        <v>626.73676684986685</v>
      </c>
      <c r="BZ109" s="51">
        <f t="shared" si="258"/>
        <v>626.73676684986685</v>
      </c>
      <c r="CA109" s="51">
        <f t="shared" si="259"/>
        <v>626.73676684986685</v>
      </c>
      <c r="CB109" s="51">
        <f t="shared" si="260"/>
        <v>626.73676684986685</v>
      </c>
      <c r="CC109" s="51">
        <f t="shared" si="261"/>
        <v>626.73676684986685</v>
      </c>
      <c r="CD109" s="51">
        <f t="shared" si="262"/>
        <v>626.73676684986685</v>
      </c>
      <c r="CE109" s="51"/>
      <c r="CF109" s="435"/>
      <c r="CG109" s="235"/>
      <c r="CH109" s="235"/>
      <c r="CI109" s="235"/>
      <c r="CJ109" s="235"/>
      <c r="CK109" s="235"/>
      <c r="CL109" s="235"/>
      <c r="CM109" s="235"/>
      <c r="CN109" s="235"/>
      <c r="CO109" s="235"/>
      <c r="CP109" s="235"/>
      <c r="CQ109" s="235"/>
      <c r="CR109" s="235"/>
      <c r="CS109" s="235"/>
      <c r="CT109" s="235"/>
      <c r="CU109" s="235"/>
      <c r="CV109" s="235"/>
      <c r="CW109" s="235"/>
      <c r="CX109" s="235"/>
      <c r="CY109" s="235"/>
      <c r="CZ109" s="235"/>
      <c r="DA109" s="38"/>
      <c r="DB109" s="236"/>
      <c r="DC109" s="236"/>
      <c r="DD109" s="236"/>
      <c r="DE109" s="236"/>
      <c r="DF109" s="401"/>
      <c r="DG109" s="236"/>
      <c r="DH109" s="492"/>
      <c r="DI109" s="236">
        <v>0</v>
      </c>
      <c r="DJ109" s="236">
        <v>37.637250000000002</v>
      </c>
      <c r="DK109" s="236">
        <v>300.68916599999994</v>
      </c>
      <c r="DL109" s="236">
        <v>433.95061576947717</v>
      </c>
      <c r="DM109" s="236">
        <v>522.18960709752707</v>
      </c>
      <c r="DN109" s="236">
        <v>553.71284810323186</v>
      </c>
      <c r="DO109" s="236">
        <v>595.64105642874085</v>
      </c>
      <c r="DP109" s="236">
        <v>626.73676684986685</v>
      </c>
      <c r="DQ109" s="401">
        <v>626.73676684986685</v>
      </c>
      <c r="DR109" s="401">
        <v>626.73676684986685</v>
      </c>
      <c r="DS109" s="401">
        <v>626.73676684986685</v>
      </c>
      <c r="DT109" s="401">
        <v>626.73676684986685</v>
      </c>
      <c r="DU109" s="401">
        <v>626.73676684986685</v>
      </c>
      <c r="DV109" s="401">
        <v>626.73676684986685</v>
      </c>
      <c r="DW109" s="401">
        <v>626.73676684986685</v>
      </c>
      <c r="DX109" s="401">
        <v>626.73676684986685</v>
      </c>
      <c r="DY109" s="401">
        <v>626.73676684986685</v>
      </c>
      <c r="DZ109" s="401"/>
      <c r="EA109" s="989"/>
    </row>
    <row r="110" spans="1:131" s="76" customFormat="1">
      <c r="A110" s="921" t="s">
        <v>1112</v>
      </c>
      <c r="B110" s="921" t="str">
        <f t="shared" si="267"/>
        <v>Bitumen</v>
      </c>
      <c r="C110" s="51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>
        <f t="shared" si="269"/>
        <v>0</v>
      </c>
      <c r="BO110" s="51">
        <f t="shared" si="269"/>
        <v>0</v>
      </c>
      <c r="BP110" s="51">
        <f t="shared" si="270"/>
        <v>0</v>
      </c>
      <c r="BQ110" s="51">
        <f t="shared" si="270"/>
        <v>0</v>
      </c>
      <c r="BR110" s="51">
        <f t="shared" si="250"/>
        <v>0</v>
      </c>
      <c r="BS110" s="51">
        <f t="shared" si="251"/>
        <v>0</v>
      </c>
      <c r="BT110" s="51">
        <f t="shared" si="252"/>
        <v>0</v>
      </c>
      <c r="BU110" s="51">
        <f t="shared" si="253"/>
        <v>0</v>
      </c>
      <c r="BV110" s="51">
        <f t="shared" si="254"/>
        <v>0</v>
      </c>
      <c r="BW110" s="51">
        <f t="shared" si="255"/>
        <v>0</v>
      </c>
      <c r="BX110" s="51">
        <f t="shared" si="256"/>
        <v>0</v>
      </c>
      <c r="BY110" s="51">
        <f t="shared" si="257"/>
        <v>0</v>
      </c>
      <c r="BZ110" s="51">
        <f t="shared" si="258"/>
        <v>0</v>
      </c>
      <c r="CA110" s="51">
        <f t="shared" si="259"/>
        <v>0</v>
      </c>
      <c r="CB110" s="51">
        <f t="shared" si="260"/>
        <v>0</v>
      </c>
      <c r="CC110" s="51">
        <f t="shared" si="261"/>
        <v>0</v>
      </c>
      <c r="CD110" s="51">
        <f t="shared" si="262"/>
        <v>0</v>
      </c>
      <c r="CE110" s="51"/>
      <c r="CF110" s="435"/>
      <c r="CG110" s="235"/>
      <c r="CH110" s="235">
        <f t="shared" si="266"/>
        <v>0</v>
      </c>
      <c r="CI110" s="235" t="e">
        <f>BM110-#REF!</f>
        <v>#REF!</v>
      </c>
      <c r="CJ110" s="235">
        <f t="shared" ref="CJ110:CJ130" si="271">BN110-DI110</f>
        <v>0</v>
      </c>
      <c r="CK110" s="235">
        <f t="shared" ref="CK110:CK130" si="272">BO110-DJ110</f>
        <v>0</v>
      </c>
      <c r="CL110" s="235">
        <f t="shared" ref="CL110:CL130" si="273">BP110-DK110</f>
        <v>0</v>
      </c>
      <c r="CM110" s="235">
        <f t="shared" ref="CM110:CM130" si="274">BQ110-DL110</f>
        <v>0</v>
      </c>
      <c r="CN110" s="235">
        <f t="shared" ref="CN110:CN130" si="275">BR110-DM110</f>
        <v>0</v>
      </c>
      <c r="CO110" s="235">
        <f t="shared" ref="CO110:CO130" si="276">BS110-DN110</f>
        <v>0</v>
      </c>
      <c r="CP110" s="235">
        <f t="shared" ref="CP110:CP130" si="277">BT110-DO110</f>
        <v>0</v>
      </c>
      <c r="CQ110" s="235">
        <f t="shared" ref="CQ110:CQ130" si="278">BU110-DP110</f>
        <v>0</v>
      </c>
      <c r="CR110" s="235">
        <f t="shared" ref="CR110:CR130" si="279">BV110-DQ110</f>
        <v>0</v>
      </c>
      <c r="CS110" s="235">
        <f t="shared" ref="CS110:CS130" si="280">BW110-DR110</f>
        <v>0</v>
      </c>
      <c r="CT110" s="235">
        <f t="shared" ref="CT110:CT130" si="281">BX110-DS110</f>
        <v>0</v>
      </c>
      <c r="CU110" s="235">
        <f t="shared" ref="CU110:CU130" si="282">BY110-DT110</f>
        <v>0</v>
      </c>
      <c r="CV110" s="235">
        <f t="shared" ref="CV110:CV130" si="283">BZ110-DU110</f>
        <v>0</v>
      </c>
      <c r="CW110" s="235">
        <f t="shared" ref="CW110:CW130" si="284">CA110-DV110</f>
        <v>0</v>
      </c>
      <c r="CX110" s="235">
        <f t="shared" ref="CX110:CX130" si="285">CB110-DW110</f>
        <v>0</v>
      </c>
      <c r="CY110" s="235">
        <f t="shared" ref="CY110:CY130" si="286">CC110-DX110</f>
        <v>0</v>
      </c>
      <c r="CZ110" s="235">
        <f t="shared" ref="CZ110:CZ130" si="287">CD110-DY110</f>
        <v>0</v>
      </c>
      <c r="DA110" s="38"/>
      <c r="DB110" s="236"/>
      <c r="DC110" s="236"/>
      <c r="DD110" s="236"/>
      <c r="DE110" s="236"/>
      <c r="DF110" s="401"/>
      <c r="DG110" s="236"/>
      <c r="DH110" s="492"/>
      <c r="DI110" s="236">
        <v>0</v>
      </c>
      <c r="DJ110" s="236">
        <v>0</v>
      </c>
      <c r="DK110" s="236">
        <v>0</v>
      </c>
      <c r="DL110" s="236">
        <v>0</v>
      </c>
      <c r="DM110" s="236">
        <v>0</v>
      </c>
      <c r="DN110" s="236">
        <v>0</v>
      </c>
      <c r="DO110" s="236">
        <v>0</v>
      </c>
      <c r="DP110" s="236">
        <v>0</v>
      </c>
      <c r="DQ110" s="401">
        <v>0</v>
      </c>
      <c r="DR110" s="401">
        <v>0</v>
      </c>
      <c r="DS110" s="401">
        <v>0</v>
      </c>
      <c r="DT110" s="401">
        <v>0</v>
      </c>
      <c r="DU110" s="401">
        <v>0</v>
      </c>
      <c r="DV110" s="401">
        <v>0</v>
      </c>
      <c r="DW110" s="401">
        <v>0</v>
      </c>
      <c r="DX110" s="401">
        <v>0</v>
      </c>
      <c r="DY110" s="401">
        <v>0</v>
      </c>
      <c r="DZ110" s="401"/>
      <c r="EA110" s="989"/>
    </row>
    <row r="111" spans="1:131" s="76" customFormat="1">
      <c r="A111" s="974" t="s">
        <v>3860</v>
      </c>
      <c r="B111" s="921" t="str">
        <f t="shared" si="267"/>
        <v>Suiker</v>
      </c>
      <c r="C111" s="51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  <c r="Z111" s="207"/>
      <c r="AA111" s="207"/>
      <c r="AB111" s="207"/>
      <c r="AC111" s="207"/>
      <c r="AD111" s="207"/>
      <c r="AE111" s="207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>
        <f t="shared" si="269"/>
        <v>0</v>
      </c>
      <c r="BO111" s="51">
        <f t="shared" si="269"/>
        <v>0</v>
      </c>
      <c r="BP111" s="51">
        <f t="shared" si="270"/>
        <v>0</v>
      </c>
      <c r="BQ111" s="51">
        <f t="shared" si="270"/>
        <v>0</v>
      </c>
      <c r="BR111" s="51">
        <f t="shared" si="250"/>
        <v>0</v>
      </c>
      <c r="BS111" s="51">
        <f t="shared" si="251"/>
        <v>0</v>
      </c>
      <c r="BT111" s="51">
        <f t="shared" si="252"/>
        <v>0</v>
      </c>
      <c r="BU111" s="51">
        <f t="shared" si="253"/>
        <v>0</v>
      </c>
      <c r="BV111" s="51">
        <f t="shared" si="254"/>
        <v>0</v>
      </c>
      <c r="BW111" s="51">
        <f t="shared" si="255"/>
        <v>0</v>
      </c>
      <c r="BX111" s="51">
        <f t="shared" si="256"/>
        <v>0</v>
      </c>
      <c r="BY111" s="51">
        <f t="shared" si="257"/>
        <v>0</v>
      </c>
      <c r="BZ111" s="51">
        <f t="shared" si="258"/>
        <v>0</v>
      </c>
      <c r="CA111" s="51">
        <f t="shared" si="259"/>
        <v>0</v>
      </c>
      <c r="CB111" s="51">
        <f t="shared" si="260"/>
        <v>0</v>
      </c>
      <c r="CC111" s="51">
        <f t="shared" si="261"/>
        <v>0</v>
      </c>
      <c r="CD111" s="51">
        <f t="shared" si="262"/>
        <v>0</v>
      </c>
      <c r="CE111" s="51"/>
      <c r="CF111" s="435"/>
      <c r="CG111" s="235"/>
      <c r="CH111" s="235">
        <f t="shared" si="266"/>
        <v>0</v>
      </c>
      <c r="CI111" s="235" t="e">
        <f>BM111-#REF!</f>
        <v>#REF!</v>
      </c>
      <c r="CJ111" s="235">
        <f t="shared" si="271"/>
        <v>0</v>
      </c>
      <c r="CK111" s="235">
        <f t="shared" si="272"/>
        <v>0</v>
      </c>
      <c r="CL111" s="235">
        <f t="shared" si="273"/>
        <v>0</v>
      </c>
      <c r="CM111" s="235">
        <f t="shared" si="274"/>
        <v>0</v>
      </c>
      <c r="CN111" s="235">
        <f t="shared" si="275"/>
        <v>0</v>
      </c>
      <c r="CO111" s="235">
        <f t="shared" si="276"/>
        <v>0</v>
      </c>
      <c r="CP111" s="235">
        <f t="shared" si="277"/>
        <v>0</v>
      </c>
      <c r="CQ111" s="235">
        <f t="shared" si="278"/>
        <v>0</v>
      </c>
      <c r="CR111" s="235">
        <f t="shared" si="279"/>
        <v>0</v>
      </c>
      <c r="CS111" s="235">
        <f t="shared" si="280"/>
        <v>0</v>
      </c>
      <c r="CT111" s="235">
        <f t="shared" si="281"/>
        <v>0</v>
      </c>
      <c r="CU111" s="235">
        <f t="shared" si="282"/>
        <v>0</v>
      </c>
      <c r="CV111" s="235">
        <f t="shared" si="283"/>
        <v>0</v>
      </c>
      <c r="CW111" s="235">
        <f t="shared" si="284"/>
        <v>0</v>
      </c>
      <c r="CX111" s="235">
        <f t="shared" si="285"/>
        <v>0</v>
      </c>
      <c r="CY111" s="235">
        <f t="shared" si="286"/>
        <v>0</v>
      </c>
      <c r="CZ111" s="235">
        <f t="shared" si="287"/>
        <v>0</v>
      </c>
      <c r="DA111" s="38"/>
      <c r="DB111" s="236"/>
      <c r="DC111" s="236"/>
      <c r="DD111" s="236"/>
      <c r="DE111" s="236"/>
      <c r="DF111" s="401"/>
      <c r="DG111" s="236"/>
      <c r="DH111" s="492"/>
      <c r="DI111" s="236">
        <v>0</v>
      </c>
      <c r="DJ111" s="236">
        <v>0</v>
      </c>
      <c r="DK111" s="236">
        <v>0</v>
      </c>
      <c r="DL111" s="236">
        <v>0</v>
      </c>
      <c r="DM111" s="236">
        <v>0</v>
      </c>
      <c r="DN111" s="236">
        <v>0</v>
      </c>
      <c r="DO111" s="236">
        <v>0</v>
      </c>
      <c r="DP111" s="236">
        <v>0</v>
      </c>
      <c r="DQ111" s="401">
        <v>0</v>
      </c>
      <c r="DR111" s="401">
        <v>0</v>
      </c>
      <c r="DS111" s="401">
        <v>0</v>
      </c>
      <c r="DT111" s="401">
        <v>0</v>
      </c>
      <c r="DU111" s="401">
        <v>0</v>
      </c>
      <c r="DV111" s="401">
        <v>0</v>
      </c>
      <c r="DW111" s="401">
        <v>0</v>
      </c>
      <c r="DX111" s="401">
        <v>0</v>
      </c>
      <c r="DY111" s="401">
        <v>0</v>
      </c>
      <c r="DZ111" s="401"/>
      <c r="EA111" s="989"/>
    </row>
    <row r="112" spans="1:131" s="76" customFormat="1">
      <c r="A112" s="76" t="s">
        <v>3861</v>
      </c>
      <c r="B112" s="73" t="s">
        <v>2104</v>
      </c>
      <c r="C112" s="51" t="s">
        <v>3100</v>
      </c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51">
        <f t="shared" ref="AQ112:AV121" si="288">(AQ23*AP66)/1000</f>
        <v>0</v>
      </c>
      <c r="AR112" s="51">
        <f t="shared" si="288"/>
        <v>0</v>
      </c>
      <c r="AS112" s="51">
        <f t="shared" si="288"/>
        <v>0</v>
      </c>
      <c r="AT112" s="51">
        <f t="shared" si="288"/>
        <v>0</v>
      </c>
      <c r="AU112" s="51">
        <f t="shared" si="288"/>
        <v>0</v>
      </c>
      <c r="AV112" s="51">
        <f t="shared" si="288"/>
        <v>0</v>
      </c>
      <c r="AW112" s="51">
        <f t="shared" ref="AW112:BI112" si="289">(AW23*AV66)/1000</f>
        <v>15.880388000912577</v>
      </c>
      <c r="AX112" s="51">
        <f t="shared" si="289"/>
        <v>21.909327106752002</v>
      </c>
      <c r="AY112" s="51">
        <f t="shared" si="289"/>
        <v>22.377870411120004</v>
      </c>
      <c r="AZ112" s="51">
        <f t="shared" si="289"/>
        <v>42.691549538498393</v>
      </c>
      <c r="BA112" s="51">
        <f t="shared" si="289"/>
        <v>56.25713957997317</v>
      </c>
      <c r="BB112" s="51">
        <f t="shared" si="289"/>
        <v>42.885533947960006</v>
      </c>
      <c r="BC112" s="51">
        <f t="shared" si="289"/>
        <v>213.35684610894236</v>
      </c>
      <c r="BD112" s="51">
        <f t="shared" si="289"/>
        <v>522.94280147205086</v>
      </c>
      <c r="BE112" s="51">
        <f t="shared" si="289"/>
        <v>697.04076812666437</v>
      </c>
      <c r="BF112" s="51">
        <f t="shared" si="289"/>
        <v>729.43721115602909</v>
      </c>
      <c r="BG112" s="51">
        <f t="shared" si="289"/>
        <v>1049.4420284472333</v>
      </c>
      <c r="BH112" s="51">
        <f t="shared" si="289"/>
        <v>1478.5102735129408</v>
      </c>
      <c r="BI112" s="51">
        <f t="shared" si="289"/>
        <v>1963.4731264336558</v>
      </c>
      <c r="BJ112" s="51">
        <f t="shared" ref="BJ112:BQ112" si="290">(BJ23*BI66)/1000</f>
        <v>2451.4175213868948</v>
      </c>
      <c r="BK112" s="51">
        <f t="shared" si="290"/>
        <v>3234.2971771323987</v>
      </c>
      <c r="BL112" s="51">
        <f t="shared" si="290"/>
        <v>4715.9705384907611</v>
      </c>
      <c r="BM112" s="51">
        <f t="shared" si="290"/>
        <v>4995.4554744822599</v>
      </c>
      <c r="BN112" s="51">
        <f t="shared" si="290"/>
        <v>3866.6919952294293</v>
      </c>
      <c r="BO112" s="51">
        <f t="shared" si="290"/>
        <v>3333.2140321556117</v>
      </c>
      <c r="BP112" s="51">
        <f t="shared" si="290"/>
        <v>3857.9712452059298</v>
      </c>
      <c r="BQ112" s="51">
        <f t="shared" si="290"/>
        <v>6028.5607481309607</v>
      </c>
      <c r="BR112" s="51">
        <f t="shared" si="250"/>
        <v>6240.0711291594826</v>
      </c>
      <c r="BS112" s="51">
        <f t="shared" si="251"/>
        <v>6021.3726806839841</v>
      </c>
      <c r="BT112" s="51">
        <f t="shared" si="252"/>
        <v>6168.8993745475236</v>
      </c>
      <c r="BU112" s="51">
        <f t="shared" si="253"/>
        <v>6416.4893847248641</v>
      </c>
      <c r="BV112" s="51">
        <f t="shared" si="254"/>
        <v>6674.0164694786745</v>
      </c>
      <c r="BW112" s="51">
        <f t="shared" si="255"/>
        <v>6941.8794552844947</v>
      </c>
      <c r="BX112" s="51">
        <f t="shared" si="256"/>
        <v>7220.4931755982288</v>
      </c>
      <c r="BY112" s="51">
        <f t="shared" si="257"/>
        <v>7510.2891132994991</v>
      </c>
      <c r="BZ112" s="51">
        <f t="shared" si="258"/>
        <v>7811.7160689195971</v>
      </c>
      <c r="CA112" s="51">
        <f t="shared" si="259"/>
        <v>8367.9102530266737</v>
      </c>
      <c r="CB112" s="51">
        <f t="shared" si="260"/>
        <v>8963.7054630421753</v>
      </c>
      <c r="CC112" s="51">
        <f t="shared" si="261"/>
        <v>9601.9212920107766</v>
      </c>
      <c r="CD112" s="51">
        <f t="shared" si="262"/>
        <v>10285.578088001948</v>
      </c>
      <c r="CE112" s="51"/>
      <c r="CF112" s="435"/>
      <c r="CG112" s="235">
        <f t="shared" ref="CG112:CG127" si="291">BK112-DG112</f>
        <v>0</v>
      </c>
      <c r="CH112" s="235">
        <f t="shared" si="266"/>
        <v>0</v>
      </c>
      <c r="CI112" s="235" t="e">
        <f>BM112-#REF!</f>
        <v>#REF!</v>
      </c>
      <c r="CJ112" s="235">
        <f t="shared" si="271"/>
        <v>0</v>
      </c>
      <c r="CK112" s="235">
        <f t="shared" si="272"/>
        <v>0</v>
      </c>
      <c r="CL112" s="235">
        <f t="shared" si="273"/>
        <v>0</v>
      </c>
      <c r="CM112" s="235">
        <f t="shared" si="274"/>
        <v>0</v>
      </c>
      <c r="CN112" s="235">
        <f t="shared" si="275"/>
        <v>0</v>
      </c>
      <c r="CO112" s="235">
        <f t="shared" si="276"/>
        <v>0</v>
      </c>
      <c r="CP112" s="235">
        <f t="shared" si="277"/>
        <v>0</v>
      </c>
      <c r="CQ112" s="235">
        <f t="shared" si="278"/>
        <v>0</v>
      </c>
      <c r="CR112" s="235">
        <f t="shared" si="279"/>
        <v>0</v>
      </c>
      <c r="CS112" s="235">
        <f t="shared" si="280"/>
        <v>0</v>
      </c>
      <c r="CT112" s="235">
        <f t="shared" si="281"/>
        <v>0</v>
      </c>
      <c r="CU112" s="235">
        <f t="shared" si="282"/>
        <v>0</v>
      </c>
      <c r="CV112" s="235">
        <f t="shared" si="283"/>
        <v>0</v>
      </c>
      <c r="CW112" s="235">
        <f t="shared" si="284"/>
        <v>0</v>
      </c>
      <c r="CX112" s="235">
        <f t="shared" si="285"/>
        <v>0</v>
      </c>
      <c r="CY112" s="235">
        <f t="shared" si="286"/>
        <v>0</v>
      </c>
      <c r="CZ112" s="235">
        <f t="shared" si="287"/>
        <v>0</v>
      </c>
      <c r="DA112" s="38"/>
      <c r="DB112" s="236">
        <v>730.00708684462404</v>
      </c>
      <c r="DC112" s="236">
        <v>731.00708684462438</v>
      </c>
      <c r="DD112" s="236">
        <v>1023.3803735838101</v>
      </c>
      <c r="DE112" s="236">
        <v>1460.081755458277</v>
      </c>
      <c r="DF112" s="401">
        <v>1963.4731264336558</v>
      </c>
      <c r="DG112" s="236">
        <v>3234.2971771323987</v>
      </c>
      <c r="DH112" s="492">
        <v>4715.9705384907611</v>
      </c>
      <c r="DI112" s="236">
        <v>3866.6919952294293</v>
      </c>
      <c r="DJ112" s="236">
        <v>3333.2140321556117</v>
      </c>
      <c r="DK112" s="236">
        <v>3857.9712452059298</v>
      </c>
      <c r="DL112" s="236">
        <v>6028.5607481309607</v>
      </c>
      <c r="DM112" s="236">
        <v>6240.0711291594826</v>
      </c>
      <c r="DN112" s="236">
        <v>6021.3726806839841</v>
      </c>
      <c r="DO112" s="236">
        <v>6168.8993745475236</v>
      </c>
      <c r="DP112" s="236">
        <v>6416.4893847248641</v>
      </c>
      <c r="DQ112" s="401">
        <v>6674.0164694786745</v>
      </c>
      <c r="DR112" s="401">
        <v>6941.8794552844947</v>
      </c>
      <c r="DS112" s="401">
        <v>7220.4931755982288</v>
      </c>
      <c r="DT112" s="401">
        <v>7510.2891132994991</v>
      </c>
      <c r="DU112" s="401">
        <v>7811.7160689195971</v>
      </c>
      <c r="DV112" s="401">
        <v>8367.9102530266737</v>
      </c>
      <c r="DW112" s="401">
        <v>8963.7054630421753</v>
      </c>
      <c r="DX112" s="401">
        <v>9601.9212920107766</v>
      </c>
      <c r="DY112" s="401">
        <v>10285.578088001948</v>
      </c>
      <c r="DZ112" s="401"/>
      <c r="EA112" s="989"/>
    </row>
    <row r="113" spans="1:131" s="76" customFormat="1">
      <c r="A113" s="76" t="s">
        <v>3862</v>
      </c>
      <c r="B113" s="73" t="s">
        <v>1404</v>
      </c>
      <c r="C113" s="51" t="s">
        <v>500</v>
      </c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  <c r="AA113" s="207"/>
      <c r="AB113" s="207"/>
      <c r="AC113" s="207"/>
      <c r="AD113" s="207"/>
      <c r="AE113" s="207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51">
        <f t="shared" si="288"/>
        <v>0</v>
      </c>
      <c r="AR113" s="51">
        <f t="shared" si="288"/>
        <v>0</v>
      </c>
      <c r="AS113" s="51">
        <f t="shared" si="288"/>
        <v>0</v>
      </c>
      <c r="AT113" s="51">
        <f t="shared" si="288"/>
        <v>0</v>
      </c>
      <c r="AU113" s="51">
        <f t="shared" si="288"/>
        <v>0</v>
      </c>
      <c r="AV113" s="51">
        <f t="shared" si="288"/>
        <v>0</v>
      </c>
      <c r="AW113" s="51">
        <f t="shared" ref="AW113:BI113" si="292">(AW24*AV67)/1000</f>
        <v>0</v>
      </c>
      <c r="AX113" s="51">
        <f t="shared" si="292"/>
        <v>0</v>
      </c>
      <c r="AY113" s="51">
        <f t="shared" si="292"/>
        <v>0</v>
      </c>
      <c r="AZ113" s="51">
        <f t="shared" si="292"/>
        <v>0</v>
      </c>
      <c r="BA113" s="51">
        <f t="shared" si="292"/>
        <v>0</v>
      </c>
      <c r="BB113" s="51">
        <f t="shared" si="292"/>
        <v>0</v>
      </c>
      <c r="BC113" s="51">
        <f t="shared" si="292"/>
        <v>0</v>
      </c>
      <c r="BD113" s="51">
        <f t="shared" si="292"/>
        <v>0</v>
      </c>
      <c r="BE113" s="51">
        <f t="shared" si="292"/>
        <v>0</v>
      </c>
      <c r="BF113" s="51">
        <f t="shared" si="292"/>
        <v>0</v>
      </c>
      <c r="BG113" s="51">
        <f t="shared" si="292"/>
        <v>0</v>
      </c>
      <c r="BH113" s="51">
        <f t="shared" si="292"/>
        <v>0</v>
      </c>
      <c r="BI113" s="51">
        <f t="shared" si="292"/>
        <v>0</v>
      </c>
      <c r="BJ113" s="51">
        <f t="shared" ref="BJ113:BQ113" si="293">(BJ24*BI67)/1000</f>
        <v>0</v>
      </c>
      <c r="BK113" s="51">
        <f t="shared" si="293"/>
        <v>0</v>
      </c>
      <c r="BL113" s="51">
        <f t="shared" si="293"/>
        <v>0</v>
      </c>
      <c r="BM113" s="51">
        <f t="shared" si="293"/>
        <v>0</v>
      </c>
      <c r="BN113" s="51">
        <f t="shared" si="293"/>
        <v>0</v>
      </c>
      <c r="BO113" s="51">
        <f t="shared" si="293"/>
        <v>0</v>
      </c>
      <c r="BP113" s="51">
        <f t="shared" si="293"/>
        <v>0</v>
      </c>
      <c r="BQ113" s="51">
        <f t="shared" si="293"/>
        <v>0</v>
      </c>
      <c r="BR113" s="51">
        <f t="shared" si="250"/>
        <v>0</v>
      </c>
      <c r="BS113" s="51">
        <f t="shared" si="251"/>
        <v>0</v>
      </c>
      <c r="BT113" s="51">
        <f t="shared" si="252"/>
        <v>0</v>
      </c>
      <c r="BU113" s="51">
        <f t="shared" si="253"/>
        <v>0</v>
      </c>
      <c r="BV113" s="51">
        <f t="shared" si="254"/>
        <v>0</v>
      </c>
      <c r="BW113" s="51">
        <f t="shared" si="255"/>
        <v>0</v>
      </c>
      <c r="BX113" s="51">
        <f t="shared" si="256"/>
        <v>0</v>
      </c>
      <c r="BY113" s="51">
        <f t="shared" si="257"/>
        <v>0</v>
      </c>
      <c r="BZ113" s="51">
        <f t="shared" si="258"/>
        <v>0</v>
      </c>
      <c r="CA113" s="51">
        <f t="shared" si="259"/>
        <v>0</v>
      </c>
      <c r="CB113" s="51">
        <f t="shared" si="260"/>
        <v>0</v>
      </c>
      <c r="CC113" s="51">
        <f t="shared" si="261"/>
        <v>0</v>
      </c>
      <c r="CD113" s="51">
        <f t="shared" si="262"/>
        <v>0</v>
      </c>
      <c r="CE113" s="51"/>
      <c r="CF113" s="435"/>
      <c r="CG113" s="235">
        <f t="shared" si="291"/>
        <v>0</v>
      </c>
      <c r="CH113" s="235">
        <f t="shared" si="266"/>
        <v>0</v>
      </c>
      <c r="CI113" s="235" t="e">
        <f>BM113-#REF!</f>
        <v>#REF!</v>
      </c>
      <c r="CJ113" s="235">
        <f t="shared" si="271"/>
        <v>0</v>
      </c>
      <c r="CK113" s="235">
        <f t="shared" si="272"/>
        <v>0</v>
      </c>
      <c r="CL113" s="235">
        <f t="shared" si="273"/>
        <v>0</v>
      </c>
      <c r="CM113" s="235">
        <f t="shared" si="274"/>
        <v>0</v>
      </c>
      <c r="CN113" s="235">
        <f t="shared" si="275"/>
        <v>0</v>
      </c>
      <c r="CO113" s="235">
        <f t="shared" si="276"/>
        <v>0</v>
      </c>
      <c r="CP113" s="235">
        <f t="shared" si="277"/>
        <v>0</v>
      </c>
      <c r="CQ113" s="235">
        <f t="shared" si="278"/>
        <v>0</v>
      </c>
      <c r="CR113" s="235">
        <f t="shared" si="279"/>
        <v>0</v>
      </c>
      <c r="CS113" s="235">
        <f t="shared" si="280"/>
        <v>0</v>
      </c>
      <c r="CT113" s="235">
        <f t="shared" si="281"/>
        <v>0</v>
      </c>
      <c r="CU113" s="235">
        <f t="shared" si="282"/>
        <v>0</v>
      </c>
      <c r="CV113" s="235">
        <f t="shared" si="283"/>
        <v>0</v>
      </c>
      <c r="CW113" s="235">
        <f t="shared" si="284"/>
        <v>0</v>
      </c>
      <c r="CX113" s="235">
        <f t="shared" si="285"/>
        <v>0</v>
      </c>
      <c r="CY113" s="235">
        <f t="shared" si="286"/>
        <v>0</v>
      </c>
      <c r="CZ113" s="235">
        <f t="shared" si="287"/>
        <v>0</v>
      </c>
      <c r="DA113" s="38"/>
      <c r="DB113" s="236">
        <v>-1</v>
      </c>
      <c r="DC113" s="236">
        <v>0</v>
      </c>
      <c r="DD113" s="236">
        <v>0</v>
      </c>
      <c r="DE113" s="236">
        <v>0</v>
      </c>
      <c r="DF113" s="401">
        <v>0</v>
      </c>
      <c r="DG113" s="236">
        <v>0</v>
      </c>
      <c r="DH113" s="492">
        <v>0</v>
      </c>
      <c r="DI113" s="236">
        <v>0</v>
      </c>
      <c r="DJ113" s="236">
        <v>0</v>
      </c>
      <c r="DK113" s="236">
        <v>0</v>
      </c>
      <c r="DL113" s="236">
        <v>0</v>
      </c>
      <c r="DM113" s="236">
        <v>0</v>
      </c>
      <c r="DN113" s="236">
        <v>0</v>
      </c>
      <c r="DO113" s="236">
        <v>0</v>
      </c>
      <c r="DP113" s="236">
        <v>0</v>
      </c>
      <c r="DQ113" s="401">
        <v>0</v>
      </c>
      <c r="DR113" s="401">
        <v>0</v>
      </c>
      <c r="DS113" s="401">
        <v>0</v>
      </c>
      <c r="DT113" s="401">
        <v>0</v>
      </c>
      <c r="DU113" s="401">
        <v>0</v>
      </c>
      <c r="DV113" s="401">
        <v>0</v>
      </c>
      <c r="DW113" s="401">
        <v>0</v>
      </c>
      <c r="DX113" s="401">
        <v>0</v>
      </c>
      <c r="DY113" s="401">
        <v>0</v>
      </c>
      <c r="DZ113" s="401"/>
      <c r="EA113" s="989"/>
    </row>
    <row r="114" spans="1:131" s="76" customFormat="1">
      <c r="A114" s="76" t="s">
        <v>3863</v>
      </c>
      <c r="B114" s="73" t="s">
        <v>2210</v>
      </c>
      <c r="C114" s="51" t="s">
        <v>2113</v>
      </c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51">
        <f t="shared" si="288"/>
        <v>3.6865639445300462E-2</v>
      </c>
      <c r="AR114" s="51">
        <f t="shared" si="288"/>
        <v>5.8093358633776092E-2</v>
      </c>
      <c r="AS114" s="51">
        <f t="shared" si="288"/>
        <v>5.4687323943661978E-2</v>
      </c>
      <c r="AT114" s="51">
        <f t="shared" si="288"/>
        <v>5.2583957219251333E-2</v>
      </c>
      <c r="AU114" s="51">
        <f t="shared" si="288"/>
        <v>3.7020063275434243</v>
      </c>
      <c r="AV114" s="51">
        <f t="shared" si="288"/>
        <v>15.404373453363737</v>
      </c>
      <c r="AW114" s="51">
        <f t="shared" ref="AW114:BI114" si="294">(AW25*AV68)/1000</f>
        <v>11.810805473250001</v>
      </c>
      <c r="AX114" s="51">
        <f t="shared" si="294"/>
        <v>7.8938622420000009</v>
      </c>
      <c r="AY114" s="51">
        <f t="shared" si="294"/>
        <v>6.1319997700000002</v>
      </c>
      <c r="AZ114" s="51">
        <f t="shared" si="294"/>
        <v>10.855943425991999</v>
      </c>
      <c r="BA114" s="51">
        <f t="shared" si="294"/>
        <v>16.318546976787044</v>
      </c>
      <c r="BB114" s="51">
        <f t="shared" si="294"/>
        <v>32.592008161513519</v>
      </c>
      <c r="BC114" s="51">
        <f t="shared" si="294"/>
        <v>19.2680095184575</v>
      </c>
      <c r="BD114" s="51">
        <f t="shared" si="294"/>
        <v>29.515368130798286</v>
      </c>
      <c r="BE114" s="51">
        <f t="shared" si="294"/>
        <v>22.446906672152725</v>
      </c>
      <c r="BF114" s="51">
        <f t="shared" si="294"/>
        <v>28.079332552889049</v>
      </c>
      <c r="BG114" s="51">
        <f t="shared" si="294"/>
        <v>39.993695199886623</v>
      </c>
      <c r="BH114" s="51">
        <f t="shared" si="294"/>
        <v>42.427125740904451</v>
      </c>
      <c r="BI114" s="51">
        <f t="shared" si="294"/>
        <v>88.149919643461217</v>
      </c>
      <c r="BJ114" s="51">
        <f t="shared" ref="BJ114:BQ114" si="295">(BJ25*BI68)/1000</f>
        <v>104.03258172422812</v>
      </c>
      <c r="BK114" s="51">
        <f t="shared" si="295"/>
        <v>59.527047380415375</v>
      </c>
      <c r="BL114" s="51">
        <f t="shared" si="295"/>
        <v>121.72845839207099</v>
      </c>
      <c r="BM114" s="51">
        <f t="shared" si="295"/>
        <v>145.68339877834407</v>
      </c>
      <c r="BN114" s="51">
        <f t="shared" si="295"/>
        <v>183.11396863301815</v>
      </c>
      <c r="BO114" s="51">
        <f t="shared" si="295"/>
        <v>166.81206461538468</v>
      </c>
      <c r="BP114" s="51">
        <f t="shared" si="295"/>
        <v>148.14012297472624</v>
      </c>
      <c r="BQ114" s="51">
        <f t="shared" si="295"/>
        <v>200.8647404740594</v>
      </c>
      <c r="BR114" s="51">
        <f t="shared" si="250"/>
        <v>217.23521682269521</v>
      </c>
      <c r="BS114" s="51">
        <f t="shared" si="251"/>
        <v>234.93988699374489</v>
      </c>
      <c r="BT114" s="51">
        <f t="shared" si="252"/>
        <v>254.08748778373513</v>
      </c>
      <c r="BU114" s="51">
        <f t="shared" si="253"/>
        <v>274.79561803810958</v>
      </c>
      <c r="BV114" s="51">
        <f t="shared" si="254"/>
        <v>297.1914609082155</v>
      </c>
      <c r="BW114" s="51">
        <f t="shared" si="255"/>
        <v>321.41256497223509</v>
      </c>
      <c r="BX114" s="51">
        <f t="shared" si="256"/>
        <v>347.60768901747224</v>
      </c>
      <c r="BY114" s="51">
        <f t="shared" si="257"/>
        <v>375.93771567239622</v>
      </c>
      <c r="BZ114" s="51">
        <f t="shared" si="258"/>
        <v>406.57663949969657</v>
      </c>
      <c r="CA114" s="51">
        <f t="shared" si="259"/>
        <v>439.71263561892175</v>
      </c>
      <c r="CB114" s="51">
        <f t="shared" si="260"/>
        <v>475.54921542186395</v>
      </c>
      <c r="CC114" s="51">
        <f t="shared" si="261"/>
        <v>514.30647647874582</v>
      </c>
      <c r="CD114" s="51">
        <f t="shared" si="262"/>
        <v>556.22245431176373</v>
      </c>
      <c r="CE114" s="51"/>
      <c r="CF114" s="435"/>
      <c r="CG114" s="235">
        <f t="shared" si="291"/>
        <v>4.7677614320016986</v>
      </c>
      <c r="CH114" s="235">
        <f t="shared" si="266"/>
        <v>0</v>
      </c>
      <c r="CI114" s="235" t="e">
        <f>BM114-#REF!</f>
        <v>#REF!</v>
      </c>
      <c r="CJ114" s="235">
        <f t="shared" si="271"/>
        <v>0</v>
      </c>
      <c r="CK114" s="235">
        <f t="shared" si="272"/>
        <v>0</v>
      </c>
      <c r="CL114" s="235">
        <f t="shared" si="273"/>
        <v>0</v>
      </c>
      <c r="CM114" s="235">
        <f t="shared" si="274"/>
        <v>0</v>
      </c>
      <c r="CN114" s="235">
        <f t="shared" si="275"/>
        <v>0</v>
      </c>
      <c r="CO114" s="235">
        <f t="shared" si="276"/>
        <v>0</v>
      </c>
      <c r="CP114" s="235">
        <f t="shared" si="277"/>
        <v>0</v>
      </c>
      <c r="CQ114" s="235">
        <f t="shared" si="278"/>
        <v>0</v>
      </c>
      <c r="CR114" s="235">
        <f t="shared" si="279"/>
        <v>0</v>
      </c>
      <c r="CS114" s="235">
        <f t="shared" si="280"/>
        <v>0</v>
      </c>
      <c r="CT114" s="235">
        <f t="shared" si="281"/>
        <v>0</v>
      </c>
      <c r="CU114" s="235">
        <f t="shared" si="282"/>
        <v>0</v>
      </c>
      <c r="CV114" s="235">
        <f t="shared" si="283"/>
        <v>0</v>
      </c>
      <c r="CW114" s="235">
        <f t="shared" si="284"/>
        <v>0</v>
      </c>
      <c r="CX114" s="235">
        <f t="shared" si="285"/>
        <v>0</v>
      </c>
      <c r="CY114" s="235">
        <f t="shared" si="286"/>
        <v>0</v>
      </c>
      <c r="CZ114" s="235">
        <f t="shared" si="287"/>
        <v>0</v>
      </c>
      <c r="DA114" s="38"/>
      <c r="DB114" s="236">
        <v>25.268430843200001</v>
      </c>
      <c r="DC114" s="236">
        <v>26.268430843199997</v>
      </c>
      <c r="DD114" s="236">
        <v>39.06643256249999</v>
      </c>
      <c r="DE114" s="236">
        <v>42.124507358399988</v>
      </c>
      <c r="DF114" s="401">
        <v>88.149919643461217</v>
      </c>
      <c r="DG114" s="236">
        <v>54.759285948413677</v>
      </c>
      <c r="DH114" s="492">
        <v>121.72845839207099</v>
      </c>
      <c r="DI114" s="236">
        <v>183.11396863301815</v>
      </c>
      <c r="DJ114" s="236">
        <v>166.81206461538468</v>
      </c>
      <c r="DK114" s="236">
        <v>148.14012297472624</v>
      </c>
      <c r="DL114" s="236">
        <v>200.8647404740594</v>
      </c>
      <c r="DM114" s="236">
        <v>217.23521682269521</v>
      </c>
      <c r="DN114" s="236">
        <v>234.93988699374489</v>
      </c>
      <c r="DO114" s="236">
        <v>254.08748778373513</v>
      </c>
      <c r="DP114" s="236">
        <v>274.79561803810958</v>
      </c>
      <c r="DQ114" s="401">
        <v>297.1914609082155</v>
      </c>
      <c r="DR114" s="401">
        <v>321.41256497223509</v>
      </c>
      <c r="DS114" s="401">
        <v>347.60768901747224</v>
      </c>
      <c r="DT114" s="401">
        <v>375.93771567239622</v>
      </c>
      <c r="DU114" s="401">
        <v>406.57663949969657</v>
      </c>
      <c r="DV114" s="401">
        <v>439.71263561892175</v>
      </c>
      <c r="DW114" s="401">
        <v>475.54921542186395</v>
      </c>
      <c r="DX114" s="401">
        <v>514.30647647874582</v>
      </c>
      <c r="DY114" s="401">
        <v>556.22245431176373</v>
      </c>
      <c r="DZ114" s="401"/>
      <c r="EA114" s="989"/>
    </row>
    <row r="115" spans="1:131" s="76" customFormat="1">
      <c r="A115" s="76" t="s">
        <v>3864</v>
      </c>
      <c r="B115" s="73" t="s">
        <v>2857</v>
      </c>
      <c r="C115" s="51" t="s">
        <v>829</v>
      </c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51">
        <f t="shared" si="288"/>
        <v>1.8334982332155476E-2</v>
      </c>
      <c r="AR115" s="51">
        <f t="shared" si="288"/>
        <v>1.7282624113475177E-2</v>
      </c>
      <c r="AS115" s="51">
        <f t="shared" si="288"/>
        <v>2.2541137123745818E-2</v>
      </c>
      <c r="AT115" s="51">
        <f t="shared" si="288"/>
        <v>1.7240425531914891E-2</v>
      </c>
      <c r="AU115" s="51">
        <f t="shared" si="288"/>
        <v>1.3010870870870872</v>
      </c>
      <c r="AV115" s="51">
        <f t="shared" si="288"/>
        <v>3.3015794117647057</v>
      </c>
      <c r="AW115" s="51">
        <f t="shared" ref="AW115:BI115" si="296">(AW26*AV69)/1000</f>
        <v>5.2731139422499993</v>
      </c>
      <c r="AX115" s="51">
        <f t="shared" si="296"/>
        <v>4.4988318320000005</v>
      </c>
      <c r="AY115" s="51">
        <f t="shared" si="296"/>
        <v>7.091656930000001</v>
      </c>
      <c r="AZ115" s="51">
        <f t="shared" si="296"/>
        <v>15.397809872639998</v>
      </c>
      <c r="BA115" s="51">
        <f t="shared" si="296"/>
        <v>9.5255130051298114</v>
      </c>
      <c r="BB115" s="51">
        <f t="shared" si="296"/>
        <v>2.3073925560893218</v>
      </c>
      <c r="BC115" s="51">
        <f t="shared" si="296"/>
        <v>0</v>
      </c>
      <c r="BD115" s="51">
        <f t="shared" si="296"/>
        <v>12.199204379999998</v>
      </c>
      <c r="BE115" s="51">
        <f t="shared" si="296"/>
        <v>26.917092022156922</v>
      </c>
      <c r="BF115" s="51">
        <f t="shared" si="296"/>
        <v>34.198252724999989</v>
      </c>
      <c r="BG115" s="51">
        <f t="shared" si="296"/>
        <v>46.815455443749983</v>
      </c>
      <c r="BH115" s="51">
        <f t="shared" si="296"/>
        <v>68.13666854722797</v>
      </c>
      <c r="BI115" s="51">
        <f t="shared" si="296"/>
        <v>76.703232391199975</v>
      </c>
      <c r="BJ115" s="51">
        <f t="shared" ref="BJ115:BQ115" si="297">(BJ26*BI69)/1000</f>
        <v>91.564859821499979</v>
      </c>
      <c r="BK115" s="51">
        <f t="shared" si="297"/>
        <v>100.29852275799996</v>
      </c>
      <c r="BL115" s="51">
        <f t="shared" si="297"/>
        <v>100.96470003749997</v>
      </c>
      <c r="BM115" s="51">
        <f t="shared" si="297"/>
        <v>130.03217809249992</v>
      </c>
      <c r="BN115" s="51">
        <f t="shared" si="297"/>
        <v>109.18296549999995</v>
      </c>
      <c r="BO115" s="51">
        <f t="shared" si="297"/>
        <v>91.161501094439956</v>
      </c>
      <c r="BP115" s="51">
        <f t="shared" si="297"/>
        <v>91.267248435709504</v>
      </c>
      <c r="BQ115" s="51">
        <f t="shared" si="297"/>
        <v>117.85734827847145</v>
      </c>
      <c r="BR115" s="51">
        <f t="shared" si="250"/>
        <v>121.3930687268256</v>
      </c>
      <c r="BS115" s="51">
        <f t="shared" si="251"/>
        <v>125.03486078863037</v>
      </c>
      <c r="BT115" s="51">
        <f t="shared" si="252"/>
        <v>128.7859066122893</v>
      </c>
      <c r="BU115" s="51">
        <f t="shared" si="253"/>
        <v>132.64948381065798</v>
      </c>
      <c r="BV115" s="51">
        <f t="shared" si="254"/>
        <v>136.62896832497773</v>
      </c>
      <c r="BW115" s="51">
        <f t="shared" si="255"/>
        <v>140.72783737472705</v>
      </c>
      <c r="BX115" s="51">
        <f t="shared" si="256"/>
        <v>144.94967249596888</v>
      </c>
      <c r="BY115" s="51">
        <f t="shared" si="257"/>
        <v>149.29816267084794</v>
      </c>
      <c r="BZ115" s="51">
        <f t="shared" si="258"/>
        <v>153.77710755097337</v>
      </c>
      <c r="CA115" s="51">
        <f t="shared" si="259"/>
        <v>158.39042077750256</v>
      </c>
      <c r="CB115" s="51">
        <f t="shared" si="260"/>
        <v>163.14213340082767</v>
      </c>
      <c r="CC115" s="51">
        <f t="shared" si="261"/>
        <v>168.03639740285251</v>
      </c>
      <c r="CD115" s="51">
        <f t="shared" si="262"/>
        <v>173.07748932493809</v>
      </c>
      <c r="CE115" s="51"/>
      <c r="CF115" s="435"/>
      <c r="CG115" s="235">
        <f t="shared" si="291"/>
        <v>-1.5496238053400049</v>
      </c>
      <c r="CH115" s="235">
        <f t="shared" si="266"/>
        <v>0</v>
      </c>
      <c r="CI115" s="235" t="e">
        <f>BM115-#REF!</f>
        <v>#REF!</v>
      </c>
      <c r="CJ115" s="235">
        <f t="shared" si="271"/>
        <v>0</v>
      </c>
      <c r="CK115" s="235">
        <f t="shared" si="272"/>
        <v>0</v>
      </c>
      <c r="CL115" s="235">
        <f t="shared" si="273"/>
        <v>0</v>
      </c>
      <c r="CM115" s="235">
        <f t="shared" si="274"/>
        <v>0</v>
      </c>
      <c r="CN115" s="235">
        <f t="shared" si="275"/>
        <v>0</v>
      </c>
      <c r="CO115" s="235">
        <f t="shared" si="276"/>
        <v>0</v>
      </c>
      <c r="CP115" s="235">
        <f t="shared" si="277"/>
        <v>0</v>
      </c>
      <c r="CQ115" s="235">
        <f t="shared" si="278"/>
        <v>0</v>
      </c>
      <c r="CR115" s="235">
        <f t="shared" si="279"/>
        <v>0</v>
      </c>
      <c r="CS115" s="235">
        <f t="shared" si="280"/>
        <v>0</v>
      </c>
      <c r="CT115" s="235">
        <f t="shared" si="281"/>
        <v>0</v>
      </c>
      <c r="CU115" s="235">
        <f t="shared" si="282"/>
        <v>0</v>
      </c>
      <c r="CV115" s="235">
        <f t="shared" si="283"/>
        <v>0</v>
      </c>
      <c r="CW115" s="235">
        <f t="shared" si="284"/>
        <v>0</v>
      </c>
      <c r="CX115" s="235">
        <f t="shared" si="285"/>
        <v>0</v>
      </c>
      <c r="CY115" s="235">
        <f t="shared" si="286"/>
        <v>0</v>
      </c>
      <c r="CZ115" s="235">
        <f t="shared" si="287"/>
        <v>0</v>
      </c>
      <c r="DA115" s="38"/>
      <c r="DB115" s="236">
        <v>33.292106029999999</v>
      </c>
      <c r="DC115" s="236">
        <v>34.292106029999999</v>
      </c>
      <c r="DD115" s="236">
        <v>57.7704262695</v>
      </c>
      <c r="DE115" s="236">
        <v>67.27581641430001</v>
      </c>
      <c r="DF115" s="401">
        <v>79.152145653046077</v>
      </c>
      <c r="DG115" s="236">
        <v>101.84814656333997</v>
      </c>
      <c r="DH115" s="492">
        <v>100.96470003749997</v>
      </c>
      <c r="DI115" s="236">
        <v>109.18296549999995</v>
      </c>
      <c r="DJ115" s="236">
        <v>91.161501094439956</v>
      </c>
      <c r="DK115" s="236">
        <v>91.267248435709504</v>
      </c>
      <c r="DL115" s="236">
        <v>117.85734827847145</v>
      </c>
      <c r="DM115" s="236">
        <v>121.3930687268256</v>
      </c>
      <c r="DN115" s="236">
        <v>125.03486078863037</v>
      </c>
      <c r="DO115" s="236">
        <v>128.7859066122893</v>
      </c>
      <c r="DP115" s="236">
        <v>132.64948381065798</v>
      </c>
      <c r="DQ115" s="401">
        <v>136.62896832497773</v>
      </c>
      <c r="DR115" s="401">
        <v>140.72783737472705</v>
      </c>
      <c r="DS115" s="401">
        <v>144.94967249596888</v>
      </c>
      <c r="DT115" s="401">
        <v>149.29816267084794</v>
      </c>
      <c r="DU115" s="401">
        <v>153.77710755097337</v>
      </c>
      <c r="DV115" s="401">
        <v>158.39042077750256</v>
      </c>
      <c r="DW115" s="401">
        <v>163.14213340082767</v>
      </c>
      <c r="DX115" s="401">
        <v>168.03639740285251</v>
      </c>
      <c r="DY115" s="401">
        <v>173.07748932493809</v>
      </c>
      <c r="DZ115" s="401"/>
      <c r="EA115" s="989"/>
    </row>
    <row r="116" spans="1:131" s="76" customFormat="1">
      <c r="A116" s="76" t="s">
        <v>3865</v>
      </c>
      <c r="B116" s="73" t="s">
        <v>2212</v>
      </c>
      <c r="C116" s="51" t="s">
        <v>482</v>
      </c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51">
        <f t="shared" si="288"/>
        <v>5.8941102961151869E-2</v>
      </c>
      <c r="AR116" s="51">
        <f t="shared" si="288"/>
        <v>4.3835519018725122E-2</v>
      </c>
      <c r="AS116" s="51">
        <f t="shared" si="288"/>
        <v>6.9333190944040987E-2</v>
      </c>
      <c r="AT116" s="51">
        <f t="shared" si="288"/>
        <v>7.2714188861985468E-2</v>
      </c>
      <c r="AU116" s="51">
        <f t="shared" si="288"/>
        <v>5.7169552488498532</v>
      </c>
      <c r="AV116" s="51">
        <f t="shared" si="288"/>
        <v>15.376453196730768</v>
      </c>
      <c r="AW116" s="51">
        <f t="shared" ref="AW116:BI116" si="298">(AW27*AV70)/1000</f>
        <v>19.455843989282084</v>
      </c>
      <c r="AX116" s="51">
        <f t="shared" si="298"/>
        <v>18.796438688690685</v>
      </c>
      <c r="AY116" s="51">
        <f t="shared" si="298"/>
        <v>10.933894645519398</v>
      </c>
      <c r="AZ116" s="51">
        <f t="shared" si="298"/>
        <v>37.799459334654173</v>
      </c>
      <c r="BA116" s="51">
        <f t="shared" si="298"/>
        <v>48.086673433402211</v>
      </c>
      <c r="BB116" s="51">
        <f t="shared" si="298"/>
        <v>87.621039699802736</v>
      </c>
      <c r="BC116" s="51">
        <f t="shared" si="298"/>
        <v>69.739880818796891</v>
      </c>
      <c r="BD116" s="51">
        <f t="shared" si="298"/>
        <v>65.90253431603189</v>
      </c>
      <c r="BE116" s="51">
        <f t="shared" si="298"/>
        <v>65.49082296337906</v>
      </c>
      <c r="BF116" s="51">
        <f t="shared" si="298"/>
        <v>70.978094761441412</v>
      </c>
      <c r="BG116" s="51">
        <f t="shared" si="298"/>
        <v>56.390453803220794</v>
      </c>
      <c r="BH116" s="51">
        <f t="shared" si="298"/>
        <v>51.003272840794736</v>
      </c>
      <c r="BI116" s="51">
        <f t="shared" si="298"/>
        <v>32.019057083305327</v>
      </c>
      <c r="BJ116" s="51">
        <f t="shared" ref="BJ116:BQ116" si="299">(BJ27*BI70)/1000</f>
        <v>72.646803246478484</v>
      </c>
      <c r="BK116" s="51">
        <f t="shared" si="299"/>
        <v>25.02454752695154</v>
      </c>
      <c r="BL116" s="51">
        <f t="shared" si="299"/>
        <v>46.591836448598137</v>
      </c>
      <c r="BM116" s="51">
        <f t="shared" si="299"/>
        <v>59.331597009219173</v>
      </c>
      <c r="BN116" s="51">
        <f t="shared" si="299"/>
        <v>38.296266127654739</v>
      </c>
      <c r="BO116" s="51">
        <f t="shared" si="299"/>
        <v>41.090794892307699</v>
      </c>
      <c r="BP116" s="51">
        <f t="shared" si="299"/>
        <v>37.778819296874858</v>
      </c>
      <c r="BQ116" s="51">
        <f t="shared" si="299"/>
        <v>50.05384559925848</v>
      </c>
      <c r="BR116" s="51">
        <f t="shared" si="250"/>
        <v>52.895902952384382</v>
      </c>
      <c r="BS116" s="51">
        <f t="shared" si="251"/>
        <v>55.191056181488342</v>
      </c>
      <c r="BT116" s="51">
        <f t="shared" si="252"/>
        <v>57.585796109203116</v>
      </c>
      <c r="BU116" s="51">
        <f t="shared" si="253"/>
        <v>60.084443802381436</v>
      </c>
      <c r="BV116" s="51">
        <f t="shared" si="254"/>
        <v>62.691507818966762</v>
      </c>
      <c r="BW116" s="51">
        <f t="shared" si="255"/>
        <v>65.411692343231721</v>
      </c>
      <c r="BX116" s="51">
        <f t="shared" si="256"/>
        <v>68.249905674004538</v>
      </c>
      <c r="BY116" s="51">
        <f t="shared" si="257"/>
        <v>71.211269081199589</v>
      </c>
      <c r="BZ116" s="51">
        <f t="shared" si="258"/>
        <v>74.301126046632845</v>
      </c>
      <c r="CA116" s="51">
        <f t="shared" si="259"/>
        <v>77.525051905796232</v>
      </c>
      <c r="CB116" s="51">
        <f t="shared" si="260"/>
        <v>80.888863907988707</v>
      </c>
      <c r="CC116" s="51">
        <f t="shared" si="261"/>
        <v>84.398631712956345</v>
      </c>
      <c r="CD116" s="51">
        <f t="shared" si="262"/>
        <v>88.060688342981521</v>
      </c>
      <c r="CE116" s="51"/>
      <c r="CF116" s="435"/>
      <c r="CG116" s="235">
        <f t="shared" si="291"/>
        <v>-21.007412904703134</v>
      </c>
      <c r="CH116" s="235">
        <f t="shared" si="266"/>
        <v>0</v>
      </c>
      <c r="CI116" s="235" t="e">
        <f>BM116-#REF!</f>
        <v>#REF!</v>
      </c>
      <c r="CJ116" s="235">
        <f t="shared" si="271"/>
        <v>0</v>
      </c>
      <c r="CK116" s="235">
        <f t="shared" si="272"/>
        <v>0</v>
      </c>
      <c r="CL116" s="235">
        <f t="shared" si="273"/>
        <v>0</v>
      </c>
      <c r="CM116" s="235">
        <f t="shared" si="274"/>
        <v>0</v>
      </c>
      <c r="CN116" s="235">
        <f t="shared" si="275"/>
        <v>0</v>
      </c>
      <c r="CO116" s="235">
        <f t="shared" si="276"/>
        <v>0</v>
      </c>
      <c r="CP116" s="235">
        <f t="shared" si="277"/>
        <v>0</v>
      </c>
      <c r="CQ116" s="235">
        <f t="shared" si="278"/>
        <v>0</v>
      </c>
      <c r="CR116" s="235">
        <f t="shared" si="279"/>
        <v>0</v>
      </c>
      <c r="CS116" s="235">
        <f t="shared" si="280"/>
        <v>0</v>
      </c>
      <c r="CT116" s="235">
        <f t="shared" si="281"/>
        <v>0</v>
      </c>
      <c r="CU116" s="235">
        <f t="shared" si="282"/>
        <v>0</v>
      </c>
      <c r="CV116" s="235">
        <f t="shared" si="283"/>
        <v>0</v>
      </c>
      <c r="CW116" s="235">
        <f t="shared" si="284"/>
        <v>0</v>
      </c>
      <c r="CX116" s="235">
        <f t="shared" si="285"/>
        <v>0</v>
      </c>
      <c r="CY116" s="235">
        <f t="shared" si="286"/>
        <v>0</v>
      </c>
      <c r="CZ116" s="235">
        <f t="shared" si="287"/>
        <v>0</v>
      </c>
      <c r="DA116" s="38"/>
      <c r="DB116" s="236">
        <v>60.494300346147099</v>
      </c>
      <c r="DC116" s="236">
        <v>61.494300346147149</v>
      </c>
      <c r="DD116" s="236">
        <v>56.319661286324092</v>
      </c>
      <c r="DE116" s="236">
        <v>51.134545610922679</v>
      </c>
      <c r="DF116" s="401">
        <v>32.019057083305327</v>
      </c>
      <c r="DG116" s="236">
        <v>46.031960431654674</v>
      </c>
      <c r="DH116" s="492">
        <v>46.591836448598137</v>
      </c>
      <c r="DI116" s="236">
        <v>38.296266127654739</v>
      </c>
      <c r="DJ116" s="236">
        <v>41.090794892307699</v>
      </c>
      <c r="DK116" s="236">
        <v>37.778819296874858</v>
      </c>
      <c r="DL116" s="236">
        <v>50.05384559925848</v>
      </c>
      <c r="DM116" s="236">
        <v>52.895902952384382</v>
      </c>
      <c r="DN116" s="236">
        <v>55.191056181488342</v>
      </c>
      <c r="DO116" s="236">
        <v>57.585796109203116</v>
      </c>
      <c r="DP116" s="236">
        <v>60.084443802381436</v>
      </c>
      <c r="DQ116" s="401">
        <v>62.691507818966762</v>
      </c>
      <c r="DR116" s="401">
        <v>65.411692343231721</v>
      </c>
      <c r="DS116" s="401">
        <v>68.249905674004538</v>
      </c>
      <c r="DT116" s="401">
        <v>71.211269081199589</v>
      </c>
      <c r="DU116" s="401">
        <v>74.301126046632845</v>
      </c>
      <c r="DV116" s="401">
        <v>77.525051905796232</v>
      </c>
      <c r="DW116" s="401">
        <v>80.888863907988707</v>
      </c>
      <c r="DX116" s="401">
        <v>84.398631712956345</v>
      </c>
      <c r="DY116" s="401">
        <v>88.060688342981521</v>
      </c>
      <c r="DZ116" s="401"/>
      <c r="EA116" s="989"/>
    </row>
    <row r="117" spans="1:131" s="76" customFormat="1">
      <c r="A117" s="76" t="s">
        <v>3866</v>
      </c>
      <c r="B117" s="73" t="s">
        <v>2214</v>
      </c>
      <c r="C117" s="51" t="s">
        <v>502</v>
      </c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51">
        <f t="shared" si="288"/>
        <v>2.1173492549097016E-3</v>
      </c>
      <c r="AR117" s="51">
        <f t="shared" si="288"/>
        <v>5.3749458170784569E-3</v>
      </c>
      <c r="AS117" s="51">
        <f t="shared" si="288"/>
        <v>9.325806451612904E-3</v>
      </c>
      <c r="AT117" s="51">
        <f t="shared" si="288"/>
        <v>5.8510204081632647E-3</v>
      </c>
      <c r="AU117" s="51">
        <f t="shared" si="288"/>
        <v>0.4895574468085106</v>
      </c>
      <c r="AV117" s="51">
        <f t="shared" si="288"/>
        <v>1.2231631182608695</v>
      </c>
      <c r="AW117" s="51">
        <f t="shared" ref="AW117:BI117" si="300">(AW28*AV71)/1000</f>
        <v>2.3727408408317112</v>
      </c>
      <c r="AX117" s="51">
        <f t="shared" si="300"/>
        <v>2.0460746728031065</v>
      </c>
      <c r="AY117" s="51">
        <f t="shared" si="300"/>
        <v>1.030673942701227</v>
      </c>
      <c r="AZ117" s="51">
        <f t="shared" si="300"/>
        <v>4.0159805282377929</v>
      </c>
      <c r="BA117" s="51">
        <f t="shared" si="300"/>
        <v>6.2580594687836442</v>
      </c>
      <c r="BB117" s="51">
        <f t="shared" si="300"/>
        <v>14.935241965339362</v>
      </c>
      <c r="BC117" s="51">
        <f t="shared" si="300"/>
        <v>17.94410177160594</v>
      </c>
      <c r="BD117" s="51">
        <f t="shared" si="300"/>
        <v>21.734705392175954</v>
      </c>
      <c r="BE117" s="51">
        <f t="shared" si="300"/>
        <v>26.215641350769648</v>
      </c>
      <c r="BF117" s="51">
        <f t="shared" si="300"/>
        <v>29.617723581993044</v>
      </c>
      <c r="BG117" s="51">
        <f t="shared" si="300"/>
        <v>33.397778791821231</v>
      </c>
      <c r="BH117" s="51">
        <f t="shared" si="300"/>
        <v>32.902271091469423</v>
      </c>
      <c r="BI117" s="51">
        <f t="shared" si="300"/>
        <v>39.19349024745722</v>
      </c>
      <c r="BJ117" s="51">
        <f t="shared" ref="BJ117:BQ117" si="301">(BJ28*BI71)/1000</f>
        <v>49.890843299520341</v>
      </c>
      <c r="BK117" s="51">
        <f t="shared" si="301"/>
        <v>50.673480969215703</v>
      </c>
      <c r="BL117" s="51">
        <f t="shared" si="301"/>
        <v>48.705586061676428</v>
      </c>
      <c r="BM117" s="51">
        <f t="shared" si="301"/>
        <v>73.863525051432504</v>
      </c>
      <c r="BN117" s="51">
        <f t="shared" si="301"/>
        <v>81.556550652257656</v>
      </c>
      <c r="BO117" s="51">
        <f t="shared" si="301"/>
        <v>84.771576830769277</v>
      </c>
      <c r="BP117" s="51">
        <f t="shared" si="301"/>
        <v>88.689057893588156</v>
      </c>
      <c r="BQ117" s="51">
        <f t="shared" si="301"/>
        <v>117.50574773829899</v>
      </c>
      <c r="BR117" s="51">
        <f t="shared" si="250"/>
        <v>124.17772409487962</v>
      </c>
      <c r="BS117" s="51">
        <f t="shared" si="251"/>
        <v>129.56579554335642</v>
      </c>
      <c r="BT117" s="51">
        <f t="shared" si="252"/>
        <v>135.18765541198266</v>
      </c>
      <c r="BU117" s="51">
        <f t="shared" si="253"/>
        <v>141.05344778030857</v>
      </c>
      <c r="BV117" s="51">
        <f t="shared" si="254"/>
        <v>147.17375687949615</v>
      </c>
      <c r="BW117" s="51">
        <f t="shared" si="255"/>
        <v>153.55962619049751</v>
      </c>
      <c r="BX117" s="51">
        <f t="shared" si="256"/>
        <v>160.22257837090316</v>
      </c>
      <c r="BY117" s="51">
        <f t="shared" si="257"/>
        <v>167.17463604641665</v>
      </c>
      <c r="BZ117" s="51">
        <f t="shared" si="258"/>
        <v>174.42834350447066</v>
      </c>
      <c r="CA117" s="51">
        <f t="shared" si="259"/>
        <v>181.99678932912963</v>
      </c>
      <c r="CB117" s="51">
        <f t="shared" si="260"/>
        <v>189.89363001812055</v>
      </c>
      <c r="CC117" s="51">
        <f t="shared" si="261"/>
        <v>198.1331146246068</v>
      </c>
      <c r="CD117" s="51">
        <f t="shared" si="262"/>
        <v>206.73011046816848</v>
      </c>
      <c r="CE117" s="51"/>
      <c r="CF117" s="435"/>
      <c r="CG117" s="235">
        <f t="shared" si="291"/>
        <v>0.9735773720933949</v>
      </c>
      <c r="CH117" s="235">
        <f t="shared" si="266"/>
        <v>0</v>
      </c>
      <c r="CI117" s="235" t="e">
        <f>BM117-#REF!</f>
        <v>#REF!</v>
      </c>
      <c r="CJ117" s="235">
        <f t="shared" si="271"/>
        <v>0</v>
      </c>
      <c r="CK117" s="235">
        <f t="shared" si="272"/>
        <v>0</v>
      </c>
      <c r="CL117" s="235">
        <f t="shared" si="273"/>
        <v>0</v>
      </c>
      <c r="CM117" s="235">
        <f t="shared" si="274"/>
        <v>0</v>
      </c>
      <c r="CN117" s="235">
        <f t="shared" si="275"/>
        <v>0</v>
      </c>
      <c r="CO117" s="235">
        <f t="shared" si="276"/>
        <v>0</v>
      </c>
      <c r="CP117" s="235">
        <f t="shared" si="277"/>
        <v>0</v>
      </c>
      <c r="CQ117" s="235">
        <f t="shared" si="278"/>
        <v>0</v>
      </c>
      <c r="CR117" s="235">
        <f t="shared" si="279"/>
        <v>0</v>
      </c>
      <c r="CS117" s="235">
        <f t="shared" si="280"/>
        <v>0</v>
      </c>
      <c r="CT117" s="235">
        <f t="shared" si="281"/>
        <v>0</v>
      </c>
      <c r="CU117" s="235">
        <f t="shared" si="282"/>
        <v>0</v>
      </c>
      <c r="CV117" s="235">
        <f t="shared" si="283"/>
        <v>0</v>
      </c>
      <c r="CW117" s="235">
        <f t="shared" si="284"/>
        <v>0</v>
      </c>
      <c r="CX117" s="235">
        <f t="shared" si="285"/>
        <v>0</v>
      </c>
      <c r="CY117" s="235">
        <f t="shared" si="286"/>
        <v>0</v>
      </c>
      <c r="CZ117" s="235">
        <f t="shared" si="287"/>
        <v>0</v>
      </c>
      <c r="DA117" s="38"/>
      <c r="DB117" s="236">
        <v>28.638564496930101</v>
      </c>
      <c r="DC117" s="236">
        <v>29.638564496930108</v>
      </c>
      <c r="DD117" s="236">
        <v>33.107871812989117</v>
      </c>
      <c r="DE117" s="236">
        <v>32.903645139229909</v>
      </c>
      <c r="DF117" s="401">
        <v>39.19349024745722</v>
      </c>
      <c r="DG117" s="236">
        <v>49.699903597122308</v>
      </c>
      <c r="DH117" s="492">
        <v>48.705586061676428</v>
      </c>
      <c r="DI117" s="236">
        <v>81.556550652257656</v>
      </c>
      <c r="DJ117" s="236">
        <v>84.771576830769277</v>
      </c>
      <c r="DK117" s="236">
        <v>88.689057893588156</v>
      </c>
      <c r="DL117" s="236">
        <v>117.50574773829899</v>
      </c>
      <c r="DM117" s="236">
        <v>124.17772409487962</v>
      </c>
      <c r="DN117" s="236">
        <v>129.56579554335642</v>
      </c>
      <c r="DO117" s="236">
        <v>135.18765541198266</v>
      </c>
      <c r="DP117" s="236">
        <v>141.05344778030857</v>
      </c>
      <c r="DQ117" s="401">
        <v>147.17375687949615</v>
      </c>
      <c r="DR117" s="401">
        <v>153.55962619049751</v>
      </c>
      <c r="DS117" s="401">
        <v>160.22257837090316</v>
      </c>
      <c r="DT117" s="401">
        <v>167.17463604641665</v>
      </c>
      <c r="DU117" s="401">
        <v>174.42834350447066</v>
      </c>
      <c r="DV117" s="401">
        <v>181.99678932912963</v>
      </c>
      <c r="DW117" s="401">
        <v>189.89363001812055</v>
      </c>
      <c r="DX117" s="401">
        <v>198.1331146246068</v>
      </c>
      <c r="DY117" s="401">
        <v>206.73011046816848</v>
      </c>
      <c r="DZ117" s="401"/>
      <c r="EA117" s="989"/>
    </row>
    <row r="118" spans="1:131" s="76" customFormat="1">
      <c r="A118" s="76" t="s">
        <v>3867</v>
      </c>
      <c r="B118" s="73" t="s">
        <v>2213</v>
      </c>
      <c r="C118" s="51" t="s">
        <v>1545</v>
      </c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51">
        <f t="shared" si="288"/>
        <v>6.3650885514369981E-4</v>
      </c>
      <c r="AR118" s="51">
        <f t="shared" si="288"/>
        <v>1.7648654619893491E-3</v>
      </c>
      <c r="AS118" s="51">
        <f t="shared" si="288"/>
        <v>1.4608399954117704E-3</v>
      </c>
      <c r="AT118" s="51">
        <f t="shared" si="288"/>
        <v>4.0223823484775477E-3</v>
      </c>
      <c r="AU118" s="51">
        <f t="shared" si="288"/>
        <v>0.12788931766425721</v>
      </c>
      <c r="AV118" s="51">
        <f t="shared" si="288"/>
        <v>4.2142773917423009</v>
      </c>
      <c r="AW118" s="51">
        <f t="shared" ref="AW118:BI118" si="302">(AW29*AV72)/1000</f>
        <v>1.5337905592592593</v>
      </c>
      <c r="AX118" s="51">
        <f t="shared" si="302"/>
        <v>0.75978741558064522</v>
      </c>
      <c r="AY118" s="51">
        <f t="shared" si="302"/>
        <v>0.58893603789703275</v>
      </c>
      <c r="AZ118" s="51">
        <f t="shared" si="302"/>
        <v>0.86312970043057557</v>
      </c>
      <c r="BA118" s="51">
        <f t="shared" si="302"/>
        <v>1.361525083387412</v>
      </c>
      <c r="BB118" s="51">
        <f t="shared" si="302"/>
        <v>8.1322051384759284</v>
      </c>
      <c r="BC118" s="51">
        <f t="shared" si="302"/>
        <v>0.94430330161175402</v>
      </c>
      <c r="BD118" s="51">
        <f t="shared" si="302"/>
        <v>2.8156392042302483</v>
      </c>
      <c r="BE118" s="51">
        <f t="shared" si="302"/>
        <v>3.9223968582651909</v>
      </c>
      <c r="BF118" s="51">
        <f t="shared" si="302"/>
        <v>8.1224609702038659</v>
      </c>
      <c r="BG118" s="51">
        <f t="shared" si="302"/>
        <v>4.9491399267684875</v>
      </c>
      <c r="BH118" s="51">
        <f t="shared" si="302"/>
        <v>17.739065232856468</v>
      </c>
      <c r="BI118" s="51">
        <f t="shared" si="302"/>
        <v>10.33170211398963</v>
      </c>
      <c r="BJ118" s="51">
        <f t="shared" ref="BJ118:BQ118" si="303">(BJ29*BI72)/1000</f>
        <v>17.617633189551629</v>
      </c>
      <c r="BK118" s="51">
        <f t="shared" si="303"/>
        <v>36.93036770181201</v>
      </c>
      <c r="BL118" s="51">
        <f t="shared" si="303"/>
        <v>46.230448691264918</v>
      </c>
      <c r="BM118" s="51">
        <f t="shared" si="303"/>
        <v>43.295856052122737</v>
      </c>
      <c r="BN118" s="51">
        <f t="shared" si="303"/>
        <v>94.494676343951795</v>
      </c>
      <c r="BO118" s="51">
        <f t="shared" si="303"/>
        <v>81.006517499999958</v>
      </c>
      <c r="BP118" s="51">
        <f t="shared" si="303"/>
        <v>98.063168818282463</v>
      </c>
      <c r="BQ118" s="51">
        <f t="shared" si="303"/>
        <v>145.62819658330548</v>
      </c>
      <c r="BR118" s="51">
        <f t="shared" si="250"/>
        <v>172.49659885292533</v>
      </c>
      <c r="BS118" s="51">
        <f t="shared" si="251"/>
        <v>190.99685907990153</v>
      </c>
      <c r="BT118" s="51">
        <f t="shared" si="252"/>
        <v>211.48127221622099</v>
      </c>
      <c r="BU118" s="51">
        <f t="shared" si="253"/>
        <v>234.16263866141065</v>
      </c>
      <c r="BV118" s="51">
        <f t="shared" si="254"/>
        <v>259.27658165784692</v>
      </c>
      <c r="BW118" s="51">
        <f t="shared" si="255"/>
        <v>287.08399504065102</v>
      </c>
      <c r="BX118" s="51">
        <f t="shared" si="256"/>
        <v>317.87375350876079</v>
      </c>
      <c r="BY118" s="51">
        <f t="shared" si="257"/>
        <v>351.96571357257534</v>
      </c>
      <c r="BZ118" s="51">
        <f t="shared" si="258"/>
        <v>389.71403635323406</v>
      </c>
      <c r="CA118" s="51">
        <f t="shared" si="259"/>
        <v>431.51086675211837</v>
      </c>
      <c r="CB118" s="51">
        <f t="shared" si="260"/>
        <v>477.79040721128308</v>
      </c>
      <c r="CC118" s="51">
        <f t="shared" si="261"/>
        <v>529.03342838469325</v>
      </c>
      <c r="CD118" s="51">
        <f t="shared" si="262"/>
        <v>585.77226357895154</v>
      </c>
      <c r="CE118" s="51"/>
      <c r="CF118" s="435"/>
      <c r="CG118" s="235">
        <f t="shared" si="291"/>
        <v>-2.5079554040372756</v>
      </c>
      <c r="CH118" s="235">
        <f t="shared" si="266"/>
        <v>0</v>
      </c>
      <c r="CI118" s="235" t="e">
        <f>BM118-#REF!</f>
        <v>#REF!</v>
      </c>
      <c r="CJ118" s="235">
        <f t="shared" si="271"/>
        <v>0</v>
      </c>
      <c r="CK118" s="235">
        <f t="shared" si="272"/>
        <v>0</v>
      </c>
      <c r="CL118" s="235">
        <f t="shared" si="273"/>
        <v>0</v>
      </c>
      <c r="CM118" s="235">
        <f t="shared" si="274"/>
        <v>0</v>
      </c>
      <c r="CN118" s="235">
        <f t="shared" si="275"/>
        <v>0</v>
      </c>
      <c r="CO118" s="235">
        <f t="shared" si="276"/>
        <v>0</v>
      </c>
      <c r="CP118" s="235">
        <f t="shared" si="277"/>
        <v>0</v>
      </c>
      <c r="CQ118" s="235">
        <f t="shared" si="278"/>
        <v>0</v>
      </c>
      <c r="CR118" s="235">
        <f t="shared" si="279"/>
        <v>0</v>
      </c>
      <c r="CS118" s="235">
        <f t="shared" si="280"/>
        <v>0</v>
      </c>
      <c r="CT118" s="235">
        <f t="shared" si="281"/>
        <v>0</v>
      </c>
      <c r="CU118" s="235">
        <f t="shared" si="282"/>
        <v>0</v>
      </c>
      <c r="CV118" s="235">
        <f t="shared" si="283"/>
        <v>0</v>
      </c>
      <c r="CW118" s="235">
        <f t="shared" si="284"/>
        <v>0</v>
      </c>
      <c r="CX118" s="235">
        <f t="shared" si="285"/>
        <v>0</v>
      </c>
      <c r="CY118" s="235">
        <f t="shared" si="286"/>
        <v>0</v>
      </c>
      <c r="CZ118" s="235">
        <f t="shared" si="287"/>
        <v>0</v>
      </c>
      <c r="DA118" s="38"/>
      <c r="DB118" s="236">
        <v>6.4033733268094499</v>
      </c>
      <c r="DC118" s="236">
        <v>7.4033733268094535</v>
      </c>
      <c r="DD118" s="236">
        <v>4.5260487195486432</v>
      </c>
      <c r="DE118" s="236">
        <v>13.638029616697088</v>
      </c>
      <c r="DF118" s="401">
        <v>2.7910146394611712</v>
      </c>
      <c r="DG118" s="236">
        <v>39.438323105849285</v>
      </c>
      <c r="DH118" s="492">
        <v>46.230448691264918</v>
      </c>
      <c r="DI118" s="236">
        <v>94.494676343951795</v>
      </c>
      <c r="DJ118" s="236">
        <v>81.006517499999958</v>
      </c>
      <c r="DK118" s="236">
        <v>98.063168818282463</v>
      </c>
      <c r="DL118" s="236">
        <v>145.62819658330548</v>
      </c>
      <c r="DM118" s="236">
        <v>172.49659885292533</v>
      </c>
      <c r="DN118" s="236">
        <v>190.99685907990153</v>
      </c>
      <c r="DO118" s="236">
        <v>211.48127221622099</v>
      </c>
      <c r="DP118" s="236">
        <v>234.16263866141065</v>
      </c>
      <c r="DQ118" s="401">
        <v>259.27658165784692</v>
      </c>
      <c r="DR118" s="401">
        <v>287.08399504065102</v>
      </c>
      <c r="DS118" s="401">
        <v>317.87375350876079</v>
      </c>
      <c r="DT118" s="401">
        <v>351.96571357257534</v>
      </c>
      <c r="DU118" s="401">
        <v>389.71403635323406</v>
      </c>
      <c r="DV118" s="401">
        <v>431.51086675211837</v>
      </c>
      <c r="DW118" s="401">
        <v>477.79040721128308</v>
      </c>
      <c r="DX118" s="401">
        <v>529.03342838469325</v>
      </c>
      <c r="DY118" s="401">
        <v>585.77226357895154</v>
      </c>
      <c r="DZ118" s="401"/>
      <c r="EA118" s="989"/>
    </row>
    <row r="119" spans="1:131" s="76" customFormat="1">
      <c r="A119" s="76" t="s">
        <v>3868</v>
      </c>
      <c r="B119" s="73" t="s">
        <v>2858</v>
      </c>
      <c r="C119" s="51" t="s">
        <v>2052</v>
      </c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51">
        <f t="shared" si="288"/>
        <v>0</v>
      </c>
      <c r="AR119" s="51">
        <f t="shared" si="288"/>
        <v>0</v>
      </c>
      <c r="AS119" s="51">
        <f t="shared" si="288"/>
        <v>0</v>
      </c>
      <c r="AT119" s="51">
        <f t="shared" si="288"/>
        <v>0</v>
      </c>
      <c r="AU119" s="51">
        <f t="shared" si="288"/>
        <v>0</v>
      </c>
      <c r="AV119" s="51">
        <f t="shared" si="288"/>
        <v>0</v>
      </c>
      <c r="AW119" s="51">
        <f t="shared" ref="AW119:BI119" si="304">(AW30*AV73)/1000</f>
        <v>1.1942041144444444</v>
      </c>
      <c r="AX119" s="51">
        <f t="shared" si="304"/>
        <v>0.97840543103448285</v>
      </c>
      <c r="AY119" s="51">
        <f t="shared" si="304"/>
        <v>0.77610409638554212</v>
      </c>
      <c r="AZ119" s="51">
        <f t="shared" si="304"/>
        <v>1.6631949264999997</v>
      </c>
      <c r="BA119" s="51">
        <f t="shared" si="304"/>
        <v>2.7872207673267306</v>
      </c>
      <c r="BB119" s="51">
        <f t="shared" si="304"/>
        <v>5.1796105295406347</v>
      </c>
      <c r="BC119" s="51">
        <f t="shared" si="304"/>
        <v>4.6251064921805538</v>
      </c>
      <c r="BD119" s="51">
        <f t="shared" si="304"/>
        <v>3.2062520291896024</v>
      </c>
      <c r="BE119" s="51">
        <f t="shared" si="304"/>
        <v>3.6082238399999982</v>
      </c>
      <c r="BF119" s="51">
        <f t="shared" si="304"/>
        <v>5.0814012765957415</v>
      </c>
      <c r="BG119" s="51">
        <f t="shared" si="304"/>
        <v>7.1934890322580616</v>
      </c>
      <c r="BH119" s="51">
        <f t="shared" si="304"/>
        <v>4.7035574999999969</v>
      </c>
      <c r="BI119" s="51">
        <f t="shared" si="304"/>
        <v>3.2637532826086937</v>
      </c>
      <c r="BJ119" s="51">
        <f t="shared" ref="BJ119:BQ119" si="305">(BJ30*BI73)/1000</f>
        <v>4.8378286046511603</v>
      </c>
      <c r="BK119" s="51">
        <f t="shared" si="305"/>
        <v>7.0355095555555494</v>
      </c>
      <c r="BL119" s="51">
        <f t="shared" si="305"/>
        <v>12.86672413183773</v>
      </c>
      <c r="BM119" s="51">
        <f t="shared" si="305"/>
        <v>20.289958177682617</v>
      </c>
      <c r="BN119" s="51">
        <f t="shared" si="305"/>
        <v>39.732951629605743</v>
      </c>
      <c r="BO119" s="51">
        <f t="shared" si="305"/>
        <v>23.281494999999985</v>
      </c>
      <c r="BP119" s="51">
        <f t="shared" si="305"/>
        <v>23.69218057179998</v>
      </c>
      <c r="BQ119" s="51">
        <f t="shared" si="305"/>
        <v>30.594738254807975</v>
      </c>
      <c r="BR119" s="51">
        <f t="shared" si="250"/>
        <v>31.512580402452215</v>
      </c>
      <c r="BS119" s="51">
        <f t="shared" si="251"/>
        <v>32.457957814525784</v>
      </c>
      <c r="BT119" s="51">
        <f t="shared" si="252"/>
        <v>33.431696548961561</v>
      </c>
      <c r="BU119" s="51">
        <f t="shared" si="253"/>
        <v>34.434647445430407</v>
      </c>
      <c r="BV119" s="51">
        <f t="shared" si="254"/>
        <v>35.467686868793308</v>
      </c>
      <c r="BW119" s="51">
        <f t="shared" si="255"/>
        <v>36.531717474857103</v>
      </c>
      <c r="BX119" s="51">
        <f t="shared" si="256"/>
        <v>37.627668999102823</v>
      </c>
      <c r="BY119" s="51">
        <f t="shared" si="257"/>
        <v>38.756499069075915</v>
      </c>
      <c r="BZ119" s="51">
        <f t="shared" si="258"/>
        <v>39.919194041148195</v>
      </c>
      <c r="CA119" s="51">
        <f t="shared" si="259"/>
        <v>41.116769862382647</v>
      </c>
      <c r="CB119" s="51">
        <f t="shared" si="260"/>
        <v>42.350272958254124</v>
      </c>
      <c r="CC119" s="51">
        <f t="shared" si="261"/>
        <v>43.62078114700175</v>
      </c>
      <c r="CD119" s="51">
        <f t="shared" si="262"/>
        <v>44.929404581411802</v>
      </c>
      <c r="CE119" s="51"/>
      <c r="CF119" s="435"/>
      <c r="CG119" s="235">
        <f t="shared" si="291"/>
        <v>0.33296511111111116</v>
      </c>
      <c r="CH119" s="235">
        <f t="shared" si="266"/>
        <v>0</v>
      </c>
      <c r="CI119" s="235" t="e">
        <f>BM119-#REF!</f>
        <v>#REF!</v>
      </c>
      <c r="CJ119" s="235">
        <f t="shared" si="271"/>
        <v>0</v>
      </c>
      <c r="CK119" s="235">
        <f t="shared" si="272"/>
        <v>0</v>
      </c>
      <c r="CL119" s="235">
        <f t="shared" si="273"/>
        <v>0</v>
      </c>
      <c r="CM119" s="235">
        <f t="shared" si="274"/>
        <v>0</v>
      </c>
      <c r="CN119" s="235">
        <f t="shared" si="275"/>
        <v>0</v>
      </c>
      <c r="CO119" s="235">
        <f t="shared" si="276"/>
        <v>0</v>
      </c>
      <c r="CP119" s="235">
        <f t="shared" si="277"/>
        <v>0</v>
      </c>
      <c r="CQ119" s="235">
        <f t="shared" si="278"/>
        <v>0</v>
      </c>
      <c r="CR119" s="235">
        <f t="shared" si="279"/>
        <v>0</v>
      </c>
      <c r="CS119" s="235">
        <f t="shared" si="280"/>
        <v>0</v>
      </c>
      <c r="CT119" s="235">
        <f t="shared" si="281"/>
        <v>0</v>
      </c>
      <c r="CU119" s="235">
        <f t="shared" si="282"/>
        <v>0</v>
      </c>
      <c r="CV119" s="235">
        <f t="shared" si="283"/>
        <v>0</v>
      </c>
      <c r="CW119" s="235">
        <f t="shared" si="284"/>
        <v>0</v>
      </c>
      <c r="CX119" s="235">
        <f t="shared" si="285"/>
        <v>0</v>
      </c>
      <c r="CY119" s="235">
        <f t="shared" si="286"/>
        <v>0</v>
      </c>
      <c r="CZ119" s="235">
        <f t="shared" si="287"/>
        <v>0</v>
      </c>
      <c r="DA119" s="38"/>
      <c r="DB119" s="236">
        <v>1.00412614869193</v>
      </c>
      <c r="DC119" s="236">
        <v>2.0041261486919333</v>
      </c>
      <c r="DD119" s="236">
        <v>3.2156764292152844</v>
      </c>
      <c r="DE119" s="236">
        <v>2.5852876902854898</v>
      </c>
      <c r="DF119" s="401">
        <v>3.2637532826086937</v>
      </c>
      <c r="DG119" s="236">
        <v>6.7025444444444382</v>
      </c>
      <c r="DH119" s="492">
        <v>12.86672413183773</v>
      </c>
      <c r="DI119" s="236">
        <v>39.732951629605743</v>
      </c>
      <c r="DJ119" s="236">
        <v>23.281494999999985</v>
      </c>
      <c r="DK119" s="236">
        <v>23.69218057179998</v>
      </c>
      <c r="DL119" s="236">
        <v>30.594738254807975</v>
      </c>
      <c r="DM119" s="236">
        <v>31.512580402452215</v>
      </c>
      <c r="DN119" s="236">
        <v>32.457957814525784</v>
      </c>
      <c r="DO119" s="236">
        <v>33.431696548961561</v>
      </c>
      <c r="DP119" s="236">
        <v>34.434647445430407</v>
      </c>
      <c r="DQ119" s="401">
        <v>35.467686868793308</v>
      </c>
      <c r="DR119" s="401">
        <v>36.531717474857103</v>
      </c>
      <c r="DS119" s="401">
        <v>37.627668999102823</v>
      </c>
      <c r="DT119" s="401">
        <v>38.756499069075915</v>
      </c>
      <c r="DU119" s="401">
        <v>39.919194041148195</v>
      </c>
      <c r="DV119" s="401">
        <v>41.116769862382647</v>
      </c>
      <c r="DW119" s="401">
        <v>42.350272958254124</v>
      </c>
      <c r="DX119" s="401">
        <v>43.62078114700175</v>
      </c>
      <c r="DY119" s="401">
        <v>44.929404581411802</v>
      </c>
      <c r="DZ119" s="401"/>
      <c r="EA119" s="989"/>
    </row>
    <row r="120" spans="1:131" s="76" customFormat="1">
      <c r="A120" s="76" t="s">
        <v>3869</v>
      </c>
      <c r="B120" s="73" t="s">
        <v>2859</v>
      </c>
      <c r="C120" s="51" t="s">
        <v>501</v>
      </c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51">
        <f t="shared" si="288"/>
        <v>0</v>
      </c>
      <c r="AR120" s="51">
        <f t="shared" si="288"/>
        <v>0</v>
      </c>
      <c r="AS120" s="51">
        <f t="shared" si="288"/>
        <v>0</v>
      </c>
      <c r="AT120" s="51">
        <f t="shared" si="288"/>
        <v>0</v>
      </c>
      <c r="AU120" s="51">
        <f t="shared" si="288"/>
        <v>0</v>
      </c>
      <c r="AV120" s="51">
        <f t="shared" si="288"/>
        <v>0</v>
      </c>
      <c r="AW120" s="51">
        <f t="shared" ref="AW120:BI120" si="306">(AW31*AV74)/1000</f>
        <v>18.292527393140002</v>
      </c>
      <c r="AX120" s="51">
        <f t="shared" si="306"/>
        <v>18.211302720000003</v>
      </c>
      <c r="AY120" s="51">
        <f t="shared" si="306"/>
        <v>20.721075505000002</v>
      </c>
      <c r="AZ120" s="51">
        <f t="shared" si="306"/>
        <v>46.768253999584005</v>
      </c>
      <c r="BA120" s="51">
        <f t="shared" si="306"/>
        <v>68.959457604128005</v>
      </c>
      <c r="BB120" s="51">
        <f t="shared" si="306"/>
        <v>125.52814670240001</v>
      </c>
      <c r="BC120" s="51">
        <f t="shared" si="306"/>
        <v>183.22999348284802</v>
      </c>
      <c r="BD120" s="51">
        <f t="shared" si="306"/>
        <v>343.26128157235195</v>
      </c>
      <c r="BE120" s="51">
        <f t="shared" si="306"/>
        <v>420.27169608319997</v>
      </c>
      <c r="BF120" s="51">
        <f t="shared" si="306"/>
        <v>394.08702060000007</v>
      </c>
      <c r="BG120" s="51">
        <f t="shared" si="306"/>
        <v>428.33419491250004</v>
      </c>
      <c r="BH120" s="51">
        <f t="shared" si="306"/>
        <v>387.63848821500011</v>
      </c>
      <c r="BI120" s="51">
        <f t="shared" si="306"/>
        <v>387.42500681999996</v>
      </c>
      <c r="BJ120" s="51">
        <f t="shared" ref="BJ120:BQ120" si="307">(BJ31*BI74)/1000</f>
        <v>546.15776355000003</v>
      </c>
      <c r="BK120" s="51">
        <f t="shared" si="307"/>
        <v>630.0844787499999</v>
      </c>
      <c r="BL120" s="51">
        <f t="shared" si="307"/>
        <v>730.98485525000001</v>
      </c>
      <c r="BM120" s="51">
        <f t="shared" si="307"/>
        <v>781.91872289999992</v>
      </c>
      <c r="BN120" s="51">
        <f t="shared" si="307"/>
        <v>780.32727524999996</v>
      </c>
      <c r="BO120" s="51">
        <f t="shared" si="307"/>
        <v>834.50539797060753</v>
      </c>
      <c r="BP120" s="51">
        <f t="shared" si="307"/>
        <v>919.21846098425817</v>
      </c>
      <c r="BQ120" s="51">
        <f t="shared" si="307"/>
        <v>1269.441841584385</v>
      </c>
      <c r="BR120" s="51">
        <f t="shared" si="250"/>
        <v>1398.306564304957</v>
      </c>
      <c r="BS120" s="51">
        <f t="shared" si="251"/>
        <v>1490.6647128772995</v>
      </c>
      <c r="BT120" s="51">
        <f t="shared" si="252"/>
        <v>1589.1231171628449</v>
      </c>
      <c r="BU120" s="51">
        <f t="shared" si="253"/>
        <v>1694.0846990514508</v>
      </c>
      <c r="BV120" s="51">
        <f t="shared" si="254"/>
        <v>1805.9789934237986</v>
      </c>
      <c r="BW120" s="51">
        <f t="shared" si="255"/>
        <v>1925.2639059394405</v>
      </c>
      <c r="BX120" s="51">
        <f t="shared" si="256"/>
        <v>2052.4275869267408</v>
      </c>
      <c r="BY120" s="51">
        <f t="shared" si="257"/>
        <v>2187.9904290432514</v>
      </c>
      <c r="BZ120" s="51">
        <f t="shared" si="258"/>
        <v>2332.5071968815578</v>
      </c>
      <c r="CA120" s="51">
        <f t="shared" si="259"/>
        <v>2486.5692972355846</v>
      </c>
      <c r="CB120" s="51">
        <f t="shared" si="260"/>
        <v>2650.8071993179956</v>
      </c>
      <c r="CC120" s="51">
        <f t="shared" si="261"/>
        <v>2825.8930148329491</v>
      </c>
      <c r="CD120" s="51">
        <f t="shared" si="262"/>
        <v>3012.5432484626649</v>
      </c>
      <c r="CE120" s="51"/>
      <c r="CF120" s="435"/>
      <c r="CG120" s="235">
        <f t="shared" si="291"/>
        <v>0</v>
      </c>
      <c r="CH120" s="235">
        <f t="shared" si="266"/>
        <v>0</v>
      </c>
      <c r="CI120" s="235" t="e">
        <f>BM120-#REF!</f>
        <v>#REF!</v>
      </c>
      <c r="CJ120" s="235">
        <f t="shared" si="271"/>
        <v>0</v>
      </c>
      <c r="CK120" s="235">
        <f t="shared" si="272"/>
        <v>0</v>
      </c>
      <c r="CL120" s="235">
        <f t="shared" si="273"/>
        <v>0</v>
      </c>
      <c r="CM120" s="235">
        <f t="shared" si="274"/>
        <v>0</v>
      </c>
      <c r="CN120" s="235">
        <f t="shared" si="275"/>
        <v>0</v>
      </c>
      <c r="CO120" s="235">
        <f t="shared" si="276"/>
        <v>0</v>
      </c>
      <c r="CP120" s="235">
        <f t="shared" si="277"/>
        <v>0</v>
      </c>
      <c r="CQ120" s="235">
        <f t="shared" si="278"/>
        <v>0</v>
      </c>
      <c r="CR120" s="235">
        <f t="shared" si="279"/>
        <v>0</v>
      </c>
      <c r="CS120" s="235">
        <f t="shared" si="280"/>
        <v>0</v>
      </c>
      <c r="CT120" s="235">
        <f t="shared" si="281"/>
        <v>0</v>
      </c>
      <c r="CU120" s="235">
        <f t="shared" si="282"/>
        <v>0</v>
      </c>
      <c r="CV120" s="235">
        <f t="shared" si="283"/>
        <v>0</v>
      </c>
      <c r="CW120" s="235">
        <f t="shared" si="284"/>
        <v>0</v>
      </c>
      <c r="CX120" s="235">
        <f t="shared" si="285"/>
        <v>0</v>
      </c>
      <c r="CY120" s="235">
        <f t="shared" si="286"/>
        <v>0</v>
      </c>
      <c r="CZ120" s="235">
        <f t="shared" si="287"/>
        <v>0</v>
      </c>
      <c r="DA120" s="38"/>
      <c r="DB120" s="236">
        <v>405.93083849599998</v>
      </c>
      <c r="DC120" s="236">
        <v>406.93083849599992</v>
      </c>
      <c r="DD120" s="236">
        <v>448.46740794890724</v>
      </c>
      <c r="DE120" s="236">
        <v>544.31404521948673</v>
      </c>
      <c r="DF120" s="401">
        <v>619.088329305</v>
      </c>
      <c r="DG120" s="236">
        <v>630.0844787499999</v>
      </c>
      <c r="DH120" s="492">
        <v>730.98485525000001</v>
      </c>
      <c r="DI120" s="236">
        <v>780.32727524999996</v>
      </c>
      <c r="DJ120" s="236">
        <v>834.50539797060753</v>
      </c>
      <c r="DK120" s="236">
        <v>919.21846098425817</v>
      </c>
      <c r="DL120" s="236">
        <v>1269.441841584385</v>
      </c>
      <c r="DM120" s="236">
        <v>1398.306564304957</v>
      </c>
      <c r="DN120" s="236">
        <v>1490.6647128772995</v>
      </c>
      <c r="DO120" s="236">
        <v>1589.1231171628449</v>
      </c>
      <c r="DP120" s="236">
        <v>1694.0846990514508</v>
      </c>
      <c r="DQ120" s="401">
        <v>1805.9789934237986</v>
      </c>
      <c r="DR120" s="401">
        <v>1925.2639059394405</v>
      </c>
      <c r="DS120" s="401">
        <v>2052.4275869267408</v>
      </c>
      <c r="DT120" s="401">
        <v>2187.9904290432514</v>
      </c>
      <c r="DU120" s="401">
        <v>2332.5071968815578</v>
      </c>
      <c r="DV120" s="401">
        <v>2486.5692972355846</v>
      </c>
      <c r="DW120" s="401">
        <v>2650.8071993179956</v>
      </c>
      <c r="DX120" s="401">
        <v>2825.8930148329491</v>
      </c>
      <c r="DY120" s="401">
        <v>3012.5432484626649</v>
      </c>
      <c r="DZ120" s="401"/>
      <c r="EA120" s="989"/>
    </row>
    <row r="121" spans="1:131" s="76" customFormat="1">
      <c r="A121" s="76" t="s">
        <v>3870</v>
      </c>
      <c r="B121" s="80" t="s">
        <v>638</v>
      </c>
      <c r="C121" s="51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51">
        <f t="shared" si="288"/>
        <v>0</v>
      </c>
      <c r="AR121" s="51">
        <f t="shared" si="288"/>
        <v>0</v>
      </c>
      <c r="AS121" s="51">
        <f t="shared" si="288"/>
        <v>0</v>
      </c>
      <c r="AT121" s="51">
        <f t="shared" si="288"/>
        <v>0</v>
      </c>
      <c r="AU121" s="51">
        <f t="shared" si="288"/>
        <v>0</v>
      </c>
      <c r="AV121" s="51">
        <f t="shared" si="288"/>
        <v>0</v>
      </c>
      <c r="AW121" s="51">
        <f>(AW32*AV75)/1000</f>
        <v>0</v>
      </c>
      <c r="AX121" s="51">
        <f t="shared" ref="AX121:BI121" si="308">(AX32*AW75)/1000</f>
        <v>0</v>
      </c>
      <c r="AY121" s="51">
        <f t="shared" si="308"/>
        <v>0</v>
      </c>
      <c r="AZ121" s="51">
        <f t="shared" si="308"/>
        <v>0</v>
      </c>
      <c r="BA121" s="51">
        <f t="shared" si="308"/>
        <v>0</v>
      </c>
      <c r="BB121" s="51">
        <f t="shared" si="308"/>
        <v>0</v>
      </c>
      <c r="BC121" s="51">
        <f t="shared" si="308"/>
        <v>0</v>
      </c>
      <c r="BD121" s="51">
        <f t="shared" si="308"/>
        <v>0</v>
      </c>
      <c r="BE121" s="51">
        <f t="shared" si="308"/>
        <v>0</v>
      </c>
      <c r="BF121" s="51">
        <f t="shared" si="308"/>
        <v>0</v>
      </c>
      <c r="BG121" s="51">
        <f t="shared" si="308"/>
        <v>0</v>
      </c>
      <c r="BH121" s="51">
        <f t="shared" si="308"/>
        <v>0</v>
      </c>
      <c r="BI121" s="51">
        <f t="shared" si="308"/>
        <v>0</v>
      </c>
      <c r="BJ121" s="51">
        <f t="shared" ref="BJ121:BQ121" si="309">(BJ32*BI75)/1000</f>
        <v>0</v>
      </c>
      <c r="BK121" s="51">
        <f t="shared" si="309"/>
        <v>0</v>
      </c>
      <c r="BL121" s="51">
        <f t="shared" si="309"/>
        <v>0</v>
      </c>
      <c r="BM121" s="51">
        <f t="shared" si="309"/>
        <v>0</v>
      </c>
      <c r="BN121" s="51">
        <f t="shared" si="309"/>
        <v>0</v>
      </c>
      <c r="BO121" s="51">
        <f t="shared" si="309"/>
        <v>0</v>
      </c>
      <c r="BP121" s="51">
        <f t="shared" si="309"/>
        <v>0</v>
      </c>
      <c r="BQ121" s="51">
        <f t="shared" si="309"/>
        <v>0</v>
      </c>
      <c r="BR121" s="51">
        <f t="shared" si="250"/>
        <v>0</v>
      </c>
      <c r="BS121" s="51">
        <f t="shared" si="251"/>
        <v>0</v>
      </c>
      <c r="BT121" s="51">
        <f t="shared" si="252"/>
        <v>0</v>
      </c>
      <c r="BU121" s="51">
        <f t="shared" si="253"/>
        <v>0</v>
      </c>
      <c r="BV121" s="51">
        <f t="shared" si="254"/>
        <v>0</v>
      </c>
      <c r="BW121" s="51">
        <f t="shared" si="255"/>
        <v>0</v>
      </c>
      <c r="BX121" s="51">
        <f t="shared" si="256"/>
        <v>0</v>
      </c>
      <c r="BY121" s="51">
        <f t="shared" si="257"/>
        <v>0</v>
      </c>
      <c r="BZ121" s="51">
        <f t="shared" si="258"/>
        <v>0</v>
      </c>
      <c r="CA121" s="51">
        <f t="shared" si="259"/>
        <v>0</v>
      </c>
      <c r="CB121" s="51">
        <f t="shared" si="260"/>
        <v>0</v>
      </c>
      <c r="CC121" s="51">
        <f t="shared" si="261"/>
        <v>0</v>
      </c>
      <c r="CD121" s="51">
        <f t="shared" si="262"/>
        <v>0</v>
      </c>
      <c r="CE121" s="51"/>
      <c r="CF121" s="435"/>
      <c r="CG121" s="235">
        <f t="shared" si="291"/>
        <v>0</v>
      </c>
      <c r="CH121" s="235">
        <f t="shared" si="266"/>
        <v>0</v>
      </c>
      <c r="CI121" s="235" t="e">
        <f>BM121-#REF!</f>
        <v>#REF!</v>
      </c>
      <c r="CJ121" s="235">
        <f t="shared" si="271"/>
        <v>0</v>
      </c>
      <c r="CK121" s="235">
        <f t="shared" si="272"/>
        <v>0</v>
      </c>
      <c r="CL121" s="235">
        <f t="shared" si="273"/>
        <v>0</v>
      </c>
      <c r="CM121" s="235">
        <f t="shared" si="274"/>
        <v>0</v>
      </c>
      <c r="CN121" s="235">
        <f t="shared" si="275"/>
        <v>0</v>
      </c>
      <c r="CO121" s="235">
        <f t="shared" si="276"/>
        <v>0</v>
      </c>
      <c r="CP121" s="235">
        <f t="shared" si="277"/>
        <v>0</v>
      </c>
      <c r="CQ121" s="235">
        <f t="shared" si="278"/>
        <v>0</v>
      </c>
      <c r="CR121" s="235">
        <f t="shared" si="279"/>
        <v>0</v>
      </c>
      <c r="CS121" s="235">
        <f t="shared" si="280"/>
        <v>0</v>
      </c>
      <c r="CT121" s="235">
        <f t="shared" si="281"/>
        <v>0</v>
      </c>
      <c r="CU121" s="235">
        <f t="shared" si="282"/>
        <v>0</v>
      </c>
      <c r="CV121" s="235">
        <f t="shared" si="283"/>
        <v>0</v>
      </c>
      <c r="CW121" s="235">
        <f t="shared" si="284"/>
        <v>0</v>
      </c>
      <c r="CX121" s="235">
        <f t="shared" si="285"/>
        <v>0</v>
      </c>
      <c r="CY121" s="235">
        <f t="shared" si="286"/>
        <v>0</v>
      </c>
      <c r="CZ121" s="235">
        <f t="shared" si="287"/>
        <v>0</v>
      </c>
      <c r="DA121" s="38"/>
      <c r="DB121" s="236">
        <v>-1</v>
      </c>
      <c r="DC121" s="236">
        <v>0</v>
      </c>
      <c r="DD121" s="236">
        <v>0</v>
      </c>
      <c r="DE121" s="236">
        <v>0</v>
      </c>
      <c r="DF121" s="401">
        <v>0</v>
      </c>
      <c r="DG121" s="236">
        <v>0</v>
      </c>
      <c r="DH121" s="492">
        <v>0</v>
      </c>
      <c r="DI121" s="236">
        <v>0</v>
      </c>
      <c r="DJ121" s="236">
        <v>0</v>
      </c>
      <c r="DK121" s="236">
        <v>0</v>
      </c>
      <c r="DL121" s="236">
        <v>0</v>
      </c>
      <c r="DM121" s="236">
        <v>0</v>
      </c>
      <c r="DN121" s="236">
        <v>0</v>
      </c>
      <c r="DO121" s="236">
        <v>0</v>
      </c>
      <c r="DP121" s="236">
        <v>0</v>
      </c>
      <c r="DQ121" s="401">
        <v>0</v>
      </c>
      <c r="DR121" s="401">
        <v>0</v>
      </c>
      <c r="DS121" s="401">
        <v>0</v>
      </c>
      <c r="DT121" s="401">
        <v>0</v>
      </c>
      <c r="DU121" s="401">
        <v>0</v>
      </c>
      <c r="DV121" s="401">
        <v>0</v>
      </c>
      <c r="DW121" s="401">
        <v>0</v>
      </c>
      <c r="DX121" s="401">
        <v>0</v>
      </c>
      <c r="DY121" s="401">
        <v>0</v>
      </c>
      <c r="DZ121" s="401"/>
      <c r="EA121" s="989"/>
    </row>
    <row r="122" spans="1:131" s="19" customFormat="1">
      <c r="B122" s="20"/>
      <c r="C122" s="92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92"/>
      <c r="AV122" s="90"/>
      <c r="AW122" s="90"/>
      <c r="AX122" s="90"/>
      <c r="AY122" s="90"/>
      <c r="AZ122" s="90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1"/>
      <c r="CD122" s="91"/>
      <c r="CE122" s="91"/>
      <c r="CF122" s="435"/>
      <c r="CG122" s="235">
        <f t="shared" si="291"/>
        <v>0</v>
      </c>
      <c r="CH122" s="235">
        <f t="shared" si="266"/>
        <v>0</v>
      </c>
      <c r="CI122" s="235" t="e">
        <f>BM122-#REF!</f>
        <v>#REF!</v>
      </c>
      <c r="CJ122" s="235">
        <f t="shared" si="271"/>
        <v>0</v>
      </c>
      <c r="CK122" s="235">
        <f t="shared" si="272"/>
        <v>0</v>
      </c>
      <c r="CL122" s="235">
        <f t="shared" si="273"/>
        <v>0</v>
      </c>
      <c r="CM122" s="235">
        <f t="shared" si="274"/>
        <v>0</v>
      </c>
      <c r="CN122" s="235">
        <f t="shared" si="275"/>
        <v>0</v>
      </c>
      <c r="CO122" s="235">
        <f t="shared" si="276"/>
        <v>0</v>
      </c>
      <c r="CP122" s="235">
        <f t="shared" si="277"/>
        <v>0</v>
      </c>
      <c r="CQ122" s="235">
        <f t="shared" si="278"/>
        <v>0</v>
      </c>
      <c r="CR122" s="235">
        <f t="shared" si="279"/>
        <v>0</v>
      </c>
      <c r="CS122" s="235">
        <f t="shared" si="280"/>
        <v>0</v>
      </c>
      <c r="CT122" s="235">
        <f t="shared" si="281"/>
        <v>0</v>
      </c>
      <c r="CU122" s="235">
        <f t="shared" si="282"/>
        <v>0</v>
      </c>
      <c r="CV122" s="235">
        <f t="shared" si="283"/>
        <v>0</v>
      </c>
      <c r="CW122" s="235">
        <f t="shared" si="284"/>
        <v>0</v>
      </c>
      <c r="CX122" s="235">
        <f t="shared" si="285"/>
        <v>0</v>
      </c>
      <c r="CY122" s="235">
        <f t="shared" si="286"/>
        <v>0</v>
      </c>
      <c r="CZ122" s="235">
        <f t="shared" si="287"/>
        <v>0</v>
      </c>
      <c r="DA122" s="38"/>
      <c r="DB122" s="236"/>
      <c r="DC122" s="236"/>
      <c r="DD122" s="236"/>
      <c r="DE122" s="236"/>
      <c r="DF122" s="401"/>
      <c r="DG122" s="236"/>
      <c r="DH122" s="492"/>
      <c r="DI122" s="236"/>
      <c r="DJ122" s="236"/>
      <c r="DK122" s="236"/>
      <c r="DL122" s="236"/>
      <c r="DM122" s="236"/>
      <c r="DN122" s="236"/>
      <c r="DO122" s="236"/>
      <c r="DP122" s="236"/>
      <c r="DQ122" s="1084"/>
      <c r="DR122" s="1084"/>
      <c r="DS122" s="1084"/>
      <c r="DT122" s="1084"/>
      <c r="DU122" s="1084"/>
      <c r="DV122" s="1084"/>
      <c r="DW122" s="1084"/>
      <c r="DX122" s="1084"/>
      <c r="DY122" s="1084"/>
      <c r="DZ122" s="1084"/>
      <c r="EA122" s="988"/>
    </row>
    <row r="123" spans="1:131" s="76" customFormat="1">
      <c r="A123" s="139" t="s">
        <v>2816</v>
      </c>
      <c r="B123" s="139" t="s">
        <v>2152</v>
      </c>
      <c r="C123" s="256" t="s">
        <v>3738</v>
      </c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51">
        <f>SUM(AP124:AP143)</f>
        <v>0.8517964478563822</v>
      </c>
      <c r="AQ123" s="51">
        <f t="shared" ref="AQ123:AV123" si="310">SUM(AQ124:AQ143)</f>
        <v>0.68422157926857985</v>
      </c>
      <c r="AR123" s="51">
        <f t="shared" si="310"/>
        <v>0.6180092896560121</v>
      </c>
      <c r="AS123" s="51">
        <f t="shared" si="310"/>
        <v>2.2708058988955742</v>
      </c>
      <c r="AT123" s="51">
        <f t="shared" si="310"/>
        <v>59.593001397047416</v>
      </c>
      <c r="AU123" s="51">
        <f t="shared" si="310"/>
        <v>179.03696405020517</v>
      </c>
      <c r="AV123" s="51">
        <f t="shared" si="310"/>
        <v>186.87021157364185</v>
      </c>
      <c r="AW123" s="51">
        <f t="shared" ref="AW123:BJ123" si="311">SUM(AW124:AW143)</f>
        <v>205.98806208590716</v>
      </c>
      <c r="AX123" s="51">
        <f t="shared" si="311"/>
        <v>198.06599247925072</v>
      </c>
      <c r="AY123" s="51">
        <f t="shared" si="311"/>
        <v>435.95677565099589</v>
      </c>
      <c r="AZ123" s="51">
        <f t="shared" si="311"/>
        <v>739.73103368221246</v>
      </c>
      <c r="BA123" s="51">
        <f t="shared" si="311"/>
        <v>1096.3619682195658</v>
      </c>
      <c r="BB123" s="51">
        <f t="shared" si="311"/>
        <v>1085.3413323304285</v>
      </c>
      <c r="BC123" s="51">
        <f t="shared" si="311"/>
        <v>1300.4098581486496</v>
      </c>
      <c r="BD123" s="51">
        <f t="shared" si="311"/>
        <v>1957.7820634406548</v>
      </c>
      <c r="BE123" s="51">
        <f t="shared" si="311"/>
        <v>2568.5016977665487</v>
      </c>
      <c r="BF123" s="51">
        <f t="shared" si="311"/>
        <v>3334.6886462269981</v>
      </c>
      <c r="BG123" s="51">
        <f t="shared" si="311"/>
        <v>3848.484731026484</v>
      </c>
      <c r="BH123" s="51">
        <f t="shared" si="311"/>
        <v>4520.7409409252978</v>
      </c>
      <c r="BI123" s="51">
        <f t="shared" si="311"/>
        <v>4475.7331628746506</v>
      </c>
      <c r="BJ123" s="51">
        <f t="shared" si="311"/>
        <v>5557.0233219547436</v>
      </c>
      <c r="BK123" s="51">
        <f t="shared" ref="BK123:BQ123" si="312">SUM(BK124:BK143)</f>
        <v>7900.9268250468658</v>
      </c>
      <c r="BL123" s="51">
        <f t="shared" si="312"/>
        <v>8440.4594372112988</v>
      </c>
      <c r="BM123" s="51">
        <f t="shared" si="312"/>
        <v>7543.33815828549</v>
      </c>
      <c r="BN123" s="51">
        <f t="shared" si="312"/>
        <v>7000.0452567008479</v>
      </c>
      <c r="BO123" s="51">
        <f t="shared" si="312"/>
        <v>6440.9893709117623</v>
      </c>
      <c r="BP123" s="51">
        <f t="shared" si="312"/>
        <v>7136.6104273874371</v>
      </c>
      <c r="BQ123" s="51">
        <f t="shared" si="312"/>
        <v>7612.6229589021586</v>
      </c>
      <c r="BR123" s="51">
        <f>SUM(BR124:BR143)</f>
        <v>9220.7726560119172</v>
      </c>
      <c r="BS123" s="51">
        <f>SUM(BS124:BS143)</f>
        <v>9784.0947689884815</v>
      </c>
      <c r="BT123" s="51">
        <f>SUM(BT124:BT143)</f>
        <v>9649.905997020729</v>
      </c>
      <c r="BU123" s="51">
        <f>SUM(BU124:BU143)</f>
        <v>9842.7363377413531</v>
      </c>
      <c r="BV123" s="51">
        <f>SUM(BV124:BV143)</f>
        <v>10261.813119262177</v>
      </c>
      <c r="BW123" s="51">
        <f t="shared" ref="BW123:BX123" si="313">SUM(BW124:BW143)</f>
        <v>10703.09561129595</v>
      </c>
      <c r="BX123" s="51">
        <f t="shared" si="313"/>
        <v>11167.912596998389</v>
      </c>
      <c r="BY123" s="51">
        <f t="shared" ref="BY123:CD123" si="314">SUM(BY124:BY143)</f>
        <v>11657.683399348007</v>
      </c>
      <c r="BZ123" s="51">
        <f t="shared" si="314"/>
        <v>12398.286330705434</v>
      </c>
      <c r="CA123" s="51">
        <f t="shared" si="314"/>
        <v>13191.961066377095</v>
      </c>
      <c r="CB123" s="51">
        <f t="shared" si="314"/>
        <v>14042.582593961281</v>
      </c>
      <c r="CC123" s="51">
        <f t="shared" si="314"/>
        <v>14954.314856817886</v>
      </c>
      <c r="CD123" s="51">
        <f t="shared" si="314"/>
        <v>15931.632860031876</v>
      </c>
      <c r="CE123" s="51"/>
      <c r="CF123" s="435"/>
      <c r="CG123" s="235">
        <f t="shared" si="291"/>
        <v>143.4074857896012</v>
      </c>
      <c r="CH123" s="235">
        <f t="shared" si="266"/>
        <v>0</v>
      </c>
      <c r="CI123" s="235" t="e">
        <f>BM123-#REF!</f>
        <v>#REF!</v>
      </c>
      <c r="CJ123" s="235">
        <f t="shared" si="271"/>
        <v>0</v>
      </c>
      <c r="CK123" s="235">
        <f t="shared" si="272"/>
        <v>0</v>
      </c>
      <c r="CL123" s="235">
        <f t="shared" si="273"/>
        <v>0</v>
      </c>
      <c r="CM123" s="235">
        <f t="shared" si="274"/>
        <v>0</v>
      </c>
      <c r="CN123" s="235">
        <f t="shared" si="275"/>
        <v>0</v>
      </c>
      <c r="CO123" s="235">
        <f t="shared" si="276"/>
        <v>0</v>
      </c>
      <c r="CP123" s="235">
        <f t="shared" si="277"/>
        <v>0</v>
      </c>
      <c r="CQ123" s="235">
        <f t="shared" si="278"/>
        <v>0</v>
      </c>
      <c r="CR123" s="235">
        <f t="shared" si="279"/>
        <v>0</v>
      </c>
      <c r="CS123" s="235">
        <f t="shared" si="280"/>
        <v>0</v>
      </c>
      <c r="CT123" s="235">
        <f t="shared" si="281"/>
        <v>0</v>
      </c>
      <c r="CU123" s="235">
        <f t="shared" si="282"/>
        <v>0</v>
      </c>
      <c r="CV123" s="235">
        <f t="shared" si="283"/>
        <v>0</v>
      </c>
      <c r="CW123" s="235">
        <f t="shared" si="284"/>
        <v>0</v>
      </c>
      <c r="CX123" s="235">
        <f t="shared" si="285"/>
        <v>0</v>
      </c>
      <c r="CY123" s="235">
        <f t="shared" si="286"/>
        <v>0</v>
      </c>
      <c r="CZ123" s="235">
        <f t="shared" si="287"/>
        <v>0</v>
      </c>
      <c r="DA123" s="38"/>
      <c r="DB123" s="236">
        <v>3303.2197567479402</v>
      </c>
      <c r="DC123" s="236">
        <v>3304.2197567479398</v>
      </c>
      <c r="DD123" s="236">
        <v>3887.4367414753765</v>
      </c>
      <c r="DE123" s="236">
        <v>4584.466972973436</v>
      </c>
      <c r="DF123" s="401">
        <v>4505.8935737278662</v>
      </c>
      <c r="DG123" s="236">
        <v>7757.5193392572646</v>
      </c>
      <c r="DH123" s="492">
        <v>8440.4594372112988</v>
      </c>
      <c r="DI123" s="236">
        <v>7000.0452567008479</v>
      </c>
      <c r="DJ123" s="236">
        <v>6440.9893709117623</v>
      </c>
      <c r="DK123" s="236">
        <v>7136.6104273874371</v>
      </c>
      <c r="DL123" s="236">
        <v>7612.6229589021586</v>
      </c>
      <c r="DM123" s="236">
        <v>9220.7726560119172</v>
      </c>
      <c r="DN123" s="236">
        <v>9784.0947689884815</v>
      </c>
      <c r="DO123" s="236">
        <v>9649.905997020729</v>
      </c>
      <c r="DP123" s="236">
        <v>9842.7363377413531</v>
      </c>
      <c r="DQ123" s="401">
        <v>10261.813119262177</v>
      </c>
      <c r="DR123" s="401">
        <v>10703.09561129595</v>
      </c>
      <c r="DS123" s="401">
        <v>11167.912596998389</v>
      </c>
      <c r="DT123" s="401">
        <v>11657.683399348007</v>
      </c>
      <c r="DU123" s="401">
        <v>12398.286330705434</v>
      </c>
      <c r="DV123" s="401">
        <v>13191.961066377095</v>
      </c>
      <c r="DW123" s="401">
        <v>14042.582593961281</v>
      </c>
      <c r="DX123" s="401">
        <v>14954.314856817886</v>
      </c>
      <c r="DY123" s="401">
        <v>15931.632860031876</v>
      </c>
      <c r="DZ123" s="401"/>
      <c r="EA123" s="989"/>
    </row>
    <row r="124" spans="1:131" s="76" customFormat="1">
      <c r="A124" s="76" t="s">
        <v>3857</v>
      </c>
      <c r="B124" s="73" t="s">
        <v>2072</v>
      </c>
      <c r="C124" s="51" t="s">
        <v>2547</v>
      </c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51">
        <f t="shared" ref="AP124:BQ124" si="315">(AO13*AP56)/1000</f>
        <v>0.66926343046540537</v>
      </c>
      <c r="AQ124" s="51">
        <f t="shared" si="315"/>
        <v>0.47019210564087843</v>
      </c>
      <c r="AR124" s="51">
        <f t="shared" si="315"/>
        <v>0.39787756342494718</v>
      </c>
      <c r="AS124" s="51">
        <f t="shared" si="315"/>
        <v>1.8062158894888156</v>
      </c>
      <c r="AT124" s="51">
        <f t="shared" si="315"/>
        <v>43.627436541516239</v>
      </c>
      <c r="AU124" s="51">
        <f t="shared" si="315"/>
        <v>119.49113697982344</v>
      </c>
      <c r="AV124" s="51">
        <f t="shared" si="315"/>
        <v>121.75582273399999</v>
      </c>
      <c r="AW124" s="51">
        <f t="shared" si="315"/>
        <v>122.65537776000001</v>
      </c>
      <c r="AX124" s="51">
        <f t="shared" si="315"/>
        <v>113.15438451000001</v>
      </c>
      <c r="AY124" s="51">
        <f t="shared" si="315"/>
        <v>239.21939479199995</v>
      </c>
      <c r="AZ124" s="51">
        <f t="shared" si="315"/>
        <v>450.59432574299979</v>
      </c>
      <c r="BA124" s="51">
        <f t="shared" si="315"/>
        <v>704.62488675149973</v>
      </c>
      <c r="BB124" s="51">
        <f t="shared" si="315"/>
        <v>682.88987550864988</v>
      </c>
      <c r="BC124" s="51">
        <f t="shared" si="315"/>
        <v>807.57712490239976</v>
      </c>
      <c r="BD124" s="51">
        <f t="shared" si="315"/>
        <v>1138.1717731799995</v>
      </c>
      <c r="BE124" s="51">
        <f t="shared" si="315"/>
        <v>1277.4079499999996</v>
      </c>
      <c r="BF124" s="51">
        <f t="shared" si="315"/>
        <v>1611.7453099999996</v>
      </c>
      <c r="BG124" s="51">
        <f t="shared" si="315"/>
        <v>1897.7167023749994</v>
      </c>
      <c r="BH124" s="51">
        <f t="shared" si="315"/>
        <v>1946.3559310799994</v>
      </c>
      <c r="BI124" s="51">
        <f t="shared" si="315"/>
        <v>1302.6538034999992</v>
      </c>
      <c r="BJ124" s="51">
        <f t="shared" si="315"/>
        <v>1337.7003911022566</v>
      </c>
      <c r="BK124" s="51">
        <f t="shared" si="315"/>
        <v>1703.9687000699989</v>
      </c>
      <c r="BL124" s="51">
        <f t="shared" si="315"/>
        <v>1413.2447552339991</v>
      </c>
      <c r="BM124" s="51">
        <f t="shared" si="315"/>
        <v>1213.6683476499993</v>
      </c>
      <c r="BN124" s="51">
        <f t="shared" si="315"/>
        <v>1233.9475424999994</v>
      </c>
      <c r="BO124" s="51">
        <f t="shared" si="315"/>
        <v>1250.4481624944183</v>
      </c>
      <c r="BP124" s="51">
        <f t="shared" si="315"/>
        <v>1050.4048166596365</v>
      </c>
      <c r="BQ124" s="51">
        <f t="shared" si="315"/>
        <v>1.0819169545841069E-5</v>
      </c>
      <c r="BR124" s="51">
        <f t="shared" ref="BR124:BR143" si="316">(BQ13*BR56)/1000</f>
        <v>1.1143744632216302E-5</v>
      </c>
      <c r="BS124" s="51">
        <f t="shared" ref="BS124:BS143" si="317">(BR13*BS56)/1000</f>
        <v>1.1478056971182789E-5</v>
      </c>
      <c r="BT124" s="51">
        <f t="shared" ref="BT124:BT143" si="318">(BS13*BT56)/1000</f>
        <v>1.1822398680318274E-5</v>
      </c>
      <c r="BU124" s="51">
        <f t="shared" ref="BU124:BU143" si="319">(BT13*BU56)/1000</f>
        <v>1.2177070640727821E-5</v>
      </c>
      <c r="BV124" s="51">
        <f t="shared" ref="BV124:BV143" si="320">(BU13*BV56)/1000</f>
        <v>1.2542382759949657E-5</v>
      </c>
      <c r="BW124" s="51">
        <f t="shared" ref="BW124:BW143" si="321">(BV13*BW56)/1000</f>
        <v>1.2918654242748146E-5</v>
      </c>
      <c r="BX124" s="51">
        <f t="shared" ref="BX124:BX143" si="322">(BW13*BX56)/1000</f>
        <v>1.330621387003059E-5</v>
      </c>
      <c r="BY124" s="51">
        <f t="shared" ref="BY124:BY143" si="323">(BX13*BY56)/1000</f>
        <v>1.370540028613151E-5</v>
      </c>
      <c r="BZ124" s="51">
        <f t="shared" ref="BZ124:BZ143" si="324">(BY13*BZ56)/1000</f>
        <v>1.4116562294715457E-5</v>
      </c>
      <c r="CA124" s="51">
        <f t="shared" ref="CA124:CA143" si="325">(BZ13*CA56)/1000</f>
        <v>1.454005916355692E-5</v>
      </c>
      <c r="CB124" s="51">
        <f t="shared" ref="CB124:CB143" si="326">(CA13*CB56)/1000</f>
        <v>1.4976260938463628E-5</v>
      </c>
      <c r="CC124" s="51">
        <f t="shared" ref="CC124:CC143" si="327">(CB13*CC56)/1000</f>
        <v>1.5425548766617538E-5</v>
      </c>
      <c r="CD124" s="51">
        <f t="shared" ref="CD124:CD143" si="328">(CC13*CD56)/1000</f>
        <v>1.5888315229616066E-5</v>
      </c>
      <c r="CE124" s="51"/>
      <c r="CF124" s="435"/>
      <c r="CG124" s="235">
        <f t="shared" si="291"/>
        <v>29.138387457979434</v>
      </c>
      <c r="CH124" s="235">
        <f t="shared" si="266"/>
        <v>0</v>
      </c>
      <c r="CI124" s="235" t="e">
        <f>BM124-#REF!</f>
        <v>#REF!</v>
      </c>
      <c r="CJ124" s="235">
        <f t="shared" si="271"/>
        <v>0</v>
      </c>
      <c r="CK124" s="235">
        <f t="shared" si="272"/>
        <v>0</v>
      </c>
      <c r="CL124" s="235">
        <f t="shared" si="273"/>
        <v>0</v>
      </c>
      <c r="CM124" s="235">
        <f t="shared" si="274"/>
        <v>0</v>
      </c>
      <c r="CN124" s="235">
        <f t="shared" si="275"/>
        <v>0</v>
      </c>
      <c r="CO124" s="235">
        <f t="shared" si="276"/>
        <v>0</v>
      </c>
      <c r="CP124" s="235">
        <f t="shared" si="277"/>
        <v>0</v>
      </c>
      <c r="CQ124" s="235">
        <f t="shared" si="278"/>
        <v>0</v>
      </c>
      <c r="CR124" s="235">
        <f t="shared" si="279"/>
        <v>0</v>
      </c>
      <c r="CS124" s="235">
        <f t="shared" si="280"/>
        <v>0</v>
      </c>
      <c r="CT124" s="235">
        <f t="shared" si="281"/>
        <v>0</v>
      </c>
      <c r="CU124" s="235">
        <f t="shared" si="282"/>
        <v>0</v>
      </c>
      <c r="CV124" s="235">
        <f t="shared" si="283"/>
        <v>0</v>
      </c>
      <c r="CW124" s="235">
        <f t="shared" si="284"/>
        <v>0</v>
      </c>
      <c r="CX124" s="235">
        <f t="shared" si="285"/>
        <v>0</v>
      </c>
      <c r="CY124" s="235">
        <f t="shared" si="286"/>
        <v>0</v>
      </c>
      <c r="CZ124" s="235">
        <f t="shared" si="287"/>
        <v>0</v>
      </c>
      <c r="DA124" s="38"/>
      <c r="DB124" s="236">
        <v>1617.0962269500001</v>
      </c>
      <c r="DC124" s="236">
        <v>1618.0962269499996</v>
      </c>
      <c r="DD124" s="236">
        <v>1893.9796602533995</v>
      </c>
      <c r="DE124" s="236">
        <v>1946.3559310799994</v>
      </c>
      <c r="DF124" s="401">
        <v>1302.6538034999992</v>
      </c>
      <c r="DG124" s="236">
        <v>1674.8303126120195</v>
      </c>
      <c r="DH124" s="492">
        <v>1413.2447552339991</v>
      </c>
      <c r="DI124" s="236">
        <v>1233.9475424999994</v>
      </c>
      <c r="DJ124" s="236">
        <v>1250.4481624944183</v>
      </c>
      <c r="DK124" s="236">
        <v>1050.4048166596365</v>
      </c>
      <c r="DL124" s="236">
        <v>1.0819169545841069E-5</v>
      </c>
      <c r="DM124" s="236">
        <v>1.1143744632216302E-5</v>
      </c>
      <c r="DN124" s="236">
        <v>1.1478056971182789E-5</v>
      </c>
      <c r="DO124" s="236">
        <v>1.1822398680318274E-5</v>
      </c>
      <c r="DP124" s="236">
        <v>1.2177070640727821E-5</v>
      </c>
      <c r="DQ124" s="401">
        <v>1.2542382759949657E-5</v>
      </c>
      <c r="DR124" s="401">
        <v>1.2918654242748146E-5</v>
      </c>
      <c r="DS124" s="401">
        <v>1.330621387003059E-5</v>
      </c>
      <c r="DT124" s="401">
        <v>1.370540028613151E-5</v>
      </c>
      <c r="DU124" s="401">
        <v>1.4116562294715457E-5</v>
      </c>
      <c r="DV124" s="401">
        <v>1.454005916355692E-5</v>
      </c>
      <c r="DW124" s="401">
        <v>1.4976260938463628E-5</v>
      </c>
      <c r="DX124" s="401">
        <v>1.5425548766617538E-5</v>
      </c>
      <c r="DY124" s="401">
        <v>1.5888315229616066E-5</v>
      </c>
      <c r="DZ124" s="401"/>
      <c r="EA124" s="989"/>
    </row>
    <row r="125" spans="1:131" s="76" customFormat="1">
      <c r="A125" s="73" t="s">
        <v>3172</v>
      </c>
      <c r="B125" s="73" t="s">
        <v>3172</v>
      </c>
      <c r="C125" s="51" t="s">
        <v>2548</v>
      </c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51">
        <f t="shared" ref="AP125:BQ125" si="329">(AO14*AP57)/1000</f>
        <v>6.5821532846715325E-2</v>
      </c>
      <c r="AQ125" s="51">
        <f t="shared" si="329"/>
        <v>7.5120574162679435E-2</v>
      </c>
      <c r="AR125" s="51">
        <f t="shared" si="329"/>
        <v>4.5071304347826087E-2</v>
      </c>
      <c r="AS125" s="51">
        <f t="shared" si="329"/>
        <v>0.31110104529616728</v>
      </c>
      <c r="AT125" s="51">
        <f t="shared" si="329"/>
        <v>6.0593735999999998</v>
      </c>
      <c r="AU125" s="51">
        <f t="shared" si="329"/>
        <v>19.132711026615972</v>
      </c>
      <c r="AV125" s="51">
        <f t="shared" si="329"/>
        <v>16.324200619125001</v>
      </c>
      <c r="AW125" s="51">
        <f t="shared" si="329"/>
        <v>17.593875000000004</v>
      </c>
      <c r="AX125" s="51">
        <f t="shared" si="329"/>
        <v>15.494640000000002</v>
      </c>
      <c r="AY125" s="51">
        <f t="shared" si="329"/>
        <v>30.627758434000004</v>
      </c>
      <c r="AZ125" s="51">
        <f t="shared" si="329"/>
        <v>0</v>
      </c>
      <c r="BA125" s="51">
        <f t="shared" si="329"/>
        <v>0</v>
      </c>
      <c r="BB125" s="51">
        <f t="shared" si="329"/>
        <v>0</v>
      </c>
      <c r="BC125" s="51">
        <f t="shared" si="329"/>
        <v>0</v>
      </c>
      <c r="BD125" s="51">
        <f t="shared" si="329"/>
        <v>0</v>
      </c>
      <c r="BE125" s="51">
        <f t="shared" si="329"/>
        <v>0</v>
      </c>
      <c r="BF125" s="51">
        <f t="shared" si="329"/>
        <v>0</v>
      </c>
      <c r="BG125" s="51">
        <f t="shared" si="329"/>
        <v>0</v>
      </c>
      <c r="BH125" s="51">
        <f t="shared" si="329"/>
        <v>0</v>
      </c>
      <c r="BI125" s="51">
        <f t="shared" si="329"/>
        <v>0</v>
      </c>
      <c r="BJ125" s="51">
        <f t="shared" si="329"/>
        <v>0</v>
      </c>
      <c r="BK125" s="51">
        <f t="shared" si="329"/>
        <v>0</v>
      </c>
      <c r="BL125" s="51">
        <f t="shared" si="329"/>
        <v>0</v>
      </c>
      <c r="BM125" s="51">
        <f t="shared" si="329"/>
        <v>0</v>
      </c>
      <c r="BN125" s="51">
        <f t="shared" si="329"/>
        <v>0</v>
      </c>
      <c r="BO125" s="51">
        <f t="shared" si="329"/>
        <v>0</v>
      </c>
      <c r="BP125" s="51">
        <f t="shared" si="329"/>
        <v>0</v>
      </c>
      <c r="BQ125" s="51">
        <f t="shared" si="329"/>
        <v>0</v>
      </c>
      <c r="BR125" s="51">
        <f t="shared" si="316"/>
        <v>0</v>
      </c>
      <c r="BS125" s="51">
        <f t="shared" si="317"/>
        <v>0</v>
      </c>
      <c r="BT125" s="51">
        <f t="shared" si="318"/>
        <v>0</v>
      </c>
      <c r="BU125" s="51">
        <f t="shared" si="319"/>
        <v>0</v>
      </c>
      <c r="BV125" s="51">
        <f t="shared" si="320"/>
        <v>0</v>
      </c>
      <c r="BW125" s="51">
        <f t="shared" si="321"/>
        <v>0</v>
      </c>
      <c r="BX125" s="51">
        <f t="shared" si="322"/>
        <v>0</v>
      </c>
      <c r="BY125" s="51">
        <f t="shared" si="323"/>
        <v>0</v>
      </c>
      <c r="BZ125" s="51">
        <f t="shared" si="324"/>
        <v>0</v>
      </c>
      <c r="CA125" s="51">
        <f t="shared" si="325"/>
        <v>0</v>
      </c>
      <c r="CB125" s="51">
        <f t="shared" si="326"/>
        <v>0</v>
      </c>
      <c r="CC125" s="51">
        <f t="shared" si="327"/>
        <v>0</v>
      </c>
      <c r="CD125" s="51">
        <f t="shared" si="328"/>
        <v>0</v>
      </c>
      <c r="CE125" s="51"/>
      <c r="CF125" s="435"/>
      <c r="CG125" s="235">
        <f t="shared" si="291"/>
        <v>0</v>
      </c>
      <c r="CH125" s="235">
        <f t="shared" si="266"/>
        <v>0</v>
      </c>
      <c r="CI125" s="235" t="e">
        <f>BM125-#REF!</f>
        <v>#REF!</v>
      </c>
      <c r="CJ125" s="235">
        <f t="shared" si="271"/>
        <v>0</v>
      </c>
      <c r="CK125" s="235">
        <f t="shared" si="272"/>
        <v>0</v>
      </c>
      <c r="CL125" s="235">
        <f t="shared" si="273"/>
        <v>0</v>
      </c>
      <c r="CM125" s="235">
        <f t="shared" si="274"/>
        <v>0</v>
      </c>
      <c r="CN125" s="235">
        <f t="shared" si="275"/>
        <v>0</v>
      </c>
      <c r="CO125" s="235">
        <f t="shared" si="276"/>
        <v>0</v>
      </c>
      <c r="CP125" s="235">
        <f t="shared" si="277"/>
        <v>0</v>
      </c>
      <c r="CQ125" s="235">
        <f t="shared" si="278"/>
        <v>0</v>
      </c>
      <c r="CR125" s="235">
        <f t="shared" si="279"/>
        <v>0</v>
      </c>
      <c r="CS125" s="235">
        <f t="shared" si="280"/>
        <v>0</v>
      </c>
      <c r="CT125" s="235">
        <f t="shared" si="281"/>
        <v>0</v>
      </c>
      <c r="CU125" s="235">
        <f t="shared" si="282"/>
        <v>0</v>
      </c>
      <c r="CV125" s="235">
        <f t="shared" si="283"/>
        <v>0</v>
      </c>
      <c r="CW125" s="235">
        <f t="shared" si="284"/>
        <v>0</v>
      </c>
      <c r="CX125" s="235">
        <f t="shared" si="285"/>
        <v>0</v>
      </c>
      <c r="CY125" s="235">
        <f t="shared" si="286"/>
        <v>0</v>
      </c>
      <c r="CZ125" s="235">
        <f t="shared" si="287"/>
        <v>0</v>
      </c>
      <c r="DA125" s="38"/>
      <c r="DB125" s="236">
        <v>-1</v>
      </c>
      <c r="DC125" s="236">
        <v>0</v>
      </c>
      <c r="DD125" s="236">
        <v>0</v>
      </c>
      <c r="DE125" s="236">
        <v>0</v>
      </c>
      <c r="DF125" s="401">
        <v>0</v>
      </c>
      <c r="DG125" s="236">
        <v>0</v>
      </c>
      <c r="DH125" s="492">
        <v>0</v>
      </c>
      <c r="DI125" s="236">
        <v>0</v>
      </c>
      <c r="DJ125" s="236">
        <v>0</v>
      </c>
      <c r="DK125" s="236">
        <v>0</v>
      </c>
      <c r="DL125" s="236">
        <v>0</v>
      </c>
      <c r="DM125" s="236">
        <v>0</v>
      </c>
      <c r="DN125" s="236">
        <v>0</v>
      </c>
      <c r="DO125" s="236">
        <v>0</v>
      </c>
      <c r="DP125" s="236">
        <v>0</v>
      </c>
      <c r="DQ125" s="401">
        <v>0</v>
      </c>
      <c r="DR125" s="401">
        <v>0</v>
      </c>
      <c r="DS125" s="401">
        <v>0</v>
      </c>
      <c r="DT125" s="401">
        <v>0</v>
      </c>
      <c r="DU125" s="401">
        <v>0</v>
      </c>
      <c r="DV125" s="401">
        <v>0</v>
      </c>
      <c r="DW125" s="401">
        <v>0</v>
      </c>
      <c r="DX125" s="401">
        <v>0</v>
      </c>
      <c r="DY125" s="401">
        <v>0</v>
      </c>
      <c r="DZ125" s="401"/>
      <c r="EA125" s="989"/>
    </row>
    <row r="126" spans="1:131" s="76" customFormat="1">
      <c r="A126" s="76" t="s">
        <v>3858</v>
      </c>
      <c r="B126" s="73" t="s">
        <v>3350</v>
      </c>
      <c r="C126" s="51" t="s">
        <v>4133</v>
      </c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51">
        <f t="shared" ref="AP126:BQ126" si="330">(AO15*AP58)/1000</f>
        <v>0</v>
      </c>
      <c r="AQ126" s="51">
        <f t="shared" si="330"/>
        <v>9.8484440574501848E-3</v>
      </c>
      <c r="AR126" s="51">
        <f t="shared" si="330"/>
        <v>9.2146991090557469E-3</v>
      </c>
      <c r="AS126" s="51">
        <f t="shared" si="330"/>
        <v>1.0115664104978902E-2</v>
      </c>
      <c r="AT126" s="51">
        <f t="shared" si="330"/>
        <v>0.54357330951904104</v>
      </c>
      <c r="AU126" s="51">
        <f t="shared" si="330"/>
        <v>5.0745888038922145</v>
      </c>
      <c r="AV126" s="51">
        <f t="shared" si="330"/>
        <v>7.8548682616976011</v>
      </c>
      <c r="AW126" s="51">
        <f t="shared" si="330"/>
        <v>9.288090320000002</v>
      </c>
      <c r="AX126" s="51">
        <f t="shared" si="330"/>
        <v>7.7549590500000001</v>
      </c>
      <c r="AY126" s="51">
        <f t="shared" si="330"/>
        <v>21.928117756799999</v>
      </c>
      <c r="AZ126" s="51">
        <f t="shared" si="330"/>
        <v>66.951863537999984</v>
      </c>
      <c r="BA126" s="51">
        <f t="shared" si="330"/>
        <v>31.434360760000008</v>
      </c>
      <c r="BB126" s="51">
        <f t="shared" si="330"/>
        <v>24.512387671750009</v>
      </c>
      <c r="BC126" s="51">
        <f t="shared" si="330"/>
        <v>35.847221178410393</v>
      </c>
      <c r="BD126" s="51">
        <f t="shared" si="330"/>
        <v>0.31427329999999992</v>
      </c>
      <c r="BE126" s="51">
        <f t="shared" si="330"/>
        <v>0</v>
      </c>
      <c r="BF126" s="51">
        <f t="shared" si="330"/>
        <v>0.25069554509999992</v>
      </c>
      <c r="BG126" s="51">
        <f t="shared" si="330"/>
        <v>24.813043199999992</v>
      </c>
      <c r="BH126" s="51">
        <f t="shared" si="330"/>
        <v>56.303792999999999</v>
      </c>
      <c r="BI126" s="51">
        <f t="shared" si="330"/>
        <v>0</v>
      </c>
      <c r="BJ126" s="51">
        <f t="shared" si="330"/>
        <v>0</v>
      </c>
      <c r="BK126" s="51">
        <f t="shared" si="330"/>
        <v>0</v>
      </c>
      <c r="BL126" s="51">
        <f t="shared" si="330"/>
        <v>0</v>
      </c>
      <c r="BM126" s="51">
        <f t="shared" si="330"/>
        <v>0</v>
      </c>
      <c r="BN126" s="51">
        <f t="shared" si="330"/>
        <v>0</v>
      </c>
      <c r="BO126" s="51">
        <f t="shared" si="330"/>
        <v>0</v>
      </c>
      <c r="BP126" s="51">
        <f t="shared" si="330"/>
        <v>0</v>
      </c>
      <c r="BQ126" s="51">
        <f t="shared" si="330"/>
        <v>0</v>
      </c>
      <c r="BR126" s="51">
        <f t="shared" si="316"/>
        <v>0</v>
      </c>
      <c r="BS126" s="51">
        <f t="shared" si="317"/>
        <v>0</v>
      </c>
      <c r="BT126" s="51">
        <f t="shared" si="318"/>
        <v>0</v>
      </c>
      <c r="BU126" s="51">
        <f t="shared" si="319"/>
        <v>0</v>
      </c>
      <c r="BV126" s="51">
        <f t="shared" si="320"/>
        <v>0</v>
      </c>
      <c r="BW126" s="51">
        <f t="shared" si="321"/>
        <v>0</v>
      </c>
      <c r="BX126" s="51">
        <f t="shared" si="322"/>
        <v>0</v>
      </c>
      <c r="BY126" s="51">
        <f t="shared" si="323"/>
        <v>0</v>
      </c>
      <c r="BZ126" s="51">
        <f t="shared" si="324"/>
        <v>0</v>
      </c>
      <c r="CA126" s="51">
        <f t="shared" si="325"/>
        <v>0</v>
      </c>
      <c r="CB126" s="51">
        <f t="shared" si="326"/>
        <v>0</v>
      </c>
      <c r="CC126" s="51">
        <f t="shared" si="327"/>
        <v>0</v>
      </c>
      <c r="CD126" s="51">
        <f t="shared" si="328"/>
        <v>0</v>
      </c>
      <c r="CE126" s="51"/>
      <c r="CF126" s="435"/>
      <c r="CG126" s="235">
        <f t="shared" si="291"/>
        <v>0</v>
      </c>
      <c r="CH126" s="235">
        <f t="shared" si="266"/>
        <v>0</v>
      </c>
      <c r="CI126" s="235" t="e">
        <f>BM126-#REF!</f>
        <v>#REF!</v>
      </c>
      <c r="CJ126" s="235">
        <f t="shared" si="271"/>
        <v>0</v>
      </c>
      <c r="CK126" s="235">
        <f t="shared" si="272"/>
        <v>0</v>
      </c>
      <c r="CL126" s="235">
        <f t="shared" si="273"/>
        <v>0</v>
      </c>
      <c r="CM126" s="235">
        <f t="shared" si="274"/>
        <v>0</v>
      </c>
      <c r="CN126" s="235">
        <f t="shared" si="275"/>
        <v>0</v>
      </c>
      <c r="CO126" s="235">
        <f t="shared" si="276"/>
        <v>0</v>
      </c>
      <c r="CP126" s="235">
        <f t="shared" si="277"/>
        <v>0</v>
      </c>
      <c r="CQ126" s="235">
        <f t="shared" si="278"/>
        <v>0</v>
      </c>
      <c r="CR126" s="235">
        <f t="shared" si="279"/>
        <v>0</v>
      </c>
      <c r="CS126" s="235">
        <f t="shared" si="280"/>
        <v>0</v>
      </c>
      <c r="CT126" s="235">
        <f t="shared" si="281"/>
        <v>0</v>
      </c>
      <c r="CU126" s="235">
        <f t="shared" si="282"/>
        <v>0</v>
      </c>
      <c r="CV126" s="235">
        <f t="shared" si="283"/>
        <v>0</v>
      </c>
      <c r="CW126" s="235">
        <f t="shared" si="284"/>
        <v>0</v>
      </c>
      <c r="CX126" s="235">
        <f t="shared" si="285"/>
        <v>0</v>
      </c>
      <c r="CY126" s="235">
        <f t="shared" si="286"/>
        <v>0</v>
      </c>
      <c r="CZ126" s="235">
        <f t="shared" si="287"/>
        <v>0</v>
      </c>
      <c r="DA126" s="38"/>
      <c r="DB126" s="236">
        <v>-0.74930445489999997</v>
      </c>
      <c r="DC126" s="236">
        <v>0.25069554509999992</v>
      </c>
      <c r="DD126" s="236">
        <v>24.813043199999992</v>
      </c>
      <c r="DE126" s="236">
        <v>56.303792999999999</v>
      </c>
      <c r="DF126" s="401">
        <v>0</v>
      </c>
      <c r="DG126" s="236">
        <v>0</v>
      </c>
      <c r="DH126" s="492">
        <v>0</v>
      </c>
      <c r="DI126" s="236">
        <v>0</v>
      </c>
      <c r="DJ126" s="236">
        <v>0</v>
      </c>
      <c r="DK126" s="236">
        <v>0</v>
      </c>
      <c r="DL126" s="236">
        <v>0</v>
      </c>
      <c r="DM126" s="236">
        <v>0</v>
      </c>
      <c r="DN126" s="236">
        <v>0</v>
      </c>
      <c r="DO126" s="236">
        <v>0</v>
      </c>
      <c r="DP126" s="236">
        <v>0</v>
      </c>
      <c r="DQ126" s="401">
        <v>0</v>
      </c>
      <c r="DR126" s="401">
        <v>0</v>
      </c>
      <c r="DS126" s="401">
        <v>0</v>
      </c>
      <c r="DT126" s="401">
        <v>0</v>
      </c>
      <c r="DU126" s="401">
        <v>0</v>
      </c>
      <c r="DV126" s="401">
        <v>0</v>
      </c>
      <c r="DW126" s="401">
        <v>0</v>
      </c>
      <c r="DX126" s="401">
        <v>0</v>
      </c>
      <c r="DY126" s="401">
        <v>0</v>
      </c>
      <c r="DZ126" s="401"/>
      <c r="EA126" s="989"/>
    </row>
    <row r="127" spans="1:131" s="76" customFormat="1">
      <c r="A127" s="76" t="s">
        <v>3859</v>
      </c>
      <c r="B127" s="73" t="s">
        <v>2103</v>
      </c>
      <c r="C127" s="51" t="s">
        <v>2165</v>
      </c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  <c r="AF127" s="207"/>
      <c r="AG127" s="207"/>
      <c r="AH127" s="207"/>
      <c r="AI127" s="207"/>
      <c r="AJ127" s="207"/>
      <c r="AK127" s="207"/>
      <c r="AL127" s="207"/>
      <c r="AM127" s="207"/>
      <c r="AN127" s="207"/>
      <c r="AO127" s="207"/>
      <c r="AP127" s="51">
        <f t="shared" ref="AP127:BQ127" si="331">(AO16*AP59)/1000</f>
        <v>0</v>
      </c>
      <c r="AQ127" s="51">
        <f t="shared" si="331"/>
        <v>0</v>
      </c>
      <c r="AR127" s="51">
        <f t="shared" si="331"/>
        <v>0</v>
      </c>
      <c r="AS127" s="51">
        <f t="shared" si="331"/>
        <v>0</v>
      </c>
      <c r="AT127" s="51">
        <f t="shared" si="331"/>
        <v>0</v>
      </c>
      <c r="AU127" s="51">
        <f t="shared" si="331"/>
        <v>0</v>
      </c>
      <c r="AV127" s="51">
        <f t="shared" si="331"/>
        <v>0</v>
      </c>
      <c r="AW127" s="51">
        <f t="shared" si="331"/>
        <v>0</v>
      </c>
      <c r="AX127" s="51">
        <f t="shared" si="331"/>
        <v>0.89688702600000025</v>
      </c>
      <c r="AY127" s="51">
        <f t="shared" si="331"/>
        <v>2.4105324745710002</v>
      </c>
      <c r="AZ127" s="51">
        <f t="shared" si="331"/>
        <v>9.224738048899999</v>
      </c>
      <c r="BA127" s="51">
        <f t="shared" si="331"/>
        <v>17.78146949737188</v>
      </c>
      <c r="BB127" s="51">
        <f t="shared" si="331"/>
        <v>43.580950406405421</v>
      </c>
      <c r="BC127" s="51">
        <f t="shared" si="331"/>
        <v>79.928999657999995</v>
      </c>
      <c r="BD127" s="51">
        <f t="shared" si="331"/>
        <v>92.689120590000002</v>
      </c>
      <c r="BE127" s="51">
        <f t="shared" si="331"/>
        <v>94.58909460000001</v>
      </c>
      <c r="BF127" s="51">
        <f t="shared" si="331"/>
        <v>137.39831755</v>
      </c>
      <c r="BG127" s="51">
        <f t="shared" si="331"/>
        <v>132.90450030000002</v>
      </c>
      <c r="BH127" s="51">
        <f t="shared" si="331"/>
        <v>310.75362675000008</v>
      </c>
      <c r="BI127" s="51">
        <f t="shared" si="331"/>
        <v>359.72283900000002</v>
      </c>
      <c r="BJ127" s="51">
        <f t="shared" si="331"/>
        <v>569.83959183673471</v>
      </c>
      <c r="BK127" s="51">
        <f t="shared" si="331"/>
        <v>801.09285503395347</v>
      </c>
      <c r="BL127" s="51">
        <f t="shared" si="331"/>
        <v>1172.9960010000002</v>
      </c>
      <c r="BM127" s="51">
        <f t="shared" si="331"/>
        <v>895.55550000000017</v>
      </c>
      <c r="BN127" s="51">
        <f t="shared" si="331"/>
        <v>760.3696000000001</v>
      </c>
      <c r="BO127" s="51">
        <f t="shared" si="331"/>
        <v>469.24287330637009</v>
      </c>
      <c r="BP127" s="51">
        <f t="shared" si="331"/>
        <v>0</v>
      </c>
      <c r="BQ127" s="51">
        <f t="shared" si="331"/>
        <v>0</v>
      </c>
      <c r="BR127" s="51">
        <f t="shared" si="316"/>
        <v>0</v>
      </c>
      <c r="BS127" s="51">
        <f t="shared" si="317"/>
        <v>0</v>
      </c>
      <c r="BT127" s="51">
        <f t="shared" si="318"/>
        <v>0</v>
      </c>
      <c r="BU127" s="51">
        <f t="shared" si="319"/>
        <v>0</v>
      </c>
      <c r="BV127" s="51">
        <f t="shared" si="320"/>
        <v>0</v>
      </c>
      <c r="BW127" s="51">
        <f t="shared" si="321"/>
        <v>0</v>
      </c>
      <c r="BX127" s="51">
        <f t="shared" si="322"/>
        <v>0</v>
      </c>
      <c r="BY127" s="51">
        <f t="shared" si="323"/>
        <v>0</v>
      </c>
      <c r="BZ127" s="51">
        <f t="shared" si="324"/>
        <v>0</v>
      </c>
      <c r="CA127" s="51">
        <f t="shared" si="325"/>
        <v>0</v>
      </c>
      <c r="CB127" s="51">
        <f t="shared" si="326"/>
        <v>0</v>
      </c>
      <c r="CC127" s="51">
        <f t="shared" si="327"/>
        <v>0</v>
      </c>
      <c r="CD127" s="51">
        <f t="shared" si="328"/>
        <v>0</v>
      </c>
      <c r="CE127" s="51"/>
      <c r="CF127" s="435"/>
      <c r="CG127" s="235">
        <f t="shared" si="291"/>
        <v>0</v>
      </c>
      <c r="CH127" s="235">
        <f t="shared" si="266"/>
        <v>0</v>
      </c>
      <c r="CI127" s="235" t="e">
        <f>BM127-#REF!</f>
        <v>#REF!</v>
      </c>
      <c r="CJ127" s="235">
        <f t="shared" si="271"/>
        <v>0</v>
      </c>
      <c r="CK127" s="235">
        <f t="shared" si="272"/>
        <v>0</v>
      </c>
      <c r="CL127" s="235">
        <f t="shared" si="273"/>
        <v>0</v>
      </c>
      <c r="CM127" s="235">
        <f t="shared" si="274"/>
        <v>0</v>
      </c>
      <c r="CN127" s="235">
        <f t="shared" si="275"/>
        <v>0</v>
      </c>
      <c r="CO127" s="235">
        <f t="shared" si="276"/>
        <v>0</v>
      </c>
      <c r="CP127" s="235">
        <f t="shared" si="277"/>
        <v>0</v>
      </c>
      <c r="CQ127" s="235">
        <f t="shared" si="278"/>
        <v>0</v>
      </c>
      <c r="CR127" s="235">
        <f t="shared" si="279"/>
        <v>0</v>
      </c>
      <c r="CS127" s="235">
        <f t="shared" si="280"/>
        <v>0</v>
      </c>
      <c r="CT127" s="235">
        <f t="shared" si="281"/>
        <v>0</v>
      </c>
      <c r="CU127" s="235">
        <f t="shared" si="282"/>
        <v>0</v>
      </c>
      <c r="CV127" s="235">
        <f t="shared" si="283"/>
        <v>0</v>
      </c>
      <c r="CW127" s="235">
        <f t="shared" si="284"/>
        <v>0</v>
      </c>
      <c r="CX127" s="235">
        <f t="shared" si="285"/>
        <v>0</v>
      </c>
      <c r="CY127" s="235">
        <f t="shared" si="286"/>
        <v>0</v>
      </c>
      <c r="CZ127" s="235">
        <f t="shared" si="287"/>
        <v>0</v>
      </c>
      <c r="DA127" s="38"/>
      <c r="DB127" s="236">
        <v>136.39831755</v>
      </c>
      <c r="DC127" s="236">
        <v>137.39831755</v>
      </c>
      <c r="DD127" s="236">
        <v>132.90450030000002</v>
      </c>
      <c r="DE127" s="236">
        <v>310.75362675000008</v>
      </c>
      <c r="DF127" s="401">
        <v>359.72283900000002</v>
      </c>
      <c r="DG127" s="236">
        <v>801.09285503395347</v>
      </c>
      <c r="DH127" s="492">
        <v>1172.9960010000002</v>
      </c>
      <c r="DI127" s="236">
        <v>760.3696000000001</v>
      </c>
      <c r="DJ127" s="236">
        <v>469.24287330637009</v>
      </c>
      <c r="DK127" s="236">
        <v>0</v>
      </c>
      <c r="DL127" s="236">
        <v>0</v>
      </c>
      <c r="DM127" s="236">
        <v>0</v>
      </c>
      <c r="DN127" s="236">
        <v>0</v>
      </c>
      <c r="DO127" s="236">
        <v>0</v>
      </c>
      <c r="DP127" s="236">
        <v>0</v>
      </c>
      <c r="DQ127" s="401">
        <v>0</v>
      </c>
      <c r="DR127" s="401">
        <v>0</v>
      </c>
      <c r="DS127" s="401">
        <v>0</v>
      </c>
      <c r="DT127" s="401">
        <v>0</v>
      </c>
      <c r="DU127" s="401">
        <v>0</v>
      </c>
      <c r="DV127" s="401">
        <v>0</v>
      </c>
      <c r="DW127" s="401">
        <v>0</v>
      </c>
      <c r="DX127" s="401">
        <v>0</v>
      </c>
      <c r="DY127" s="401">
        <v>0</v>
      </c>
      <c r="DZ127" s="401"/>
      <c r="EA127" s="989"/>
    </row>
    <row r="128" spans="1:131" s="76" customFormat="1">
      <c r="A128" s="974" t="s">
        <v>372</v>
      </c>
      <c r="B128" s="921" t="str">
        <f t="shared" ref="B128:B133" si="332">B106</f>
        <v>Fuel Oil</v>
      </c>
      <c r="C128" s="51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>
        <f t="shared" ref="BN128:BQ130" si="333">(BM17*BN60)/1000</f>
        <v>0</v>
      </c>
      <c r="BO128" s="51">
        <f t="shared" si="333"/>
        <v>0</v>
      </c>
      <c r="BP128" s="51">
        <f t="shared" si="333"/>
        <v>317.75618935325508</v>
      </c>
      <c r="BQ128" s="51">
        <f t="shared" si="333"/>
        <v>547.16724142380315</v>
      </c>
      <c r="BR128" s="51">
        <f t="shared" si="316"/>
        <v>421.11902833697803</v>
      </c>
      <c r="BS128" s="51">
        <f t="shared" si="317"/>
        <v>466.19994483574936</v>
      </c>
      <c r="BT128" s="51">
        <f t="shared" si="318"/>
        <v>489.06354368049648</v>
      </c>
      <c r="BU128" s="51">
        <f t="shared" si="319"/>
        <v>489.06354368049648</v>
      </c>
      <c r="BV128" s="51">
        <f t="shared" si="320"/>
        <v>489.06354368049648</v>
      </c>
      <c r="BW128" s="51">
        <f t="shared" si="321"/>
        <v>489.06354368049648</v>
      </c>
      <c r="BX128" s="51">
        <f t="shared" si="322"/>
        <v>489.06354368049648</v>
      </c>
      <c r="BY128" s="51">
        <f t="shared" si="323"/>
        <v>489.06354368049648</v>
      </c>
      <c r="BZ128" s="51">
        <f t="shared" si="324"/>
        <v>489.06354368049648</v>
      </c>
      <c r="CA128" s="51">
        <f t="shared" si="325"/>
        <v>489.06354368049648</v>
      </c>
      <c r="CB128" s="51">
        <f t="shared" si="326"/>
        <v>489.06354368049648</v>
      </c>
      <c r="CC128" s="51">
        <f t="shared" si="327"/>
        <v>489.06354368049648</v>
      </c>
      <c r="CD128" s="51">
        <f t="shared" si="328"/>
        <v>489.06354368049648</v>
      </c>
      <c r="CE128" s="51"/>
      <c r="CF128" s="435"/>
      <c r="CG128" s="235"/>
      <c r="CH128" s="235">
        <f t="shared" si="266"/>
        <v>0</v>
      </c>
      <c r="CI128" s="235" t="e">
        <f>BM128-#REF!</f>
        <v>#REF!</v>
      </c>
      <c r="CJ128" s="235">
        <f t="shared" si="271"/>
        <v>0</v>
      </c>
      <c r="CK128" s="235">
        <f t="shared" si="272"/>
        <v>0</v>
      </c>
      <c r="CL128" s="235">
        <f t="shared" si="273"/>
        <v>0</v>
      </c>
      <c r="CM128" s="235">
        <f t="shared" si="274"/>
        <v>0</v>
      </c>
      <c r="CN128" s="235">
        <f t="shared" si="275"/>
        <v>0</v>
      </c>
      <c r="CO128" s="235">
        <f t="shared" si="276"/>
        <v>0</v>
      </c>
      <c r="CP128" s="235">
        <f t="shared" si="277"/>
        <v>0</v>
      </c>
      <c r="CQ128" s="235">
        <f t="shared" si="278"/>
        <v>0</v>
      </c>
      <c r="CR128" s="235">
        <f t="shared" si="279"/>
        <v>0</v>
      </c>
      <c r="CS128" s="235">
        <f t="shared" si="280"/>
        <v>0</v>
      </c>
      <c r="CT128" s="235">
        <f t="shared" si="281"/>
        <v>0</v>
      </c>
      <c r="CU128" s="235">
        <f t="shared" si="282"/>
        <v>0</v>
      </c>
      <c r="CV128" s="235">
        <f t="shared" si="283"/>
        <v>0</v>
      </c>
      <c r="CW128" s="235">
        <f t="shared" si="284"/>
        <v>0</v>
      </c>
      <c r="CX128" s="235">
        <f t="shared" si="285"/>
        <v>0</v>
      </c>
      <c r="CY128" s="235">
        <f t="shared" si="286"/>
        <v>0</v>
      </c>
      <c r="CZ128" s="235">
        <f t="shared" si="287"/>
        <v>0</v>
      </c>
      <c r="DA128" s="38"/>
      <c r="DB128" s="236"/>
      <c r="DC128" s="236"/>
      <c r="DD128" s="236"/>
      <c r="DE128" s="236"/>
      <c r="DF128" s="401"/>
      <c r="DG128" s="236"/>
      <c r="DH128" s="492"/>
      <c r="DI128" s="236">
        <v>0</v>
      </c>
      <c r="DJ128" s="236">
        <v>0</v>
      </c>
      <c r="DK128" s="236">
        <v>317.75618935325508</v>
      </c>
      <c r="DL128" s="236">
        <v>547.16724142380315</v>
      </c>
      <c r="DM128" s="236">
        <v>421.11902833697803</v>
      </c>
      <c r="DN128" s="236">
        <v>466.19994483574936</v>
      </c>
      <c r="DO128" s="236">
        <v>489.06354368049648</v>
      </c>
      <c r="DP128" s="236">
        <v>489.06354368049648</v>
      </c>
      <c r="DQ128" s="401">
        <v>489.06354368049648</v>
      </c>
      <c r="DR128" s="401">
        <v>489.06354368049648</v>
      </c>
      <c r="DS128" s="401">
        <v>489.06354368049648</v>
      </c>
      <c r="DT128" s="401">
        <v>489.06354368049648</v>
      </c>
      <c r="DU128" s="401">
        <v>489.06354368049648</v>
      </c>
      <c r="DV128" s="401">
        <v>489.06354368049648</v>
      </c>
      <c r="DW128" s="401">
        <v>489.06354368049648</v>
      </c>
      <c r="DX128" s="401">
        <v>489.06354368049648</v>
      </c>
      <c r="DY128" s="401">
        <v>489.06354368049648</v>
      </c>
      <c r="DZ128" s="401"/>
      <c r="EA128" s="989"/>
    </row>
    <row r="129" spans="1:131" s="76" customFormat="1">
      <c r="A129" s="974" t="s">
        <v>373</v>
      </c>
      <c r="B129" s="921" t="str">
        <f t="shared" si="332"/>
        <v>SO-Diesel (Gasoil)</v>
      </c>
      <c r="C129" s="51"/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>
        <f t="shared" si="333"/>
        <v>0</v>
      </c>
      <c r="BO129" s="51">
        <f t="shared" si="333"/>
        <v>12.567324000000001</v>
      </c>
      <c r="BP129" s="51">
        <f t="shared" si="333"/>
        <v>0</v>
      </c>
      <c r="BQ129" s="51">
        <f t="shared" si="333"/>
        <v>0</v>
      </c>
      <c r="BR129" s="51">
        <f t="shared" si="316"/>
        <v>0</v>
      </c>
      <c r="BS129" s="51">
        <f t="shared" si="317"/>
        <v>0</v>
      </c>
      <c r="BT129" s="51">
        <f t="shared" si="318"/>
        <v>0</v>
      </c>
      <c r="BU129" s="51">
        <f t="shared" si="319"/>
        <v>0</v>
      </c>
      <c r="BV129" s="51">
        <f t="shared" si="320"/>
        <v>0</v>
      </c>
      <c r="BW129" s="51">
        <f t="shared" si="321"/>
        <v>0</v>
      </c>
      <c r="BX129" s="51">
        <f t="shared" si="322"/>
        <v>0</v>
      </c>
      <c r="BY129" s="51">
        <f t="shared" si="323"/>
        <v>0</v>
      </c>
      <c r="BZ129" s="51">
        <f t="shared" si="324"/>
        <v>0</v>
      </c>
      <c r="CA129" s="51">
        <f t="shared" si="325"/>
        <v>0</v>
      </c>
      <c r="CB129" s="51">
        <f t="shared" si="326"/>
        <v>0</v>
      </c>
      <c r="CC129" s="51">
        <f t="shared" si="327"/>
        <v>0</v>
      </c>
      <c r="CD129" s="51">
        <f t="shared" si="328"/>
        <v>0</v>
      </c>
      <c r="CE129" s="51"/>
      <c r="CF129" s="435"/>
      <c r="CG129" s="235"/>
      <c r="CH129" s="235">
        <f t="shared" si="266"/>
        <v>0</v>
      </c>
      <c r="CI129" s="235" t="e">
        <f>BM129-#REF!</f>
        <v>#REF!</v>
      </c>
      <c r="CJ129" s="235">
        <f t="shared" si="271"/>
        <v>0</v>
      </c>
      <c r="CK129" s="235">
        <f t="shared" si="272"/>
        <v>0</v>
      </c>
      <c r="CL129" s="235">
        <f t="shared" si="273"/>
        <v>0</v>
      </c>
      <c r="CM129" s="235">
        <f t="shared" si="274"/>
        <v>0</v>
      </c>
      <c r="CN129" s="235">
        <f t="shared" si="275"/>
        <v>0</v>
      </c>
      <c r="CO129" s="235">
        <f t="shared" si="276"/>
        <v>0</v>
      </c>
      <c r="CP129" s="235">
        <f t="shared" si="277"/>
        <v>0</v>
      </c>
      <c r="CQ129" s="235">
        <f t="shared" si="278"/>
        <v>0</v>
      </c>
      <c r="CR129" s="235">
        <f t="shared" si="279"/>
        <v>0</v>
      </c>
      <c r="CS129" s="235">
        <f t="shared" si="280"/>
        <v>0</v>
      </c>
      <c r="CT129" s="235">
        <f t="shared" si="281"/>
        <v>0</v>
      </c>
      <c r="CU129" s="235">
        <f t="shared" si="282"/>
        <v>0</v>
      </c>
      <c r="CV129" s="235">
        <f t="shared" si="283"/>
        <v>0</v>
      </c>
      <c r="CW129" s="235">
        <f t="shared" si="284"/>
        <v>0</v>
      </c>
      <c r="CX129" s="235">
        <f t="shared" si="285"/>
        <v>0</v>
      </c>
      <c r="CY129" s="235">
        <f t="shared" si="286"/>
        <v>0</v>
      </c>
      <c r="CZ129" s="235">
        <f t="shared" si="287"/>
        <v>0</v>
      </c>
      <c r="DA129" s="38"/>
      <c r="DB129" s="236"/>
      <c r="DC129" s="236"/>
      <c r="DD129" s="236"/>
      <c r="DE129" s="236"/>
      <c r="DF129" s="401"/>
      <c r="DG129" s="236"/>
      <c r="DH129" s="492"/>
      <c r="DI129" s="236">
        <v>0</v>
      </c>
      <c r="DJ129" s="236">
        <v>12.567324000000001</v>
      </c>
      <c r="DK129" s="236">
        <v>0</v>
      </c>
      <c r="DL129" s="236">
        <v>0</v>
      </c>
      <c r="DM129" s="236">
        <v>0</v>
      </c>
      <c r="DN129" s="236">
        <v>0</v>
      </c>
      <c r="DO129" s="236">
        <v>0</v>
      </c>
      <c r="DP129" s="236">
        <v>0</v>
      </c>
      <c r="DQ129" s="401">
        <v>0</v>
      </c>
      <c r="DR129" s="401">
        <v>0</v>
      </c>
      <c r="DS129" s="401">
        <v>0</v>
      </c>
      <c r="DT129" s="401">
        <v>0</v>
      </c>
      <c r="DU129" s="401">
        <v>0</v>
      </c>
      <c r="DV129" s="401">
        <v>0</v>
      </c>
      <c r="DW129" s="401">
        <v>0</v>
      </c>
      <c r="DX129" s="401">
        <v>0</v>
      </c>
      <c r="DY129" s="401">
        <v>0</v>
      </c>
      <c r="DZ129" s="401"/>
      <c r="EA129" s="989"/>
    </row>
    <row r="130" spans="1:131" s="76" customFormat="1">
      <c r="A130" s="974" t="s">
        <v>376</v>
      </c>
      <c r="B130" s="921" t="str">
        <f t="shared" si="332"/>
        <v>Sulfuric Acid</v>
      </c>
      <c r="C130" s="51"/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07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>
        <f t="shared" si="333"/>
        <v>0</v>
      </c>
      <c r="BO130" s="51">
        <f t="shared" si="333"/>
        <v>0</v>
      </c>
      <c r="BP130" s="51">
        <f t="shared" si="333"/>
        <v>0</v>
      </c>
      <c r="BQ130" s="51">
        <f t="shared" si="333"/>
        <v>0</v>
      </c>
      <c r="BR130" s="51">
        <f t="shared" si="316"/>
        <v>0</v>
      </c>
      <c r="BS130" s="51">
        <f t="shared" si="317"/>
        <v>0</v>
      </c>
      <c r="BT130" s="51">
        <f t="shared" si="318"/>
        <v>0</v>
      </c>
      <c r="BU130" s="51">
        <f t="shared" si="319"/>
        <v>0</v>
      </c>
      <c r="BV130" s="51">
        <f t="shared" si="320"/>
        <v>0</v>
      </c>
      <c r="BW130" s="51">
        <f t="shared" si="321"/>
        <v>0</v>
      </c>
      <c r="BX130" s="51">
        <f t="shared" si="322"/>
        <v>0</v>
      </c>
      <c r="BY130" s="51">
        <f t="shared" si="323"/>
        <v>0</v>
      </c>
      <c r="BZ130" s="51">
        <f t="shared" si="324"/>
        <v>0</v>
      </c>
      <c r="CA130" s="51">
        <f t="shared" si="325"/>
        <v>0</v>
      </c>
      <c r="CB130" s="51">
        <f t="shared" si="326"/>
        <v>0</v>
      </c>
      <c r="CC130" s="51">
        <f t="shared" si="327"/>
        <v>0</v>
      </c>
      <c r="CD130" s="51">
        <f t="shared" si="328"/>
        <v>0</v>
      </c>
      <c r="CE130" s="51"/>
      <c r="CF130" s="435"/>
      <c r="CG130" s="235"/>
      <c r="CH130" s="235">
        <f t="shared" si="266"/>
        <v>0</v>
      </c>
      <c r="CI130" s="235" t="e">
        <f>BM130-#REF!</f>
        <v>#REF!</v>
      </c>
      <c r="CJ130" s="235">
        <f t="shared" si="271"/>
        <v>0</v>
      </c>
      <c r="CK130" s="235">
        <f t="shared" si="272"/>
        <v>0</v>
      </c>
      <c r="CL130" s="235">
        <f t="shared" si="273"/>
        <v>0</v>
      </c>
      <c r="CM130" s="235">
        <f t="shared" si="274"/>
        <v>0</v>
      </c>
      <c r="CN130" s="235">
        <f t="shared" si="275"/>
        <v>0</v>
      </c>
      <c r="CO130" s="235">
        <f t="shared" si="276"/>
        <v>0</v>
      </c>
      <c r="CP130" s="235">
        <f t="shared" si="277"/>
        <v>0</v>
      </c>
      <c r="CQ130" s="235">
        <f t="shared" si="278"/>
        <v>0</v>
      </c>
      <c r="CR130" s="235">
        <f t="shared" si="279"/>
        <v>0</v>
      </c>
      <c r="CS130" s="235">
        <f t="shared" si="280"/>
        <v>0</v>
      </c>
      <c r="CT130" s="235">
        <f t="shared" si="281"/>
        <v>0</v>
      </c>
      <c r="CU130" s="235">
        <f t="shared" si="282"/>
        <v>0</v>
      </c>
      <c r="CV130" s="235">
        <f t="shared" si="283"/>
        <v>0</v>
      </c>
      <c r="CW130" s="235">
        <f t="shared" si="284"/>
        <v>0</v>
      </c>
      <c r="CX130" s="235">
        <f t="shared" si="285"/>
        <v>0</v>
      </c>
      <c r="CY130" s="235">
        <f t="shared" si="286"/>
        <v>0</v>
      </c>
      <c r="CZ130" s="235">
        <f t="shared" si="287"/>
        <v>0</v>
      </c>
      <c r="DA130" s="38"/>
      <c r="DB130" s="236"/>
      <c r="DC130" s="236"/>
      <c r="DD130" s="236"/>
      <c r="DE130" s="236"/>
      <c r="DF130" s="401"/>
      <c r="DG130" s="236"/>
      <c r="DH130" s="492"/>
      <c r="DI130" s="236">
        <v>0</v>
      </c>
      <c r="DJ130" s="236">
        <v>0</v>
      </c>
      <c r="DK130" s="236">
        <v>0</v>
      </c>
      <c r="DL130" s="236">
        <v>0</v>
      </c>
      <c r="DM130" s="236">
        <v>0</v>
      </c>
      <c r="DN130" s="236">
        <v>0</v>
      </c>
      <c r="DO130" s="236">
        <v>0</v>
      </c>
      <c r="DP130" s="236">
        <v>0</v>
      </c>
      <c r="DQ130" s="401">
        <v>0</v>
      </c>
      <c r="DR130" s="401">
        <v>0</v>
      </c>
      <c r="DS130" s="401">
        <v>0</v>
      </c>
      <c r="DT130" s="401">
        <v>0</v>
      </c>
      <c r="DU130" s="401">
        <v>0</v>
      </c>
      <c r="DV130" s="401">
        <v>0</v>
      </c>
      <c r="DW130" s="401">
        <v>0</v>
      </c>
      <c r="DX130" s="401">
        <v>0</v>
      </c>
      <c r="DY130" s="401">
        <v>0</v>
      </c>
      <c r="DZ130" s="401"/>
      <c r="EA130" s="989"/>
    </row>
    <row r="131" spans="1:131" s="76" customFormat="1">
      <c r="A131" s="974"/>
      <c r="B131" s="921" t="str">
        <f t="shared" si="332"/>
        <v>Low Sulfur Diesel (Automotive Diesel)</v>
      </c>
      <c r="C131" s="51"/>
      <c r="D131" s="207"/>
      <c r="E131" s="207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/>
      <c r="AH131" s="207"/>
      <c r="AI131" s="207"/>
      <c r="AJ131" s="207"/>
      <c r="AK131" s="207"/>
      <c r="AL131" s="207"/>
      <c r="AM131" s="207"/>
      <c r="AN131" s="207"/>
      <c r="AO131" s="207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>
        <f t="shared" ref="BN131:BO133" si="334">(BM20*BN63)/1000</f>
        <v>0</v>
      </c>
      <c r="BO131" s="51">
        <f t="shared" si="334"/>
        <v>0</v>
      </c>
      <c r="BP131" s="51">
        <f t="shared" ref="BP131:BQ133" si="335">(BO20*BP63)/1000</f>
        <v>29.276617835645684</v>
      </c>
      <c r="BQ131" s="51">
        <f t="shared" si="335"/>
        <v>386.20958961248374</v>
      </c>
      <c r="BR131" s="51">
        <f t="shared" si="316"/>
        <v>553.71284810323186</v>
      </c>
      <c r="BS131" s="51">
        <f t="shared" si="317"/>
        <v>595.64105642874085</v>
      </c>
      <c r="BT131" s="51">
        <f t="shared" si="318"/>
        <v>626.73676684986685</v>
      </c>
      <c r="BU131" s="51">
        <f t="shared" si="319"/>
        <v>626.73676684986685</v>
      </c>
      <c r="BV131" s="51">
        <f t="shared" si="320"/>
        <v>626.73676684986685</v>
      </c>
      <c r="BW131" s="51">
        <f t="shared" si="321"/>
        <v>626.73676684986685</v>
      </c>
      <c r="BX131" s="51">
        <f t="shared" si="322"/>
        <v>626.73676684986685</v>
      </c>
      <c r="BY131" s="51">
        <f t="shared" si="323"/>
        <v>626.73676684986685</v>
      </c>
      <c r="BZ131" s="51">
        <f t="shared" si="324"/>
        <v>626.73676684986685</v>
      </c>
      <c r="CA131" s="51">
        <f t="shared" si="325"/>
        <v>626.73676684986685</v>
      </c>
      <c r="CB131" s="51">
        <f t="shared" si="326"/>
        <v>626.73676684986685</v>
      </c>
      <c r="CC131" s="51">
        <f t="shared" si="327"/>
        <v>626.73676684986685</v>
      </c>
      <c r="CD131" s="51">
        <f t="shared" si="328"/>
        <v>626.73676684986685</v>
      </c>
      <c r="CE131" s="51"/>
      <c r="CF131" s="4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38"/>
      <c r="DB131" s="236"/>
      <c r="DC131" s="236"/>
      <c r="DD131" s="236"/>
      <c r="DE131" s="236"/>
      <c r="DF131" s="401"/>
      <c r="DG131" s="236"/>
      <c r="DH131" s="492"/>
      <c r="DI131" s="236">
        <v>0</v>
      </c>
      <c r="DJ131" s="236">
        <v>0</v>
      </c>
      <c r="DK131" s="236">
        <v>29.276617835645684</v>
      </c>
      <c r="DL131" s="236">
        <v>386.20958961248374</v>
      </c>
      <c r="DM131" s="236">
        <v>553.71284810323186</v>
      </c>
      <c r="DN131" s="236">
        <v>595.64105642874085</v>
      </c>
      <c r="DO131" s="236">
        <v>626.73676684986685</v>
      </c>
      <c r="DP131" s="236">
        <v>626.73676684986685</v>
      </c>
      <c r="DQ131" s="401">
        <v>626.73676684986685</v>
      </c>
      <c r="DR131" s="401">
        <v>626.73676684986685</v>
      </c>
      <c r="DS131" s="401">
        <v>626.73676684986685</v>
      </c>
      <c r="DT131" s="401">
        <v>626.73676684986685</v>
      </c>
      <c r="DU131" s="401">
        <v>626.73676684986685</v>
      </c>
      <c r="DV131" s="401">
        <v>626.73676684986685</v>
      </c>
      <c r="DW131" s="401">
        <v>626.73676684986685</v>
      </c>
      <c r="DX131" s="401">
        <v>626.73676684986685</v>
      </c>
      <c r="DY131" s="401">
        <v>626.73676684986685</v>
      </c>
      <c r="DZ131" s="401"/>
      <c r="EA131" s="989"/>
    </row>
    <row r="132" spans="1:131" s="76" customFormat="1">
      <c r="A132" s="921" t="s">
        <v>1112</v>
      </c>
      <c r="B132" s="921" t="str">
        <f t="shared" si="332"/>
        <v>Bitumen</v>
      </c>
      <c r="C132" s="51"/>
      <c r="D132" s="207"/>
      <c r="E132" s="207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/>
      <c r="AH132" s="207"/>
      <c r="AI132" s="207"/>
      <c r="AJ132" s="207"/>
      <c r="AK132" s="207"/>
      <c r="AL132" s="207"/>
      <c r="AM132" s="207"/>
      <c r="AN132" s="207"/>
      <c r="AO132" s="207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>
        <f t="shared" si="334"/>
        <v>0</v>
      </c>
      <c r="BO132" s="51">
        <f t="shared" si="334"/>
        <v>0.57107114999999997</v>
      </c>
      <c r="BP132" s="51">
        <f t="shared" si="335"/>
        <v>0</v>
      </c>
      <c r="BQ132" s="51">
        <f t="shared" si="335"/>
        <v>0</v>
      </c>
      <c r="BR132" s="51">
        <f t="shared" si="316"/>
        <v>0</v>
      </c>
      <c r="BS132" s="51">
        <f t="shared" si="317"/>
        <v>0</v>
      </c>
      <c r="BT132" s="51">
        <f t="shared" si="318"/>
        <v>0</v>
      </c>
      <c r="BU132" s="51">
        <f t="shared" si="319"/>
        <v>0</v>
      </c>
      <c r="BV132" s="51">
        <f t="shared" si="320"/>
        <v>0</v>
      </c>
      <c r="BW132" s="51">
        <f t="shared" si="321"/>
        <v>0</v>
      </c>
      <c r="BX132" s="51">
        <f t="shared" si="322"/>
        <v>0</v>
      </c>
      <c r="BY132" s="51">
        <f t="shared" si="323"/>
        <v>0</v>
      </c>
      <c r="BZ132" s="51">
        <f t="shared" si="324"/>
        <v>0</v>
      </c>
      <c r="CA132" s="51">
        <f t="shared" si="325"/>
        <v>0</v>
      </c>
      <c r="CB132" s="51">
        <f t="shared" si="326"/>
        <v>0</v>
      </c>
      <c r="CC132" s="51">
        <f t="shared" si="327"/>
        <v>0</v>
      </c>
      <c r="CD132" s="51">
        <f t="shared" si="328"/>
        <v>0</v>
      </c>
      <c r="CE132" s="51"/>
      <c r="CF132" s="435"/>
      <c r="CG132" s="235"/>
      <c r="CH132" s="235">
        <f t="shared" si="266"/>
        <v>0</v>
      </c>
      <c r="CI132" s="235" t="e">
        <f>BM132-#REF!</f>
        <v>#REF!</v>
      </c>
      <c r="CJ132" s="235">
        <f t="shared" ref="CJ132:CJ163" si="336">BN132-DI132</f>
        <v>0</v>
      </c>
      <c r="CK132" s="235">
        <f t="shared" ref="CK132:CK163" si="337">BO132-DJ132</f>
        <v>0</v>
      </c>
      <c r="CL132" s="235">
        <f t="shared" ref="CL132:CL163" si="338">BP132-DK132</f>
        <v>0</v>
      </c>
      <c r="CM132" s="235">
        <f t="shared" ref="CM132:CM163" si="339">BQ132-DL132</f>
        <v>0</v>
      </c>
      <c r="CN132" s="235">
        <f t="shared" ref="CN132:CN163" si="340">BR132-DM132</f>
        <v>0</v>
      </c>
      <c r="CO132" s="235">
        <f t="shared" ref="CO132:CO163" si="341">BS132-DN132</f>
        <v>0</v>
      </c>
      <c r="CP132" s="235">
        <f t="shared" ref="CP132:CP163" si="342">BT132-DO132</f>
        <v>0</v>
      </c>
      <c r="CQ132" s="235">
        <f t="shared" ref="CQ132:CQ163" si="343">BU132-DP132</f>
        <v>0</v>
      </c>
      <c r="CR132" s="235">
        <f t="shared" ref="CR132:CR163" si="344">BV132-DQ132</f>
        <v>0</v>
      </c>
      <c r="CS132" s="235">
        <f t="shared" ref="CS132:CS163" si="345">BW132-DR132</f>
        <v>0</v>
      </c>
      <c r="CT132" s="235">
        <f t="shared" ref="CT132:CT163" si="346">BX132-DS132</f>
        <v>0</v>
      </c>
      <c r="CU132" s="235">
        <f t="shared" ref="CU132:CU163" si="347">BY132-DT132</f>
        <v>0</v>
      </c>
      <c r="CV132" s="235">
        <f t="shared" ref="CV132:CV163" si="348">BZ132-DU132</f>
        <v>0</v>
      </c>
      <c r="CW132" s="235">
        <f t="shared" ref="CW132:CW163" si="349">CA132-DV132</f>
        <v>0</v>
      </c>
      <c r="CX132" s="235">
        <f t="shared" ref="CX132:CX163" si="350">CB132-DW132</f>
        <v>0</v>
      </c>
      <c r="CY132" s="235">
        <f t="shared" ref="CY132:CY163" si="351">CC132-DX132</f>
        <v>0</v>
      </c>
      <c r="CZ132" s="235">
        <f t="shared" ref="CZ132:CZ163" si="352">CD132-DY132</f>
        <v>0</v>
      </c>
      <c r="DA132" s="38"/>
      <c r="DB132" s="236"/>
      <c r="DC132" s="236"/>
      <c r="DD132" s="236"/>
      <c r="DE132" s="236"/>
      <c r="DF132" s="401"/>
      <c r="DG132" s="236"/>
      <c r="DH132" s="492"/>
      <c r="DI132" s="236">
        <v>0</v>
      </c>
      <c r="DJ132" s="236">
        <v>0.57107114999999997</v>
      </c>
      <c r="DK132" s="236">
        <v>0</v>
      </c>
      <c r="DL132" s="236">
        <v>0</v>
      </c>
      <c r="DM132" s="236">
        <v>0</v>
      </c>
      <c r="DN132" s="236">
        <v>0</v>
      </c>
      <c r="DO132" s="236">
        <v>0</v>
      </c>
      <c r="DP132" s="236">
        <v>0</v>
      </c>
      <c r="DQ132" s="401">
        <v>0</v>
      </c>
      <c r="DR132" s="401">
        <v>0</v>
      </c>
      <c r="DS132" s="401">
        <v>0</v>
      </c>
      <c r="DT132" s="401">
        <v>0</v>
      </c>
      <c r="DU132" s="401">
        <v>0</v>
      </c>
      <c r="DV132" s="401">
        <v>0</v>
      </c>
      <c r="DW132" s="401">
        <v>0</v>
      </c>
      <c r="DX132" s="401">
        <v>0</v>
      </c>
      <c r="DY132" s="401">
        <v>0</v>
      </c>
      <c r="DZ132" s="401"/>
      <c r="EA132" s="989"/>
    </row>
    <row r="133" spans="1:131" s="76" customFormat="1">
      <c r="A133" s="974" t="s">
        <v>3860</v>
      </c>
      <c r="B133" s="921" t="str">
        <f t="shared" si="332"/>
        <v>Suiker</v>
      </c>
      <c r="C133" s="51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>
        <f t="shared" si="334"/>
        <v>0</v>
      </c>
      <c r="BO133" s="51">
        <f t="shared" si="334"/>
        <v>0</v>
      </c>
      <c r="BP133" s="51">
        <f t="shared" si="335"/>
        <v>0</v>
      </c>
      <c r="BQ133" s="51">
        <f t="shared" si="335"/>
        <v>0</v>
      </c>
      <c r="BR133" s="51">
        <f t="shared" si="316"/>
        <v>0</v>
      </c>
      <c r="BS133" s="51">
        <f t="shared" si="317"/>
        <v>0</v>
      </c>
      <c r="BT133" s="51">
        <f t="shared" si="318"/>
        <v>0</v>
      </c>
      <c r="BU133" s="51">
        <f t="shared" si="319"/>
        <v>0</v>
      </c>
      <c r="BV133" s="51">
        <f t="shared" si="320"/>
        <v>0</v>
      </c>
      <c r="BW133" s="51">
        <f t="shared" si="321"/>
        <v>0</v>
      </c>
      <c r="BX133" s="51">
        <f t="shared" si="322"/>
        <v>0</v>
      </c>
      <c r="BY133" s="51">
        <f t="shared" si="323"/>
        <v>0</v>
      </c>
      <c r="BZ133" s="51">
        <f t="shared" si="324"/>
        <v>0</v>
      </c>
      <c r="CA133" s="51">
        <f t="shared" si="325"/>
        <v>0</v>
      </c>
      <c r="CB133" s="51">
        <f t="shared" si="326"/>
        <v>0</v>
      </c>
      <c r="CC133" s="51">
        <f t="shared" si="327"/>
        <v>0</v>
      </c>
      <c r="CD133" s="51">
        <f t="shared" si="328"/>
        <v>0</v>
      </c>
      <c r="CE133" s="51"/>
      <c r="CF133" s="435"/>
      <c r="CG133" s="235"/>
      <c r="CH133" s="235">
        <f t="shared" si="266"/>
        <v>0</v>
      </c>
      <c r="CI133" s="235" t="e">
        <f>BM133-#REF!</f>
        <v>#REF!</v>
      </c>
      <c r="CJ133" s="235">
        <f t="shared" si="336"/>
        <v>0</v>
      </c>
      <c r="CK133" s="235">
        <f t="shared" si="337"/>
        <v>0</v>
      </c>
      <c r="CL133" s="235">
        <f t="shared" si="338"/>
        <v>0</v>
      </c>
      <c r="CM133" s="235">
        <f t="shared" si="339"/>
        <v>0</v>
      </c>
      <c r="CN133" s="235">
        <f t="shared" si="340"/>
        <v>0</v>
      </c>
      <c r="CO133" s="235">
        <f t="shared" si="341"/>
        <v>0</v>
      </c>
      <c r="CP133" s="235">
        <f t="shared" si="342"/>
        <v>0</v>
      </c>
      <c r="CQ133" s="235">
        <f t="shared" si="343"/>
        <v>0</v>
      </c>
      <c r="CR133" s="235">
        <f t="shared" si="344"/>
        <v>0</v>
      </c>
      <c r="CS133" s="235">
        <f t="shared" si="345"/>
        <v>0</v>
      </c>
      <c r="CT133" s="235">
        <f t="shared" si="346"/>
        <v>0</v>
      </c>
      <c r="CU133" s="235">
        <f t="shared" si="347"/>
        <v>0</v>
      </c>
      <c r="CV133" s="235">
        <f t="shared" si="348"/>
        <v>0</v>
      </c>
      <c r="CW133" s="235">
        <f t="shared" si="349"/>
        <v>0</v>
      </c>
      <c r="CX133" s="235">
        <f t="shared" si="350"/>
        <v>0</v>
      </c>
      <c r="CY133" s="235">
        <f t="shared" si="351"/>
        <v>0</v>
      </c>
      <c r="CZ133" s="235">
        <f t="shared" si="352"/>
        <v>0</v>
      </c>
      <c r="DA133" s="38"/>
      <c r="DB133" s="236"/>
      <c r="DC133" s="236"/>
      <c r="DD133" s="236"/>
      <c r="DE133" s="236"/>
      <c r="DF133" s="401"/>
      <c r="DG133" s="236"/>
      <c r="DH133" s="492"/>
      <c r="DI133" s="236">
        <v>0</v>
      </c>
      <c r="DJ133" s="236">
        <v>0</v>
      </c>
      <c r="DK133" s="236">
        <v>0</v>
      </c>
      <c r="DL133" s="236">
        <v>0</v>
      </c>
      <c r="DM133" s="236">
        <v>0</v>
      </c>
      <c r="DN133" s="236">
        <v>0</v>
      </c>
      <c r="DO133" s="236">
        <v>0</v>
      </c>
      <c r="DP133" s="236">
        <v>0</v>
      </c>
      <c r="DQ133" s="401">
        <v>0</v>
      </c>
      <c r="DR133" s="401">
        <v>0</v>
      </c>
      <c r="DS133" s="401">
        <v>0</v>
      </c>
      <c r="DT133" s="401">
        <v>0</v>
      </c>
      <c r="DU133" s="401">
        <v>0</v>
      </c>
      <c r="DV133" s="401">
        <v>0</v>
      </c>
      <c r="DW133" s="401">
        <v>0</v>
      </c>
      <c r="DX133" s="401">
        <v>0</v>
      </c>
      <c r="DY133" s="401">
        <v>0</v>
      </c>
      <c r="DZ133" s="401"/>
      <c r="EA133" s="989"/>
    </row>
    <row r="134" spans="1:131" s="76" customFormat="1">
      <c r="A134" s="76" t="s">
        <v>3861</v>
      </c>
      <c r="B134" s="73" t="s">
        <v>2104</v>
      </c>
      <c r="C134" s="51" t="s">
        <v>3183</v>
      </c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51">
        <f t="shared" ref="AP134:AV143" si="353">(AO23*AP66)/1000</f>
        <v>0</v>
      </c>
      <c r="AQ134" s="51">
        <f t="shared" si="353"/>
        <v>0</v>
      </c>
      <c r="AR134" s="51">
        <f t="shared" si="353"/>
        <v>0</v>
      </c>
      <c r="AS134" s="51">
        <f t="shared" si="353"/>
        <v>0</v>
      </c>
      <c r="AT134" s="51">
        <f t="shared" si="353"/>
        <v>0</v>
      </c>
      <c r="AU134" s="51">
        <f t="shared" si="353"/>
        <v>0</v>
      </c>
      <c r="AV134" s="51">
        <f t="shared" si="353"/>
        <v>0</v>
      </c>
      <c r="AW134" s="51">
        <f t="shared" ref="AW134:BI134" si="354">(AV23*AW66)/1000</f>
        <v>3.531543061384081</v>
      </c>
      <c r="AX134" s="51">
        <f t="shared" si="354"/>
        <v>12.040914493708801</v>
      </c>
      <c r="AY134" s="51">
        <f t="shared" si="354"/>
        <v>42.1348894141248</v>
      </c>
      <c r="AZ134" s="51">
        <f t="shared" si="354"/>
        <v>77.549537191576732</v>
      </c>
      <c r="BA134" s="51">
        <f t="shared" si="354"/>
        <v>105.05375269316002</v>
      </c>
      <c r="BB134" s="51">
        <f t="shared" si="354"/>
        <v>89.405143612893241</v>
      </c>
      <c r="BC134" s="51">
        <f t="shared" si="354"/>
        <v>64.790782404604172</v>
      </c>
      <c r="BD134" s="51">
        <f t="shared" si="354"/>
        <v>369.80697202228629</v>
      </c>
      <c r="BE134" s="51">
        <f t="shared" si="354"/>
        <v>685.39861344743645</v>
      </c>
      <c r="BF134" s="51">
        <f t="shared" si="354"/>
        <v>1019.9399290587752</v>
      </c>
      <c r="BG134" s="51">
        <f t="shared" si="354"/>
        <v>1202.6406186387787</v>
      </c>
      <c r="BH134" s="51">
        <f t="shared" si="354"/>
        <v>1524.9345774443032</v>
      </c>
      <c r="BI134" s="51">
        <f t="shared" si="354"/>
        <v>2163.0685226343485</v>
      </c>
      <c r="BJ134" s="51">
        <f t="shared" ref="BJ134:BQ134" si="355">(BI23*BJ66)/1000</f>
        <v>2980.0430481494745</v>
      </c>
      <c r="BK134" s="51">
        <f t="shared" si="355"/>
        <v>4285.3644749967934</v>
      </c>
      <c r="BL134" s="51">
        <f t="shared" si="355"/>
        <v>4793.9467111338126</v>
      </c>
      <c r="BM134" s="51">
        <f t="shared" si="355"/>
        <v>4326.4102374302702</v>
      </c>
      <c r="BN134" s="51">
        <f t="shared" si="355"/>
        <v>3783.3716828793094</v>
      </c>
      <c r="BO134" s="51">
        <f t="shared" si="355"/>
        <v>3387.7309863638516</v>
      </c>
      <c r="BP134" s="51">
        <f t="shared" si="355"/>
        <v>3998.9127719585117</v>
      </c>
      <c r="BQ134" s="51">
        <f t="shared" si="355"/>
        <v>4808.0192812256</v>
      </c>
      <c r="BR134" s="51">
        <f t="shared" si="316"/>
        <v>6196.3387705919595</v>
      </c>
      <c r="BS134" s="51">
        <f t="shared" si="317"/>
        <v>6475.2488248288455</v>
      </c>
      <c r="BT134" s="51">
        <f t="shared" si="318"/>
        <v>6137.6905116159314</v>
      </c>
      <c r="BU134" s="51">
        <f t="shared" si="319"/>
        <v>6170.5033926393062</v>
      </c>
      <c r="BV134" s="51">
        <f t="shared" si="320"/>
        <v>6418.1577804035642</v>
      </c>
      <c r="BW134" s="51">
        <f t="shared" si="321"/>
        <v>6675.7518265516173</v>
      </c>
      <c r="BX134" s="51">
        <f t="shared" si="322"/>
        <v>6943.6844612606319</v>
      </c>
      <c r="BY134" s="51">
        <f t="shared" si="323"/>
        <v>7222.3706258502198</v>
      </c>
      <c r="BZ134" s="51">
        <f t="shared" si="324"/>
        <v>7736.6034144107562</v>
      </c>
      <c r="CA134" s="51">
        <f t="shared" si="325"/>
        <v>8287.4495775168034</v>
      </c>
      <c r="CB134" s="51">
        <f t="shared" si="326"/>
        <v>8877.5159874359997</v>
      </c>
      <c r="CC134" s="51">
        <f t="shared" si="327"/>
        <v>9509.5951257414454</v>
      </c>
      <c r="CD134" s="51">
        <f t="shared" si="328"/>
        <v>10186.678298694236</v>
      </c>
      <c r="CE134" s="51"/>
      <c r="CF134" s="435"/>
      <c r="CG134" s="235">
        <f t="shared" ref="CG134:CG165" si="356">BK134-DG134</f>
        <v>0</v>
      </c>
      <c r="CH134" s="235">
        <f t="shared" si="266"/>
        <v>0</v>
      </c>
      <c r="CI134" s="235" t="e">
        <f>BM134-#REF!</f>
        <v>#REF!</v>
      </c>
      <c r="CJ134" s="235">
        <f t="shared" si="336"/>
        <v>0</v>
      </c>
      <c r="CK134" s="235">
        <f t="shared" si="337"/>
        <v>0</v>
      </c>
      <c r="CL134" s="235">
        <f t="shared" si="338"/>
        <v>0</v>
      </c>
      <c r="CM134" s="235">
        <f t="shared" si="339"/>
        <v>0</v>
      </c>
      <c r="CN134" s="235">
        <f t="shared" si="340"/>
        <v>0</v>
      </c>
      <c r="CO134" s="235">
        <f t="shared" si="341"/>
        <v>0</v>
      </c>
      <c r="CP134" s="235">
        <f t="shared" si="342"/>
        <v>0</v>
      </c>
      <c r="CQ134" s="235">
        <f t="shared" si="343"/>
        <v>0</v>
      </c>
      <c r="CR134" s="235">
        <f t="shared" si="344"/>
        <v>0</v>
      </c>
      <c r="CS134" s="235">
        <f t="shared" si="345"/>
        <v>0</v>
      </c>
      <c r="CT134" s="235">
        <f t="shared" si="346"/>
        <v>0</v>
      </c>
      <c r="CU134" s="235">
        <f t="shared" si="347"/>
        <v>0</v>
      </c>
      <c r="CV134" s="235">
        <f t="shared" si="348"/>
        <v>0</v>
      </c>
      <c r="CW134" s="235">
        <f t="shared" si="349"/>
        <v>0</v>
      </c>
      <c r="CX134" s="235">
        <f t="shared" si="350"/>
        <v>0</v>
      </c>
      <c r="CY134" s="235">
        <f t="shared" si="351"/>
        <v>0</v>
      </c>
      <c r="CZ134" s="235">
        <f t="shared" si="352"/>
        <v>0</v>
      </c>
      <c r="DA134" s="38"/>
      <c r="DB134" s="236">
        <v>949.79011064532006</v>
      </c>
      <c r="DC134" s="236">
        <v>950.79011064532006</v>
      </c>
      <c r="DD134" s="236">
        <v>1186.0060381570106</v>
      </c>
      <c r="DE134" s="236">
        <v>1477.1375299516089</v>
      </c>
      <c r="DF134" s="401">
        <v>2163.0685226343485</v>
      </c>
      <c r="DG134" s="236">
        <v>4285.3644749967934</v>
      </c>
      <c r="DH134" s="492">
        <v>4793.9467111338126</v>
      </c>
      <c r="DI134" s="236">
        <v>3783.3716828793094</v>
      </c>
      <c r="DJ134" s="236">
        <v>3387.7309863638516</v>
      </c>
      <c r="DK134" s="236">
        <v>3998.9127719585117</v>
      </c>
      <c r="DL134" s="236">
        <v>4808.0192812256</v>
      </c>
      <c r="DM134" s="236">
        <v>6196.3387705919595</v>
      </c>
      <c r="DN134" s="236">
        <v>6475.2488248288455</v>
      </c>
      <c r="DO134" s="236">
        <v>6137.6905116159314</v>
      </c>
      <c r="DP134" s="236">
        <v>6170.5033926393062</v>
      </c>
      <c r="DQ134" s="401">
        <v>6418.1577804035642</v>
      </c>
      <c r="DR134" s="401">
        <v>6675.7518265516173</v>
      </c>
      <c r="DS134" s="401">
        <v>6943.6844612606319</v>
      </c>
      <c r="DT134" s="401">
        <v>7222.3706258502198</v>
      </c>
      <c r="DU134" s="401">
        <v>7736.6034144107562</v>
      </c>
      <c r="DV134" s="401">
        <v>8287.4495775168034</v>
      </c>
      <c r="DW134" s="401">
        <v>8877.5159874359997</v>
      </c>
      <c r="DX134" s="401">
        <v>9509.5951257414454</v>
      </c>
      <c r="DY134" s="401">
        <v>10186.678298694236</v>
      </c>
      <c r="DZ134" s="401"/>
      <c r="EA134" s="989"/>
    </row>
    <row r="135" spans="1:131" s="76" customFormat="1">
      <c r="A135" s="76" t="s">
        <v>3862</v>
      </c>
      <c r="B135" s="73" t="s">
        <v>1404</v>
      </c>
      <c r="C135" s="51" t="s">
        <v>2266</v>
      </c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51">
        <f t="shared" si="353"/>
        <v>0</v>
      </c>
      <c r="AQ135" s="51">
        <f t="shared" si="353"/>
        <v>0</v>
      </c>
      <c r="AR135" s="51">
        <f t="shared" si="353"/>
        <v>0</v>
      </c>
      <c r="AS135" s="51">
        <f t="shared" si="353"/>
        <v>0</v>
      </c>
      <c r="AT135" s="51">
        <f t="shared" si="353"/>
        <v>0</v>
      </c>
      <c r="AU135" s="51">
        <f t="shared" si="353"/>
        <v>0</v>
      </c>
      <c r="AV135" s="51">
        <f t="shared" si="353"/>
        <v>0</v>
      </c>
      <c r="AW135" s="51">
        <f t="shared" ref="AW135:BI135" si="357">(AV24*AW67)/1000</f>
        <v>0</v>
      </c>
      <c r="AX135" s="51">
        <f t="shared" si="357"/>
        <v>0</v>
      </c>
      <c r="AY135" s="51">
        <f t="shared" si="357"/>
        <v>0</v>
      </c>
      <c r="AZ135" s="51">
        <f t="shared" si="357"/>
        <v>0</v>
      </c>
      <c r="BA135" s="51">
        <f t="shared" si="357"/>
        <v>0</v>
      </c>
      <c r="BB135" s="51">
        <f t="shared" si="357"/>
        <v>0</v>
      </c>
      <c r="BC135" s="51">
        <f t="shared" si="357"/>
        <v>0</v>
      </c>
      <c r="BD135" s="51">
        <f t="shared" si="357"/>
        <v>0</v>
      </c>
      <c r="BE135" s="51">
        <f t="shared" si="357"/>
        <v>0</v>
      </c>
      <c r="BF135" s="51">
        <f t="shared" si="357"/>
        <v>0</v>
      </c>
      <c r="BG135" s="51">
        <f t="shared" si="357"/>
        <v>0</v>
      </c>
      <c r="BH135" s="51">
        <f t="shared" si="357"/>
        <v>0</v>
      </c>
      <c r="BI135" s="51">
        <f t="shared" si="357"/>
        <v>0</v>
      </c>
      <c r="BJ135" s="51">
        <f t="shared" ref="BJ135:BQ135" si="358">(BI24*BJ67)/1000</f>
        <v>0</v>
      </c>
      <c r="BK135" s="51">
        <f t="shared" si="358"/>
        <v>0</v>
      </c>
      <c r="BL135" s="51">
        <f t="shared" si="358"/>
        <v>0</v>
      </c>
      <c r="BM135" s="51">
        <f t="shared" si="358"/>
        <v>0</v>
      </c>
      <c r="BN135" s="51">
        <f t="shared" si="358"/>
        <v>0</v>
      </c>
      <c r="BO135" s="51">
        <f t="shared" si="358"/>
        <v>0</v>
      </c>
      <c r="BP135" s="51">
        <f t="shared" si="358"/>
        <v>0</v>
      </c>
      <c r="BQ135" s="51">
        <f t="shared" si="358"/>
        <v>0</v>
      </c>
      <c r="BR135" s="51">
        <f t="shared" si="316"/>
        <v>0</v>
      </c>
      <c r="BS135" s="51">
        <f t="shared" si="317"/>
        <v>0</v>
      </c>
      <c r="BT135" s="51">
        <f t="shared" si="318"/>
        <v>0</v>
      </c>
      <c r="BU135" s="51">
        <f t="shared" si="319"/>
        <v>0</v>
      </c>
      <c r="BV135" s="51">
        <f t="shared" si="320"/>
        <v>0</v>
      </c>
      <c r="BW135" s="51">
        <f t="shared" si="321"/>
        <v>0</v>
      </c>
      <c r="BX135" s="51">
        <f t="shared" si="322"/>
        <v>0</v>
      </c>
      <c r="BY135" s="51">
        <f t="shared" si="323"/>
        <v>0</v>
      </c>
      <c r="BZ135" s="51">
        <f t="shared" si="324"/>
        <v>0</v>
      </c>
      <c r="CA135" s="51">
        <f t="shared" si="325"/>
        <v>0</v>
      </c>
      <c r="CB135" s="51">
        <f t="shared" si="326"/>
        <v>0</v>
      </c>
      <c r="CC135" s="51">
        <f t="shared" si="327"/>
        <v>0</v>
      </c>
      <c r="CD135" s="51">
        <f t="shared" si="328"/>
        <v>0</v>
      </c>
      <c r="CE135" s="51"/>
      <c r="CF135" s="435"/>
      <c r="CG135" s="235">
        <f t="shared" si="356"/>
        <v>0</v>
      </c>
      <c r="CH135" s="235">
        <f t="shared" si="266"/>
        <v>0</v>
      </c>
      <c r="CI135" s="235" t="e">
        <f>BM135-#REF!</f>
        <v>#REF!</v>
      </c>
      <c r="CJ135" s="235">
        <f t="shared" si="336"/>
        <v>0</v>
      </c>
      <c r="CK135" s="235">
        <f t="shared" si="337"/>
        <v>0</v>
      </c>
      <c r="CL135" s="235">
        <f t="shared" si="338"/>
        <v>0</v>
      </c>
      <c r="CM135" s="235">
        <f t="shared" si="339"/>
        <v>0</v>
      </c>
      <c r="CN135" s="235">
        <f t="shared" si="340"/>
        <v>0</v>
      </c>
      <c r="CO135" s="235">
        <f t="shared" si="341"/>
        <v>0</v>
      </c>
      <c r="CP135" s="235">
        <f t="shared" si="342"/>
        <v>0</v>
      </c>
      <c r="CQ135" s="235">
        <f t="shared" si="343"/>
        <v>0</v>
      </c>
      <c r="CR135" s="235">
        <f t="shared" si="344"/>
        <v>0</v>
      </c>
      <c r="CS135" s="235">
        <f t="shared" si="345"/>
        <v>0</v>
      </c>
      <c r="CT135" s="235">
        <f t="shared" si="346"/>
        <v>0</v>
      </c>
      <c r="CU135" s="235">
        <f t="shared" si="347"/>
        <v>0</v>
      </c>
      <c r="CV135" s="235">
        <f t="shared" si="348"/>
        <v>0</v>
      </c>
      <c r="CW135" s="235">
        <f t="shared" si="349"/>
        <v>0</v>
      </c>
      <c r="CX135" s="235">
        <f t="shared" si="350"/>
        <v>0</v>
      </c>
      <c r="CY135" s="235">
        <f t="shared" si="351"/>
        <v>0</v>
      </c>
      <c r="CZ135" s="235">
        <f t="shared" si="352"/>
        <v>0</v>
      </c>
      <c r="DA135" s="38"/>
      <c r="DB135" s="236">
        <v>-1</v>
      </c>
      <c r="DC135" s="236">
        <v>0</v>
      </c>
      <c r="DD135" s="236">
        <v>0</v>
      </c>
      <c r="DE135" s="236">
        <v>0</v>
      </c>
      <c r="DF135" s="401">
        <v>0</v>
      </c>
      <c r="DG135" s="236">
        <v>0</v>
      </c>
      <c r="DH135" s="492">
        <v>0</v>
      </c>
      <c r="DI135" s="236">
        <v>0</v>
      </c>
      <c r="DJ135" s="236">
        <v>0</v>
      </c>
      <c r="DK135" s="236">
        <v>0</v>
      </c>
      <c r="DL135" s="236">
        <v>0</v>
      </c>
      <c r="DM135" s="236">
        <v>0</v>
      </c>
      <c r="DN135" s="236">
        <v>0</v>
      </c>
      <c r="DO135" s="236">
        <v>0</v>
      </c>
      <c r="DP135" s="236">
        <v>0</v>
      </c>
      <c r="DQ135" s="401">
        <v>0</v>
      </c>
      <c r="DR135" s="401">
        <v>0</v>
      </c>
      <c r="DS135" s="401">
        <v>0</v>
      </c>
      <c r="DT135" s="401">
        <v>0</v>
      </c>
      <c r="DU135" s="401">
        <v>0</v>
      </c>
      <c r="DV135" s="401">
        <v>0</v>
      </c>
      <c r="DW135" s="401">
        <v>0</v>
      </c>
      <c r="DX135" s="401">
        <v>0</v>
      </c>
      <c r="DY135" s="401">
        <v>0</v>
      </c>
      <c r="DZ135" s="401"/>
      <c r="EA135" s="989"/>
    </row>
    <row r="136" spans="1:131" s="76" customFormat="1">
      <c r="A136" s="76" t="s">
        <v>3863</v>
      </c>
      <c r="B136" s="73" t="s">
        <v>2210</v>
      </c>
      <c r="C136" s="51" t="s">
        <v>408</v>
      </c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51">
        <f t="shared" si="353"/>
        <v>5.9530662557781194E-2</v>
      </c>
      <c r="AQ136" s="51">
        <f t="shared" si="353"/>
        <v>4.827476280834915E-2</v>
      </c>
      <c r="AR136" s="51">
        <f t="shared" si="353"/>
        <v>3.8529705505761853E-2</v>
      </c>
      <c r="AS136" s="51">
        <f t="shared" si="353"/>
        <v>5.0952941176470583E-2</v>
      </c>
      <c r="AT136" s="51">
        <f t="shared" si="353"/>
        <v>3.1574694789081885</v>
      </c>
      <c r="AU136" s="51">
        <f t="shared" si="353"/>
        <v>14.976990353933861</v>
      </c>
      <c r="AV136" s="51">
        <f t="shared" si="353"/>
        <v>14.20860960225</v>
      </c>
      <c r="AW136" s="51">
        <f t="shared" ref="AW136:BI136" si="359">(AV25*AW68)/1000</f>
        <v>11.263359378000002</v>
      </c>
      <c r="AX136" s="51">
        <f t="shared" si="359"/>
        <v>8.3869190100000015</v>
      </c>
      <c r="AY136" s="51">
        <f t="shared" si="359"/>
        <v>13.3245376257</v>
      </c>
      <c r="AZ136" s="51">
        <f t="shared" si="359"/>
        <v>16.366140819696103</v>
      </c>
      <c r="BA136" s="51">
        <f t="shared" si="359"/>
        <v>21.483530584490111</v>
      </c>
      <c r="BB136" s="51">
        <f t="shared" si="359"/>
        <v>24.410554860864956</v>
      </c>
      <c r="BC136" s="51">
        <f t="shared" si="359"/>
        <v>40.542418060613748</v>
      </c>
      <c r="BD136" s="51">
        <f t="shared" si="359"/>
        <v>26.245931599357096</v>
      </c>
      <c r="BE136" s="51">
        <f t="shared" si="359"/>
        <v>35.405612509407156</v>
      </c>
      <c r="BF136" s="51">
        <f t="shared" si="359"/>
        <v>27.330548622596805</v>
      </c>
      <c r="BG136" s="51">
        <f t="shared" si="359"/>
        <v>33.417174587667034</v>
      </c>
      <c r="BH136" s="51">
        <f t="shared" si="359"/>
        <v>89.098607675664951</v>
      </c>
      <c r="BI136" s="51">
        <f t="shared" si="359"/>
        <v>61.248815981580677</v>
      </c>
      <c r="BJ136" s="51">
        <f t="shared" ref="BJ136:BQ136" si="360">(BI25*BJ68)/1000</f>
        <v>67.056200914922357</v>
      </c>
      <c r="BK136" s="51">
        <f t="shared" si="360"/>
        <v>193.26286772647427</v>
      </c>
      <c r="BL136" s="51">
        <f t="shared" si="360"/>
        <v>87.055842125823503</v>
      </c>
      <c r="BM136" s="51">
        <f t="shared" si="360"/>
        <v>99.39211962320546</v>
      </c>
      <c r="BN136" s="51">
        <f t="shared" si="360"/>
        <v>137.83952278377694</v>
      </c>
      <c r="BO136" s="51">
        <f t="shared" si="360"/>
        <v>182.88904070953853</v>
      </c>
      <c r="BP136" s="51">
        <f t="shared" si="360"/>
        <v>212.55528092493051</v>
      </c>
      <c r="BQ136" s="51">
        <f t="shared" si="360"/>
        <v>197.03874541741064</v>
      </c>
      <c r="BR136" s="51">
        <f t="shared" si="316"/>
        <v>213.09740316892959</v>
      </c>
      <c r="BS136" s="51">
        <f t="shared" si="317"/>
        <v>230.46484152719736</v>
      </c>
      <c r="BT136" s="51">
        <f t="shared" si="318"/>
        <v>249.24772611166398</v>
      </c>
      <c r="BU136" s="51">
        <f t="shared" si="319"/>
        <v>269.56141578976462</v>
      </c>
      <c r="BV136" s="51">
        <f t="shared" si="320"/>
        <v>291.53067117663045</v>
      </c>
      <c r="BW136" s="51">
        <f t="shared" si="321"/>
        <v>315.29042087752583</v>
      </c>
      <c r="BX136" s="51">
        <f t="shared" si="322"/>
        <v>340.98659017904424</v>
      </c>
      <c r="BY136" s="51">
        <f t="shared" si="323"/>
        <v>368.77699727863632</v>
      </c>
      <c r="BZ136" s="51">
        <f t="shared" si="324"/>
        <v>398.83232255684516</v>
      </c>
      <c r="CA136" s="51">
        <f t="shared" si="325"/>
        <v>431.33715684522804</v>
      </c>
      <c r="CB136" s="51">
        <f t="shared" si="326"/>
        <v>466.49113512811414</v>
      </c>
      <c r="CC136" s="51">
        <f t="shared" si="327"/>
        <v>504.51016264105556</v>
      </c>
      <c r="CD136" s="51">
        <f t="shared" si="328"/>
        <v>545.62774089630148</v>
      </c>
      <c r="CE136" s="51"/>
      <c r="CF136" s="435"/>
      <c r="CG136" s="235">
        <f t="shared" si="356"/>
        <v>62.917858889133726</v>
      </c>
      <c r="CH136" s="235">
        <f t="shared" si="266"/>
        <v>0</v>
      </c>
      <c r="CI136" s="235" t="e">
        <f>BM136-#REF!</f>
        <v>#REF!</v>
      </c>
      <c r="CJ136" s="235">
        <f t="shared" si="336"/>
        <v>0</v>
      </c>
      <c r="CK136" s="235">
        <f t="shared" si="337"/>
        <v>0</v>
      </c>
      <c r="CL136" s="235">
        <f t="shared" si="338"/>
        <v>0</v>
      </c>
      <c r="CM136" s="235">
        <f t="shared" si="339"/>
        <v>0</v>
      </c>
      <c r="CN136" s="235">
        <f t="shared" si="340"/>
        <v>0</v>
      </c>
      <c r="CO136" s="235">
        <f t="shared" si="341"/>
        <v>0</v>
      </c>
      <c r="CP136" s="235">
        <f t="shared" si="342"/>
        <v>0</v>
      </c>
      <c r="CQ136" s="235">
        <f t="shared" si="343"/>
        <v>0</v>
      </c>
      <c r="CR136" s="235">
        <f t="shared" si="344"/>
        <v>0</v>
      </c>
      <c r="CS136" s="235">
        <f t="shared" si="345"/>
        <v>0</v>
      </c>
      <c r="CT136" s="235">
        <f t="shared" si="346"/>
        <v>0</v>
      </c>
      <c r="CU136" s="235">
        <f t="shared" si="347"/>
        <v>0</v>
      </c>
      <c r="CV136" s="235">
        <f t="shared" si="348"/>
        <v>0</v>
      </c>
      <c r="CW136" s="235">
        <f t="shared" si="349"/>
        <v>0</v>
      </c>
      <c r="CX136" s="235">
        <f t="shared" si="350"/>
        <v>0</v>
      </c>
      <c r="CY136" s="235">
        <f t="shared" si="351"/>
        <v>0</v>
      </c>
      <c r="CZ136" s="235">
        <f t="shared" si="352"/>
        <v>0</v>
      </c>
      <c r="DA136" s="38"/>
      <c r="DB136" s="236">
        <v>25.696883829425001</v>
      </c>
      <c r="DC136" s="236">
        <v>26.696883829424998</v>
      </c>
      <c r="DD136" s="236">
        <v>33.180421593599995</v>
      </c>
      <c r="DE136" s="236">
        <v>99.437624999999983</v>
      </c>
      <c r="DF136" s="401">
        <v>61.248815981580677</v>
      </c>
      <c r="DG136" s="236">
        <v>130.34500883734054</v>
      </c>
      <c r="DH136" s="492">
        <v>87.055842125823503</v>
      </c>
      <c r="DI136" s="236">
        <v>137.83952278377694</v>
      </c>
      <c r="DJ136" s="236">
        <v>182.88904070953853</v>
      </c>
      <c r="DK136" s="236">
        <v>212.55528092493051</v>
      </c>
      <c r="DL136" s="236">
        <v>197.03874541741064</v>
      </c>
      <c r="DM136" s="236">
        <v>213.09740316892959</v>
      </c>
      <c r="DN136" s="236">
        <v>230.46484152719736</v>
      </c>
      <c r="DO136" s="236">
        <v>249.24772611166398</v>
      </c>
      <c r="DP136" s="236">
        <v>269.56141578976462</v>
      </c>
      <c r="DQ136" s="401">
        <v>291.53067117663045</v>
      </c>
      <c r="DR136" s="401">
        <v>315.29042087752583</v>
      </c>
      <c r="DS136" s="401">
        <v>340.98659017904424</v>
      </c>
      <c r="DT136" s="401">
        <v>368.77699727863632</v>
      </c>
      <c r="DU136" s="401">
        <v>398.83232255684516</v>
      </c>
      <c r="DV136" s="401">
        <v>431.33715684522804</v>
      </c>
      <c r="DW136" s="401">
        <v>466.49113512811414</v>
      </c>
      <c r="DX136" s="401">
        <v>504.51016264105556</v>
      </c>
      <c r="DY136" s="401">
        <v>545.62774089630148</v>
      </c>
      <c r="DZ136" s="401"/>
      <c r="EA136" s="989"/>
    </row>
    <row r="137" spans="1:131" s="76" customFormat="1">
      <c r="A137" s="76" t="s">
        <v>3864</v>
      </c>
      <c r="B137" s="73" t="s">
        <v>2857</v>
      </c>
      <c r="C137" s="51" t="s">
        <v>3630</v>
      </c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/>
      <c r="AH137" s="207"/>
      <c r="AI137" s="207"/>
      <c r="AJ137" s="207"/>
      <c r="AK137" s="207"/>
      <c r="AL137" s="207"/>
      <c r="AM137" s="207"/>
      <c r="AN137" s="207"/>
      <c r="AO137" s="207"/>
      <c r="AP137" s="51">
        <f t="shared" si="353"/>
        <v>1.8725088339222616E-2</v>
      </c>
      <c r="AQ137" s="51">
        <f t="shared" si="353"/>
        <v>1.6357801418439719E-2</v>
      </c>
      <c r="AR137" s="51">
        <f t="shared" si="353"/>
        <v>2.2541137123745818E-2</v>
      </c>
      <c r="AS137" s="51">
        <f t="shared" si="353"/>
        <v>1.548014184397163E-2</v>
      </c>
      <c r="AT137" s="51">
        <f t="shared" si="353"/>
        <v>1.079136936936937</v>
      </c>
      <c r="AU137" s="51">
        <f t="shared" si="353"/>
        <v>4.0870852941176468</v>
      </c>
      <c r="AV137" s="51">
        <f t="shared" si="353"/>
        <v>6.1822715184999986</v>
      </c>
      <c r="AW137" s="51">
        <f t="shared" ref="AW137:BI137" si="361">(AV26*AW69)/1000</f>
        <v>5.0215176880000012</v>
      </c>
      <c r="AX137" s="51">
        <f t="shared" si="361"/>
        <v>5.2597967000000008</v>
      </c>
      <c r="AY137" s="51">
        <f t="shared" si="361"/>
        <v>10.494548018400002</v>
      </c>
      <c r="AZ137" s="51">
        <f t="shared" si="361"/>
        <v>12.673025911074744</v>
      </c>
      <c r="BA137" s="51">
        <f t="shared" si="361"/>
        <v>16.476050238957676</v>
      </c>
      <c r="BB137" s="51">
        <f t="shared" si="361"/>
        <v>14.625175084618361</v>
      </c>
      <c r="BC137" s="51">
        <f t="shared" si="361"/>
        <v>2.8361718351999987</v>
      </c>
      <c r="BD137" s="51">
        <f t="shared" si="361"/>
        <v>0</v>
      </c>
      <c r="BE137" s="51">
        <f t="shared" si="361"/>
        <v>15.496708499999997</v>
      </c>
      <c r="BF137" s="51">
        <f t="shared" si="361"/>
        <v>32.877775624999984</v>
      </c>
      <c r="BG137" s="51">
        <f t="shared" si="361"/>
        <v>48.943175966999988</v>
      </c>
      <c r="BH137" s="51">
        <f t="shared" si="361"/>
        <v>74.213398916999964</v>
      </c>
      <c r="BI137" s="51">
        <f t="shared" si="361"/>
        <v>85.306734922769962</v>
      </c>
      <c r="BJ137" s="51">
        <f t="shared" ref="BJ137:BQ137" si="362">(BI26*BJ69)/1000</f>
        <v>85.569780811999948</v>
      </c>
      <c r="BK137" s="51">
        <f t="shared" si="362"/>
        <v>113.98999511249997</v>
      </c>
      <c r="BL137" s="51">
        <f t="shared" si="362"/>
        <v>115.69018150899994</v>
      </c>
      <c r="BM137" s="51">
        <f t="shared" si="362"/>
        <v>97.329127849999949</v>
      </c>
      <c r="BN137" s="51">
        <f t="shared" si="362"/>
        <v>126.95089549499991</v>
      </c>
      <c r="BO137" s="51">
        <f t="shared" si="362"/>
        <v>115.82138126359075</v>
      </c>
      <c r="BP137" s="51">
        <f t="shared" si="362"/>
        <v>117.85734827847145</v>
      </c>
      <c r="BQ137" s="51">
        <f t="shared" si="362"/>
        <v>121.3930687268256</v>
      </c>
      <c r="BR137" s="51">
        <f t="shared" si="316"/>
        <v>125.03486078863037</v>
      </c>
      <c r="BS137" s="51">
        <f t="shared" si="317"/>
        <v>128.7859066122893</v>
      </c>
      <c r="BT137" s="51">
        <f t="shared" si="318"/>
        <v>132.64948381065798</v>
      </c>
      <c r="BU137" s="51">
        <f t="shared" si="319"/>
        <v>136.62896832497773</v>
      </c>
      <c r="BV137" s="51">
        <f t="shared" si="320"/>
        <v>140.72783737472705</v>
      </c>
      <c r="BW137" s="51">
        <f t="shared" si="321"/>
        <v>144.94967249596888</v>
      </c>
      <c r="BX137" s="51">
        <f t="shared" si="322"/>
        <v>149.29816267084794</v>
      </c>
      <c r="BY137" s="51">
        <f t="shared" si="323"/>
        <v>153.77710755097337</v>
      </c>
      <c r="BZ137" s="51">
        <f t="shared" si="324"/>
        <v>158.39042077750256</v>
      </c>
      <c r="CA137" s="51">
        <f t="shared" si="325"/>
        <v>163.14213340082767</v>
      </c>
      <c r="CB137" s="51">
        <f t="shared" si="326"/>
        <v>168.03639740285251</v>
      </c>
      <c r="CC137" s="51">
        <f t="shared" si="327"/>
        <v>173.07748932493809</v>
      </c>
      <c r="CD137" s="51">
        <f t="shared" si="328"/>
        <v>178.26981400468622</v>
      </c>
      <c r="CE137" s="51"/>
      <c r="CF137" s="435"/>
      <c r="CG137" s="235">
        <f t="shared" si="356"/>
        <v>0.30672573750001675</v>
      </c>
      <c r="CH137" s="235">
        <f t="shared" si="266"/>
        <v>0</v>
      </c>
      <c r="CI137" s="235" t="e">
        <f>BM137-#REF!</f>
        <v>#REF!</v>
      </c>
      <c r="CJ137" s="235">
        <f t="shared" si="336"/>
        <v>0</v>
      </c>
      <c r="CK137" s="235">
        <f t="shared" si="337"/>
        <v>0</v>
      </c>
      <c r="CL137" s="235">
        <f t="shared" si="338"/>
        <v>0</v>
      </c>
      <c r="CM137" s="235">
        <f t="shared" si="339"/>
        <v>0</v>
      </c>
      <c r="CN137" s="235">
        <f t="shared" si="340"/>
        <v>0</v>
      </c>
      <c r="CO137" s="235">
        <f t="shared" si="341"/>
        <v>0</v>
      </c>
      <c r="CP137" s="235">
        <f t="shared" si="342"/>
        <v>0</v>
      </c>
      <c r="CQ137" s="235">
        <f t="shared" si="343"/>
        <v>0</v>
      </c>
      <c r="CR137" s="235">
        <f t="shared" si="344"/>
        <v>0</v>
      </c>
      <c r="CS137" s="235">
        <f t="shared" si="345"/>
        <v>0</v>
      </c>
      <c r="CT137" s="235">
        <f t="shared" si="346"/>
        <v>0</v>
      </c>
      <c r="CU137" s="235">
        <f t="shared" si="347"/>
        <v>0</v>
      </c>
      <c r="CV137" s="235">
        <f t="shared" si="348"/>
        <v>0</v>
      </c>
      <c r="CW137" s="235">
        <f t="shared" si="349"/>
        <v>0</v>
      </c>
      <c r="CX137" s="235">
        <f t="shared" si="350"/>
        <v>0</v>
      </c>
      <c r="CY137" s="235">
        <f t="shared" si="351"/>
        <v>0</v>
      </c>
      <c r="CZ137" s="235">
        <f t="shared" si="352"/>
        <v>0</v>
      </c>
      <c r="DA137" s="38"/>
      <c r="DB137" s="236">
        <v>39.571283450000003</v>
      </c>
      <c r="DC137" s="236">
        <v>40.571283450000003</v>
      </c>
      <c r="DD137" s="236">
        <v>48.457751319899998</v>
      </c>
      <c r="DE137" s="236">
        <v>78.113354098499997</v>
      </c>
      <c r="DF137" s="401">
        <v>86.288102330553855</v>
      </c>
      <c r="DG137" s="236">
        <v>113.68326937499995</v>
      </c>
      <c r="DH137" s="492">
        <v>115.69018150899994</v>
      </c>
      <c r="DI137" s="236">
        <v>126.95089549499991</v>
      </c>
      <c r="DJ137" s="236">
        <v>115.82138126359075</v>
      </c>
      <c r="DK137" s="236">
        <v>117.85734827847145</v>
      </c>
      <c r="DL137" s="236">
        <v>121.3930687268256</v>
      </c>
      <c r="DM137" s="236">
        <v>125.03486078863037</v>
      </c>
      <c r="DN137" s="236">
        <v>128.7859066122893</v>
      </c>
      <c r="DO137" s="236">
        <v>132.64948381065798</v>
      </c>
      <c r="DP137" s="236">
        <v>136.62896832497773</v>
      </c>
      <c r="DQ137" s="401">
        <v>140.72783737472705</v>
      </c>
      <c r="DR137" s="401">
        <v>144.94967249596888</v>
      </c>
      <c r="DS137" s="401">
        <v>149.29816267084794</v>
      </c>
      <c r="DT137" s="401">
        <v>153.77710755097337</v>
      </c>
      <c r="DU137" s="401">
        <v>158.39042077750256</v>
      </c>
      <c r="DV137" s="401">
        <v>163.14213340082767</v>
      </c>
      <c r="DW137" s="401">
        <v>168.03639740285251</v>
      </c>
      <c r="DX137" s="401">
        <v>173.07748932493809</v>
      </c>
      <c r="DY137" s="401">
        <v>178.26981400468622</v>
      </c>
      <c r="DZ137" s="401"/>
      <c r="EA137" s="989"/>
    </row>
    <row r="138" spans="1:131" s="76" customFormat="1">
      <c r="A138" s="76" t="s">
        <v>3865</v>
      </c>
      <c r="B138" s="73" t="s">
        <v>2212</v>
      </c>
      <c r="C138" s="51" t="s">
        <v>3849</v>
      </c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07"/>
      <c r="AF138" s="207"/>
      <c r="AG138" s="207"/>
      <c r="AH138" s="207"/>
      <c r="AI138" s="207"/>
      <c r="AJ138" s="207"/>
      <c r="AK138" s="207"/>
      <c r="AL138" s="207"/>
      <c r="AM138" s="207"/>
      <c r="AN138" s="207"/>
      <c r="AO138" s="207"/>
      <c r="AP138" s="51">
        <f t="shared" si="353"/>
        <v>3.8455733647257698E-2</v>
      </c>
      <c r="AQ138" s="51">
        <f t="shared" si="353"/>
        <v>6.2034468584850261E-2</v>
      </c>
      <c r="AR138" s="51">
        <f t="shared" si="353"/>
        <v>0.1029220162323793</v>
      </c>
      <c r="AS138" s="51">
        <f t="shared" si="353"/>
        <v>7.1193607748184021E-2</v>
      </c>
      <c r="AT138" s="51">
        <f t="shared" si="353"/>
        <v>4.5405817649519022</v>
      </c>
      <c r="AU138" s="51">
        <f t="shared" si="353"/>
        <v>13.354558515576922</v>
      </c>
      <c r="AV138" s="51">
        <f t="shared" si="353"/>
        <v>18.529375227887702</v>
      </c>
      <c r="AW138" s="51">
        <f t="shared" ref="AW138:BI138" si="363">(AV27*AW70)/1000</f>
        <v>15.839178362401428</v>
      </c>
      <c r="AX138" s="51">
        <f t="shared" si="363"/>
        <v>8.8970290260113121</v>
      </c>
      <c r="AY138" s="51">
        <f t="shared" si="363"/>
        <v>23.199480301768769</v>
      </c>
      <c r="AZ138" s="51">
        <f t="shared" si="363"/>
        <v>24.82776075239526</v>
      </c>
      <c r="BA138" s="51">
        <f t="shared" si="363"/>
        <v>61.555601731826584</v>
      </c>
      <c r="BB138" s="51">
        <f t="shared" si="363"/>
        <v>63.124355141460128</v>
      </c>
      <c r="BC138" s="51">
        <f t="shared" si="363"/>
        <v>78.291549468888931</v>
      </c>
      <c r="BD138" s="51">
        <f t="shared" si="363"/>
        <v>86.873358842220682</v>
      </c>
      <c r="BE138" s="51">
        <f t="shared" si="363"/>
        <v>80.551296866276402</v>
      </c>
      <c r="BF138" s="51">
        <f t="shared" si="363"/>
        <v>58.56556054174456</v>
      </c>
      <c r="BG138" s="51">
        <f t="shared" si="363"/>
        <v>68.688807420384947</v>
      </c>
      <c r="BH138" s="51">
        <f t="shared" si="363"/>
        <v>50.075422107174091</v>
      </c>
      <c r="BI138" s="51">
        <f t="shared" si="363"/>
        <v>45.301122227668067</v>
      </c>
      <c r="BJ138" s="51">
        <f t="shared" ref="BJ138:BQ138" si="364">(BI27*BJ70)/1000</f>
        <v>22.919679043376178</v>
      </c>
      <c r="BK138" s="51">
        <f t="shared" si="364"/>
        <v>98.078820230896113</v>
      </c>
      <c r="BL138" s="51">
        <f t="shared" si="364"/>
        <v>53.256439654463193</v>
      </c>
      <c r="BM138" s="51">
        <f t="shared" si="364"/>
        <v>43.824272865303961</v>
      </c>
      <c r="BN138" s="51">
        <f t="shared" si="364"/>
        <v>58.430761222794494</v>
      </c>
      <c r="BO138" s="51">
        <f t="shared" si="364"/>
        <v>35.888363843076938</v>
      </c>
      <c r="BP138" s="51">
        <f t="shared" si="364"/>
        <v>47.549146745302906</v>
      </c>
      <c r="BQ138" s="51">
        <f t="shared" si="364"/>
        <v>50.248987297501202</v>
      </c>
      <c r="BR138" s="51">
        <f t="shared" si="316"/>
        <v>53.102124796253321</v>
      </c>
      <c r="BS138" s="51">
        <f t="shared" si="317"/>
        <v>56.117263442184594</v>
      </c>
      <c r="BT138" s="51">
        <f t="shared" si="318"/>
        <v>58.552191502940985</v>
      </c>
      <c r="BU138" s="51">
        <f t="shared" si="319"/>
        <v>61.092771092253592</v>
      </c>
      <c r="BV138" s="51">
        <f t="shared" si="320"/>
        <v>63.743586429946475</v>
      </c>
      <c r="BW138" s="51">
        <f t="shared" si="321"/>
        <v>66.509420645141844</v>
      </c>
      <c r="BX138" s="51">
        <f t="shared" si="322"/>
        <v>69.395264406934544</v>
      </c>
      <c r="BY138" s="51">
        <f t="shared" si="323"/>
        <v>72.406324929551431</v>
      </c>
      <c r="BZ138" s="51">
        <f t="shared" si="324"/>
        <v>75.548035368244655</v>
      </c>
      <c r="CA138" s="51">
        <f t="shared" si="325"/>
        <v>78.826064622872778</v>
      </c>
      <c r="CB138" s="51">
        <f t="shared" si="326"/>
        <v>82.246327566859222</v>
      </c>
      <c r="CC138" s="51">
        <f t="shared" si="327"/>
        <v>85.814995719985248</v>
      </c>
      <c r="CD138" s="51">
        <f t="shared" si="328"/>
        <v>89.538508384275389</v>
      </c>
      <c r="CE138" s="51"/>
      <c r="CF138" s="435"/>
      <c r="CG138" s="235">
        <f t="shared" si="356"/>
        <v>49.028370590608333</v>
      </c>
      <c r="CH138" s="235">
        <f t="shared" si="266"/>
        <v>0</v>
      </c>
      <c r="CI138" s="235" t="e">
        <f>BM138-#REF!</f>
        <v>#REF!</v>
      </c>
      <c r="CJ138" s="235">
        <f t="shared" si="336"/>
        <v>0</v>
      </c>
      <c r="CK138" s="235">
        <f t="shared" si="337"/>
        <v>0</v>
      </c>
      <c r="CL138" s="235">
        <f t="shared" si="338"/>
        <v>0</v>
      </c>
      <c r="CM138" s="235">
        <f t="shared" si="339"/>
        <v>0</v>
      </c>
      <c r="CN138" s="235">
        <f t="shared" si="340"/>
        <v>0</v>
      </c>
      <c r="CO138" s="235">
        <f t="shared" si="341"/>
        <v>0</v>
      </c>
      <c r="CP138" s="235">
        <f t="shared" si="342"/>
        <v>0</v>
      </c>
      <c r="CQ138" s="235">
        <f t="shared" si="343"/>
        <v>0</v>
      </c>
      <c r="CR138" s="235">
        <f t="shared" si="344"/>
        <v>0</v>
      </c>
      <c r="CS138" s="235">
        <f t="shared" si="345"/>
        <v>0</v>
      </c>
      <c r="CT138" s="235">
        <f t="shared" si="346"/>
        <v>0</v>
      </c>
      <c r="CU138" s="235">
        <f t="shared" si="347"/>
        <v>0</v>
      </c>
      <c r="CV138" s="235">
        <f t="shared" si="348"/>
        <v>0</v>
      </c>
      <c r="CW138" s="235">
        <f t="shared" si="349"/>
        <v>0</v>
      </c>
      <c r="CX138" s="235">
        <f t="shared" si="350"/>
        <v>0</v>
      </c>
      <c r="CY138" s="235">
        <f t="shared" si="351"/>
        <v>0</v>
      </c>
      <c r="CZ138" s="235">
        <f t="shared" si="352"/>
        <v>0</v>
      </c>
      <c r="DA138" s="38"/>
      <c r="DB138" s="236">
        <v>57.4920373981167</v>
      </c>
      <c r="DC138" s="236">
        <v>58.492037398116665</v>
      </c>
      <c r="DD138" s="236">
        <v>68.865599408910953</v>
      </c>
      <c r="DE138" s="236">
        <v>48.451038533561643</v>
      </c>
      <c r="DF138" s="401">
        <v>45.301122227668067</v>
      </c>
      <c r="DG138" s="236">
        <v>49.050449640287781</v>
      </c>
      <c r="DH138" s="492">
        <v>53.256439654463193</v>
      </c>
      <c r="DI138" s="236">
        <v>58.430761222794494</v>
      </c>
      <c r="DJ138" s="236">
        <v>35.888363843076938</v>
      </c>
      <c r="DK138" s="236">
        <v>47.549146745302906</v>
      </c>
      <c r="DL138" s="236">
        <v>50.248987297501202</v>
      </c>
      <c r="DM138" s="236">
        <v>53.102124796253321</v>
      </c>
      <c r="DN138" s="236">
        <v>56.117263442184594</v>
      </c>
      <c r="DO138" s="236">
        <v>58.552191502940985</v>
      </c>
      <c r="DP138" s="236">
        <v>61.092771092253592</v>
      </c>
      <c r="DQ138" s="401">
        <v>63.743586429946475</v>
      </c>
      <c r="DR138" s="401">
        <v>66.509420645141844</v>
      </c>
      <c r="DS138" s="401">
        <v>69.395264406934544</v>
      </c>
      <c r="DT138" s="401">
        <v>72.406324929551431</v>
      </c>
      <c r="DU138" s="401">
        <v>75.548035368244655</v>
      </c>
      <c r="DV138" s="401">
        <v>78.826064622872778</v>
      </c>
      <c r="DW138" s="401">
        <v>82.246327566859222</v>
      </c>
      <c r="DX138" s="401">
        <v>85.814995719985248</v>
      </c>
      <c r="DY138" s="401">
        <v>89.538508384275389</v>
      </c>
      <c r="DZ138" s="401"/>
      <c r="EA138" s="989"/>
    </row>
    <row r="139" spans="1:131" s="76" customFormat="1">
      <c r="A139" s="76" t="s">
        <v>3866</v>
      </c>
      <c r="B139" s="73" t="s">
        <v>2214</v>
      </c>
      <c r="C139" s="51" t="s">
        <v>990</v>
      </c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/>
      <c r="AH139" s="207"/>
      <c r="AI139" s="207"/>
      <c r="AJ139" s="207"/>
      <c r="AK139" s="207"/>
      <c r="AL139" s="207"/>
      <c r="AM139" s="207"/>
      <c r="AN139" s="207"/>
      <c r="AO139" s="207"/>
      <c r="AP139" s="51">
        <f t="shared" si="353"/>
        <v>0</v>
      </c>
      <c r="AQ139" s="51">
        <f t="shared" si="353"/>
        <v>1.7569137407889028E-3</v>
      </c>
      <c r="AR139" s="51">
        <f t="shared" si="353"/>
        <v>1.3172225806451613E-3</v>
      </c>
      <c r="AS139" s="51">
        <f t="shared" si="353"/>
        <v>3.859183673469387E-3</v>
      </c>
      <c r="AT139" s="51">
        <f t="shared" si="353"/>
        <v>0.52148510638297874</v>
      </c>
      <c r="AU139" s="51">
        <f t="shared" si="353"/>
        <v>1.3980706847826088</v>
      </c>
      <c r="AV139" s="51">
        <f t="shared" si="353"/>
        <v>1.5697695768482482</v>
      </c>
      <c r="AW139" s="51">
        <f t="shared" ref="AW139:BI139" si="365">(AV28*AW71)/1000</f>
        <v>1.0434650942039407</v>
      </c>
      <c r="AX139" s="51">
        <f t="shared" si="365"/>
        <v>1.5215023192360153</v>
      </c>
      <c r="AY139" s="51">
        <f t="shared" si="365"/>
        <v>4.1217987524416149</v>
      </c>
      <c r="AZ139" s="51">
        <f t="shared" si="365"/>
        <v>3.8185594115780486</v>
      </c>
      <c r="BA139" s="51">
        <f t="shared" si="365"/>
        <v>11.389173061512915</v>
      </c>
      <c r="BB139" s="51">
        <f t="shared" si="365"/>
        <v>14.45226644146768</v>
      </c>
      <c r="BC139" s="51">
        <f t="shared" si="365"/>
        <v>23.414298332133921</v>
      </c>
      <c r="BD139" s="51">
        <f t="shared" si="365"/>
        <v>21.067474987906781</v>
      </c>
      <c r="BE139" s="51">
        <f t="shared" si="365"/>
        <v>20.325388633986329</v>
      </c>
      <c r="BF139" s="51">
        <f t="shared" si="365"/>
        <v>26.020899580013069</v>
      </c>
      <c r="BG139" s="51">
        <f t="shared" si="365"/>
        <v>27.448105104144307</v>
      </c>
      <c r="BH139" s="51">
        <f t="shared" si="365"/>
        <v>29.47213377961425</v>
      </c>
      <c r="BI139" s="51">
        <f t="shared" si="365"/>
        <v>39.245427194499079</v>
      </c>
      <c r="BJ139" s="51">
        <f t="shared" ref="BJ139:BQ139" si="366">(BI28*BJ71)/1000</f>
        <v>46.710563719121268</v>
      </c>
      <c r="BK139" s="51">
        <f t="shared" si="366"/>
        <v>55.656412851514766</v>
      </c>
      <c r="BL139" s="51">
        <f t="shared" si="366"/>
        <v>63.795690852267825</v>
      </c>
      <c r="BM139" s="51">
        <f t="shared" si="366"/>
        <v>52.277099126311754</v>
      </c>
      <c r="BN139" s="51">
        <f t="shared" si="366"/>
        <v>72.867935031296213</v>
      </c>
      <c r="BO139" s="51">
        <f t="shared" si="366"/>
        <v>84.251049604615417</v>
      </c>
      <c r="BP139" s="51">
        <f t="shared" si="366"/>
        <v>111.62574974474481</v>
      </c>
      <c r="BQ139" s="51">
        <f t="shared" si="366"/>
        <v>117.96385981525142</v>
      </c>
      <c r="BR139" s="51">
        <f t="shared" si="316"/>
        <v>124.66184777556138</v>
      </c>
      <c r="BS139" s="51">
        <f t="shared" si="317"/>
        <v>131.74014749225779</v>
      </c>
      <c r="BT139" s="51">
        <f t="shared" si="318"/>
        <v>137.45635249194683</v>
      </c>
      <c r="BU139" s="51">
        <f t="shared" si="319"/>
        <v>143.42058362657238</v>
      </c>
      <c r="BV139" s="51">
        <f t="shared" si="320"/>
        <v>149.64360275012942</v>
      </c>
      <c r="BW139" s="51">
        <f t="shared" si="321"/>
        <v>156.1366386734575</v>
      </c>
      <c r="BX139" s="51">
        <f t="shared" si="322"/>
        <v>162.91140742549882</v>
      </c>
      <c r="BY139" s="51">
        <f t="shared" si="323"/>
        <v>169.98013339369118</v>
      </c>
      <c r="BZ139" s="51">
        <f t="shared" si="324"/>
        <v>177.35557138164344</v>
      </c>
      <c r="CA139" s="51">
        <f t="shared" si="325"/>
        <v>185.05102962389293</v>
      </c>
      <c r="CB139" s="51">
        <f t="shared" si="326"/>
        <v>193.08039379927362</v>
      </c>
      <c r="CC139" s="51">
        <f t="shared" si="327"/>
        <v>201.45815208622412</v>
      </c>
      <c r="CD139" s="51">
        <f t="shared" si="328"/>
        <v>210.19942130524538</v>
      </c>
      <c r="CE139" s="51"/>
      <c r="CF139" s="435"/>
      <c r="CG139" s="235">
        <f t="shared" si="356"/>
        <v>3.7359092543924604</v>
      </c>
      <c r="CH139" s="235">
        <f t="shared" ref="CH139:CH170" si="367">BL139-DH139</f>
        <v>0</v>
      </c>
      <c r="CI139" s="235" t="e">
        <f>BM139-#REF!</f>
        <v>#REF!</v>
      </c>
      <c r="CJ139" s="235">
        <f t="shared" si="336"/>
        <v>0</v>
      </c>
      <c r="CK139" s="235">
        <f t="shared" si="337"/>
        <v>0</v>
      </c>
      <c r="CL139" s="235">
        <f t="shared" si="338"/>
        <v>0</v>
      </c>
      <c r="CM139" s="235">
        <f t="shared" si="339"/>
        <v>0</v>
      </c>
      <c r="CN139" s="235">
        <f t="shared" si="340"/>
        <v>0</v>
      </c>
      <c r="CO139" s="235">
        <f t="shared" si="341"/>
        <v>0</v>
      </c>
      <c r="CP139" s="235">
        <f t="shared" si="342"/>
        <v>0</v>
      </c>
      <c r="CQ139" s="235">
        <f t="shared" si="343"/>
        <v>0</v>
      </c>
      <c r="CR139" s="235">
        <f t="shared" si="344"/>
        <v>0</v>
      </c>
      <c r="CS139" s="235">
        <f t="shared" si="345"/>
        <v>0</v>
      </c>
      <c r="CT139" s="235">
        <f t="shared" si="346"/>
        <v>0</v>
      </c>
      <c r="CU139" s="235">
        <f t="shared" si="347"/>
        <v>0</v>
      </c>
      <c r="CV139" s="235">
        <f t="shared" si="348"/>
        <v>0</v>
      </c>
      <c r="CW139" s="235">
        <f t="shared" si="349"/>
        <v>0</v>
      </c>
      <c r="CX139" s="235">
        <f t="shared" si="350"/>
        <v>0</v>
      </c>
      <c r="CY139" s="235">
        <f t="shared" si="351"/>
        <v>0</v>
      </c>
      <c r="CZ139" s="235">
        <f t="shared" si="352"/>
        <v>0</v>
      </c>
      <c r="DA139" s="38"/>
      <c r="DB139" s="236">
        <v>24.795027062239999</v>
      </c>
      <c r="DC139" s="236">
        <v>25.795027062240035</v>
      </c>
      <c r="DD139" s="236">
        <v>27.449251377823799</v>
      </c>
      <c r="DE139" s="236">
        <v>29.47515704126765</v>
      </c>
      <c r="DF139" s="401">
        <v>39.245427194499079</v>
      </c>
      <c r="DG139" s="236">
        <v>51.920503597122305</v>
      </c>
      <c r="DH139" s="492">
        <v>63.795690852267825</v>
      </c>
      <c r="DI139" s="236">
        <v>72.867935031296213</v>
      </c>
      <c r="DJ139" s="236">
        <v>84.251049604615417</v>
      </c>
      <c r="DK139" s="236">
        <v>111.62574974474481</v>
      </c>
      <c r="DL139" s="236">
        <v>117.96385981525142</v>
      </c>
      <c r="DM139" s="236">
        <v>124.66184777556138</v>
      </c>
      <c r="DN139" s="236">
        <v>131.74014749225779</v>
      </c>
      <c r="DO139" s="236">
        <v>137.45635249194683</v>
      </c>
      <c r="DP139" s="236">
        <v>143.42058362657238</v>
      </c>
      <c r="DQ139" s="401">
        <v>149.64360275012942</v>
      </c>
      <c r="DR139" s="401">
        <v>156.1366386734575</v>
      </c>
      <c r="DS139" s="401">
        <v>162.91140742549882</v>
      </c>
      <c r="DT139" s="401">
        <v>169.98013339369118</v>
      </c>
      <c r="DU139" s="401">
        <v>177.35557138164344</v>
      </c>
      <c r="DV139" s="401">
        <v>185.05102962389293</v>
      </c>
      <c r="DW139" s="401">
        <v>193.08039379927362</v>
      </c>
      <c r="DX139" s="401">
        <v>201.45815208622412</v>
      </c>
      <c r="DY139" s="401">
        <v>210.19942130524538</v>
      </c>
      <c r="DZ139" s="401"/>
      <c r="EA139" s="989"/>
    </row>
    <row r="140" spans="1:131" s="76" customFormat="1">
      <c r="A140" s="76" t="s">
        <v>3867</v>
      </c>
      <c r="B140" s="73" t="s">
        <v>2213</v>
      </c>
      <c r="C140" s="51" t="s">
        <v>1265</v>
      </c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/>
      <c r="AH140" s="207"/>
      <c r="AI140" s="207"/>
      <c r="AJ140" s="207"/>
      <c r="AK140" s="207"/>
      <c r="AL140" s="207"/>
      <c r="AM140" s="207"/>
      <c r="AN140" s="207"/>
      <c r="AO140" s="207"/>
      <c r="AP140" s="51">
        <f t="shared" si="353"/>
        <v>0</v>
      </c>
      <c r="AQ140" s="51">
        <f t="shared" si="353"/>
        <v>6.3650885514369981E-4</v>
      </c>
      <c r="AR140" s="51">
        <f t="shared" si="353"/>
        <v>5.356413316509825E-4</v>
      </c>
      <c r="AS140" s="51">
        <f t="shared" si="353"/>
        <v>1.8874255635163875E-3</v>
      </c>
      <c r="AT140" s="51">
        <f t="shared" si="353"/>
        <v>6.3944658832128604E-2</v>
      </c>
      <c r="AU140" s="51">
        <f t="shared" si="353"/>
        <v>1.5218223914624975</v>
      </c>
      <c r="AV140" s="51">
        <f t="shared" si="353"/>
        <v>0.44529403333333328</v>
      </c>
      <c r="AW140" s="51">
        <f t="shared" ref="AW140:BI140" si="368">(AV29*AW72)/1000</f>
        <v>0.93216977419354841</v>
      </c>
      <c r="AX140" s="51">
        <f t="shared" si="368"/>
        <v>1.0540394419957286</v>
      </c>
      <c r="AY140" s="51">
        <f t="shared" si="368"/>
        <v>1.8767804878347669</v>
      </c>
      <c r="AZ140" s="51">
        <f t="shared" si="368"/>
        <v>2.9412541742770473</v>
      </c>
      <c r="BA140" s="51">
        <f t="shared" si="368"/>
        <v>3.1750201831005231</v>
      </c>
      <c r="BB140" s="51">
        <f t="shared" si="368"/>
        <v>2.3275204034193191</v>
      </c>
      <c r="BC140" s="51">
        <f t="shared" si="368"/>
        <v>11.702712055677528</v>
      </c>
      <c r="BD140" s="51">
        <f t="shared" si="368"/>
        <v>1.3339840020843352</v>
      </c>
      <c r="BE140" s="51">
        <f t="shared" si="368"/>
        <v>2.714886874124411</v>
      </c>
      <c r="BF140" s="51">
        <f t="shared" si="368"/>
        <v>3.6804947441720244</v>
      </c>
      <c r="BG140" s="51">
        <f t="shared" si="368"/>
        <v>11.433884533509556</v>
      </c>
      <c r="BH140" s="51">
        <f t="shared" si="368"/>
        <v>4.4330915595854892</v>
      </c>
      <c r="BI140" s="51">
        <f t="shared" si="368"/>
        <v>10.538037580064048</v>
      </c>
      <c r="BJ140" s="51">
        <f t="shared" ref="BJ140:BQ140" si="369">(BI29*BJ72)/1000</f>
        <v>12.063297687968754</v>
      </c>
      <c r="BK140" s="51">
        <f t="shared" si="369"/>
        <v>20.503701982172423</v>
      </c>
      <c r="BL140" s="51">
        <f t="shared" si="369"/>
        <v>41.321374457283696</v>
      </c>
      <c r="BM140" s="51">
        <f t="shared" si="369"/>
        <v>48.703852344700621</v>
      </c>
      <c r="BN140" s="51">
        <f t="shared" si="369"/>
        <v>31.989593149905289</v>
      </c>
      <c r="BO140" s="51">
        <f t="shared" si="369"/>
        <v>74.149844096999985</v>
      </c>
      <c r="BP140" s="51">
        <f t="shared" si="369"/>
        <v>110.11583862631797</v>
      </c>
      <c r="BQ140" s="51">
        <f t="shared" si="369"/>
        <v>130.43221085287362</v>
      </c>
      <c r="BR140" s="51">
        <f t="shared" si="316"/>
        <v>154.49695375522879</v>
      </c>
      <c r="BS140" s="51">
        <f t="shared" si="317"/>
        <v>183.00164172306847</v>
      </c>
      <c r="BT140" s="51">
        <f t="shared" si="318"/>
        <v>202.62856779786753</v>
      </c>
      <c r="BU140" s="51">
        <f t="shared" si="319"/>
        <v>224.36048169418882</v>
      </c>
      <c r="BV140" s="51">
        <f t="shared" si="320"/>
        <v>248.42314335589055</v>
      </c>
      <c r="BW140" s="51">
        <f t="shared" si="321"/>
        <v>275.06652548080979</v>
      </c>
      <c r="BX140" s="51">
        <f t="shared" si="322"/>
        <v>304.56741033862664</v>
      </c>
      <c r="BY140" s="51">
        <f t="shared" si="323"/>
        <v>337.23226509744433</v>
      </c>
      <c r="BZ140" s="51">
        <f t="shared" si="324"/>
        <v>373.40042552914525</v>
      </c>
      <c r="CA140" s="51">
        <f t="shared" si="325"/>
        <v>413.447621167146</v>
      </c>
      <c r="CB140" s="51">
        <f t="shared" si="326"/>
        <v>457.78987853732247</v>
      </c>
      <c r="CC140" s="51">
        <f t="shared" si="327"/>
        <v>506.88784301045024</v>
      </c>
      <c r="CD140" s="51">
        <f t="shared" si="328"/>
        <v>561.25156417332107</v>
      </c>
      <c r="CE140" s="51"/>
      <c r="CF140" s="435"/>
      <c r="CG140" s="235">
        <f t="shared" si="356"/>
        <v>-1.9672623035418475</v>
      </c>
      <c r="CH140" s="235">
        <f t="shared" si="367"/>
        <v>0</v>
      </c>
      <c r="CI140" s="235" t="e">
        <f>BM140-#REF!</f>
        <v>#REF!</v>
      </c>
      <c r="CJ140" s="235">
        <f t="shared" si="336"/>
        <v>0</v>
      </c>
      <c r="CK140" s="235">
        <f t="shared" si="337"/>
        <v>0</v>
      </c>
      <c r="CL140" s="235">
        <f t="shared" si="338"/>
        <v>0</v>
      </c>
      <c r="CM140" s="235">
        <f t="shared" si="339"/>
        <v>0</v>
      </c>
      <c r="CN140" s="235">
        <f t="shared" si="340"/>
        <v>0</v>
      </c>
      <c r="CO140" s="235">
        <f t="shared" si="341"/>
        <v>0</v>
      </c>
      <c r="CP140" s="235">
        <f t="shared" si="342"/>
        <v>0</v>
      </c>
      <c r="CQ140" s="235">
        <f t="shared" si="343"/>
        <v>0</v>
      </c>
      <c r="CR140" s="235">
        <f t="shared" si="344"/>
        <v>0</v>
      </c>
      <c r="CS140" s="235">
        <f t="shared" si="345"/>
        <v>0</v>
      </c>
      <c r="CT140" s="235">
        <f t="shared" si="346"/>
        <v>0</v>
      </c>
      <c r="CU140" s="235">
        <f t="shared" si="347"/>
        <v>0</v>
      </c>
      <c r="CV140" s="235">
        <f t="shared" si="348"/>
        <v>0</v>
      </c>
      <c r="CW140" s="235">
        <f t="shared" si="349"/>
        <v>0</v>
      </c>
      <c r="CX140" s="235">
        <f t="shared" si="350"/>
        <v>0</v>
      </c>
      <c r="CY140" s="235">
        <f t="shared" si="351"/>
        <v>0</v>
      </c>
      <c r="CZ140" s="235">
        <f t="shared" si="352"/>
        <v>0</v>
      </c>
      <c r="DA140" s="38"/>
      <c r="DB140" s="236">
        <v>2.4043242412413299</v>
      </c>
      <c r="DC140" s="236">
        <v>3.404324241241333</v>
      </c>
      <c r="DD140" s="236">
        <v>7.2495868862471236</v>
      </c>
      <c r="DE140" s="236">
        <v>5.465179710000001</v>
      </c>
      <c r="DF140" s="401">
        <v>39.006741325495724</v>
      </c>
      <c r="DG140" s="236">
        <v>22.47096428571427</v>
      </c>
      <c r="DH140" s="492">
        <v>41.321374457283696</v>
      </c>
      <c r="DI140" s="236">
        <v>31.989593149905289</v>
      </c>
      <c r="DJ140" s="236">
        <v>74.149844096999985</v>
      </c>
      <c r="DK140" s="236">
        <v>110.11583862631797</v>
      </c>
      <c r="DL140" s="236">
        <v>130.43221085287362</v>
      </c>
      <c r="DM140" s="236">
        <v>154.49695375522879</v>
      </c>
      <c r="DN140" s="236">
        <v>183.00164172306847</v>
      </c>
      <c r="DO140" s="236">
        <v>202.62856779786753</v>
      </c>
      <c r="DP140" s="236">
        <v>224.36048169418882</v>
      </c>
      <c r="DQ140" s="401">
        <v>248.42314335589055</v>
      </c>
      <c r="DR140" s="401">
        <v>275.06652548080979</v>
      </c>
      <c r="DS140" s="401">
        <v>304.56741033862664</v>
      </c>
      <c r="DT140" s="401">
        <v>337.23226509744433</v>
      </c>
      <c r="DU140" s="401">
        <v>373.40042552914525</v>
      </c>
      <c r="DV140" s="401">
        <v>413.447621167146</v>
      </c>
      <c r="DW140" s="401">
        <v>457.78987853732247</v>
      </c>
      <c r="DX140" s="401">
        <v>506.88784301045024</v>
      </c>
      <c r="DY140" s="401">
        <v>561.25156417332107</v>
      </c>
      <c r="DZ140" s="401"/>
      <c r="EA140" s="989"/>
    </row>
    <row r="141" spans="1:131" s="76" customFormat="1">
      <c r="A141" s="76" t="s">
        <v>3868</v>
      </c>
      <c r="B141" s="73" t="s">
        <v>2858</v>
      </c>
      <c r="C141" s="51" t="s">
        <v>3634</v>
      </c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51">
        <f t="shared" si="353"/>
        <v>0</v>
      </c>
      <c r="AQ141" s="51">
        <f t="shared" si="353"/>
        <v>0</v>
      </c>
      <c r="AR141" s="51">
        <f t="shared" si="353"/>
        <v>0</v>
      </c>
      <c r="AS141" s="51">
        <f t="shared" si="353"/>
        <v>0</v>
      </c>
      <c r="AT141" s="51">
        <f t="shared" si="353"/>
        <v>0</v>
      </c>
      <c r="AU141" s="51">
        <f t="shared" si="353"/>
        <v>0</v>
      </c>
      <c r="AV141" s="51">
        <f t="shared" si="353"/>
        <v>0</v>
      </c>
      <c r="AW141" s="51">
        <f t="shared" ref="AW141:BI141" si="370">(AV30*AW73)/1000</f>
        <v>1.0609215517241379</v>
      </c>
      <c r="AX141" s="51">
        <f t="shared" si="370"/>
        <v>1.406688674698795</v>
      </c>
      <c r="AY141" s="51">
        <f t="shared" si="370"/>
        <v>1.7084799368749999</v>
      </c>
      <c r="AZ141" s="51">
        <f t="shared" si="370"/>
        <v>2.1010851485148505</v>
      </c>
      <c r="BA141" s="51">
        <f t="shared" si="370"/>
        <v>4.9052101592461712</v>
      </c>
      <c r="BB141" s="51">
        <f t="shared" si="370"/>
        <v>5.0271609420833299</v>
      </c>
      <c r="BC141" s="51">
        <f t="shared" si="370"/>
        <v>5.471148462609138</v>
      </c>
      <c r="BD141" s="51">
        <f t="shared" si="370"/>
        <v>5.9965609391999966</v>
      </c>
      <c r="BE141" s="51">
        <f t="shared" si="370"/>
        <v>4.097904255319146</v>
      </c>
      <c r="BF141" s="51">
        <f t="shared" si="370"/>
        <v>4.0249283870967725</v>
      </c>
      <c r="BG141" s="51">
        <f t="shared" si="370"/>
        <v>4.2263849999999978</v>
      </c>
      <c r="BH141" s="51">
        <f t="shared" si="370"/>
        <v>6.3757040869565182</v>
      </c>
      <c r="BI141" s="51">
        <f t="shared" si="370"/>
        <v>6.181669883720927</v>
      </c>
      <c r="BJ141" s="51">
        <f t="shared" ref="BJ141:BQ141" si="371">(BI30*BJ73)/1000</f>
        <v>4.6485388888888846</v>
      </c>
      <c r="BK141" s="51">
        <f t="shared" si="371"/>
        <v>6.1975122925629957</v>
      </c>
      <c r="BL141" s="51">
        <f t="shared" si="371"/>
        <v>7.0924399946481085</v>
      </c>
      <c r="BM141" s="51">
        <f t="shared" si="371"/>
        <v>12.700904445697706</v>
      </c>
      <c r="BN141" s="51">
        <f t="shared" si="371"/>
        <v>12.359000738765957</v>
      </c>
      <c r="BO141" s="51">
        <f t="shared" si="371"/>
        <v>23.69218057179998</v>
      </c>
      <c r="BP141" s="51">
        <f t="shared" si="371"/>
        <v>30.594738254807975</v>
      </c>
      <c r="BQ141" s="51">
        <f t="shared" si="371"/>
        <v>31.512580402452215</v>
      </c>
      <c r="BR141" s="51">
        <f t="shared" si="316"/>
        <v>32.457957814525784</v>
      </c>
      <c r="BS141" s="51">
        <f t="shared" si="317"/>
        <v>33.431696548961561</v>
      </c>
      <c r="BT141" s="51">
        <f t="shared" si="318"/>
        <v>34.434647445430407</v>
      </c>
      <c r="BU141" s="51">
        <f t="shared" si="319"/>
        <v>35.467686868793308</v>
      </c>
      <c r="BV141" s="51">
        <f t="shared" si="320"/>
        <v>36.531717474857103</v>
      </c>
      <c r="BW141" s="51">
        <f t="shared" si="321"/>
        <v>37.627668999102823</v>
      </c>
      <c r="BX141" s="51">
        <f t="shared" si="322"/>
        <v>38.756499069075915</v>
      </c>
      <c r="BY141" s="51">
        <f t="shared" si="323"/>
        <v>39.919194041148195</v>
      </c>
      <c r="BZ141" s="51">
        <f t="shared" si="324"/>
        <v>41.116769862382647</v>
      </c>
      <c r="CA141" s="51">
        <f t="shared" si="325"/>
        <v>42.350272958254124</v>
      </c>
      <c r="CB141" s="51">
        <f t="shared" si="326"/>
        <v>43.62078114700175</v>
      </c>
      <c r="CC141" s="51">
        <f t="shared" si="327"/>
        <v>44.929404581411802</v>
      </c>
      <c r="CD141" s="51">
        <f t="shared" si="328"/>
        <v>46.277286718854157</v>
      </c>
      <c r="CE141" s="51"/>
      <c r="CF141" s="435"/>
      <c r="CG141" s="235">
        <f t="shared" si="356"/>
        <v>0.24749616353074266</v>
      </c>
      <c r="CH141" s="235">
        <f t="shared" si="367"/>
        <v>0</v>
      </c>
      <c r="CI141" s="235" t="e">
        <f>BM141-#REF!</f>
        <v>#REF!</v>
      </c>
      <c r="CJ141" s="235">
        <f t="shared" si="336"/>
        <v>0</v>
      </c>
      <c r="CK141" s="235">
        <f t="shared" si="337"/>
        <v>0</v>
      </c>
      <c r="CL141" s="235">
        <f t="shared" si="338"/>
        <v>0</v>
      </c>
      <c r="CM141" s="235">
        <f t="shared" si="339"/>
        <v>0</v>
      </c>
      <c r="CN141" s="235">
        <f t="shared" si="340"/>
        <v>0</v>
      </c>
      <c r="CO141" s="235">
        <f t="shared" si="341"/>
        <v>0</v>
      </c>
      <c r="CP141" s="235">
        <f t="shared" si="342"/>
        <v>0</v>
      </c>
      <c r="CQ141" s="235">
        <f t="shared" si="343"/>
        <v>0</v>
      </c>
      <c r="CR141" s="235">
        <f t="shared" si="344"/>
        <v>0</v>
      </c>
      <c r="CS141" s="235">
        <f t="shared" si="345"/>
        <v>0</v>
      </c>
      <c r="CT141" s="235">
        <f t="shared" si="346"/>
        <v>0</v>
      </c>
      <c r="CU141" s="235">
        <f t="shared" si="347"/>
        <v>0</v>
      </c>
      <c r="CV141" s="235">
        <f t="shared" si="348"/>
        <v>0</v>
      </c>
      <c r="CW141" s="235">
        <f t="shared" si="349"/>
        <v>0</v>
      </c>
      <c r="CX141" s="235">
        <f t="shared" si="350"/>
        <v>0</v>
      </c>
      <c r="CY141" s="235">
        <f t="shared" si="351"/>
        <v>0</v>
      </c>
      <c r="CZ141" s="235">
        <f t="shared" si="352"/>
        <v>0</v>
      </c>
      <c r="DA141" s="38"/>
      <c r="DB141" s="236">
        <v>0.79169458113168201</v>
      </c>
      <c r="DC141" s="236">
        <v>1.7916945811316822</v>
      </c>
      <c r="DD141" s="236">
        <v>2.3212232936793615</v>
      </c>
      <c r="DE141" s="236">
        <v>2.6447062352343744</v>
      </c>
      <c r="DF141" s="401">
        <v>6.181669883720927</v>
      </c>
      <c r="DG141" s="236">
        <v>5.9500161290322531</v>
      </c>
      <c r="DH141" s="492">
        <v>7.0924399946481085</v>
      </c>
      <c r="DI141" s="236">
        <v>12.359000738765957</v>
      </c>
      <c r="DJ141" s="236">
        <v>23.69218057179998</v>
      </c>
      <c r="DK141" s="236">
        <v>30.594738254807975</v>
      </c>
      <c r="DL141" s="236">
        <v>31.512580402452215</v>
      </c>
      <c r="DM141" s="236">
        <v>32.457957814525784</v>
      </c>
      <c r="DN141" s="236">
        <v>33.431696548961561</v>
      </c>
      <c r="DO141" s="236">
        <v>34.434647445430407</v>
      </c>
      <c r="DP141" s="236">
        <v>35.467686868793308</v>
      </c>
      <c r="DQ141" s="401">
        <v>36.531717474857103</v>
      </c>
      <c r="DR141" s="401">
        <v>37.627668999102823</v>
      </c>
      <c r="DS141" s="401">
        <v>38.756499069075915</v>
      </c>
      <c r="DT141" s="401">
        <v>39.919194041148195</v>
      </c>
      <c r="DU141" s="401">
        <v>41.116769862382647</v>
      </c>
      <c r="DV141" s="401">
        <v>42.350272958254124</v>
      </c>
      <c r="DW141" s="401">
        <v>43.62078114700175</v>
      </c>
      <c r="DX141" s="401">
        <v>44.929404581411802</v>
      </c>
      <c r="DY141" s="401">
        <v>46.277286718854157</v>
      </c>
      <c r="DZ141" s="401"/>
      <c r="EA141" s="989"/>
    </row>
    <row r="142" spans="1:131" s="76" customFormat="1">
      <c r="A142" s="76" t="s">
        <v>3869</v>
      </c>
      <c r="B142" s="73" t="s">
        <v>2859</v>
      </c>
      <c r="C142" s="51" t="s">
        <v>4566</v>
      </c>
      <c r="D142" s="207"/>
      <c r="E142" s="207"/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51">
        <f t="shared" si="353"/>
        <v>0</v>
      </c>
      <c r="AQ142" s="51">
        <f t="shared" si="353"/>
        <v>0</v>
      </c>
      <c r="AR142" s="51">
        <f t="shared" si="353"/>
        <v>0</v>
      </c>
      <c r="AS142" s="51">
        <f t="shared" si="353"/>
        <v>0</v>
      </c>
      <c r="AT142" s="51">
        <f t="shared" si="353"/>
        <v>0</v>
      </c>
      <c r="AU142" s="51">
        <f t="shared" si="353"/>
        <v>0</v>
      </c>
      <c r="AV142" s="51">
        <f t="shared" si="353"/>
        <v>0</v>
      </c>
      <c r="AW142" s="51">
        <f t="shared" ref="AW142:BI142" si="372">(AV31*AW74)/1000</f>
        <v>17.758564096000004</v>
      </c>
      <c r="AX142" s="51">
        <f t="shared" si="372"/>
        <v>22.198232227600002</v>
      </c>
      <c r="AY142" s="51">
        <f t="shared" si="372"/>
        <v>44.910457656479998</v>
      </c>
      <c r="AZ142" s="51">
        <f t="shared" si="372"/>
        <v>72.682742943200012</v>
      </c>
      <c r="BA142" s="51">
        <f t="shared" si="372"/>
        <v>118.48291255840002</v>
      </c>
      <c r="BB142" s="51">
        <f t="shared" si="372"/>
        <v>120.98594225681602</v>
      </c>
      <c r="BC142" s="51">
        <f t="shared" si="372"/>
        <v>150.00743179011195</v>
      </c>
      <c r="BD142" s="51">
        <f t="shared" si="372"/>
        <v>215.28261397759999</v>
      </c>
      <c r="BE142" s="51">
        <f t="shared" si="372"/>
        <v>352.51424207999997</v>
      </c>
      <c r="BF142" s="51">
        <f t="shared" si="372"/>
        <v>412.85418657250005</v>
      </c>
      <c r="BG142" s="51">
        <f t="shared" si="372"/>
        <v>396.25233390000011</v>
      </c>
      <c r="BH142" s="51">
        <f t="shared" si="372"/>
        <v>428.72465452500001</v>
      </c>
      <c r="BI142" s="51">
        <f t="shared" si="372"/>
        <v>402.46618995000006</v>
      </c>
      <c r="BJ142" s="51">
        <f t="shared" ref="BJ142:BQ142" si="373">(BI31*BJ74)/1000</f>
        <v>430.47222979999987</v>
      </c>
      <c r="BK142" s="51">
        <f t="shared" si="373"/>
        <v>622.81148475000009</v>
      </c>
      <c r="BL142" s="51">
        <f t="shared" si="373"/>
        <v>692.06000125000003</v>
      </c>
      <c r="BM142" s="51">
        <f t="shared" si="373"/>
        <v>753.4766969499999</v>
      </c>
      <c r="BN142" s="51">
        <f t="shared" si="373"/>
        <v>781.91872289999992</v>
      </c>
      <c r="BO142" s="51">
        <f t="shared" si="373"/>
        <v>803.73709350750005</v>
      </c>
      <c r="BP142" s="51">
        <f t="shared" si="373"/>
        <v>1109.9619290058131</v>
      </c>
      <c r="BQ142" s="51">
        <f t="shared" si="373"/>
        <v>1222.6373833087875</v>
      </c>
      <c r="BR142" s="51">
        <f t="shared" si="316"/>
        <v>1346.7508497368744</v>
      </c>
      <c r="BS142" s="51">
        <f t="shared" si="317"/>
        <v>1483.4634340711289</v>
      </c>
      <c r="BT142" s="51">
        <f t="shared" si="318"/>
        <v>1581.4461938915269</v>
      </c>
      <c r="BU142" s="51">
        <f t="shared" si="319"/>
        <v>1685.9007149980623</v>
      </c>
      <c r="BV142" s="51">
        <f t="shared" si="320"/>
        <v>1797.2544572236841</v>
      </c>
      <c r="BW142" s="51">
        <f t="shared" si="321"/>
        <v>1915.9631141233085</v>
      </c>
      <c r="BX142" s="51">
        <f t="shared" si="322"/>
        <v>2042.5124778111528</v>
      </c>
      <c r="BY142" s="51">
        <f t="shared" si="323"/>
        <v>2177.4204269705788</v>
      </c>
      <c r="BZ142" s="51">
        <f t="shared" si="324"/>
        <v>2321.2390461719856</v>
      </c>
      <c r="CA142" s="51">
        <f t="shared" si="325"/>
        <v>2474.5568851716453</v>
      </c>
      <c r="CB142" s="51">
        <f t="shared" si="326"/>
        <v>2638.0013674372326</v>
      </c>
      <c r="CC142" s="51">
        <f t="shared" si="327"/>
        <v>2812.2413577564616</v>
      </c>
      <c r="CD142" s="51">
        <f t="shared" si="328"/>
        <v>2997.9898994362761</v>
      </c>
      <c r="CE142" s="51"/>
      <c r="CF142" s="435"/>
      <c r="CG142" s="235">
        <f t="shared" si="356"/>
        <v>0</v>
      </c>
      <c r="CH142" s="235">
        <f t="shared" si="367"/>
        <v>0</v>
      </c>
      <c r="CI142" s="235" t="e">
        <f>BM142-#REF!</f>
        <v>#REF!</v>
      </c>
      <c r="CJ142" s="235">
        <f t="shared" si="336"/>
        <v>0</v>
      </c>
      <c r="CK142" s="235">
        <f t="shared" si="337"/>
        <v>0</v>
      </c>
      <c r="CL142" s="235">
        <f t="shared" si="338"/>
        <v>0</v>
      </c>
      <c r="CM142" s="235">
        <f t="shared" si="339"/>
        <v>0</v>
      </c>
      <c r="CN142" s="235">
        <f t="shared" si="340"/>
        <v>0</v>
      </c>
      <c r="CO142" s="235">
        <f t="shared" si="341"/>
        <v>0</v>
      </c>
      <c r="CP142" s="235">
        <f t="shared" si="342"/>
        <v>0</v>
      </c>
      <c r="CQ142" s="235">
        <f t="shared" si="343"/>
        <v>0</v>
      </c>
      <c r="CR142" s="235">
        <f t="shared" si="344"/>
        <v>0</v>
      </c>
      <c r="CS142" s="235">
        <f t="shared" si="345"/>
        <v>0</v>
      </c>
      <c r="CT142" s="235">
        <f t="shared" si="346"/>
        <v>0</v>
      </c>
      <c r="CU142" s="235">
        <f t="shared" si="347"/>
        <v>0</v>
      </c>
      <c r="CV142" s="235">
        <f t="shared" si="348"/>
        <v>0</v>
      </c>
      <c r="CW142" s="235">
        <f t="shared" si="349"/>
        <v>0</v>
      </c>
      <c r="CX142" s="235">
        <f t="shared" si="350"/>
        <v>0</v>
      </c>
      <c r="CY142" s="235">
        <f t="shared" si="351"/>
        <v>0</v>
      </c>
      <c r="CZ142" s="235">
        <f t="shared" si="352"/>
        <v>0</v>
      </c>
      <c r="DA142" s="38"/>
      <c r="DB142" s="236">
        <v>439.93315549536601</v>
      </c>
      <c r="DC142" s="236">
        <v>440.93315549536561</v>
      </c>
      <c r="DD142" s="236">
        <v>462.20966568480537</v>
      </c>
      <c r="DE142" s="236">
        <v>530.32903157326348</v>
      </c>
      <c r="DF142" s="401">
        <v>403.17652964999996</v>
      </c>
      <c r="DG142" s="236">
        <v>622.81148475000009</v>
      </c>
      <c r="DH142" s="492">
        <v>692.06000125000003</v>
      </c>
      <c r="DI142" s="236">
        <v>781.91872289999992</v>
      </c>
      <c r="DJ142" s="236">
        <v>803.73709350750005</v>
      </c>
      <c r="DK142" s="236">
        <v>1109.9619290058131</v>
      </c>
      <c r="DL142" s="236">
        <v>1222.6373833087875</v>
      </c>
      <c r="DM142" s="236">
        <v>1346.7508497368744</v>
      </c>
      <c r="DN142" s="236">
        <v>1483.4634340711289</v>
      </c>
      <c r="DO142" s="236">
        <v>1581.4461938915269</v>
      </c>
      <c r="DP142" s="236">
        <v>1685.9007149980623</v>
      </c>
      <c r="DQ142" s="401">
        <v>1797.2544572236841</v>
      </c>
      <c r="DR142" s="401">
        <v>1915.9631141233085</v>
      </c>
      <c r="DS142" s="401">
        <v>2042.5124778111528</v>
      </c>
      <c r="DT142" s="401">
        <v>2177.4204269705788</v>
      </c>
      <c r="DU142" s="401">
        <v>2321.2390461719856</v>
      </c>
      <c r="DV142" s="401">
        <v>2474.5568851716453</v>
      </c>
      <c r="DW142" s="401">
        <v>2638.0013674372326</v>
      </c>
      <c r="DX142" s="401">
        <v>2812.2413577564616</v>
      </c>
      <c r="DY142" s="401">
        <v>2997.9898994362761</v>
      </c>
      <c r="DZ142" s="401"/>
      <c r="EA142" s="989"/>
    </row>
    <row r="143" spans="1:131">
      <c r="A143" s="76" t="s">
        <v>3870</v>
      </c>
      <c r="B143" s="3" t="s">
        <v>638</v>
      </c>
      <c r="AP143" s="51">
        <f t="shared" si="353"/>
        <v>0</v>
      </c>
      <c r="AQ143" s="51">
        <f t="shared" si="353"/>
        <v>0</v>
      </c>
      <c r="AR143" s="51">
        <f t="shared" si="353"/>
        <v>0</v>
      </c>
      <c r="AS143" s="51">
        <f t="shared" si="353"/>
        <v>0</v>
      </c>
      <c r="AT143" s="51">
        <f t="shared" si="353"/>
        <v>0</v>
      </c>
      <c r="AU143" s="51">
        <f t="shared" si="353"/>
        <v>0</v>
      </c>
      <c r="AV143" s="51">
        <f t="shared" si="353"/>
        <v>0</v>
      </c>
      <c r="AW143" s="51">
        <f>(AV32*AW75)/1000</f>
        <v>0</v>
      </c>
      <c r="AX143" s="51">
        <f t="shared" ref="AX143:BI143" si="374">(AW32*AX75)/1000</f>
        <v>0</v>
      </c>
      <c r="AY143" s="51">
        <f t="shared" si="374"/>
        <v>0</v>
      </c>
      <c r="AZ143" s="51">
        <f t="shared" si="374"/>
        <v>0</v>
      </c>
      <c r="BA143" s="51">
        <f t="shared" si="374"/>
        <v>0</v>
      </c>
      <c r="BB143" s="51">
        <f t="shared" si="374"/>
        <v>0</v>
      </c>
      <c r="BC143" s="51">
        <f t="shared" si="374"/>
        <v>0</v>
      </c>
      <c r="BD143" s="51">
        <f t="shared" si="374"/>
        <v>0</v>
      </c>
      <c r="BE143" s="51">
        <f t="shared" si="374"/>
        <v>0</v>
      </c>
      <c r="BF143" s="51">
        <f t="shared" si="374"/>
        <v>0</v>
      </c>
      <c r="BG143" s="51">
        <f t="shared" si="374"/>
        <v>0</v>
      </c>
      <c r="BH143" s="51">
        <f t="shared" si="374"/>
        <v>0</v>
      </c>
      <c r="BI143" s="51">
        <f t="shared" si="374"/>
        <v>0</v>
      </c>
      <c r="BJ143" s="51">
        <f t="shared" ref="BJ143:BQ143" si="375">(BI32*BJ75)/1000</f>
        <v>0</v>
      </c>
      <c r="BK143" s="51">
        <f t="shared" si="375"/>
        <v>0</v>
      </c>
      <c r="BL143" s="51">
        <f t="shared" si="375"/>
        <v>0</v>
      </c>
      <c r="BM143" s="51">
        <f t="shared" si="375"/>
        <v>0</v>
      </c>
      <c r="BN143" s="51">
        <f t="shared" si="375"/>
        <v>0</v>
      </c>
      <c r="BO143" s="51">
        <f t="shared" si="375"/>
        <v>0</v>
      </c>
      <c r="BP143" s="51">
        <f t="shared" si="375"/>
        <v>0</v>
      </c>
      <c r="BQ143" s="51">
        <f t="shared" si="375"/>
        <v>0</v>
      </c>
      <c r="BR143" s="51">
        <f t="shared" si="316"/>
        <v>0</v>
      </c>
      <c r="BS143" s="51">
        <f t="shared" si="317"/>
        <v>0</v>
      </c>
      <c r="BT143" s="51">
        <f t="shared" si="318"/>
        <v>0</v>
      </c>
      <c r="BU143" s="51">
        <f t="shared" si="319"/>
        <v>0</v>
      </c>
      <c r="BV143" s="51">
        <f t="shared" si="320"/>
        <v>0</v>
      </c>
      <c r="BW143" s="51">
        <f t="shared" si="321"/>
        <v>0</v>
      </c>
      <c r="BX143" s="51">
        <f t="shared" si="322"/>
        <v>0</v>
      </c>
      <c r="BY143" s="51">
        <f t="shared" si="323"/>
        <v>0</v>
      </c>
      <c r="BZ143" s="51">
        <f t="shared" si="324"/>
        <v>0</v>
      </c>
      <c r="CA143" s="51">
        <f t="shared" si="325"/>
        <v>0</v>
      </c>
      <c r="CB143" s="51">
        <f t="shared" si="326"/>
        <v>0</v>
      </c>
      <c r="CC143" s="51">
        <f t="shared" si="327"/>
        <v>0</v>
      </c>
      <c r="CD143" s="51">
        <f t="shared" si="328"/>
        <v>0</v>
      </c>
      <c r="CE143" s="51"/>
      <c r="CF143" s="435"/>
      <c r="CG143" s="235">
        <f t="shared" si="356"/>
        <v>0</v>
      </c>
      <c r="CH143" s="235">
        <f t="shared" si="367"/>
        <v>0</v>
      </c>
      <c r="CI143" s="235" t="e">
        <f>BM143-#REF!</f>
        <v>#REF!</v>
      </c>
      <c r="CJ143" s="235">
        <f t="shared" si="336"/>
        <v>0</v>
      </c>
      <c r="CK143" s="235">
        <f t="shared" si="337"/>
        <v>0</v>
      </c>
      <c r="CL143" s="235">
        <f t="shared" si="338"/>
        <v>0</v>
      </c>
      <c r="CM143" s="235">
        <f t="shared" si="339"/>
        <v>0</v>
      </c>
      <c r="CN143" s="235">
        <f t="shared" si="340"/>
        <v>0</v>
      </c>
      <c r="CO143" s="235">
        <f t="shared" si="341"/>
        <v>0</v>
      </c>
      <c r="CP143" s="235">
        <f t="shared" si="342"/>
        <v>0</v>
      </c>
      <c r="CQ143" s="235">
        <f t="shared" si="343"/>
        <v>0</v>
      </c>
      <c r="CR143" s="235">
        <f t="shared" si="344"/>
        <v>0</v>
      </c>
      <c r="CS143" s="235">
        <f t="shared" si="345"/>
        <v>0</v>
      </c>
      <c r="CT143" s="235">
        <f t="shared" si="346"/>
        <v>0</v>
      </c>
      <c r="CU143" s="235">
        <f t="shared" si="347"/>
        <v>0</v>
      </c>
      <c r="CV143" s="235">
        <f t="shared" si="348"/>
        <v>0</v>
      </c>
      <c r="CW143" s="235">
        <f t="shared" si="349"/>
        <v>0</v>
      </c>
      <c r="CX143" s="235">
        <f t="shared" si="350"/>
        <v>0</v>
      </c>
      <c r="CY143" s="235">
        <f t="shared" si="351"/>
        <v>0</v>
      </c>
      <c r="CZ143" s="235">
        <f t="shared" si="352"/>
        <v>0</v>
      </c>
      <c r="DB143" s="236">
        <v>-1</v>
      </c>
      <c r="DC143" s="236">
        <v>0</v>
      </c>
      <c r="DD143" s="236">
        <v>0</v>
      </c>
      <c r="DE143" s="236">
        <v>0</v>
      </c>
      <c r="DF143" s="401">
        <v>0</v>
      </c>
      <c r="DG143" s="236">
        <v>0</v>
      </c>
      <c r="DH143" s="492">
        <v>0</v>
      </c>
      <c r="DI143" s="236">
        <v>0</v>
      </c>
      <c r="DJ143" s="236">
        <v>0</v>
      </c>
      <c r="DK143" s="236">
        <v>0</v>
      </c>
      <c r="DL143" s="236">
        <v>0</v>
      </c>
      <c r="DM143" s="236">
        <v>0</v>
      </c>
      <c r="DN143" s="236">
        <v>0</v>
      </c>
      <c r="DO143" s="236">
        <v>0</v>
      </c>
      <c r="DP143" s="236">
        <v>0</v>
      </c>
      <c r="DQ143" s="258">
        <v>0</v>
      </c>
      <c r="DR143" s="258">
        <v>0</v>
      </c>
      <c r="DS143" s="258">
        <v>0</v>
      </c>
      <c r="DT143" s="258">
        <v>0</v>
      </c>
      <c r="DU143" s="258">
        <v>0</v>
      </c>
      <c r="DV143" s="258">
        <v>0</v>
      </c>
      <c r="DW143" s="258">
        <v>0</v>
      </c>
      <c r="DX143" s="258">
        <v>0</v>
      </c>
      <c r="DY143" s="258">
        <v>0</v>
      </c>
    </row>
    <row r="144" spans="1:131" s="76" customFormat="1">
      <c r="A144" s="93" t="s">
        <v>2817</v>
      </c>
      <c r="B144" s="93" t="s">
        <v>3038</v>
      </c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4"/>
      <c r="T144" s="214"/>
      <c r="U144" s="214"/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/>
      <c r="AF144" s="214"/>
      <c r="AG144" s="214"/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93"/>
      <c r="AV144" s="90"/>
      <c r="AW144" s="90"/>
      <c r="AX144" s="90"/>
      <c r="AY144" s="90"/>
      <c r="AZ144" s="90"/>
      <c r="BA144" s="91"/>
      <c r="BB144" s="91"/>
      <c r="BC144" s="91"/>
      <c r="BD144" s="91"/>
      <c r="BE144" s="91"/>
      <c r="BF144" s="91"/>
      <c r="BG144" s="329">
        <v>319.51800000000003</v>
      </c>
      <c r="BH144" s="330">
        <f>BG144-BH149</f>
        <v>139.52835000000005</v>
      </c>
      <c r="BI144" s="321"/>
      <c r="BJ144" s="320"/>
      <c r="BK144" s="320"/>
      <c r="BL144" s="91"/>
      <c r="BM144" s="320"/>
      <c r="BN144" s="320"/>
      <c r="BO144" s="320"/>
      <c r="BP144" s="320"/>
      <c r="BQ144" s="320"/>
      <c r="BR144" s="320"/>
      <c r="BS144" s="320"/>
      <c r="BT144" s="320"/>
      <c r="BU144" s="320"/>
      <c r="BV144" s="320"/>
      <c r="BW144" s="320"/>
      <c r="BX144" s="320"/>
      <c r="BY144" s="320"/>
      <c r="BZ144" s="320"/>
      <c r="CA144" s="320"/>
      <c r="CB144" s="320"/>
      <c r="CC144" s="320"/>
      <c r="CD144" s="320"/>
      <c r="CE144" s="491"/>
      <c r="CF144" s="435"/>
      <c r="CG144" s="235">
        <f t="shared" si="356"/>
        <v>0</v>
      </c>
      <c r="CH144" s="235">
        <f t="shared" si="367"/>
        <v>0</v>
      </c>
      <c r="CI144" s="235" t="e">
        <f>BM144-#REF!</f>
        <v>#REF!</v>
      </c>
      <c r="CJ144" s="235">
        <f t="shared" si="336"/>
        <v>0</v>
      </c>
      <c r="CK144" s="235">
        <f t="shared" si="337"/>
        <v>0</v>
      </c>
      <c r="CL144" s="235">
        <f t="shared" si="338"/>
        <v>0</v>
      </c>
      <c r="CM144" s="235">
        <f t="shared" si="339"/>
        <v>0</v>
      </c>
      <c r="CN144" s="235">
        <f t="shared" si="340"/>
        <v>0</v>
      </c>
      <c r="CO144" s="235">
        <f t="shared" si="341"/>
        <v>0</v>
      </c>
      <c r="CP144" s="235">
        <f t="shared" si="342"/>
        <v>0</v>
      </c>
      <c r="CQ144" s="235">
        <f t="shared" si="343"/>
        <v>0</v>
      </c>
      <c r="CR144" s="235">
        <f t="shared" si="344"/>
        <v>0</v>
      </c>
      <c r="CS144" s="235">
        <f t="shared" si="345"/>
        <v>0</v>
      </c>
      <c r="CT144" s="235">
        <f t="shared" si="346"/>
        <v>0</v>
      </c>
      <c r="CU144" s="235">
        <f t="shared" si="347"/>
        <v>0</v>
      </c>
      <c r="CV144" s="235">
        <f t="shared" si="348"/>
        <v>0</v>
      </c>
      <c r="CW144" s="235">
        <f t="shared" si="349"/>
        <v>0</v>
      </c>
      <c r="CX144" s="235">
        <f t="shared" si="350"/>
        <v>0</v>
      </c>
      <c r="CY144" s="235">
        <f t="shared" si="351"/>
        <v>0</v>
      </c>
      <c r="CZ144" s="235">
        <f t="shared" si="352"/>
        <v>0</v>
      </c>
      <c r="DA144" s="38"/>
      <c r="DB144" s="236"/>
      <c r="DC144" s="236"/>
      <c r="DD144" s="236">
        <v>319.51800000000003</v>
      </c>
      <c r="DE144" s="236">
        <v>139.52835000000005</v>
      </c>
      <c r="DF144" s="400"/>
      <c r="DG144" s="236"/>
      <c r="DH144" s="492"/>
      <c r="DI144" s="236"/>
      <c r="DJ144" s="236"/>
      <c r="DK144" s="236"/>
      <c r="DL144" s="236"/>
      <c r="DM144" s="236"/>
      <c r="DN144" s="236"/>
      <c r="DO144" s="236"/>
      <c r="DP144" s="236"/>
      <c r="DQ144" s="401"/>
      <c r="DR144" s="401"/>
      <c r="DS144" s="401"/>
      <c r="DT144" s="401"/>
      <c r="DU144" s="401"/>
      <c r="DV144" s="401"/>
      <c r="DW144" s="401"/>
      <c r="DX144" s="401"/>
      <c r="DY144" s="401"/>
      <c r="DZ144" s="401"/>
      <c r="EA144" s="989"/>
    </row>
    <row r="145" spans="1:131" s="76" customFormat="1">
      <c r="A145" s="93" t="s">
        <v>4055</v>
      </c>
      <c r="B145" s="93" t="s">
        <v>4055</v>
      </c>
      <c r="D145" s="214"/>
      <c r="E145" s="214"/>
      <c r="F145" s="95">
        <f>mamiabc!F108*$AV145/mamiabc!$AV107</f>
        <v>2.3818823102637254E-3</v>
      </c>
      <c r="G145" s="95">
        <f>mamiabc!G108*$AV145/mamiabc!$AV107</f>
        <v>2.5692213683743549E-3</v>
      </c>
      <c r="H145" s="95">
        <f>mamiabc!H108*$AV145/mamiabc!$AV107</f>
        <v>3.5475673608449348E-3</v>
      </c>
      <c r="I145" s="95">
        <f>mamiabc!I108*$AV145/mamiabc!$AV107</f>
        <v>3.7133867169264595E-3</v>
      </c>
      <c r="J145" s="95">
        <f>mamiabc!J108*$AV145/mamiabc!$AV107</f>
        <v>3.7614203441072463E-3</v>
      </c>
      <c r="K145" s="95">
        <f>mamiabc!K108*$AV145/mamiabc!$AV107</f>
        <v>3.0142266177294948E-3</v>
      </c>
      <c r="L145" s="95">
        <f>mamiabc!L108*$AV145/mamiabc!$AV107</f>
        <v>5.1895515696552532E-3</v>
      </c>
      <c r="M145" s="95">
        <f>mamiabc!M108*$AV145/mamiabc!$AV107</f>
        <v>6.5420004427497961E-3</v>
      </c>
      <c r="N145" s="95">
        <f>mamiabc!N108*$AV145/mamiabc!$AV107</f>
        <v>8.8345161842838561E-3</v>
      </c>
      <c r="O145" s="95">
        <f>mamiabc!O108*$AV145/mamiabc!$AV107</f>
        <v>1.1692558603902161E-2</v>
      </c>
      <c r="P145" s="95">
        <f>mamiabc!P108*$AV145/mamiabc!$AV107</f>
        <v>2.6590939034932672E-2</v>
      </c>
      <c r="Q145" s="95">
        <f>mamiabc!Q108*$AV145/mamiabc!$AV107</f>
        <v>2.5444645432076009E-2</v>
      </c>
      <c r="R145" s="95">
        <f>mamiabc!R108*$AV145/mamiabc!$AV107</f>
        <v>1.2437755416927687E-2</v>
      </c>
      <c r="S145" s="95">
        <f>mamiabc!S108*$AV145/mamiabc!$AV107</f>
        <v>1.3159862153630448E-2</v>
      </c>
      <c r="T145" s="95">
        <f>mamiabc!T108*$AV145/mamiabc!$AV107</f>
        <v>1.2023846120669935E-2</v>
      </c>
      <c r="U145" s="95">
        <f>mamiabc!U108*$AV145/mamiabc!$AV107</f>
        <v>8.7712999922167443E-3</v>
      </c>
      <c r="V145" s="95">
        <f>mamiabc!V108*$AV145/mamiabc!$AV107</f>
        <v>1.239980079131636E-2</v>
      </c>
      <c r="W145" s="95">
        <f>mamiabc!W108*$AV145/mamiabc!$AV107</f>
        <v>1.1198138784193493E-2</v>
      </c>
      <c r="X145" s="95">
        <f>mamiabc!X108*$AV145/mamiabc!$AV107</f>
        <v>1.0669861278179468E-2</v>
      </c>
      <c r="Y145" s="95">
        <f>mamiabc!Y108*$AV145/mamiabc!$AV107</f>
        <v>1.7926852667210235E-2</v>
      </c>
      <c r="Z145" s="95">
        <f>mamiabc!Z108*$AV145/mamiabc!$AV107</f>
        <v>1.5588067953264981E-2</v>
      </c>
      <c r="AA145" s="95">
        <f>mamiabc!AA108*$AV145/mamiabc!$AV107</f>
        <v>1.8106278803025136E-2</v>
      </c>
      <c r="AB145" s="95">
        <f>mamiabc!AB108*$AV145/mamiabc!$AV107</f>
        <v>1.7647942268347715E-2</v>
      </c>
      <c r="AC145" s="95">
        <f>mamiabc!AC108*$AV145/mamiabc!$AV107</f>
        <v>2.306969269700123E-2</v>
      </c>
      <c r="AD145" s="95">
        <f>mamiabc!AD108*$AV145/mamiabc!$AV107</f>
        <v>3.4832192272239992E-2</v>
      </c>
      <c r="AE145" s="95">
        <f>mamiabc!AE108*$AV145/mamiabc!$AV107</f>
        <v>3.3603032890766972E-2</v>
      </c>
      <c r="AF145" s="95">
        <f>mamiabc!AF108*$AV145/mamiabc!$AV107</f>
        <v>3.9544597424775028E-2</v>
      </c>
      <c r="AG145" s="95">
        <f>mamiabc!AG108*$AV145/mamiabc!$AV107</f>
        <v>2.6343080842880656E-2</v>
      </c>
      <c r="AH145" s="95">
        <f>mamiabc!AH108*$AV145/mamiabc!$AV107</f>
        <v>3.3713055057506665E-2</v>
      </c>
      <c r="AI145" s="95">
        <f>mamiabc!AI108*$AV145/mamiabc!$AV107</f>
        <v>2.1705404761693445E-2</v>
      </c>
      <c r="AJ145" s="95">
        <f>mamiabc!AJ108*$AV145/mamiabc!$AV107</f>
        <v>2.2665060472129822E-2</v>
      </c>
      <c r="AK145" s="95">
        <f>mamiabc!AK108*$AV145/mamiabc!$AV107</f>
        <v>1.5265245878990395E-2</v>
      </c>
      <c r="AL145" s="95">
        <f>mamiabc!AL108*$AV145/mamiabc!$AV107</f>
        <v>9.9276771907686797E-3</v>
      </c>
      <c r="AM145" s="95">
        <f>mamiabc!AM108*$AV145/mamiabc!$AV107</f>
        <v>3.6692951049201558E-3</v>
      </c>
      <c r="AN145" s="95">
        <f>mamiabc!AN108*$AV145/mamiabc!$AV107</f>
        <v>1.3786634654267596E-2</v>
      </c>
      <c r="AO145" s="95">
        <f>mamiabc!AO108*$AV145/mamiabc!$AV107</f>
        <v>3.8170427014390773E-2</v>
      </c>
      <c r="AP145" s="95">
        <f>mamiabc!AP108*$AV145/mamiabc!$AV107</f>
        <v>4.8975782334636148E-2</v>
      </c>
      <c r="AQ145" s="95">
        <f>mamiabc!AQ108*$AV145/mamiabc!$AV107</f>
        <v>2.5959840909615884E-2</v>
      </c>
      <c r="AR145" s="95">
        <f>mamiabc!AR108*$AV145/mamiabc!$AV107</f>
        <v>2.7565604264849854E-2</v>
      </c>
      <c r="AS145" s="95">
        <f>mamiabc!AS108*$AV145/mamiabc!$AV107</f>
        <v>0.15201226429548267</v>
      </c>
      <c r="AT145" s="95">
        <f>mamiabc!AT108*$AV145/mamiabc!$AV107</f>
        <v>2.6644966607849043</v>
      </c>
      <c r="AU145" s="95">
        <f>mamiabc!AU108*$AV145/mamiabc!$AV107</f>
        <v>10.175990009343554</v>
      </c>
      <c r="AV145" s="80">
        <f t="shared" ref="AV145:BE145" si="376">SUM(AV146:AV159)</f>
        <v>50.877382499999996</v>
      </c>
      <c r="AW145" s="80">
        <f t="shared" si="376"/>
        <v>32.17624</v>
      </c>
      <c r="AX145" s="80">
        <f t="shared" si="376"/>
        <v>21.293100000000003</v>
      </c>
      <c r="AY145" s="80">
        <f t="shared" si="376"/>
        <v>28.600606599999995</v>
      </c>
      <c r="AZ145" s="80">
        <f t="shared" si="376"/>
        <v>47.760423099999997</v>
      </c>
      <c r="BA145" s="80">
        <f t="shared" si="376"/>
        <v>135.89483000000001</v>
      </c>
      <c r="BB145" s="80">
        <f t="shared" si="376"/>
        <v>112.62413800000002</v>
      </c>
      <c r="BC145" s="80">
        <f t="shared" si="376"/>
        <v>390.12478819999995</v>
      </c>
      <c r="BD145" s="80">
        <f t="shared" si="376"/>
        <v>840.97839999999997</v>
      </c>
      <c r="BE145" s="80">
        <f t="shared" si="376"/>
        <v>780.78512226270004</v>
      </c>
      <c r="BF145" s="80">
        <f t="shared" ref="BF145:BK145" ca="1" si="377">SUM(BF146:BF159)</f>
        <v>647.58623305277638</v>
      </c>
      <c r="BG145" s="80">
        <f t="shared" ca="1" si="377"/>
        <v>544.32156655047072</v>
      </c>
      <c r="BH145" s="80">
        <f t="shared" ca="1" si="377"/>
        <v>825.55182713080524</v>
      </c>
      <c r="BI145" s="80">
        <f t="shared" ca="1" si="377"/>
        <v>861.03586662485429</v>
      </c>
      <c r="BJ145" s="80">
        <f t="shared" ca="1" si="377"/>
        <v>889.58538443435771</v>
      </c>
      <c r="BK145" s="80">
        <f t="shared" ca="1" si="377"/>
        <v>1433.3383749165441</v>
      </c>
      <c r="BL145" s="80">
        <f t="shared" ref="BL145:BQ145" ca="1" si="378">SUM(BL146:BL159)</f>
        <v>2396.1631044419373</v>
      </c>
      <c r="BM145" s="80">
        <f t="shared" ca="1" si="378"/>
        <v>1809.535668725244</v>
      </c>
      <c r="BN145" s="80">
        <f t="shared" ca="1" si="378"/>
        <v>2468.0250797561057</v>
      </c>
      <c r="BO145" s="80">
        <f t="shared" ca="1" si="378"/>
        <v>2560.327654131996</v>
      </c>
      <c r="BP145" s="80">
        <f t="shared" ca="1" si="378"/>
        <v>2297.139251225939</v>
      </c>
      <c r="BQ145" s="80">
        <f t="shared" ca="1" si="378"/>
        <v>2245.1208353300867</v>
      </c>
      <c r="BR145" s="80">
        <f ca="1">SUM(BR146:BR159)</f>
        <v>1716.7648416713405</v>
      </c>
      <c r="BS145" s="80">
        <f ca="1">SUM(BS146:BS159)</f>
        <v>1711.6736466301932</v>
      </c>
      <c r="BT145" s="80">
        <f ca="1">SUM(BT146:BT159)</f>
        <v>1762.8383414355162</v>
      </c>
      <c r="BU145" s="80">
        <f ca="1">SUM(BU146:BU159)</f>
        <v>1956.9323217211288</v>
      </c>
      <c r="BV145" s="80">
        <f ca="1">SUM(BV146:BV159)</f>
        <v>2017.175767109132</v>
      </c>
      <c r="BW145" s="80">
        <f t="shared" ref="BW145:BX145" ca="1" si="379">SUM(BW146:BW159)</f>
        <v>2080.1708224393092</v>
      </c>
      <c r="BX145" s="80">
        <f t="shared" ca="1" si="379"/>
        <v>2145.7600038787359</v>
      </c>
      <c r="BY145" s="80">
        <f t="shared" ref="BY145:CD145" ca="1" si="380">SUM(BY146:BY159)</f>
        <v>2214.0102861207047</v>
      </c>
      <c r="BZ145" s="80">
        <f t="shared" ca="1" si="380"/>
        <v>2285.049215925394</v>
      </c>
      <c r="CA145" s="80">
        <f t="shared" ca="1" si="380"/>
        <v>2359.1368778265896</v>
      </c>
      <c r="CB145" s="80">
        <f t="shared" ca="1" si="380"/>
        <v>2436.4187567635354</v>
      </c>
      <c r="CC145" s="80">
        <f t="shared" ca="1" si="380"/>
        <v>2516.9439820193302</v>
      </c>
      <c r="CD145" s="80">
        <f t="shared" ca="1" si="380"/>
        <v>2600.8517152934246</v>
      </c>
      <c r="CE145" s="80"/>
      <c r="CF145" s="435"/>
      <c r="CG145" s="235">
        <f t="shared" ca="1" si="356"/>
        <v>-0.17636463655753687</v>
      </c>
      <c r="CH145" s="235">
        <f t="shared" ca="1" si="367"/>
        <v>0.78033319795667921</v>
      </c>
      <c r="CI145" s="235" t="e">
        <f ca="1">BM145-#REF!</f>
        <v>#REF!</v>
      </c>
      <c r="CJ145" s="235">
        <f t="shared" ca="1" si="336"/>
        <v>0</v>
      </c>
      <c r="CK145" s="235">
        <f t="shared" ca="1" si="337"/>
        <v>0</v>
      </c>
      <c r="CL145" s="235">
        <f t="shared" ca="1" si="338"/>
        <v>0</v>
      </c>
      <c r="CM145" s="235">
        <f t="shared" ca="1" si="339"/>
        <v>0</v>
      </c>
      <c r="CN145" s="235">
        <f t="shared" ca="1" si="340"/>
        <v>0</v>
      </c>
      <c r="CO145" s="235">
        <f t="shared" ca="1" si="341"/>
        <v>0</v>
      </c>
      <c r="CP145" s="235">
        <f t="shared" ca="1" si="342"/>
        <v>0</v>
      </c>
      <c r="CQ145" s="235">
        <f t="shared" ca="1" si="343"/>
        <v>0</v>
      </c>
      <c r="CR145" s="235">
        <f t="shared" ca="1" si="344"/>
        <v>0</v>
      </c>
      <c r="CS145" s="235">
        <f t="shared" ca="1" si="345"/>
        <v>0</v>
      </c>
      <c r="CT145" s="235">
        <f t="shared" ca="1" si="346"/>
        <v>0</v>
      </c>
      <c r="CU145" s="235">
        <f t="shared" ca="1" si="347"/>
        <v>0</v>
      </c>
      <c r="CV145" s="235">
        <f t="shared" ca="1" si="348"/>
        <v>0</v>
      </c>
      <c r="CW145" s="235">
        <f t="shared" ca="1" si="349"/>
        <v>0</v>
      </c>
      <c r="CX145" s="235">
        <f t="shared" ca="1" si="350"/>
        <v>8.6401996668428183E-12</v>
      </c>
      <c r="CY145" s="235">
        <f t="shared" ca="1" si="351"/>
        <v>5.9117155615240335E-11</v>
      </c>
      <c r="CZ145" s="235">
        <f t="shared" ca="1" si="352"/>
        <v>3.1013769330456853E-10</v>
      </c>
      <c r="DA145" s="38"/>
      <c r="DB145" s="236">
        <v>619.91668404670804</v>
      </c>
      <c r="DC145" s="236">
        <v>620.9166840467077</v>
      </c>
      <c r="DD145" s="236">
        <v>517.36981997534372</v>
      </c>
      <c r="DE145" s="236">
        <v>802.38531243057935</v>
      </c>
      <c r="DF145" s="401">
        <v>862.9592248945977</v>
      </c>
      <c r="DG145" s="236">
        <v>1433.5147395531017</v>
      </c>
      <c r="DH145" s="492">
        <v>2395.3827712439806</v>
      </c>
      <c r="DI145" s="236">
        <v>2468.0250797561052</v>
      </c>
      <c r="DJ145" s="236">
        <v>2560.327654131996</v>
      </c>
      <c r="DK145" s="236">
        <v>2297.1392512259386</v>
      </c>
      <c r="DL145" s="236">
        <v>2245.1208353300867</v>
      </c>
      <c r="DM145" s="236">
        <v>1716.7648416713403</v>
      </c>
      <c r="DN145" s="236">
        <v>1711.6736466301929</v>
      </c>
      <c r="DO145" s="236">
        <v>1762.8383414355162</v>
      </c>
      <c r="DP145" s="236">
        <v>1956.9323217211281</v>
      </c>
      <c r="DQ145" s="401">
        <v>2017.1757671091311</v>
      </c>
      <c r="DR145" s="401">
        <v>2080.1708224393083</v>
      </c>
      <c r="DS145" s="401">
        <v>2145.7600038787346</v>
      </c>
      <c r="DT145" s="401">
        <v>2214.0102861207033</v>
      </c>
      <c r="DU145" s="401">
        <v>2285.0492159253927</v>
      </c>
      <c r="DV145" s="401">
        <v>2359.1368778265883</v>
      </c>
      <c r="DW145" s="401">
        <v>2436.4187567635267</v>
      </c>
      <c r="DX145" s="401">
        <v>2516.9439820192711</v>
      </c>
      <c r="DY145" s="401">
        <v>2600.8517152931145</v>
      </c>
      <c r="DZ145" s="401"/>
      <c r="EA145" s="989"/>
    </row>
    <row r="146" spans="1:131" s="76" customFormat="1">
      <c r="A146" s="76" t="s">
        <v>3857</v>
      </c>
      <c r="B146" s="73" t="s">
        <v>2072</v>
      </c>
      <c r="C146" s="51" t="s">
        <v>320</v>
      </c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51"/>
      <c r="AV146" s="151">
        <f>DataInput!AV795*AV$363</f>
        <v>29.267524999999999</v>
      </c>
      <c r="AW146" s="151">
        <f>DataInput!AW795*AW$363</f>
        <v>18.045000000000002</v>
      </c>
      <c r="AX146" s="151">
        <f>DataInput!AX795*AX$363</f>
        <v>16.04</v>
      </c>
      <c r="AY146" s="151">
        <f>DataInput!AY795*AY$363</f>
        <v>20.637839999999997</v>
      </c>
      <c r="AZ146" s="151">
        <f>DataInput!AZ795*AZ$363</f>
        <v>18.568339999999999</v>
      </c>
      <c r="BA146" s="151">
        <f>DataInput!BA795*BA$363</f>
        <v>30.281150000000004</v>
      </c>
      <c r="BB146" s="151">
        <f>DataInput!BB795*BB$363</f>
        <v>37.231120000000004</v>
      </c>
      <c r="BC146" s="94">
        <f>BB146</f>
        <v>37.231120000000004</v>
      </c>
      <c r="BD146" s="151">
        <f>DataInput!BD795*BD$363</f>
        <v>355.42</v>
      </c>
      <c r="BE146" s="151">
        <f>DataInput!BE795*BE$363</f>
        <v>444.99</v>
      </c>
      <c r="BF146" s="151">
        <f>DataInput!BF795*BF$363</f>
        <v>298.9325</v>
      </c>
      <c r="BG146" s="151">
        <f>DataInput!BG795*BG$363</f>
        <v>86.083200000000005</v>
      </c>
      <c r="BH146" s="151">
        <f>DataInput!BH795*BH$363</f>
        <v>236.07000000000002</v>
      </c>
      <c r="BI146" s="151">
        <f>DataInput!BI795*BI$363</f>
        <v>51.300000000000004</v>
      </c>
      <c r="BJ146" s="151">
        <f>DataInput!BJ795*BJ$363</f>
        <v>24.076947049999998</v>
      </c>
      <c r="BK146" s="151">
        <f>DataInput!BK795*BK$363</f>
        <v>10.725</v>
      </c>
      <c r="BL146" s="375">
        <f>DataInput!BL795*BL$363</f>
        <v>28.81</v>
      </c>
      <c r="BM146" s="375">
        <f>DataInput!BM795*BM$363</f>
        <v>7.7049999999999992</v>
      </c>
      <c r="BN146" s="1077">
        <f ca="1">BM146*(1+BN$303/100)+SIM!V18+finsim!BM110</f>
        <v>7.6655372706964293</v>
      </c>
      <c r="BO146" s="376">
        <f ca="1">BN146*(1+BO$303/100)+SIM!W18+finsim!BN110</f>
        <v>7.0215977436503403</v>
      </c>
      <c r="BP146" s="376">
        <f ca="1">BO146*(1+BP$303/100)+SIM!X18+finsim!BO110</f>
        <v>1.8954661713115639</v>
      </c>
      <c r="BQ146" s="376">
        <f ca="1">BP146*(1+BQ$303/100)+SIM!Y18+finsim!BP110</f>
        <v>2.0397253486260647</v>
      </c>
      <c r="BR146" s="376">
        <f ca="1">BQ146*(1+BR$303/100)+SIM!Z18+finsim!BQ110</f>
        <v>2.1316683990554819</v>
      </c>
      <c r="BS146" s="376">
        <f ca="1">BR146*(1+BS$303/100)+SIM!AA18+finsim!BR110</f>
        <v>2.199495621713544</v>
      </c>
      <c r="BT146" s="376">
        <f ca="1">BS146*(1+BT$303/100)+SIM!AB18+finsim!BS110</f>
        <v>2.2914607939634268</v>
      </c>
      <c r="BU146" s="376">
        <f ca="1">BT146*(1+BU$303/100)+SIM!AC18+finsim!BT110</f>
        <v>2.388978424072683</v>
      </c>
      <c r="BV146" s="376">
        <f ca="1">BU146*(1+BV$303/100)+SIM!AD18+finsim!BU110</f>
        <v>2.4909821056158052</v>
      </c>
      <c r="BW146" s="376">
        <f ca="1">BV146*(1+BW$303/100)+SIM!AE18+finsim!BV110</f>
        <v>2.5976447893535184</v>
      </c>
      <c r="BX146" s="376">
        <f ca="1">BW146*(1+BX$303/100)+SIM!AF18+finsim!BW110</f>
        <v>2.70869982501975</v>
      </c>
      <c r="BY146" s="376">
        <f ca="1">BX146*(1+BY$303/100)+SIM!AG18+finsim!BX110</f>
        <v>2.8242606135868735</v>
      </c>
      <c r="BZ146" s="376">
        <f ca="1">BY146*(1+BZ$303/100)+SIM!AH18+finsim!BY110</f>
        <v>2.9445431161278854</v>
      </c>
      <c r="CA146" s="376">
        <f ca="1">BZ146*(1+CA$303/100)+SIM!AI18+finsim!BZ110</f>
        <v>3.0699877055296247</v>
      </c>
      <c r="CB146" s="376">
        <f ca="1">CA146*(1+CB$303/100)+SIM!AJ18+finsim!CA110</f>
        <v>3.1509253752032533</v>
      </c>
      <c r="CC146" s="376">
        <f ca="1">CB146*(1+CC$303/100)+SIM!AK18+finsim!CB110</f>
        <v>3.2352271117697424</v>
      </c>
      <c r="CD146" s="376">
        <f ca="1">CC146*(1+CD$303/100)+SIM!AL18+finsim!CC110</f>
        <v>3.3230404323963376</v>
      </c>
      <c r="CE146" s="155"/>
      <c r="CF146" s="438"/>
      <c r="CG146" s="235">
        <f t="shared" si="356"/>
        <v>0</v>
      </c>
      <c r="CH146" s="235">
        <f t="shared" si="367"/>
        <v>0</v>
      </c>
      <c r="CI146" s="235" t="e">
        <f>BM146-#REF!</f>
        <v>#REF!</v>
      </c>
      <c r="CJ146" s="235">
        <f t="shared" ca="1" si="336"/>
        <v>0</v>
      </c>
      <c r="CK146" s="235">
        <f t="shared" ca="1" si="337"/>
        <v>0</v>
      </c>
      <c r="CL146" s="235">
        <f t="shared" ca="1" si="338"/>
        <v>0</v>
      </c>
      <c r="CM146" s="235">
        <f t="shared" ca="1" si="339"/>
        <v>0</v>
      </c>
      <c r="CN146" s="235">
        <f t="shared" ca="1" si="340"/>
        <v>0</v>
      </c>
      <c r="CO146" s="235">
        <f t="shared" ca="1" si="341"/>
        <v>0</v>
      </c>
      <c r="CP146" s="235">
        <f t="shared" ca="1" si="342"/>
        <v>0</v>
      </c>
      <c r="CQ146" s="235">
        <f t="shared" ca="1" si="343"/>
        <v>0</v>
      </c>
      <c r="CR146" s="235">
        <f t="shared" ca="1" si="344"/>
        <v>0</v>
      </c>
      <c r="CS146" s="235">
        <f t="shared" ca="1" si="345"/>
        <v>0</v>
      </c>
      <c r="CT146" s="235">
        <f t="shared" ca="1" si="346"/>
        <v>0</v>
      </c>
      <c r="CU146" s="235">
        <f t="shared" ca="1" si="347"/>
        <v>0</v>
      </c>
      <c r="CV146" s="235">
        <f t="shared" ca="1" si="348"/>
        <v>0</v>
      </c>
      <c r="CW146" s="235">
        <f t="shared" ca="1" si="349"/>
        <v>3.5527136788005009E-15</v>
      </c>
      <c r="CX146" s="235">
        <f t="shared" ca="1" si="350"/>
        <v>2.5757174171303632E-14</v>
      </c>
      <c r="CY146" s="235">
        <f t="shared" ca="1" si="351"/>
        <v>2.26929586233382E-13</v>
      </c>
      <c r="CZ146" s="235">
        <f t="shared" ca="1" si="352"/>
        <v>1.7617018954751984E-12</v>
      </c>
      <c r="DA146" s="38"/>
      <c r="DB146" s="236">
        <v>297.9325</v>
      </c>
      <c r="DC146" s="236">
        <v>298.9325</v>
      </c>
      <c r="DD146" s="236">
        <v>86.083200000000005</v>
      </c>
      <c r="DE146" s="236">
        <v>236.07</v>
      </c>
      <c r="DF146" s="401">
        <v>51.3</v>
      </c>
      <c r="DG146" s="236">
        <v>10.725</v>
      </c>
      <c r="DH146" s="492">
        <v>28.81</v>
      </c>
      <c r="DI146" s="236">
        <v>7.6655372706964293</v>
      </c>
      <c r="DJ146" s="236">
        <v>7.0215977436503403</v>
      </c>
      <c r="DK146" s="236">
        <v>1.8954661713115639</v>
      </c>
      <c r="DL146" s="236">
        <v>2.0397253486260647</v>
      </c>
      <c r="DM146" s="236">
        <v>2.1316683990554819</v>
      </c>
      <c r="DN146" s="236">
        <v>2.199495621713544</v>
      </c>
      <c r="DO146" s="236">
        <v>2.2914607939634264</v>
      </c>
      <c r="DP146" s="236">
        <v>2.3889784240726826</v>
      </c>
      <c r="DQ146" s="401">
        <v>2.4909821056158048</v>
      </c>
      <c r="DR146" s="401">
        <v>2.5976447893535179</v>
      </c>
      <c r="DS146" s="401">
        <v>2.7086998250197496</v>
      </c>
      <c r="DT146" s="401">
        <v>2.8242606135868722</v>
      </c>
      <c r="DU146" s="401">
        <v>2.9445431161278832</v>
      </c>
      <c r="DV146" s="401">
        <v>3.0699877055296212</v>
      </c>
      <c r="DW146" s="401">
        <v>3.1509253752032276</v>
      </c>
      <c r="DX146" s="401">
        <v>3.2352271117695155</v>
      </c>
      <c r="DY146" s="401">
        <v>3.3230404323945759</v>
      </c>
      <c r="DZ146" s="401"/>
      <c r="EA146" s="989"/>
    </row>
    <row r="147" spans="1:131" s="76" customFormat="1">
      <c r="A147" s="73" t="s">
        <v>3172</v>
      </c>
      <c r="B147" s="73" t="s">
        <v>3172</v>
      </c>
      <c r="C147" s="51" t="s">
        <v>321</v>
      </c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51"/>
      <c r="AV147" s="151">
        <f>DataInput!AV796*AV$363</f>
        <v>0</v>
      </c>
      <c r="AW147" s="151">
        <f>DataInput!AW796*AW$363</f>
        <v>0</v>
      </c>
      <c r="AX147" s="151">
        <f>DataInput!AX796*AX$363</f>
        <v>0</v>
      </c>
      <c r="AY147" s="151">
        <f>DataInput!AY796*AY$363</f>
        <v>0</v>
      </c>
      <c r="AZ147" s="151">
        <f>DataInput!AZ796*AZ$363</f>
        <v>0</v>
      </c>
      <c r="BA147" s="151">
        <f>DataInput!BA796*BA$363</f>
        <v>15.249500000000001</v>
      </c>
      <c r="BB147" s="151">
        <f>DataInput!BB796*BB$363</f>
        <v>0</v>
      </c>
      <c r="BC147" s="151">
        <f>DataInput!BC796*BC$363</f>
        <v>0</v>
      </c>
      <c r="BD147" s="151">
        <f>DataInput!BD796*BD$363</f>
        <v>0</v>
      </c>
      <c r="BE147" s="151">
        <f>DataInput!BE796*BE$363</f>
        <v>0</v>
      </c>
      <c r="BF147" s="151">
        <f>DataInput!BF796*BF$363</f>
        <v>0</v>
      </c>
      <c r="BG147" s="151">
        <f>DataInput!BG796*BG$363</f>
        <v>0</v>
      </c>
      <c r="BH147" s="151">
        <f>DataInput!BH796*BH$363</f>
        <v>0</v>
      </c>
      <c r="BI147" s="151">
        <f>DataInput!BI796*BI$363</f>
        <v>0</v>
      </c>
      <c r="BJ147" s="151">
        <f>DataInput!BJ796*BJ$363</f>
        <v>0</v>
      </c>
      <c r="BK147" s="151">
        <f>DataInput!BK796*BK$363</f>
        <v>0</v>
      </c>
      <c r="BL147" s="151">
        <f>DataInput!BL796*BL$363</f>
        <v>0</v>
      </c>
      <c r="BM147" s="151">
        <f>DataInput!BM796*BM$363</f>
        <v>0</v>
      </c>
      <c r="BN147" s="151">
        <f>DataInput!BN796*BN$363</f>
        <v>0</v>
      </c>
      <c r="BO147" s="155">
        <f ca="1">BN147*(1+BO$303/100)+finsim!BN111</f>
        <v>0</v>
      </c>
      <c r="BP147" s="155">
        <f ca="1">BO147*(1+BP$303/100)+finsim!BO111</f>
        <v>0</v>
      </c>
      <c r="BQ147" s="155">
        <f ca="1">BP147*(1+BQ$303/100)+finsim!BP111</f>
        <v>0</v>
      </c>
      <c r="BR147" s="155">
        <f ca="1">BQ147*(1+BR$303/100)+finsim!BQ111</f>
        <v>0</v>
      </c>
      <c r="BS147" s="155">
        <f ca="1">BR147*(1+BS$303/100)+finsim!BR111</f>
        <v>0</v>
      </c>
      <c r="BT147" s="155">
        <f ca="1">BS147*(1+BT$303/100)+finsim!BS111</f>
        <v>0</v>
      </c>
      <c r="BU147" s="155">
        <f ca="1">BT147*(1+BU$303/100)+finsim!BT111</f>
        <v>0</v>
      </c>
      <c r="BV147" s="155">
        <f ca="1">BU147*(1+BV$303/100)+finsim!BU111</f>
        <v>0</v>
      </c>
      <c r="BW147" s="155">
        <f ca="1">BV147*(1+BW$303/100)+finsim!BV111</f>
        <v>0</v>
      </c>
      <c r="BX147" s="155">
        <f ca="1">BW147*(1+BX$303/100)+finsim!BW111</f>
        <v>0</v>
      </c>
      <c r="BY147" s="155">
        <f ca="1">BX147*(1+BY$303/100)+finsim!BX111</f>
        <v>0</v>
      </c>
      <c r="BZ147" s="155">
        <f ca="1">BY147*(1+BZ$303/100)+finsim!BY111</f>
        <v>0</v>
      </c>
      <c r="CA147" s="155">
        <f ca="1">BZ147*(1+CA$303/100)+finsim!BZ111</f>
        <v>0</v>
      </c>
      <c r="CB147" s="155">
        <f ca="1">CA147*(1+CB$303/100)+finsim!CA111</f>
        <v>0</v>
      </c>
      <c r="CC147" s="155">
        <f ca="1">CB147*(1+CC$303/100)+finsim!CB111</f>
        <v>0</v>
      </c>
      <c r="CD147" s="155">
        <f ca="1">CC147*(1+CD$303/100)+finsim!CC111</f>
        <v>0</v>
      </c>
      <c r="CE147" s="155"/>
      <c r="CF147" s="438"/>
      <c r="CG147" s="235">
        <f t="shared" si="356"/>
        <v>0</v>
      </c>
      <c r="CH147" s="235">
        <f t="shared" si="367"/>
        <v>0</v>
      </c>
      <c r="CI147" s="235" t="e">
        <f>BM147-#REF!</f>
        <v>#REF!</v>
      </c>
      <c r="CJ147" s="235">
        <f t="shared" si="336"/>
        <v>0</v>
      </c>
      <c r="CK147" s="235">
        <f t="shared" ca="1" si="337"/>
        <v>0</v>
      </c>
      <c r="CL147" s="235">
        <f t="shared" ca="1" si="338"/>
        <v>0</v>
      </c>
      <c r="CM147" s="235">
        <f t="shared" ca="1" si="339"/>
        <v>0</v>
      </c>
      <c r="CN147" s="235">
        <f t="shared" ca="1" si="340"/>
        <v>0</v>
      </c>
      <c r="CO147" s="235">
        <f t="shared" ca="1" si="341"/>
        <v>0</v>
      </c>
      <c r="CP147" s="235">
        <f t="shared" ca="1" si="342"/>
        <v>0</v>
      </c>
      <c r="CQ147" s="235">
        <f t="shared" ca="1" si="343"/>
        <v>0</v>
      </c>
      <c r="CR147" s="235">
        <f t="shared" ca="1" si="344"/>
        <v>0</v>
      </c>
      <c r="CS147" s="235">
        <f t="shared" ca="1" si="345"/>
        <v>0</v>
      </c>
      <c r="CT147" s="235">
        <f t="shared" ca="1" si="346"/>
        <v>0</v>
      </c>
      <c r="CU147" s="235">
        <f t="shared" ca="1" si="347"/>
        <v>0</v>
      </c>
      <c r="CV147" s="235">
        <f t="shared" ca="1" si="348"/>
        <v>0</v>
      </c>
      <c r="CW147" s="235">
        <f t="shared" ca="1" si="349"/>
        <v>0</v>
      </c>
      <c r="CX147" s="235">
        <f t="shared" ca="1" si="350"/>
        <v>0</v>
      </c>
      <c r="CY147" s="235">
        <f t="shared" ca="1" si="351"/>
        <v>0</v>
      </c>
      <c r="CZ147" s="235">
        <f t="shared" ca="1" si="352"/>
        <v>0</v>
      </c>
      <c r="DA147" s="38"/>
      <c r="DB147" s="236">
        <v>-1</v>
      </c>
      <c r="DC147" s="236">
        <v>0</v>
      </c>
      <c r="DD147" s="236">
        <v>0</v>
      </c>
      <c r="DE147" s="236">
        <v>0</v>
      </c>
      <c r="DF147" s="401">
        <v>0</v>
      </c>
      <c r="DG147" s="236">
        <v>0</v>
      </c>
      <c r="DH147" s="492">
        <v>0</v>
      </c>
      <c r="DI147" s="236">
        <v>0</v>
      </c>
      <c r="DJ147" s="236">
        <v>0</v>
      </c>
      <c r="DK147" s="236">
        <v>0</v>
      </c>
      <c r="DL147" s="236">
        <v>0</v>
      </c>
      <c r="DM147" s="236">
        <v>0</v>
      </c>
      <c r="DN147" s="236">
        <v>0</v>
      </c>
      <c r="DO147" s="236">
        <v>0</v>
      </c>
      <c r="DP147" s="236">
        <v>0</v>
      </c>
      <c r="DQ147" s="401">
        <v>0</v>
      </c>
      <c r="DR147" s="401">
        <v>0</v>
      </c>
      <c r="DS147" s="401">
        <v>0</v>
      </c>
      <c r="DT147" s="401">
        <v>0</v>
      </c>
      <c r="DU147" s="401">
        <v>0</v>
      </c>
      <c r="DV147" s="401">
        <v>0</v>
      </c>
      <c r="DW147" s="401">
        <v>0</v>
      </c>
      <c r="DX147" s="401">
        <v>0</v>
      </c>
      <c r="DY147" s="401">
        <v>0</v>
      </c>
      <c r="DZ147" s="401"/>
      <c r="EA147" s="989"/>
    </row>
    <row r="148" spans="1:131" s="76" customFormat="1">
      <c r="A148" s="76" t="s">
        <v>3858</v>
      </c>
      <c r="B148" s="76" t="s">
        <v>3350</v>
      </c>
      <c r="C148" s="51" t="s">
        <v>322</v>
      </c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51"/>
      <c r="AV148" s="151">
        <f>DataInput!AV797*AV$363</f>
        <v>0</v>
      </c>
      <c r="AW148" s="151">
        <f>DataInput!AW797*AW$363</f>
        <v>0</v>
      </c>
      <c r="AX148" s="151">
        <f>DataInput!AX797*AX$363</f>
        <v>0</v>
      </c>
      <c r="AY148" s="151">
        <f>DataInput!AY797*AY$363</f>
        <v>0</v>
      </c>
      <c r="AZ148" s="151">
        <f>DataInput!AZ797*AZ$363</f>
        <v>0</v>
      </c>
      <c r="BA148" s="151">
        <f>DataInput!BA797*BA$363</f>
        <v>0</v>
      </c>
      <c r="BB148" s="151">
        <f>DataInput!BB797*BB$363</f>
        <v>0</v>
      </c>
      <c r="BC148" s="151">
        <f>DataInput!BC797*BC$363</f>
        <v>0</v>
      </c>
      <c r="BD148" s="151">
        <f>DataInput!BD797*BD$363</f>
        <v>0</v>
      </c>
      <c r="BE148" s="151">
        <f>DataInput!BE797*BE$363</f>
        <v>0</v>
      </c>
      <c r="BF148" s="151">
        <f>DataInput!BF797*BF$363</f>
        <v>0</v>
      </c>
      <c r="BG148" s="151">
        <f>DataInput!BG797*BG$363</f>
        <v>0</v>
      </c>
      <c r="BH148" s="151">
        <f>DataInput!BH797*BH$363</f>
        <v>0</v>
      </c>
      <c r="BI148" s="151">
        <f>DataInput!BI797*BI$363</f>
        <v>0</v>
      </c>
      <c r="BJ148" s="151">
        <f>DataInput!BJ797*BJ$363</f>
        <v>0</v>
      </c>
      <c r="BK148" s="151">
        <f>DataInput!BK797*BK$363</f>
        <v>0</v>
      </c>
      <c r="BL148" s="151">
        <f>DataInput!BL797*BL$363</f>
        <v>0</v>
      </c>
      <c r="BM148" s="151">
        <f>DataInput!BM797*BM$363</f>
        <v>0</v>
      </c>
      <c r="BN148" s="151">
        <f>DataInput!BN797*BN$363</f>
        <v>0</v>
      </c>
      <c r="BO148" s="155">
        <f ca="1">BN148*(1+BO$303/100)+finsim!BN112</f>
        <v>0</v>
      </c>
      <c r="BP148" s="155">
        <f ca="1">BO148*(1+BP$303/100)+finsim!BO112</f>
        <v>0</v>
      </c>
      <c r="BQ148" s="155">
        <f ca="1">BP148*(1+BQ$303/100)+finsim!BP112</f>
        <v>0</v>
      </c>
      <c r="BR148" s="155">
        <f ca="1">BQ148*(1+BR$303/100)+finsim!BQ112</f>
        <v>0</v>
      </c>
      <c r="BS148" s="155">
        <f ca="1">BR148*(1+BS$303/100)+finsim!BR112</f>
        <v>0</v>
      </c>
      <c r="BT148" s="155">
        <f ca="1">BS148*(1+BT$303/100)+finsim!BS112</f>
        <v>0</v>
      </c>
      <c r="BU148" s="155">
        <f ca="1">BT148*(1+BU$303/100)+finsim!BT112</f>
        <v>0</v>
      </c>
      <c r="BV148" s="155">
        <f ca="1">BU148*(1+BV$303/100)+finsim!BU112</f>
        <v>0</v>
      </c>
      <c r="BW148" s="155">
        <f ca="1">BV148*(1+BW$303/100)+finsim!BV112</f>
        <v>0</v>
      </c>
      <c r="BX148" s="155">
        <f ca="1">BW148*(1+BX$303/100)+finsim!BW112</f>
        <v>0</v>
      </c>
      <c r="BY148" s="155">
        <f ca="1">BX148*(1+BY$303/100)+finsim!BX112</f>
        <v>0</v>
      </c>
      <c r="BZ148" s="155">
        <f ca="1">BY148*(1+BZ$303/100)+finsim!BY112</f>
        <v>0</v>
      </c>
      <c r="CA148" s="155">
        <f ca="1">BZ148*(1+CA$303/100)+finsim!BZ112</f>
        <v>0</v>
      </c>
      <c r="CB148" s="155">
        <f ca="1">CA148*(1+CB$303/100)+finsim!CA112</f>
        <v>0</v>
      </c>
      <c r="CC148" s="155">
        <f ca="1">CB148*(1+CC$303/100)+finsim!CB112</f>
        <v>0</v>
      </c>
      <c r="CD148" s="155">
        <f ca="1">CC148*(1+CD$303/100)+finsim!CC112</f>
        <v>0</v>
      </c>
      <c r="CE148" s="155"/>
      <c r="CF148" s="438"/>
      <c r="CG148" s="235">
        <f t="shared" si="356"/>
        <v>0</v>
      </c>
      <c r="CH148" s="235">
        <f t="shared" si="367"/>
        <v>0</v>
      </c>
      <c r="CI148" s="235" t="e">
        <f>BM148-#REF!</f>
        <v>#REF!</v>
      </c>
      <c r="CJ148" s="235">
        <f t="shared" si="336"/>
        <v>0</v>
      </c>
      <c r="CK148" s="235">
        <f t="shared" ca="1" si="337"/>
        <v>0</v>
      </c>
      <c r="CL148" s="235">
        <f t="shared" ca="1" si="338"/>
        <v>0</v>
      </c>
      <c r="CM148" s="235">
        <f t="shared" ca="1" si="339"/>
        <v>0</v>
      </c>
      <c r="CN148" s="235">
        <f t="shared" ca="1" si="340"/>
        <v>0</v>
      </c>
      <c r="CO148" s="235">
        <f t="shared" ca="1" si="341"/>
        <v>0</v>
      </c>
      <c r="CP148" s="235">
        <f t="shared" ca="1" si="342"/>
        <v>0</v>
      </c>
      <c r="CQ148" s="235">
        <f t="shared" ca="1" si="343"/>
        <v>0</v>
      </c>
      <c r="CR148" s="235">
        <f t="shared" ca="1" si="344"/>
        <v>0</v>
      </c>
      <c r="CS148" s="235">
        <f t="shared" ca="1" si="345"/>
        <v>0</v>
      </c>
      <c r="CT148" s="235">
        <f t="shared" ca="1" si="346"/>
        <v>0</v>
      </c>
      <c r="CU148" s="235">
        <f t="shared" ca="1" si="347"/>
        <v>0</v>
      </c>
      <c r="CV148" s="235">
        <f t="shared" ca="1" si="348"/>
        <v>0</v>
      </c>
      <c r="CW148" s="235">
        <f t="shared" ca="1" si="349"/>
        <v>0</v>
      </c>
      <c r="CX148" s="235">
        <f t="shared" ca="1" si="350"/>
        <v>0</v>
      </c>
      <c r="CY148" s="235">
        <f t="shared" ca="1" si="351"/>
        <v>0</v>
      </c>
      <c r="CZ148" s="235">
        <f t="shared" ca="1" si="352"/>
        <v>0</v>
      </c>
      <c r="DA148" s="38"/>
      <c r="DB148" s="236">
        <v>-1</v>
      </c>
      <c r="DC148" s="236">
        <v>0</v>
      </c>
      <c r="DD148" s="236">
        <v>0</v>
      </c>
      <c r="DE148" s="236">
        <v>0</v>
      </c>
      <c r="DF148" s="401">
        <v>0</v>
      </c>
      <c r="DG148" s="236">
        <v>0</v>
      </c>
      <c r="DH148" s="492">
        <v>0</v>
      </c>
      <c r="DI148" s="236">
        <v>0</v>
      </c>
      <c r="DJ148" s="236">
        <v>0</v>
      </c>
      <c r="DK148" s="236">
        <v>0</v>
      </c>
      <c r="DL148" s="236">
        <v>0</v>
      </c>
      <c r="DM148" s="236">
        <v>0</v>
      </c>
      <c r="DN148" s="236">
        <v>0</v>
      </c>
      <c r="DO148" s="236">
        <v>0</v>
      </c>
      <c r="DP148" s="236">
        <v>0</v>
      </c>
      <c r="DQ148" s="401">
        <v>0</v>
      </c>
      <c r="DR148" s="401">
        <v>0</v>
      </c>
      <c r="DS148" s="401">
        <v>0</v>
      </c>
      <c r="DT148" s="401">
        <v>0</v>
      </c>
      <c r="DU148" s="401">
        <v>0</v>
      </c>
      <c r="DV148" s="401">
        <v>0</v>
      </c>
      <c r="DW148" s="401">
        <v>0</v>
      </c>
      <c r="DX148" s="401">
        <v>0</v>
      </c>
      <c r="DY148" s="401">
        <v>0</v>
      </c>
      <c r="DZ148" s="401"/>
      <c r="EA148" s="989"/>
    </row>
    <row r="149" spans="1:131" s="76" customFormat="1">
      <c r="A149" s="76" t="s">
        <v>3859</v>
      </c>
      <c r="B149" s="76" t="s">
        <v>2103</v>
      </c>
      <c r="C149" s="51" t="s">
        <v>104</v>
      </c>
      <c r="D149" s="207"/>
      <c r="E149" s="207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  <c r="AA149" s="207"/>
      <c r="AB149" s="207"/>
      <c r="AC149" s="207"/>
      <c r="AD149" s="207"/>
      <c r="AE149" s="207"/>
      <c r="AF149" s="207"/>
      <c r="AG149" s="207"/>
      <c r="AH149" s="207"/>
      <c r="AI149" s="207"/>
      <c r="AJ149" s="207"/>
      <c r="AK149" s="207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51"/>
      <c r="AV149" s="151">
        <f>DataInput!AV798*AV$363</f>
        <v>21.128747499999999</v>
      </c>
      <c r="AW149" s="151">
        <f>DataInput!AW798*AW$363</f>
        <v>11.508700000000001</v>
      </c>
      <c r="AX149" s="151">
        <f>DataInput!AX798*AX$363</f>
        <v>3.609</v>
      </c>
      <c r="AY149" s="151">
        <f>DataInput!AY798*AY$363</f>
        <v>6.9308746000000001</v>
      </c>
      <c r="AZ149" s="151">
        <f>DataInput!AZ798*AZ$363</f>
        <v>25.876308099999999</v>
      </c>
      <c r="BA149" s="151">
        <f>DataInput!BA798*BA$363</f>
        <v>86.660730000000001</v>
      </c>
      <c r="BB149" s="151">
        <f>DataInput!BB798*BB$363</f>
        <v>62.129431500000003</v>
      </c>
      <c r="BC149" s="151">
        <f>DataInput!BC798*BC$363</f>
        <v>71.305208699999994</v>
      </c>
      <c r="BD149" s="151">
        <f>DataInput!BD798*BD$363</f>
        <v>101.158</v>
      </c>
      <c r="BE149" s="151">
        <f>DataInput!BE798*BE$363</f>
        <v>177.45</v>
      </c>
      <c r="BF149" s="151">
        <f>DataInput!BF798*BF$363</f>
        <v>198.00850000000003</v>
      </c>
      <c r="BG149" s="151">
        <f>DataInput!BG798*BG$363</f>
        <v>172.26522</v>
      </c>
      <c r="BH149" s="151">
        <f>DataInput!BH798*BH$363</f>
        <v>179.98964999999998</v>
      </c>
      <c r="BI149" s="151">
        <f>DataInput!BI798*BI$363</f>
        <v>384.75</v>
      </c>
      <c r="BJ149" s="151">
        <f>DataInput!BJ798*BJ$363</f>
        <v>335.5</v>
      </c>
      <c r="BK149" s="151">
        <f>DataInput!BK798*BK$363</f>
        <v>718.25</v>
      </c>
      <c r="BL149" s="151">
        <f>DataInput!BL798*BL$363</f>
        <v>1574.0913</v>
      </c>
      <c r="BM149" s="151">
        <f>DataInput!BM798*BM$363</f>
        <v>946.04</v>
      </c>
      <c r="BN149" s="906">
        <f>DataInput!BN1054*BN$363</f>
        <v>1707.9126181186368</v>
      </c>
      <c r="BO149" s="906">
        <f>DataInput!BO1054*BO$363</f>
        <v>1164.0680500000001</v>
      </c>
      <c r="BP149" s="906">
        <f>DataInput!BP1054*BP$363</f>
        <v>555.24</v>
      </c>
      <c r="BQ149" s="906">
        <f>DataInput!BQ1054*BQ$363</f>
        <v>370.65000000000003</v>
      </c>
      <c r="BR149" s="906">
        <f>DataInput!BR1054*BR$363</f>
        <v>457.8</v>
      </c>
      <c r="BS149" s="906">
        <f>DataInput!BS1054*BS$363</f>
        <v>412.65000000000003</v>
      </c>
      <c r="BT149" s="906">
        <f>DataInput!BT1054*BT$363</f>
        <v>409.5</v>
      </c>
      <c r="BU149" s="906">
        <f>DataInput!BU1054*BU$363</f>
        <v>546</v>
      </c>
      <c r="BV149" s="906">
        <f>DataInput!BV1054*BV$363</f>
        <v>546</v>
      </c>
      <c r="BW149" s="906">
        <f>DataInput!BW1054*BW$363</f>
        <v>546</v>
      </c>
      <c r="BX149" s="906">
        <f>DataInput!BX1054*BX$363</f>
        <v>546</v>
      </c>
      <c r="BY149" s="906">
        <f>DataInput!BY1054*BY$363</f>
        <v>546</v>
      </c>
      <c r="BZ149" s="906">
        <f>DataInput!BZ1054*BZ$363</f>
        <v>546</v>
      </c>
      <c r="CA149" s="906">
        <f>DataInput!CA1054*CA$363</f>
        <v>546</v>
      </c>
      <c r="CB149" s="906">
        <f>DataInput!CB1054*CB$363</f>
        <v>546</v>
      </c>
      <c r="CC149" s="906">
        <f>DataInput!CC1054*CC$363</f>
        <v>546</v>
      </c>
      <c r="CD149" s="906">
        <f>DataInput!CD1054*CD$363</f>
        <v>546</v>
      </c>
      <c r="CE149" s="151"/>
      <c r="CF149" s="435"/>
      <c r="CG149" s="235">
        <f t="shared" si="356"/>
        <v>0</v>
      </c>
      <c r="CH149" s="235">
        <f t="shared" si="367"/>
        <v>0</v>
      </c>
      <c r="CI149" s="235" t="e">
        <f>BM149-#REF!</f>
        <v>#REF!</v>
      </c>
      <c r="CJ149" s="235">
        <f t="shared" si="336"/>
        <v>0</v>
      </c>
      <c r="CK149" s="235">
        <f t="shared" si="337"/>
        <v>0</v>
      </c>
      <c r="CL149" s="235">
        <f t="shared" si="338"/>
        <v>0</v>
      </c>
      <c r="CM149" s="235">
        <f t="shared" si="339"/>
        <v>0</v>
      </c>
      <c r="CN149" s="235">
        <f t="shared" si="340"/>
        <v>0</v>
      </c>
      <c r="CO149" s="235">
        <f t="shared" si="341"/>
        <v>0</v>
      </c>
      <c r="CP149" s="235">
        <f t="shared" si="342"/>
        <v>0</v>
      </c>
      <c r="CQ149" s="235">
        <f t="shared" si="343"/>
        <v>0</v>
      </c>
      <c r="CR149" s="235">
        <f t="shared" si="344"/>
        <v>0</v>
      </c>
      <c r="CS149" s="235">
        <f t="shared" si="345"/>
        <v>0</v>
      </c>
      <c r="CT149" s="235">
        <f t="shared" si="346"/>
        <v>0</v>
      </c>
      <c r="CU149" s="235">
        <f t="shared" si="347"/>
        <v>0</v>
      </c>
      <c r="CV149" s="235">
        <f t="shared" si="348"/>
        <v>0</v>
      </c>
      <c r="CW149" s="235">
        <f t="shared" si="349"/>
        <v>0</v>
      </c>
      <c r="CX149" s="235">
        <f t="shared" si="350"/>
        <v>0</v>
      </c>
      <c r="CY149" s="235">
        <f t="shared" si="351"/>
        <v>0</v>
      </c>
      <c r="CZ149" s="235">
        <f t="shared" si="352"/>
        <v>0</v>
      </c>
      <c r="DA149" s="38"/>
      <c r="DB149" s="236">
        <v>197.0085</v>
      </c>
      <c r="DC149" s="236">
        <v>198.00850000000003</v>
      </c>
      <c r="DD149" s="236">
        <v>172.26522</v>
      </c>
      <c r="DE149" s="236">
        <v>179.98964999999998</v>
      </c>
      <c r="DF149" s="401">
        <v>384.75</v>
      </c>
      <c r="DG149" s="236">
        <v>718.25</v>
      </c>
      <c r="DH149" s="492">
        <v>1574.0913</v>
      </c>
      <c r="DI149" s="236">
        <v>1707.9126181186368</v>
      </c>
      <c r="DJ149" s="236">
        <v>1164.0680500000001</v>
      </c>
      <c r="DK149" s="236">
        <v>555.24</v>
      </c>
      <c r="DL149" s="236">
        <v>370.65000000000003</v>
      </c>
      <c r="DM149" s="236">
        <v>457.8</v>
      </c>
      <c r="DN149" s="236">
        <v>412.65000000000003</v>
      </c>
      <c r="DO149" s="236">
        <v>409.5</v>
      </c>
      <c r="DP149" s="236">
        <v>546</v>
      </c>
      <c r="DQ149" s="401">
        <v>546</v>
      </c>
      <c r="DR149" s="401">
        <v>546</v>
      </c>
      <c r="DS149" s="401">
        <v>546</v>
      </c>
      <c r="DT149" s="401">
        <v>546</v>
      </c>
      <c r="DU149" s="401">
        <v>546</v>
      </c>
      <c r="DV149" s="401">
        <v>546</v>
      </c>
      <c r="DW149" s="401">
        <v>546</v>
      </c>
      <c r="DX149" s="401">
        <v>546</v>
      </c>
      <c r="DY149" s="401">
        <v>546</v>
      </c>
      <c r="DZ149" s="401"/>
      <c r="EA149" s="989"/>
    </row>
    <row r="150" spans="1:131" s="76" customFormat="1">
      <c r="A150" s="76" t="s">
        <v>3861</v>
      </c>
      <c r="B150" s="73" t="s">
        <v>2104</v>
      </c>
      <c r="C150" s="51" t="s">
        <v>537</v>
      </c>
      <c r="D150" s="207"/>
      <c r="E150" s="207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51"/>
      <c r="AV150" s="151">
        <f>DataInput!AV799*AV$363</f>
        <v>0</v>
      </c>
      <c r="AW150" s="151">
        <f>DataInput!AW799*AW$363</f>
        <v>0</v>
      </c>
      <c r="AX150" s="151">
        <f>DataInput!AX799*AX$363</f>
        <v>0</v>
      </c>
      <c r="AY150" s="151">
        <f>DataInput!AY799*AY$363</f>
        <v>0</v>
      </c>
      <c r="AZ150" s="151">
        <f>DataInput!AZ799*AZ$363</f>
        <v>0</v>
      </c>
      <c r="BA150" s="151">
        <f>DataInput!BA799*BA$363</f>
        <v>0</v>
      </c>
      <c r="BB150" s="151">
        <f>DataInput!BB799*BB$363</f>
        <v>0</v>
      </c>
      <c r="BC150" s="151">
        <f>DataInput!BC799*BC$363</f>
        <v>226.48970999999997</v>
      </c>
      <c r="BD150" s="151">
        <f>DataInput!BD799*BD$363</f>
        <v>330.2672</v>
      </c>
      <c r="BE150" s="151">
        <f>DataInput!BE799*BE$363</f>
        <v>104.5185222627</v>
      </c>
      <c r="BF150" s="151">
        <f>DataInput!BF799*BF$363</f>
        <v>104.29727500000001</v>
      </c>
      <c r="BG150" s="151">
        <f>DataInput!BG799*BG$363</f>
        <v>123.387648435</v>
      </c>
      <c r="BH150" s="151">
        <f>DataInput!BH799*BH$363</f>
        <v>238.53230068500002</v>
      </c>
      <c r="BI150" s="151">
        <f>DataInput!BI799*BI$363</f>
        <v>224.90205</v>
      </c>
      <c r="BJ150" s="935">
        <f>DataInput!BJ799*BJ$363</f>
        <v>211.97499999999999</v>
      </c>
      <c r="BK150" s="151">
        <f>DataInput!BK799*BK$363</f>
        <v>349.94050000000004</v>
      </c>
      <c r="BL150" s="151">
        <f>DataInput!BL799*BL$363</f>
        <v>431.75139254500004</v>
      </c>
      <c r="BM150" s="375">
        <f>DataInput!BM799*BM$363</f>
        <v>493.98615924999996</v>
      </c>
      <c r="BN150" s="375">
        <f>DataInput!BN799*BN$363</f>
        <v>392.98628900000006</v>
      </c>
      <c r="BO150" s="376">
        <f ca="1">BN150*(1+BO$303/100)+SIM!W20+finsim!BN114</f>
        <v>1059.9736773411089</v>
      </c>
      <c r="BP150" s="376">
        <f ca="1">BO150*(1+BP$303/100)+SIM!X20+finsim!BO114</f>
        <v>1327.6041989569876</v>
      </c>
      <c r="BQ150" s="376">
        <f ca="1">BP150*(1+BQ$303/100)+SIM!Y20+finsim!BP114</f>
        <v>1428.6448255002144</v>
      </c>
      <c r="BR150" s="376">
        <f ca="1">BQ150*(1+BR$303/100)+SIM!Z20+finsim!BQ114</f>
        <v>793.04269324509028</v>
      </c>
      <c r="BS150" s="376">
        <f ca="1">BR150*(1+BS$303/100)+SIM!AA20+finsim!BR114</f>
        <v>818.27639439481766</v>
      </c>
      <c r="BT150" s="376">
        <f ca="1">BS150*(1+BT$303/100)+SIM!AB20+finsim!BS114</f>
        <v>852.49011540232118</v>
      </c>
      <c r="BU150" s="376">
        <f ca="1">BT150*(1+BU$303/100)+SIM!AC20+finsim!BT114</f>
        <v>888.76951235495687</v>
      </c>
      <c r="BV150" s="376">
        <f ca="1">BU150*(1+BV$303/100)+SIM!AD20+finsim!BU114</f>
        <v>926.71785102138131</v>
      </c>
      <c r="BW150" s="376">
        <f ca="1">BV150*(1+BW$303/100)+SIM!AE20+finsim!BV114</f>
        <v>966.39947411885055</v>
      </c>
      <c r="BX150" s="376">
        <f ca="1">BW150*(1+BX$303/100)+SIM!AF20+finsim!BW114</f>
        <v>1007.7151799867057</v>
      </c>
      <c r="BY150" s="376">
        <f ca="1">BX150*(1+BY$303/100)+SIM!AG20+finsim!BX114</f>
        <v>1050.7071570875553</v>
      </c>
      <c r="BZ150" s="376">
        <f ca="1">BY150*(1+BZ$303/100)+SIM!AH20+finsim!BY114</f>
        <v>1095.4557492267686</v>
      </c>
      <c r="CA150" s="376">
        <f ca="1">BZ150*(1+CA$303/100)+SIM!AI20+finsim!BZ114</f>
        <v>1142.1247879366633</v>
      </c>
      <c r="CB150" s="376">
        <f ca="1">CA150*(1+CB$303/100)+SIM!AJ20+finsim!CA114</f>
        <v>1190.837412400778</v>
      </c>
      <c r="CC150" s="376">
        <f ca="1">CB150*(1+CC$303/100)+SIM!AK20+finsim!CB114</f>
        <v>1241.5944165851288</v>
      </c>
      <c r="CD150" s="376">
        <f ca="1">CC150*(1+CD$303/100)+SIM!AL20+finsim!CC114</f>
        <v>1294.4835163328855</v>
      </c>
      <c r="CE150" s="155"/>
      <c r="CF150" s="438"/>
      <c r="CG150" s="235">
        <f t="shared" si="356"/>
        <v>0</v>
      </c>
      <c r="CH150" s="235">
        <f t="shared" si="367"/>
        <v>0</v>
      </c>
      <c r="CI150" s="235" t="e">
        <f>BM150-#REF!</f>
        <v>#REF!</v>
      </c>
      <c r="CJ150" s="235">
        <f t="shared" si="336"/>
        <v>0</v>
      </c>
      <c r="CK150" s="235">
        <f t="shared" ca="1" si="337"/>
        <v>0</v>
      </c>
      <c r="CL150" s="235">
        <f t="shared" ca="1" si="338"/>
        <v>0</v>
      </c>
      <c r="CM150" s="235">
        <f t="shared" ca="1" si="339"/>
        <v>0</v>
      </c>
      <c r="CN150" s="235">
        <f t="shared" ca="1" si="340"/>
        <v>0</v>
      </c>
      <c r="CO150" s="235">
        <f t="shared" ca="1" si="341"/>
        <v>0</v>
      </c>
      <c r="CP150" s="235">
        <f t="shared" ca="1" si="342"/>
        <v>0</v>
      </c>
      <c r="CQ150" s="235">
        <f t="shared" ca="1" si="343"/>
        <v>0</v>
      </c>
      <c r="CR150" s="235">
        <f t="shared" ca="1" si="344"/>
        <v>0</v>
      </c>
      <c r="CS150" s="235">
        <f t="shared" ca="1" si="345"/>
        <v>0</v>
      </c>
      <c r="CT150" s="235">
        <f t="shared" ca="1" si="346"/>
        <v>0</v>
      </c>
      <c r="CU150" s="235">
        <f t="shared" ca="1" si="347"/>
        <v>0</v>
      </c>
      <c r="CV150" s="235">
        <f t="shared" ca="1" si="348"/>
        <v>0</v>
      </c>
      <c r="CW150" s="235">
        <f t="shared" ca="1" si="349"/>
        <v>0</v>
      </c>
      <c r="CX150" s="235">
        <f t="shared" ca="1" si="350"/>
        <v>9.3223206931725144E-12</v>
      </c>
      <c r="CY150" s="235">
        <f t="shared" ca="1" si="351"/>
        <v>8.5265128291212022E-11</v>
      </c>
      <c r="CZ150" s="235">
        <f t="shared" ca="1" si="352"/>
        <v>6.7416294768918306E-10</v>
      </c>
      <c r="DA150" s="38"/>
      <c r="DB150" s="236">
        <v>75.872275000000002</v>
      </c>
      <c r="DC150" s="236">
        <v>76.872275000000002</v>
      </c>
      <c r="DD150" s="236">
        <v>95.937648435</v>
      </c>
      <c r="DE150" s="236">
        <v>211.08230068500001</v>
      </c>
      <c r="DF150" s="401">
        <v>224.90205</v>
      </c>
      <c r="DG150" s="236">
        <v>349.94050000000004</v>
      </c>
      <c r="DH150" s="492">
        <v>431.75139254500004</v>
      </c>
      <c r="DI150" s="236">
        <v>392.98628900000006</v>
      </c>
      <c r="DJ150" s="236">
        <v>1059.9736773411089</v>
      </c>
      <c r="DK150" s="236">
        <v>1327.6041989569876</v>
      </c>
      <c r="DL150" s="236">
        <v>1428.6448255002144</v>
      </c>
      <c r="DM150" s="236">
        <v>793.04269324509028</v>
      </c>
      <c r="DN150" s="236">
        <v>818.27639439481766</v>
      </c>
      <c r="DO150" s="236">
        <v>852.49011540232095</v>
      </c>
      <c r="DP150" s="236">
        <v>888.76951235495665</v>
      </c>
      <c r="DQ150" s="401">
        <v>926.71785102138108</v>
      </c>
      <c r="DR150" s="401">
        <v>966.39947411885032</v>
      </c>
      <c r="DS150" s="401">
        <v>1007.7151799867055</v>
      </c>
      <c r="DT150" s="401">
        <v>1050.7071570875548</v>
      </c>
      <c r="DU150" s="401">
        <v>1095.4557492267679</v>
      </c>
      <c r="DV150" s="401">
        <v>1142.1247879366622</v>
      </c>
      <c r="DW150" s="401">
        <v>1190.8374124007687</v>
      </c>
      <c r="DX150" s="401">
        <v>1241.5944165850435</v>
      </c>
      <c r="DY150" s="401">
        <v>1294.4835163322114</v>
      </c>
      <c r="DZ150" s="401"/>
      <c r="EA150" s="989"/>
    </row>
    <row r="151" spans="1:131" s="76" customFormat="1">
      <c r="A151" s="76" t="s">
        <v>3862</v>
      </c>
      <c r="B151" s="73" t="s">
        <v>1404</v>
      </c>
      <c r="C151" s="51" t="s">
        <v>538</v>
      </c>
      <c r="D151" s="207"/>
      <c r="E151" s="207"/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  <c r="AA151" s="207"/>
      <c r="AB151" s="207"/>
      <c r="AC151" s="207"/>
      <c r="AD151" s="207"/>
      <c r="AE151" s="207"/>
      <c r="AF151" s="207"/>
      <c r="AG151" s="207"/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7"/>
      <c r="AT151" s="207"/>
      <c r="AU151" s="51"/>
      <c r="AV151" s="151">
        <f>DataInput!AV800*AV$363</f>
        <v>0</v>
      </c>
      <c r="AW151" s="151">
        <f>DataInput!AW800*AW$363</f>
        <v>0</v>
      </c>
      <c r="AX151" s="151">
        <f>DataInput!AX800*AX$363</f>
        <v>0</v>
      </c>
      <c r="AY151" s="151">
        <f>DataInput!AY800*AY$363</f>
        <v>0</v>
      </c>
      <c r="AZ151" s="151">
        <f>DataInput!AZ800*AZ$363</f>
        <v>0</v>
      </c>
      <c r="BA151" s="151">
        <f>DataInput!BA800*BA$363</f>
        <v>0</v>
      </c>
      <c r="BB151" s="151">
        <f>DataInput!BB800*BB$363</f>
        <v>0</v>
      </c>
      <c r="BC151" s="151">
        <f>DataInput!BC800*BC$363</f>
        <v>0</v>
      </c>
      <c r="BD151" s="151">
        <f>DataInput!BD800*BD$363</f>
        <v>0</v>
      </c>
      <c r="BE151" s="151">
        <f>DataInput!BE800*BE$363</f>
        <v>0</v>
      </c>
      <c r="BF151" s="151">
        <f>DataInput!BF800*BF$363</f>
        <v>0</v>
      </c>
      <c r="BG151" s="151">
        <f>DataInput!BG800*BG$363</f>
        <v>0</v>
      </c>
      <c r="BH151" s="151">
        <f>DataInput!BH800*BH$363</f>
        <v>0</v>
      </c>
      <c r="BI151" s="151">
        <f>DataInput!BI800*BI$363</f>
        <v>0</v>
      </c>
      <c r="BJ151" s="151">
        <f>DataInput!BJ800*BJ$363</f>
        <v>0</v>
      </c>
      <c r="BK151" s="151">
        <f>DataInput!BK800*BK$363</f>
        <v>0</v>
      </c>
      <c r="BL151" s="151">
        <f>DataInput!BL800*BL$363</f>
        <v>0</v>
      </c>
      <c r="BM151" s="151">
        <f>DataInput!BM800*BM$363</f>
        <v>0</v>
      </c>
      <c r="BN151" s="151">
        <f>DataInput!BN800*BN$363</f>
        <v>0</v>
      </c>
      <c r="BO151" s="155">
        <f ca="1">BN151*(1+BO$303/100)+SIM!W21+finsim!BN115</f>
        <v>0</v>
      </c>
      <c r="BP151" s="155">
        <f ca="1">BO151*(1+BP$303/100)+SIM!X21+finsim!BO115</f>
        <v>0</v>
      </c>
      <c r="BQ151" s="155">
        <f ca="1">BP151*(1+BQ$303/100)+SIM!Y21+finsim!BP115</f>
        <v>0</v>
      </c>
      <c r="BR151" s="155">
        <f ca="1">BQ151*(1+BR$303/100)+SIM!Z21+finsim!BQ115</f>
        <v>0</v>
      </c>
      <c r="BS151" s="155">
        <f ca="1">BR151*(1+BS$303/100)+SIM!AA21+finsim!BR115</f>
        <v>0</v>
      </c>
      <c r="BT151" s="155">
        <f ca="1">BS151*(1+BT$303/100)+SIM!AB21+finsim!BS115</f>
        <v>0</v>
      </c>
      <c r="BU151" s="155">
        <f ca="1">BT151*(1+BU$303/100)+SIM!AC21+finsim!BT115</f>
        <v>0</v>
      </c>
      <c r="BV151" s="155">
        <f ca="1">BU151*(1+BV$303/100)+SIM!AD21+finsim!BU115</f>
        <v>0</v>
      </c>
      <c r="BW151" s="155">
        <f ca="1">BV151*(1+BW$303/100)+SIM!AE21+finsim!BV115</f>
        <v>0</v>
      </c>
      <c r="BX151" s="155">
        <f ca="1">BW151*(1+BX$303/100)+SIM!AF21+finsim!BW115</f>
        <v>0</v>
      </c>
      <c r="BY151" s="155">
        <f ca="1">BX151*(1+BY$303/100)+SIM!AG21+finsim!BX115</f>
        <v>0</v>
      </c>
      <c r="BZ151" s="155">
        <f ca="1">BY151*(1+BZ$303/100)+SIM!AH21+finsim!BY115</f>
        <v>0</v>
      </c>
      <c r="CA151" s="155">
        <f ca="1">BZ151*(1+CA$303/100)+SIM!AI21+finsim!BZ115</f>
        <v>0</v>
      </c>
      <c r="CB151" s="155">
        <f ca="1">CA151*(1+CB$303/100)+SIM!AJ21+finsim!CA115</f>
        <v>0</v>
      </c>
      <c r="CC151" s="155">
        <f ca="1">CB151*(1+CC$303/100)+SIM!AK21+finsim!CB115</f>
        <v>0</v>
      </c>
      <c r="CD151" s="155">
        <f ca="1">CC151*(1+CD$303/100)+SIM!AL21+finsim!CC115</f>
        <v>0</v>
      </c>
      <c r="CE151" s="155"/>
      <c r="CF151" s="438"/>
      <c r="CG151" s="235">
        <f t="shared" si="356"/>
        <v>0</v>
      </c>
      <c r="CH151" s="235">
        <f t="shared" si="367"/>
        <v>0</v>
      </c>
      <c r="CI151" s="235" t="e">
        <f>BM151-#REF!</f>
        <v>#REF!</v>
      </c>
      <c r="CJ151" s="235">
        <f t="shared" si="336"/>
        <v>0</v>
      </c>
      <c r="CK151" s="235">
        <f t="shared" ca="1" si="337"/>
        <v>0</v>
      </c>
      <c r="CL151" s="235">
        <f t="shared" ca="1" si="338"/>
        <v>0</v>
      </c>
      <c r="CM151" s="235">
        <f t="shared" ca="1" si="339"/>
        <v>0</v>
      </c>
      <c r="CN151" s="235">
        <f t="shared" ca="1" si="340"/>
        <v>0</v>
      </c>
      <c r="CO151" s="235">
        <f t="shared" ca="1" si="341"/>
        <v>0</v>
      </c>
      <c r="CP151" s="235">
        <f t="shared" ca="1" si="342"/>
        <v>0</v>
      </c>
      <c r="CQ151" s="235">
        <f t="shared" ca="1" si="343"/>
        <v>0</v>
      </c>
      <c r="CR151" s="235">
        <f t="shared" ca="1" si="344"/>
        <v>0</v>
      </c>
      <c r="CS151" s="235">
        <f t="shared" ca="1" si="345"/>
        <v>0</v>
      </c>
      <c r="CT151" s="235">
        <f t="shared" ca="1" si="346"/>
        <v>0</v>
      </c>
      <c r="CU151" s="235">
        <f t="shared" ca="1" si="347"/>
        <v>0</v>
      </c>
      <c r="CV151" s="235">
        <f t="shared" ca="1" si="348"/>
        <v>0</v>
      </c>
      <c r="CW151" s="235">
        <f t="shared" ca="1" si="349"/>
        <v>0</v>
      </c>
      <c r="CX151" s="235">
        <f t="shared" ca="1" si="350"/>
        <v>0</v>
      </c>
      <c r="CY151" s="235">
        <f t="shared" ca="1" si="351"/>
        <v>0</v>
      </c>
      <c r="CZ151" s="235">
        <f t="shared" ca="1" si="352"/>
        <v>0</v>
      </c>
      <c r="DA151" s="38"/>
      <c r="DB151" s="236">
        <v>-1</v>
      </c>
      <c r="DC151" s="236">
        <v>0</v>
      </c>
      <c r="DD151" s="236">
        <v>0</v>
      </c>
      <c r="DE151" s="236">
        <v>0</v>
      </c>
      <c r="DF151" s="401">
        <v>0</v>
      </c>
      <c r="DG151" s="236">
        <v>0</v>
      </c>
      <c r="DH151" s="492">
        <v>0</v>
      </c>
      <c r="DI151" s="236">
        <v>0</v>
      </c>
      <c r="DJ151" s="236">
        <v>0</v>
      </c>
      <c r="DK151" s="236">
        <v>0</v>
      </c>
      <c r="DL151" s="236">
        <v>0</v>
      </c>
      <c r="DM151" s="236">
        <v>0</v>
      </c>
      <c r="DN151" s="236">
        <v>0</v>
      </c>
      <c r="DO151" s="236">
        <v>0</v>
      </c>
      <c r="DP151" s="236">
        <v>0</v>
      </c>
      <c r="DQ151" s="401">
        <v>0</v>
      </c>
      <c r="DR151" s="401">
        <v>0</v>
      </c>
      <c r="DS151" s="401">
        <v>0</v>
      </c>
      <c r="DT151" s="401">
        <v>0</v>
      </c>
      <c r="DU151" s="401">
        <v>0</v>
      </c>
      <c r="DV151" s="401">
        <v>0</v>
      </c>
      <c r="DW151" s="401">
        <v>0</v>
      </c>
      <c r="DX151" s="401">
        <v>0</v>
      </c>
      <c r="DY151" s="401">
        <v>0</v>
      </c>
      <c r="DZ151" s="401"/>
      <c r="EA151" s="989"/>
    </row>
    <row r="152" spans="1:131" s="76" customFormat="1">
      <c r="A152" s="76" t="s">
        <v>3863</v>
      </c>
      <c r="B152" s="73" t="s">
        <v>2210</v>
      </c>
      <c r="C152" s="51" t="s">
        <v>2371</v>
      </c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  <c r="AA152" s="207"/>
      <c r="AB152" s="207"/>
      <c r="AC152" s="207"/>
      <c r="AD152" s="207"/>
      <c r="AE152" s="207"/>
      <c r="AF152" s="207"/>
      <c r="AG152" s="207"/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7"/>
      <c r="AT152" s="207"/>
      <c r="AU152" s="51"/>
      <c r="AV152" s="151">
        <f>DataInput!AV801*AV$363</f>
        <v>0</v>
      </c>
      <c r="AW152" s="151">
        <f>DataInput!AW801*AW$363</f>
        <v>0</v>
      </c>
      <c r="AX152" s="151">
        <f>DataInput!AX801*AX$363</f>
        <v>0</v>
      </c>
      <c r="AY152" s="151">
        <f>DataInput!AY801*AY$363</f>
        <v>0</v>
      </c>
      <c r="AZ152" s="151">
        <f>DataInput!AZ801*AZ$363</f>
        <v>0</v>
      </c>
      <c r="BA152" s="151">
        <f>DataInput!BA801*BA$363</f>
        <v>0</v>
      </c>
      <c r="BB152" s="151">
        <f>DataInput!BB801*BB$363</f>
        <v>9.5404745000000002</v>
      </c>
      <c r="BC152" s="94">
        <f>BB152</f>
        <v>9.5404745000000002</v>
      </c>
      <c r="BD152" s="151">
        <f>DataInput!BD801*BD$363</f>
        <v>5.7414000000000005</v>
      </c>
      <c r="BE152" s="151">
        <f>DataInput!BE801*BE$363</f>
        <v>0</v>
      </c>
      <c r="BF152" s="151">
        <f>DataInput!BF801*BF$363</f>
        <v>1.8295656300000003</v>
      </c>
      <c r="BG152" s="151">
        <f>DataInput!BG801*BG$363</f>
        <v>23.030110799999999</v>
      </c>
      <c r="BH152" s="151">
        <f>DataInput!BH801*BH$363</f>
        <v>29.056174363636366</v>
      </c>
      <c r="BI152" s="151">
        <f>DataInput!BI801*BI$363</f>
        <v>31.784184545454544</v>
      </c>
      <c r="BJ152" s="375">
        <f>DataInput!BJ801*BJ$363</f>
        <v>150.97499999999999</v>
      </c>
      <c r="BK152" s="375">
        <f>DataInput!BK801*BK$363</f>
        <v>160.875</v>
      </c>
      <c r="BL152" s="375">
        <f>DataInput!BL801*BL$363</f>
        <v>165.82500000000002</v>
      </c>
      <c r="BM152" s="375">
        <f>DataInput!BM801*BM$363</f>
        <v>165.82500000000002</v>
      </c>
      <c r="BN152" s="1077">
        <f ca="1">BM152*(1+BN$303/100)+SIM!V22+finsim!BM116</f>
        <v>164.97569343455362</v>
      </c>
      <c r="BO152" s="376">
        <f ca="1">BN152*(1+BO$303/100)+SIM!W22+finsim!BN116</f>
        <v>151.11699491769213</v>
      </c>
      <c r="BP152" s="376">
        <f ca="1">BO152*(1+BP$303/100)+SIM!X22+finsim!BO116</f>
        <v>189.27220673040108</v>
      </c>
      <c r="BQ152" s="376">
        <f ca="1">BP152*(1+BQ$303/100)+SIM!Y22+finsim!BP116</f>
        <v>203.67723977434861</v>
      </c>
      <c r="BR152" s="376">
        <f ca="1">BQ152*(1+BR$303/100)+SIM!Z22+finsim!BQ116</f>
        <v>212.85823403934194</v>
      </c>
      <c r="BS152" s="376">
        <f ca="1">BR152*(1+BS$303/100)+SIM!AA22+finsim!BR116</f>
        <v>219.6311368234642</v>
      </c>
      <c r="BT152" s="376">
        <f ca="1">BS152*(1+BT$303/100)+SIM!AB22+finsim!BS116</f>
        <v>228.81434006788425</v>
      </c>
      <c r="BU152" s="376">
        <f ca="1">BT152*(1+BU$303/100)+SIM!AC22+finsim!BT116</f>
        <v>238.55198525789385</v>
      </c>
      <c r="BV152" s="376">
        <f ca="1">BU152*(1+BV$303/100)+SIM!AD22+finsim!BU116</f>
        <v>248.73758613671765</v>
      </c>
      <c r="BW152" s="376">
        <f ca="1">BV152*(1+BW$303/100)+SIM!AE22+finsim!BV116</f>
        <v>259.38841274200314</v>
      </c>
      <c r="BX152" s="376">
        <f ca="1">BW152*(1+BX$303/100)+SIM!AF22+finsim!BW116</f>
        <v>270.4778386506315</v>
      </c>
      <c r="BY152" s="376">
        <f ca="1">BX152*(1+BY$303/100)+SIM!AG22+finsim!BX116</f>
        <v>282.01718754255614</v>
      </c>
      <c r="BZ152" s="376">
        <f ca="1">BY152*(1+BZ$303/100)+SIM!AH22+finsim!BY116</f>
        <v>294.02802425996344</v>
      </c>
      <c r="CA152" s="376">
        <f ca="1">BZ152*(1+CA$303/100)+SIM!AI22+finsim!BZ116</f>
        <v>306.55432233788019</v>
      </c>
      <c r="CB152" s="376">
        <f ca="1">CA152*(1+CB$303/100)+SIM!AJ22+finsim!CA116</f>
        <v>319.62913319884927</v>
      </c>
      <c r="CC152" s="376">
        <f ca="1">CB152*(1+CC$303/100)+SIM!AK22+finsim!CB116</f>
        <v>333.25266994893116</v>
      </c>
      <c r="CD152" s="376">
        <f ca="1">CC152*(1+CD$303/100)+SIM!AL22+finsim!CC116</f>
        <v>347.44847613708407</v>
      </c>
      <c r="CE152" s="376"/>
      <c r="CF152" s="438"/>
      <c r="CG152" s="235">
        <f t="shared" si="356"/>
        <v>0</v>
      </c>
      <c r="CH152" s="235">
        <f t="shared" si="367"/>
        <v>0</v>
      </c>
      <c r="CI152" s="235" t="e">
        <f>BM152-#REF!</f>
        <v>#REF!</v>
      </c>
      <c r="CJ152" s="235">
        <f t="shared" ca="1" si="336"/>
        <v>0</v>
      </c>
      <c r="CK152" s="235">
        <f t="shared" ca="1" si="337"/>
        <v>0</v>
      </c>
      <c r="CL152" s="235">
        <f t="shared" ca="1" si="338"/>
        <v>0</v>
      </c>
      <c r="CM152" s="235">
        <f t="shared" ca="1" si="339"/>
        <v>0</v>
      </c>
      <c r="CN152" s="235">
        <f t="shared" ca="1" si="340"/>
        <v>0</v>
      </c>
      <c r="CO152" s="235">
        <f t="shared" ca="1" si="341"/>
        <v>0</v>
      </c>
      <c r="CP152" s="235">
        <f t="shared" ca="1" si="342"/>
        <v>0</v>
      </c>
      <c r="CQ152" s="235">
        <f t="shared" ca="1" si="343"/>
        <v>0</v>
      </c>
      <c r="CR152" s="235">
        <f t="shared" ca="1" si="344"/>
        <v>0</v>
      </c>
      <c r="CS152" s="235">
        <f t="shared" ca="1" si="345"/>
        <v>0</v>
      </c>
      <c r="CT152" s="235">
        <f t="shared" ca="1" si="346"/>
        <v>0</v>
      </c>
      <c r="CU152" s="235">
        <f t="shared" ca="1" si="347"/>
        <v>0</v>
      </c>
      <c r="CV152" s="235">
        <f t="shared" ca="1" si="348"/>
        <v>0</v>
      </c>
      <c r="CW152" s="235">
        <f t="shared" ca="1" si="349"/>
        <v>0</v>
      </c>
      <c r="CX152" s="235">
        <f t="shared" ca="1" si="350"/>
        <v>2.5011104298755527E-12</v>
      </c>
      <c r="CY152" s="235">
        <f t="shared" ca="1" si="351"/>
        <v>2.290789780090563E-11</v>
      </c>
      <c r="CZ152" s="235">
        <f t="shared" ca="1" si="352"/>
        <v>1.8098944565281272E-10</v>
      </c>
      <c r="DA152" s="38"/>
      <c r="DB152" s="236">
        <v>0.82956563000000005</v>
      </c>
      <c r="DC152" s="236">
        <v>1.8295656300000003</v>
      </c>
      <c r="DD152" s="236">
        <v>23.030110799999999</v>
      </c>
      <c r="DE152" s="236">
        <v>29.056174363636366</v>
      </c>
      <c r="DF152" s="401">
        <v>31.784184545454544</v>
      </c>
      <c r="DG152" s="236">
        <v>160.875</v>
      </c>
      <c r="DH152" s="492">
        <v>165.82500000000002</v>
      </c>
      <c r="DI152" s="236">
        <v>164.97569343455362</v>
      </c>
      <c r="DJ152" s="236">
        <v>151.11699491769213</v>
      </c>
      <c r="DK152" s="236">
        <v>189.27220673040108</v>
      </c>
      <c r="DL152" s="236">
        <v>203.67723977434861</v>
      </c>
      <c r="DM152" s="236">
        <v>212.85823403934194</v>
      </c>
      <c r="DN152" s="236">
        <v>219.6311368234642</v>
      </c>
      <c r="DO152" s="236">
        <v>228.81434006788419</v>
      </c>
      <c r="DP152" s="236">
        <v>238.55198525789379</v>
      </c>
      <c r="DQ152" s="401">
        <v>248.7375861367176</v>
      </c>
      <c r="DR152" s="401">
        <v>259.38841274200308</v>
      </c>
      <c r="DS152" s="401">
        <v>270.47783865063144</v>
      </c>
      <c r="DT152" s="401">
        <v>282.01718754255603</v>
      </c>
      <c r="DU152" s="401">
        <v>294.02802425996327</v>
      </c>
      <c r="DV152" s="401">
        <v>306.55432233787985</v>
      </c>
      <c r="DW152" s="401">
        <v>319.62913319884677</v>
      </c>
      <c r="DX152" s="401">
        <v>333.25266994890825</v>
      </c>
      <c r="DY152" s="401">
        <v>347.44847613690308</v>
      </c>
      <c r="DZ152" s="401"/>
      <c r="EA152" s="989"/>
    </row>
    <row r="153" spans="1:131" s="76" customFormat="1">
      <c r="A153" s="76" t="s">
        <v>3864</v>
      </c>
      <c r="B153" s="73" t="s">
        <v>2857</v>
      </c>
      <c r="C153" s="51" t="s">
        <v>323</v>
      </c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51"/>
      <c r="AV153" s="151">
        <f>DataInput!AV802*AV$363</f>
        <v>0.48110999999999993</v>
      </c>
      <c r="AW153" s="151">
        <f>DataInput!AW802*AW$363</f>
        <v>2.6225400000000003</v>
      </c>
      <c r="AX153" s="151">
        <f>DataInput!AX802*AX$363</f>
        <v>1.6440999999999999</v>
      </c>
      <c r="AY153" s="151">
        <f>DataInput!AY802*AY$363</f>
        <v>1.0318919999999998</v>
      </c>
      <c r="AZ153" s="151">
        <f>DataInput!AZ802*AZ$363</f>
        <v>0</v>
      </c>
      <c r="BA153" s="151">
        <f>DataInput!BA802*BA$363</f>
        <v>3.7034500000000001</v>
      </c>
      <c r="BB153" s="151">
        <f>DataInput!BB802*BB$363</f>
        <v>3.7231120000000004</v>
      </c>
      <c r="BC153" s="151">
        <f>DataInput!BC802*BC$363</f>
        <v>45.558274999999995</v>
      </c>
      <c r="BD153" s="151">
        <f>DataInput!BD802*BD$363</f>
        <v>17.2242</v>
      </c>
      <c r="BE153" s="151">
        <f>DataInput!BE802*BE$363</f>
        <v>22.659000000000002</v>
      </c>
      <c r="BF153" s="151">
        <f>DataInput!BF802*BF$363</f>
        <v>11.244249999999999</v>
      </c>
      <c r="BG153" s="151">
        <f>DataInput!BG802*BG$363</f>
        <v>15.908991311250002</v>
      </c>
      <c r="BH153" s="151">
        <f>DataInput!BH802*BH$363</f>
        <v>2.4367724320500002</v>
      </c>
      <c r="BI153" s="151">
        <f>DataInput!BI802*BI$363</f>
        <v>28.152509503500003</v>
      </c>
      <c r="BJ153" s="151">
        <f>DataInput!BJ802*BJ$363</f>
        <v>10.7546021025</v>
      </c>
      <c r="BK153" s="151">
        <f>DataInput!BK802*BK$363</f>
        <v>11.298642517499999</v>
      </c>
      <c r="BL153" s="151">
        <f>DataInput!BL802*BL$363</f>
        <v>5.9292756840000003</v>
      </c>
      <c r="BM153" s="151">
        <f>DataInput!BM802*BM$363</f>
        <v>2.2605062999999999</v>
      </c>
      <c r="BN153" s="151">
        <f>DataInput!BN802*BN$363</f>
        <v>1.75811015</v>
      </c>
      <c r="BO153" s="155">
        <f ca="1">BN153*(1+BO$303/100)+SIM!W23+finsim!BN117</f>
        <v>1.6104210085208048</v>
      </c>
      <c r="BP153" s="155">
        <f ca="1">BO153*(1+BP$303/100)+SIM!X23+finsim!BO117</f>
        <v>2.0170328176109407</v>
      </c>
      <c r="BQ153" s="155">
        <f ca="1">BP153*(1+BQ$303/100)+SIM!Y23+finsim!BP117</f>
        <v>2.1705441275403414</v>
      </c>
      <c r="BR153" s="155">
        <f ca="1">BQ153*(1+BR$303/100)+SIM!Z23+finsim!BQ117</f>
        <v>2.2683839903003657</v>
      </c>
      <c r="BS153" s="155">
        <f ca="1">BR153*(1+BS$303/100)+SIM!AA23+finsim!BR117</f>
        <v>2.340561344926563</v>
      </c>
      <c r="BT153" s="155">
        <f ca="1">BS153*(1+BT$303/100)+SIM!AB23+finsim!BS117</f>
        <v>2.4384247483007857</v>
      </c>
      <c r="BU153" s="155">
        <f ca="1">BT153*(1+BU$303/100)+SIM!AC23+finsim!BT117</f>
        <v>2.5421967191241484</v>
      </c>
      <c r="BV153" s="155">
        <f ca="1">BU153*(1+BV$303/100)+SIM!AD23+finsim!BU117</f>
        <v>2.6507424564755295</v>
      </c>
      <c r="BW153" s="155">
        <f ca="1">BV153*(1+BW$303/100)+SIM!AE23+finsim!BV117</f>
        <v>2.764246003396948</v>
      </c>
      <c r="BX153" s="155">
        <f ca="1">BW153*(1+BX$303/100)+SIM!AF23+finsim!BW117</f>
        <v>2.8824236078776155</v>
      </c>
      <c r="BY153" s="155">
        <f ca="1">BX153*(1+BY$303/100)+SIM!AG23+finsim!BX117</f>
        <v>3.0053959439165125</v>
      </c>
      <c r="BZ153" s="155">
        <f ca="1">BY153*(1+BZ$303/100)+SIM!AH23+finsim!BY117</f>
        <v>3.133392823355261</v>
      </c>
      <c r="CA153" s="155">
        <f ca="1">BZ153*(1+CA$303/100)+SIM!AI23+finsim!BZ117</f>
        <v>3.266882862610331</v>
      </c>
      <c r="CB153" s="155">
        <f ca="1">CA153*(1+CB$303/100)+SIM!AJ23+finsim!CA117</f>
        <v>3.4062182835165569</v>
      </c>
      <c r="CC153" s="155">
        <f ca="1">CB153*(1+CC$303/100)+SIM!AK23+finsim!CB117</f>
        <v>3.5514013570989609</v>
      </c>
      <c r="CD153" s="155">
        <f ca="1">CC153*(1+CD$303/100)+SIM!AL23+finsim!CC117</f>
        <v>3.7026829818476714</v>
      </c>
      <c r="CE153" s="155"/>
      <c r="CF153" s="438"/>
      <c r="CG153" s="235">
        <f t="shared" si="356"/>
        <v>0</v>
      </c>
      <c r="CH153" s="235">
        <f t="shared" si="367"/>
        <v>0</v>
      </c>
      <c r="CI153" s="235" t="e">
        <f>BM153-#REF!</f>
        <v>#REF!</v>
      </c>
      <c r="CJ153" s="235">
        <f t="shared" si="336"/>
        <v>0</v>
      </c>
      <c r="CK153" s="235">
        <f t="shared" ca="1" si="337"/>
        <v>0</v>
      </c>
      <c r="CL153" s="235">
        <f t="shared" ca="1" si="338"/>
        <v>0</v>
      </c>
      <c r="CM153" s="235">
        <f t="shared" ca="1" si="339"/>
        <v>0</v>
      </c>
      <c r="CN153" s="235">
        <f t="shared" ca="1" si="340"/>
        <v>0</v>
      </c>
      <c r="CO153" s="235">
        <f t="shared" ca="1" si="341"/>
        <v>0</v>
      </c>
      <c r="CP153" s="235">
        <f t="shared" ca="1" si="342"/>
        <v>0</v>
      </c>
      <c r="CQ153" s="235">
        <f t="shared" ca="1" si="343"/>
        <v>0</v>
      </c>
      <c r="CR153" s="235">
        <f t="shared" ca="1" si="344"/>
        <v>0</v>
      </c>
      <c r="CS153" s="235">
        <f t="shared" ca="1" si="345"/>
        <v>0</v>
      </c>
      <c r="CT153" s="235">
        <f t="shared" ca="1" si="346"/>
        <v>0</v>
      </c>
      <c r="CU153" s="235">
        <f t="shared" ca="1" si="347"/>
        <v>0</v>
      </c>
      <c r="CV153" s="235">
        <f t="shared" ca="1" si="348"/>
        <v>0</v>
      </c>
      <c r="CW153" s="235">
        <f t="shared" ca="1" si="349"/>
        <v>3.9968028886505635E-15</v>
      </c>
      <c r="CX153" s="235">
        <f t="shared" ca="1" si="350"/>
        <v>2.7533531010703882E-14</v>
      </c>
      <c r="CY153" s="235">
        <f t="shared" ca="1" si="351"/>
        <v>2.446931546273845E-13</v>
      </c>
      <c r="CZ153" s="235">
        <f t="shared" ca="1" si="352"/>
        <v>1.9295676167985221E-12</v>
      </c>
      <c r="DA153" s="38"/>
      <c r="DB153" s="236">
        <v>10.244249999999999</v>
      </c>
      <c r="DC153" s="236">
        <v>11.244249999999999</v>
      </c>
      <c r="DD153" s="236">
        <v>15.682489694999999</v>
      </c>
      <c r="DE153" s="236">
        <v>2.3634834300000001</v>
      </c>
      <c r="DF153" s="401">
        <v>28.152509503500003</v>
      </c>
      <c r="DG153" s="236">
        <v>11.298642517499999</v>
      </c>
      <c r="DH153" s="492">
        <v>5.9292756840000003</v>
      </c>
      <c r="DI153" s="236">
        <v>1.75811015</v>
      </c>
      <c r="DJ153" s="236">
        <v>1.6104210085208048</v>
      </c>
      <c r="DK153" s="236">
        <v>2.0170328176109407</v>
      </c>
      <c r="DL153" s="236">
        <v>2.1705441275403414</v>
      </c>
      <c r="DM153" s="236">
        <v>2.2683839903003657</v>
      </c>
      <c r="DN153" s="236">
        <v>2.340561344926563</v>
      </c>
      <c r="DO153" s="236">
        <v>2.4384247483007853</v>
      </c>
      <c r="DP153" s="236">
        <v>2.5421967191241479</v>
      </c>
      <c r="DQ153" s="401">
        <v>2.6507424564755291</v>
      </c>
      <c r="DR153" s="401">
        <v>2.7642460033969476</v>
      </c>
      <c r="DS153" s="401">
        <v>2.8824236078776151</v>
      </c>
      <c r="DT153" s="401">
        <v>3.0053959439165112</v>
      </c>
      <c r="DU153" s="401">
        <v>3.1333928233552588</v>
      </c>
      <c r="DV153" s="401">
        <v>3.266882862610327</v>
      </c>
      <c r="DW153" s="401">
        <v>3.4062182835165293</v>
      </c>
      <c r="DX153" s="401">
        <v>3.5514013570987162</v>
      </c>
      <c r="DY153" s="401">
        <v>3.7026829818457418</v>
      </c>
      <c r="DZ153" s="401"/>
      <c r="EA153" s="989"/>
    </row>
    <row r="154" spans="1:131" s="76" customFormat="1">
      <c r="A154" s="76" t="s">
        <v>3865</v>
      </c>
      <c r="B154" s="73" t="s">
        <v>2212</v>
      </c>
      <c r="C154" s="51" t="s">
        <v>2369</v>
      </c>
      <c r="D154" s="207"/>
      <c r="E154" s="207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51"/>
      <c r="AV154" s="151">
        <f>DataInput!AV803*AV$363</f>
        <v>0</v>
      </c>
      <c r="AW154" s="151">
        <f>DataInput!AW803*AW$363</f>
        <v>0</v>
      </c>
      <c r="AX154" s="151">
        <f>DataInput!AX803*AX$363</f>
        <v>0</v>
      </c>
      <c r="AY154" s="151">
        <f>DataInput!AY803*AY$363</f>
        <v>0</v>
      </c>
      <c r="AZ154" s="151">
        <f>DataInput!AZ803*AZ$363</f>
        <v>3.3157749999999995</v>
      </c>
      <c r="BA154" s="151">
        <f>DataInput!BA803*BA$363</f>
        <v>0</v>
      </c>
      <c r="BB154" s="151">
        <f>DataInput!BB803*BB$363</f>
        <v>0</v>
      </c>
      <c r="BC154" s="151">
        <f>DataInput!BC803*BC$363</f>
        <v>0</v>
      </c>
      <c r="BD154" s="151">
        <f>DataInput!BD803*BD$363</f>
        <v>0</v>
      </c>
      <c r="BE154" s="94">
        <f>BD154</f>
        <v>0</v>
      </c>
      <c r="BF154" s="155">
        <f ca="1">BE154*(1+BF$303/100)+SIM!N24</f>
        <v>0</v>
      </c>
      <c r="BG154" s="155">
        <f ca="1">BF154*(1+BG$303/100)+SIM!O24</f>
        <v>0</v>
      </c>
      <c r="BH154" s="155">
        <f ca="1">BG154*(1+BH$303/100)+SIM!P24</f>
        <v>0</v>
      </c>
      <c r="BI154" s="155">
        <f ca="1">BH154*(1+BI$303/100)+SIM!Q24</f>
        <v>0</v>
      </c>
      <c r="BJ154" s="155">
        <f ca="1">BI154*(1+BJ$303/100)+SIM!R24</f>
        <v>0</v>
      </c>
      <c r="BK154" s="155">
        <f ca="1">BJ154*(1+BK$303/100)+SIM!S24+finsim!BJ118</f>
        <v>0</v>
      </c>
      <c r="BL154" s="155">
        <f ca="1">BK154*(1+BL$303/100)+SIM!T24+finsim!BK118</f>
        <v>0</v>
      </c>
      <c r="BM154" s="155">
        <f ca="1">BL154*(1+BM$303/100)+SIM!U24+finsim!BL118</f>
        <v>0</v>
      </c>
      <c r="BN154" s="155">
        <f ca="1">BM154*(1+BN$303/100)+SIM!V24+finsim!BM118</f>
        <v>0</v>
      </c>
      <c r="BO154" s="155">
        <f ca="1">BN154*(1+BO$303/100)+SIM!W24+finsim!BN118</f>
        <v>0</v>
      </c>
      <c r="BP154" s="155">
        <f ca="1">BO154*(1+BP$303/100)+SIM!X24+finsim!BO118</f>
        <v>0</v>
      </c>
      <c r="BQ154" s="155">
        <f ca="1">BP154*(1+BQ$303/100)+SIM!Y24+finsim!BP118</f>
        <v>0</v>
      </c>
      <c r="BR154" s="155">
        <f ca="1">BQ154*(1+BR$303/100)+SIM!Z24+finsim!BQ118</f>
        <v>0</v>
      </c>
      <c r="BS154" s="155">
        <f ca="1">BR154*(1+BS$303/100)+SIM!AA24+finsim!BR118</f>
        <v>0</v>
      </c>
      <c r="BT154" s="155">
        <f ca="1">BS154*(1+BT$303/100)+SIM!AB24+finsim!BS118</f>
        <v>0</v>
      </c>
      <c r="BU154" s="155">
        <f ca="1">BT154*(1+BU$303/100)+SIM!AC24+finsim!BT118</f>
        <v>0</v>
      </c>
      <c r="BV154" s="155">
        <f ca="1">BU154*(1+BV$303/100)+SIM!AD24+finsim!BU118</f>
        <v>0</v>
      </c>
      <c r="BW154" s="155">
        <f ca="1">BV154*(1+BW$303/100)+SIM!AE24+finsim!BV118</f>
        <v>0</v>
      </c>
      <c r="BX154" s="155">
        <f ca="1">BW154*(1+BX$303/100)+SIM!AF24+finsim!BW118</f>
        <v>0</v>
      </c>
      <c r="BY154" s="155">
        <f ca="1">BX154*(1+BY$303/100)+SIM!AG24+finsim!BX118</f>
        <v>0</v>
      </c>
      <c r="BZ154" s="155">
        <f ca="1">BY154*(1+BZ$303/100)+SIM!AH24+finsim!BY118</f>
        <v>0</v>
      </c>
      <c r="CA154" s="155">
        <f ca="1">BZ154*(1+CA$303/100)+SIM!AI24+finsim!BZ118</f>
        <v>0</v>
      </c>
      <c r="CB154" s="155">
        <f ca="1">CA154*(1+CB$303/100)+SIM!AJ24+finsim!CA118</f>
        <v>0</v>
      </c>
      <c r="CC154" s="155">
        <f ca="1">CB154*(1+CC$303/100)+SIM!AK24+finsim!CB118</f>
        <v>0</v>
      </c>
      <c r="CD154" s="155">
        <f ca="1">CC154*(1+CD$303/100)+SIM!AL24+finsim!CC118</f>
        <v>0</v>
      </c>
      <c r="CE154" s="155"/>
      <c r="CF154" s="438"/>
      <c r="CG154" s="235">
        <f t="shared" ca="1" si="356"/>
        <v>0</v>
      </c>
      <c r="CH154" s="235">
        <f t="shared" ca="1" si="367"/>
        <v>0</v>
      </c>
      <c r="CI154" s="235" t="e">
        <f ca="1">BM154-#REF!</f>
        <v>#REF!</v>
      </c>
      <c r="CJ154" s="235">
        <f t="shared" ca="1" si="336"/>
        <v>0</v>
      </c>
      <c r="CK154" s="235">
        <f t="shared" ca="1" si="337"/>
        <v>0</v>
      </c>
      <c r="CL154" s="235">
        <f t="shared" ca="1" si="338"/>
        <v>0</v>
      </c>
      <c r="CM154" s="235">
        <f t="shared" ca="1" si="339"/>
        <v>0</v>
      </c>
      <c r="CN154" s="235">
        <f t="shared" ca="1" si="340"/>
        <v>0</v>
      </c>
      <c r="CO154" s="235">
        <f t="shared" ca="1" si="341"/>
        <v>0</v>
      </c>
      <c r="CP154" s="235">
        <f t="shared" ca="1" si="342"/>
        <v>0</v>
      </c>
      <c r="CQ154" s="235">
        <f t="shared" ca="1" si="343"/>
        <v>0</v>
      </c>
      <c r="CR154" s="235">
        <f t="shared" ca="1" si="344"/>
        <v>0</v>
      </c>
      <c r="CS154" s="235">
        <f t="shared" ca="1" si="345"/>
        <v>0</v>
      </c>
      <c r="CT154" s="235">
        <f t="shared" ca="1" si="346"/>
        <v>0</v>
      </c>
      <c r="CU154" s="235">
        <f t="shared" ca="1" si="347"/>
        <v>0</v>
      </c>
      <c r="CV154" s="235">
        <f t="shared" ca="1" si="348"/>
        <v>0</v>
      </c>
      <c r="CW154" s="235">
        <f t="shared" ca="1" si="349"/>
        <v>0</v>
      </c>
      <c r="CX154" s="235">
        <f t="shared" ca="1" si="350"/>
        <v>0</v>
      </c>
      <c r="CY154" s="235">
        <f t="shared" ca="1" si="351"/>
        <v>0</v>
      </c>
      <c r="CZ154" s="235">
        <f t="shared" ca="1" si="352"/>
        <v>0</v>
      </c>
      <c r="DA154" s="38"/>
      <c r="DB154" s="236">
        <v>-1</v>
      </c>
      <c r="DC154" s="236">
        <v>0</v>
      </c>
      <c r="DD154" s="236">
        <v>0</v>
      </c>
      <c r="DE154" s="236">
        <v>0</v>
      </c>
      <c r="DF154" s="236">
        <v>0</v>
      </c>
      <c r="DG154" s="236">
        <v>0</v>
      </c>
      <c r="DH154" s="492">
        <v>0</v>
      </c>
      <c r="DI154" s="236">
        <v>0</v>
      </c>
      <c r="DJ154" s="236">
        <v>0</v>
      </c>
      <c r="DK154" s="236">
        <v>0</v>
      </c>
      <c r="DL154" s="236">
        <v>0</v>
      </c>
      <c r="DM154" s="236">
        <v>0</v>
      </c>
      <c r="DN154" s="236">
        <v>0</v>
      </c>
      <c r="DO154" s="236">
        <v>0</v>
      </c>
      <c r="DP154" s="236">
        <v>0</v>
      </c>
      <c r="DQ154" s="401">
        <v>0</v>
      </c>
      <c r="DR154" s="401">
        <v>0</v>
      </c>
      <c r="DS154" s="401">
        <v>0</v>
      </c>
      <c r="DT154" s="401">
        <v>0</v>
      </c>
      <c r="DU154" s="401">
        <v>0</v>
      </c>
      <c r="DV154" s="401">
        <v>0</v>
      </c>
      <c r="DW154" s="401">
        <v>0</v>
      </c>
      <c r="DX154" s="401">
        <v>0</v>
      </c>
      <c r="DY154" s="401">
        <v>0</v>
      </c>
      <c r="DZ154" s="401"/>
      <c r="EA154" s="989"/>
    </row>
    <row r="155" spans="1:131" s="76" customFormat="1">
      <c r="A155" s="76" t="s">
        <v>3866</v>
      </c>
      <c r="B155" s="73" t="s">
        <v>2214</v>
      </c>
      <c r="C155" s="51" t="s">
        <v>540</v>
      </c>
      <c r="D155" s="207"/>
      <c r="E155" s="207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51"/>
      <c r="AV155" s="151">
        <f>DataInput!AV804*AV$363</f>
        <v>0</v>
      </c>
      <c r="AW155" s="151">
        <f>DataInput!AW804*AW$363</f>
        <v>0</v>
      </c>
      <c r="AX155" s="151">
        <f>DataInput!AX804*AX$363</f>
        <v>0</v>
      </c>
      <c r="AY155" s="151">
        <f>DataInput!AY804*AY$363</f>
        <v>0</v>
      </c>
      <c r="AZ155" s="151">
        <f>DataInput!AZ804*AZ$363</f>
        <v>0</v>
      </c>
      <c r="BA155" s="151">
        <f>DataInput!BA804*BA$363</f>
        <v>0</v>
      </c>
      <c r="BB155" s="151">
        <f>DataInput!BB804*BB$363</f>
        <v>0</v>
      </c>
      <c r="BC155" s="151">
        <f>DataInput!BC804*BC$363</f>
        <v>0</v>
      </c>
      <c r="BD155" s="151">
        <f>DataInput!BD804*BD$363</f>
        <v>25.972999999999999</v>
      </c>
      <c r="BE155" s="94">
        <f>BD155</f>
        <v>25.972999999999999</v>
      </c>
      <c r="BF155" s="155">
        <f ca="1">BE155*(1+BF$303/100)+SIM!N25</f>
        <v>28.079542422776285</v>
      </c>
      <c r="BG155" s="155">
        <f ca="1">BF155*(1+BG$303/100)+SIM!O25</f>
        <v>30.590896004220681</v>
      </c>
      <c r="BH155" s="155">
        <f ca="1">BG155*(1+BH$303/100)+SIM!P25</f>
        <v>34.504995526186718</v>
      </c>
      <c r="BI155" s="155">
        <f ca="1">BH155*(1+BI$303/100)+SIM!Q25</f>
        <v>34.673279533871508</v>
      </c>
      <c r="BJ155" s="155">
        <f ca="1">BI155*(1+BJ$303/100)+SIM!R25</f>
        <v>38.670551869582432</v>
      </c>
      <c r="BK155" s="155">
        <f ca="1">BJ155*(1+BK$303/100)+SIM!S25+finsim!BJ119</f>
        <v>45.089606291297777</v>
      </c>
      <c r="BL155" s="155">
        <f ca="1">BK155*(1+BL$303/100)+SIM!T25+finsim!BK119</f>
        <v>46.946861507023193</v>
      </c>
      <c r="BM155" s="155">
        <f ca="1">BL155*(1+BM$303/100)+SIM!U25+finsim!BL119</f>
        <v>47.92729971662817</v>
      </c>
      <c r="BN155" s="155">
        <f ca="1">BM155*(1+BN$303/100)+SIM!V25+finsim!BM119</f>
        <v>47.68183027406252</v>
      </c>
      <c r="BO155" s="155">
        <f ca="1">BN155*(1+BO$303/100)+SIM!W25+finsim!BN119</f>
        <v>43.67634257618819</v>
      </c>
      <c r="BP155" s="155">
        <f ca="1">BO155*(1+BP$303/100)+SIM!X25+finsim!BO119</f>
        <v>54.704090336170907</v>
      </c>
      <c r="BQ155" s="155">
        <f ca="1">BP155*(1+BQ$303/100)+SIM!Y25+finsim!BP119</f>
        <v>58.867481478189333</v>
      </c>
      <c r="BR155" s="155">
        <f ca="1">BQ155*(1+BR$303/100)+SIM!Z25+finsim!BQ119</f>
        <v>61.521003346634856</v>
      </c>
      <c r="BS155" s="155">
        <f ca="1">BR155*(1+BS$303/100)+SIM!AA25+finsim!BR119</f>
        <v>63.478530508921679</v>
      </c>
      <c r="BT155" s="155">
        <f ca="1">BS155*(1+BT$303/100)+SIM!AB25+finsim!BS119</f>
        <v>66.132690824037198</v>
      </c>
      <c r="BU155" s="155">
        <f ca="1">BT155*(1+BU$303/100)+SIM!AC25+finsim!BT119</f>
        <v>68.947097816684703</v>
      </c>
      <c r="BV155" s="155">
        <f ca="1">BU155*(1+BV$303/100)+SIM!AD25+finsim!BU119</f>
        <v>71.890974470466332</v>
      </c>
      <c r="BW155" s="155">
        <f ca="1">BV155*(1+BW$303/100)+SIM!AE25+finsim!BV119</f>
        <v>74.969312229799087</v>
      </c>
      <c r="BX155" s="155">
        <f ca="1">BW155*(1+BX$303/100)+SIM!AF25+finsim!BW119</f>
        <v>78.174415436240665</v>
      </c>
      <c r="BY155" s="155">
        <f ca="1">BX155*(1+BY$303/100)+SIM!AG25+finsim!BX119</f>
        <v>81.509556897890079</v>
      </c>
      <c r="BZ155" s="155">
        <f ca="1">BY155*(1+BZ$303/100)+SIM!AH25+finsim!BY119</f>
        <v>84.980969358029753</v>
      </c>
      <c r="CA155" s="155">
        <f ca="1">BZ155*(1+CA$303/100)+SIM!AI25+finsim!BZ119</f>
        <v>88.601362195781235</v>
      </c>
      <c r="CB155" s="155">
        <f ca="1">CA155*(1+CB$303/100)+SIM!AJ25+finsim!CA119</f>
        <v>92.380288044548848</v>
      </c>
      <c r="CC155" s="155">
        <f ca="1">CB155*(1+CC$303/100)+SIM!AK25+finsim!CB119</f>
        <v>96.317808496963579</v>
      </c>
      <c r="CD155" s="155">
        <f ca="1">CC155*(1+CD$303/100)+SIM!AL25+finsim!CC119</f>
        <v>100.42072818879997</v>
      </c>
      <c r="CE155" s="155"/>
      <c r="CF155" s="438"/>
      <c r="CG155" s="235">
        <f t="shared" ca="1" si="356"/>
        <v>-0.28124632985446851</v>
      </c>
      <c r="CH155" s="235">
        <f t="shared" ca="1" si="367"/>
        <v>-2.2261237320549299E-2</v>
      </c>
      <c r="CI155" s="235" t="e">
        <f ca="1">BM155-#REF!</f>
        <v>#REF!</v>
      </c>
      <c r="CJ155" s="235">
        <f t="shared" ca="1" si="336"/>
        <v>0</v>
      </c>
      <c r="CK155" s="235">
        <f t="shared" ca="1" si="337"/>
        <v>0</v>
      </c>
      <c r="CL155" s="235">
        <f t="shared" ca="1" si="338"/>
        <v>0</v>
      </c>
      <c r="CM155" s="235">
        <f t="shared" ca="1" si="339"/>
        <v>0</v>
      </c>
      <c r="CN155" s="235">
        <f t="shared" ca="1" si="340"/>
        <v>0</v>
      </c>
      <c r="CO155" s="235">
        <f t="shared" ca="1" si="341"/>
        <v>0</v>
      </c>
      <c r="CP155" s="235">
        <f t="shared" ca="1" si="342"/>
        <v>0</v>
      </c>
      <c r="CQ155" s="235">
        <f t="shared" ca="1" si="343"/>
        <v>0</v>
      </c>
      <c r="CR155" s="235">
        <f t="shared" ca="1" si="344"/>
        <v>0</v>
      </c>
      <c r="CS155" s="235">
        <f t="shared" ca="1" si="345"/>
        <v>0</v>
      </c>
      <c r="CT155" s="235">
        <f t="shared" ca="1" si="346"/>
        <v>0</v>
      </c>
      <c r="CU155" s="235">
        <f t="shared" ca="1" si="347"/>
        <v>0</v>
      </c>
      <c r="CV155" s="235">
        <f t="shared" ca="1" si="348"/>
        <v>0</v>
      </c>
      <c r="CW155" s="235">
        <f t="shared" ca="1" si="349"/>
        <v>0</v>
      </c>
      <c r="CX155" s="235">
        <f t="shared" ca="1" si="350"/>
        <v>7.2475359047530219E-13</v>
      </c>
      <c r="CY155" s="235">
        <f t="shared" ca="1" si="351"/>
        <v>6.6222582972841337E-12</v>
      </c>
      <c r="CZ155" s="235">
        <f t="shared" ca="1" si="352"/>
        <v>5.2310156206658576E-11</v>
      </c>
      <c r="DA155" s="38"/>
      <c r="DB155" s="236">
        <v>27.8349934167077</v>
      </c>
      <c r="DC155" s="236">
        <v>28.834993416707682</v>
      </c>
      <c r="DD155" s="236">
        <v>31.315651045343682</v>
      </c>
      <c r="DE155" s="236">
        <v>36.213646711091428</v>
      </c>
      <c r="DF155" s="236">
        <v>35.307943492975845</v>
      </c>
      <c r="DG155" s="236">
        <v>45.370852621152245</v>
      </c>
      <c r="DH155" s="492">
        <v>46.969122744343743</v>
      </c>
      <c r="DI155" s="236">
        <v>47.68183027406252</v>
      </c>
      <c r="DJ155" s="236">
        <v>43.67634257618819</v>
      </c>
      <c r="DK155" s="236">
        <v>54.704090336170907</v>
      </c>
      <c r="DL155" s="236">
        <v>58.867481478189333</v>
      </c>
      <c r="DM155" s="236">
        <v>61.521003346634856</v>
      </c>
      <c r="DN155" s="236">
        <v>63.478530508921679</v>
      </c>
      <c r="DO155" s="236">
        <v>66.132690824037184</v>
      </c>
      <c r="DP155" s="236">
        <v>68.947097816684689</v>
      </c>
      <c r="DQ155" s="401">
        <v>71.890974470466318</v>
      </c>
      <c r="DR155" s="401">
        <v>74.969312229799073</v>
      </c>
      <c r="DS155" s="401">
        <v>78.17441543624065</v>
      </c>
      <c r="DT155" s="401">
        <v>81.509556897890036</v>
      </c>
      <c r="DU155" s="401">
        <v>84.980969358029697</v>
      </c>
      <c r="DV155" s="401">
        <v>88.601362195781135</v>
      </c>
      <c r="DW155" s="401">
        <v>92.380288044548124</v>
      </c>
      <c r="DX155" s="401">
        <v>96.317808496956957</v>
      </c>
      <c r="DY155" s="401">
        <v>100.42072818874766</v>
      </c>
      <c r="DZ155" s="401"/>
      <c r="EA155" s="989"/>
    </row>
    <row r="156" spans="1:131" s="76" customFormat="1">
      <c r="A156" s="76" t="s">
        <v>3867</v>
      </c>
      <c r="B156" s="73" t="s">
        <v>2213</v>
      </c>
      <c r="C156" s="51" t="s">
        <v>2370</v>
      </c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51"/>
      <c r="AV156" s="151">
        <f>DataInput!AV805*AV$363</f>
        <v>0</v>
      </c>
      <c r="AW156" s="151">
        <f>DataInput!AW805*AW$363</f>
        <v>0</v>
      </c>
      <c r="AX156" s="151">
        <f>DataInput!AX805*AX$363</f>
        <v>0</v>
      </c>
      <c r="AY156" s="151">
        <f>DataInput!AY805*AY$363</f>
        <v>0</v>
      </c>
      <c r="AZ156" s="151">
        <f>DataInput!AZ805*AZ$363</f>
        <v>0</v>
      </c>
      <c r="BA156" s="151">
        <f>DataInput!BA805*BA$363</f>
        <v>0</v>
      </c>
      <c r="BB156" s="151">
        <f>DataInput!BB805*BB$363</f>
        <v>0</v>
      </c>
      <c r="BC156" s="151">
        <f>DataInput!BC805*BC$363</f>
        <v>0</v>
      </c>
      <c r="BD156" s="151">
        <f>DataInput!BD805*BD$363</f>
        <v>0</v>
      </c>
      <c r="BE156" s="151">
        <f>DataInput!BE805*BE$363</f>
        <v>0</v>
      </c>
      <c r="BF156" s="151">
        <f>DataInput!BF805*BF$363</f>
        <v>0</v>
      </c>
      <c r="BG156" s="151">
        <f>DataInput!BG805*BG$363</f>
        <v>0</v>
      </c>
      <c r="BH156" s="151">
        <f>DataInput!BH805*BH$363</f>
        <v>0</v>
      </c>
      <c r="BI156" s="151">
        <f>DataInput!BI805*BI$363</f>
        <v>0</v>
      </c>
      <c r="BJ156" s="151">
        <f>DataInput!BJ805*BJ$363</f>
        <v>0</v>
      </c>
      <c r="BK156" s="151">
        <f>DataInput!BK805*BK$363</f>
        <v>0</v>
      </c>
      <c r="BL156" s="151">
        <f>DataInput!BL805*BL$363</f>
        <v>0</v>
      </c>
      <c r="BM156" s="151">
        <f>DataInput!BM805*BM$363</f>
        <v>0</v>
      </c>
      <c r="BN156" s="151">
        <f>DataInput!BN805*BN$363</f>
        <v>0</v>
      </c>
      <c r="BO156" s="155">
        <f ca="1">BN156*(1+BO$303/100)+SIM!W26+finsim!BN120</f>
        <v>0</v>
      </c>
      <c r="BP156" s="155">
        <f ca="1">BO156*(1+BP$303/100)+SIM!X26+finsim!BO120</f>
        <v>0</v>
      </c>
      <c r="BQ156" s="155">
        <f ca="1">BP156*(1+BQ$303/100)+SIM!Y26+finsim!BP120</f>
        <v>0</v>
      </c>
      <c r="BR156" s="155">
        <f ca="1">BQ156*(1+BR$303/100)+SIM!Z26+finsim!BQ120</f>
        <v>0</v>
      </c>
      <c r="BS156" s="155">
        <f ca="1">BR156*(1+BS$303/100)+SIM!AA26+finsim!BR120</f>
        <v>0</v>
      </c>
      <c r="BT156" s="155">
        <f ca="1">BS156*(1+BT$303/100)+SIM!AB26+finsim!BS120</f>
        <v>0</v>
      </c>
      <c r="BU156" s="155">
        <f ca="1">BT156*(1+BU$303/100)+SIM!AC26+finsim!BT120</f>
        <v>0</v>
      </c>
      <c r="BV156" s="155">
        <f ca="1">BU156*(1+BV$303/100)+SIM!AD26+finsim!BU120</f>
        <v>0</v>
      </c>
      <c r="BW156" s="155">
        <f ca="1">BV156*(1+BW$303/100)+SIM!AE26+finsim!BV120</f>
        <v>0</v>
      </c>
      <c r="BX156" s="155">
        <f ca="1">BW156*(1+BX$303/100)+SIM!AF26+finsim!BW120</f>
        <v>0</v>
      </c>
      <c r="BY156" s="155">
        <f ca="1">BX156*(1+BY$303/100)+SIM!AG26+finsim!BX120</f>
        <v>0</v>
      </c>
      <c r="BZ156" s="155">
        <f ca="1">BY156*(1+BZ$303/100)+SIM!AH26+finsim!BY120</f>
        <v>0</v>
      </c>
      <c r="CA156" s="155">
        <f ca="1">BZ156*(1+CA$303/100)+SIM!AI26+finsim!BZ120</f>
        <v>0</v>
      </c>
      <c r="CB156" s="155">
        <f ca="1">CA156*(1+CB$303/100)+SIM!AJ26+finsim!CA120</f>
        <v>0</v>
      </c>
      <c r="CC156" s="155">
        <f ca="1">CB156*(1+CC$303/100)+SIM!AK26+finsim!CB120</f>
        <v>0</v>
      </c>
      <c r="CD156" s="155">
        <f ca="1">CC156*(1+CD$303/100)+SIM!AL26+finsim!CC120</f>
        <v>0</v>
      </c>
      <c r="CE156" s="155"/>
      <c r="CF156" s="438"/>
      <c r="CG156" s="235">
        <f t="shared" si="356"/>
        <v>0</v>
      </c>
      <c r="CH156" s="235">
        <f t="shared" si="367"/>
        <v>0</v>
      </c>
      <c r="CI156" s="235" t="e">
        <f>BM156-#REF!</f>
        <v>#REF!</v>
      </c>
      <c r="CJ156" s="235">
        <f t="shared" si="336"/>
        <v>0</v>
      </c>
      <c r="CK156" s="235">
        <f t="shared" ca="1" si="337"/>
        <v>0</v>
      </c>
      <c r="CL156" s="235">
        <f t="shared" ca="1" si="338"/>
        <v>0</v>
      </c>
      <c r="CM156" s="235">
        <f t="shared" ca="1" si="339"/>
        <v>0</v>
      </c>
      <c r="CN156" s="235">
        <f t="shared" ca="1" si="340"/>
        <v>0</v>
      </c>
      <c r="CO156" s="235">
        <f t="shared" ca="1" si="341"/>
        <v>0</v>
      </c>
      <c r="CP156" s="235">
        <f t="shared" ca="1" si="342"/>
        <v>0</v>
      </c>
      <c r="CQ156" s="235">
        <f t="shared" ca="1" si="343"/>
        <v>0</v>
      </c>
      <c r="CR156" s="235">
        <f t="shared" ca="1" si="344"/>
        <v>0</v>
      </c>
      <c r="CS156" s="235">
        <f t="shared" ca="1" si="345"/>
        <v>0</v>
      </c>
      <c r="CT156" s="235">
        <f t="shared" ca="1" si="346"/>
        <v>0</v>
      </c>
      <c r="CU156" s="235">
        <f t="shared" ca="1" si="347"/>
        <v>0</v>
      </c>
      <c r="CV156" s="235">
        <f t="shared" ca="1" si="348"/>
        <v>0</v>
      </c>
      <c r="CW156" s="235">
        <f t="shared" ca="1" si="349"/>
        <v>0</v>
      </c>
      <c r="CX156" s="235">
        <f t="shared" ca="1" si="350"/>
        <v>0</v>
      </c>
      <c r="CY156" s="235">
        <f t="shared" ca="1" si="351"/>
        <v>0</v>
      </c>
      <c r="CZ156" s="235">
        <f t="shared" ca="1" si="352"/>
        <v>0</v>
      </c>
      <c r="DA156" s="38"/>
      <c r="DB156" s="236">
        <v>-1</v>
      </c>
      <c r="DC156" s="236">
        <v>0</v>
      </c>
      <c r="DD156" s="236">
        <v>0</v>
      </c>
      <c r="DE156" s="236">
        <v>0</v>
      </c>
      <c r="DF156" s="401">
        <v>0</v>
      </c>
      <c r="DG156" s="236">
        <v>0</v>
      </c>
      <c r="DH156" s="492">
        <v>0</v>
      </c>
      <c r="DI156" s="236">
        <v>0</v>
      </c>
      <c r="DJ156" s="236">
        <v>0</v>
      </c>
      <c r="DK156" s="236">
        <v>0</v>
      </c>
      <c r="DL156" s="236">
        <v>0</v>
      </c>
      <c r="DM156" s="236">
        <v>0</v>
      </c>
      <c r="DN156" s="236">
        <v>0</v>
      </c>
      <c r="DO156" s="236">
        <v>0</v>
      </c>
      <c r="DP156" s="236">
        <v>0</v>
      </c>
      <c r="DQ156" s="401">
        <v>0</v>
      </c>
      <c r="DR156" s="401">
        <v>0</v>
      </c>
      <c r="DS156" s="401">
        <v>0</v>
      </c>
      <c r="DT156" s="401">
        <v>0</v>
      </c>
      <c r="DU156" s="401">
        <v>0</v>
      </c>
      <c r="DV156" s="401">
        <v>0</v>
      </c>
      <c r="DW156" s="401">
        <v>0</v>
      </c>
      <c r="DX156" s="401">
        <v>0</v>
      </c>
      <c r="DY156" s="401">
        <v>0</v>
      </c>
      <c r="DZ156" s="401"/>
      <c r="EA156" s="989"/>
    </row>
    <row r="157" spans="1:131" s="76" customFormat="1">
      <c r="A157" s="76" t="s">
        <v>3868</v>
      </c>
      <c r="B157" s="73" t="s">
        <v>2858</v>
      </c>
      <c r="C157" s="51" t="s">
        <v>3540</v>
      </c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51"/>
      <c r="AV157" s="151">
        <f>DataInput!AV806*AV$363</f>
        <v>0</v>
      </c>
      <c r="AW157" s="151">
        <f>DataInput!AW806*AW$363</f>
        <v>0</v>
      </c>
      <c r="AX157" s="151">
        <f>DataInput!AX806*AX$363</f>
        <v>0</v>
      </c>
      <c r="AY157" s="151">
        <f>DataInput!AY806*AY$363</f>
        <v>0</v>
      </c>
      <c r="AZ157" s="151">
        <f>DataInput!AZ806*AZ$363</f>
        <v>0</v>
      </c>
      <c r="BA157" s="151">
        <f>DataInput!BA806*BA$363</f>
        <v>0</v>
      </c>
      <c r="BB157" s="151">
        <f>DataInput!BB806*BB$363</f>
        <v>0</v>
      </c>
      <c r="BC157" s="151">
        <f>DataInput!BC806*BC$363</f>
        <v>0</v>
      </c>
      <c r="BD157" s="151">
        <f>DataInput!BD806*BD$363</f>
        <v>0</v>
      </c>
      <c r="BE157" s="151">
        <f>DataInput!BE806*BE$363</f>
        <v>0</v>
      </c>
      <c r="BF157" s="151">
        <f>DataInput!BF806*BF$363</f>
        <v>0</v>
      </c>
      <c r="BG157" s="151">
        <f>DataInput!BG806*BG$363</f>
        <v>0</v>
      </c>
      <c r="BH157" s="151">
        <f>DataInput!BH806*BH$363</f>
        <v>0</v>
      </c>
      <c r="BI157" s="151">
        <f>DataInput!BI806*BI$363</f>
        <v>0</v>
      </c>
      <c r="BJ157" s="151">
        <f>DataInput!BJ806*BJ$363</f>
        <v>0</v>
      </c>
      <c r="BK157" s="151">
        <f>DataInput!BK806*BK$363</f>
        <v>0</v>
      </c>
      <c r="BL157" s="151">
        <f>DataInput!BL806*BL$363</f>
        <v>0</v>
      </c>
      <c r="BM157" s="151">
        <f>DataInput!BM806*BM$363</f>
        <v>0</v>
      </c>
      <c r="BN157" s="151">
        <f>DataInput!BN806*BN$363</f>
        <v>0</v>
      </c>
      <c r="BO157" s="155">
        <f ca="1">BN157*(1+BO$303/100)+SIM!W27+finsim!BN121</f>
        <v>0</v>
      </c>
      <c r="BP157" s="155">
        <f ca="1">BO157*(1+BP$303/100)+SIM!X27+finsim!BO121</f>
        <v>0</v>
      </c>
      <c r="BQ157" s="155">
        <f ca="1">BP157*(1+BQ$303/100)+SIM!Y27+finsim!BP121</f>
        <v>0</v>
      </c>
      <c r="BR157" s="155">
        <f ca="1">BQ157*(1+BR$303/100)+SIM!Z27+finsim!BQ121</f>
        <v>0</v>
      </c>
      <c r="BS157" s="155">
        <f ca="1">BR157*(1+BS$303/100)+SIM!AA27+finsim!BR121</f>
        <v>0</v>
      </c>
      <c r="BT157" s="155">
        <f ca="1">BS157*(1+BT$303/100)+SIM!AB27+finsim!BS121</f>
        <v>0</v>
      </c>
      <c r="BU157" s="155">
        <f ca="1">BT157*(1+BU$303/100)+SIM!AC27+finsim!BT121</f>
        <v>0</v>
      </c>
      <c r="BV157" s="155">
        <f ca="1">BU157*(1+BV$303/100)+SIM!AD27+finsim!BU121</f>
        <v>0</v>
      </c>
      <c r="BW157" s="155">
        <f ca="1">BV157*(1+BW$303/100)+SIM!AE27+finsim!BV121</f>
        <v>0</v>
      </c>
      <c r="BX157" s="155">
        <f ca="1">BW157*(1+BX$303/100)+SIM!AF27+finsim!BW121</f>
        <v>0</v>
      </c>
      <c r="BY157" s="155">
        <f ca="1">BX157*(1+BY$303/100)+SIM!AG27+finsim!BX121</f>
        <v>0</v>
      </c>
      <c r="BZ157" s="155">
        <f ca="1">BY157*(1+BZ$303/100)+SIM!AH27+finsim!BY121</f>
        <v>0</v>
      </c>
      <c r="CA157" s="155">
        <f ca="1">BZ157*(1+CA$303/100)+SIM!AI27+finsim!BZ121</f>
        <v>0</v>
      </c>
      <c r="CB157" s="155">
        <f ca="1">CA157*(1+CB$303/100)+SIM!AJ27+finsim!CA121</f>
        <v>0</v>
      </c>
      <c r="CC157" s="155">
        <f ca="1">CB157*(1+CC$303/100)+SIM!AK27+finsim!CB121</f>
        <v>0</v>
      </c>
      <c r="CD157" s="155">
        <f ca="1">CC157*(1+CD$303/100)+SIM!AL27+finsim!CC121</f>
        <v>0</v>
      </c>
      <c r="CE157" s="155"/>
      <c r="CF157" s="438"/>
      <c r="CG157" s="235">
        <f t="shared" si="356"/>
        <v>0</v>
      </c>
      <c r="CH157" s="235">
        <f t="shared" si="367"/>
        <v>0</v>
      </c>
      <c r="CI157" s="235" t="e">
        <f>BM157-#REF!</f>
        <v>#REF!</v>
      </c>
      <c r="CJ157" s="235">
        <f t="shared" si="336"/>
        <v>0</v>
      </c>
      <c r="CK157" s="235">
        <f t="shared" ca="1" si="337"/>
        <v>0</v>
      </c>
      <c r="CL157" s="235">
        <f t="shared" ca="1" si="338"/>
        <v>0</v>
      </c>
      <c r="CM157" s="235">
        <f t="shared" ca="1" si="339"/>
        <v>0</v>
      </c>
      <c r="CN157" s="235">
        <f t="shared" ca="1" si="340"/>
        <v>0</v>
      </c>
      <c r="CO157" s="235">
        <f t="shared" ca="1" si="341"/>
        <v>0</v>
      </c>
      <c r="CP157" s="235">
        <f t="shared" ca="1" si="342"/>
        <v>0</v>
      </c>
      <c r="CQ157" s="235">
        <f t="shared" ca="1" si="343"/>
        <v>0</v>
      </c>
      <c r="CR157" s="235">
        <f t="shared" ca="1" si="344"/>
        <v>0</v>
      </c>
      <c r="CS157" s="235">
        <f t="shared" ca="1" si="345"/>
        <v>0</v>
      </c>
      <c r="CT157" s="235">
        <f t="shared" ca="1" si="346"/>
        <v>0</v>
      </c>
      <c r="CU157" s="235">
        <f t="shared" ca="1" si="347"/>
        <v>0</v>
      </c>
      <c r="CV157" s="235">
        <f t="shared" ca="1" si="348"/>
        <v>0</v>
      </c>
      <c r="CW157" s="235">
        <f t="shared" ca="1" si="349"/>
        <v>0</v>
      </c>
      <c r="CX157" s="235">
        <f t="shared" ca="1" si="350"/>
        <v>0</v>
      </c>
      <c r="CY157" s="235">
        <f t="shared" ca="1" si="351"/>
        <v>0</v>
      </c>
      <c r="CZ157" s="235">
        <f t="shared" ca="1" si="352"/>
        <v>0</v>
      </c>
      <c r="DA157" s="38"/>
      <c r="DB157" s="236">
        <v>-1</v>
      </c>
      <c r="DC157" s="236">
        <v>0</v>
      </c>
      <c r="DD157" s="236">
        <v>0</v>
      </c>
      <c r="DE157" s="236">
        <v>0</v>
      </c>
      <c r="DF157" s="401">
        <v>0</v>
      </c>
      <c r="DG157" s="236">
        <v>0</v>
      </c>
      <c r="DH157" s="492">
        <v>0</v>
      </c>
      <c r="DI157" s="236">
        <v>0</v>
      </c>
      <c r="DJ157" s="236">
        <v>0</v>
      </c>
      <c r="DK157" s="236">
        <v>0</v>
      </c>
      <c r="DL157" s="236">
        <v>0</v>
      </c>
      <c r="DM157" s="236">
        <v>0</v>
      </c>
      <c r="DN157" s="236">
        <v>0</v>
      </c>
      <c r="DO157" s="236">
        <v>0</v>
      </c>
      <c r="DP157" s="236">
        <v>0</v>
      </c>
      <c r="DQ157" s="401">
        <v>0</v>
      </c>
      <c r="DR157" s="401">
        <v>0</v>
      </c>
      <c r="DS157" s="401">
        <v>0</v>
      </c>
      <c r="DT157" s="401">
        <v>0</v>
      </c>
      <c r="DU157" s="401">
        <v>0</v>
      </c>
      <c r="DV157" s="401">
        <v>0</v>
      </c>
      <c r="DW157" s="401">
        <v>0</v>
      </c>
      <c r="DX157" s="401">
        <v>0</v>
      </c>
      <c r="DY157" s="401">
        <v>0</v>
      </c>
      <c r="DZ157" s="401"/>
      <c r="EA157" s="989"/>
    </row>
    <row r="158" spans="1:131" s="76" customFormat="1">
      <c r="A158" s="76" t="s">
        <v>3869</v>
      </c>
      <c r="B158" s="73" t="s">
        <v>2859</v>
      </c>
      <c r="C158" s="51" t="s">
        <v>539</v>
      </c>
      <c r="D158" s="207"/>
      <c r="E158" s="207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51"/>
      <c r="AV158" s="151">
        <f>DataInput!AV807*AV$363</f>
        <v>0</v>
      </c>
      <c r="AW158" s="151">
        <f>DataInput!AW807*AW$363</f>
        <v>0</v>
      </c>
      <c r="AX158" s="151">
        <f>DataInput!AX807*AX$363</f>
        <v>0</v>
      </c>
      <c r="AY158" s="151">
        <f>DataInput!AY807*AY$363</f>
        <v>0</v>
      </c>
      <c r="AZ158" s="151">
        <f>DataInput!AZ807*AZ$363</f>
        <v>0</v>
      </c>
      <c r="BA158" s="151">
        <f>DataInput!BA807*BA$363</f>
        <v>0</v>
      </c>
      <c r="BB158" s="151">
        <f>DataInput!BB807*BB$363</f>
        <v>0</v>
      </c>
      <c r="BC158" s="151">
        <f>DataInput!BC807*BC$363</f>
        <v>0</v>
      </c>
      <c r="BD158" s="151">
        <f>DataInput!BD807*BD$363</f>
        <v>5.1945999999999994</v>
      </c>
      <c r="BE158" s="94">
        <f>BD158</f>
        <v>5.1945999999999994</v>
      </c>
      <c r="BF158" s="94">
        <f>BE158</f>
        <v>5.1945999999999994</v>
      </c>
      <c r="BG158" s="151">
        <f>DataInput!BG807*BG$363</f>
        <v>93.055499999999995</v>
      </c>
      <c r="BH158" s="155">
        <f ca="1">BG158*(1+BH$303/100)+SIM!P28</f>
        <v>104.96193412393208</v>
      </c>
      <c r="BI158" s="155">
        <f ca="1">BH158*(1+BI$303/100)+SIM!Q28</f>
        <v>105.47384304202821</v>
      </c>
      <c r="BJ158" s="155">
        <f ca="1">BI158*(1+BJ$303/100)+SIM!R28</f>
        <v>117.63328341227518</v>
      </c>
      <c r="BK158" s="155">
        <f ca="1">BJ158*(1+BK$303/100)+SIM!S28+finsim!BJ122</f>
        <v>137.15962610774631</v>
      </c>
      <c r="BL158" s="155">
        <f ca="1">BK158*(1+BL$303/100)+SIM!T28+finsim!BK122</f>
        <v>142.80927470591394</v>
      </c>
      <c r="BM158" s="155">
        <f ca="1">BL158*(1+BM$303/100)+SIM!U28+finsim!BL122</f>
        <v>145.79170345861567</v>
      </c>
      <c r="BN158" s="155">
        <f ca="1">BM158*(1+BN$303/100)+SIM!V28+finsim!BM122</f>
        <v>145.04500150815576</v>
      </c>
      <c r="BO158" s="155">
        <f ca="1">BN158*(1+BO$303/100)+SIM!W28+finsim!BN122</f>
        <v>132.86057054483524</v>
      </c>
      <c r="BP158" s="155">
        <f ca="1">BO158*(1+BP$303/100)+SIM!X28+finsim!BO122</f>
        <v>166.4062562134566</v>
      </c>
      <c r="BQ158" s="155">
        <f ca="1">BP158*(1+BQ$303/100)+SIM!Y28+finsim!BP122</f>
        <v>179.07101910116808</v>
      </c>
      <c r="BR158" s="155">
        <f ca="1">BQ158*(1+BR$303/100)+SIM!Z28+finsim!BQ122</f>
        <v>187.14285865091725</v>
      </c>
      <c r="BS158" s="155">
        <f ca="1">BR158*(1+BS$303/100)+SIM!AA28+finsim!BR122</f>
        <v>193.09752793634939</v>
      </c>
      <c r="BT158" s="155">
        <f ca="1">BS158*(1+BT$303/100)+SIM!AB28+finsim!BS122</f>
        <v>201.17130959900993</v>
      </c>
      <c r="BU158" s="155">
        <f ca="1">BT158*(1+BU$303/100)+SIM!AC28+finsim!BT122</f>
        <v>209.73255114839691</v>
      </c>
      <c r="BV158" s="155">
        <f ca="1">BU158*(1+BV$303/100)+SIM!AD28+finsim!BU122</f>
        <v>218.68763091847558</v>
      </c>
      <c r="BW158" s="155">
        <f ca="1">BV158*(1+BW$303/100)+SIM!AE28+finsim!BV122</f>
        <v>228.05173255590609</v>
      </c>
      <c r="BX158" s="155">
        <f ca="1">BW158*(1+BX$303/100)+SIM!AF28+finsim!BW122</f>
        <v>237.8014463722609</v>
      </c>
      <c r="BY158" s="155">
        <f ca="1">BX158*(1+BY$303/100)+SIM!AG28+finsim!BX122</f>
        <v>247.94672803520064</v>
      </c>
      <c r="BZ158" s="155">
        <f ca="1">BY158*(1+BZ$303/100)+SIM!AH28+finsim!BY122</f>
        <v>258.50653714115026</v>
      </c>
      <c r="CA158" s="155">
        <f ca="1">BZ158*(1+CA$303/100)+SIM!AI28+finsim!BZ122</f>
        <v>269.51953478812669</v>
      </c>
      <c r="CB158" s="155">
        <f ca="1">CA158*(1+CB$303/100)+SIM!AJ28+finsim!CA122</f>
        <v>281.01477946064227</v>
      </c>
      <c r="CC158" s="155">
        <f ca="1">CB158*(1+CC$303/100)+SIM!AK28+finsim!CB122</f>
        <v>292.99245851944215</v>
      </c>
      <c r="CD158" s="155">
        <f ca="1">CC158*(1+CD$303/100)+SIM!AL28+finsim!CC122</f>
        <v>305.47327122041708</v>
      </c>
      <c r="CE158" s="155"/>
      <c r="CF158" s="438"/>
      <c r="CG158" s="235">
        <f t="shared" ca="1" si="356"/>
        <v>0.10488169329721586</v>
      </c>
      <c r="CH158" s="235">
        <f t="shared" ca="1" si="367"/>
        <v>0.80259443527717167</v>
      </c>
      <c r="CI158" s="235" t="e">
        <f ca="1">BM158-#REF!</f>
        <v>#REF!</v>
      </c>
      <c r="CJ158" s="235">
        <f t="shared" ca="1" si="336"/>
        <v>0</v>
      </c>
      <c r="CK158" s="235">
        <f t="shared" ca="1" si="337"/>
        <v>0</v>
      </c>
      <c r="CL158" s="235">
        <f t="shared" ca="1" si="338"/>
        <v>0</v>
      </c>
      <c r="CM158" s="235">
        <f t="shared" ca="1" si="339"/>
        <v>0</v>
      </c>
      <c r="CN158" s="235">
        <f t="shared" ca="1" si="340"/>
        <v>0</v>
      </c>
      <c r="CO158" s="235">
        <f t="shared" ca="1" si="341"/>
        <v>0</v>
      </c>
      <c r="CP158" s="235">
        <f t="shared" ca="1" si="342"/>
        <v>0</v>
      </c>
      <c r="CQ158" s="235">
        <f t="shared" ca="1" si="343"/>
        <v>0</v>
      </c>
      <c r="CR158" s="235">
        <f t="shared" ca="1" si="344"/>
        <v>0</v>
      </c>
      <c r="CS158" s="235">
        <f t="shared" ca="1" si="345"/>
        <v>0</v>
      </c>
      <c r="CT158" s="235">
        <f t="shared" ca="1" si="346"/>
        <v>0</v>
      </c>
      <c r="CU158" s="235">
        <f t="shared" ca="1" si="347"/>
        <v>0</v>
      </c>
      <c r="CV158" s="235">
        <f t="shared" ca="1" si="348"/>
        <v>0</v>
      </c>
      <c r="CW158" s="235">
        <f t="shared" ca="1" si="349"/>
        <v>0</v>
      </c>
      <c r="CX158" s="235">
        <f t="shared" ca="1" si="350"/>
        <v>2.1032064978498966E-12</v>
      </c>
      <c r="CY158" s="235">
        <f t="shared" ca="1" si="351"/>
        <v>2.0065726857865229E-11</v>
      </c>
      <c r="CZ158" s="235">
        <f t="shared" ca="1" si="352"/>
        <v>1.5904788597254083E-10</v>
      </c>
      <c r="DA158" s="38"/>
      <c r="DB158" s="236">
        <v>4.1946000000000003</v>
      </c>
      <c r="DC158" s="236">
        <v>5.1945999999999994</v>
      </c>
      <c r="DD158" s="236">
        <v>93.055499999999995</v>
      </c>
      <c r="DE158" s="236">
        <v>107.61005724085162</v>
      </c>
      <c r="DF158" s="236">
        <v>106.76253735266732</v>
      </c>
      <c r="DG158" s="236">
        <v>137.05474441444909</v>
      </c>
      <c r="DH158" s="492">
        <v>142.00668027063676</v>
      </c>
      <c r="DI158" s="236">
        <v>145.04500150815579</v>
      </c>
      <c r="DJ158" s="236">
        <v>132.86057054483527</v>
      </c>
      <c r="DK158" s="236">
        <v>166.40625621345663</v>
      </c>
      <c r="DL158" s="236">
        <v>179.07101910116813</v>
      </c>
      <c r="DM158" s="236">
        <v>187.1428586509173</v>
      </c>
      <c r="DN158" s="236">
        <v>193.09752793634945</v>
      </c>
      <c r="DO158" s="236">
        <v>201.17130959900996</v>
      </c>
      <c r="DP158" s="236">
        <v>209.73255114839694</v>
      </c>
      <c r="DQ158" s="401">
        <v>218.68763091847561</v>
      </c>
      <c r="DR158" s="401">
        <v>228.05173255590611</v>
      </c>
      <c r="DS158" s="401">
        <v>237.80144637226093</v>
      </c>
      <c r="DT158" s="401">
        <v>247.94672803520061</v>
      </c>
      <c r="DU158" s="401">
        <v>258.5065371411502</v>
      </c>
      <c r="DV158" s="401">
        <v>269.51953478812652</v>
      </c>
      <c r="DW158" s="401">
        <v>281.01477946064017</v>
      </c>
      <c r="DX158" s="401">
        <v>292.99245851942209</v>
      </c>
      <c r="DY158" s="401">
        <v>305.47327122025803</v>
      </c>
      <c r="DZ158" s="401"/>
      <c r="EA158" s="989"/>
    </row>
    <row r="159" spans="1:131" s="76" customFormat="1">
      <c r="A159" s="76" t="s">
        <v>3870</v>
      </c>
      <c r="B159" s="87" t="s">
        <v>638</v>
      </c>
      <c r="C159" s="51"/>
      <c r="D159" s="207"/>
      <c r="E159" s="207"/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51"/>
      <c r="AV159" s="151">
        <f>DataInput!AV808*AV$363</f>
        <v>0</v>
      </c>
      <c r="AW159" s="151">
        <f>DataInput!AW808*AW$363</f>
        <v>0</v>
      </c>
      <c r="AX159" s="151">
        <f>DataInput!AX808*AX$363</f>
        <v>0</v>
      </c>
      <c r="AY159" s="151">
        <f>DataInput!AY808*AY$363</f>
        <v>0</v>
      </c>
      <c r="AZ159" s="151">
        <f>DataInput!AZ808*AZ$363</f>
        <v>0</v>
      </c>
      <c r="BA159" s="151">
        <f>DataInput!BA808*BA$363</f>
        <v>0</v>
      </c>
      <c r="BB159" s="151">
        <f>DataInput!BB808*BB$363</f>
        <v>0</v>
      </c>
      <c r="BC159" s="151">
        <f>DataInput!BC808*BC$363</f>
        <v>0</v>
      </c>
      <c r="BD159" s="151">
        <f>DataInput!BD808*BD$363</f>
        <v>0</v>
      </c>
      <c r="BE159" s="151">
        <f>DataInput!BE808*BE$363</f>
        <v>0</v>
      </c>
      <c r="BF159" s="151">
        <f>DataInput!BF808*BF$363</f>
        <v>0</v>
      </c>
      <c r="BG159" s="151">
        <f>DataInput!BG808*BG$363</f>
        <v>0</v>
      </c>
      <c r="BH159" s="151">
        <f>DataInput!BH808*BH$363</f>
        <v>0</v>
      </c>
      <c r="BI159" s="151">
        <f>DataInput!BI808*BI$363</f>
        <v>0</v>
      </c>
      <c r="BJ159" s="151">
        <f>DataInput!BJ808*BJ$363</f>
        <v>0</v>
      </c>
      <c r="BK159" s="151">
        <f>DataInput!BK808*BK$363</f>
        <v>0</v>
      </c>
      <c r="BL159" s="151">
        <f>DataInput!BL808*BL$363</f>
        <v>0</v>
      </c>
      <c r="BM159" s="151">
        <f>DataInput!BM808*BM$363</f>
        <v>0</v>
      </c>
      <c r="BN159" s="151">
        <f>DataInput!BN808*BN$363</f>
        <v>0</v>
      </c>
      <c r="BO159" s="155">
        <f ca="1">BN159*(1+BO$303/100)+SIM!W29+finsim!BN123</f>
        <v>0</v>
      </c>
      <c r="BP159" s="155">
        <f ca="1">BO159*(1+BP$303/100)+SIM!X29+finsim!BO123</f>
        <v>0</v>
      </c>
      <c r="BQ159" s="155">
        <f ca="1">BP159*(1+BQ$303/100)+SIM!Y29+finsim!BP123</f>
        <v>0</v>
      </c>
      <c r="BR159" s="155">
        <f ca="1">BQ159*(1+BR$303/100)+SIM!Z29+finsim!BQ123</f>
        <v>0</v>
      </c>
      <c r="BS159" s="155">
        <f ca="1">BR159*(1+BS$303/100)+SIM!AA29+finsim!BR123</f>
        <v>0</v>
      </c>
      <c r="BT159" s="155">
        <f ca="1">BS159*(1+BT$303/100)+SIM!AB29+finsim!BS123</f>
        <v>0</v>
      </c>
      <c r="BU159" s="155">
        <f ca="1">BT159*(1+BU$303/100)+SIM!AC29+finsim!BT123</f>
        <v>0</v>
      </c>
      <c r="BV159" s="155">
        <f ca="1">BU159*(1+BV$303/100)+SIM!AD29+finsim!BU123</f>
        <v>0</v>
      </c>
      <c r="BW159" s="155">
        <f ca="1">BV159*(1+BW$303/100)+SIM!AE29+finsim!BV123</f>
        <v>0</v>
      </c>
      <c r="BX159" s="155">
        <f ca="1">BW159*(1+BX$303/100)+SIM!AF29+finsim!BW123</f>
        <v>0</v>
      </c>
      <c r="BY159" s="155">
        <f ca="1">BX159*(1+BY$303/100)+SIM!AG29+finsim!BX123</f>
        <v>0</v>
      </c>
      <c r="BZ159" s="155">
        <f ca="1">BY159*(1+BZ$303/100)+SIM!AH29+finsim!BY123</f>
        <v>0</v>
      </c>
      <c r="CA159" s="155">
        <f ca="1">BZ159*(1+CA$303/100)+SIM!AI29+finsim!BZ123</f>
        <v>0</v>
      </c>
      <c r="CB159" s="155">
        <f ca="1">CA159*(1+CB$303/100)+SIM!AJ29+finsim!CA123</f>
        <v>0</v>
      </c>
      <c r="CC159" s="155">
        <f ca="1">CB159*(1+CC$303/100)+SIM!AK29+finsim!CB123</f>
        <v>0</v>
      </c>
      <c r="CD159" s="155">
        <f ca="1">CC159*(1+CD$303/100)+SIM!AL29+finsim!CC123</f>
        <v>0</v>
      </c>
      <c r="CE159" s="155"/>
      <c r="CF159" s="438"/>
      <c r="CG159" s="235">
        <f t="shared" si="356"/>
        <v>0</v>
      </c>
      <c r="CH159" s="235">
        <f t="shared" si="367"/>
        <v>0</v>
      </c>
      <c r="CI159" s="235" t="e">
        <f>BM159-#REF!</f>
        <v>#REF!</v>
      </c>
      <c r="CJ159" s="235">
        <f t="shared" si="336"/>
        <v>0</v>
      </c>
      <c r="CK159" s="235">
        <f t="shared" ca="1" si="337"/>
        <v>0</v>
      </c>
      <c r="CL159" s="235">
        <f t="shared" ca="1" si="338"/>
        <v>0</v>
      </c>
      <c r="CM159" s="235">
        <f t="shared" ca="1" si="339"/>
        <v>0</v>
      </c>
      <c r="CN159" s="235">
        <f t="shared" ca="1" si="340"/>
        <v>0</v>
      </c>
      <c r="CO159" s="235">
        <f t="shared" ca="1" si="341"/>
        <v>0</v>
      </c>
      <c r="CP159" s="235">
        <f t="shared" ca="1" si="342"/>
        <v>0</v>
      </c>
      <c r="CQ159" s="235">
        <f t="shared" ca="1" si="343"/>
        <v>0</v>
      </c>
      <c r="CR159" s="235">
        <f t="shared" ca="1" si="344"/>
        <v>0</v>
      </c>
      <c r="CS159" s="235">
        <f t="shared" ca="1" si="345"/>
        <v>0</v>
      </c>
      <c r="CT159" s="235">
        <f t="shared" ca="1" si="346"/>
        <v>0</v>
      </c>
      <c r="CU159" s="235">
        <f t="shared" ca="1" si="347"/>
        <v>0</v>
      </c>
      <c r="CV159" s="235">
        <f t="shared" ca="1" si="348"/>
        <v>0</v>
      </c>
      <c r="CW159" s="235">
        <f t="shared" ca="1" si="349"/>
        <v>0</v>
      </c>
      <c r="CX159" s="235">
        <f t="shared" ca="1" si="350"/>
        <v>0</v>
      </c>
      <c r="CY159" s="235">
        <f t="shared" ca="1" si="351"/>
        <v>0</v>
      </c>
      <c r="CZ159" s="235">
        <f t="shared" ca="1" si="352"/>
        <v>0</v>
      </c>
      <c r="DA159" s="38"/>
      <c r="DB159" s="236">
        <v>-1</v>
      </c>
      <c r="DC159" s="236">
        <v>0</v>
      </c>
      <c r="DD159" s="236">
        <v>0</v>
      </c>
      <c r="DE159" s="236">
        <v>0</v>
      </c>
      <c r="DF159" s="401">
        <v>0</v>
      </c>
      <c r="DG159" s="236">
        <v>0</v>
      </c>
      <c r="DH159" s="492">
        <v>0</v>
      </c>
      <c r="DI159" s="236">
        <v>0</v>
      </c>
      <c r="DJ159" s="236">
        <v>0</v>
      </c>
      <c r="DK159" s="236">
        <v>0</v>
      </c>
      <c r="DL159" s="236">
        <v>0</v>
      </c>
      <c r="DM159" s="236">
        <v>0</v>
      </c>
      <c r="DN159" s="236">
        <v>0</v>
      </c>
      <c r="DO159" s="236">
        <v>0</v>
      </c>
      <c r="DP159" s="236">
        <v>0</v>
      </c>
      <c r="DQ159" s="401">
        <v>0</v>
      </c>
      <c r="DR159" s="401">
        <v>0</v>
      </c>
      <c r="DS159" s="401">
        <v>0</v>
      </c>
      <c r="DT159" s="401">
        <v>0</v>
      </c>
      <c r="DU159" s="401">
        <v>0</v>
      </c>
      <c r="DV159" s="401">
        <v>0</v>
      </c>
      <c r="DW159" s="401">
        <v>0</v>
      </c>
      <c r="DX159" s="401">
        <v>0</v>
      </c>
      <c r="DY159" s="401">
        <v>0</v>
      </c>
      <c r="DZ159" s="401"/>
      <c r="EA159" s="989"/>
    </row>
    <row r="160" spans="1:131" s="76" customFormat="1">
      <c r="A160" s="91" t="s">
        <v>2818</v>
      </c>
      <c r="B160" s="91" t="s">
        <v>4106</v>
      </c>
      <c r="C160" s="51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51"/>
      <c r="BA160" s="80"/>
      <c r="BB160" s="80"/>
      <c r="BC160" s="80"/>
      <c r="BD160" s="80"/>
      <c r="BE160" s="80"/>
      <c r="BF160" s="80"/>
      <c r="BG160" s="34"/>
      <c r="BH160" s="80"/>
      <c r="BI160" s="80" t="s">
        <v>2219</v>
      </c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80"/>
      <c r="CB160" s="80"/>
      <c r="CC160" s="80"/>
      <c r="CD160" s="80"/>
      <c r="CE160" s="80"/>
      <c r="CF160" s="435"/>
      <c r="CG160" s="235">
        <f t="shared" si="356"/>
        <v>0</v>
      </c>
      <c r="CH160" s="235">
        <f t="shared" si="367"/>
        <v>0</v>
      </c>
      <c r="CI160" s="235" t="e">
        <f>BM160-#REF!</f>
        <v>#REF!</v>
      </c>
      <c r="CJ160" s="235">
        <f t="shared" si="336"/>
        <v>0</v>
      </c>
      <c r="CK160" s="235">
        <f t="shared" si="337"/>
        <v>0</v>
      </c>
      <c r="CL160" s="235">
        <f t="shared" si="338"/>
        <v>0</v>
      </c>
      <c r="CM160" s="235">
        <f t="shared" si="339"/>
        <v>0</v>
      </c>
      <c r="CN160" s="235">
        <f t="shared" si="340"/>
        <v>0</v>
      </c>
      <c r="CO160" s="235">
        <f t="shared" si="341"/>
        <v>0</v>
      </c>
      <c r="CP160" s="235">
        <f t="shared" si="342"/>
        <v>0</v>
      </c>
      <c r="CQ160" s="235">
        <f t="shared" si="343"/>
        <v>0</v>
      </c>
      <c r="CR160" s="235">
        <f t="shared" si="344"/>
        <v>0</v>
      </c>
      <c r="CS160" s="235">
        <f t="shared" si="345"/>
        <v>0</v>
      </c>
      <c r="CT160" s="235">
        <f t="shared" si="346"/>
        <v>0</v>
      </c>
      <c r="CU160" s="235">
        <f t="shared" si="347"/>
        <v>0</v>
      </c>
      <c r="CV160" s="235">
        <f t="shared" si="348"/>
        <v>0</v>
      </c>
      <c r="CW160" s="235">
        <f t="shared" si="349"/>
        <v>0</v>
      </c>
      <c r="CX160" s="235">
        <f t="shared" si="350"/>
        <v>0</v>
      </c>
      <c r="CY160" s="235">
        <f t="shared" si="351"/>
        <v>0</v>
      </c>
      <c r="CZ160" s="235">
        <f t="shared" si="352"/>
        <v>0</v>
      </c>
      <c r="DA160" s="38"/>
      <c r="DB160" s="236"/>
      <c r="DC160" s="236"/>
      <c r="DD160" s="236"/>
      <c r="DE160" s="236"/>
      <c r="DF160" s="401" t="s">
        <v>2219</v>
      </c>
      <c r="DG160" s="236"/>
      <c r="DH160" s="492"/>
      <c r="DI160" s="236"/>
      <c r="DJ160" s="236"/>
      <c r="DK160" s="236"/>
      <c r="DL160" s="236"/>
      <c r="DM160" s="236"/>
      <c r="DN160" s="236"/>
      <c r="DO160" s="236"/>
      <c r="DP160" s="236"/>
      <c r="DQ160" s="401"/>
      <c r="DR160" s="401"/>
      <c r="DS160" s="401"/>
      <c r="DT160" s="401"/>
      <c r="DU160" s="401"/>
      <c r="DV160" s="401"/>
      <c r="DW160" s="401"/>
      <c r="DX160" s="401"/>
      <c r="DY160" s="401"/>
      <c r="DZ160" s="401"/>
      <c r="EA160" s="989"/>
    </row>
    <row r="161" spans="1:131" s="158" customFormat="1">
      <c r="A161" s="156" t="s">
        <v>2819</v>
      </c>
      <c r="B161" s="156" t="s">
        <v>2549</v>
      </c>
      <c r="C161" s="157"/>
      <c r="D161" s="215"/>
      <c r="E161" s="215"/>
      <c r="F161" s="98">
        <f t="shared" ref="F161:AU161" si="381">F80</f>
        <v>0</v>
      </c>
      <c r="G161" s="98">
        <f t="shared" si="381"/>
        <v>0</v>
      </c>
      <c r="H161" s="98">
        <f t="shared" si="381"/>
        <v>0</v>
      </c>
      <c r="I161" s="98">
        <f t="shared" si="381"/>
        <v>0</v>
      </c>
      <c r="J161" s="98">
        <f t="shared" si="381"/>
        <v>0</v>
      </c>
      <c r="K161" s="98">
        <f t="shared" si="381"/>
        <v>0</v>
      </c>
      <c r="L161" s="98">
        <f t="shared" si="381"/>
        <v>0</v>
      </c>
      <c r="M161" s="98">
        <f t="shared" si="381"/>
        <v>0</v>
      </c>
      <c r="N161" s="98">
        <f t="shared" si="381"/>
        <v>0</v>
      </c>
      <c r="O161" s="98">
        <f t="shared" si="381"/>
        <v>0</v>
      </c>
      <c r="P161" s="98">
        <f t="shared" si="381"/>
        <v>0</v>
      </c>
      <c r="Q161" s="98">
        <f t="shared" si="381"/>
        <v>6.1999999999999998E-3</v>
      </c>
      <c r="R161" s="98">
        <f t="shared" si="381"/>
        <v>3.6799999999999999E-2</v>
      </c>
      <c r="S161" s="98">
        <f t="shared" si="381"/>
        <v>7.1900000000000006E-2</v>
      </c>
      <c r="T161" s="98">
        <f t="shared" si="381"/>
        <v>7.6499999999999999E-2</v>
      </c>
      <c r="U161" s="98">
        <f t="shared" si="381"/>
        <v>9.4099999999999989E-2</v>
      </c>
      <c r="V161" s="98">
        <f t="shared" si="381"/>
        <v>0.10629999999999999</v>
      </c>
      <c r="W161" s="98">
        <f t="shared" si="381"/>
        <v>0.13830000000000001</v>
      </c>
      <c r="X161" s="98">
        <f t="shared" si="381"/>
        <v>0.14780000000000001</v>
      </c>
      <c r="Y161" s="98">
        <f t="shared" si="381"/>
        <v>0.14360000000000001</v>
      </c>
      <c r="Z161" s="98">
        <f t="shared" si="381"/>
        <v>0.1794</v>
      </c>
      <c r="AA161" s="98">
        <f t="shared" si="381"/>
        <v>0.22600000000000001</v>
      </c>
      <c r="AB161" s="98">
        <f t="shared" si="381"/>
        <v>0.24990000000000001</v>
      </c>
      <c r="AC161" s="98">
        <f t="shared" si="381"/>
        <v>0.27129999999999999</v>
      </c>
      <c r="AD161" s="98">
        <f t="shared" si="381"/>
        <v>0.31410000000000005</v>
      </c>
      <c r="AE161" s="98">
        <f t="shared" si="381"/>
        <v>0.3584</v>
      </c>
      <c r="AF161" s="98">
        <f t="shared" si="381"/>
        <v>0.49880000000000002</v>
      </c>
      <c r="AG161" s="98">
        <f t="shared" si="381"/>
        <v>0.47240024999999991</v>
      </c>
      <c r="AH161" s="98">
        <f t="shared" si="381"/>
        <v>0.41440559999999999</v>
      </c>
      <c r="AI161" s="98">
        <f t="shared" si="381"/>
        <v>0.38730000000000003</v>
      </c>
      <c r="AJ161" s="98">
        <f t="shared" si="381"/>
        <v>0.35470000000000002</v>
      </c>
      <c r="AK161" s="98">
        <f t="shared" si="381"/>
        <v>0.30989999999999995</v>
      </c>
      <c r="AL161" s="98">
        <f t="shared" si="381"/>
        <v>0.314</v>
      </c>
      <c r="AM161" s="98">
        <f t="shared" si="381"/>
        <v>0.34470000000000001</v>
      </c>
      <c r="AN161" s="98">
        <f t="shared" si="381"/>
        <v>0.5171</v>
      </c>
      <c r="AO161" s="98">
        <f t="shared" si="381"/>
        <v>0.78049999999999997</v>
      </c>
      <c r="AP161" s="98">
        <f t="shared" si="381"/>
        <v>0.62409999999999999</v>
      </c>
      <c r="AQ161" s="98">
        <f t="shared" si="381"/>
        <v>0.45239999999999997</v>
      </c>
      <c r="AR161" s="98">
        <f t="shared" si="381"/>
        <v>0.43219999999999997</v>
      </c>
      <c r="AS161" s="98">
        <f t="shared" si="381"/>
        <v>1.7018</v>
      </c>
      <c r="AT161" s="98">
        <f t="shared" si="381"/>
        <v>42.370100000000001</v>
      </c>
      <c r="AU161" s="98">
        <f t="shared" si="381"/>
        <v>136.83244999999999</v>
      </c>
      <c r="AV161" s="98">
        <f t="shared" ref="AV161:BJ161" si="382">AV80</f>
        <v>123.44474335199997</v>
      </c>
      <c r="AW161" s="98">
        <f t="shared" si="382"/>
        <v>125.63022834</v>
      </c>
      <c r="AX161" s="98">
        <f t="shared" si="382"/>
        <v>119.54379420000002</v>
      </c>
      <c r="AY161" s="98">
        <f t="shared" si="382"/>
        <v>255.44231926639995</v>
      </c>
      <c r="AZ161" s="98">
        <f t="shared" si="382"/>
        <v>453.33475409654977</v>
      </c>
      <c r="BA161" s="98">
        <f t="shared" si="382"/>
        <v>719.58963719499968</v>
      </c>
      <c r="BB161" s="98">
        <f t="shared" si="382"/>
        <v>674.6622866470999</v>
      </c>
      <c r="BC161" s="98">
        <f t="shared" si="382"/>
        <v>873.94746125439974</v>
      </c>
      <c r="BD161" s="98">
        <f t="shared" si="382"/>
        <v>1132.0375793999997</v>
      </c>
      <c r="BE161" s="98">
        <f t="shared" si="382"/>
        <v>1224.5496899999994</v>
      </c>
      <c r="BF161" s="98">
        <f t="shared" si="382"/>
        <v>1761.8107249449995</v>
      </c>
      <c r="BG161" s="98">
        <f t="shared" si="382"/>
        <v>1928.5538951249996</v>
      </c>
      <c r="BH161" s="98">
        <f t="shared" si="382"/>
        <v>1959.6614511599992</v>
      </c>
      <c r="BI161" s="98">
        <f t="shared" si="382"/>
        <v>919.34747099999947</v>
      </c>
      <c r="BJ161" s="98">
        <f t="shared" si="382"/>
        <v>1311.3850478087641</v>
      </c>
      <c r="BK161" s="98">
        <f t="shared" ref="BK161:BQ161" si="383">BK80</f>
        <v>1597.1139343899988</v>
      </c>
      <c r="BL161" s="98">
        <f t="shared" si="383"/>
        <v>1203.8407474499993</v>
      </c>
      <c r="BM161" s="98">
        <f t="shared" si="383"/>
        <v>1156.5331663499994</v>
      </c>
      <c r="BN161" s="98">
        <f t="shared" si="383"/>
        <v>1250.4787992249992</v>
      </c>
      <c r="BO161" s="98">
        <f t="shared" si="383"/>
        <v>837.80026887126007</v>
      </c>
      <c r="BP161" s="98">
        <f t="shared" si="383"/>
        <v>1.050404810275832E-5</v>
      </c>
      <c r="BQ161" s="98">
        <f t="shared" si="383"/>
        <v>1.0819169545841069E-5</v>
      </c>
      <c r="BR161" s="98">
        <f>BR80</f>
        <v>1.1143744632216302E-5</v>
      </c>
      <c r="BS161" s="98">
        <f>BS80</f>
        <v>1.1478056971182789E-5</v>
      </c>
      <c r="BT161" s="98">
        <f>BT80</f>
        <v>1.1822398680318274E-5</v>
      </c>
      <c r="BU161" s="98">
        <f>BU80</f>
        <v>1.2177070640727821E-5</v>
      </c>
      <c r="BV161" s="98">
        <f>BV80</f>
        <v>1.2542382759949657E-5</v>
      </c>
      <c r="BW161" s="98">
        <f t="shared" ref="BW161:BX161" si="384">BW80</f>
        <v>1.2918654242748146E-5</v>
      </c>
      <c r="BX161" s="98">
        <f t="shared" si="384"/>
        <v>1.330621387003059E-5</v>
      </c>
      <c r="BY161" s="98">
        <f t="shared" ref="BY161:CD161" si="385">BY80</f>
        <v>1.370540028613151E-5</v>
      </c>
      <c r="BZ161" s="98">
        <f t="shared" si="385"/>
        <v>1.4116562294715457E-5</v>
      </c>
      <c r="CA161" s="98">
        <f t="shared" si="385"/>
        <v>1.454005916355692E-5</v>
      </c>
      <c r="CB161" s="98">
        <f t="shared" si="385"/>
        <v>1.4976260938463628E-5</v>
      </c>
      <c r="CC161" s="98">
        <f t="shared" si="385"/>
        <v>1.5425548766617538E-5</v>
      </c>
      <c r="CD161" s="98">
        <f t="shared" si="385"/>
        <v>1.5888315229616066E-5</v>
      </c>
      <c r="CE161" s="98"/>
      <c r="CF161" s="435"/>
      <c r="CG161" s="235">
        <f t="shared" si="356"/>
        <v>27.311138187504184</v>
      </c>
      <c r="CH161" s="235">
        <f t="shared" si="367"/>
        <v>0</v>
      </c>
      <c r="CI161" s="235" t="e">
        <f>BM161-#REF!</f>
        <v>#REF!</v>
      </c>
      <c r="CJ161" s="235">
        <f t="shared" si="336"/>
        <v>0</v>
      </c>
      <c r="CK161" s="235">
        <f t="shared" si="337"/>
        <v>0</v>
      </c>
      <c r="CL161" s="235">
        <f t="shared" si="338"/>
        <v>0</v>
      </c>
      <c r="CM161" s="235">
        <f t="shared" si="339"/>
        <v>0</v>
      </c>
      <c r="CN161" s="235">
        <f t="shared" si="340"/>
        <v>0</v>
      </c>
      <c r="CO161" s="235">
        <f t="shared" si="341"/>
        <v>0</v>
      </c>
      <c r="CP161" s="235">
        <f t="shared" si="342"/>
        <v>0</v>
      </c>
      <c r="CQ161" s="235">
        <f t="shared" si="343"/>
        <v>0</v>
      </c>
      <c r="CR161" s="235">
        <f t="shared" si="344"/>
        <v>0</v>
      </c>
      <c r="CS161" s="235">
        <f t="shared" si="345"/>
        <v>0</v>
      </c>
      <c r="CT161" s="235">
        <f t="shared" si="346"/>
        <v>0</v>
      </c>
      <c r="CU161" s="235">
        <f t="shared" si="347"/>
        <v>0</v>
      </c>
      <c r="CV161" s="235">
        <f t="shared" si="348"/>
        <v>0</v>
      </c>
      <c r="CW161" s="235">
        <f t="shared" si="349"/>
        <v>0</v>
      </c>
      <c r="CX161" s="235">
        <f t="shared" si="350"/>
        <v>0</v>
      </c>
      <c r="CY161" s="235">
        <f t="shared" si="351"/>
        <v>0</v>
      </c>
      <c r="CZ161" s="235">
        <f t="shared" si="352"/>
        <v>0</v>
      </c>
      <c r="DA161" s="38"/>
      <c r="DB161" s="236">
        <v>1767.7529592585199</v>
      </c>
      <c r="DC161" s="236">
        <v>1768.7529592585242</v>
      </c>
      <c r="DD161" s="236">
        <v>1924.7561274545997</v>
      </c>
      <c r="DE161" s="236">
        <v>1959.6614511599992</v>
      </c>
      <c r="DF161" s="401">
        <v>919.34747099999947</v>
      </c>
      <c r="DG161" s="236">
        <v>1569.8027962024946</v>
      </c>
      <c r="DH161" s="492">
        <v>1203.8407474499993</v>
      </c>
      <c r="DI161" s="236">
        <v>1250.4787992249992</v>
      </c>
      <c r="DJ161" s="236">
        <v>837.80026887126007</v>
      </c>
      <c r="DK161" s="236">
        <v>1.050404810275832E-5</v>
      </c>
      <c r="DL161" s="236">
        <v>1.0819169545841069E-5</v>
      </c>
      <c r="DM161" s="236">
        <v>1.1143744632216302E-5</v>
      </c>
      <c r="DN161" s="236">
        <v>1.1478056971182789E-5</v>
      </c>
      <c r="DO161" s="236">
        <v>1.1822398680318274E-5</v>
      </c>
      <c r="DP161" s="236">
        <v>1.2177070640727821E-5</v>
      </c>
      <c r="DQ161" s="401">
        <v>1.2542382759949657E-5</v>
      </c>
      <c r="DR161" s="401">
        <v>1.2918654242748146E-5</v>
      </c>
      <c r="DS161" s="401">
        <v>1.330621387003059E-5</v>
      </c>
      <c r="DT161" s="401">
        <v>1.370540028613151E-5</v>
      </c>
      <c r="DU161" s="401">
        <v>1.4116562294715457E-5</v>
      </c>
      <c r="DV161" s="401">
        <v>1.454005916355692E-5</v>
      </c>
      <c r="DW161" s="401">
        <v>1.4976260938463628E-5</v>
      </c>
      <c r="DX161" s="401">
        <v>1.5425548766617538E-5</v>
      </c>
      <c r="DY161" s="401">
        <v>1.5888315229616066E-5</v>
      </c>
      <c r="DZ161" s="401"/>
      <c r="EA161" s="989"/>
    </row>
    <row r="162" spans="1:131" s="158" customFormat="1">
      <c r="A162" s="87" t="s">
        <v>2820</v>
      </c>
      <c r="B162" s="87" t="s">
        <v>2573</v>
      </c>
      <c r="C162" s="351" t="s">
        <v>3730</v>
      </c>
      <c r="D162" s="207"/>
      <c r="E162" s="207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51"/>
      <c r="AV162" s="76"/>
      <c r="AW162" s="76"/>
      <c r="AX162" s="76"/>
      <c r="AY162" s="76"/>
      <c r="AZ162" s="11">
        <f>DataInput!AZ703*AZ363</f>
        <v>97.74904699999999</v>
      </c>
      <c r="BA162" s="11">
        <f>DataInput!BA703*BA363</f>
        <v>147.48445000000001</v>
      </c>
      <c r="BB162" s="11">
        <f>DataInput!BB703*BB363</f>
        <v>159.86112150000002</v>
      </c>
      <c r="BC162" s="11">
        <f>DataInput!BC703*BC363</f>
        <v>174.16277700000001</v>
      </c>
      <c r="BD162" s="11">
        <f>DataInput!BD703*BD363</f>
        <v>169.50800000000001</v>
      </c>
      <c r="BE162" s="11">
        <f>DataInput!BE703*BE363</f>
        <v>122.85</v>
      </c>
      <c r="BF162" s="11">
        <f>DataInput!BF703*BF363</f>
        <v>218.02875</v>
      </c>
      <c r="BG162" s="11">
        <f>DataInput!BG703*BG363</f>
        <v>126.81900000000002</v>
      </c>
      <c r="BH162" s="11">
        <f>DataInput!BH703*BH363</f>
        <v>59.841000000000001</v>
      </c>
      <c r="BI162" s="11">
        <f>DataInput!BI703*BI363</f>
        <v>71.25</v>
      </c>
      <c r="BJ162" s="11">
        <f>DataInput!BJ703*BJ363</f>
        <v>397.71999999999997</v>
      </c>
      <c r="BK162" s="11">
        <f>DataInput!BK703*BK363</f>
        <v>0</v>
      </c>
      <c r="BL162" s="11">
        <f>DataInput!BL703*BL363</f>
        <v>0</v>
      </c>
      <c r="BM162" s="11">
        <f>DataInput!BM703*BM363</f>
        <v>0</v>
      </c>
      <c r="BN162" s="11">
        <f>DataInput!BN703*BN363</f>
        <v>0</v>
      </c>
      <c r="BO162" s="96">
        <f t="shared" ref="BO162:BU162" si="386">IF(((1-0.32)*(BO80-BO165))&gt;0,((1-0.32)*(BO80-BO165)),0)</f>
        <v>0</v>
      </c>
      <c r="BP162" s="96">
        <f t="shared" si="386"/>
        <v>0</v>
      </c>
      <c r="BQ162" s="96">
        <f t="shared" si="386"/>
        <v>0</v>
      </c>
      <c r="BR162" s="96">
        <f t="shared" si="386"/>
        <v>0</v>
      </c>
      <c r="BS162" s="96">
        <f t="shared" si="386"/>
        <v>0</v>
      </c>
      <c r="BT162" s="96">
        <f t="shared" si="386"/>
        <v>0</v>
      </c>
      <c r="BU162" s="96">
        <f t="shared" si="386"/>
        <v>0</v>
      </c>
      <c r="BV162" s="96">
        <f>IF(((1-0.32)*(BV80-BV165))&gt;0,((1-0.32)*(BV80-BV165)),0)</f>
        <v>0</v>
      </c>
      <c r="BW162" s="96">
        <f t="shared" ref="BW162:BX162" si="387">IF(((1-0.32)*(BW80-BW165))&gt;0,((1-0.32)*(BW80-BW165)),0)</f>
        <v>0</v>
      </c>
      <c r="BX162" s="96">
        <f t="shared" si="387"/>
        <v>0</v>
      </c>
      <c r="BY162" s="96">
        <f t="shared" ref="BY162:CD162" si="388">IF(((1-0.32)*(BY80-BY165))&gt;0,((1-0.32)*(BY80-BY165)),0)</f>
        <v>0</v>
      </c>
      <c r="BZ162" s="96">
        <f t="shared" si="388"/>
        <v>0</v>
      </c>
      <c r="CA162" s="96">
        <f t="shared" si="388"/>
        <v>0</v>
      </c>
      <c r="CB162" s="96">
        <f t="shared" si="388"/>
        <v>0</v>
      </c>
      <c r="CC162" s="96">
        <f t="shared" si="388"/>
        <v>0</v>
      </c>
      <c r="CD162" s="96">
        <f t="shared" si="388"/>
        <v>0</v>
      </c>
      <c r="CE162" s="96"/>
      <c r="CF162" s="435"/>
      <c r="CG162" s="235">
        <f t="shared" si="356"/>
        <v>0</v>
      </c>
      <c r="CH162" s="235">
        <f t="shared" si="367"/>
        <v>0</v>
      </c>
      <c r="CI162" s="235" t="e">
        <f>BM162-#REF!</f>
        <v>#REF!</v>
      </c>
      <c r="CJ162" s="235">
        <f t="shared" si="336"/>
        <v>0</v>
      </c>
      <c r="CK162" s="235">
        <f t="shared" si="337"/>
        <v>0</v>
      </c>
      <c r="CL162" s="235">
        <f t="shared" si="338"/>
        <v>0</v>
      </c>
      <c r="CM162" s="235">
        <f t="shared" si="339"/>
        <v>0</v>
      </c>
      <c r="CN162" s="235">
        <f t="shared" si="340"/>
        <v>0</v>
      </c>
      <c r="CO162" s="235">
        <f t="shared" si="341"/>
        <v>0</v>
      </c>
      <c r="CP162" s="235">
        <f t="shared" si="342"/>
        <v>0</v>
      </c>
      <c r="CQ162" s="235">
        <f t="shared" si="343"/>
        <v>0</v>
      </c>
      <c r="CR162" s="235">
        <f t="shared" si="344"/>
        <v>0</v>
      </c>
      <c r="CS162" s="235">
        <f t="shared" si="345"/>
        <v>0</v>
      </c>
      <c r="CT162" s="235">
        <f t="shared" si="346"/>
        <v>0</v>
      </c>
      <c r="CU162" s="235">
        <f t="shared" si="347"/>
        <v>0</v>
      </c>
      <c r="CV162" s="235">
        <f t="shared" si="348"/>
        <v>0</v>
      </c>
      <c r="CW162" s="235">
        <f t="shared" si="349"/>
        <v>0</v>
      </c>
      <c r="CX162" s="235">
        <f t="shared" si="350"/>
        <v>0</v>
      </c>
      <c r="CY162" s="235">
        <f t="shared" si="351"/>
        <v>0</v>
      </c>
      <c r="CZ162" s="235">
        <f t="shared" si="352"/>
        <v>0</v>
      </c>
      <c r="DA162" s="38"/>
      <c r="DB162" s="236">
        <v>150.93450000000001</v>
      </c>
      <c r="DC162" s="236">
        <v>151.93450000000001</v>
      </c>
      <c r="DD162" s="236">
        <v>41.174999999999997</v>
      </c>
      <c r="DE162" s="236">
        <v>0</v>
      </c>
      <c r="DF162" s="401">
        <v>0</v>
      </c>
      <c r="DG162" s="236">
        <v>0</v>
      </c>
      <c r="DH162" s="492">
        <v>0</v>
      </c>
      <c r="DI162" s="236">
        <v>0</v>
      </c>
      <c r="DJ162" s="236">
        <v>0</v>
      </c>
      <c r="DK162" s="236">
        <v>0</v>
      </c>
      <c r="DL162" s="236">
        <v>0</v>
      </c>
      <c r="DM162" s="236">
        <v>0</v>
      </c>
      <c r="DN162" s="236">
        <v>0</v>
      </c>
      <c r="DO162" s="236">
        <v>0</v>
      </c>
      <c r="DP162" s="236">
        <v>0</v>
      </c>
      <c r="DQ162" s="401">
        <v>0</v>
      </c>
      <c r="DR162" s="401">
        <v>0</v>
      </c>
      <c r="DS162" s="401">
        <v>0</v>
      </c>
      <c r="DT162" s="401">
        <v>0</v>
      </c>
      <c r="DU162" s="401">
        <v>0</v>
      </c>
      <c r="DV162" s="401">
        <v>0</v>
      </c>
      <c r="DW162" s="401">
        <v>0</v>
      </c>
      <c r="DX162" s="401">
        <v>0</v>
      </c>
      <c r="DY162" s="401">
        <v>0</v>
      </c>
      <c r="DZ162" s="401"/>
      <c r="EA162" s="989"/>
    </row>
    <row r="163" spans="1:131" s="158" customFormat="1">
      <c r="A163" s="156" t="s">
        <v>2821</v>
      </c>
      <c r="B163" s="156" t="s">
        <v>4311</v>
      </c>
      <c r="C163" s="157"/>
      <c r="D163" s="215"/>
      <c r="E163" s="215"/>
      <c r="F163" s="158">
        <f t="shared" ref="F163:BQ163" si="389">F221-F170</f>
        <v>0</v>
      </c>
      <c r="G163" s="158">
        <f t="shared" si="389"/>
        <v>0</v>
      </c>
      <c r="H163" s="158">
        <f t="shared" si="389"/>
        <v>0</v>
      </c>
      <c r="I163" s="158">
        <f t="shared" si="389"/>
        <v>0</v>
      </c>
      <c r="J163" s="158">
        <f t="shared" si="389"/>
        <v>0</v>
      </c>
      <c r="K163" s="158">
        <f t="shared" si="389"/>
        <v>0</v>
      </c>
      <c r="L163" s="158">
        <f t="shared" si="389"/>
        <v>0</v>
      </c>
      <c r="M163" s="158">
        <f t="shared" si="389"/>
        <v>0</v>
      </c>
      <c r="N163" s="158">
        <f t="shared" si="389"/>
        <v>0</v>
      </c>
      <c r="O163" s="158">
        <f t="shared" si="389"/>
        <v>0</v>
      </c>
      <c r="P163" s="158">
        <f t="shared" si="389"/>
        <v>0</v>
      </c>
      <c r="Q163" s="158">
        <f t="shared" si="389"/>
        <v>0</v>
      </c>
      <c r="R163" s="158">
        <f t="shared" si="389"/>
        <v>0</v>
      </c>
      <c r="S163" s="158">
        <f t="shared" si="389"/>
        <v>0</v>
      </c>
      <c r="T163" s="158">
        <f t="shared" si="389"/>
        <v>0</v>
      </c>
      <c r="U163" s="158">
        <f t="shared" si="389"/>
        <v>0</v>
      </c>
      <c r="V163" s="158">
        <f t="shared" si="389"/>
        <v>0</v>
      </c>
      <c r="W163" s="158">
        <f t="shared" si="389"/>
        <v>0</v>
      </c>
      <c r="X163" s="158">
        <f t="shared" si="389"/>
        <v>0</v>
      </c>
      <c r="Y163" s="158">
        <f t="shared" si="389"/>
        <v>0</v>
      </c>
      <c r="Z163" s="158">
        <f t="shared" si="389"/>
        <v>0</v>
      </c>
      <c r="AA163" s="158">
        <f t="shared" si="389"/>
        <v>0</v>
      </c>
      <c r="AB163" s="158">
        <f t="shared" si="389"/>
        <v>0</v>
      </c>
      <c r="AC163" s="158">
        <f t="shared" si="389"/>
        <v>0</v>
      </c>
      <c r="AD163" s="158">
        <f t="shared" si="389"/>
        <v>0</v>
      </c>
      <c r="AE163" s="158">
        <f t="shared" si="389"/>
        <v>0</v>
      </c>
      <c r="AF163" s="158">
        <f t="shared" si="389"/>
        <v>0</v>
      </c>
      <c r="AG163" s="158">
        <f t="shared" si="389"/>
        <v>0</v>
      </c>
      <c r="AH163" s="158">
        <f t="shared" si="389"/>
        <v>0</v>
      </c>
      <c r="AI163" s="158">
        <f t="shared" si="389"/>
        <v>0</v>
      </c>
      <c r="AJ163" s="158">
        <f t="shared" si="389"/>
        <v>0</v>
      </c>
      <c r="AK163" s="158">
        <f t="shared" si="389"/>
        <v>0</v>
      </c>
      <c r="AL163" s="158">
        <f t="shared" si="389"/>
        <v>0</v>
      </c>
      <c r="AM163" s="158">
        <f t="shared" si="389"/>
        <v>0</v>
      </c>
      <c r="AN163" s="158">
        <f t="shared" si="389"/>
        <v>0</v>
      </c>
      <c r="AO163" s="158">
        <f t="shared" si="389"/>
        <v>0</v>
      </c>
      <c r="AP163" s="158">
        <f t="shared" si="389"/>
        <v>0</v>
      </c>
      <c r="AQ163" s="158">
        <f t="shared" si="389"/>
        <v>0</v>
      </c>
      <c r="AR163" s="158">
        <f t="shared" si="389"/>
        <v>0</v>
      </c>
      <c r="AS163" s="158">
        <f t="shared" si="389"/>
        <v>0</v>
      </c>
      <c r="AT163" s="158">
        <f t="shared" si="389"/>
        <v>0</v>
      </c>
      <c r="AU163" s="158">
        <f t="shared" si="389"/>
        <v>0</v>
      </c>
      <c r="AV163" s="158">
        <f t="shared" si="389"/>
        <v>-9.2572818176580002E-2</v>
      </c>
      <c r="AW163" s="158">
        <f t="shared" si="389"/>
        <v>-1.7164224352000108E-2</v>
      </c>
      <c r="AX163" s="158">
        <f t="shared" si="389"/>
        <v>9.1938072000000023E-2</v>
      </c>
      <c r="AY163" s="158">
        <f t="shared" si="389"/>
        <v>0.46000068535499994</v>
      </c>
      <c r="AZ163" s="158">
        <f t="shared" si="389"/>
        <v>26.765005631299598</v>
      </c>
      <c r="BA163" s="158">
        <f t="shared" si="389"/>
        <v>80023.361421149253</v>
      </c>
      <c r="BB163" s="158">
        <f t="shared" si="389"/>
        <v>34325.669863091374</v>
      </c>
      <c r="BC163" s="158">
        <f t="shared" si="389"/>
        <v>56022.934977090939</v>
      </c>
      <c r="BD163" s="158">
        <f t="shared" si="389"/>
        <v>96.967566435400002</v>
      </c>
      <c r="BE163" s="158">
        <f t="shared" si="389"/>
        <v>94.073023436863949</v>
      </c>
      <c r="BF163" s="158">
        <f t="shared" si="389"/>
        <v>-3.4161327127900094</v>
      </c>
      <c r="BG163" s="158">
        <f t="shared" si="389"/>
        <v>54.256312079478462</v>
      </c>
      <c r="BH163" s="158">
        <f t="shared" si="389"/>
        <v>-93.035225445911436</v>
      </c>
      <c r="BI163" s="158">
        <f t="shared" si="389"/>
        <v>-8.5717619554439466</v>
      </c>
      <c r="BJ163" s="158">
        <f t="shared" si="389"/>
        <v>-79.627616039207766</v>
      </c>
      <c r="BK163" s="158">
        <f t="shared" si="389"/>
        <v>-346.45769547556955</v>
      </c>
      <c r="BL163" s="158">
        <f t="shared" si="389"/>
        <v>-417.99932411384788</v>
      </c>
      <c r="BM163" s="158">
        <f t="shared" si="389"/>
        <v>-264.81312895401129</v>
      </c>
      <c r="BN163" s="158">
        <f t="shared" si="389"/>
        <v>-204.9434762681837</v>
      </c>
      <c r="BO163" s="158">
        <f t="shared" si="389"/>
        <v>-202.03161876355574</v>
      </c>
      <c r="BP163" s="158">
        <f t="shared" si="389"/>
        <v>0</v>
      </c>
      <c r="BQ163" s="158">
        <f t="shared" si="389"/>
        <v>0</v>
      </c>
      <c r="BR163" s="158">
        <f>BR221-BR170</f>
        <v>0</v>
      </c>
      <c r="BS163" s="158">
        <f>BS221-BS170</f>
        <v>0</v>
      </c>
      <c r="BT163" s="158">
        <f>BT221-BT170</f>
        <v>0</v>
      </c>
      <c r="BU163" s="158">
        <f>BU221-BU170</f>
        <v>0</v>
      </c>
      <c r="BV163" s="158">
        <f>BV221-BV170</f>
        <v>0</v>
      </c>
      <c r="BW163" s="158">
        <f t="shared" ref="BW163:BX163" si="390">BW221-BW170</f>
        <v>0</v>
      </c>
      <c r="BX163" s="158">
        <f t="shared" si="390"/>
        <v>0</v>
      </c>
      <c r="BY163" s="158">
        <f t="shared" ref="BY163:CD163" si="391">BY221-BY170</f>
        <v>0</v>
      </c>
      <c r="BZ163" s="158">
        <f t="shared" si="391"/>
        <v>0</v>
      </c>
      <c r="CA163" s="158">
        <f t="shared" si="391"/>
        <v>0</v>
      </c>
      <c r="CB163" s="158">
        <f t="shared" si="391"/>
        <v>0</v>
      </c>
      <c r="CC163" s="158">
        <f t="shared" si="391"/>
        <v>0</v>
      </c>
      <c r="CD163" s="158">
        <f t="shared" si="391"/>
        <v>0</v>
      </c>
      <c r="CF163" s="435"/>
      <c r="CG163" s="235">
        <f t="shared" si="356"/>
        <v>0</v>
      </c>
      <c r="CH163" s="235">
        <f t="shared" si="367"/>
        <v>0</v>
      </c>
      <c r="CI163" s="235" t="e">
        <f>BM163-#REF!</f>
        <v>#REF!</v>
      </c>
      <c r="CJ163" s="235">
        <f t="shared" si="336"/>
        <v>0</v>
      </c>
      <c r="CK163" s="235">
        <f t="shared" si="337"/>
        <v>0</v>
      </c>
      <c r="CL163" s="235">
        <f t="shared" si="338"/>
        <v>0</v>
      </c>
      <c r="CM163" s="235">
        <f t="shared" si="339"/>
        <v>0</v>
      </c>
      <c r="CN163" s="235">
        <f t="shared" si="340"/>
        <v>0</v>
      </c>
      <c r="CO163" s="235">
        <f t="shared" si="341"/>
        <v>0</v>
      </c>
      <c r="CP163" s="235">
        <f t="shared" si="342"/>
        <v>0</v>
      </c>
      <c r="CQ163" s="235">
        <f t="shared" si="343"/>
        <v>0</v>
      </c>
      <c r="CR163" s="235">
        <f t="shared" si="344"/>
        <v>0</v>
      </c>
      <c r="CS163" s="235">
        <f t="shared" si="345"/>
        <v>0</v>
      </c>
      <c r="CT163" s="235">
        <f t="shared" si="346"/>
        <v>0</v>
      </c>
      <c r="CU163" s="235">
        <f t="shared" si="347"/>
        <v>0</v>
      </c>
      <c r="CV163" s="235">
        <f t="shared" si="348"/>
        <v>0</v>
      </c>
      <c r="CW163" s="235">
        <f t="shared" si="349"/>
        <v>0</v>
      </c>
      <c r="CX163" s="235">
        <f t="shared" si="350"/>
        <v>0</v>
      </c>
      <c r="CY163" s="235">
        <f t="shared" si="351"/>
        <v>0</v>
      </c>
      <c r="CZ163" s="235">
        <f t="shared" si="352"/>
        <v>0</v>
      </c>
      <c r="DA163" s="38"/>
      <c r="DB163" s="236">
        <v>46.237707999999998</v>
      </c>
      <c r="DC163" s="236">
        <v>47.237707999999998</v>
      </c>
      <c r="DD163" s="236">
        <v>123.979009</v>
      </c>
      <c r="DE163" s="236">
        <v>26.901477</v>
      </c>
      <c r="DF163" s="401">
        <v>12.876058</v>
      </c>
      <c r="DG163" s="236">
        <v>-346.45769547556955</v>
      </c>
      <c r="DH163" s="492">
        <v>-417.99932411384788</v>
      </c>
      <c r="DI163" s="236">
        <v>-204.9434762681837</v>
      </c>
      <c r="DJ163" s="236">
        <v>-202.03161876355574</v>
      </c>
      <c r="DK163" s="236">
        <v>0</v>
      </c>
      <c r="DL163" s="236">
        <v>0</v>
      </c>
      <c r="DM163" s="236">
        <v>0</v>
      </c>
      <c r="DN163" s="236">
        <v>0</v>
      </c>
      <c r="DO163" s="236">
        <v>0</v>
      </c>
      <c r="DP163" s="236">
        <v>0</v>
      </c>
      <c r="DQ163" s="401">
        <v>0</v>
      </c>
      <c r="DR163" s="401">
        <v>0</v>
      </c>
      <c r="DS163" s="401">
        <v>0</v>
      </c>
      <c r="DT163" s="401">
        <v>0</v>
      </c>
      <c r="DU163" s="401">
        <v>0</v>
      </c>
      <c r="DV163" s="401">
        <v>0</v>
      </c>
      <c r="DW163" s="401">
        <v>0</v>
      </c>
      <c r="DX163" s="401">
        <v>0</v>
      </c>
      <c r="DY163" s="401">
        <v>0</v>
      </c>
      <c r="DZ163" s="401"/>
      <c r="EA163" s="989"/>
    </row>
    <row r="164" spans="1:131" s="76" customFormat="1">
      <c r="A164" s="18" t="s">
        <v>2822</v>
      </c>
      <c r="B164" s="87" t="s">
        <v>3550</v>
      </c>
      <c r="C164" s="51"/>
      <c r="D164" s="207"/>
      <c r="E164" s="207"/>
      <c r="F164" s="76">
        <f t="shared" ref="F164:BQ164" si="392">F162+F221-F170</f>
        <v>0</v>
      </c>
      <c r="G164" s="76">
        <f t="shared" si="392"/>
        <v>0</v>
      </c>
      <c r="H164" s="76">
        <f t="shared" si="392"/>
        <v>0</v>
      </c>
      <c r="I164" s="76">
        <f t="shared" si="392"/>
        <v>0</v>
      </c>
      <c r="J164" s="76">
        <f t="shared" si="392"/>
        <v>0</v>
      </c>
      <c r="K164" s="76">
        <f t="shared" si="392"/>
        <v>0</v>
      </c>
      <c r="L164" s="76">
        <f t="shared" si="392"/>
        <v>0</v>
      </c>
      <c r="M164" s="76">
        <f t="shared" si="392"/>
        <v>0</v>
      </c>
      <c r="N164" s="76">
        <f t="shared" si="392"/>
        <v>0</v>
      </c>
      <c r="O164" s="76">
        <f t="shared" si="392"/>
        <v>0</v>
      </c>
      <c r="P164" s="76">
        <f t="shared" si="392"/>
        <v>0</v>
      </c>
      <c r="Q164" s="76">
        <f t="shared" si="392"/>
        <v>0</v>
      </c>
      <c r="R164" s="76">
        <f t="shared" si="392"/>
        <v>0</v>
      </c>
      <c r="S164" s="76">
        <f t="shared" si="392"/>
        <v>0</v>
      </c>
      <c r="T164" s="76">
        <f t="shared" si="392"/>
        <v>0</v>
      </c>
      <c r="U164" s="76">
        <f t="shared" si="392"/>
        <v>0</v>
      </c>
      <c r="V164" s="76">
        <f t="shared" si="392"/>
        <v>0</v>
      </c>
      <c r="W164" s="76">
        <f t="shared" si="392"/>
        <v>0</v>
      </c>
      <c r="X164" s="76">
        <f t="shared" si="392"/>
        <v>0</v>
      </c>
      <c r="Y164" s="76">
        <f t="shared" si="392"/>
        <v>0</v>
      </c>
      <c r="Z164" s="76">
        <f t="shared" si="392"/>
        <v>0</v>
      </c>
      <c r="AA164" s="76">
        <f t="shared" si="392"/>
        <v>0</v>
      </c>
      <c r="AB164" s="76">
        <f t="shared" si="392"/>
        <v>0</v>
      </c>
      <c r="AC164" s="76">
        <f t="shared" si="392"/>
        <v>0</v>
      </c>
      <c r="AD164" s="76">
        <f t="shared" si="392"/>
        <v>0</v>
      </c>
      <c r="AE164" s="76">
        <f t="shared" si="392"/>
        <v>0</v>
      </c>
      <c r="AF164" s="76">
        <f t="shared" si="392"/>
        <v>0</v>
      </c>
      <c r="AG164" s="76">
        <f t="shared" si="392"/>
        <v>0</v>
      </c>
      <c r="AH164" s="76">
        <f t="shared" si="392"/>
        <v>0</v>
      </c>
      <c r="AI164" s="76">
        <f t="shared" si="392"/>
        <v>0</v>
      </c>
      <c r="AJ164" s="76">
        <f t="shared" si="392"/>
        <v>0</v>
      </c>
      <c r="AK164" s="76">
        <f t="shared" si="392"/>
        <v>0</v>
      </c>
      <c r="AL164" s="76">
        <f t="shared" si="392"/>
        <v>0</v>
      </c>
      <c r="AM164" s="76">
        <f t="shared" si="392"/>
        <v>0</v>
      </c>
      <c r="AN164" s="76">
        <f t="shared" si="392"/>
        <v>0</v>
      </c>
      <c r="AO164" s="76">
        <f t="shared" si="392"/>
        <v>0</v>
      </c>
      <c r="AP164" s="76">
        <f t="shared" si="392"/>
        <v>0</v>
      </c>
      <c r="AQ164" s="76">
        <f t="shared" si="392"/>
        <v>0</v>
      </c>
      <c r="AR164" s="76">
        <f t="shared" si="392"/>
        <v>0</v>
      </c>
      <c r="AS164" s="76">
        <f t="shared" si="392"/>
        <v>0</v>
      </c>
      <c r="AT164" s="76">
        <f t="shared" si="392"/>
        <v>0</v>
      </c>
      <c r="AU164" s="76">
        <f t="shared" si="392"/>
        <v>0</v>
      </c>
      <c r="AV164" s="76">
        <f t="shared" si="392"/>
        <v>-9.2572818176580002E-2</v>
      </c>
      <c r="AW164" s="76">
        <f t="shared" si="392"/>
        <v>-1.7164224352000108E-2</v>
      </c>
      <c r="AX164" s="76">
        <f t="shared" si="392"/>
        <v>9.1938072000000023E-2</v>
      </c>
      <c r="AY164" s="76">
        <f t="shared" si="392"/>
        <v>0.46000068535499994</v>
      </c>
      <c r="AZ164" s="76">
        <f t="shared" si="392"/>
        <v>124.51405263129959</v>
      </c>
      <c r="BA164" s="76">
        <f t="shared" si="392"/>
        <v>80170.845871149257</v>
      </c>
      <c r="BB164" s="76">
        <f t="shared" si="392"/>
        <v>34485.530984591373</v>
      </c>
      <c r="BC164" s="76">
        <f t="shared" si="392"/>
        <v>56197.097754090937</v>
      </c>
      <c r="BD164" s="76">
        <f t="shared" si="392"/>
        <v>266.47556643539997</v>
      </c>
      <c r="BE164" s="76">
        <f t="shared" si="392"/>
        <v>216.92302343686396</v>
      </c>
      <c r="BF164" s="76">
        <f t="shared" si="392"/>
        <v>214.61261728720999</v>
      </c>
      <c r="BG164" s="76">
        <f t="shared" si="392"/>
        <v>181.07531207947849</v>
      </c>
      <c r="BH164" s="76">
        <f t="shared" si="392"/>
        <v>-33.194225445911428</v>
      </c>
      <c r="BI164" s="76">
        <f t="shared" si="392"/>
        <v>62.678238044556053</v>
      </c>
      <c r="BJ164" s="76">
        <f t="shared" si="392"/>
        <v>318.09238396079223</v>
      </c>
      <c r="BK164" s="76">
        <f t="shared" si="392"/>
        <v>-346.45769547556955</v>
      </c>
      <c r="BL164" s="76">
        <f t="shared" si="392"/>
        <v>-417.99932411384788</v>
      </c>
      <c r="BM164" s="76">
        <f t="shared" si="392"/>
        <v>-264.81312895401129</v>
      </c>
      <c r="BN164" s="76">
        <f t="shared" si="392"/>
        <v>-204.9434762681837</v>
      </c>
      <c r="BO164" s="76">
        <f t="shared" si="392"/>
        <v>-202.03161876355574</v>
      </c>
      <c r="BP164" s="76">
        <f t="shared" si="392"/>
        <v>0</v>
      </c>
      <c r="BQ164" s="76">
        <f t="shared" si="392"/>
        <v>0</v>
      </c>
      <c r="BR164" s="76">
        <f>BR162+BR221-BR170</f>
        <v>0</v>
      </c>
      <c r="BS164" s="76">
        <f>BS162+BS221-BS170</f>
        <v>0</v>
      </c>
      <c r="BT164" s="76">
        <f>BT162+BT221-BT170</f>
        <v>0</v>
      </c>
      <c r="BU164" s="76">
        <f>BU162+BU221-BU170</f>
        <v>0</v>
      </c>
      <c r="BV164" s="76">
        <f>BV162+BV221-BV170</f>
        <v>0</v>
      </c>
      <c r="BW164" s="76">
        <f t="shared" ref="BW164:BX164" si="393">BW162+BW221-BW170</f>
        <v>0</v>
      </c>
      <c r="BX164" s="76">
        <f t="shared" si="393"/>
        <v>0</v>
      </c>
      <c r="BY164" s="76">
        <f t="shared" ref="BY164:CD164" si="394">BY162+BY221-BY170</f>
        <v>0</v>
      </c>
      <c r="BZ164" s="76">
        <f t="shared" si="394"/>
        <v>0</v>
      </c>
      <c r="CA164" s="76">
        <f t="shared" si="394"/>
        <v>0</v>
      </c>
      <c r="CB164" s="76">
        <f t="shared" si="394"/>
        <v>0</v>
      </c>
      <c r="CC164" s="76">
        <f t="shared" si="394"/>
        <v>0</v>
      </c>
      <c r="CD164" s="76">
        <f t="shared" si="394"/>
        <v>0</v>
      </c>
      <c r="CF164" s="435"/>
      <c r="CG164" s="235">
        <f t="shared" si="356"/>
        <v>0</v>
      </c>
      <c r="CH164" s="235">
        <f t="shared" si="367"/>
        <v>0</v>
      </c>
      <c r="CI164" s="235" t="e">
        <f>BM164-#REF!</f>
        <v>#REF!</v>
      </c>
      <c r="CJ164" s="235">
        <f t="shared" ref="CJ164:CJ195" si="395">BN164-DI164</f>
        <v>0</v>
      </c>
      <c r="CK164" s="235">
        <f t="shared" ref="CK164:CK195" si="396">BO164-DJ164</f>
        <v>0</v>
      </c>
      <c r="CL164" s="235">
        <f t="shared" ref="CL164:CL195" si="397">BP164-DK164</f>
        <v>0</v>
      </c>
      <c r="CM164" s="235">
        <f t="shared" ref="CM164:CM195" si="398">BQ164-DL164</f>
        <v>0</v>
      </c>
      <c r="CN164" s="235">
        <f t="shared" ref="CN164:CN195" si="399">BR164-DM164</f>
        <v>0</v>
      </c>
      <c r="CO164" s="235">
        <f t="shared" ref="CO164:CO195" si="400">BS164-DN164</f>
        <v>0</v>
      </c>
      <c r="CP164" s="235">
        <f t="shared" ref="CP164:CP195" si="401">BT164-DO164</f>
        <v>0</v>
      </c>
      <c r="CQ164" s="235">
        <f t="shared" ref="CQ164:CQ195" si="402">BU164-DP164</f>
        <v>0</v>
      </c>
      <c r="CR164" s="235">
        <f t="shared" ref="CR164:CR195" si="403">BV164-DQ164</f>
        <v>0</v>
      </c>
      <c r="CS164" s="235">
        <f t="shared" ref="CS164:CS195" si="404">BW164-DR164</f>
        <v>0</v>
      </c>
      <c r="CT164" s="235">
        <f t="shared" ref="CT164:CT195" si="405">BX164-DS164</f>
        <v>0</v>
      </c>
      <c r="CU164" s="235">
        <f t="shared" ref="CU164:CU195" si="406">BY164-DT164</f>
        <v>0</v>
      </c>
      <c r="CV164" s="235">
        <f t="shared" ref="CV164:CV195" si="407">BZ164-DU164</f>
        <v>0</v>
      </c>
      <c r="CW164" s="235">
        <f t="shared" ref="CW164:CW195" si="408">CA164-DV164</f>
        <v>0</v>
      </c>
      <c r="CX164" s="235">
        <f t="shared" ref="CX164:CX195" si="409">CB164-DW164</f>
        <v>0</v>
      </c>
      <c r="CY164" s="235">
        <f t="shared" ref="CY164:CY195" si="410">CC164-DX164</f>
        <v>0</v>
      </c>
      <c r="CZ164" s="235">
        <f t="shared" ref="CZ164:CZ195" si="411">CD164-DY164</f>
        <v>0</v>
      </c>
      <c r="DA164" s="38"/>
      <c r="DB164" s="236">
        <v>198.17220800000001</v>
      </c>
      <c r="DC164" s="236">
        <v>199.17220800000001</v>
      </c>
      <c r="DD164" s="236">
        <v>165.154009</v>
      </c>
      <c r="DE164" s="236">
        <v>26.901477</v>
      </c>
      <c r="DF164" s="401">
        <v>12.876058</v>
      </c>
      <c r="DG164" s="236">
        <v>-346.45769547556955</v>
      </c>
      <c r="DH164" s="492">
        <v>-417.99932411384788</v>
      </c>
      <c r="DI164" s="236">
        <v>-204.9434762681837</v>
      </c>
      <c r="DJ164" s="236">
        <v>-202.03161876355574</v>
      </c>
      <c r="DK164" s="236">
        <v>0</v>
      </c>
      <c r="DL164" s="236">
        <v>0</v>
      </c>
      <c r="DM164" s="236">
        <v>0</v>
      </c>
      <c r="DN164" s="236">
        <v>0</v>
      </c>
      <c r="DO164" s="236">
        <v>0</v>
      </c>
      <c r="DP164" s="236">
        <v>0</v>
      </c>
      <c r="DQ164" s="401">
        <v>0</v>
      </c>
      <c r="DR164" s="401">
        <v>0</v>
      </c>
      <c r="DS164" s="401">
        <v>0</v>
      </c>
      <c r="DT164" s="401">
        <v>0</v>
      </c>
      <c r="DU164" s="401">
        <v>0</v>
      </c>
      <c r="DV164" s="401">
        <v>0</v>
      </c>
      <c r="DW164" s="401">
        <v>0</v>
      </c>
      <c r="DX164" s="401">
        <v>0</v>
      </c>
      <c r="DY164" s="401">
        <v>0</v>
      </c>
      <c r="DZ164" s="401"/>
      <c r="EA164" s="989"/>
    </row>
    <row r="165" spans="1:131" s="76" customFormat="1">
      <c r="A165" s="18" t="s">
        <v>2823</v>
      </c>
      <c r="B165" s="87" t="s">
        <v>4312</v>
      </c>
      <c r="C165" s="351" t="s">
        <v>3731</v>
      </c>
      <c r="D165" s="207"/>
      <c r="E165" s="207"/>
      <c r="F165" s="76">
        <f t="shared" ref="F165:AU165" si="412">F124-F164</f>
        <v>0</v>
      </c>
      <c r="G165" s="76">
        <f t="shared" si="412"/>
        <v>0</v>
      </c>
      <c r="H165" s="76">
        <f t="shared" si="412"/>
        <v>0</v>
      </c>
      <c r="I165" s="76">
        <f t="shared" si="412"/>
        <v>0</v>
      </c>
      <c r="J165" s="76">
        <f t="shared" si="412"/>
        <v>0</v>
      </c>
      <c r="K165" s="76">
        <f t="shared" si="412"/>
        <v>0</v>
      </c>
      <c r="L165" s="76">
        <f t="shared" si="412"/>
        <v>0</v>
      </c>
      <c r="M165" s="76">
        <f t="shared" si="412"/>
        <v>0</v>
      </c>
      <c r="N165" s="76">
        <f t="shared" si="412"/>
        <v>0</v>
      </c>
      <c r="O165" s="76">
        <f t="shared" si="412"/>
        <v>0</v>
      </c>
      <c r="P165" s="76">
        <f t="shared" si="412"/>
        <v>0</v>
      </c>
      <c r="Q165" s="76">
        <f t="shared" si="412"/>
        <v>0</v>
      </c>
      <c r="R165" s="76">
        <f t="shared" si="412"/>
        <v>0</v>
      </c>
      <c r="S165" s="76">
        <f t="shared" si="412"/>
        <v>0</v>
      </c>
      <c r="T165" s="76">
        <f t="shared" si="412"/>
        <v>0</v>
      </c>
      <c r="U165" s="76">
        <f t="shared" si="412"/>
        <v>0</v>
      </c>
      <c r="V165" s="76">
        <f t="shared" si="412"/>
        <v>0</v>
      </c>
      <c r="W165" s="76">
        <f t="shared" si="412"/>
        <v>0</v>
      </c>
      <c r="X165" s="76">
        <f t="shared" si="412"/>
        <v>0</v>
      </c>
      <c r="Y165" s="76">
        <f t="shared" si="412"/>
        <v>0</v>
      </c>
      <c r="Z165" s="76">
        <f t="shared" si="412"/>
        <v>0</v>
      </c>
      <c r="AA165" s="76">
        <f t="shared" si="412"/>
        <v>0</v>
      </c>
      <c r="AB165" s="76">
        <f t="shared" si="412"/>
        <v>0</v>
      </c>
      <c r="AC165" s="76">
        <f t="shared" si="412"/>
        <v>0</v>
      </c>
      <c r="AD165" s="76">
        <f t="shared" si="412"/>
        <v>0</v>
      </c>
      <c r="AE165" s="76">
        <f t="shared" si="412"/>
        <v>0</v>
      </c>
      <c r="AF165" s="76">
        <f t="shared" si="412"/>
        <v>0</v>
      </c>
      <c r="AG165" s="76">
        <f t="shared" si="412"/>
        <v>0</v>
      </c>
      <c r="AH165" s="76">
        <f t="shared" si="412"/>
        <v>0</v>
      </c>
      <c r="AI165" s="76">
        <f t="shared" si="412"/>
        <v>0</v>
      </c>
      <c r="AJ165" s="76">
        <f t="shared" si="412"/>
        <v>0</v>
      </c>
      <c r="AK165" s="76">
        <f t="shared" si="412"/>
        <v>0</v>
      </c>
      <c r="AL165" s="76">
        <f t="shared" si="412"/>
        <v>0</v>
      </c>
      <c r="AM165" s="76">
        <f t="shared" si="412"/>
        <v>0</v>
      </c>
      <c r="AN165" s="76">
        <f t="shared" si="412"/>
        <v>0</v>
      </c>
      <c r="AO165" s="76">
        <f t="shared" si="412"/>
        <v>0</v>
      </c>
      <c r="AP165" s="76">
        <f t="shared" si="412"/>
        <v>0.66926343046540537</v>
      </c>
      <c r="AQ165" s="76">
        <f t="shared" si="412"/>
        <v>0.47019210564087843</v>
      </c>
      <c r="AR165" s="76">
        <f t="shared" si="412"/>
        <v>0.39787756342494718</v>
      </c>
      <c r="AS165" s="76">
        <f t="shared" si="412"/>
        <v>1.8062158894888156</v>
      </c>
      <c r="AT165" s="76">
        <f t="shared" si="412"/>
        <v>43.627436541516239</v>
      </c>
      <c r="AU165" s="76">
        <f t="shared" si="412"/>
        <v>119.49113697982344</v>
      </c>
      <c r="AV165" s="76">
        <f t="shared" ref="AV165:BC165" si="413">AV124-AV164</f>
        <v>121.84839555217657</v>
      </c>
      <c r="AW165" s="76">
        <f t="shared" si="413"/>
        <v>122.67254198435201</v>
      </c>
      <c r="AX165" s="76">
        <f t="shared" si="413"/>
        <v>113.06244643800001</v>
      </c>
      <c r="AY165" s="76">
        <f t="shared" si="413"/>
        <v>238.75939410664495</v>
      </c>
      <c r="AZ165" s="76">
        <f t="shared" si="413"/>
        <v>326.08027311170019</v>
      </c>
      <c r="BA165" s="76">
        <f t="shared" si="413"/>
        <v>-79466.220984397762</v>
      </c>
      <c r="BB165" s="76">
        <f t="shared" si="413"/>
        <v>-33802.641109082724</v>
      </c>
      <c r="BC165" s="76">
        <f t="shared" si="413"/>
        <v>-55389.520629188541</v>
      </c>
      <c r="BD165" s="76">
        <f>BD124-BD164</f>
        <v>871.69620674459952</v>
      </c>
      <c r="BE165" s="76">
        <f>BE124-BE164</f>
        <v>1060.4849265631356</v>
      </c>
      <c r="BF165" s="76">
        <f>BF124-BF164</f>
        <v>1397.1326927127895</v>
      </c>
      <c r="BG165" s="76">
        <f>BG124-BG164</f>
        <v>1716.641390295521</v>
      </c>
      <c r="BH165" s="96">
        <f t="shared" ref="BH165:BQ165" si="414">BG165*(1+0.33*BH305/100+0.67*BH307/100)*BH13/BG13</f>
        <v>1926.7784050247637</v>
      </c>
      <c r="BI165" s="96">
        <f t="shared" si="414"/>
        <v>1420.6619548828048</v>
      </c>
      <c r="BJ165" s="96">
        <f t="shared" si="414"/>
        <v>1544.7003186159188</v>
      </c>
      <c r="BK165" s="96">
        <f t="shared" si="414"/>
        <v>1623.4590696997179</v>
      </c>
      <c r="BL165" s="96">
        <f t="shared" si="414"/>
        <v>1456.8589632503754</v>
      </c>
      <c r="BM165" s="96">
        <f t="shared" si="414"/>
        <v>1427.4888116621707</v>
      </c>
      <c r="BN165" s="96">
        <f t="shared" si="414"/>
        <v>1475.454784405177</v>
      </c>
      <c r="BO165" s="96">
        <f t="shared" si="414"/>
        <v>975.00716653027894</v>
      </c>
      <c r="BP165" s="96">
        <f t="shared" si="414"/>
        <v>1.2478612803571413E-5</v>
      </c>
      <c r="BQ165" s="96">
        <f t="shared" si="414"/>
        <v>1.2917406000078429E-5</v>
      </c>
      <c r="BR165" s="96">
        <f t="shared" ref="BR165:BX165" si="415">BQ165*(1+0.33*BR305/100+0.67*BR307/100)*BR13/BQ13</f>
        <v>1.3339334977084239E-5</v>
      </c>
      <c r="BS165" s="96">
        <f t="shared" si="415"/>
        <v>1.3752169811308852E-5</v>
      </c>
      <c r="BT165" s="96">
        <f t="shared" si="415"/>
        <v>1.4244893597791774E-5</v>
      </c>
      <c r="BU165" s="96">
        <f t="shared" si="415"/>
        <v>1.4755271087879084E-5</v>
      </c>
      <c r="BV165" s="96">
        <f t="shared" si="415"/>
        <v>1.5283934792643926E-5</v>
      </c>
      <c r="BW165" s="96">
        <f t="shared" si="415"/>
        <v>1.5831539885274238E-5</v>
      </c>
      <c r="BX165" s="96">
        <f t="shared" si="415"/>
        <v>1.6398765013029207E-5</v>
      </c>
      <c r="BY165" s="96">
        <f t="shared" ref="BY165" si="416">BX165*(1+0.33*BY305/100+0.67*BY307/100)*BY13/BX13</f>
        <v>1.698631313828715E-5</v>
      </c>
      <c r="BZ165" s="96">
        <f t="shared" ref="BZ165" si="417">BY165*(1+0.33*BZ305/100+0.67*BZ307/100)*BZ13/BY13</f>
        <v>1.7594912409727129E-5</v>
      </c>
      <c r="CA165" s="96">
        <f t="shared" ref="CA165" si="418">BZ165*(1+0.33*CA305/100+0.67*CA307/100)*CA13/BZ13</f>
        <v>1.8225317064723966E-5</v>
      </c>
      <c r="CB165" s="96">
        <f t="shared" ref="CB165" si="419">CA165*(1+0.33*CB305/100+0.67*CB307/100)*CB13/CA13</f>
        <v>1.8878308364074998E-5</v>
      </c>
      <c r="CC165" s="96">
        <f t="shared" ref="CC165" si="420">CB165*(1+0.33*CC305/100+0.67*CC307/100)*CC13/CB13</f>
        <v>1.9554695560216953E-5</v>
      </c>
      <c r="CD165" s="96">
        <f t="shared" ref="CD165" si="421">CC165*(1+0.33*CD305/100+0.67*CD307/100)*CD13/CC13</f>
        <v>2.0255316900132903E-5</v>
      </c>
      <c r="CE165" s="96"/>
      <c r="CF165" s="435"/>
      <c r="CG165" s="235">
        <f t="shared" si="356"/>
        <v>-6.3008314388321196</v>
      </c>
      <c r="CH165" s="235">
        <f t="shared" si="367"/>
        <v>0</v>
      </c>
      <c r="CI165" s="235" t="e">
        <f>BM165-#REF!</f>
        <v>#REF!</v>
      </c>
      <c r="CJ165" s="235">
        <f t="shared" si="395"/>
        <v>0</v>
      </c>
      <c r="CK165" s="235">
        <f t="shared" si="396"/>
        <v>0</v>
      </c>
      <c r="CL165" s="235">
        <f t="shared" si="397"/>
        <v>0</v>
      </c>
      <c r="CM165" s="235">
        <f t="shared" si="398"/>
        <v>0</v>
      </c>
      <c r="CN165" s="235">
        <f t="shared" si="399"/>
        <v>0</v>
      </c>
      <c r="CO165" s="235">
        <f t="shared" si="400"/>
        <v>0</v>
      </c>
      <c r="CP165" s="235">
        <f t="shared" si="401"/>
        <v>0</v>
      </c>
      <c r="CQ165" s="235">
        <f t="shared" si="402"/>
        <v>0</v>
      </c>
      <c r="CR165" s="235">
        <f t="shared" si="403"/>
        <v>0</v>
      </c>
      <c r="CS165" s="235">
        <f t="shared" si="404"/>
        <v>0</v>
      </c>
      <c r="CT165" s="235">
        <f t="shared" si="405"/>
        <v>0</v>
      </c>
      <c r="CU165" s="235">
        <f t="shared" si="406"/>
        <v>0</v>
      </c>
      <c r="CV165" s="235">
        <f t="shared" si="407"/>
        <v>0</v>
      </c>
      <c r="CW165" s="235">
        <f t="shared" si="408"/>
        <v>0</v>
      </c>
      <c r="CX165" s="235">
        <f t="shared" si="409"/>
        <v>0</v>
      </c>
      <c r="CY165" s="235">
        <f t="shared" si="410"/>
        <v>0</v>
      </c>
      <c r="CZ165" s="235">
        <f t="shared" si="411"/>
        <v>0</v>
      </c>
      <c r="DA165" s="38"/>
      <c r="DB165" s="236">
        <v>1417.9240189499999</v>
      </c>
      <c r="DC165" s="236">
        <v>1418.9240189499997</v>
      </c>
      <c r="DD165" s="236">
        <v>1728.8256512533994</v>
      </c>
      <c r="DE165" s="236">
        <v>1952.9849563024204</v>
      </c>
      <c r="DF165" s="401">
        <v>1464.090811368362</v>
      </c>
      <c r="DG165" s="236">
        <v>1629.75990113855</v>
      </c>
      <c r="DH165" s="492">
        <v>1456.8589632503754</v>
      </c>
      <c r="DI165" s="236">
        <v>1475.454784405177</v>
      </c>
      <c r="DJ165" s="236">
        <v>975.00716653027894</v>
      </c>
      <c r="DK165" s="236">
        <v>1.2478612803571413E-5</v>
      </c>
      <c r="DL165" s="236">
        <v>1.2917406000078429E-5</v>
      </c>
      <c r="DM165" s="236">
        <v>1.3339334977084239E-5</v>
      </c>
      <c r="DN165" s="236">
        <v>1.3752169811308852E-5</v>
      </c>
      <c r="DO165" s="236">
        <v>1.4244893597791774E-5</v>
      </c>
      <c r="DP165" s="236">
        <v>1.4755271087879084E-5</v>
      </c>
      <c r="DQ165" s="401">
        <v>1.5283934792643926E-5</v>
      </c>
      <c r="DR165" s="401">
        <v>1.5831539885274238E-5</v>
      </c>
      <c r="DS165" s="401">
        <v>1.6398765013029207E-5</v>
      </c>
      <c r="DT165" s="401">
        <v>1.698631313828715E-5</v>
      </c>
      <c r="DU165" s="401">
        <v>1.7594912409727129E-5</v>
      </c>
      <c r="DV165" s="401">
        <v>1.8225317064723966E-5</v>
      </c>
      <c r="DW165" s="401">
        <v>1.8878308364074998E-5</v>
      </c>
      <c r="DX165" s="401">
        <v>1.9554695560216953E-5</v>
      </c>
      <c r="DY165" s="401">
        <v>2.0255316900132903E-5</v>
      </c>
      <c r="DZ165" s="401"/>
      <c r="EA165" s="989"/>
    </row>
    <row r="166" spans="1:131">
      <c r="A166" s="3" t="s">
        <v>2824</v>
      </c>
      <c r="B166" s="3" t="str">
        <f>DataInput!B8</f>
        <v>Bauxietsector werknemers</v>
      </c>
      <c r="C166" s="251" t="s">
        <v>3732</v>
      </c>
      <c r="D166" s="197" t="str">
        <f>DataInput!D8</f>
        <v>BI</v>
      </c>
      <c r="AW166" s="40">
        <f>DataInput!AW8/1000</f>
        <v>2.61</v>
      </c>
      <c r="AX166" s="40">
        <f>DataInput!AX8/1000</f>
        <v>2.343</v>
      </c>
      <c r="AY166" s="40">
        <f>DataInput!AY8/1000</f>
        <v>1.843</v>
      </c>
      <c r="AZ166" s="40">
        <f>DataInput!AZ8/1000</f>
        <v>1.7849999999999999</v>
      </c>
      <c r="BA166" s="40">
        <f>DataInput!BA8/1000</f>
        <v>1.5009999999999999</v>
      </c>
      <c r="BB166" s="40">
        <f>DataInput!BB8/1000</f>
        <v>1.4610000000000001</v>
      </c>
      <c r="BC166" s="40">
        <f>DataInput!BC8/1000</f>
        <v>1.4239999999999999</v>
      </c>
      <c r="BD166" s="40">
        <f>DataInput!BD8/1000</f>
        <v>1.41</v>
      </c>
      <c r="BE166" s="117">
        <f>BD166*BE13/BD13</f>
        <v>1.3516551724137928</v>
      </c>
      <c r="BF166" s="40">
        <f>DataInput!BF8/1000</f>
        <v>1.3360000000000001</v>
      </c>
      <c r="BG166" s="40">
        <f>DataInput!BG8/1000</f>
        <v>1.1639999999999999</v>
      </c>
      <c r="BH166" s="40">
        <f>DataInput!BH8/1000</f>
        <v>1.1739999999999999</v>
      </c>
      <c r="BI166" s="40">
        <f>DataInput!BI8/1000</f>
        <v>0.92500000000000004</v>
      </c>
      <c r="BJ166" s="40">
        <f>DataInput!BJ8/1000</f>
        <v>0.92200000000000004</v>
      </c>
      <c r="BK166" s="40">
        <f>DataInput!BK8/1000</f>
        <v>0.95199999999999996</v>
      </c>
      <c r="BL166" s="40">
        <f>DataInput!BL8/1000</f>
        <v>0.89600000000000002</v>
      </c>
      <c r="BM166" s="40">
        <f>DataInput!BM8/1000</f>
        <v>0.72899999999999998</v>
      </c>
      <c r="BN166" s="40">
        <f>DataInput!BN8/1000</f>
        <v>0.93799999999999994</v>
      </c>
      <c r="BO166" s="117">
        <f t="shared" ref="BO166:BU166" si="422">BN166*BO13/BN13</f>
        <v>0.62845999999999991</v>
      </c>
      <c r="BP166" s="117">
        <f t="shared" si="422"/>
        <v>6.2845999618055254E-9</v>
      </c>
      <c r="BQ166" s="117">
        <f t="shared" si="422"/>
        <v>6.2845999618055254E-9</v>
      </c>
      <c r="BR166" s="117">
        <f t="shared" si="422"/>
        <v>6.2845999618055254E-9</v>
      </c>
      <c r="BS166" s="117">
        <f t="shared" si="422"/>
        <v>6.2845999618055254E-9</v>
      </c>
      <c r="BT166" s="117">
        <f t="shared" si="422"/>
        <v>6.2845999618055254E-9</v>
      </c>
      <c r="BU166" s="117">
        <f t="shared" si="422"/>
        <v>6.2845999618055254E-9</v>
      </c>
      <c r="BV166" s="117">
        <f t="shared" ref="BV166:BX166" si="423">BU166*BV13/BU13</f>
        <v>6.2845999618055254E-9</v>
      </c>
      <c r="BW166" s="117">
        <f t="shared" si="423"/>
        <v>6.2845999618055254E-9</v>
      </c>
      <c r="BX166" s="117">
        <f t="shared" si="423"/>
        <v>6.2845999618055254E-9</v>
      </c>
      <c r="BY166" s="117">
        <f t="shared" ref="BY166" si="424">BX166*BY13/BX13</f>
        <v>6.2845999618055254E-9</v>
      </c>
      <c r="BZ166" s="117">
        <f t="shared" ref="BZ166" si="425">BY166*BZ13/BY13</f>
        <v>6.2845999618055254E-9</v>
      </c>
      <c r="CA166" s="117">
        <f t="shared" ref="CA166" si="426">BZ166*CA13/BZ13</f>
        <v>6.2845999618055254E-9</v>
      </c>
      <c r="CB166" s="117">
        <f t="shared" ref="CB166" si="427">CA166*CB13/CA13</f>
        <v>6.2845999618055254E-9</v>
      </c>
      <c r="CC166" s="117">
        <f t="shared" ref="CC166" si="428">CB166*CC13/CB13</f>
        <v>6.2845999618055254E-9</v>
      </c>
      <c r="CD166" s="117">
        <f t="shared" ref="CD166" si="429">CC166*CD13/CC13</f>
        <v>6.2845999618055254E-9</v>
      </c>
      <c r="CE166" s="117"/>
      <c r="CF166" s="435"/>
      <c r="CG166" s="235">
        <f t="shared" ref="CG166:CG197" si="430">BK166-DG166</f>
        <v>0</v>
      </c>
      <c r="CH166" s="276">
        <f t="shared" si="367"/>
        <v>0</v>
      </c>
      <c r="CI166" s="276" t="e">
        <f>BM166-#REF!</f>
        <v>#REF!</v>
      </c>
      <c r="CJ166" s="276">
        <f t="shared" si="395"/>
        <v>0</v>
      </c>
      <c r="CK166" s="276">
        <f t="shared" si="396"/>
        <v>0</v>
      </c>
      <c r="CL166" s="276">
        <f t="shared" si="397"/>
        <v>0</v>
      </c>
      <c r="CM166" s="276">
        <f t="shared" si="398"/>
        <v>0</v>
      </c>
      <c r="CN166" s="276">
        <f t="shared" si="399"/>
        <v>0</v>
      </c>
      <c r="CO166" s="276">
        <f t="shared" si="400"/>
        <v>0</v>
      </c>
      <c r="CP166" s="276">
        <f t="shared" si="401"/>
        <v>0</v>
      </c>
      <c r="CQ166" s="276">
        <f t="shared" si="402"/>
        <v>0</v>
      </c>
      <c r="CR166" s="276">
        <f t="shared" si="403"/>
        <v>0</v>
      </c>
      <c r="CS166" s="276">
        <f t="shared" si="404"/>
        <v>0</v>
      </c>
      <c r="CT166" s="276">
        <f t="shared" si="405"/>
        <v>0</v>
      </c>
      <c r="CU166" s="276">
        <f t="shared" si="406"/>
        <v>0</v>
      </c>
      <c r="CV166" s="276">
        <f t="shared" si="407"/>
        <v>0</v>
      </c>
      <c r="CW166" s="276">
        <f t="shared" si="408"/>
        <v>0</v>
      </c>
      <c r="CX166" s="276">
        <f t="shared" si="409"/>
        <v>0</v>
      </c>
      <c r="CY166" s="276">
        <f t="shared" si="410"/>
        <v>0</v>
      </c>
      <c r="CZ166" s="276">
        <f t="shared" si="411"/>
        <v>0</v>
      </c>
      <c r="DB166" s="236">
        <v>0.47750427093595998</v>
      </c>
      <c r="DC166" s="236">
        <v>1.4775042709359603</v>
      </c>
      <c r="DD166" s="236">
        <v>1.5015131674876845</v>
      </c>
      <c r="DE166" s="236">
        <v>1.1739999999999999</v>
      </c>
      <c r="DF166" s="259">
        <v>0.92500000000000004</v>
      </c>
      <c r="DG166" s="236">
        <v>0.95199999999999996</v>
      </c>
      <c r="DH166" s="492">
        <v>0.89600000000000002</v>
      </c>
      <c r="DI166" s="236">
        <v>0.93799999999999994</v>
      </c>
      <c r="DJ166" s="236">
        <v>0.62845999999999991</v>
      </c>
      <c r="DK166" s="236">
        <v>6.2845999618055254E-9</v>
      </c>
      <c r="DL166" s="236">
        <v>6.2845999618055254E-9</v>
      </c>
      <c r="DM166" s="236">
        <v>6.2845999618055254E-9</v>
      </c>
      <c r="DN166" s="236">
        <v>6.2845999618055254E-9</v>
      </c>
      <c r="DO166" s="236">
        <v>6.2845999618055254E-9</v>
      </c>
      <c r="DP166" s="236">
        <v>6.2845999618055254E-9</v>
      </c>
      <c r="DQ166" s="258">
        <v>6.2845999618055254E-9</v>
      </c>
      <c r="DR166" s="258">
        <v>6.2845999618055254E-9</v>
      </c>
      <c r="DS166" s="258">
        <v>6.2845999618055254E-9</v>
      </c>
      <c r="DT166" s="258">
        <v>6.2845999618055254E-9</v>
      </c>
      <c r="DU166" s="258">
        <v>6.2845999618055254E-9</v>
      </c>
      <c r="DV166" s="258">
        <v>6.2845999618055254E-9</v>
      </c>
      <c r="DW166" s="258">
        <v>6.2845999618055254E-9</v>
      </c>
      <c r="DX166" s="258">
        <v>6.2845999618055254E-9</v>
      </c>
      <c r="DY166" s="258">
        <v>6.2845999618055254E-9</v>
      </c>
    </row>
    <row r="167" spans="1:131" s="18" customFormat="1">
      <c r="A167" s="18" t="s">
        <v>2825</v>
      </c>
      <c r="B167" s="149" t="s">
        <v>2875</v>
      </c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  <c r="AE167" s="216"/>
      <c r="AF167" s="216"/>
      <c r="AG167" s="216"/>
      <c r="AH167" s="216"/>
      <c r="AI167" s="216"/>
      <c r="AJ167" s="216"/>
      <c r="AK167" s="216"/>
      <c r="AL167" s="216"/>
      <c r="AM167" s="216"/>
      <c r="AN167" s="216"/>
      <c r="AO167" s="216"/>
      <c r="AP167" s="216"/>
      <c r="AQ167" s="216"/>
      <c r="AR167" s="216"/>
      <c r="AS167" s="216"/>
      <c r="AT167" s="216"/>
      <c r="AW167" s="25"/>
      <c r="AX167" s="25"/>
      <c r="AY167" s="25"/>
      <c r="AZ167" s="25"/>
      <c r="BA167" s="25"/>
      <c r="BB167" s="25"/>
      <c r="BC167" s="25"/>
      <c r="BD167" s="25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435"/>
      <c r="CG167" s="235">
        <f t="shared" si="430"/>
        <v>0</v>
      </c>
      <c r="CH167" s="235">
        <f t="shared" si="367"/>
        <v>0</v>
      </c>
      <c r="CI167" s="235" t="e">
        <f>BM167-#REF!</f>
        <v>#REF!</v>
      </c>
      <c r="CJ167" s="235">
        <f t="shared" si="395"/>
        <v>0</v>
      </c>
      <c r="CK167" s="235">
        <f t="shared" si="396"/>
        <v>0</v>
      </c>
      <c r="CL167" s="235">
        <f t="shared" si="397"/>
        <v>0</v>
      </c>
      <c r="CM167" s="235">
        <f t="shared" si="398"/>
        <v>0</v>
      </c>
      <c r="CN167" s="235">
        <f t="shared" si="399"/>
        <v>0</v>
      </c>
      <c r="CO167" s="235">
        <f t="shared" si="400"/>
        <v>0</v>
      </c>
      <c r="CP167" s="235">
        <f t="shared" si="401"/>
        <v>0</v>
      </c>
      <c r="CQ167" s="235">
        <f t="shared" si="402"/>
        <v>0</v>
      </c>
      <c r="CR167" s="235">
        <f t="shared" si="403"/>
        <v>0</v>
      </c>
      <c r="CS167" s="235">
        <f t="shared" si="404"/>
        <v>0</v>
      </c>
      <c r="CT167" s="235">
        <f t="shared" si="405"/>
        <v>0</v>
      </c>
      <c r="CU167" s="235">
        <f t="shared" si="406"/>
        <v>0</v>
      </c>
      <c r="CV167" s="235">
        <f t="shared" si="407"/>
        <v>0</v>
      </c>
      <c r="CW167" s="235">
        <f t="shared" si="408"/>
        <v>0</v>
      </c>
      <c r="CX167" s="235">
        <f t="shared" si="409"/>
        <v>0</v>
      </c>
      <c r="CY167" s="235">
        <f t="shared" si="410"/>
        <v>0</v>
      </c>
      <c r="CZ167" s="235">
        <f t="shared" si="411"/>
        <v>0</v>
      </c>
      <c r="DA167" s="38"/>
      <c r="DB167" s="236"/>
      <c r="DC167" s="236"/>
      <c r="DD167" s="236"/>
      <c r="DE167" s="236"/>
      <c r="DF167" s="403"/>
      <c r="DG167" s="236"/>
      <c r="DH167" s="492"/>
      <c r="DI167" s="236"/>
      <c r="DJ167" s="236"/>
      <c r="DK167" s="236"/>
      <c r="DL167" s="236"/>
      <c r="DM167" s="236"/>
      <c r="DN167" s="236"/>
      <c r="DO167" s="236"/>
      <c r="DP167" s="236"/>
      <c r="DQ167" s="258"/>
      <c r="DR167" s="258"/>
      <c r="DS167" s="258"/>
      <c r="DT167" s="258"/>
      <c r="DU167" s="258"/>
      <c r="DV167" s="258"/>
      <c r="DW167" s="258"/>
      <c r="DX167" s="258"/>
      <c r="DY167" s="258"/>
      <c r="DZ167" s="258"/>
      <c r="EA167" s="967"/>
    </row>
    <row r="168" spans="1:131" s="18" customFormat="1">
      <c r="A168" s="18" t="s">
        <v>2826</v>
      </c>
      <c r="B168" s="158" t="s">
        <v>729</v>
      </c>
      <c r="C168" s="256" t="s">
        <v>3733</v>
      </c>
      <c r="D168" s="217">
        <f>D90</f>
        <v>0</v>
      </c>
      <c r="E168" s="217"/>
      <c r="F168" s="158">
        <f t="shared" ref="F168:AT168" si="431">F90</f>
        <v>0</v>
      </c>
      <c r="G168" s="158">
        <f t="shared" si="431"/>
        <v>0</v>
      </c>
      <c r="H168" s="158">
        <f t="shared" si="431"/>
        <v>0</v>
      </c>
      <c r="I168" s="158">
        <f t="shared" si="431"/>
        <v>0</v>
      </c>
      <c r="J168" s="158">
        <f t="shared" si="431"/>
        <v>0</v>
      </c>
      <c r="K168" s="158">
        <f t="shared" si="431"/>
        <v>0</v>
      </c>
      <c r="L168" s="158">
        <f t="shared" si="431"/>
        <v>0</v>
      </c>
      <c r="M168" s="158">
        <f t="shared" si="431"/>
        <v>0</v>
      </c>
      <c r="N168" s="158">
        <f t="shared" si="431"/>
        <v>0</v>
      </c>
      <c r="O168" s="158">
        <f t="shared" si="431"/>
        <v>0</v>
      </c>
      <c r="P168" s="158">
        <f t="shared" si="431"/>
        <v>0</v>
      </c>
      <c r="Q168" s="158">
        <f t="shared" si="431"/>
        <v>0</v>
      </c>
      <c r="R168" s="158">
        <f t="shared" si="431"/>
        <v>0</v>
      </c>
      <c r="S168" s="158">
        <f t="shared" si="431"/>
        <v>0</v>
      </c>
      <c r="T168" s="158">
        <f t="shared" si="431"/>
        <v>0</v>
      </c>
      <c r="U168" s="158">
        <f t="shared" si="431"/>
        <v>0</v>
      </c>
      <c r="V168" s="158">
        <f t="shared" si="431"/>
        <v>0</v>
      </c>
      <c r="W168" s="158">
        <f t="shared" si="431"/>
        <v>0</v>
      </c>
      <c r="X168" s="158">
        <f t="shared" si="431"/>
        <v>0</v>
      </c>
      <c r="Y168" s="158">
        <f t="shared" si="431"/>
        <v>0</v>
      </c>
      <c r="Z168" s="158">
        <f t="shared" si="431"/>
        <v>0</v>
      </c>
      <c r="AA168" s="158">
        <f t="shared" si="431"/>
        <v>0</v>
      </c>
      <c r="AB168" s="158">
        <f t="shared" si="431"/>
        <v>0</v>
      </c>
      <c r="AC168" s="158">
        <f t="shared" si="431"/>
        <v>0</v>
      </c>
      <c r="AD168" s="158">
        <f t="shared" si="431"/>
        <v>0</v>
      </c>
      <c r="AE168" s="158">
        <f t="shared" si="431"/>
        <v>0</v>
      </c>
      <c r="AF168" s="158">
        <f t="shared" si="431"/>
        <v>0</v>
      </c>
      <c r="AG168" s="158">
        <f t="shared" si="431"/>
        <v>0</v>
      </c>
      <c r="AH168" s="158">
        <f t="shared" si="431"/>
        <v>0</v>
      </c>
      <c r="AI168" s="158">
        <f t="shared" si="431"/>
        <v>0</v>
      </c>
      <c r="AJ168" s="158">
        <f t="shared" si="431"/>
        <v>0</v>
      </c>
      <c r="AK168" s="158">
        <f t="shared" si="431"/>
        <v>0</v>
      </c>
      <c r="AL168" s="158">
        <f t="shared" si="431"/>
        <v>0</v>
      </c>
      <c r="AM168" s="158">
        <f t="shared" si="431"/>
        <v>0</v>
      </c>
      <c r="AN168" s="158">
        <f t="shared" si="431"/>
        <v>0</v>
      </c>
      <c r="AO168" s="158">
        <f t="shared" si="431"/>
        <v>0</v>
      </c>
      <c r="AP168" s="158">
        <f t="shared" si="431"/>
        <v>0</v>
      </c>
      <c r="AQ168" s="158">
        <f t="shared" si="431"/>
        <v>0</v>
      </c>
      <c r="AR168" s="158">
        <f t="shared" si="431"/>
        <v>0</v>
      </c>
      <c r="AS168" s="158">
        <f t="shared" si="431"/>
        <v>0</v>
      </c>
      <c r="AT168" s="158">
        <f t="shared" si="431"/>
        <v>0</v>
      </c>
      <c r="AU168" s="158">
        <f t="shared" ref="AU168:BO168" si="432">AU90</f>
        <v>0</v>
      </c>
      <c r="AV168" s="158">
        <f t="shared" si="432"/>
        <v>4.4016292828616388</v>
      </c>
      <c r="AW168" s="158">
        <f t="shared" si="432"/>
        <v>12.74125339793472</v>
      </c>
      <c r="AX168" s="158">
        <f t="shared" si="432"/>
        <v>20.705053582080005</v>
      </c>
      <c r="AY168" s="158">
        <f t="shared" si="432"/>
        <v>45.539080174717192</v>
      </c>
      <c r="AZ168" s="158">
        <f t="shared" si="432"/>
        <v>72.700412393043734</v>
      </c>
      <c r="BA168" s="158">
        <f t="shared" si="432"/>
        <v>81.29284874902001</v>
      </c>
      <c r="BB168" s="158">
        <f t="shared" si="432"/>
        <v>47.165124368694165</v>
      </c>
      <c r="BC168" s="158">
        <f t="shared" si="432"/>
        <v>293.08853047258123</v>
      </c>
      <c r="BD168" s="158">
        <f t="shared" si="432"/>
        <v>659.82757374165612</v>
      </c>
      <c r="BE168" s="158">
        <f t="shared" si="432"/>
        <v>724.05397258740027</v>
      </c>
      <c r="BF168" s="158">
        <f t="shared" si="432"/>
        <v>1027.523037738054</v>
      </c>
      <c r="BG168" s="158">
        <f t="shared" si="432"/>
        <v>1228.2951953035067</v>
      </c>
      <c r="BH168" s="158">
        <f t="shared" si="432"/>
        <v>1835.577838134755</v>
      </c>
      <c r="BI168" s="158">
        <f t="shared" si="432"/>
        <v>2313.7819745867405</v>
      </c>
      <c r="BJ168" s="158">
        <f t="shared" si="432"/>
        <v>3157.3112000000001</v>
      </c>
      <c r="BK168" s="158">
        <f t="shared" si="432"/>
        <v>4389.8562246463352</v>
      </c>
      <c r="BL168" s="158">
        <f t="shared" si="432"/>
        <v>5150.0801611385659</v>
      </c>
      <c r="BM168" s="158">
        <f t="shared" si="432"/>
        <v>4196.5152054350001</v>
      </c>
      <c r="BN168" s="158">
        <f t="shared" si="432"/>
        <v>3486.0193005426513</v>
      </c>
      <c r="BO168" s="158">
        <f t="shared" si="432"/>
        <v>3239.2340625189845</v>
      </c>
      <c r="BP168" s="158">
        <f t="shared" ref="BP168:BU168" si="433">BP90</f>
        <v>4762.7587844965301</v>
      </c>
      <c r="BQ168" s="158">
        <f t="shared" si="433"/>
        <v>6085.8501609204486</v>
      </c>
      <c r="BR168" s="158">
        <f t="shared" si="433"/>
        <v>6353.3596205093718</v>
      </c>
      <c r="BS168" s="158">
        <f t="shared" si="433"/>
        <v>6136.8927155629081</v>
      </c>
      <c r="BT168" s="158">
        <f t="shared" si="433"/>
        <v>6169.7013314662145</v>
      </c>
      <c r="BU168" s="158">
        <f t="shared" si="433"/>
        <v>6417.3235283448794</v>
      </c>
      <c r="BV168" s="158">
        <f>BV90</f>
        <v>6674.8840916197069</v>
      </c>
      <c r="BW168" s="158">
        <f t="shared" ref="BW168:BX168" si="434">BW90</f>
        <v>6942.7818996136821</v>
      </c>
      <c r="BX168" s="158">
        <f t="shared" si="434"/>
        <v>7221.4318397110574</v>
      </c>
      <c r="BY168" s="158">
        <f t="shared" ref="BY168:CD168" si="435">BY90</f>
        <v>7511.2654508842288</v>
      </c>
      <c r="BZ168" s="158">
        <f t="shared" si="435"/>
        <v>8046.0675509871862</v>
      </c>
      <c r="CA168" s="158">
        <f t="shared" si="435"/>
        <v>8618.9475606174747</v>
      </c>
      <c r="CB168" s="158">
        <f t="shared" si="435"/>
        <v>9232.616626933439</v>
      </c>
      <c r="CC168" s="158">
        <f t="shared" si="435"/>
        <v>9889.9789307711035</v>
      </c>
      <c r="CD168" s="158">
        <f t="shared" si="435"/>
        <v>10594.145430642006</v>
      </c>
      <c r="CE168" s="158"/>
      <c r="CF168" s="435"/>
      <c r="CG168" s="235">
        <f t="shared" si="430"/>
        <v>0</v>
      </c>
      <c r="CH168" s="235">
        <f t="shared" si="367"/>
        <v>0</v>
      </c>
      <c r="CI168" s="235" t="e">
        <f>BM168-#REF!</f>
        <v>#REF!</v>
      </c>
      <c r="CJ168" s="235">
        <f t="shared" si="395"/>
        <v>0</v>
      </c>
      <c r="CK168" s="235">
        <f t="shared" si="396"/>
        <v>0</v>
      </c>
      <c r="CL168" s="235">
        <f t="shared" si="397"/>
        <v>0</v>
      </c>
      <c r="CM168" s="235">
        <f t="shared" si="398"/>
        <v>0</v>
      </c>
      <c r="CN168" s="235">
        <f t="shared" si="399"/>
        <v>0</v>
      </c>
      <c r="CO168" s="235">
        <f t="shared" si="400"/>
        <v>0</v>
      </c>
      <c r="CP168" s="235">
        <f t="shared" si="401"/>
        <v>0</v>
      </c>
      <c r="CQ168" s="235">
        <f t="shared" si="402"/>
        <v>0</v>
      </c>
      <c r="CR168" s="235">
        <f t="shared" si="403"/>
        <v>0</v>
      </c>
      <c r="CS168" s="235">
        <f t="shared" si="404"/>
        <v>0</v>
      </c>
      <c r="CT168" s="235">
        <f t="shared" si="405"/>
        <v>0</v>
      </c>
      <c r="CU168" s="235">
        <f t="shared" si="406"/>
        <v>0</v>
      </c>
      <c r="CV168" s="235">
        <f t="shared" si="407"/>
        <v>0</v>
      </c>
      <c r="CW168" s="235">
        <f t="shared" si="408"/>
        <v>0</v>
      </c>
      <c r="CX168" s="235">
        <f t="shared" si="409"/>
        <v>0</v>
      </c>
      <c r="CY168" s="235">
        <f t="shared" si="410"/>
        <v>0</v>
      </c>
      <c r="CZ168" s="235">
        <f t="shared" si="411"/>
        <v>0</v>
      </c>
      <c r="DA168" s="38"/>
      <c r="DB168" s="236">
        <v>985.36972985615</v>
      </c>
      <c r="DC168" s="236">
        <v>986.36972985614977</v>
      </c>
      <c r="DD168" s="236">
        <v>1230.5074513780801</v>
      </c>
      <c r="DE168" s="236">
        <v>1752.7253129346375</v>
      </c>
      <c r="DF168" s="401">
        <v>2313.7819745867405</v>
      </c>
      <c r="DG168" s="236">
        <v>4389.8562246463352</v>
      </c>
      <c r="DH168" s="492">
        <v>5150.0801611385659</v>
      </c>
      <c r="DI168" s="236">
        <v>3486.0193005426513</v>
      </c>
      <c r="DJ168" s="236">
        <v>3239.2340625189845</v>
      </c>
      <c r="DK168" s="236">
        <v>4762.7587844965301</v>
      </c>
      <c r="DL168" s="236">
        <v>6085.8501609204486</v>
      </c>
      <c r="DM168" s="236">
        <v>6353.3596205093718</v>
      </c>
      <c r="DN168" s="236">
        <v>6136.8927155629081</v>
      </c>
      <c r="DO168" s="236">
        <v>6169.7013314662145</v>
      </c>
      <c r="DP168" s="236">
        <v>6417.3235283448794</v>
      </c>
      <c r="DQ168" s="258">
        <v>6674.8840916197069</v>
      </c>
      <c r="DR168" s="258">
        <v>6942.7818996136821</v>
      </c>
      <c r="DS168" s="258">
        <v>7221.4318397110574</v>
      </c>
      <c r="DT168" s="258">
        <v>7511.2654508842288</v>
      </c>
      <c r="DU168" s="258">
        <v>8046.0675509871862</v>
      </c>
      <c r="DV168" s="258">
        <v>8618.9475606174747</v>
      </c>
      <c r="DW168" s="258">
        <v>9232.616626933439</v>
      </c>
      <c r="DX168" s="258">
        <v>9889.9789307711035</v>
      </c>
      <c r="DY168" s="258">
        <v>10594.145430642006</v>
      </c>
      <c r="DZ168" s="258"/>
      <c r="EA168" s="967"/>
    </row>
    <row r="169" spans="1:131" s="18" customFormat="1">
      <c r="A169" s="18" t="s">
        <v>2827</v>
      </c>
      <c r="B169" s="18" t="s">
        <v>2568</v>
      </c>
      <c r="C169" s="251" t="s">
        <v>3734</v>
      </c>
      <c r="D169" s="216"/>
      <c r="E169" s="216"/>
      <c r="F169" s="38">
        <f t="shared" ref="F169:AT169" si="436">F171-F170</f>
        <v>0</v>
      </c>
      <c r="G169" s="38">
        <f t="shared" si="436"/>
        <v>0</v>
      </c>
      <c r="H169" s="38">
        <f t="shared" si="436"/>
        <v>0</v>
      </c>
      <c r="I169" s="38">
        <f t="shared" si="436"/>
        <v>0</v>
      </c>
      <c r="J169" s="38">
        <f t="shared" si="436"/>
        <v>0</v>
      </c>
      <c r="K169" s="38">
        <f t="shared" si="436"/>
        <v>0</v>
      </c>
      <c r="L169" s="38">
        <f t="shared" si="436"/>
        <v>0</v>
      </c>
      <c r="M169" s="38">
        <f t="shared" si="436"/>
        <v>0</v>
      </c>
      <c r="N169" s="38">
        <f t="shared" si="436"/>
        <v>0</v>
      </c>
      <c r="O169" s="38">
        <f t="shared" si="436"/>
        <v>0</v>
      </c>
      <c r="P169" s="38">
        <f t="shared" si="436"/>
        <v>0</v>
      </c>
      <c r="Q169" s="38">
        <f t="shared" si="436"/>
        <v>0</v>
      </c>
      <c r="R169" s="38">
        <f t="shared" si="436"/>
        <v>0</v>
      </c>
      <c r="S169" s="38">
        <f t="shared" si="436"/>
        <v>0</v>
      </c>
      <c r="T169" s="38">
        <f t="shared" si="436"/>
        <v>0</v>
      </c>
      <c r="U169" s="38">
        <f t="shared" si="436"/>
        <v>0</v>
      </c>
      <c r="V169" s="38">
        <f t="shared" si="436"/>
        <v>0</v>
      </c>
      <c r="W169" s="38">
        <f t="shared" si="436"/>
        <v>0</v>
      </c>
      <c r="X169" s="38">
        <f t="shared" si="436"/>
        <v>0</v>
      </c>
      <c r="Y169" s="38">
        <f t="shared" si="436"/>
        <v>0</v>
      </c>
      <c r="Z169" s="38">
        <f t="shared" si="436"/>
        <v>0</v>
      </c>
      <c r="AA169" s="38">
        <f t="shared" si="436"/>
        <v>0</v>
      </c>
      <c r="AB169" s="38">
        <f t="shared" si="436"/>
        <v>0</v>
      </c>
      <c r="AC169" s="38">
        <f t="shared" si="436"/>
        <v>0</v>
      </c>
      <c r="AD169" s="38">
        <f t="shared" si="436"/>
        <v>0</v>
      </c>
      <c r="AE169" s="38">
        <f t="shared" si="436"/>
        <v>0</v>
      </c>
      <c r="AF169" s="38">
        <f t="shared" si="436"/>
        <v>0</v>
      </c>
      <c r="AG169" s="38">
        <f t="shared" si="436"/>
        <v>0</v>
      </c>
      <c r="AH169" s="38">
        <f t="shared" si="436"/>
        <v>0</v>
      </c>
      <c r="AI169" s="38">
        <f t="shared" si="436"/>
        <v>0</v>
      </c>
      <c r="AJ169" s="38">
        <f t="shared" si="436"/>
        <v>0</v>
      </c>
      <c r="AK169" s="38">
        <f t="shared" si="436"/>
        <v>0</v>
      </c>
      <c r="AL169" s="38">
        <f t="shared" si="436"/>
        <v>0</v>
      </c>
      <c r="AM169" s="38">
        <f t="shared" si="436"/>
        <v>0</v>
      </c>
      <c r="AN169" s="38">
        <f t="shared" si="436"/>
        <v>0</v>
      </c>
      <c r="AO169" s="38">
        <f t="shared" si="436"/>
        <v>0</v>
      </c>
      <c r="AP169" s="38">
        <f t="shared" si="436"/>
        <v>0</v>
      </c>
      <c r="AQ169" s="38">
        <f t="shared" si="436"/>
        <v>0</v>
      </c>
      <c r="AR169" s="38">
        <f t="shared" si="436"/>
        <v>0</v>
      </c>
      <c r="AS169" s="38">
        <f t="shared" si="436"/>
        <v>0</v>
      </c>
      <c r="AT169" s="38">
        <f t="shared" si="436"/>
        <v>0</v>
      </c>
      <c r="AU169" s="38">
        <f t="shared" ref="AU169:BC169" si="437">AU171-AU170</f>
        <v>0</v>
      </c>
      <c r="AV169" s="38">
        <f t="shared" si="437"/>
        <v>4.3090564646850584</v>
      </c>
      <c r="AW169" s="38">
        <f t="shared" si="437"/>
        <v>12.724089173582721</v>
      </c>
      <c r="AX169" s="38">
        <f t="shared" si="437"/>
        <v>20.796991654080006</v>
      </c>
      <c r="AY169" s="38">
        <f t="shared" si="437"/>
        <v>45.999080860072191</v>
      </c>
      <c r="AZ169" s="38">
        <f t="shared" si="437"/>
        <v>72.674336024343333</v>
      </c>
      <c r="BA169" s="38">
        <f t="shared" si="437"/>
        <v>82.380269898270015</v>
      </c>
      <c r="BB169" s="38">
        <f t="shared" si="437"/>
        <v>47.640987460067066</v>
      </c>
      <c r="BC169" s="38">
        <f t="shared" si="437"/>
        <v>290.01150756351586</v>
      </c>
      <c r="BD169" s="38">
        <f>BD171-BD170</f>
        <v>301.61873817705612</v>
      </c>
      <c r="BE169" s="38">
        <f>BE171-BE170</f>
        <v>343.36920745940819</v>
      </c>
      <c r="BF169" s="38">
        <f t="shared" ref="BF169:BQ169" si="438">BF171-BF170</f>
        <v>495.55306250664063</v>
      </c>
      <c r="BG169" s="38">
        <f t="shared" si="438"/>
        <v>546.96346614177889</v>
      </c>
      <c r="BH169" s="38">
        <f t="shared" si="438"/>
        <v>835.50526417920628</v>
      </c>
      <c r="BI169" s="38">
        <f t="shared" si="438"/>
        <v>1015.4996527446601</v>
      </c>
      <c r="BJ169" s="38">
        <f t="shared" si="438"/>
        <v>1450.1834245185435</v>
      </c>
      <c r="BK169" s="38">
        <f t="shared" ref="BK169:BP169" si="439">BK171-BK170</f>
        <v>2233.4363582505962</v>
      </c>
      <c r="BL169" s="38">
        <f t="shared" si="439"/>
        <v>2513.9565410293962</v>
      </c>
      <c r="BM169" s="38">
        <f t="shared" si="439"/>
        <v>1507.6095396494998</v>
      </c>
      <c r="BN169" s="38">
        <f t="shared" si="439"/>
        <v>851.03720147539366</v>
      </c>
      <c r="BO169" s="38">
        <f t="shared" si="439"/>
        <v>542.01260175372477</v>
      </c>
      <c r="BP169" s="38">
        <f t="shared" si="439"/>
        <v>666.33705475718898</v>
      </c>
      <c r="BQ169" s="38">
        <f t="shared" ca="1" si="438"/>
        <v>458.0224027446443</v>
      </c>
      <c r="BR169" s="38">
        <f ca="1">BR171-BR170</f>
        <v>335.2199677691483</v>
      </c>
      <c r="BS169" s="38">
        <f ca="1">BS171-BS170</f>
        <v>271.0774541984174</v>
      </c>
      <c r="BT169" s="38">
        <f ca="1">BT171-BT170</f>
        <v>139.19928492004345</v>
      </c>
      <c r="BU169" s="38">
        <f ca="1">BU171-BU170</f>
        <v>-1.7250902231544956</v>
      </c>
      <c r="BV169" s="38">
        <f ca="1">BV171-BV170</f>
        <v>-159.75270984194788</v>
      </c>
      <c r="BW169" s="38">
        <f t="shared" ref="BW169:BX169" ca="1" si="440">BW171-BW170</f>
        <v>-335.19519079937561</v>
      </c>
      <c r="BX169" s="38">
        <f t="shared" ca="1" si="440"/>
        <v>-527.83728900518099</v>
      </c>
      <c r="BY169" s="38">
        <f t="shared" ref="BY169:CD169" ca="1" si="441">BY171-BY170</f>
        <v>-738.53705929477042</v>
      </c>
      <c r="BZ169" s="38">
        <f t="shared" ca="1" si="441"/>
        <v>-759.19491238490025</v>
      </c>
      <c r="CA169" s="38">
        <f t="shared" ca="1" si="441"/>
        <v>-778.35244629661565</v>
      </c>
      <c r="CB169" s="38">
        <f t="shared" ca="1" si="441"/>
        <v>-795.78953329584272</v>
      </c>
      <c r="CC169" s="38">
        <f t="shared" ca="1" si="441"/>
        <v>-810.88136010640358</v>
      </c>
      <c r="CD169" s="38">
        <f t="shared" ca="1" si="441"/>
        <v>-823.15617050845538</v>
      </c>
      <c r="CE169" s="38"/>
      <c r="CF169" s="435"/>
      <c r="CG169" s="235">
        <f t="shared" si="430"/>
        <v>-998.17497803815968</v>
      </c>
      <c r="CH169" s="235">
        <f t="shared" si="367"/>
        <v>-1273.8560408989219</v>
      </c>
      <c r="CI169" s="235" t="e">
        <f>BM169-#REF!</f>
        <v>#REF!</v>
      </c>
      <c r="CJ169" s="235">
        <f t="shared" si="395"/>
        <v>0</v>
      </c>
      <c r="CK169" s="235">
        <f t="shared" si="396"/>
        <v>0</v>
      </c>
      <c r="CL169" s="235">
        <f t="shared" si="397"/>
        <v>0</v>
      </c>
      <c r="CM169" s="235">
        <f t="shared" ca="1" si="398"/>
        <v>0</v>
      </c>
      <c r="CN169" s="235">
        <f t="shared" ca="1" si="399"/>
        <v>0</v>
      </c>
      <c r="CO169" s="235">
        <f t="shared" ca="1" si="400"/>
        <v>0</v>
      </c>
      <c r="CP169" s="235">
        <f t="shared" ca="1" si="401"/>
        <v>0</v>
      </c>
      <c r="CQ169" s="235">
        <f t="shared" ca="1" si="402"/>
        <v>0</v>
      </c>
      <c r="CR169" s="235">
        <f t="shared" ca="1" si="403"/>
        <v>0</v>
      </c>
      <c r="CS169" s="235">
        <f t="shared" ca="1" si="404"/>
        <v>-9.0949470177292824E-13</v>
      </c>
      <c r="CT169" s="235">
        <f t="shared" ca="1" si="405"/>
        <v>-9.0949470177292824E-13</v>
      </c>
      <c r="CU169" s="235">
        <f t="shared" ca="1" si="406"/>
        <v>-9.0949470177292824E-13</v>
      </c>
      <c r="CV169" s="235">
        <f t="shared" ca="1" si="407"/>
        <v>-9.0949470177292824E-13</v>
      </c>
      <c r="CW169" s="235">
        <f t="shared" ca="1" si="408"/>
        <v>-1.8189894035458565E-12</v>
      </c>
      <c r="CX169" s="235">
        <f t="shared" ca="1" si="409"/>
        <v>-1.0913936421275139E-11</v>
      </c>
      <c r="CY169" s="235">
        <f t="shared" ca="1" si="410"/>
        <v>-4.9112713895738125E-11</v>
      </c>
      <c r="CZ169" s="235">
        <f t="shared" ca="1" si="411"/>
        <v>6.5483618527650833E-11</v>
      </c>
      <c r="DA169" s="38"/>
      <c r="DB169" s="236">
        <v>554.28662425945595</v>
      </c>
      <c r="DC169" s="236">
        <v>555.28662425945595</v>
      </c>
      <c r="DD169" s="236">
        <v>730.72542639461108</v>
      </c>
      <c r="DE169" s="236">
        <v>1080.8790672281284</v>
      </c>
      <c r="DF169" s="236">
        <v>1504.6604443787262</v>
      </c>
      <c r="DG169" s="236">
        <v>3231.6113362887559</v>
      </c>
      <c r="DH169" s="492">
        <v>3787.8125819283182</v>
      </c>
      <c r="DI169" s="236">
        <v>851.03720147539366</v>
      </c>
      <c r="DJ169" s="236">
        <v>542.01260175372477</v>
      </c>
      <c r="DK169" s="236">
        <v>666.33705475718898</v>
      </c>
      <c r="DL169" s="236">
        <v>458.0224027446443</v>
      </c>
      <c r="DM169" s="236">
        <v>335.2199677691483</v>
      </c>
      <c r="DN169" s="236">
        <v>271.0774541984174</v>
      </c>
      <c r="DO169" s="236">
        <v>139.19928492004345</v>
      </c>
      <c r="DP169" s="236">
        <v>-1.7250902231544956</v>
      </c>
      <c r="DQ169" s="258">
        <v>-159.75270984194788</v>
      </c>
      <c r="DR169" s="258">
        <v>-335.1951907993747</v>
      </c>
      <c r="DS169" s="258">
        <v>-527.83728900518008</v>
      </c>
      <c r="DT169" s="258">
        <v>-738.53705929476951</v>
      </c>
      <c r="DU169" s="258">
        <v>-759.19491238489934</v>
      </c>
      <c r="DV169" s="258">
        <v>-778.35244629661383</v>
      </c>
      <c r="DW169" s="258">
        <v>-795.7895332958318</v>
      </c>
      <c r="DX169" s="258">
        <v>-810.88136010635446</v>
      </c>
      <c r="DY169" s="258">
        <v>-823.15617050852086</v>
      </c>
      <c r="DZ169" s="258"/>
      <c r="EA169" s="967"/>
    </row>
    <row r="170" spans="1:131" s="18" customFormat="1">
      <c r="A170" s="18" t="s">
        <v>2828</v>
      </c>
      <c r="B170" s="18" t="s">
        <v>2130</v>
      </c>
      <c r="D170" s="216"/>
      <c r="E170" s="216"/>
      <c r="F170" s="38">
        <f t="shared" ref="F170:AK170" si="442">(0.065*(F44-425)+0.025*F44)*F23*F363/1000</f>
        <v>0</v>
      </c>
      <c r="G170" s="38">
        <f t="shared" si="442"/>
        <v>0</v>
      </c>
      <c r="H170" s="38">
        <f t="shared" si="442"/>
        <v>0</v>
      </c>
      <c r="I170" s="38">
        <f t="shared" si="442"/>
        <v>0</v>
      </c>
      <c r="J170" s="38">
        <f t="shared" si="442"/>
        <v>0</v>
      </c>
      <c r="K170" s="38">
        <f t="shared" si="442"/>
        <v>0</v>
      </c>
      <c r="L170" s="38">
        <f t="shared" si="442"/>
        <v>0</v>
      </c>
      <c r="M170" s="38">
        <f t="shared" si="442"/>
        <v>0</v>
      </c>
      <c r="N170" s="38">
        <f t="shared" si="442"/>
        <v>0</v>
      </c>
      <c r="O170" s="38">
        <f t="shared" si="442"/>
        <v>0</v>
      </c>
      <c r="P170" s="38">
        <f t="shared" si="442"/>
        <v>0</v>
      </c>
      <c r="Q170" s="38">
        <f t="shared" si="442"/>
        <v>0</v>
      </c>
      <c r="R170" s="38">
        <f t="shared" si="442"/>
        <v>0</v>
      </c>
      <c r="S170" s="38">
        <f t="shared" si="442"/>
        <v>0</v>
      </c>
      <c r="T170" s="38">
        <f t="shared" si="442"/>
        <v>0</v>
      </c>
      <c r="U170" s="38">
        <f t="shared" si="442"/>
        <v>0</v>
      </c>
      <c r="V170" s="38">
        <f t="shared" si="442"/>
        <v>0</v>
      </c>
      <c r="W170" s="38">
        <f t="shared" si="442"/>
        <v>0</v>
      </c>
      <c r="X170" s="38">
        <f t="shared" si="442"/>
        <v>0</v>
      </c>
      <c r="Y170" s="38">
        <f t="shared" si="442"/>
        <v>0</v>
      </c>
      <c r="Z170" s="38">
        <f t="shared" si="442"/>
        <v>0</v>
      </c>
      <c r="AA170" s="38">
        <f t="shared" si="442"/>
        <v>0</v>
      </c>
      <c r="AB170" s="38">
        <f t="shared" si="442"/>
        <v>0</v>
      </c>
      <c r="AC170" s="38">
        <f t="shared" si="442"/>
        <v>0</v>
      </c>
      <c r="AD170" s="38">
        <f t="shared" si="442"/>
        <v>0</v>
      </c>
      <c r="AE170" s="38">
        <f t="shared" si="442"/>
        <v>0</v>
      </c>
      <c r="AF170" s="38">
        <f t="shared" si="442"/>
        <v>0</v>
      </c>
      <c r="AG170" s="38">
        <f t="shared" si="442"/>
        <v>0</v>
      </c>
      <c r="AH170" s="38">
        <f t="shared" si="442"/>
        <v>0</v>
      </c>
      <c r="AI170" s="38">
        <f t="shared" si="442"/>
        <v>0</v>
      </c>
      <c r="AJ170" s="38">
        <f t="shared" si="442"/>
        <v>0</v>
      </c>
      <c r="AK170" s="38">
        <f t="shared" si="442"/>
        <v>0</v>
      </c>
      <c r="AL170" s="38">
        <f t="shared" ref="AL170:BO170" si="443">(0.065*(AL44-425)+0.025*AL44)*AL23*AL363/1000</f>
        <v>0</v>
      </c>
      <c r="AM170" s="38">
        <f t="shared" si="443"/>
        <v>0</v>
      </c>
      <c r="AN170" s="38">
        <f t="shared" si="443"/>
        <v>0</v>
      </c>
      <c r="AO170" s="38">
        <f t="shared" si="443"/>
        <v>0</v>
      </c>
      <c r="AP170" s="38">
        <f t="shared" si="443"/>
        <v>0</v>
      </c>
      <c r="AQ170" s="38">
        <f t="shared" si="443"/>
        <v>0</v>
      </c>
      <c r="AR170" s="38">
        <f t="shared" si="443"/>
        <v>0</v>
      </c>
      <c r="AS170" s="38">
        <f t="shared" si="443"/>
        <v>0</v>
      </c>
      <c r="AT170" s="38">
        <f t="shared" si="443"/>
        <v>0</v>
      </c>
      <c r="AU170" s="38">
        <f t="shared" si="443"/>
        <v>0</v>
      </c>
      <c r="AV170" s="38">
        <f t="shared" si="443"/>
        <v>9.2572818176580002E-2</v>
      </c>
      <c r="AW170" s="38">
        <f t="shared" si="443"/>
        <v>1.7164224352000108E-2</v>
      </c>
      <c r="AX170" s="38">
        <f t="shared" si="443"/>
        <v>-9.1938072000000023E-2</v>
      </c>
      <c r="AY170" s="38">
        <f t="shared" si="443"/>
        <v>-0.46000068535499994</v>
      </c>
      <c r="AZ170" s="38">
        <f t="shared" si="443"/>
        <v>2.6076368700400528E-2</v>
      </c>
      <c r="BA170" s="38">
        <f t="shared" si="443"/>
        <v>-1.0874211492499999</v>
      </c>
      <c r="BB170" s="38">
        <f t="shared" si="443"/>
        <v>-0.47586309137290067</v>
      </c>
      <c r="BC170" s="38">
        <f t="shared" si="443"/>
        <v>3.0770229090653376</v>
      </c>
      <c r="BD170" s="38">
        <f t="shared" si="443"/>
        <v>16.923615564600002</v>
      </c>
      <c r="BE170" s="38">
        <f t="shared" si="443"/>
        <v>20.679098563136055</v>
      </c>
      <c r="BF170" s="38">
        <f t="shared" si="443"/>
        <v>50.653840712790007</v>
      </c>
      <c r="BG170" s="38">
        <f t="shared" si="443"/>
        <v>69.722696920521543</v>
      </c>
      <c r="BH170" s="38">
        <f t="shared" si="443"/>
        <v>119.93670244591144</v>
      </c>
      <c r="BI170" s="38">
        <f t="shared" si="443"/>
        <v>160.95548595544395</v>
      </c>
      <c r="BJ170" s="38">
        <f t="shared" si="443"/>
        <v>236.33804803920776</v>
      </c>
      <c r="BK170" s="38">
        <f t="shared" si="443"/>
        <v>353.12712847556958</v>
      </c>
      <c r="BL170" s="38">
        <f t="shared" si="443"/>
        <v>420.17932411384788</v>
      </c>
      <c r="BM170" s="38">
        <f t="shared" si="443"/>
        <v>326.989534559947</v>
      </c>
      <c r="BN170" s="38">
        <f t="shared" si="443"/>
        <v>262.89847626818369</v>
      </c>
      <c r="BO170" s="38">
        <f t="shared" si="443"/>
        <v>241.89661876355575</v>
      </c>
      <c r="BP170" s="155">
        <f>SIM!X78*(0.065*(BP44-425)+0.025*BP44)*BP23*BP363/1000</f>
        <v>353.72948196422709</v>
      </c>
      <c r="BQ170" s="155">
        <f>SIM!Y78*(0.065*(BQ44-425)+0.025*BQ44)*BQ23*BQ363/1000</f>
        <v>453.51816190388718</v>
      </c>
      <c r="BR170" s="155">
        <f>SIM!Z78*(0.065*(BR44-425)+0.025*BR44)*BR23*BR363/1000</f>
        <v>476.43605355897807</v>
      </c>
      <c r="BS170" s="155">
        <f>SIM!AA78*(0.065*(BS44-425)+0.025*BS44)*BS23*BS363/1000</f>
        <v>463.19086204712039</v>
      </c>
      <c r="BT170" s="155">
        <f>SIM!AB78*(0.065*(BT44-425)+0.025*BT44)*BT23*BT363/1000</f>
        <v>465.68748963709987</v>
      </c>
      <c r="BU170" s="155">
        <f>SIM!AC78*(0.065*(BU44-425)+0.025*BU44)*BU23*BU363/1000</f>
        <v>484.39911397135262</v>
      </c>
      <c r="BV170" s="155">
        <f>SIM!AD78*(0.065*(BV44-425)+0.025*BV44)*BV23*BV363/1000</f>
        <v>503.86257964259232</v>
      </c>
      <c r="BW170" s="155">
        <f>SIM!AE78*(0.065*(BW44-425)+0.025*BW44)*BW23*BW363/1000</f>
        <v>524.10809581532737</v>
      </c>
      <c r="BX170" s="155">
        <f>SIM!AF78*(0.065*(BX44-425)+0.025*BX44)*BX23*BX363/1000</f>
        <v>545.16708545940901</v>
      </c>
      <c r="BY170" s="155">
        <f>SIM!AG78*(0.065*(BY44-425)+0.025*BY44)*BY23*BY363/1000</f>
        <v>567.07223412053031</v>
      </c>
      <c r="BZ170" s="155">
        <f>SIM!AH78*(0.065*(BZ44-425)+0.025*BZ44)*BZ23*BZ363/1000</f>
        <v>613.38985385971625</v>
      </c>
      <c r="CA170" s="155">
        <f>SIM!AI78*(0.065*(CA44-425)+0.025*CA44)*CA23*CA363/1000</f>
        <v>663.24297119112407</v>
      </c>
      <c r="CB170" s="155">
        <f>SIM!AJ78*(0.065*(CB44-425)+0.025*CB44)*CB23*CB363/1000</f>
        <v>716.89282086599212</v>
      </c>
      <c r="CC170" s="155">
        <f>SIM!AK78*(0.065*(CC44-425)+0.025*CC44)*CC23*CC363/1000</f>
        <v>774.6196178427532</v>
      </c>
      <c r="CD170" s="155">
        <f>SIM!AL78*(0.065*(CD44-425)+0.025*CD44)*CD23*CD363/1000</f>
        <v>836.72392388950391</v>
      </c>
      <c r="CE170" s="155"/>
      <c r="CF170" s="435"/>
      <c r="CG170" s="235">
        <f t="shared" si="430"/>
        <v>0</v>
      </c>
      <c r="CH170" s="235">
        <f t="shared" si="367"/>
        <v>0</v>
      </c>
      <c r="CI170" s="235" t="e">
        <f>BM170-#REF!</f>
        <v>#REF!</v>
      </c>
      <c r="CJ170" s="235">
        <f t="shared" si="395"/>
        <v>0</v>
      </c>
      <c r="CK170" s="235">
        <f t="shared" si="396"/>
        <v>0</v>
      </c>
      <c r="CL170" s="235">
        <f t="shared" si="397"/>
        <v>0</v>
      </c>
      <c r="CM170" s="235">
        <f t="shared" si="398"/>
        <v>0</v>
      </c>
      <c r="CN170" s="235">
        <f t="shared" si="399"/>
        <v>0</v>
      </c>
      <c r="CO170" s="235">
        <f t="shared" si="400"/>
        <v>0</v>
      </c>
      <c r="CP170" s="235">
        <f t="shared" si="401"/>
        <v>0</v>
      </c>
      <c r="CQ170" s="235">
        <f t="shared" si="402"/>
        <v>0</v>
      </c>
      <c r="CR170" s="235">
        <f t="shared" si="403"/>
        <v>0</v>
      </c>
      <c r="CS170" s="235">
        <f t="shared" si="404"/>
        <v>0</v>
      </c>
      <c r="CT170" s="235">
        <f t="shared" si="405"/>
        <v>0</v>
      </c>
      <c r="CU170" s="235">
        <f t="shared" si="406"/>
        <v>0</v>
      </c>
      <c r="CV170" s="235">
        <f t="shared" si="407"/>
        <v>0</v>
      </c>
      <c r="CW170" s="235">
        <f t="shared" si="408"/>
        <v>0</v>
      </c>
      <c r="CX170" s="235">
        <f t="shared" si="409"/>
        <v>0</v>
      </c>
      <c r="CY170" s="235">
        <f t="shared" si="410"/>
        <v>0</v>
      </c>
      <c r="CZ170" s="235">
        <f t="shared" si="411"/>
        <v>0</v>
      </c>
      <c r="DA170" s="38"/>
      <c r="DB170" s="236">
        <v>45.9744427377276</v>
      </c>
      <c r="DC170" s="236">
        <v>46.974442737727585</v>
      </c>
      <c r="DD170" s="236">
        <v>69.576470253000011</v>
      </c>
      <c r="DE170" s="236">
        <v>112.07085067387514</v>
      </c>
      <c r="DF170" s="236">
        <v>160.95548595544395</v>
      </c>
      <c r="DG170" s="236">
        <v>353.12712847556958</v>
      </c>
      <c r="DH170" s="492">
        <v>420.17932411384788</v>
      </c>
      <c r="DI170" s="236">
        <v>262.89847626818369</v>
      </c>
      <c r="DJ170" s="236">
        <v>241.89661876355575</v>
      </c>
      <c r="DK170" s="236">
        <v>353.72948196422709</v>
      </c>
      <c r="DL170" s="236">
        <v>453.51816190388718</v>
      </c>
      <c r="DM170" s="236">
        <v>476.43605355897807</v>
      </c>
      <c r="DN170" s="236">
        <v>463.19086204712039</v>
      </c>
      <c r="DO170" s="236">
        <v>465.68748963709987</v>
      </c>
      <c r="DP170" s="236">
        <v>484.39911397135262</v>
      </c>
      <c r="DQ170" s="258">
        <v>503.86257964259232</v>
      </c>
      <c r="DR170" s="258">
        <v>524.10809581532737</v>
      </c>
      <c r="DS170" s="258">
        <v>545.16708545940901</v>
      </c>
      <c r="DT170" s="258">
        <v>567.07223412053031</v>
      </c>
      <c r="DU170" s="258">
        <v>613.38985385971625</v>
      </c>
      <c r="DV170" s="258">
        <v>663.24297119112407</v>
      </c>
      <c r="DW170" s="258">
        <v>716.89282086599212</v>
      </c>
      <c r="DX170" s="258">
        <v>774.6196178427532</v>
      </c>
      <c r="DY170" s="258">
        <v>836.72392388950391</v>
      </c>
      <c r="DZ170" s="258"/>
      <c r="EA170" s="967"/>
    </row>
    <row r="171" spans="1:131" s="18" customFormat="1">
      <c r="A171" s="18" t="s">
        <v>2829</v>
      </c>
      <c r="B171" s="18" t="s">
        <v>2570</v>
      </c>
      <c r="D171" s="216"/>
      <c r="E171" s="216"/>
      <c r="F171" s="38">
        <f t="shared" ref="F171:AT171" si="444">F168-F172</f>
        <v>0</v>
      </c>
      <c r="G171" s="38">
        <f t="shared" si="444"/>
        <v>0</v>
      </c>
      <c r="H171" s="38">
        <f t="shared" si="444"/>
        <v>0</v>
      </c>
      <c r="I171" s="38">
        <f t="shared" si="444"/>
        <v>0</v>
      </c>
      <c r="J171" s="38">
        <f t="shared" si="444"/>
        <v>0</v>
      </c>
      <c r="K171" s="38">
        <f t="shared" si="444"/>
        <v>0</v>
      </c>
      <c r="L171" s="38">
        <f t="shared" si="444"/>
        <v>0</v>
      </c>
      <c r="M171" s="38">
        <f t="shared" si="444"/>
        <v>0</v>
      </c>
      <c r="N171" s="38">
        <f t="shared" si="444"/>
        <v>0</v>
      </c>
      <c r="O171" s="38">
        <f t="shared" si="444"/>
        <v>0</v>
      </c>
      <c r="P171" s="38">
        <f t="shared" si="444"/>
        <v>0</v>
      </c>
      <c r="Q171" s="38">
        <f t="shared" si="444"/>
        <v>0</v>
      </c>
      <c r="R171" s="38">
        <f t="shared" si="444"/>
        <v>0</v>
      </c>
      <c r="S171" s="38">
        <f t="shared" si="444"/>
        <v>0</v>
      </c>
      <c r="T171" s="38">
        <f t="shared" si="444"/>
        <v>0</v>
      </c>
      <c r="U171" s="38">
        <f t="shared" si="444"/>
        <v>0</v>
      </c>
      <c r="V171" s="38">
        <f t="shared" si="444"/>
        <v>0</v>
      </c>
      <c r="W171" s="38">
        <f t="shared" si="444"/>
        <v>0</v>
      </c>
      <c r="X171" s="38">
        <f t="shared" si="444"/>
        <v>0</v>
      </c>
      <c r="Y171" s="38">
        <f t="shared" si="444"/>
        <v>0</v>
      </c>
      <c r="Z171" s="38">
        <f t="shared" si="444"/>
        <v>0</v>
      </c>
      <c r="AA171" s="38">
        <f t="shared" si="444"/>
        <v>0</v>
      </c>
      <c r="AB171" s="38">
        <f t="shared" si="444"/>
        <v>0</v>
      </c>
      <c r="AC171" s="38">
        <f t="shared" si="444"/>
        <v>0</v>
      </c>
      <c r="AD171" s="38">
        <f t="shared" si="444"/>
        <v>0</v>
      </c>
      <c r="AE171" s="38">
        <f t="shared" si="444"/>
        <v>0</v>
      </c>
      <c r="AF171" s="38">
        <f t="shared" si="444"/>
        <v>0</v>
      </c>
      <c r="AG171" s="38">
        <f t="shared" si="444"/>
        <v>0</v>
      </c>
      <c r="AH171" s="38">
        <f t="shared" si="444"/>
        <v>0</v>
      </c>
      <c r="AI171" s="38">
        <f t="shared" si="444"/>
        <v>0</v>
      </c>
      <c r="AJ171" s="38">
        <f t="shared" si="444"/>
        <v>0</v>
      </c>
      <c r="AK171" s="38">
        <f t="shared" si="444"/>
        <v>0</v>
      </c>
      <c r="AL171" s="38">
        <f t="shared" si="444"/>
        <v>0</v>
      </c>
      <c r="AM171" s="38">
        <f t="shared" si="444"/>
        <v>0</v>
      </c>
      <c r="AN171" s="38">
        <f t="shared" si="444"/>
        <v>0</v>
      </c>
      <c r="AO171" s="38">
        <f t="shared" si="444"/>
        <v>0</v>
      </c>
      <c r="AP171" s="38">
        <f t="shared" si="444"/>
        <v>0</v>
      </c>
      <c r="AQ171" s="38">
        <f t="shared" si="444"/>
        <v>0</v>
      </c>
      <c r="AR171" s="38">
        <f t="shared" si="444"/>
        <v>0</v>
      </c>
      <c r="AS171" s="38">
        <f t="shared" si="444"/>
        <v>0</v>
      </c>
      <c r="AT171" s="38">
        <f t="shared" si="444"/>
        <v>0</v>
      </c>
      <c r="AU171" s="38">
        <f t="shared" ref="AU171:BC171" si="445">AU168-AU172</f>
        <v>0</v>
      </c>
      <c r="AV171" s="38">
        <f t="shared" si="445"/>
        <v>4.4016292828616388</v>
      </c>
      <c r="AW171" s="38">
        <f t="shared" si="445"/>
        <v>12.74125339793472</v>
      </c>
      <c r="AX171" s="38">
        <f t="shared" si="445"/>
        <v>20.705053582080005</v>
      </c>
      <c r="AY171" s="38">
        <f t="shared" si="445"/>
        <v>45.539080174717192</v>
      </c>
      <c r="AZ171" s="38">
        <f t="shared" si="445"/>
        <v>72.700412393043734</v>
      </c>
      <c r="BA171" s="38">
        <f t="shared" si="445"/>
        <v>81.29284874902001</v>
      </c>
      <c r="BB171" s="38">
        <f t="shared" si="445"/>
        <v>47.165124368694165</v>
      </c>
      <c r="BC171" s="38">
        <f t="shared" si="445"/>
        <v>293.08853047258123</v>
      </c>
      <c r="BD171" s="38">
        <f>BD168-BD172</f>
        <v>318.54235374165614</v>
      </c>
      <c r="BE171" s="38">
        <f>BE168-BE172</f>
        <v>364.04830602254424</v>
      </c>
      <c r="BF171" s="38">
        <f t="shared" ref="BF171:BQ171" si="446">BF168-BF172</f>
        <v>546.20690321943061</v>
      </c>
      <c r="BG171" s="38">
        <f t="shared" si="446"/>
        <v>616.68616306230047</v>
      </c>
      <c r="BH171" s="38">
        <f t="shared" si="446"/>
        <v>955.44196662511774</v>
      </c>
      <c r="BI171" s="38">
        <f t="shared" si="446"/>
        <v>1176.455138700104</v>
      </c>
      <c r="BJ171" s="38">
        <f t="shared" si="446"/>
        <v>1686.5214725577512</v>
      </c>
      <c r="BK171" s="38">
        <f t="shared" ref="BK171:BP171" si="447">BK168-BK172</f>
        <v>2586.5634867261656</v>
      </c>
      <c r="BL171" s="38">
        <f t="shared" si="447"/>
        <v>2934.1358651432442</v>
      </c>
      <c r="BM171" s="38">
        <f t="shared" si="447"/>
        <v>1834.5990742094468</v>
      </c>
      <c r="BN171" s="38">
        <f t="shared" si="447"/>
        <v>1113.9356777435773</v>
      </c>
      <c r="BO171" s="38">
        <f t="shared" si="447"/>
        <v>783.90922051728057</v>
      </c>
      <c r="BP171" s="38">
        <f t="shared" si="447"/>
        <v>1020.066536721416</v>
      </c>
      <c r="BQ171" s="38">
        <f t="shared" ca="1" si="446"/>
        <v>911.54056464853147</v>
      </c>
      <c r="BR171" s="38">
        <f ca="1">BR168-BR172</f>
        <v>811.65602132812819</v>
      </c>
      <c r="BS171" s="38">
        <f ca="1">BS168-BS172</f>
        <v>734.2683162455387</v>
      </c>
      <c r="BT171" s="38">
        <f ca="1">BT168-BT172</f>
        <v>604.88677455714333</v>
      </c>
      <c r="BU171" s="38">
        <f ca="1">BU168-BU172</f>
        <v>482.6740237481954</v>
      </c>
      <c r="BV171" s="38">
        <f ca="1">BV168-BV172</f>
        <v>344.10986980064172</v>
      </c>
      <c r="BW171" s="38">
        <f t="shared" ref="BW171:BX171" ca="1" si="448">BW168-BW172</f>
        <v>188.91290501594904</v>
      </c>
      <c r="BX171" s="38">
        <f t="shared" ca="1" si="448"/>
        <v>17.329796454225288</v>
      </c>
      <c r="BY171" s="38">
        <f t="shared" ref="BY171:CD171" ca="1" si="449">BY168-BY172</f>
        <v>-171.46482517424283</v>
      </c>
      <c r="BZ171" s="38">
        <f t="shared" ca="1" si="449"/>
        <v>-145.80505852518854</v>
      </c>
      <c r="CA171" s="38">
        <f t="shared" ca="1" si="449"/>
        <v>-115.10947510549704</v>
      </c>
      <c r="CB171" s="38">
        <f t="shared" ca="1" si="449"/>
        <v>-78.89671242985969</v>
      </c>
      <c r="CC171" s="38">
        <f t="shared" ca="1" si="449"/>
        <v>-36.261742263668566</v>
      </c>
      <c r="CD171" s="38">
        <f t="shared" ca="1" si="449"/>
        <v>13.56775338101761</v>
      </c>
      <c r="CE171" s="38"/>
      <c r="CF171" s="435"/>
      <c r="CG171" s="235">
        <f t="shared" si="430"/>
        <v>-998.17497803816013</v>
      </c>
      <c r="CH171" s="235">
        <f t="shared" ref="CH171:CH202" si="450">BL171-DH171</f>
        <v>-1273.8560408989219</v>
      </c>
      <c r="CI171" s="235" t="e">
        <f>BM171-#REF!</f>
        <v>#REF!</v>
      </c>
      <c r="CJ171" s="235">
        <f t="shared" si="395"/>
        <v>0</v>
      </c>
      <c r="CK171" s="235">
        <f t="shared" si="396"/>
        <v>0</v>
      </c>
      <c r="CL171" s="235">
        <f t="shared" si="397"/>
        <v>0</v>
      </c>
      <c r="CM171" s="235">
        <f t="shared" ca="1" si="398"/>
        <v>0</v>
      </c>
      <c r="CN171" s="235">
        <f t="shared" ca="1" si="399"/>
        <v>2.7284841053187847E-12</v>
      </c>
      <c r="CO171" s="235">
        <f t="shared" ca="1" si="400"/>
        <v>1.8189894035458565E-12</v>
      </c>
      <c r="CP171" s="235">
        <f t="shared" ca="1" si="401"/>
        <v>9.0949470177292824E-13</v>
      </c>
      <c r="CQ171" s="235">
        <f t="shared" ca="1" si="402"/>
        <v>-1.8189894035458565E-12</v>
      </c>
      <c r="CR171" s="235">
        <f t="shared" ca="1" si="403"/>
        <v>-1.8189894035458565E-12</v>
      </c>
      <c r="CS171" s="235">
        <f t="shared" ca="1" si="404"/>
        <v>0</v>
      </c>
      <c r="CT171" s="235">
        <f t="shared" ca="1" si="405"/>
        <v>0</v>
      </c>
      <c r="CU171" s="235">
        <f t="shared" ca="1" si="406"/>
        <v>0</v>
      </c>
      <c r="CV171" s="235">
        <f t="shared" ca="1" si="407"/>
        <v>0</v>
      </c>
      <c r="CW171" s="235">
        <f t="shared" ca="1" si="408"/>
        <v>0</v>
      </c>
      <c r="CX171" s="235">
        <f t="shared" ca="1" si="409"/>
        <v>-3.092281986027956E-11</v>
      </c>
      <c r="CY171" s="235">
        <f t="shared" ca="1" si="410"/>
        <v>-3.5652192309498787E-10</v>
      </c>
      <c r="CZ171" s="235">
        <f t="shared" ca="1" si="411"/>
        <v>-3.1086528906598687E-9</v>
      </c>
      <c r="DA171" s="38"/>
      <c r="DB171" s="236">
        <v>601.261066997184</v>
      </c>
      <c r="DC171" s="236">
        <v>602.26106699718355</v>
      </c>
      <c r="DD171" s="236">
        <v>800.3018966476111</v>
      </c>
      <c r="DE171" s="236">
        <v>1192.9499179020036</v>
      </c>
      <c r="DF171" s="236">
        <v>1665.6159303341701</v>
      </c>
      <c r="DG171" s="236">
        <v>3584.7384647643257</v>
      </c>
      <c r="DH171" s="492">
        <v>4207.9919060421662</v>
      </c>
      <c r="DI171" s="236">
        <v>1113.9356777435773</v>
      </c>
      <c r="DJ171" s="236">
        <v>783.90922051728057</v>
      </c>
      <c r="DK171" s="236">
        <v>1020.066536721416</v>
      </c>
      <c r="DL171" s="236">
        <v>911.54056464853147</v>
      </c>
      <c r="DM171" s="236">
        <v>811.65602132812546</v>
      </c>
      <c r="DN171" s="236">
        <v>734.26831624553688</v>
      </c>
      <c r="DO171" s="236">
        <v>604.88677455714242</v>
      </c>
      <c r="DP171" s="236">
        <v>482.67402374819721</v>
      </c>
      <c r="DQ171" s="258">
        <v>344.10986980064354</v>
      </c>
      <c r="DR171" s="258">
        <v>188.91290501594904</v>
      </c>
      <c r="DS171" s="258">
        <v>17.329796454225288</v>
      </c>
      <c r="DT171" s="258">
        <v>-171.46482517424283</v>
      </c>
      <c r="DU171" s="258">
        <v>-145.80505852518854</v>
      </c>
      <c r="DV171" s="258">
        <v>-115.10947510549704</v>
      </c>
      <c r="DW171" s="258">
        <v>-78.896712429828767</v>
      </c>
      <c r="DX171" s="258">
        <v>-36.261742263312044</v>
      </c>
      <c r="DY171" s="258">
        <v>13.567753384126263</v>
      </c>
      <c r="DZ171" s="258"/>
      <c r="EA171" s="967"/>
    </row>
    <row r="172" spans="1:131" s="18" customFormat="1">
      <c r="A172" s="18" t="s">
        <v>2830</v>
      </c>
      <c r="B172" s="18" t="s">
        <v>2571</v>
      </c>
      <c r="D172" s="216"/>
      <c r="E172" s="216"/>
      <c r="F172" s="216"/>
      <c r="G172" s="216"/>
      <c r="H172" s="216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W172" s="25"/>
      <c r="AX172" s="25"/>
      <c r="AY172" s="25"/>
      <c r="AZ172" s="25"/>
      <c r="BA172" s="25"/>
      <c r="BB172" s="25"/>
      <c r="BC172" s="25"/>
      <c r="BD172" s="96">
        <f>BD174*BD23*BD363/1000</f>
        <v>341.28521999999998</v>
      </c>
      <c r="BE172" s="96">
        <f t="shared" ref="BE172:BP172" si="451">BE174*BE23*BE363/1000</f>
        <v>360.00566656485603</v>
      </c>
      <c r="BF172" s="96">
        <f t="shared" si="451"/>
        <v>481.31613451862336</v>
      </c>
      <c r="BG172" s="96">
        <f t="shared" si="451"/>
        <v>611.60903224120625</v>
      </c>
      <c r="BH172" s="96">
        <f t="shared" si="451"/>
        <v>880.13587150963724</v>
      </c>
      <c r="BI172" s="96">
        <f t="shared" si="451"/>
        <v>1137.3268358866364</v>
      </c>
      <c r="BJ172" s="96">
        <f t="shared" si="451"/>
        <v>1470.7897274422489</v>
      </c>
      <c r="BK172" s="96">
        <f t="shared" si="451"/>
        <v>1803.2927379201697</v>
      </c>
      <c r="BL172" s="96">
        <f t="shared" si="451"/>
        <v>2215.9442959953217</v>
      </c>
      <c r="BM172" s="96">
        <f t="shared" si="451"/>
        <v>2361.9161312255533</v>
      </c>
      <c r="BN172" s="96">
        <f t="shared" si="451"/>
        <v>2372.083622799074</v>
      </c>
      <c r="BO172" s="96">
        <f t="shared" si="451"/>
        <v>2455.3248420017039</v>
      </c>
      <c r="BP172" s="96">
        <f t="shared" si="451"/>
        <v>3742.6922477751141</v>
      </c>
      <c r="BQ172" s="96">
        <f t="shared" ref="BQ172:BX172" ca="1" si="452">BP172*(1+0.33*BQ309/100+0.67*BQ307/100)*BQ23/BP23</f>
        <v>5174.3095962719171</v>
      </c>
      <c r="BR172" s="96">
        <f t="shared" ca="1" si="452"/>
        <v>5541.7035991812454</v>
      </c>
      <c r="BS172" s="96">
        <f t="shared" ca="1" si="452"/>
        <v>5402.6243993173703</v>
      </c>
      <c r="BT172" s="96">
        <f t="shared" ca="1" si="452"/>
        <v>5564.8145569090711</v>
      </c>
      <c r="BU172" s="96">
        <f t="shared" ca="1" si="452"/>
        <v>5934.6495045966813</v>
      </c>
      <c r="BV172" s="96">
        <f t="shared" ca="1" si="452"/>
        <v>6330.7742218190615</v>
      </c>
      <c r="BW172" s="96">
        <f t="shared" ca="1" si="452"/>
        <v>6753.8689945977294</v>
      </c>
      <c r="BX172" s="96">
        <f t="shared" ca="1" si="452"/>
        <v>7204.1020432568284</v>
      </c>
      <c r="BY172" s="96">
        <f t="shared" ref="BY172" ca="1" si="453">BX172*(1+0.33*BY309/100+0.67*BY307/100)*BY23/BX23</f>
        <v>7682.730276058468</v>
      </c>
      <c r="BZ172" s="96">
        <f t="shared" ref="BZ172" ca="1" si="454">BY172*(1+0.33*BZ309/100+0.67*BZ307/100)*BZ23/BY23</f>
        <v>8191.8726095123702</v>
      </c>
      <c r="CA172" s="96">
        <f t="shared" ref="CA172" ca="1" si="455">BZ172*(1+0.33*CA309/100+0.67*CA307/100)*CA23/BZ23</f>
        <v>8734.0570357229699</v>
      </c>
      <c r="CB172" s="96">
        <f t="shared" ref="CB172" ca="1" si="456">CA172*(1+0.33*CB309/100+0.67*CB307/100)*CB23/CA23</f>
        <v>9311.5133393633005</v>
      </c>
      <c r="CC172" s="96">
        <f t="shared" ref="CC172" ca="1" si="457">CB172*(1+0.33*CC309/100+0.67*CC307/100)*CC23/CB23</f>
        <v>9926.2406730347739</v>
      </c>
      <c r="CD172" s="96">
        <f t="shared" ref="CD172" ca="1" si="458">CC172*(1+0.33*CD309/100+0.67*CD307/100)*CD23/CC23</f>
        <v>10580.57767726099</v>
      </c>
      <c r="CE172" s="96"/>
      <c r="CF172" s="435"/>
      <c r="CG172" s="235">
        <f t="shared" si="430"/>
        <v>998.17497803815979</v>
      </c>
      <c r="CH172" s="235">
        <f t="shared" si="450"/>
        <v>1273.8560408989215</v>
      </c>
      <c r="CI172" s="235" t="e">
        <f>BM172-#REF!</f>
        <v>#REF!</v>
      </c>
      <c r="CJ172" s="235">
        <f t="shared" si="395"/>
        <v>0</v>
      </c>
      <c r="CK172" s="235">
        <f t="shared" si="396"/>
        <v>0</v>
      </c>
      <c r="CL172" s="235">
        <f t="shared" si="397"/>
        <v>0</v>
      </c>
      <c r="CM172" s="235">
        <f t="shared" ca="1" si="398"/>
        <v>0</v>
      </c>
      <c r="CN172" s="235">
        <f t="shared" ca="1" si="399"/>
        <v>0</v>
      </c>
      <c r="CO172" s="235">
        <f t="shared" ca="1" si="400"/>
        <v>0</v>
      </c>
      <c r="CP172" s="235">
        <f t="shared" ca="1" si="401"/>
        <v>0</v>
      </c>
      <c r="CQ172" s="235">
        <f t="shared" ca="1" si="402"/>
        <v>0</v>
      </c>
      <c r="CR172" s="235">
        <f t="shared" ca="1" si="403"/>
        <v>0</v>
      </c>
      <c r="CS172" s="235">
        <f t="shared" ca="1" si="404"/>
        <v>0</v>
      </c>
      <c r="CT172" s="235">
        <f t="shared" ca="1" si="405"/>
        <v>0</v>
      </c>
      <c r="CU172" s="235">
        <f t="shared" ca="1" si="406"/>
        <v>0</v>
      </c>
      <c r="CV172" s="235">
        <f t="shared" ca="1" si="407"/>
        <v>0</v>
      </c>
      <c r="CW172" s="235">
        <f t="shared" ca="1" si="408"/>
        <v>0</v>
      </c>
      <c r="CX172" s="235">
        <f t="shared" ca="1" si="409"/>
        <v>-2.1827872842550278E-11</v>
      </c>
      <c r="CY172" s="235">
        <f t="shared" ca="1" si="410"/>
        <v>-2.3646862246096134E-10</v>
      </c>
      <c r="CZ172" s="235">
        <f t="shared" ca="1" si="411"/>
        <v>-1.8444552551954985E-9</v>
      </c>
      <c r="DA172" s="38"/>
      <c r="DB172" s="236">
        <v>383.108662858966</v>
      </c>
      <c r="DC172" s="236">
        <v>384.10866285896623</v>
      </c>
      <c r="DD172" s="236">
        <v>430.20555473046903</v>
      </c>
      <c r="DE172" s="236">
        <v>559.77539503263392</v>
      </c>
      <c r="DF172" s="401">
        <v>648.16604425257049</v>
      </c>
      <c r="DG172" s="236">
        <v>805.11775988200986</v>
      </c>
      <c r="DH172" s="492">
        <v>942.08825509640008</v>
      </c>
      <c r="DI172" s="236">
        <v>2372.083622799074</v>
      </c>
      <c r="DJ172" s="236">
        <v>2455.3248420017039</v>
      </c>
      <c r="DK172" s="236">
        <v>3742.6922477751141</v>
      </c>
      <c r="DL172" s="236">
        <v>5174.3095962719171</v>
      </c>
      <c r="DM172" s="236">
        <v>5541.7035991812454</v>
      </c>
      <c r="DN172" s="236">
        <v>5402.6243993173703</v>
      </c>
      <c r="DO172" s="236">
        <v>5564.8145569090711</v>
      </c>
      <c r="DP172" s="236">
        <v>5934.649504596684</v>
      </c>
      <c r="DQ172" s="258">
        <v>6330.7742218190651</v>
      </c>
      <c r="DR172" s="258">
        <v>6753.868994597733</v>
      </c>
      <c r="DS172" s="258">
        <v>7204.1020432568321</v>
      </c>
      <c r="DT172" s="258">
        <v>7682.7302760584716</v>
      </c>
      <c r="DU172" s="258">
        <v>8191.8726095123748</v>
      </c>
      <c r="DV172" s="258">
        <v>8734.0570357229735</v>
      </c>
      <c r="DW172" s="258">
        <v>9311.5133393633223</v>
      </c>
      <c r="DX172" s="258">
        <v>9926.2406730350103</v>
      </c>
      <c r="DY172" s="258">
        <v>10580.577677262834</v>
      </c>
      <c r="DZ172" s="258"/>
      <c r="EA172" s="967"/>
    </row>
    <row r="173" spans="1:131" s="18" customFormat="1">
      <c r="A173" s="3" t="s">
        <v>2831</v>
      </c>
      <c r="B173" s="18" t="s">
        <v>2572</v>
      </c>
      <c r="D173" s="216"/>
      <c r="E173" s="216"/>
      <c r="F173" s="216"/>
      <c r="G173" s="216"/>
      <c r="H173" s="216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W173" s="25"/>
      <c r="AX173" s="25"/>
      <c r="AY173" s="25"/>
      <c r="AZ173" s="25"/>
      <c r="BA173" s="25"/>
      <c r="BB173" s="25"/>
      <c r="BC173" s="25"/>
      <c r="BD173" s="25"/>
      <c r="BE173" s="28"/>
      <c r="BF173" s="76"/>
      <c r="BG173" s="76"/>
      <c r="BH173" s="76"/>
      <c r="BI173" s="11">
        <f>DataInput!BI867</f>
        <v>1375</v>
      </c>
      <c r="BJ173" s="11">
        <f>DataInput!BJ867</f>
        <v>1426</v>
      </c>
      <c r="BK173" s="11">
        <f>DataInput!BK867</f>
        <v>1426</v>
      </c>
      <c r="BL173" s="11">
        <f>DataInput!BL867</f>
        <v>1500</v>
      </c>
      <c r="BM173" s="96">
        <f>+BL173*BM23/BL23</f>
        <v>1454.9643844896611</v>
      </c>
      <c r="BN173" s="96">
        <f t="shared" ref="BN173:BV173" si="459">+BM173*BN23/BM23</f>
        <v>1340.6121182556083</v>
      </c>
      <c r="BO173" s="96">
        <f t="shared" si="459"/>
        <v>1281.8480734033387</v>
      </c>
      <c r="BP173" s="96">
        <f t="shared" si="459"/>
        <v>1526.6982602877952</v>
      </c>
      <c r="BQ173" s="96">
        <f t="shared" si="459"/>
        <v>1932.449998553466</v>
      </c>
      <c r="BR173" s="96">
        <f t="shared" si="459"/>
        <v>1981.4200359303575</v>
      </c>
      <c r="BS173" s="96">
        <f t="shared" si="459"/>
        <v>1877.8833854763586</v>
      </c>
      <c r="BT173" s="96">
        <f t="shared" si="459"/>
        <v>1887.6773929517369</v>
      </c>
      <c r="BU173" s="96">
        <f t="shared" si="459"/>
        <v>1963.1844886698063</v>
      </c>
      <c r="BV173" s="96">
        <f t="shared" si="459"/>
        <v>2041.7118682165985</v>
      </c>
      <c r="BW173" s="96">
        <f t="shared" ref="BW173:BX173" si="460">+BV173*BW23/BV23</f>
        <v>2123.3803429452623</v>
      </c>
      <c r="BX173" s="96">
        <f t="shared" si="460"/>
        <v>2208.315556663073</v>
      </c>
      <c r="BY173" s="96">
        <f t="shared" ref="BY173" si="461">+BX173*BY23/BX23</f>
        <v>2296.6481789295958</v>
      </c>
      <c r="BZ173" s="96">
        <f t="shared" ref="BZ173" si="462">+BY173*BZ23/BY23</f>
        <v>2388.5141060867795</v>
      </c>
      <c r="CA173" s="96">
        <f t="shared" ref="CA173" si="463">+BZ173*CA23/BZ23</f>
        <v>2484.0546703302512</v>
      </c>
      <c r="CB173" s="96">
        <f t="shared" ref="CB173" si="464">+CA173*CB23/CA23</f>
        <v>2583.4168571434616</v>
      </c>
      <c r="CC173" s="96">
        <f t="shared" ref="CC173" si="465">+CB173*CC23/CB23</f>
        <v>2686.7535314291999</v>
      </c>
      <c r="CD173" s="96">
        <f t="shared" ref="CD173" si="466">+CC173*CD23/CC23</f>
        <v>2794.223672686368</v>
      </c>
      <c r="CE173" s="28"/>
      <c r="CF173" s="435"/>
      <c r="CG173" s="235">
        <f t="shared" si="430"/>
        <v>0</v>
      </c>
      <c r="CH173" s="235">
        <f t="shared" si="450"/>
        <v>0</v>
      </c>
      <c r="CI173" s="235" t="e">
        <f>BM173-#REF!</f>
        <v>#REF!</v>
      </c>
      <c r="CJ173" s="235">
        <f t="shared" si="395"/>
        <v>0</v>
      </c>
      <c r="CK173" s="235">
        <f t="shared" si="396"/>
        <v>0</v>
      </c>
      <c r="CL173" s="235">
        <f t="shared" si="397"/>
        <v>0</v>
      </c>
      <c r="CM173" s="235">
        <f t="shared" si="398"/>
        <v>0</v>
      </c>
      <c r="CN173" s="235">
        <f t="shared" si="399"/>
        <v>0</v>
      </c>
      <c r="CO173" s="235">
        <f t="shared" si="400"/>
        <v>0</v>
      </c>
      <c r="CP173" s="235">
        <f t="shared" si="401"/>
        <v>0</v>
      </c>
      <c r="CQ173" s="235">
        <f t="shared" si="402"/>
        <v>0</v>
      </c>
      <c r="CR173" s="235">
        <f t="shared" si="403"/>
        <v>0</v>
      </c>
      <c r="CS173" s="235">
        <f t="shared" si="404"/>
        <v>0</v>
      </c>
      <c r="CT173" s="235">
        <f t="shared" si="405"/>
        <v>0</v>
      </c>
      <c r="CU173" s="235">
        <f t="shared" si="406"/>
        <v>0</v>
      </c>
      <c r="CV173" s="235">
        <f t="shared" si="407"/>
        <v>0</v>
      </c>
      <c r="CW173" s="235">
        <f t="shared" si="408"/>
        <v>0</v>
      </c>
      <c r="CX173" s="235">
        <f t="shared" si="409"/>
        <v>0</v>
      </c>
      <c r="CY173" s="235">
        <f t="shared" si="410"/>
        <v>0</v>
      </c>
      <c r="CZ173" s="235">
        <f t="shared" si="411"/>
        <v>0</v>
      </c>
      <c r="DA173" s="38"/>
      <c r="DB173" s="236"/>
      <c r="DC173" s="236"/>
      <c r="DD173" s="236"/>
      <c r="DE173" s="236"/>
      <c r="DF173" s="403"/>
      <c r="DG173" s="236">
        <v>1426</v>
      </c>
      <c r="DH173" s="492">
        <v>1500</v>
      </c>
      <c r="DI173" s="236">
        <v>1340.6121182556083</v>
      </c>
      <c r="DJ173" s="236">
        <v>1281.8480734033387</v>
      </c>
      <c r="DK173" s="236">
        <v>1526.6982602877952</v>
      </c>
      <c r="DL173" s="236">
        <v>1932.449998553466</v>
      </c>
      <c r="DM173" s="236">
        <v>1981.4200359303575</v>
      </c>
      <c r="DN173" s="236">
        <v>1877.8833854763586</v>
      </c>
      <c r="DO173" s="236">
        <v>1887.6773929517369</v>
      </c>
      <c r="DP173" s="236">
        <v>1963.1844886698063</v>
      </c>
      <c r="DQ173" s="258">
        <v>2041.7118682165985</v>
      </c>
      <c r="DR173" s="258">
        <v>2123.3803429452623</v>
      </c>
      <c r="DS173" s="258">
        <v>2208.315556663073</v>
      </c>
      <c r="DT173" s="258">
        <v>2296.6481789295958</v>
      </c>
      <c r="DU173" s="258">
        <v>2388.5141060867795</v>
      </c>
      <c r="DV173" s="258">
        <v>2484.0546703302512</v>
      </c>
      <c r="DW173" s="258">
        <v>2583.4168571434616</v>
      </c>
      <c r="DX173" s="258">
        <v>2686.7535314291999</v>
      </c>
      <c r="DY173" s="258">
        <v>2794.223672686368</v>
      </c>
      <c r="DZ173" s="258"/>
      <c r="EA173" s="967"/>
    </row>
    <row r="174" spans="1:131" s="18" customFormat="1">
      <c r="B174" s="18" t="s">
        <v>55</v>
      </c>
      <c r="D174" s="216"/>
      <c r="E174" s="216"/>
      <c r="F174" s="216"/>
      <c r="G174" s="216"/>
      <c r="H174" s="216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W174" s="25"/>
      <c r="AX174" s="25"/>
      <c r="AY174" s="25"/>
      <c r="AZ174" s="25"/>
      <c r="BA174" s="25"/>
      <c r="BB174" s="25"/>
      <c r="BC174" s="25"/>
      <c r="BD174" s="11">
        <f>+DataInput!BD831</f>
        <v>190</v>
      </c>
      <c r="BE174" s="11">
        <f>+DataInput!BE831</f>
        <v>190</v>
      </c>
      <c r="BF174" s="11">
        <f>+DataInput!BF831</f>
        <v>251</v>
      </c>
      <c r="BG174" s="11">
        <f>+DataInput!BG831</f>
        <v>312</v>
      </c>
      <c r="BH174" s="11">
        <f>+DataInput!BH831</f>
        <v>373</v>
      </c>
      <c r="BI174" s="11">
        <f>+DataInput!BI831</f>
        <v>434</v>
      </c>
      <c r="BJ174" s="11">
        <f>+DataInput!BJ831</f>
        <v>495</v>
      </c>
      <c r="BK174" s="11">
        <f>+DataInput!BK831</f>
        <v>556</v>
      </c>
      <c r="BL174" s="11">
        <f>+DataInput!BL831</f>
        <v>617</v>
      </c>
      <c r="BM174" s="11">
        <f>+DataInput!BM831</f>
        <v>678</v>
      </c>
      <c r="BN174" s="11">
        <f>+DataInput!BN831</f>
        <v>739</v>
      </c>
      <c r="BO174" s="11">
        <f>+DataInput!BO831</f>
        <v>800</v>
      </c>
      <c r="BP174" s="96">
        <f>BO174*(1+0.33*BP305/100+0.67*BP307/100)/(BP363/BO363)</f>
        <v>816.66512100842453</v>
      </c>
      <c r="BQ174" s="96">
        <f t="shared" ref="BQ174:BV174" si="467">BP174*(1+0.33*BQ305/100+0.67*BQ307/100)/(BQ363/BP363)</f>
        <v>845.3820228439007</v>
      </c>
      <c r="BR174" s="96">
        <f t="shared" si="467"/>
        <v>872.9952427175707</v>
      </c>
      <c r="BS174" s="96">
        <f t="shared" si="467"/>
        <v>900.01329473630506</v>
      </c>
      <c r="BT174" s="96">
        <f t="shared" si="467"/>
        <v>932.25969399926146</v>
      </c>
      <c r="BU174" s="96">
        <f t="shared" si="467"/>
        <v>965.66144315705549</v>
      </c>
      <c r="BV174" s="96">
        <f t="shared" si="467"/>
        <v>1000.2599370137585</v>
      </c>
      <c r="BW174" s="96">
        <f t="shared" ref="BW174:BX174" si="468">BV174*(1+0.33*BW305/100+0.67*BW307/100)/(BW363/BV363)</f>
        <v>1036.0980534997329</v>
      </c>
      <c r="BX174" s="96">
        <f t="shared" si="468"/>
        <v>1073.220206810272</v>
      </c>
      <c r="BY174" s="96">
        <f t="shared" ref="BY174" si="469">BX174*(1+0.33*BY305/100+0.67*BY307/100)/(BY363/BX363)</f>
        <v>1111.6724024481334</v>
      </c>
      <c r="BZ174" s="96">
        <f t="shared" ref="BZ174" si="470">BY174*(1+0.33*BZ305/100+0.67*BZ307/100)/(BZ363/BY363)</f>
        <v>1151.5022942381825</v>
      </c>
      <c r="CA174" s="96">
        <f t="shared" ref="CA174" si="471">BZ174*(1+0.33*CA305/100+0.67*CA307/100)/(CA363/BZ363)</f>
        <v>1192.7592433847992</v>
      </c>
      <c r="CB174" s="96">
        <f t="shared" ref="CB174" si="472">CA174*(1+0.33*CB305/100+0.67*CB307/100)/(CB363/CA363)</f>
        <v>1235.4943796452442</v>
      </c>
      <c r="CC174" s="96">
        <f t="shared" ref="CC174" si="473">CB174*(1+0.33*CC305/100+0.67*CC307/100)/(CC363/CB363)</f>
        <v>1279.7606646947911</v>
      </c>
      <c r="CD174" s="96">
        <f t="shared" ref="CD174" si="474">CC174*(1+0.33*CD305/100+0.67*CD307/100)/(CD363/CC363)</f>
        <v>1325.6129577621571</v>
      </c>
      <c r="CE174" s="28"/>
      <c r="CF174" s="435"/>
      <c r="CG174" s="235">
        <f t="shared" si="430"/>
        <v>556</v>
      </c>
      <c r="CH174" s="235">
        <f t="shared" si="450"/>
        <v>617</v>
      </c>
      <c r="CI174" s="235" t="e">
        <f>BM174-#REF!</f>
        <v>#REF!</v>
      </c>
      <c r="CJ174" s="235">
        <f t="shared" si="395"/>
        <v>0</v>
      </c>
      <c r="CK174" s="235">
        <f t="shared" si="396"/>
        <v>0</v>
      </c>
      <c r="CL174" s="235">
        <f t="shared" si="397"/>
        <v>0</v>
      </c>
      <c r="CM174" s="235">
        <f t="shared" si="398"/>
        <v>0</v>
      </c>
      <c r="CN174" s="235">
        <f t="shared" si="399"/>
        <v>0</v>
      </c>
      <c r="CO174" s="235">
        <f t="shared" si="400"/>
        <v>0</v>
      </c>
      <c r="CP174" s="235">
        <f t="shared" si="401"/>
        <v>0</v>
      </c>
      <c r="CQ174" s="235">
        <f t="shared" si="402"/>
        <v>0</v>
      </c>
      <c r="CR174" s="235">
        <f t="shared" si="403"/>
        <v>0</v>
      </c>
      <c r="CS174" s="235">
        <f t="shared" si="404"/>
        <v>0</v>
      </c>
      <c r="CT174" s="235">
        <f t="shared" si="405"/>
        <v>0</v>
      </c>
      <c r="CU174" s="235">
        <f t="shared" si="406"/>
        <v>0</v>
      </c>
      <c r="CV174" s="235">
        <f t="shared" si="407"/>
        <v>0</v>
      </c>
      <c r="CW174" s="235">
        <f t="shared" si="408"/>
        <v>0</v>
      </c>
      <c r="CX174" s="235">
        <f t="shared" si="409"/>
        <v>0</v>
      </c>
      <c r="CY174" s="235">
        <f t="shared" si="410"/>
        <v>0</v>
      </c>
      <c r="CZ174" s="235">
        <f t="shared" si="411"/>
        <v>0</v>
      </c>
      <c r="DA174" s="38"/>
      <c r="DB174" s="236"/>
      <c r="DC174" s="236"/>
      <c r="DD174" s="236"/>
      <c r="DE174" s="236"/>
      <c r="DF174" s="403"/>
      <c r="DG174" s="236"/>
      <c r="DH174" s="492"/>
      <c r="DI174" s="236">
        <v>739</v>
      </c>
      <c r="DJ174" s="236">
        <v>800</v>
      </c>
      <c r="DK174" s="236">
        <v>816.66512100842453</v>
      </c>
      <c r="DL174" s="236">
        <v>845.3820228439007</v>
      </c>
      <c r="DM174" s="236">
        <v>872.9952427175707</v>
      </c>
      <c r="DN174" s="236">
        <v>900.01329473630506</v>
      </c>
      <c r="DO174" s="236">
        <v>932.25969399926146</v>
      </c>
      <c r="DP174" s="236">
        <v>965.66144315705549</v>
      </c>
      <c r="DQ174" s="258">
        <v>1000.2599370137585</v>
      </c>
      <c r="DR174" s="258">
        <v>1036.0980534997329</v>
      </c>
      <c r="DS174" s="258">
        <v>1073.220206810272</v>
      </c>
      <c r="DT174" s="258">
        <v>1111.6724024481334</v>
      </c>
      <c r="DU174" s="258">
        <v>1151.5022942381825</v>
      </c>
      <c r="DV174" s="258">
        <v>1192.7592433847992</v>
      </c>
      <c r="DW174" s="258">
        <v>1235.4943796452442</v>
      </c>
      <c r="DX174" s="258">
        <v>1279.7606646947911</v>
      </c>
      <c r="DY174" s="258">
        <v>1325.6129577621571</v>
      </c>
      <c r="DZ174" s="258"/>
      <c r="EA174" s="967"/>
    </row>
    <row r="175" spans="1:131" s="19" customFormat="1">
      <c r="A175" s="42" t="s">
        <v>2832</v>
      </c>
      <c r="B175" s="42" t="s">
        <v>3092</v>
      </c>
      <c r="D175" s="206"/>
      <c r="E175" s="206"/>
      <c r="F175" s="206"/>
      <c r="G175" s="206"/>
      <c r="H175" s="206"/>
      <c r="I175" s="206"/>
      <c r="J175" s="206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6"/>
      <c r="V175" s="206"/>
      <c r="W175" s="206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/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63"/>
      <c r="AV175" s="76"/>
      <c r="AW175" s="76"/>
      <c r="AX175" s="76"/>
      <c r="AY175" s="76"/>
      <c r="AZ175" s="76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80"/>
      <c r="CB175" s="80"/>
      <c r="CC175" s="80"/>
      <c r="CD175" s="80"/>
      <c r="CE175" s="80"/>
      <c r="CF175" s="435"/>
      <c r="CG175" s="235">
        <f t="shared" si="430"/>
        <v>0</v>
      </c>
      <c r="CH175" s="235">
        <f t="shared" si="450"/>
        <v>0</v>
      </c>
      <c r="CI175" s="235" t="e">
        <f>BM175-#REF!</f>
        <v>#REF!</v>
      </c>
      <c r="CJ175" s="235">
        <f t="shared" si="395"/>
        <v>0</v>
      </c>
      <c r="CK175" s="235">
        <f t="shared" si="396"/>
        <v>0</v>
      </c>
      <c r="CL175" s="235">
        <f t="shared" si="397"/>
        <v>0</v>
      </c>
      <c r="CM175" s="235">
        <f t="shared" si="398"/>
        <v>0</v>
      </c>
      <c r="CN175" s="235">
        <f t="shared" si="399"/>
        <v>0</v>
      </c>
      <c r="CO175" s="235">
        <f t="shared" si="400"/>
        <v>0</v>
      </c>
      <c r="CP175" s="235">
        <f t="shared" si="401"/>
        <v>0</v>
      </c>
      <c r="CQ175" s="235">
        <f t="shared" si="402"/>
        <v>0</v>
      </c>
      <c r="CR175" s="235">
        <f t="shared" si="403"/>
        <v>0</v>
      </c>
      <c r="CS175" s="235">
        <f t="shared" si="404"/>
        <v>0</v>
      </c>
      <c r="CT175" s="235">
        <f t="shared" si="405"/>
        <v>0</v>
      </c>
      <c r="CU175" s="235">
        <f t="shared" si="406"/>
        <v>0</v>
      </c>
      <c r="CV175" s="235">
        <f t="shared" si="407"/>
        <v>0</v>
      </c>
      <c r="CW175" s="235">
        <f t="shared" si="408"/>
        <v>0</v>
      </c>
      <c r="CX175" s="235">
        <f t="shared" si="409"/>
        <v>0</v>
      </c>
      <c r="CY175" s="235">
        <f t="shared" si="410"/>
        <v>0</v>
      </c>
      <c r="CZ175" s="235">
        <f t="shared" si="411"/>
        <v>0</v>
      </c>
      <c r="DA175" s="38"/>
      <c r="DB175" s="236"/>
      <c r="DC175" s="236"/>
      <c r="DD175" s="236"/>
      <c r="DE175" s="236"/>
      <c r="DF175" s="401"/>
      <c r="DG175" s="236"/>
      <c r="DH175" s="492"/>
      <c r="DI175" s="236"/>
      <c r="DJ175" s="236"/>
      <c r="DK175" s="236"/>
      <c r="DL175" s="236"/>
      <c r="DM175" s="236"/>
      <c r="DN175" s="236"/>
      <c r="DO175" s="236"/>
      <c r="DP175" s="236"/>
      <c r="DQ175" s="1084"/>
      <c r="DR175" s="1084"/>
      <c r="DS175" s="1084"/>
      <c r="DT175" s="1084"/>
      <c r="DU175" s="1084"/>
      <c r="DV175" s="1084"/>
      <c r="DW175" s="1084"/>
      <c r="DX175" s="1084"/>
      <c r="DY175" s="1084"/>
      <c r="DZ175" s="1084"/>
      <c r="EA175" s="988"/>
    </row>
    <row r="176" spans="1:131" s="76" customFormat="1">
      <c r="A176" s="76" t="s">
        <v>2833</v>
      </c>
      <c r="B176" s="73" t="s">
        <v>3542</v>
      </c>
      <c r="C176" s="85" t="s">
        <v>362</v>
      </c>
      <c r="D176" s="207"/>
      <c r="E176" s="207"/>
      <c r="F176" s="76">
        <f t="shared" ref="F176:AH176" si="475">F79</f>
        <v>1.8760000000000003E-3</v>
      </c>
      <c r="G176" s="76">
        <f t="shared" si="475"/>
        <v>2.8209999999999997E-3</v>
      </c>
      <c r="H176" s="76">
        <f t="shared" si="475"/>
        <v>3.5629999999999998E-3</v>
      </c>
      <c r="I176" s="76">
        <f t="shared" si="475"/>
        <v>0</v>
      </c>
      <c r="J176" s="76">
        <f t="shared" si="475"/>
        <v>2.5820000000000001E-3</v>
      </c>
      <c r="K176" s="76">
        <f t="shared" si="475"/>
        <v>3.1960000000000001E-3</v>
      </c>
      <c r="L176" s="76">
        <f t="shared" si="475"/>
        <v>4.2380000000000004E-3</v>
      </c>
      <c r="M176" s="76">
        <f t="shared" si="475"/>
        <v>3.8940000000000003E-3</v>
      </c>
      <c r="N176" s="76">
        <f t="shared" si="475"/>
        <v>6.2239999999999995E-3</v>
      </c>
      <c r="O176" s="76">
        <f t="shared" si="475"/>
        <v>6.9460000000000008E-3</v>
      </c>
      <c r="P176" s="76">
        <f t="shared" si="475"/>
        <v>5.215E-3</v>
      </c>
      <c r="Q176" s="76">
        <f t="shared" si="475"/>
        <v>1.5417999999999999E-2</v>
      </c>
      <c r="R176" s="76">
        <f t="shared" si="475"/>
        <v>5.5999999999999994E-2</v>
      </c>
      <c r="S176" s="76">
        <f t="shared" si="475"/>
        <v>0.10730100000000001</v>
      </c>
      <c r="T176" s="76">
        <f t="shared" si="475"/>
        <v>0.12627099999999999</v>
      </c>
      <c r="U176" s="76">
        <f t="shared" si="475"/>
        <v>0.15502199999999999</v>
      </c>
      <c r="V176" s="76">
        <f t="shared" si="475"/>
        <v>0.16440099999999996</v>
      </c>
      <c r="W176" s="76">
        <f t="shared" si="475"/>
        <v>0.19920499999999999</v>
      </c>
      <c r="X176" s="76">
        <f t="shared" si="475"/>
        <v>0.20960000000000001</v>
      </c>
      <c r="Y176" s="76">
        <f t="shared" si="475"/>
        <v>0.2142</v>
      </c>
      <c r="Z176" s="76">
        <f t="shared" si="475"/>
        <v>0.30030000000000001</v>
      </c>
      <c r="AA176" s="76">
        <f t="shared" si="475"/>
        <v>0.32789999999999997</v>
      </c>
      <c r="AB176" s="76">
        <f t="shared" si="475"/>
        <v>0.40150000000000002</v>
      </c>
      <c r="AC176" s="76">
        <f t="shared" si="475"/>
        <v>0.46539999999999998</v>
      </c>
      <c r="AD176" s="76">
        <f t="shared" si="475"/>
        <v>0.52460000000000007</v>
      </c>
      <c r="AE176" s="76">
        <f t="shared" si="475"/>
        <v>0.61499999999999988</v>
      </c>
      <c r="AF176" s="76">
        <f t="shared" si="475"/>
        <v>0.751</v>
      </c>
      <c r="AG176" s="76">
        <f t="shared" si="475"/>
        <v>0.70848434999999998</v>
      </c>
      <c r="AH176" s="76">
        <f t="shared" si="475"/>
        <v>0.69709605000000008</v>
      </c>
      <c r="AI176" s="76">
        <f t="shared" ref="AI176:AU176" si="476">AI79</f>
        <v>0.58880440000000012</v>
      </c>
      <c r="AJ176" s="76">
        <f t="shared" si="476"/>
        <v>0.57200000000000006</v>
      </c>
      <c r="AK176" s="76">
        <f t="shared" si="476"/>
        <v>0.50909999999999989</v>
      </c>
      <c r="AL176" s="76">
        <f t="shared" si="476"/>
        <v>0.5282</v>
      </c>
      <c r="AM176" s="76">
        <f t="shared" si="476"/>
        <v>0.50940000000000007</v>
      </c>
      <c r="AN176" s="76">
        <f t="shared" si="476"/>
        <v>0.70550000000000002</v>
      </c>
      <c r="AO176" s="76">
        <f t="shared" si="476"/>
        <v>0.95729999999999993</v>
      </c>
      <c r="AP176" s="76">
        <f t="shared" si="476"/>
        <v>0.83493650885514359</v>
      </c>
      <c r="AQ176" s="76">
        <f t="shared" si="476"/>
        <v>0.63543650885514358</v>
      </c>
      <c r="AR176" s="76">
        <f t="shared" si="476"/>
        <v>0.68418518732866873</v>
      </c>
      <c r="AS176" s="76">
        <f t="shared" si="476"/>
        <v>2.1051564841608363</v>
      </c>
      <c r="AT176" s="76">
        <f t="shared" si="476"/>
        <v>59.297846760802933</v>
      </c>
      <c r="AU176" s="76">
        <f t="shared" si="476"/>
        <v>200.41834003058077</v>
      </c>
      <c r="AV176" s="76">
        <f t="shared" ref="AV176:BI176" si="477">AV79</f>
        <v>212.18228026354768</v>
      </c>
      <c r="AW176" s="76">
        <f t="shared" si="477"/>
        <v>224.82966537287183</v>
      </c>
      <c r="AX176" s="76">
        <f t="shared" si="477"/>
        <v>208.92233241957268</v>
      </c>
      <c r="AY176" s="76">
        <f t="shared" si="477"/>
        <v>445.34688188259611</v>
      </c>
      <c r="AZ176" s="76">
        <f t="shared" si="477"/>
        <v>707.81294861589458</v>
      </c>
      <c r="BA176" s="76">
        <f t="shared" si="477"/>
        <v>1102.955030188456</v>
      </c>
      <c r="BB176" s="76">
        <f t="shared" si="477"/>
        <v>1085.919117821024</v>
      </c>
      <c r="BC176" s="76">
        <f t="shared" si="477"/>
        <v>1579.1751753390938</v>
      </c>
      <c r="BD176" s="76">
        <f t="shared" si="477"/>
        <v>2356.0333557067956</v>
      </c>
      <c r="BE176" s="76">
        <f t="shared" si="477"/>
        <v>2639.2876647938979</v>
      </c>
      <c r="BF176" s="76">
        <f t="shared" si="477"/>
        <v>3526.2365864401136</v>
      </c>
      <c r="BG176" s="76">
        <f t="shared" si="477"/>
        <v>4049.7821301066501</v>
      </c>
      <c r="BH176" s="76">
        <f t="shared" si="477"/>
        <v>4994.7827960406976</v>
      </c>
      <c r="BI176" s="76">
        <f t="shared" si="477"/>
        <v>4231.3516981776611</v>
      </c>
      <c r="BJ176" s="76">
        <f>BJ79</f>
        <v>5937.4928208220053</v>
      </c>
      <c r="BK176" s="76">
        <f t="shared" ref="BK176:BP176" si="478">BK79</f>
        <v>8140.9096112613333</v>
      </c>
      <c r="BL176" s="76">
        <f t="shared" si="478"/>
        <v>8455.4870443927575</v>
      </c>
      <c r="BM176" s="76">
        <f t="shared" si="478"/>
        <v>7463.6812371657679</v>
      </c>
      <c r="BN176" s="76">
        <f t="shared" si="478"/>
        <v>6878.4926134383441</v>
      </c>
      <c r="BO176" s="76">
        <f t="shared" si="478"/>
        <v>5769.5553978549469</v>
      </c>
      <c r="BP176" s="76">
        <f t="shared" si="478"/>
        <v>7287.3678026422076</v>
      </c>
      <c r="BQ176" s="76">
        <f t="shared" ref="BQ176:BV176" si="479">BQ79</f>
        <v>8983.2415636077039</v>
      </c>
      <c r="BR176" s="76">
        <f t="shared" si="479"/>
        <v>9509.7496939351604</v>
      </c>
      <c r="BS176" s="76">
        <f t="shared" si="479"/>
        <v>9525.350391462769</v>
      </c>
      <c r="BT176" s="76">
        <f t="shared" si="479"/>
        <v>9767.475073619571</v>
      </c>
      <c r="BU176" s="76">
        <f t="shared" si="479"/>
        <v>10181.526778999754</v>
      </c>
      <c r="BV176" s="76">
        <f t="shared" si="479"/>
        <v>10617.425639251009</v>
      </c>
      <c r="BW176" s="76">
        <f t="shared" ref="BW176:BX176" si="480">BW79</f>
        <v>11076.473302578408</v>
      </c>
      <c r="BX176" s="76">
        <f t="shared" si="480"/>
        <v>11560.059784190376</v>
      </c>
      <c r="BY176" s="76">
        <f t="shared" ref="BY176:CD176" si="481">BY79</f>
        <v>12069.670233030429</v>
      </c>
      <c r="BZ176" s="76">
        <f t="shared" si="481"/>
        <v>12840.228228828159</v>
      </c>
      <c r="CA176" s="76">
        <f t="shared" si="481"/>
        <v>13666.074372113777</v>
      </c>
      <c r="CB176" s="76">
        <f t="shared" si="481"/>
        <v>14551.251326343487</v>
      </c>
      <c r="CC176" s="76">
        <f t="shared" si="481"/>
        <v>15500.103756648337</v>
      </c>
      <c r="CD176" s="76">
        <f t="shared" si="481"/>
        <v>16517.301485903692</v>
      </c>
      <c r="CF176" s="435"/>
      <c r="CG176" s="235">
        <f t="shared" si="430"/>
        <v>66.633627162366793</v>
      </c>
      <c r="CH176" s="235">
        <f t="shared" si="450"/>
        <v>0</v>
      </c>
      <c r="CI176" s="235" t="e">
        <f>BM176-#REF!</f>
        <v>#REF!</v>
      </c>
      <c r="CJ176" s="235">
        <f t="shared" si="395"/>
        <v>0</v>
      </c>
      <c r="CK176" s="235">
        <f t="shared" si="396"/>
        <v>0</v>
      </c>
      <c r="CL176" s="235">
        <f t="shared" si="397"/>
        <v>0</v>
      </c>
      <c r="CM176" s="235">
        <f t="shared" si="398"/>
        <v>0</v>
      </c>
      <c r="CN176" s="235">
        <f t="shared" si="399"/>
        <v>0</v>
      </c>
      <c r="CO176" s="235">
        <f t="shared" si="400"/>
        <v>0</v>
      </c>
      <c r="CP176" s="235">
        <f t="shared" si="401"/>
        <v>0</v>
      </c>
      <c r="CQ176" s="235">
        <f t="shared" si="402"/>
        <v>0</v>
      </c>
      <c r="CR176" s="235">
        <f t="shared" si="403"/>
        <v>0</v>
      </c>
      <c r="CS176" s="235">
        <f t="shared" si="404"/>
        <v>0</v>
      </c>
      <c r="CT176" s="235">
        <f t="shared" si="405"/>
        <v>0</v>
      </c>
      <c r="CU176" s="235">
        <f t="shared" si="406"/>
        <v>0</v>
      </c>
      <c r="CV176" s="235">
        <f t="shared" si="407"/>
        <v>0</v>
      </c>
      <c r="CW176" s="235">
        <f t="shared" si="408"/>
        <v>0</v>
      </c>
      <c r="CX176" s="235">
        <f t="shared" si="409"/>
        <v>0</v>
      </c>
      <c r="CY176" s="235">
        <f t="shared" si="410"/>
        <v>0</v>
      </c>
      <c r="CZ176" s="235">
        <f t="shared" si="411"/>
        <v>0</v>
      </c>
      <c r="DA176" s="38"/>
      <c r="DB176" s="236">
        <v>3529.8548903562501</v>
      </c>
      <c r="DC176" s="236">
        <v>3530.8548903562478</v>
      </c>
      <c r="DD176" s="236">
        <v>4095.1755721837822</v>
      </c>
      <c r="DE176" s="236">
        <v>5138.7701067598555</v>
      </c>
      <c r="DF176" s="401">
        <v>4471.245970485661</v>
      </c>
      <c r="DG176" s="236">
        <v>8074.2759840989665</v>
      </c>
      <c r="DH176" s="492">
        <v>8455.4870443927575</v>
      </c>
      <c r="DI176" s="236">
        <v>6878.4926134383441</v>
      </c>
      <c r="DJ176" s="236">
        <v>5769.5553978549469</v>
      </c>
      <c r="DK176" s="236">
        <v>7287.3678026422076</v>
      </c>
      <c r="DL176" s="236">
        <v>8983.2415636077039</v>
      </c>
      <c r="DM176" s="236">
        <v>9509.7496939351604</v>
      </c>
      <c r="DN176" s="236">
        <v>9525.350391462769</v>
      </c>
      <c r="DO176" s="236">
        <v>9767.475073619571</v>
      </c>
      <c r="DP176" s="236">
        <v>10181.526778999754</v>
      </c>
      <c r="DQ176" s="401">
        <v>10617.425639251009</v>
      </c>
      <c r="DR176" s="401">
        <v>11076.473302578408</v>
      </c>
      <c r="DS176" s="401">
        <v>11560.059784190376</v>
      </c>
      <c r="DT176" s="401">
        <v>12069.670233030429</v>
      </c>
      <c r="DU176" s="401">
        <v>12840.228228828159</v>
      </c>
      <c r="DV176" s="401">
        <v>13666.074372113777</v>
      </c>
      <c r="DW176" s="401">
        <v>14551.251326343487</v>
      </c>
      <c r="DX176" s="401">
        <v>15500.103756648337</v>
      </c>
      <c r="DY176" s="401">
        <v>16517.301485903692</v>
      </c>
      <c r="DZ176" s="401"/>
      <c r="EA176" s="989"/>
    </row>
    <row r="177" spans="1:131" s="76" customFormat="1">
      <c r="A177" s="76" t="s">
        <v>2834</v>
      </c>
      <c r="B177" s="73" t="s">
        <v>3125</v>
      </c>
      <c r="C177" s="85" t="s">
        <v>4360</v>
      </c>
      <c r="D177" s="207"/>
      <c r="E177" s="207"/>
      <c r="F177" s="80">
        <f t="shared" ref="F177:AH177" si="482">F145</f>
        <v>2.3818823102637254E-3</v>
      </c>
      <c r="G177" s="80">
        <f t="shared" si="482"/>
        <v>2.5692213683743549E-3</v>
      </c>
      <c r="H177" s="80">
        <f t="shared" si="482"/>
        <v>3.5475673608449348E-3</v>
      </c>
      <c r="I177" s="80">
        <f t="shared" si="482"/>
        <v>3.7133867169264595E-3</v>
      </c>
      <c r="J177" s="80">
        <f t="shared" si="482"/>
        <v>3.7614203441072463E-3</v>
      </c>
      <c r="K177" s="80">
        <f t="shared" si="482"/>
        <v>3.0142266177294948E-3</v>
      </c>
      <c r="L177" s="80">
        <f t="shared" si="482"/>
        <v>5.1895515696552532E-3</v>
      </c>
      <c r="M177" s="80">
        <f t="shared" si="482"/>
        <v>6.5420004427497961E-3</v>
      </c>
      <c r="N177" s="80">
        <f t="shared" si="482"/>
        <v>8.8345161842838561E-3</v>
      </c>
      <c r="O177" s="80">
        <f t="shared" si="482"/>
        <v>1.1692558603902161E-2</v>
      </c>
      <c r="P177" s="80">
        <f t="shared" si="482"/>
        <v>2.6590939034932672E-2</v>
      </c>
      <c r="Q177" s="80">
        <f t="shared" si="482"/>
        <v>2.5444645432076009E-2</v>
      </c>
      <c r="R177" s="80">
        <f t="shared" si="482"/>
        <v>1.2437755416927687E-2</v>
      </c>
      <c r="S177" s="80">
        <f t="shared" si="482"/>
        <v>1.3159862153630448E-2</v>
      </c>
      <c r="T177" s="80">
        <f t="shared" si="482"/>
        <v>1.2023846120669935E-2</v>
      </c>
      <c r="U177" s="80">
        <f t="shared" si="482"/>
        <v>8.7712999922167443E-3</v>
      </c>
      <c r="V177" s="80">
        <f t="shared" si="482"/>
        <v>1.239980079131636E-2</v>
      </c>
      <c r="W177" s="80">
        <f t="shared" si="482"/>
        <v>1.1198138784193493E-2</v>
      </c>
      <c r="X177" s="80">
        <f t="shared" si="482"/>
        <v>1.0669861278179468E-2</v>
      </c>
      <c r="Y177" s="80">
        <f t="shared" si="482"/>
        <v>1.7926852667210235E-2</v>
      </c>
      <c r="Z177" s="80">
        <f t="shared" si="482"/>
        <v>1.5588067953264981E-2</v>
      </c>
      <c r="AA177" s="80">
        <f t="shared" si="482"/>
        <v>1.8106278803025136E-2</v>
      </c>
      <c r="AB177" s="80">
        <f t="shared" si="482"/>
        <v>1.7647942268347715E-2</v>
      </c>
      <c r="AC177" s="80">
        <f t="shared" si="482"/>
        <v>2.306969269700123E-2</v>
      </c>
      <c r="AD177" s="80">
        <f t="shared" si="482"/>
        <v>3.4832192272239992E-2</v>
      </c>
      <c r="AE177" s="80">
        <f t="shared" si="482"/>
        <v>3.3603032890766972E-2</v>
      </c>
      <c r="AF177" s="80">
        <f t="shared" si="482"/>
        <v>3.9544597424775028E-2</v>
      </c>
      <c r="AG177" s="80">
        <f t="shared" si="482"/>
        <v>2.6343080842880656E-2</v>
      </c>
      <c r="AH177" s="80">
        <f t="shared" si="482"/>
        <v>3.3713055057506665E-2</v>
      </c>
      <c r="AI177" s="80">
        <f t="shared" ref="AI177:AU177" si="483">AI145</f>
        <v>2.1705404761693445E-2</v>
      </c>
      <c r="AJ177" s="80">
        <f t="shared" si="483"/>
        <v>2.2665060472129822E-2</v>
      </c>
      <c r="AK177" s="80">
        <f t="shared" si="483"/>
        <v>1.5265245878990395E-2</v>
      </c>
      <c r="AL177" s="80">
        <f t="shared" si="483"/>
        <v>9.9276771907686797E-3</v>
      </c>
      <c r="AM177" s="80">
        <f t="shared" si="483"/>
        <v>3.6692951049201558E-3</v>
      </c>
      <c r="AN177" s="80">
        <f t="shared" si="483"/>
        <v>1.3786634654267596E-2</v>
      </c>
      <c r="AO177" s="80">
        <f t="shared" si="483"/>
        <v>3.8170427014390773E-2</v>
      </c>
      <c r="AP177" s="80">
        <f t="shared" si="483"/>
        <v>4.8975782334636148E-2</v>
      </c>
      <c r="AQ177" s="80">
        <f t="shared" si="483"/>
        <v>2.5959840909615884E-2</v>
      </c>
      <c r="AR177" s="80">
        <f t="shared" si="483"/>
        <v>2.7565604264849854E-2</v>
      </c>
      <c r="AS177" s="80">
        <f t="shared" si="483"/>
        <v>0.15201226429548267</v>
      </c>
      <c r="AT177" s="80">
        <f t="shared" si="483"/>
        <v>2.6644966607849043</v>
      </c>
      <c r="AU177" s="80">
        <f t="shared" si="483"/>
        <v>10.175990009343554</v>
      </c>
      <c r="AV177" s="80">
        <f t="shared" ref="AV177:BE177" si="484">AV145</f>
        <v>50.877382499999996</v>
      </c>
      <c r="AW177" s="80">
        <f t="shared" si="484"/>
        <v>32.17624</v>
      </c>
      <c r="AX177" s="80">
        <f t="shared" si="484"/>
        <v>21.293100000000003</v>
      </c>
      <c r="AY177" s="80">
        <f t="shared" si="484"/>
        <v>28.600606599999995</v>
      </c>
      <c r="AZ177" s="80">
        <f t="shared" si="484"/>
        <v>47.760423099999997</v>
      </c>
      <c r="BA177" s="80">
        <f t="shared" si="484"/>
        <v>135.89483000000001</v>
      </c>
      <c r="BB177" s="80">
        <f t="shared" si="484"/>
        <v>112.62413800000002</v>
      </c>
      <c r="BC177" s="80">
        <f t="shared" si="484"/>
        <v>390.12478819999995</v>
      </c>
      <c r="BD177" s="80">
        <f t="shared" si="484"/>
        <v>840.97839999999997</v>
      </c>
      <c r="BE177" s="80">
        <f t="shared" si="484"/>
        <v>780.78512226270004</v>
      </c>
      <c r="BF177" s="80">
        <f t="shared" ref="BF177:BQ177" ca="1" si="485">BF145</f>
        <v>647.58623305277638</v>
      </c>
      <c r="BG177" s="80">
        <f t="shared" ca="1" si="485"/>
        <v>544.32156655047072</v>
      </c>
      <c r="BH177" s="80">
        <f t="shared" ca="1" si="485"/>
        <v>825.55182713080524</v>
      </c>
      <c r="BI177" s="80">
        <f t="shared" ca="1" si="485"/>
        <v>861.03586662485429</v>
      </c>
      <c r="BJ177" s="80">
        <f t="shared" ca="1" si="485"/>
        <v>889.58538443435771</v>
      </c>
      <c r="BK177" s="80">
        <f t="shared" ref="BK177:BP177" ca="1" si="486">BK145</f>
        <v>1433.3383749165441</v>
      </c>
      <c r="BL177" s="80">
        <f t="shared" ca="1" si="486"/>
        <v>2396.1631044419373</v>
      </c>
      <c r="BM177" s="80">
        <f t="shared" ca="1" si="486"/>
        <v>1809.535668725244</v>
      </c>
      <c r="BN177" s="80">
        <f t="shared" ca="1" si="486"/>
        <v>2468.0250797561057</v>
      </c>
      <c r="BO177" s="80">
        <f t="shared" ca="1" si="486"/>
        <v>2560.327654131996</v>
      </c>
      <c r="BP177" s="80">
        <f t="shared" ca="1" si="486"/>
        <v>2297.139251225939</v>
      </c>
      <c r="BQ177" s="80">
        <f t="shared" ca="1" si="485"/>
        <v>2245.1208353300867</v>
      </c>
      <c r="BR177" s="80">
        <f ca="1">BR145</f>
        <v>1716.7648416713405</v>
      </c>
      <c r="BS177" s="80">
        <f ca="1">BS145</f>
        <v>1711.6736466301932</v>
      </c>
      <c r="BT177" s="80">
        <f ca="1">BT145</f>
        <v>1762.8383414355162</v>
      </c>
      <c r="BU177" s="80">
        <f ca="1">BU145</f>
        <v>1956.9323217211288</v>
      </c>
      <c r="BV177" s="80">
        <f ca="1">BV145</f>
        <v>2017.175767109132</v>
      </c>
      <c r="BW177" s="80">
        <f t="shared" ref="BW177:BX177" ca="1" si="487">BW145</f>
        <v>2080.1708224393092</v>
      </c>
      <c r="BX177" s="80">
        <f t="shared" ca="1" si="487"/>
        <v>2145.7600038787359</v>
      </c>
      <c r="BY177" s="80">
        <f t="shared" ref="BY177:CD177" ca="1" si="488">BY145</f>
        <v>2214.0102861207047</v>
      </c>
      <c r="BZ177" s="80">
        <f t="shared" ca="1" si="488"/>
        <v>2285.049215925394</v>
      </c>
      <c r="CA177" s="80">
        <f t="shared" ca="1" si="488"/>
        <v>2359.1368778265896</v>
      </c>
      <c r="CB177" s="80">
        <f t="shared" ca="1" si="488"/>
        <v>2436.4187567635354</v>
      </c>
      <c r="CC177" s="80">
        <f t="shared" ca="1" si="488"/>
        <v>2516.9439820193302</v>
      </c>
      <c r="CD177" s="80">
        <f t="shared" ca="1" si="488"/>
        <v>2600.8517152934246</v>
      </c>
      <c r="CE177" s="80"/>
      <c r="CF177" s="435"/>
      <c r="CG177" s="235">
        <f t="shared" ca="1" si="430"/>
        <v>-0.17636463655753687</v>
      </c>
      <c r="CH177" s="235">
        <f t="shared" ca="1" si="450"/>
        <v>0.78033319795667921</v>
      </c>
      <c r="CI177" s="235" t="e">
        <f ca="1">BM177-#REF!</f>
        <v>#REF!</v>
      </c>
      <c r="CJ177" s="235">
        <f t="shared" ca="1" si="395"/>
        <v>0</v>
      </c>
      <c r="CK177" s="235">
        <f t="shared" ca="1" si="396"/>
        <v>0</v>
      </c>
      <c r="CL177" s="235">
        <f t="shared" ca="1" si="397"/>
        <v>0</v>
      </c>
      <c r="CM177" s="235">
        <f t="shared" ca="1" si="398"/>
        <v>0</v>
      </c>
      <c r="CN177" s="235">
        <f t="shared" ca="1" si="399"/>
        <v>0</v>
      </c>
      <c r="CO177" s="235">
        <f t="shared" ca="1" si="400"/>
        <v>0</v>
      </c>
      <c r="CP177" s="235">
        <f t="shared" ca="1" si="401"/>
        <v>0</v>
      </c>
      <c r="CQ177" s="235">
        <f t="shared" ca="1" si="402"/>
        <v>0</v>
      </c>
      <c r="CR177" s="235">
        <f t="shared" ca="1" si="403"/>
        <v>0</v>
      </c>
      <c r="CS177" s="235">
        <f t="shared" ca="1" si="404"/>
        <v>0</v>
      </c>
      <c r="CT177" s="235">
        <f t="shared" ca="1" si="405"/>
        <v>0</v>
      </c>
      <c r="CU177" s="235">
        <f t="shared" ca="1" si="406"/>
        <v>0</v>
      </c>
      <c r="CV177" s="235">
        <f t="shared" ca="1" si="407"/>
        <v>0</v>
      </c>
      <c r="CW177" s="235">
        <f t="shared" ca="1" si="408"/>
        <v>0</v>
      </c>
      <c r="CX177" s="235">
        <f t="shared" ca="1" si="409"/>
        <v>8.6401996668428183E-12</v>
      </c>
      <c r="CY177" s="235">
        <f t="shared" ca="1" si="410"/>
        <v>5.9117155615240335E-11</v>
      </c>
      <c r="CZ177" s="235">
        <f t="shared" ca="1" si="411"/>
        <v>3.1013769330456853E-10</v>
      </c>
      <c r="DA177" s="38"/>
      <c r="DB177" s="236">
        <v>619.91668404670804</v>
      </c>
      <c r="DC177" s="236">
        <v>620.9166840467077</v>
      </c>
      <c r="DD177" s="236">
        <v>517.36981997534372</v>
      </c>
      <c r="DE177" s="236">
        <v>802.38531243057935</v>
      </c>
      <c r="DF177" s="401">
        <v>862.9592248945977</v>
      </c>
      <c r="DG177" s="236">
        <v>1433.5147395531017</v>
      </c>
      <c r="DH177" s="492">
        <v>2395.3827712439806</v>
      </c>
      <c r="DI177" s="236">
        <v>2468.0250797561052</v>
      </c>
      <c r="DJ177" s="236">
        <v>2560.327654131996</v>
      </c>
      <c r="DK177" s="236">
        <v>2297.1392512259386</v>
      </c>
      <c r="DL177" s="236">
        <v>2245.1208353300867</v>
      </c>
      <c r="DM177" s="236">
        <v>1716.7648416713403</v>
      </c>
      <c r="DN177" s="236">
        <v>1711.6736466301929</v>
      </c>
      <c r="DO177" s="236">
        <v>1762.8383414355162</v>
      </c>
      <c r="DP177" s="236">
        <v>1956.9323217211281</v>
      </c>
      <c r="DQ177" s="401">
        <v>2017.1757671091311</v>
      </c>
      <c r="DR177" s="401">
        <v>2080.1708224393083</v>
      </c>
      <c r="DS177" s="401">
        <v>2145.7600038787346</v>
      </c>
      <c r="DT177" s="401">
        <v>2214.0102861207033</v>
      </c>
      <c r="DU177" s="401">
        <v>2285.0492159253927</v>
      </c>
      <c r="DV177" s="401">
        <v>2359.1368778265883</v>
      </c>
      <c r="DW177" s="401">
        <v>2436.4187567635267</v>
      </c>
      <c r="DX177" s="401">
        <v>2516.9439820192711</v>
      </c>
      <c r="DY177" s="401">
        <v>2600.8517152931145</v>
      </c>
      <c r="DZ177" s="401"/>
      <c r="EA177" s="989"/>
    </row>
    <row r="178" spans="1:131">
      <c r="A178" s="3" t="s">
        <v>2847</v>
      </c>
      <c r="B178" s="3" t="s">
        <v>4019</v>
      </c>
      <c r="F178" s="15">
        <f t="shared" ref="F178:AH178" si="489">F176-F181</f>
        <v>-6.0423999999999992E-2</v>
      </c>
      <c r="G178" s="15">
        <f t="shared" si="489"/>
        <v>-5.4679000000000005E-2</v>
      </c>
      <c r="H178" s="15">
        <f t="shared" si="489"/>
        <v>-6.5937000000000009E-2</v>
      </c>
      <c r="I178" s="15">
        <f t="shared" si="489"/>
        <v>-7.8E-2</v>
      </c>
      <c r="J178" s="15">
        <f t="shared" si="489"/>
        <v>-7.0517998474121088E-2</v>
      </c>
      <c r="K178" s="15">
        <f t="shared" si="489"/>
        <v>-8.6803999999999992E-2</v>
      </c>
      <c r="L178" s="15">
        <f t="shared" si="489"/>
        <v>-9.3861998474121092E-2</v>
      </c>
      <c r="M178" s="15">
        <f t="shared" si="489"/>
        <v>-9.0506001525878912E-2</v>
      </c>
      <c r="N178" s="15">
        <f t="shared" si="489"/>
        <v>-8.9076003051757821E-2</v>
      </c>
      <c r="O178" s="15">
        <f t="shared" si="489"/>
        <v>-9.7554000000000002E-2</v>
      </c>
      <c r="P178" s="15">
        <f t="shared" si="489"/>
        <v>-0.10358500305175782</v>
      </c>
      <c r="Q178" s="15">
        <f t="shared" si="489"/>
        <v>-0.11678199694824219</v>
      </c>
      <c r="R178" s="15">
        <f t="shared" si="489"/>
        <v>-0.13950000000000001</v>
      </c>
      <c r="S178" s="15">
        <f t="shared" si="489"/>
        <v>-0.11649900305175781</v>
      </c>
      <c r="T178" s="15">
        <f t="shared" si="489"/>
        <v>-0.11892899694824219</v>
      </c>
      <c r="U178" s="15">
        <f t="shared" si="489"/>
        <v>-0.12467801220703123</v>
      </c>
      <c r="V178" s="15">
        <f t="shared" si="489"/>
        <v>-0.12919900610351565</v>
      </c>
      <c r="W178" s="15">
        <f t="shared" si="489"/>
        <v>-0.14089500610351566</v>
      </c>
      <c r="X178" s="15">
        <f t="shared" si="489"/>
        <v>-0.15460001220703123</v>
      </c>
      <c r="Y178" s="15">
        <f t="shared" si="489"/>
        <v>-0.14629999999999999</v>
      </c>
      <c r="Z178" s="15">
        <f t="shared" si="489"/>
        <v>-0.24310002441406253</v>
      </c>
      <c r="AA178" s="15">
        <f t="shared" si="489"/>
        <v>-0.2498000122070313</v>
      </c>
      <c r="AB178" s="15">
        <f t="shared" si="489"/>
        <v>-0.21640002441406253</v>
      </c>
      <c r="AC178" s="15">
        <f t="shared" si="489"/>
        <v>-0.24180001220703123</v>
      </c>
      <c r="AD178" s="15">
        <f t="shared" si="489"/>
        <v>-0.28899997558593749</v>
      </c>
      <c r="AE178" s="15">
        <f t="shared" si="489"/>
        <v>-0.30170001220703135</v>
      </c>
      <c r="AF178" s="15">
        <f t="shared" si="489"/>
        <v>-0.34319995117187496</v>
      </c>
      <c r="AG178" s="15">
        <f t="shared" si="489"/>
        <v>-0.30131563779296866</v>
      </c>
      <c r="AH178" s="15">
        <f t="shared" si="489"/>
        <v>-0.2124039499999999</v>
      </c>
      <c r="AI178" s="15">
        <f t="shared" ref="AI178:AU178" si="490">AI176-AI181</f>
        <v>-0.1854955877929686</v>
      </c>
      <c r="AJ178" s="15">
        <f t="shared" si="490"/>
        <v>-0.18859997558593744</v>
      </c>
      <c r="AK178" s="15">
        <f t="shared" si="490"/>
        <v>-0.16230002441406266</v>
      </c>
      <c r="AL178" s="15">
        <f t="shared" si="490"/>
        <v>-0.11050001220703121</v>
      </c>
      <c r="AM178" s="15">
        <f t="shared" si="490"/>
        <v>-0.18380001220703113</v>
      </c>
      <c r="AN178" s="15">
        <f t="shared" si="490"/>
        <v>-6.5700012207031255E-2</v>
      </c>
      <c r="AO178" s="15">
        <f t="shared" si="490"/>
        <v>-4.7699999999999965E-2</v>
      </c>
      <c r="AP178" s="15">
        <f t="shared" si="490"/>
        <v>-3.366349114485645E-2</v>
      </c>
      <c r="AQ178" s="15">
        <f t="shared" si="490"/>
        <v>-2.1863491144856417E-2</v>
      </c>
      <c r="AR178" s="15">
        <f t="shared" si="490"/>
        <v>3.5085187328668721E-2</v>
      </c>
      <c r="AS178" s="15">
        <f t="shared" si="490"/>
        <v>-12.754943515839164</v>
      </c>
      <c r="AT178" s="15">
        <f t="shared" si="490"/>
        <v>-16.364653239197061</v>
      </c>
      <c r="AU178" s="15">
        <f t="shared" si="490"/>
        <v>-29.051459969419227</v>
      </c>
      <c r="AV178" s="15">
        <f t="shared" ref="AV178:BD178" si="491">AV176-AV181</f>
        <v>17.453007763547703</v>
      </c>
      <c r="AW178" s="15">
        <f t="shared" si="491"/>
        <v>26.936165372871812</v>
      </c>
      <c r="AX178" s="15">
        <f t="shared" si="491"/>
        <v>39.820632419572689</v>
      </c>
      <c r="AY178" s="15">
        <f t="shared" si="491"/>
        <v>-1.0323991174038838</v>
      </c>
      <c r="AZ178" s="15">
        <f t="shared" si="491"/>
        <v>13.224401615894635</v>
      </c>
      <c r="BA178" s="15">
        <f t="shared" si="491"/>
        <v>21.547630188455969</v>
      </c>
      <c r="BB178" s="15">
        <f t="shared" si="491"/>
        <v>136.99094682102384</v>
      </c>
      <c r="BC178" s="15">
        <f t="shared" si="491"/>
        <v>1.5571953390940507</v>
      </c>
      <c r="BD178" s="15">
        <f t="shared" si="491"/>
        <v>146.96135570679553</v>
      </c>
      <c r="BE178" s="15">
        <f t="shared" ref="BE178:BO178" si="492">BE176-BE181</f>
        <v>-82.522335206102071</v>
      </c>
      <c r="BF178" s="15">
        <f t="shared" si="492"/>
        <v>303.79908644011357</v>
      </c>
      <c r="BG178" s="15">
        <f t="shared" si="492"/>
        <v>-376.53036989334987</v>
      </c>
      <c r="BH178" s="15">
        <f t="shared" si="492"/>
        <v>-571.25370395930258</v>
      </c>
      <c r="BI178" s="15">
        <f t="shared" si="492"/>
        <v>-580.87330182233927</v>
      </c>
      <c r="BJ178" s="15">
        <f t="shared" si="492"/>
        <v>-1155.2821791779943</v>
      </c>
      <c r="BK178" s="15">
        <f t="shared" si="492"/>
        <v>-1114.440388738667</v>
      </c>
      <c r="BL178" s="15">
        <f t="shared" si="492"/>
        <v>-1177.4379556072436</v>
      </c>
      <c r="BM178" s="15">
        <f t="shared" si="492"/>
        <v>-1228.5637628342311</v>
      </c>
      <c r="BN178" s="15">
        <f t="shared" si="492"/>
        <v>-1014.1073865616563</v>
      </c>
      <c r="BO178" s="15">
        <f t="shared" si="492"/>
        <v>-795.10460214505292</v>
      </c>
      <c r="BP178" s="15">
        <f t="shared" ref="BP178:BU178" si="493">BP176-BP181</f>
        <v>-1089.6289063660661</v>
      </c>
      <c r="BQ178" s="15">
        <f t="shared" si="493"/>
        <v>-1424.2561281179605</v>
      </c>
      <c r="BR178" s="15">
        <f t="shared" si="493"/>
        <v>-1508.6842572317873</v>
      </c>
      <c r="BS178" s="15">
        <f t="shared" si="493"/>
        <v>-1507.3389115175432</v>
      </c>
      <c r="BT178" s="15">
        <f t="shared" si="493"/>
        <v>-1544.505609311027</v>
      </c>
      <c r="BU178" s="15">
        <f t="shared" si="493"/>
        <v>-1609.8381282094851</v>
      </c>
      <c r="BV178" s="15">
        <f>BV176-BV181</f>
        <v>-1678.6064060027384</v>
      </c>
      <c r="BW178" s="15">
        <f t="shared" ref="BW178:BX178" si="494">BW176-BW181</f>
        <v>-1751.013808732363</v>
      </c>
      <c r="BX178" s="15">
        <f t="shared" si="494"/>
        <v>-1827.2773798451926</v>
      </c>
      <c r="BY178" s="15">
        <f t="shared" ref="BY178:CD178" si="495">BY176-BY181</f>
        <v>-1907.6288773240922</v>
      </c>
      <c r="BZ178" s="15">
        <f t="shared" si="495"/>
        <v>-2028.0386255873382</v>
      </c>
      <c r="CA178" s="15">
        <f t="shared" si="495"/>
        <v>-2157.086644249448</v>
      </c>
      <c r="CB178" s="15">
        <f t="shared" si="495"/>
        <v>-2295.4045516180977</v>
      </c>
      <c r="CC178" s="15">
        <f t="shared" si="495"/>
        <v>-2443.6711496907501</v>
      </c>
      <c r="CD178" s="15">
        <f t="shared" si="495"/>
        <v>-2602.616041968533</v>
      </c>
      <c r="CE178" s="15"/>
      <c r="CF178" s="435"/>
      <c r="CG178" s="235">
        <f t="shared" si="430"/>
        <v>-519.01637283763466</v>
      </c>
      <c r="CH178" s="235">
        <f t="shared" si="450"/>
        <v>-18.090000000000146</v>
      </c>
      <c r="CI178" s="235" t="e">
        <f>BM178-#REF!</f>
        <v>#REF!</v>
      </c>
      <c r="CJ178" s="235">
        <f t="shared" si="395"/>
        <v>0</v>
      </c>
      <c r="CK178" s="235">
        <f t="shared" si="396"/>
        <v>0</v>
      </c>
      <c r="CL178" s="235">
        <f t="shared" si="397"/>
        <v>0</v>
      </c>
      <c r="CM178" s="235">
        <f t="shared" si="398"/>
        <v>0</v>
      </c>
      <c r="CN178" s="235">
        <f t="shared" si="399"/>
        <v>0</v>
      </c>
      <c r="CO178" s="235">
        <f t="shared" si="400"/>
        <v>0</v>
      </c>
      <c r="CP178" s="235">
        <f t="shared" si="401"/>
        <v>0</v>
      </c>
      <c r="CQ178" s="235">
        <f t="shared" si="402"/>
        <v>0</v>
      </c>
      <c r="CR178" s="235">
        <f t="shared" si="403"/>
        <v>0</v>
      </c>
      <c r="CS178" s="235">
        <f t="shared" si="404"/>
        <v>0</v>
      </c>
      <c r="CT178" s="235">
        <f t="shared" si="405"/>
        <v>0</v>
      </c>
      <c r="CU178" s="235">
        <f t="shared" si="406"/>
        <v>0</v>
      </c>
      <c r="CV178" s="235">
        <f t="shared" si="407"/>
        <v>0</v>
      </c>
      <c r="CW178" s="235">
        <f t="shared" si="408"/>
        <v>0</v>
      </c>
      <c r="CX178" s="235">
        <f t="shared" si="409"/>
        <v>0</v>
      </c>
      <c r="CY178" s="235">
        <f t="shared" si="410"/>
        <v>0</v>
      </c>
      <c r="CZ178" s="235">
        <f t="shared" si="411"/>
        <v>0</v>
      </c>
      <c r="DB178" s="236">
        <v>-275.14510964375199</v>
      </c>
      <c r="DC178" s="236">
        <v>-274.14510964375222</v>
      </c>
      <c r="DD178" s="236">
        <v>-247.82442781621785</v>
      </c>
      <c r="DE178" s="236">
        <v>-381.22989324014452</v>
      </c>
      <c r="DF178" s="401">
        <v>475.54597048566075</v>
      </c>
      <c r="DG178" s="236">
        <v>-595.42401590103236</v>
      </c>
      <c r="DH178" s="492">
        <v>-1159.3479556072434</v>
      </c>
      <c r="DI178" s="236">
        <v>-1014.1073865616563</v>
      </c>
      <c r="DJ178" s="236">
        <v>-795.10460214505292</v>
      </c>
      <c r="DK178" s="236">
        <v>-1089.6289063660661</v>
      </c>
      <c r="DL178" s="236">
        <v>-1424.2561281179605</v>
      </c>
      <c r="DM178" s="236">
        <v>-1508.6842572317873</v>
      </c>
      <c r="DN178" s="236">
        <v>-1507.3389115175432</v>
      </c>
      <c r="DO178" s="236">
        <v>-1544.505609311027</v>
      </c>
      <c r="DP178" s="236">
        <v>-1609.8381282094851</v>
      </c>
      <c r="DQ178" s="258">
        <v>-1678.6064060027384</v>
      </c>
      <c r="DR178" s="258">
        <v>-1751.013808732363</v>
      </c>
      <c r="DS178" s="258">
        <v>-1827.2773798451926</v>
      </c>
      <c r="DT178" s="258">
        <v>-1907.6288773240922</v>
      </c>
      <c r="DU178" s="258">
        <v>-2028.0386255873382</v>
      </c>
      <c r="DV178" s="258">
        <v>-2157.086644249448</v>
      </c>
      <c r="DW178" s="258">
        <v>-2295.4045516180977</v>
      </c>
      <c r="DX178" s="258">
        <v>-2443.6711496907501</v>
      </c>
      <c r="DY178" s="258">
        <v>-2602.616041968533</v>
      </c>
    </row>
    <row r="179" spans="1:131" s="66" customFormat="1">
      <c r="A179" s="70" t="s">
        <v>2835</v>
      </c>
      <c r="B179" s="70" t="s">
        <v>3676</v>
      </c>
      <c r="D179" s="205"/>
      <c r="E179" s="205"/>
      <c r="F179" s="205"/>
      <c r="G179" s="205"/>
      <c r="H179" s="205"/>
      <c r="I179" s="205"/>
      <c r="J179" s="205"/>
      <c r="K179" s="205"/>
      <c r="L179" s="205"/>
      <c r="M179" s="205"/>
      <c r="N179" s="205"/>
      <c r="O179" s="205"/>
      <c r="P179" s="205"/>
      <c r="Q179" s="205"/>
      <c r="R179" s="205"/>
      <c r="S179" s="205"/>
      <c r="T179" s="205"/>
      <c r="U179" s="205"/>
      <c r="V179" s="205"/>
      <c r="W179" s="205"/>
      <c r="X179" s="205"/>
      <c r="Y179" s="205"/>
      <c r="Z179" s="205"/>
      <c r="AA179" s="205"/>
      <c r="AB179" s="205"/>
      <c r="AC179" s="205"/>
      <c r="AD179" s="205"/>
      <c r="AE179" s="205"/>
      <c r="AF179" s="205"/>
      <c r="AG179" s="205"/>
      <c r="AH179" s="205"/>
      <c r="AI179" s="205"/>
      <c r="AJ179" s="205"/>
      <c r="AK179" s="205"/>
      <c r="AL179" s="205"/>
      <c r="AM179" s="205"/>
      <c r="AN179" s="205"/>
      <c r="AO179" s="205"/>
      <c r="AP179" s="205"/>
      <c r="AQ179" s="205"/>
      <c r="AR179" s="205"/>
      <c r="AS179" s="205"/>
      <c r="AT179" s="205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435"/>
      <c r="CG179" s="235">
        <f t="shared" si="430"/>
        <v>0</v>
      </c>
      <c r="CH179" s="235">
        <f t="shared" si="450"/>
        <v>0</v>
      </c>
      <c r="CI179" s="235" t="e">
        <f>BM179-#REF!</f>
        <v>#REF!</v>
      </c>
      <c r="CJ179" s="235">
        <f t="shared" si="395"/>
        <v>0</v>
      </c>
      <c r="CK179" s="235">
        <f t="shared" si="396"/>
        <v>0</v>
      </c>
      <c r="CL179" s="235">
        <f t="shared" si="397"/>
        <v>0</v>
      </c>
      <c r="CM179" s="235">
        <f t="shared" si="398"/>
        <v>0</v>
      </c>
      <c r="CN179" s="235">
        <f t="shared" si="399"/>
        <v>0</v>
      </c>
      <c r="CO179" s="235">
        <f t="shared" si="400"/>
        <v>0</v>
      </c>
      <c r="CP179" s="235">
        <f t="shared" si="401"/>
        <v>0</v>
      </c>
      <c r="CQ179" s="235">
        <f t="shared" si="402"/>
        <v>0</v>
      </c>
      <c r="CR179" s="235">
        <f t="shared" si="403"/>
        <v>0</v>
      </c>
      <c r="CS179" s="235">
        <f t="shared" si="404"/>
        <v>0</v>
      </c>
      <c r="CT179" s="235">
        <f t="shared" si="405"/>
        <v>0</v>
      </c>
      <c r="CU179" s="235">
        <f t="shared" si="406"/>
        <v>0</v>
      </c>
      <c r="CV179" s="235">
        <f t="shared" si="407"/>
        <v>0</v>
      </c>
      <c r="CW179" s="235">
        <f t="shared" si="408"/>
        <v>0</v>
      </c>
      <c r="CX179" s="235">
        <f t="shared" si="409"/>
        <v>0</v>
      </c>
      <c r="CY179" s="235">
        <f t="shared" si="410"/>
        <v>0</v>
      </c>
      <c r="CZ179" s="235">
        <f t="shared" si="411"/>
        <v>0</v>
      </c>
      <c r="DA179" s="38"/>
      <c r="DB179" s="236"/>
      <c r="DC179" s="236"/>
      <c r="DD179" s="236"/>
      <c r="DE179" s="236"/>
      <c r="DF179" s="258"/>
      <c r="DG179" s="236"/>
      <c r="DH179" s="492"/>
      <c r="DI179" s="236"/>
      <c r="DJ179" s="236"/>
      <c r="DK179" s="236"/>
      <c r="DL179" s="236"/>
      <c r="DM179" s="236"/>
      <c r="DN179" s="236"/>
      <c r="DO179" s="236"/>
      <c r="DP179" s="236"/>
      <c r="DQ179" s="1084"/>
      <c r="DR179" s="1084"/>
      <c r="DS179" s="1084"/>
      <c r="DT179" s="1084"/>
      <c r="DU179" s="1084"/>
      <c r="DV179" s="1084"/>
      <c r="DW179" s="1084"/>
      <c r="DX179" s="1084"/>
      <c r="DY179" s="1084"/>
      <c r="DZ179" s="1084"/>
      <c r="EA179" s="988"/>
    </row>
    <row r="180" spans="1:131" s="19" customFormat="1">
      <c r="A180" s="133" t="s">
        <v>2836</v>
      </c>
      <c r="B180" s="133" t="s">
        <v>1358</v>
      </c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  <c r="AA180" s="218"/>
      <c r="AB180" s="218"/>
      <c r="AC180" s="218"/>
      <c r="AD180" s="218"/>
      <c r="AE180" s="218"/>
      <c r="AF180" s="218"/>
      <c r="AG180" s="218"/>
      <c r="AH180" s="218"/>
      <c r="AI180" s="218"/>
      <c r="AJ180" s="218"/>
      <c r="AK180" s="218"/>
      <c r="AL180" s="218"/>
      <c r="AM180" s="218"/>
      <c r="AN180" s="218"/>
      <c r="AO180" s="218"/>
      <c r="AP180" s="218"/>
      <c r="AQ180" s="218"/>
      <c r="AR180" s="218"/>
      <c r="AS180" s="218"/>
      <c r="AT180" s="218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35"/>
      <c r="CG180" s="235">
        <f t="shared" si="430"/>
        <v>0</v>
      </c>
      <c r="CH180" s="235">
        <f t="shared" si="450"/>
        <v>0</v>
      </c>
      <c r="CI180" s="235" t="e">
        <f>BM180-#REF!</f>
        <v>#REF!</v>
      </c>
      <c r="CJ180" s="235">
        <f t="shared" si="395"/>
        <v>0</v>
      </c>
      <c r="CK180" s="235">
        <f t="shared" si="396"/>
        <v>0</v>
      </c>
      <c r="CL180" s="235">
        <f t="shared" si="397"/>
        <v>0</v>
      </c>
      <c r="CM180" s="235">
        <f t="shared" si="398"/>
        <v>0</v>
      </c>
      <c r="CN180" s="235">
        <f t="shared" si="399"/>
        <v>0</v>
      </c>
      <c r="CO180" s="235">
        <f t="shared" si="400"/>
        <v>0</v>
      </c>
      <c r="CP180" s="235">
        <f t="shared" si="401"/>
        <v>0</v>
      </c>
      <c r="CQ180" s="235">
        <f t="shared" si="402"/>
        <v>0</v>
      </c>
      <c r="CR180" s="235">
        <f t="shared" si="403"/>
        <v>0</v>
      </c>
      <c r="CS180" s="235">
        <f t="shared" si="404"/>
        <v>0</v>
      </c>
      <c r="CT180" s="235">
        <f t="shared" si="405"/>
        <v>0</v>
      </c>
      <c r="CU180" s="235">
        <f t="shared" si="406"/>
        <v>0</v>
      </c>
      <c r="CV180" s="235">
        <f t="shared" si="407"/>
        <v>0</v>
      </c>
      <c r="CW180" s="235">
        <f t="shared" si="408"/>
        <v>0</v>
      </c>
      <c r="CX180" s="235">
        <f t="shared" si="409"/>
        <v>0</v>
      </c>
      <c r="CY180" s="235">
        <f t="shared" si="410"/>
        <v>0</v>
      </c>
      <c r="CZ180" s="235">
        <f t="shared" si="411"/>
        <v>0</v>
      </c>
      <c r="DA180" s="38"/>
      <c r="DB180" s="236"/>
      <c r="DC180" s="236"/>
      <c r="DD180" s="236"/>
      <c r="DE180" s="236"/>
      <c r="DF180" s="258"/>
      <c r="DG180" s="236"/>
      <c r="DH180" s="492"/>
      <c r="DI180" s="236"/>
      <c r="DJ180" s="236"/>
      <c r="DK180" s="236"/>
      <c r="DL180" s="236"/>
      <c r="DM180" s="236"/>
      <c r="DN180" s="236"/>
      <c r="DO180" s="236"/>
      <c r="DP180" s="236"/>
      <c r="DQ180" s="1084"/>
      <c r="DR180" s="1084"/>
      <c r="DS180" s="1084"/>
      <c r="DT180" s="1084"/>
      <c r="DU180" s="1084"/>
      <c r="DV180" s="1084"/>
      <c r="DW180" s="1084"/>
      <c r="DX180" s="1084"/>
      <c r="DY180" s="1084"/>
      <c r="DZ180" s="1084"/>
      <c r="EA180" s="988"/>
    </row>
    <row r="181" spans="1:131" s="76" customFormat="1">
      <c r="A181" s="76" t="s">
        <v>3897</v>
      </c>
      <c r="B181" s="80" t="s">
        <v>1304</v>
      </c>
      <c r="C181" s="51" t="s">
        <v>913</v>
      </c>
      <c r="D181" s="207"/>
      <c r="E181" s="207"/>
      <c r="F181" s="295">
        <f>mamiabc!F22</f>
        <v>6.2299999999999994E-2</v>
      </c>
      <c r="G181" s="295">
        <f>mamiabc!G22</f>
        <v>5.7500000000000002E-2</v>
      </c>
      <c r="H181" s="295">
        <f>mamiabc!H22</f>
        <v>6.9500000000000006E-2</v>
      </c>
      <c r="I181" s="295">
        <f>mamiabc!I22</f>
        <v>7.8E-2</v>
      </c>
      <c r="J181" s="295">
        <f>mamiabc!J22</f>
        <v>7.3099998474121089E-2</v>
      </c>
      <c r="K181" s="295">
        <f>mamiabc!K22</f>
        <v>0.09</v>
      </c>
      <c r="L181" s="295">
        <f>mamiabc!L22</f>
        <v>9.8099998474121097E-2</v>
      </c>
      <c r="M181" s="295">
        <f>mamiabc!M22</f>
        <v>9.4400001525878907E-2</v>
      </c>
      <c r="N181" s="295">
        <f>mamiabc!N22</f>
        <v>9.5300003051757814E-2</v>
      </c>
      <c r="O181" s="295">
        <f>mamiabc!O22</f>
        <v>0.1045</v>
      </c>
      <c r="P181" s="295">
        <f>mamiabc!P22</f>
        <v>0.10880000305175781</v>
      </c>
      <c r="Q181" s="295">
        <f>mamiabc!Q22</f>
        <v>0.13219999694824219</v>
      </c>
      <c r="R181" s="295">
        <f>mamiabc!R22</f>
        <v>0.19550000000000001</v>
      </c>
      <c r="S181" s="295">
        <f>mamiabc!S22</f>
        <v>0.22380000305175782</v>
      </c>
      <c r="T181" s="295">
        <f>mamiabc!T22</f>
        <v>0.24519999694824218</v>
      </c>
      <c r="U181" s="295">
        <f>mamiabc!U22</f>
        <v>0.27970001220703122</v>
      </c>
      <c r="V181" s="295">
        <f>mamiabc!V22</f>
        <v>0.29360000610351561</v>
      </c>
      <c r="W181" s="295">
        <f>mamiabc!W22</f>
        <v>0.34010000610351565</v>
      </c>
      <c r="X181" s="295">
        <f>mamiabc!X22</f>
        <v>0.36420001220703124</v>
      </c>
      <c r="Y181" s="295">
        <f>mamiabc!Y22</f>
        <v>0.36049999999999999</v>
      </c>
      <c r="Z181" s="295">
        <f>mamiabc!Z22</f>
        <v>0.54340002441406254</v>
      </c>
      <c r="AA181" s="295">
        <f>mamiabc!AA22</f>
        <v>0.57770001220703127</v>
      </c>
      <c r="AB181" s="295">
        <f>mamiabc!AB22</f>
        <v>0.61790002441406255</v>
      </c>
      <c r="AC181" s="295">
        <f>mamiabc!AC22</f>
        <v>0.70720001220703121</v>
      </c>
      <c r="AD181" s="295">
        <f>mamiabc!AD22</f>
        <v>0.81359997558593755</v>
      </c>
      <c r="AE181" s="295">
        <f>mamiabc!AE22</f>
        <v>0.91670001220703123</v>
      </c>
      <c r="AF181" s="295">
        <f>mamiabc!AF22</f>
        <v>1.094199951171875</v>
      </c>
      <c r="AG181" s="295">
        <f>mamiabc!AG22</f>
        <v>1.0097999877929686</v>
      </c>
      <c r="AH181" s="295">
        <f>mamiabc!AH22</f>
        <v>0.90949999999999998</v>
      </c>
      <c r="AI181" s="295">
        <f>mamiabc!AI22</f>
        <v>0.77429998779296871</v>
      </c>
      <c r="AJ181" s="295">
        <f>mamiabc!AJ22</f>
        <v>0.7605999755859375</v>
      </c>
      <c r="AK181" s="295">
        <f>mamiabc!AK22</f>
        <v>0.67140002441406255</v>
      </c>
      <c r="AL181" s="295">
        <f>mamiabc!AL22</f>
        <v>0.63870001220703121</v>
      </c>
      <c r="AM181" s="295">
        <f>mamiabc!AM22</f>
        <v>0.6932000122070312</v>
      </c>
      <c r="AN181" s="295">
        <f>mamiabc!AN22</f>
        <v>0.77120001220703127</v>
      </c>
      <c r="AO181" s="295">
        <f>mamiabc!AO22</f>
        <v>1.0049999999999999</v>
      </c>
      <c r="AP181" s="295">
        <f>mamiabc!AP22</f>
        <v>0.86860000000000004</v>
      </c>
      <c r="AQ181" s="295">
        <f>mamiabc!AQ22</f>
        <v>0.6573</v>
      </c>
      <c r="AR181" s="295">
        <f>mamiabc!AR22</f>
        <v>0.64910000000000001</v>
      </c>
      <c r="AS181" s="295">
        <f>mamiabc!AS22</f>
        <v>14.860100000000001</v>
      </c>
      <c r="AT181" s="295">
        <f>mamiabc!AT22</f>
        <v>75.662499999999994</v>
      </c>
      <c r="AU181" s="295">
        <f>mamiabc!AU22</f>
        <v>229.46979999999999</v>
      </c>
      <c r="AV181" s="74">
        <f>(DataInput!AV632+DataInput!AV633)*AV363</f>
        <v>194.72927249999998</v>
      </c>
      <c r="AW181" s="74">
        <f>(DataInput!AW632+DataInput!AW633)*AW363</f>
        <v>197.89350000000002</v>
      </c>
      <c r="AX181" s="74">
        <f>(DataInput!AX632+DataInput!AX633)*AX363</f>
        <v>169.10169999999999</v>
      </c>
      <c r="AY181" s="74">
        <f>(DataInput!AY632+DataInput!AY633)*AY363</f>
        <v>446.37928099999999</v>
      </c>
      <c r="AZ181" s="74">
        <f>(DataInput!AZ632+DataInput!AZ633)*AZ363</f>
        <v>694.58854699999995</v>
      </c>
      <c r="BA181" s="74">
        <f>(DataInput!BA632+DataInput!BA633)*BA363</f>
        <v>1081.4074000000001</v>
      </c>
      <c r="BB181" s="74">
        <f>(DataInput!BB632+DataInput!BB633)*BB363</f>
        <v>948.92817100000013</v>
      </c>
      <c r="BC181" s="11">
        <f>DataInput!BC137</f>
        <v>1577.6179799999998</v>
      </c>
      <c r="BD181" s="11">
        <f>DataInput!BD137</f>
        <v>2209.0720000000001</v>
      </c>
      <c r="BE181" s="11">
        <f>DataInput!BE137</f>
        <v>2721.81</v>
      </c>
      <c r="BF181" s="11">
        <f>DataInput!BF137</f>
        <v>3222.4375</v>
      </c>
      <c r="BG181" s="338">
        <f>+BG363*DataInput!BG634</f>
        <v>4426.3125</v>
      </c>
      <c r="BH181" s="338">
        <f>+BH363*DataInput!BH634</f>
        <v>5566.0365000000002</v>
      </c>
      <c r="BI181" s="338">
        <f>+BI363*DataInput!BI634</f>
        <v>4812.2250000000004</v>
      </c>
      <c r="BJ181" s="338">
        <f>+BJ363*DataInput!BJ634</f>
        <v>7092.7749999999996</v>
      </c>
      <c r="BK181" s="338">
        <f>+BK363*DataInput!BK634</f>
        <v>9255.35</v>
      </c>
      <c r="BL181" s="338">
        <f>+BL363*DataInput!BL634</f>
        <v>9632.9250000000011</v>
      </c>
      <c r="BM181" s="338">
        <f>+BM363*DataInput!BM634</f>
        <v>8692.244999999999</v>
      </c>
      <c r="BN181" s="338">
        <f>+BN363*DataInput!BN634</f>
        <v>7892.6</v>
      </c>
      <c r="BO181" s="338">
        <f>+BO363*DataInput!BO634</f>
        <v>6564.66</v>
      </c>
      <c r="BP181" s="96">
        <f t="shared" ref="BP181:BU181" si="496">BO181*(1+BP325/100)*(1+BP304/100)</f>
        <v>8376.9967090082737</v>
      </c>
      <c r="BQ181" s="96">
        <f t="shared" si="496"/>
        <v>10407.497691725664</v>
      </c>
      <c r="BR181" s="96">
        <f t="shared" si="496"/>
        <v>11018.433951166948</v>
      </c>
      <c r="BS181" s="96">
        <f t="shared" si="496"/>
        <v>11032.689302980312</v>
      </c>
      <c r="BT181" s="96">
        <f t="shared" si="496"/>
        <v>11311.980682930598</v>
      </c>
      <c r="BU181" s="96">
        <f t="shared" si="496"/>
        <v>11791.364907209239</v>
      </c>
      <c r="BV181" s="96">
        <f t="shared" ref="BV181:BX181" si="497">BU181*(1+BV325/100)*(1+BV304/100)</f>
        <v>12296.032045253747</v>
      </c>
      <c r="BW181" s="96">
        <f t="shared" si="497"/>
        <v>12827.487111310771</v>
      </c>
      <c r="BX181" s="96">
        <f t="shared" si="497"/>
        <v>13387.337164035569</v>
      </c>
      <c r="BY181" s="96">
        <f t="shared" ref="BY181" si="498">BX181*(1+BY325/100)*(1+BY304/100)</f>
        <v>13977.299110354521</v>
      </c>
      <c r="BZ181" s="96">
        <f t="shared" ref="BZ181" si="499">BY181*(1+BZ325/100)*(1+BZ304/100)</f>
        <v>14868.266854415497</v>
      </c>
      <c r="CA181" s="96">
        <f t="shared" ref="CA181" si="500">BZ181*(1+CA325/100)*(1+CA304/100)</f>
        <v>15823.161016363225</v>
      </c>
      <c r="CB181" s="96">
        <f t="shared" ref="CB181" si="501">CA181*(1+CB325/100)*(1+CB304/100)</f>
        <v>16846.655877961584</v>
      </c>
      <c r="CC181" s="96">
        <f t="shared" ref="CC181" si="502">CB181*(1+CC325/100)*(1+CC304/100)</f>
        <v>17943.774906339087</v>
      </c>
      <c r="CD181" s="96">
        <f t="shared" ref="CD181" si="503">CC181*(1+CD325/100)*(1+CD304/100)</f>
        <v>19119.917527872225</v>
      </c>
      <c r="CE181" s="96"/>
      <c r="CF181" s="435"/>
      <c r="CG181" s="235">
        <f t="shared" si="430"/>
        <v>585.65000000000146</v>
      </c>
      <c r="CH181" s="235">
        <f t="shared" si="450"/>
        <v>18.090000000000146</v>
      </c>
      <c r="CI181" s="235" t="e">
        <f>BM181-#REF!</f>
        <v>#REF!</v>
      </c>
      <c r="CJ181" s="235">
        <f t="shared" si="395"/>
        <v>0</v>
      </c>
      <c r="CK181" s="235">
        <f t="shared" si="396"/>
        <v>0</v>
      </c>
      <c r="CL181" s="235">
        <f t="shared" si="397"/>
        <v>0</v>
      </c>
      <c r="CM181" s="235">
        <f t="shared" si="398"/>
        <v>0</v>
      </c>
      <c r="CN181" s="235">
        <f t="shared" si="399"/>
        <v>0</v>
      </c>
      <c r="CO181" s="235">
        <f t="shared" si="400"/>
        <v>0</v>
      </c>
      <c r="CP181" s="235">
        <f t="shared" si="401"/>
        <v>0</v>
      </c>
      <c r="CQ181" s="235">
        <f t="shared" si="402"/>
        <v>0</v>
      </c>
      <c r="CR181" s="235">
        <f t="shared" si="403"/>
        <v>0</v>
      </c>
      <c r="CS181" s="235">
        <f t="shared" si="404"/>
        <v>0</v>
      </c>
      <c r="CT181" s="235">
        <f t="shared" si="405"/>
        <v>0</v>
      </c>
      <c r="CU181" s="235">
        <f t="shared" si="406"/>
        <v>0</v>
      </c>
      <c r="CV181" s="235">
        <f t="shared" si="407"/>
        <v>0</v>
      </c>
      <c r="CW181" s="235">
        <f t="shared" si="408"/>
        <v>0</v>
      </c>
      <c r="CX181" s="235">
        <f t="shared" si="409"/>
        <v>0</v>
      </c>
      <c r="CY181" s="235">
        <f t="shared" si="410"/>
        <v>0</v>
      </c>
      <c r="CZ181" s="235">
        <f t="shared" si="411"/>
        <v>0</v>
      </c>
      <c r="DA181" s="38"/>
      <c r="DB181" s="236">
        <v>3804</v>
      </c>
      <c r="DC181" s="236">
        <v>3805</v>
      </c>
      <c r="DD181" s="236">
        <v>4343</v>
      </c>
      <c r="DE181" s="236">
        <v>5520</v>
      </c>
      <c r="DF181" s="401">
        <v>3995.7</v>
      </c>
      <c r="DG181" s="236">
        <v>8669.6999999999989</v>
      </c>
      <c r="DH181" s="492">
        <v>9614.8350000000009</v>
      </c>
      <c r="DI181" s="236">
        <v>7892.6</v>
      </c>
      <c r="DJ181" s="236">
        <v>6564.66</v>
      </c>
      <c r="DK181" s="236">
        <v>8376.9967090082737</v>
      </c>
      <c r="DL181" s="236">
        <v>10407.497691725664</v>
      </c>
      <c r="DM181" s="236">
        <v>11018.433951166948</v>
      </c>
      <c r="DN181" s="236">
        <v>11032.689302980312</v>
      </c>
      <c r="DO181" s="236">
        <v>11311.980682930598</v>
      </c>
      <c r="DP181" s="236">
        <v>11791.364907209239</v>
      </c>
      <c r="DQ181" s="401">
        <v>12296.032045253747</v>
      </c>
      <c r="DR181" s="401">
        <v>12827.487111310771</v>
      </c>
      <c r="DS181" s="401">
        <v>13387.337164035569</v>
      </c>
      <c r="DT181" s="401">
        <v>13977.299110354521</v>
      </c>
      <c r="DU181" s="401">
        <v>14868.266854415497</v>
      </c>
      <c r="DV181" s="401">
        <v>15823.161016363225</v>
      </c>
      <c r="DW181" s="401">
        <v>16846.655877961584</v>
      </c>
      <c r="DX181" s="401">
        <v>17943.774906339087</v>
      </c>
      <c r="DY181" s="401">
        <v>19119.917527872225</v>
      </c>
      <c r="DZ181" s="401"/>
      <c r="EA181" s="989"/>
    </row>
    <row r="182" spans="1:131" s="76" customFormat="1">
      <c r="A182" s="76" t="s">
        <v>3899</v>
      </c>
      <c r="B182" s="80" t="s">
        <v>1513</v>
      </c>
      <c r="C182" s="51" t="s">
        <v>914</v>
      </c>
      <c r="D182" s="207"/>
      <c r="E182" s="207"/>
      <c r="F182" s="295">
        <f>mamiabc!F28*Model!$AV182/mamiabc!$AV28</f>
        <v>4.5591992101509056E-2</v>
      </c>
      <c r="G182" s="295">
        <f>mamiabc!G28*Model!$AV182/mamiabc!$AV28</f>
        <v>4.509910570041166E-2</v>
      </c>
      <c r="H182" s="295">
        <f>mamiabc!H28*Model!$AV182/mamiabc!$AV28</f>
        <v>5.51211279359171E-2</v>
      </c>
      <c r="I182" s="295">
        <f>mamiabc!I28*Model!$AV182/mamiabc!$AV28</f>
        <v>6.4157378622702668E-2</v>
      </c>
      <c r="J182" s="295">
        <f>mamiabc!J28*Model!$AV182/mamiabc!$AV28</f>
        <v>6.2021538804755555E-2</v>
      </c>
      <c r="K182" s="295">
        <f>mamiabc!K28*Model!$AV182/mamiabc!$AV28</f>
        <v>7.6972423797760009E-2</v>
      </c>
      <c r="L182" s="295">
        <f>mamiabc!L28*Model!$AV182/mamiabc!$AV28</f>
        <v>8.9869621720233328E-2</v>
      </c>
      <c r="M182" s="295">
        <f>mamiabc!M28*Model!$AV182/mamiabc!$AV28</f>
        <v>9.0198213907773189E-2</v>
      </c>
      <c r="N182" s="295">
        <f>mamiabc!N28*Model!$AV182/mamiabc!$AV28</f>
        <v>9.1841168578097848E-2</v>
      </c>
      <c r="O182" s="295">
        <f>mamiabc!O28*Model!$AV182/mamiabc!$AV28</f>
        <v>9.9727349742181226E-2</v>
      </c>
      <c r="P182" s="295">
        <f>mamiabc!P28*Model!$AV182/mamiabc!$AV28</f>
        <v>0.13685812905194314</v>
      </c>
      <c r="Q182" s="295">
        <f>mamiabc!Q28*Model!$AV182/mamiabc!$AV28</f>
        <v>0.15764149560375049</v>
      </c>
      <c r="R182" s="295">
        <f>mamiabc!R28*Model!$AV182/mamiabc!$AV28</f>
        <v>0.15550566205317806</v>
      </c>
      <c r="S182" s="295">
        <f>mamiabc!S28*Model!$AV182/mamiabc!$AV28</f>
        <v>0.17415319505441296</v>
      </c>
      <c r="T182" s="295">
        <f>mamiabc!T28*Model!$AV182/mamiabc!$AV28</f>
        <v>0.17136017712876081</v>
      </c>
      <c r="U182" s="295">
        <f>mamiabc!U28*Model!$AV182/mamiabc!$AV28</f>
        <v>0.18828260271225508</v>
      </c>
      <c r="V182" s="295">
        <f>mamiabc!V28*Model!$AV182/mamiabc!$AV28</f>
        <v>0.19929040652427987</v>
      </c>
      <c r="W182" s="295">
        <f>mamiabc!W28*Model!$AV182/mamiabc!$AV28</f>
        <v>0.21966303440850604</v>
      </c>
      <c r="X182" s="295">
        <f>mamiabc!X28*Model!$AV182/mamiabc!$AV28</f>
        <v>0.23798199402432513</v>
      </c>
      <c r="Y182" s="295">
        <f>mamiabc!Y28*Model!$AV182/mamiabc!$AV28</f>
        <v>0.25892966607096446</v>
      </c>
      <c r="Z182" s="295">
        <f>mamiabc!Z28*Model!$AV182/mamiabc!$AV28</f>
        <v>0.39562348962807559</v>
      </c>
      <c r="AA182" s="295">
        <f>mamiabc!AA28*Model!$AV182/mamiabc!$AV28</f>
        <v>0.44778727534138452</v>
      </c>
      <c r="AB182" s="295">
        <f>mamiabc!AB28*Model!$AV182/mamiabc!$AV28</f>
        <v>0.48746467074092281</v>
      </c>
      <c r="AC182" s="295">
        <f>mamiabc!AC28*Model!$AV182/mamiabc!$AV28</f>
        <v>0.65685325714019638</v>
      </c>
      <c r="AD182" s="295">
        <f>mamiabc!AD28*Model!$AV182/mamiabc!$AV28</f>
        <v>0.68519422520329654</v>
      </c>
      <c r="AE182" s="295">
        <f>mamiabc!AE28*Model!$AV182/mamiabc!$AV28</f>
        <v>0.69940582321280276</v>
      </c>
      <c r="AF182" s="295">
        <f>mamiabc!AF28*Model!$AV182/mamiabc!$AV28</f>
        <v>0.91800092204389849</v>
      </c>
      <c r="AG182" s="295">
        <f>mamiabc!AG28*Model!$AV182/mamiabc!$AV28</f>
        <v>0.96983612183704226</v>
      </c>
      <c r="AH182" s="295">
        <f>mamiabc!AH28*Model!$AV182/mamiabc!$AV28</f>
        <v>0.91487926805908371</v>
      </c>
      <c r="AI182" s="295">
        <f>mamiabc!AI28*Model!$AV182/mamiabc!$AV28</f>
        <v>0.76380961620613064</v>
      </c>
      <c r="AJ182" s="295">
        <f>mamiabc!AJ28*Model!$AV182/mamiabc!$AV28</f>
        <v>0.70745629106959407</v>
      </c>
      <c r="AK182" s="295">
        <f>mamiabc!AK28*Model!$AV182/mamiabc!$AV28</f>
        <v>0.61709378420173833</v>
      </c>
      <c r="AL182" s="295">
        <f>mamiabc!AL28*Model!$AV182/mamiabc!$AV28</f>
        <v>0.68880874553360982</v>
      </c>
      <c r="AM182" s="295">
        <f>mamiabc!AM28*Model!$AV182/mamiabc!$AV28</f>
        <v>0.91923313804664208</v>
      </c>
      <c r="AN182" s="295">
        <f>mamiabc!AN28*Model!$AV182/mamiabc!$AV28</f>
        <v>1.146782359886606</v>
      </c>
      <c r="AO182" s="295">
        <f>mamiabc!AO28*Model!$AV182/mamiabc!$AV28</f>
        <v>1.7255131425084642</v>
      </c>
      <c r="AP182" s="295">
        <f>mamiabc!AP28*Model!$AV182/mamiabc!$AV28</f>
        <v>2.2603770354326542</v>
      </c>
      <c r="AQ182" s="295">
        <f>mamiabc!AQ28*Model!$AV182/mamiabc!$AV28</f>
        <v>3.2587184408554282</v>
      </c>
      <c r="AR182" s="295">
        <f>mamiabc!AR28*Model!$AV182/mamiabc!$AV28</f>
        <v>4.4267770637227386</v>
      </c>
      <c r="AS182" s="295">
        <f>mamiabc!AS28*Model!$AV182/mamiabc!$AV28</f>
        <v>15.962454690473205</v>
      </c>
      <c r="AT182" s="295">
        <f>mamiabc!AT28*Model!$AV182/mamiabc!$AV28</f>
        <v>72.005281449917362</v>
      </c>
      <c r="AU182" s="295">
        <f>mamiabc!AU28*Model!$AV182/mamiabc!$AV28</f>
        <v>206.9243308289368</v>
      </c>
      <c r="AV182" s="74">
        <f>(DataInput!AV636+DataInput!AV637+DataInput!AV638)*AV363+DataInput!AV619</f>
        <v>218.62440249999997</v>
      </c>
      <c r="AW182" s="74">
        <f>(DataInput!AW636+DataInput!AW637+DataInput!AW638)*AW363+DataInput!AW619</f>
        <v>212.00869999999998</v>
      </c>
      <c r="AX182" s="74">
        <f>(DataInput!AX636+DataInput!AX637+DataInput!AX638)*AX363+DataInput!AX619</f>
        <v>216.66030000000001</v>
      </c>
      <c r="AY182" s="74">
        <f>(DataInput!AY636+DataInput!AY637+DataInput!AY638)*AY363+DataInput!AY619</f>
        <v>384.80972499999996</v>
      </c>
      <c r="AZ182" s="74">
        <f>(DataInput!AZ636+DataInput!AZ637+DataInput!AZ638)*AZ363+DataInput!AZ619</f>
        <v>517.92405499999995</v>
      </c>
      <c r="BA182" s="74">
        <f>(DataInput!BA636+DataInput!BA637+DataInput!BA638)*BA363+DataInput!BA619</f>
        <v>954.4008500000001</v>
      </c>
      <c r="BB182" s="74">
        <f>(DataInput!BB636+DataInput!BB637+DataInput!BB638)*BB363+DataInput!BB619</f>
        <v>1080.6332580000001</v>
      </c>
      <c r="BC182" s="11">
        <f>DataInput!BC138-BC183-BC184</f>
        <v>1795.5167009999998</v>
      </c>
      <c r="BD182" s="11">
        <f>DataInput!BD138-BD183-BD184</f>
        <v>1928.837</v>
      </c>
      <c r="BE182" s="11">
        <f>DataInput!BE138-BE183-BE184</f>
        <v>2452.9049999999997</v>
      </c>
      <c r="BF182" s="11">
        <f>DataInput!BF138-BF183-BF184</f>
        <v>2375.8277499999999</v>
      </c>
      <c r="BG182" s="338">
        <f>+BG363*DataInput!BG639</f>
        <v>3740.6114999999995</v>
      </c>
      <c r="BH182" s="338">
        <f>+BH363*DataInput!BH639</f>
        <v>4979.1555000000008</v>
      </c>
      <c r="BI182" s="338">
        <f>+BI363*DataInput!BI639</f>
        <v>4776.6000000000004</v>
      </c>
      <c r="BJ182" s="338">
        <f>+BJ363*DataInput!BJ639</f>
        <v>5053.8500000000004</v>
      </c>
      <c r="BK182" s="338">
        <f>+BK363*DataInput!BK639</f>
        <v>7285.2</v>
      </c>
      <c r="BL182" s="338">
        <f>+BL363*DataInput!BL639</f>
        <v>8668.4599999999991</v>
      </c>
      <c r="BM182" s="338">
        <f>+BM363*DataInput!BM639</f>
        <v>9095.92</v>
      </c>
      <c r="BN182" s="338">
        <f>+BN363*DataInput!BN639</f>
        <v>9219.8700000000008</v>
      </c>
      <c r="BO182" s="338">
        <f>+BO363*DataInput!BO639</f>
        <v>9159.7933333333331</v>
      </c>
      <c r="BP182" s="1105">
        <f ca="1">(BO182*BP211/BO211)*(1+BP305/100)*(1+0.1*(BP302-BP305)/100)+DataInput!BP823-DataInput!BP1123/1000+SIM!X81</f>
        <v>11125.871640090114</v>
      </c>
      <c r="BQ182" s="1105">
        <f ca="1">(BP182*BQ211/BP211)*(1+BQ305/100)*(1+0.1*(BQ302-BQ305)/100)+DataInput!BQ823-DataInput!BQ1123/1000+SIM!Y81</f>
        <v>12494.076882902937</v>
      </c>
      <c r="BR182" s="1105">
        <f ca="1">(BQ182*BR211/BQ211)*(1+BR305/100)*(1+0.1*(BR302-BR305)/100)+DataInput!BR823-DataInput!BR1123/1000+SIM!Z81</f>
        <v>13368.537534053805</v>
      </c>
      <c r="BS182" s="1105">
        <f ca="1">(BR182*BS211/BR211)*(1+BS305/100)*(1+0.1*(BS302-BS305)/100)+DataInput!BS823-DataInput!BS1123/1000+SIM!AA81</f>
        <v>13948.397450146444</v>
      </c>
      <c r="BT182" s="1105">
        <f ca="1">(BS182*BT211/BS211)*(1+BT305/100)*(1+0.1*(BT302-BT305)/100)+DataInput!BT823-DataInput!BT1123/1000+SIM!AB81</f>
        <v>14671.424175029402</v>
      </c>
      <c r="BU182" s="1105">
        <f ca="1">(BT182*BU211/BT211)*(1+BU305/100)*(1+0.1*(BU302-BU305)/100)+DataInput!BU823-DataInput!BU1123/1000+SIM!AC81</f>
        <v>15655.45733320147</v>
      </c>
      <c r="BV182" s="1105">
        <f ca="1">(BU182*BV211/BU211)*(1+BV305/100)*(1+0.1*(BV302-BV305)/100)+DataInput!BV823-DataInput!BV1123/1000+SIM!AD81</f>
        <v>16672.423446051176</v>
      </c>
      <c r="BW182" s="1105">
        <f ca="1">(BV182*BW211/BV211)*(1+BW305/100)*(1+0.1*(BW302-BW305)/100)+DataInput!BW823-DataInput!BW1123/1000+SIM!AE81</f>
        <v>17759.03355063824</v>
      </c>
      <c r="BX182" s="1105">
        <f ca="1">(BW182*BX211/BW211)*(1+BX305/100)*(1+0.1*(BX302-BX305)/100)+DataInput!BX823-DataInput!BX1123/1000+SIM!AF81</f>
        <v>18923.530474246018</v>
      </c>
      <c r="BY182" s="1105">
        <f ca="1">(BX182*BY211/BX211)*(1+BY305/100)*(1+0.1*(BY302-BY305)/100)+DataInput!BY823-DataInput!BY1123/1000+SIM!AG81</f>
        <v>20174.201325866219</v>
      </c>
      <c r="BZ182" s="1105">
        <f ca="1">(BY182*BZ211/BY211)*(1+BZ305/100)*(1+0.1*(BZ302-BZ305)/100)+DataInput!BZ823-DataInput!BZ1123/1000+SIM!AH81</f>
        <v>21492.070438851992</v>
      </c>
      <c r="CA182" s="1105">
        <f ca="1">(BZ182*CA211/BZ211)*(1+CA305/100)*(1+0.1*(CA302-CA305)/100)+DataInput!CA823-DataInput!CA1123/1000+SIM!AI81</f>
        <v>22928.510901110261</v>
      </c>
      <c r="CB182" s="1105">
        <f ca="1">(CA182*CB211/CA211)*(1+CB305/100)*(1+0.1*(CB302-CB305)/100)+DataInput!CB823-DataInput!CB1123/1000+SIM!AJ81</f>
        <v>24472.75818744643</v>
      </c>
      <c r="CC182" s="1105">
        <f ca="1">(CB182*CC211/CB211)*(1+CC305/100)*(1+0.1*(CC302-CC305)/100)+DataInput!CC823-DataInput!CC1123/1000+SIM!AK81</f>
        <v>26135.685605211922</v>
      </c>
      <c r="CD182" s="1105">
        <f ca="1">(CC182*CD211/CC211)*(1+CD305/100)*(1+0.1*(CD302-CD305)/100)+DataInput!CD823-DataInput!CD1123/1000+SIM!AL81</f>
        <v>27929.701032860012</v>
      </c>
      <c r="CE182" s="1105">
        <f ca="1">(CD182*CE211/CD211)*(1+CE305/100)*(1+0.1*(CE302-CE305)/100)+DataInput!CE823-DataInput!CE1123/1000+SIM!AM81</f>
        <v>0</v>
      </c>
      <c r="CF182" s="96" t="e">
        <f ca="1">(CE182*CF211/CE211)*(1+CF305/100)*(1+0.1*(CF302-CF305)/100)+DataInput!CF823-DataInput!CF1141/1000+SIM!AN81</f>
        <v>#DIV/0!</v>
      </c>
      <c r="CG182" s="235">
        <f t="shared" si="430"/>
        <v>0</v>
      </c>
      <c r="CH182" s="235">
        <f t="shared" si="450"/>
        <v>0</v>
      </c>
      <c r="CI182" s="235" t="e">
        <f>BM182-#REF!</f>
        <v>#REF!</v>
      </c>
      <c r="CJ182" s="235">
        <f t="shared" si="395"/>
        <v>0</v>
      </c>
      <c r="CK182" s="235">
        <f t="shared" si="396"/>
        <v>0</v>
      </c>
      <c r="CL182" s="235">
        <f t="shared" ca="1" si="397"/>
        <v>0</v>
      </c>
      <c r="CM182" s="235">
        <f t="shared" ca="1" si="398"/>
        <v>0</v>
      </c>
      <c r="CN182" s="235">
        <f t="shared" ca="1" si="399"/>
        <v>0</v>
      </c>
      <c r="CO182" s="235">
        <f t="shared" ca="1" si="400"/>
        <v>0</v>
      </c>
      <c r="CP182" s="235">
        <f t="shared" ca="1" si="401"/>
        <v>0</v>
      </c>
      <c r="CQ182" s="235">
        <f t="shared" ca="1" si="402"/>
        <v>0</v>
      </c>
      <c r="CR182" s="235">
        <f t="shared" ca="1" si="403"/>
        <v>0</v>
      </c>
      <c r="CS182" s="235">
        <f t="shared" ca="1" si="404"/>
        <v>0</v>
      </c>
      <c r="CT182" s="235">
        <f t="shared" ca="1" si="405"/>
        <v>0</v>
      </c>
      <c r="CU182" s="235">
        <f t="shared" ca="1" si="406"/>
        <v>0</v>
      </c>
      <c r="CV182" s="235">
        <f t="shared" ca="1" si="407"/>
        <v>0</v>
      </c>
      <c r="CW182" s="235">
        <f t="shared" ca="1" si="408"/>
        <v>0</v>
      </c>
      <c r="CX182" s="235">
        <f t="shared" ca="1" si="409"/>
        <v>-4.4383341446518898E-10</v>
      </c>
      <c r="CY182" s="235">
        <f t="shared" ca="1" si="410"/>
        <v>-4.6820787247270346E-9</v>
      </c>
      <c r="CZ182" s="235">
        <f t="shared" ca="1" si="411"/>
        <v>-3.7605786928907037E-8</v>
      </c>
      <c r="DA182" s="38"/>
      <c r="DB182" s="236">
        <v>3481.35025</v>
      </c>
      <c r="DC182" s="236">
        <v>3482.35025</v>
      </c>
      <c r="DD182" s="236">
        <v>4076.9849999999997</v>
      </c>
      <c r="DE182" s="236">
        <v>4948.7992278411211</v>
      </c>
      <c r="DF182" s="401">
        <v>3964.35</v>
      </c>
      <c r="DG182" s="236">
        <v>7285.2</v>
      </c>
      <c r="DH182" s="492">
        <v>8668.4599999999991</v>
      </c>
      <c r="DI182" s="236">
        <v>9219.8700000000008</v>
      </c>
      <c r="DJ182" s="236">
        <v>9159.7933333333331</v>
      </c>
      <c r="DK182" s="236">
        <v>11125.87164009011</v>
      </c>
      <c r="DL182" s="236">
        <v>12494.076882902931</v>
      </c>
      <c r="DM182" s="236">
        <v>13368.537534053799</v>
      </c>
      <c r="DN182" s="236">
        <v>13948.397450146438</v>
      </c>
      <c r="DO182" s="236">
        <v>14671.424175029397</v>
      </c>
      <c r="DP182" s="236">
        <v>15655.457333201464</v>
      </c>
      <c r="DQ182" s="401">
        <v>16672.423446051165</v>
      </c>
      <c r="DR182" s="401">
        <v>17759.033550638222</v>
      </c>
      <c r="DS182" s="401">
        <v>18923.530474245999</v>
      </c>
      <c r="DT182" s="401">
        <v>20174.201325866205</v>
      </c>
      <c r="DU182" s="401">
        <v>21492.070438851977</v>
      </c>
      <c r="DV182" s="401">
        <v>22928.510901110272</v>
      </c>
      <c r="DW182" s="401">
        <v>24472.758187446874</v>
      </c>
      <c r="DX182" s="401">
        <v>26135.685605216604</v>
      </c>
      <c r="DY182" s="401">
        <v>27929.701032897618</v>
      </c>
      <c r="DZ182" s="401">
        <v>0</v>
      </c>
      <c r="EA182" s="989"/>
    </row>
    <row r="183" spans="1:131" s="76" customFormat="1">
      <c r="A183" s="76" t="s">
        <v>3900</v>
      </c>
      <c r="B183" s="80" t="s">
        <v>3245</v>
      </c>
      <c r="C183" s="51" t="s">
        <v>915</v>
      </c>
      <c r="D183" s="207"/>
      <c r="E183" s="207"/>
      <c r="F183" s="295">
        <f>mamiabc!F30</f>
        <v>8.9999999999999998E-4</v>
      </c>
      <c r="G183" s="295">
        <f>mamiabc!G30</f>
        <v>1.1000000000000001E-3</v>
      </c>
      <c r="H183" s="295">
        <f>mamiabc!H30</f>
        <v>1.5E-3</v>
      </c>
      <c r="I183" s="295">
        <f>mamiabc!I30</f>
        <v>1.7999999523162843E-3</v>
      </c>
      <c r="J183" s="295">
        <f>mamiabc!J30</f>
        <v>2.9000000953674316E-3</v>
      </c>
      <c r="K183" s="295">
        <f>mamiabc!K30</f>
        <v>2.5000000000000001E-3</v>
      </c>
      <c r="L183" s="295">
        <f>mamiabc!L30</f>
        <v>2.9000000953674316E-3</v>
      </c>
      <c r="M183" s="295">
        <f>mamiabc!M30</f>
        <v>3.2000000476837156E-3</v>
      </c>
      <c r="N183" s="295">
        <f>mamiabc!N30</f>
        <v>4.1999998092651369E-3</v>
      </c>
      <c r="O183" s="295">
        <f>mamiabc!O30</f>
        <v>4.1999998092651369E-3</v>
      </c>
      <c r="P183" s="295">
        <f>mamiabc!P30</f>
        <v>4.9000000953674317E-3</v>
      </c>
      <c r="Q183" s="295">
        <f>mamiabc!Q30</f>
        <v>5.5999999046325681E-3</v>
      </c>
      <c r="R183" s="295">
        <f>mamiabc!R30</f>
        <v>6.6999998092651366E-3</v>
      </c>
      <c r="S183" s="295">
        <f>mamiabc!S30</f>
        <v>7.4000000953674313E-3</v>
      </c>
      <c r="T183" s="295">
        <f>mamiabc!T30</f>
        <v>8.6999998092651375E-3</v>
      </c>
      <c r="U183" s="295">
        <f>mamiabc!U30</f>
        <v>1.0999999999999999E-2</v>
      </c>
      <c r="V183" s="295">
        <f>mamiabc!V30</f>
        <v>1.6100000381469727E-2</v>
      </c>
      <c r="W183" s="295">
        <f>mamiabc!W30</f>
        <v>1.7399999618530275E-2</v>
      </c>
      <c r="X183" s="295">
        <f>mamiabc!X30</f>
        <v>2.1799999237060545E-2</v>
      </c>
      <c r="Y183" s="295">
        <f>mamiabc!Y30</f>
        <v>2.9200000762939451E-2</v>
      </c>
      <c r="Z183" s="295">
        <f>mamiabc!Z30</f>
        <v>4.8599998474121095E-2</v>
      </c>
      <c r="AA183" s="295">
        <f>mamiabc!AA30</f>
        <v>6.1099998474121092E-2</v>
      </c>
      <c r="AB183" s="295">
        <f>mamiabc!AB30</f>
        <v>2.9000000000000001E-2</v>
      </c>
      <c r="AC183" s="295">
        <f>mamiabc!AC30</f>
        <v>3.4000000000000002E-2</v>
      </c>
      <c r="AD183" s="295">
        <f>mamiabc!AD30</f>
        <v>4.1000000000000002E-2</v>
      </c>
      <c r="AE183" s="295">
        <f>mamiabc!AE30</f>
        <v>5.6900001525878909E-2</v>
      </c>
      <c r="AF183" s="295">
        <f>mamiabc!AF30</f>
        <v>5.9900001525878904E-2</v>
      </c>
      <c r="AG183" s="295">
        <f>mamiabc!AG30</f>
        <v>5.1499999999999997E-2</v>
      </c>
      <c r="AH183" s="295">
        <f>mamiabc!AH30</f>
        <v>6.3400001525878907E-2</v>
      </c>
      <c r="AI183" s="295">
        <f>mamiabc!AI30</f>
        <v>6.1599998474121093E-2</v>
      </c>
      <c r="AJ183" s="295">
        <f>mamiabc!AJ30</f>
        <v>2.9700000762939452E-2</v>
      </c>
      <c r="AK183" s="295">
        <f>mamiabc!AK30</f>
        <v>2.4E-2</v>
      </c>
      <c r="AL183" s="295">
        <f>mamiabc!AL30</f>
        <v>2.1100000381469728E-2</v>
      </c>
      <c r="AM183" s="295">
        <f>mamiabc!AM30</f>
        <v>1.4699999809265136E-2</v>
      </c>
      <c r="AN183" s="295">
        <f>mamiabc!AN30</f>
        <v>1.7000000000000001E-2</v>
      </c>
      <c r="AO183" s="295">
        <f>mamiabc!AO30</f>
        <v>1.7899999618530272E-2</v>
      </c>
      <c r="AP183" s="295">
        <f>mamiabc!AP30</f>
        <v>2.1899999999999999E-2</v>
      </c>
      <c r="AQ183" s="295">
        <f>mamiabc!AQ30</f>
        <v>2.9000000000000001E-2</v>
      </c>
      <c r="AR183" s="295">
        <f>mamiabc!AR30</f>
        <v>2.0500000000000001E-2</v>
      </c>
      <c r="AS183" s="295">
        <f>mamiabc!AS30</f>
        <v>0.11550000000000001</v>
      </c>
      <c r="AT183" s="295">
        <f>mamiabc!AT30</f>
        <v>0.62960000000000005</v>
      </c>
      <c r="AU183" s="295">
        <f>mamiabc!AU30</f>
        <v>1.5205</v>
      </c>
      <c r="AV183" s="74">
        <f>DataInput!AV640*AV363</f>
        <v>3.0871225</v>
      </c>
      <c r="AW183" s="74">
        <f>DataInput!AW640*AW363</f>
        <v>4.4511000000000003</v>
      </c>
      <c r="AX183" s="74">
        <f>DataInput!AX640*AX363</f>
        <v>4.3308000000000009</v>
      </c>
      <c r="AY183" s="74">
        <f>DataInput!AY640*AY363</f>
        <v>11.092839</v>
      </c>
      <c r="AZ183" s="74">
        <f>DataInput!AZ640*AZ363</f>
        <v>30.372498999999994</v>
      </c>
      <c r="BA183" s="74">
        <f>DataInput!BA640*BA363</f>
        <v>50.976900000000001</v>
      </c>
      <c r="BB183" s="74">
        <f>DataInput!BB640*BB363</f>
        <v>23.036755500000002</v>
      </c>
      <c r="BC183" s="74">
        <f>DataInput!BC640*BC363</f>
        <v>14.578647999999998</v>
      </c>
      <c r="BD183" s="74">
        <f>DataInput!BD640*BD363</f>
        <v>39.369599999999998</v>
      </c>
      <c r="BE183" s="74">
        <f>DataInput!BE640*BE363</f>
        <v>46.136999999999993</v>
      </c>
      <c r="BF183" s="74">
        <f>DataInput!BF640*BF363</f>
        <v>50.187750000000008</v>
      </c>
      <c r="BG183" s="74">
        <f>DataInput!BG640*BG363</f>
        <v>0</v>
      </c>
      <c r="BH183" s="74">
        <f>DataInput!BH640*BH363</f>
        <v>0</v>
      </c>
      <c r="BI183" s="74">
        <f>DataInput!BI640*BI363</f>
        <v>0</v>
      </c>
      <c r="BJ183" s="74">
        <f>DataInput!BJ640*BJ363</f>
        <v>0</v>
      </c>
      <c r="BK183" s="74">
        <f>DataInput!BK640*BK363</f>
        <v>0</v>
      </c>
      <c r="BL183" s="74">
        <f>DataInput!BL640*BL363</f>
        <v>0</v>
      </c>
      <c r="BM183" s="74">
        <f>DataInput!BM640*BM363</f>
        <v>0</v>
      </c>
      <c r="BN183" s="74">
        <f>DataInput!BN640*BN363</f>
        <v>0</v>
      </c>
      <c r="BO183" s="74">
        <f>DataInput!BO640*BO363</f>
        <v>0</v>
      </c>
      <c r="BP183" s="86">
        <f t="shared" ref="BP183:BU183" ca="1" si="504">BO183*BO298/BN298</f>
        <v>0</v>
      </c>
      <c r="BQ183" s="86">
        <f t="shared" ca="1" si="504"/>
        <v>0</v>
      </c>
      <c r="BR183" s="86">
        <f t="shared" ca="1" si="504"/>
        <v>0</v>
      </c>
      <c r="BS183" s="86">
        <f t="shared" ca="1" si="504"/>
        <v>0</v>
      </c>
      <c r="BT183" s="86">
        <f t="shared" ca="1" si="504"/>
        <v>0</v>
      </c>
      <c r="BU183" s="86">
        <f t="shared" ca="1" si="504"/>
        <v>0</v>
      </c>
      <c r="BV183" s="86">
        <f t="shared" ref="BV183:BX183" ca="1" si="505">BU183*BU298/BT298</f>
        <v>0</v>
      </c>
      <c r="BW183" s="86">
        <f t="shared" ca="1" si="505"/>
        <v>0</v>
      </c>
      <c r="BX183" s="86">
        <f t="shared" ca="1" si="505"/>
        <v>0</v>
      </c>
      <c r="BY183" s="86">
        <f t="shared" ref="BY183" ca="1" si="506">BX183*BX298/BW298</f>
        <v>0</v>
      </c>
      <c r="BZ183" s="86">
        <f t="shared" ref="BZ183" ca="1" si="507">BY183*BY298/BX298</f>
        <v>0</v>
      </c>
      <c r="CA183" s="86">
        <f t="shared" ref="CA183" ca="1" si="508">BZ183*BZ298/BY298</f>
        <v>0</v>
      </c>
      <c r="CB183" s="86">
        <f t="shared" ref="CB183" ca="1" si="509">CA183*CA298/BZ298</f>
        <v>0</v>
      </c>
      <c r="CC183" s="86">
        <f t="shared" ref="CC183" ca="1" si="510">CB183*CB298/CA298</f>
        <v>0</v>
      </c>
      <c r="CD183" s="86">
        <f t="shared" ref="CD183" ca="1" si="511">CC183*CC298/CB298</f>
        <v>0</v>
      </c>
      <c r="CE183" s="86"/>
      <c r="CF183" s="435"/>
      <c r="CG183" s="235">
        <f t="shared" si="430"/>
        <v>0</v>
      </c>
      <c r="CH183" s="235">
        <f t="shared" si="450"/>
        <v>0</v>
      </c>
      <c r="CI183" s="235" t="e">
        <f>BM183-#REF!</f>
        <v>#REF!</v>
      </c>
      <c r="CJ183" s="235">
        <f t="shared" si="395"/>
        <v>0</v>
      </c>
      <c r="CK183" s="235">
        <f t="shared" si="396"/>
        <v>0</v>
      </c>
      <c r="CL183" s="235">
        <f t="shared" ca="1" si="397"/>
        <v>0</v>
      </c>
      <c r="CM183" s="235">
        <f t="shared" ca="1" si="398"/>
        <v>0</v>
      </c>
      <c r="CN183" s="235">
        <f t="shared" ca="1" si="399"/>
        <v>0</v>
      </c>
      <c r="CO183" s="235">
        <f t="shared" ca="1" si="400"/>
        <v>0</v>
      </c>
      <c r="CP183" s="235">
        <f t="shared" ca="1" si="401"/>
        <v>0</v>
      </c>
      <c r="CQ183" s="235">
        <f t="shared" ca="1" si="402"/>
        <v>0</v>
      </c>
      <c r="CR183" s="235">
        <f t="shared" ca="1" si="403"/>
        <v>0</v>
      </c>
      <c r="CS183" s="235">
        <f t="shared" ca="1" si="404"/>
        <v>0</v>
      </c>
      <c r="CT183" s="235">
        <f t="shared" ca="1" si="405"/>
        <v>0</v>
      </c>
      <c r="CU183" s="235">
        <f t="shared" ca="1" si="406"/>
        <v>0</v>
      </c>
      <c r="CV183" s="235">
        <f t="shared" ca="1" si="407"/>
        <v>0</v>
      </c>
      <c r="CW183" s="235">
        <f t="shared" ca="1" si="408"/>
        <v>0</v>
      </c>
      <c r="CX183" s="235">
        <f t="shared" ca="1" si="409"/>
        <v>0</v>
      </c>
      <c r="CY183" s="235">
        <f t="shared" ca="1" si="410"/>
        <v>0</v>
      </c>
      <c r="CZ183" s="235">
        <f t="shared" ca="1" si="411"/>
        <v>0</v>
      </c>
      <c r="DA183" s="38"/>
      <c r="DB183" s="236">
        <v>49.187750000000001</v>
      </c>
      <c r="DC183" s="236">
        <v>50.187750000000008</v>
      </c>
      <c r="DD183" s="236">
        <v>60.39</v>
      </c>
      <c r="DE183" s="236">
        <v>83.173500000000004</v>
      </c>
      <c r="DF183" s="401">
        <v>0</v>
      </c>
      <c r="DG183" s="236">
        <v>0</v>
      </c>
      <c r="DH183" s="492">
        <v>0</v>
      </c>
      <c r="DI183" s="236">
        <v>0</v>
      </c>
      <c r="DJ183" s="236">
        <v>0</v>
      </c>
      <c r="DK183" s="236">
        <v>0</v>
      </c>
      <c r="DL183" s="236">
        <v>0</v>
      </c>
      <c r="DM183" s="236">
        <v>0</v>
      </c>
      <c r="DN183" s="236">
        <v>0</v>
      </c>
      <c r="DO183" s="236">
        <v>0</v>
      </c>
      <c r="DP183" s="236">
        <v>0</v>
      </c>
      <c r="DQ183" s="401">
        <v>0</v>
      </c>
      <c r="DR183" s="401">
        <v>0</v>
      </c>
      <c r="DS183" s="401">
        <v>0</v>
      </c>
      <c r="DT183" s="401">
        <v>0</v>
      </c>
      <c r="DU183" s="401">
        <v>0</v>
      </c>
      <c r="DV183" s="401">
        <v>0</v>
      </c>
      <c r="DW183" s="401">
        <v>0</v>
      </c>
      <c r="DX183" s="401">
        <v>0</v>
      </c>
      <c r="DY183" s="401">
        <v>0</v>
      </c>
      <c r="DZ183" s="401"/>
      <c r="EA183" s="989"/>
    </row>
    <row r="184" spans="1:131" s="76" customFormat="1">
      <c r="A184" s="76" t="s">
        <v>2837</v>
      </c>
      <c r="B184" s="80" t="s">
        <v>4033</v>
      </c>
      <c r="C184" s="51" t="s">
        <v>916</v>
      </c>
      <c r="D184" s="207"/>
      <c r="E184" s="207"/>
      <c r="F184" s="295">
        <f>mamiabc!F29</f>
        <v>4.0000000000000002E-4</v>
      </c>
      <c r="G184" s="295">
        <f>mamiabc!G29</f>
        <v>4.0000000000000002E-4</v>
      </c>
      <c r="H184" s="295">
        <f>mamiabc!H29</f>
        <v>1E-3</v>
      </c>
      <c r="I184" s="295">
        <f>mamiabc!I29</f>
        <v>1.1000000238418578E-3</v>
      </c>
      <c r="J184" s="295">
        <f>mamiabc!J29</f>
        <v>1E-3</v>
      </c>
      <c r="K184" s="295">
        <f>mamiabc!K29</f>
        <v>1E-3</v>
      </c>
      <c r="L184" s="295">
        <f>mamiabc!L29</f>
        <v>1.5E-3</v>
      </c>
      <c r="M184" s="295">
        <f>mamiabc!M29</f>
        <v>1.7000000476837158E-3</v>
      </c>
      <c r="N184" s="295">
        <f>mamiabc!N29</f>
        <v>1.7999999523162843E-3</v>
      </c>
      <c r="O184" s="295">
        <f>mamiabc!O29</f>
        <v>2E-3</v>
      </c>
      <c r="P184" s="295">
        <f>mamiabc!P29</f>
        <v>1.5E-3</v>
      </c>
      <c r="Q184" s="295">
        <f>mamiabc!Q29</f>
        <v>1.399999976158142E-3</v>
      </c>
      <c r="R184" s="295">
        <f>mamiabc!R29</f>
        <v>1.7999999523162843E-3</v>
      </c>
      <c r="S184" s="295">
        <f>mamiabc!S29</f>
        <v>2.5000000000000001E-3</v>
      </c>
      <c r="T184" s="295">
        <f>mamiabc!T29</f>
        <v>3.2000000476837156E-3</v>
      </c>
      <c r="U184" s="295">
        <f>mamiabc!U29</f>
        <v>4.1999998092651369E-3</v>
      </c>
      <c r="V184" s="295">
        <f>mamiabc!V29</f>
        <v>3.7000000476837156E-3</v>
      </c>
      <c r="W184" s="295">
        <f>mamiabc!W29</f>
        <v>4.0999999046325685E-3</v>
      </c>
      <c r="X184" s="295">
        <f>mamiabc!X29</f>
        <v>5.3000001907348637E-3</v>
      </c>
      <c r="Y184" s="295">
        <f>mamiabc!Y29</f>
        <v>4.5999999046325681E-3</v>
      </c>
      <c r="Z184" s="295">
        <f>mamiabc!Z29</f>
        <v>5.4000000953674313E-3</v>
      </c>
      <c r="AA184" s="295">
        <f>mamiabc!AA29</f>
        <v>1.0699999809265138E-2</v>
      </c>
      <c r="AB184" s="295">
        <f>mamiabc!AB29</f>
        <v>1.7600000381469725E-2</v>
      </c>
      <c r="AC184" s="295">
        <f>mamiabc!AC29</f>
        <v>2.8100000381469727E-2</v>
      </c>
      <c r="AD184" s="295">
        <f>mamiabc!AD29</f>
        <v>1.5600000381469727E-2</v>
      </c>
      <c r="AE184" s="295">
        <f>mamiabc!AE29</f>
        <v>1.8600000381469726E-2</v>
      </c>
      <c r="AF184" s="295">
        <f>mamiabc!AF29</f>
        <v>2.6799999237060546E-2</v>
      </c>
      <c r="AG184" s="295">
        <f>mamiabc!AG29</f>
        <v>2.3100000381469726E-2</v>
      </c>
      <c r="AH184" s="295">
        <f>mamiabc!AH29</f>
        <v>2.7200000762939453E-2</v>
      </c>
      <c r="AI184" s="295">
        <f>mamiabc!AI29</f>
        <v>2.3600000381469727E-2</v>
      </c>
      <c r="AJ184" s="295">
        <f>mamiabc!AJ29</f>
        <v>1.5899999618530274E-2</v>
      </c>
      <c r="AK184" s="295">
        <f>mamiabc!AK29</f>
        <v>1.8299999237060546E-2</v>
      </c>
      <c r="AL184" s="295">
        <f>mamiabc!AL29</f>
        <v>1.6299999237060547E-2</v>
      </c>
      <c r="AM184" s="295">
        <f>mamiabc!AM29</f>
        <v>1.9299999237060547E-2</v>
      </c>
      <c r="AN184" s="295">
        <f>mamiabc!AN29</f>
        <v>1.9E-2</v>
      </c>
      <c r="AO184" s="295">
        <f>mamiabc!AO29</f>
        <v>2.5700000762939452E-2</v>
      </c>
      <c r="AP184" s="295">
        <f>mamiabc!AP29</f>
        <v>2.5899999999999999E-2</v>
      </c>
      <c r="AQ184" s="295">
        <f>mamiabc!AQ29</f>
        <v>2.7E-2</v>
      </c>
      <c r="AR184" s="295">
        <f>mamiabc!AR29</f>
        <v>2.23E-2</v>
      </c>
      <c r="AS184" s="295">
        <f>mamiabc!AS29</f>
        <v>0.30119999999999997</v>
      </c>
      <c r="AT184" s="295">
        <f>mamiabc!AT29</f>
        <v>3.1394000000000002</v>
      </c>
      <c r="AU184" s="295">
        <f>mamiabc!AU29</f>
        <v>6.9737</v>
      </c>
      <c r="AV184" s="74">
        <f>DataInput!AV641*AV363</f>
        <v>10.383957499999999</v>
      </c>
      <c r="AW184" s="74">
        <f>DataInput!AW641*AW363</f>
        <v>7.8195000000000006</v>
      </c>
      <c r="AX184" s="74">
        <f>DataInput!AX641*AX363</f>
        <v>9.1027000000000005</v>
      </c>
      <c r="AY184" s="74">
        <f>DataInput!AY641*AY363</f>
        <v>12.984640999999998</v>
      </c>
      <c r="AZ184" s="74">
        <f>DataInput!AZ641*AZ363</f>
        <v>51.328196999999996</v>
      </c>
      <c r="BA184" s="74">
        <f>DataInput!BA641*BA363</f>
        <v>22.656400000000001</v>
      </c>
      <c r="BB184" s="74">
        <f>DataInput!BB641*BB363</f>
        <v>31.879146500000001</v>
      </c>
      <c r="BC184" s="74">
        <f>DataInput!BC641*BC363</f>
        <v>22.648970999999996</v>
      </c>
      <c r="BD184" s="74">
        <f>DataInput!BD641*BD363</f>
        <v>54.953400000000002</v>
      </c>
      <c r="BE184" s="74">
        <f>DataInput!BE641*BE363</f>
        <v>34.397999999999996</v>
      </c>
      <c r="BF184" s="74">
        <f>DataInput!BF641*BF363</f>
        <v>50.461999999999996</v>
      </c>
      <c r="BG184" s="74">
        <f>DataInput!BG641*BG363</f>
        <v>0</v>
      </c>
      <c r="BH184" s="74">
        <f>DataInput!BH641*BH363</f>
        <v>0</v>
      </c>
      <c r="BI184" s="74">
        <f>DataInput!BI641*BI363</f>
        <v>0</v>
      </c>
      <c r="BJ184" s="74">
        <f>DataInput!BJ641*BJ363</f>
        <v>0</v>
      </c>
      <c r="BK184" s="74">
        <f>DataInput!BK641*BK363</f>
        <v>0</v>
      </c>
      <c r="BL184" s="74">
        <f>DataInput!BL641*BL363</f>
        <v>0</v>
      </c>
      <c r="BM184" s="74">
        <f>DataInput!BM641*BM363</f>
        <v>0</v>
      </c>
      <c r="BN184" s="74">
        <f>DataInput!BN641*BN363</f>
        <v>0</v>
      </c>
      <c r="BO184" s="74">
        <f>DataInput!BO641*BO363</f>
        <v>0</v>
      </c>
      <c r="BP184" s="86">
        <f t="shared" ref="BP184:BU184" ca="1" si="512">BO184* (0.5*BP332+BP256)/(0.5*BO332+BO256)</f>
        <v>0</v>
      </c>
      <c r="BQ184" s="86">
        <f t="shared" ca="1" si="512"/>
        <v>0</v>
      </c>
      <c r="BR184" s="86">
        <f t="shared" ca="1" si="512"/>
        <v>0</v>
      </c>
      <c r="BS184" s="86">
        <f t="shared" ca="1" si="512"/>
        <v>0</v>
      </c>
      <c r="BT184" s="86">
        <f t="shared" ca="1" si="512"/>
        <v>0</v>
      </c>
      <c r="BU184" s="86">
        <f t="shared" ca="1" si="512"/>
        <v>0</v>
      </c>
      <c r="BV184" s="86">
        <f t="shared" ref="BV184:BX184" ca="1" si="513">BU184* (0.5*BV332+BV256)/(0.5*BU332+BU256)</f>
        <v>0</v>
      </c>
      <c r="BW184" s="86">
        <f t="shared" ca="1" si="513"/>
        <v>0</v>
      </c>
      <c r="BX184" s="86">
        <f t="shared" ca="1" si="513"/>
        <v>0</v>
      </c>
      <c r="BY184" s="86">
        <f t="shared" ref="BY184" ca="1" si="514">BX184* (0.5*BY332+BY256)/(0.5*BX332+BX256)</f>
        <v>0</v>
      </c>
      <c r="BZ184" s="86">
        <f t="shared" ref="BZ184" ca="1" si="515">BY184* (0.5*BZ332+BZ256)/(0.5*BY332+BY256)</f>
        <v>0</v>
      </c>
      <c r="CA184" s="86">
        <f t="shared" ref="CA184" ca="1" si="516">BZ184* (0.5*CA332+CA256)/(0.5*BZ332+BZ256)</f>
        <v>0</v>
      </c>
      <c r="CB184" s="86">
        <f t="shared" ref="CB184" ca="1" si="517">CA184* (0.5*CB332+CB256)/(0.5*CA332+CA256)</f>
        <v>0</v>
      </c>
      <c r="CC184" s="86">
        <f t="shared" ref="CC184" ca="1" si="518">CB184* (0.5*CC332+CC256)/(0.5*CB332+CB256)</f>
        <v>0</v>
      </c>
      <c r="CD184" s="86">
        <f t="shared" ref="CD184" ca="1" si="519">CC184* (0.5*CD332+CD256)/(0.5*CC332+CC256)</f>
        <v>0</v>
      </c>
      <c r="CE184" s="86"/>
      <c r="CF184" s="435"/>
      <c r="CG184" s="235">
        <f t="shared" si="430"/>
        <v>0</v>
      </c>
      <c r="CH184" s="235">
        <f t="shared" si="450"/>
        <v>0</v>
      </c>
      <c r="CI184" s="235" t="e">
        <f>BM184-#REF!</f>
        <v>#REF!</v>
      </c>
      <c r="CJ184" s="235">
        <f t="shared" si="395"/>
        <v>0</v>
      </c>
      <c r="CK184" s="235">
        <f t="shared" si="396"/>
        <v>0</v>
      </c>
      <c r="CL184" s="235">
        <f t="shared" ca="1" si="397"/>
        <v>0</v>
      </c>
      <c r="CM184" s="235">
        <f t="shared" ca="1" si="398"/>
        <v>0</v>
      </c>
      <c r="CN184" s="235">
        <f t="shared" ca="1" si="399"/>
        <v>0</v>
      </c>
      <c r="CO184" s="235">
        <f t="shared" ca="1" si="400"/>
        <v>0</v>
      </c>
      <c r="CP184" s="235">
        <f t="shared" ca="1" si="401"/>
        <v>0</v>
      </c>
      <c r="CQ184" s="235">
        <f t="shared" ca="1" si="402"/>
        <v>0</v>
      </c>
      <c r="CR184" s="235">
        <f t="shared" ca="1" si="403"/>
        <v>0</v>
      </c>
      <c r="CS184" s="235">
        <f t="shared" ca="1" si="404"/>
        <v>0</v>
      </c>
      <c r="CT184" s="235">
        <f t="shared" ca="1" si="405"/>
        <v>0</v>
      </c>
      <c r="CU184" s="235">
        <f t="shared" ca="1" si="406"/>
        <v>0</v>
      </c>
      <c r="CV184" s="235">
        <f t="shared" ca="1" si="407"/>
        <v>0</v>
      </c>
      <c r="CW184" s="235">
        <f t="shared" ca="1" si="408"/>
        <v>0</v>
      </c>
      <c r="CX184" s="235">
        <f t="shared" ca="1" si="409"/>
        <v>0</v>
      </c>
      <c r="CY184" s="235">
        <f t="shared" ca="1" si="410"/>
        <v>0</v>
      </c>
      <c r="CZ184" s="235">
        <f t="shared" ca="1" si="411"/>
        <v>0</v>
      </c>
      <c r="DA184" s="38"/>
      <c r="DB184" s="236">
        <v>49.462000000000003</v>
      </c>
      <c r="DC184" s="236">
        <v>50.461999999999996</v>
      </c>
      <c r="DD184" s="236">
        <v>68.625</v>
      </c>
      <c r="DE184" s="236">
        <v>110.898</v>
      </c>
      <c r="DF184" s="401">
        <v>0</v>
      </c>
      <c r="DG184" s="236">
        <v>0</v>
      </c>
      <c r="DH184" s="492">
        <v>0</v>
      </c>
      <c r="DI184" s="236">
        <v>0</v>
      </c>
      <c r="DJ184" s="236">
        <v>0</v>
      </c>
      <c r="DK184" s="236">
        <v>0</v>
      </c>
      <c r="DL184" s="236">
        <v>0</v>
      </c>
      <c r="DM184" s="236">
        <v>0</v>
      </c>
      <c r="DN184" s="236">
        <v>0</v>
      </c>
      <c r="DO184" s="236">
        <v>0</v>
      </c>
      <c r="DP184" s="236">
        <v>0</v>
      </c>
      <c r="DQ184" s="401">
        <v>0</v>
      </c>
      <c r="DR184" s="401">
        <v>0</v>
      </c>
      <c r="DS184" s="401">
        <v>0</v>
      </c>
      <c r="DT184" s="401">
        <v>0</v>
      </c>
      <c r="DU184" s="401">
        <v>0</v>
      </c>
      <c r="DV184" s="401">
        <v>0</v>
      </c>
      <c r="DW184" s="401">
        <v>0</v>
      </c>
      <c r="DX184" s="401">
        <v>0</v>
      </c>
      <c r="DY184" s="401">
        <v>0</v>
      </c>
      <c r="DZ184" s="401"/>
      <c r="EA184" s="989"/>
    </row>
    <row r="185" spans="1:131" s="19" customFormat="1">
      <c r="A185" s="19" t="s">
        <v>2838</v>
      </c>
      <c r="B185" s="133" t="s">
        <v>917</v>
      </c>
      <c r="D185" s="218"/>
      <c r="E185" s="218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76"/>
      <c r="AW185" s="76"/>
      <c r="AX185" s="76"/>
      <c r="AY185" s="76"/>
      <c r="AZ185" s="76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80"/>
      <c r="CB185" s="80"/>
      <c r="CC185" s="80"/>
      <c r="CD185" s="80"/>
      <c r="CE185" s="80"/>
      <c r="CF185" s="435"/>
      <c r="CG185" s="235">
        <f t="shared" si="430"/>
        <v>0</v>
      </c>
      <c r="CH185" s="235">
        <f t="shared" si="450"/>
        <v>0</v>
      </c>
      <c r="CI185" s="235" t="e">
        <f>BM185-#REF!</f>
        <v>#REF!</v>
      </c>
      <c r="CJ185" s="235">
        <f t="shared" si="395"/>
        <v>0</v>
      </c>
      <c r="CK185" s="235">
        <f t="shared" si="396"/>
        <v>0</v>
      </c>
      <c r="CL185" s="235">
        <f t="shared" si="397"/>
        <v>0</v>
      </c>
      <c r="CM185" s="235">
        <f t="shared" si="398"/>
        <v>0</v>
      </c>
      <c r="CN185" s="235">
        <f t="shared" si="399"/>
        <v>0</v>
      </c>
      <c r="CO185" s="235">
        <f t="shared" si="400"/>
        <v>0</v>
      </c>
      <c r="CP185" s="235">
        <f t="shared" si="401"/>
        <v>0</v>
      </c>
      <c r="CQ185" s="235">
        <f t="shared" si="402"/>
        <v>0</v>
      </c>
      <c r="CR185" s="235">
        <f t="shared" si="403"/>
        <v>0</v>
      </c>
      <c r="CS185" s="235">
        <f t="shared" si="404"/>
        <v>0</v>
      </c>
      <c r="CT185" s="235">
        <f t="shared" si="405"/>
        <v>0</v>
      </c>
      <c r="CU185" s="235">
        <f t="shared" si="406"/>
        <v>0</v>
      </c>
      <c r="CV185" s="235">
        <f t="shared" si="407"/>
        <v>0</v>
      </c>
      <c r="CW185" s="235">
        <f t="shared" si="408"/>
        <v>0</v>
      </c>
      <c r="CX185" s="235">
        <f t="shared" si="409"/>
        <v>0</v>
      </c>
      <c r="CY185" s="235">
        <f t="shared" si="410"/>
        <v>0</v>
      </c>
      <c r="CZ185" s="235">
        <f t="shared" si="411"/>
        <v>0</v>
      </c>
      <c r="DA185" s="38"/>
      <c r="DB185" s="236"/>
      <c r="DC185" s="236"/>
      <c r="DD185" s="236"/>
      <c r="DE185" s="236"/>
      <c r="DF185" s="401"/>
      <c r="DG185" s="236"/>
      <c r="DH185" s="492"/>
      <c r="DI185" s="236"/>
      <c r="DJ185" s="236"/>
      <c r="DK185" s="236"/>
      <c r="DL185" s="236"/>
      <c r="DM185" s="236"/>
      <c r="DN185" s="236"/>
      <c r="DO185" s="236"/>
      <c r="DP185" s="236"/>
      <c r="DQ185" s="1084"/>
      <c r="DR185" s="1084"/>
      <c r="DS185" s="1084"/>
      <c r="DT185" s="1084"/>
      <c r="DU185" s="1084"/>
      <c r="DV185" s="1084"/>
      <c r="DW185" s="1084"/>
      <c r="DX185" s="1084"/>
      <c r="DY185" s="1084"/>
      <c r="DZ185" s="1084"/>
      <c r="EA185" s="988"/>
    </row>
    <row r="186" spans="1:131" s="76" customFormat="1">
      <c r="A186" s="76" t="s">
        <v>3901</v>
      </c>
      <c r="B186" s="80" t="s">
        <v>4034</v>
      </c>
      <c r="C186" s="51" t="s">
        <v>918</v>
      </c>
      <c r="D186" s="207"/>
      <c r="E186" s="207"/>
      <c r="F186" s="295">
        <f>mamiabc!F23</f>
        <v>2E-3</v>
      </c>
      <c r="G186" s="295">
        <f>mamiabc!G23</f>
        <v>2.2000000000000001E-3</v>
      </c>
      <c r="H186" s="295">
        <f>mamiabc!H23</f>
        <v>2.5000000000000001E-3</v>
      </c>
      <c r="I186" s="295">
        <f>mamiabc!I23</f>
        <v>2.5999999046325685E-3</v>
      </c>
      <c r="J186" s="295">
        <f>mamiabc!J23</f>
        <v>3.0000000000000001E-3</v>
      </c>
      <c r="K186" s="295">
        <f>mamiabc!K23</f>
        <v>2.5999999046325685E-3</v>
      </c>
      <c r="L186" s="295">
        <f>mamiabc!L23</f>
        <v>3.4000000953674316E-3</v>
      </c>
      <c r="M186" s="295">
        <f>mamiabc!M23</f>
        <v>3.5999999046325685E-3</v>
      </c>
      <c r="N186" s="295">
        <f>mamiabc!N23</f>
        <v>3.0999999046325685E-3</v>
      </c>
      <c r="O186" s="295">
        <f>mamiabc!O23</f>
        <v>3.2000000476837156E-3</v>
      </c>
      <c r="P186" s="295">
        <f>mamiabc!P23</f>
        <v>3.5999999046325685E-3</v>
      </c>
      <c r="Q186" s="295">
        <f>mamiabc!Q23</f>
        <v>4.4000000953674312E-3</v>
      </c>
      <c r="R186" s="295">
        <f>mamiabc!R23</f>
        <v>5.0999999046325685E-3</v>
      </c>
      <c r="S186" s="295">
        <f>mamiabc!S23</f>
        <v>8.6000003814697273E-3</v>
      </c>
      <c r="T186" s="295">
        <f>mamiabc!T23</f>
        <v>7.3000001907348629E-3</v>
      </c>
      <c r="U186" s="295">
        <f>mamiabc!U23</f>
        <v>7.4999999999999997E-3</v>
      </c>
      <c r="V186" s="295">
        <f>mamiabc!V23</f>
        <v>4.3000001907348637E-3</v>
      </c>
      <c r="W186" s="295">
        <f>mamiabc!W23</f>
        <v>4.0000000000000001E-3</v>
      </c>
      <c r="X186" s="295">
        <f>mamiabc!X23</f>
        <v>4.9000000953674317E-3</v>
      </c>
      <c r="Y186" s="295">
        <f>mamiabc!Y23</f>
        <v>6.199999809265137E-3</v>
      </c>
      <c r="Z186" s="295">
        <f>mamiabc!Z23</f>
        <v>5.3000001907348637E-3</v>
      </c>
      <c r="AA186" s="295">
        <f>mamiabc!AA23</f>
        <v>2.7000000476837156E-3</v>
      </c>
      <c r="AB186" s="295">
        <f>mamiabc!AB23</f>
        <v>4.5999999046325681E-3</v>
      </c>
      <c r="AC186" s="295">
        <f>mamiabc!AC23</f>
        <v>1E-3</v>
      </c>
      <c r="AD186" s="295">
        <f>mamiabc!AD23</f>
        <v>1.2999999523162842E-3</v>
      </c>
      <c r="AE186" s="295">
        <f>mamiabc!AE23</f>
        <v>1.2999999523162842E-3</v>
      </c>
      <c r="AF186" s="295">
        <f>mamiabc!AF23</f>
        <v>1.2000000476837158E-3</v>
      </c>
      <c r="AG186" s="295">
        <f>mamiabc!AG23</f>
        <v>1.899999976158142E-3</v>
      </c>
      <c r="AH186" s="295">
        <f>mamiabc!AH23</f>
        <v>6.9999998807907101E-4</v>
      </c>
      <c r="AI186" s="295">
        <f>mamiabc!AI23</f>
        <v>1.399999976158142E-3</v>
      </c>
      <c r="AJ186" s="295">
        <f>mamiabc!AJ23</f>
        <v>1.2000000476837158E-3</v>
      </c>
      <c r="AK186" s="295">
        <f>mamiabc!AK23</f>
        <v>1E-3</v>
      </c>
      <c r="AL186" s="295">
        <f>mamiabc!AL23</f>
        <v>1.0000000149011611E-4</v>
      </c>
      <c r="AM186" s="295">
        <f>mamiabc!AM23</f>
        <v>1.0000000149011611E-4</v>
      </c>
      <c r="AN186" s="295">
        <f>mamiabc!AN23</f>
        <v>1.0000000149011611E-4</v>
      </c>
      <c r="AO186" s="295">
        <f>mamiabc!AO23</f>
        <v>0</v>
      </c>
      <c r="AP186" s="295">
        <f>mamiabc!AP23</f>
        <v>0</v>
      </c>
      <c r="AQ186" s="295">
        <f>mamiabc!AQ23</f>
        <v>0</v>
      </c>
      <c r="AR186" s="295">
        <f>mamiabc!AR23</f>
        <v>1E-4</v>
      </c>
      <c r="AS186" s="295">
        <f>mamiabc!AS23</f>
        <v>2.0000000000000001E-4</v>
      </c>
      <c r="AT186" s="295">
        <f>mamiabc!AT23</f>
        <v>0</v>
      </c>
      <c r="AU186" s="295">
        <f>mamiabc!AU23</f>
        <v>0</v>
      </c>
      <c r="AV186" s="74">
        <f>(DataInput!AV646+DataInput!AV647)*AV363</f>
        <v>0</v>
      </c>
      <c r="AW186" s="74">
        <f>(DataInput!AW646+DataInput!AW647)*AW363</f>
        <v>0</v>
      </c>
      <c r="AX186" s="74">
        <f>(DataInput!AX646+DataInput!AX647)*AX363</f>
        <v>0</v>
      </c>
      <c r="AY186" s="74">
        <f>(DataInput!AY646+DataInput!AY647)*AY363</f>
        <v>1.8058110000000001</v>
      </c>
      <c r="AZ186" s="74">
        <f>(DataInput!AZ646+DataInput!AZ647)*AZ363</f>
        <v>0</v>
      </c>
      <c r="BA186" s="74">
        <f>(DataInput!BA646+DataInput!BA647)*BA363</f>
        <v>0</v>
      </c>
      <c r="BB186" s="74">
        <f>(DataInput!BB646+DataInput!BB647)*BB363</f>
        <v>5.1192790000000006</v>
      </c>
      <c r="BC186" s="74">
        <f>(DataInput!BC646+DataInput!BC647)*BC363</f>
        <v>6.2479919999999991</v>
      </c>
      <c r="BD186" s="74">
        <f>(DataInput!BD646+DataInput!BD647)*BD363</f>
        <v>5.468</v>
      </c>
      <c r="BE186" s="74">
        <f>(DataInput!BE646+DataInput!BE647)*BE363</f>
        <v>6.5519999999999996</v>
      </c>
      <c r="BF186" s="74">
        <f>(DataInput!BF646+DataInput!BF647)*BF363</f>
        <v>13.7125</v>
      </c>
      <c r="BG186" s="74">
        <f>(DataInput!BG646+DataInput!BG647)*BG363</f>
        <v>0</v>
      </c>
      <c r="BH186" s="74">
        <f>(DataInput!BH646+DataInput!BH647)*BH363</f>
        <v>0</v>
      </c>
      <c r="BI186" s="74">
        <f>(DataInput!BI646+DataInput!BI647)*BI363</f>
        <v>0</v>
      </c>
      <c r="BJ186" s="74">
        <f>(DataInput!BJ646+DataInput!BJ647)*BJ363</f>
        <v>0</v>
      </c>
      <c r="BK186" s="74">
        <f>(DataInput!BK646+DataInput!BK647)*BK363</f>
        <v>0</v>
      </c>
      <c r="BL186" s="74">
        <f>(DataInput!BL646+DataInput!BL647)*BL363</f>
        <v>0</v>
      </c>
      <c r="BM186" s="74">
        <f>(DataInput!BM646+DataInput!BM647)*BM363</f>
        <v>0</v>
      </c>
      <c r="BN186" s="74">
        <f>(DataInput!BN646+DataInput!BN647)*BN363</f>
        <v>0</v>
      </c>
      <c r="BO186" s="74">
        <f>(DataInput!BO646+DataInput!BO647)*BO363</f>
        <v>0</v>
      </c>
      <c r="BP186" s="94">
        <f t="shared" ref="BP186:BU186" si="520">BO186*BP363/BO363</f>
        <v>0</v>
      </c>
      <c r="BQ186" s="94">
        <f t="shared" si="520"/>
        <v>0</v>
      </c>
      <c r="BR186" s="94">
        <f t="shared" si="520"/>
        <v>0</v>
      </c>
      <c r="BS186" s="94">
        <f t="shared" si="520"/>
        <v>0</v>
      </c>
      <c r="BT186" s="94">
        <f t="shared" si="520"/>
        <v>0</v>
      </c>
      <c r="BU186" s="94">
        <f t="shared" si="520"/>
        <v>0</v>
      </c>
      <c r="BV186" s="94">
        <f t="shared" ref="BV186:BX186" si="521">BU186*BV363/BU363</f>
        <v>0</v>
      </c>
      <c r="BW186" s="94">
        <f t="shared" si="521"/>
        <v>0</v>
      </c>
      <c r="BX186" s="94">
        <f t="shared" si="521"/>
        <v>0</v>
      </c>
      <c r="BY186" s="94">
        <f t="shared" ref="BY186" si="522">BX186*BY363/BX363</f>
        <v>0</v>
      </c>
      <c r="BZ186" s="94">
        <f t="shared" ref="BZ186" si="523">BY186*BZ363/BY363</f>
        <v>0</v>
      </c>
      <c r="CA186" s="94">
        <f t="shared" ref="CA186" si="524">BZ186*CA363/BZ363</f>
        <v>0</v>
      </c>
      <c r="CB186" s="94">
        <f t="shared" ref="CB186" si="525">CA186*CB363/CA363</f>
        <v>0</v>
      </c>
      <c r="CC186" s="94">
        <f t="shared" ref="CC186" si="526">CB186*CC363/CB363</f>
        <v>0</v>
      </c>
      <c r="CD186" s="94">
        <f t="shared" ref="CD186" si="527">CC186*CD363/CC363</f>
        <v>0</v>
      </c>
      <c r="CE186" s="94"/>
      <c r="CF186" s="435"/>
      <c r="CG186" s="235">
        <f t="shared" si="430"/>
        <v>0</v>
      </c>
      <c r="CH186" s="235">
        <f t="shared" si="450"/>
        <v>0</v>
      </c>
      <c r="CI186" s="235" t="e">
        <f>BM186-#REF!</f>
        <v>#REF!</v>
      </c>
      <c r="CJ186" s="235">
        <f t="shared" si="395"/>
        <v>0</v>
      </c>
      <c r="CK186" s="235">
        <f t="shared" si="396"/>
        <v>0</v>
      </c>
      <c r="CL186" s="235">
        <f t="shared" si="397"/>
        <v>0</v>
      </c>
      <c r="CM186" s="235">
        <f t="shared" si="398"/>
        <v>0</v>
      </c>
      <c r="CN186" s="235">
        <f t="shared" si="399"/>
        <v>0</v>
      </c>
      <c r="CO186" s="235">
        <f t="shared" si="400"/>
        <v>0</v>
      </c>
      <c r="CP186" s="235">
        <f t="shared" si="401"/>
        <v>0</v>
      </c>
      <c r="CQ186" s="235">
        <f t="shared" si="402"/>
        <v>0</v>
      </c>
      <c r="CR186" s="235">
        <f t="shared" si="403"/>
        <v>0</v>
      </c>
      <c r="CS186" s="235">
        <f t="shared" si="404"/>
        <v>0</v>
      </c>
      <c r="CT186" s="235">
        <f t="shared" si="405"/>
        <v>0</v>
      </c>
      <c r="CU186" s="235">
        <f t="shared" si="406"/>
        <v>0</v>
      </c>
      <c r="CV186" s="235">
        <f t="shared" si="407"/>
        <v>0</v>
      </c>
      <c r="CW186" s="235">
        <f t="shared" si="408"/>
        <v>0</v>
      </c>
      <c r="CX186" s="235">
        <f t="shared" si="409"/>
        <v>0</v>
      </c>
      <c r="CY186" s="235">
        <f t="shared" si="410"/>
        <v>0</v>
      </c>
      <c r="CZ186" s="235">
        <f t="shared" si="411"/>
        <v>0</v>
      </c>
      <c r="DA186" s="38"/>
      <c r="DB186" s="236">
        <v>12.7125</v>
      </c>
      <c r="DC186" s="236">
        <v>13.7125</v>
      </c>
      <c r="DD186" s="236">
        <v>6.5880000000000001</v>
      </c>
      <c r="DE186" s="236">
        <v>5.7645000000000008</v>
      </c>
      <c r="DF186" s="401">
        <v>0</v>
      </c>
      <c r="DG186" s="236">
        <v>0</v>
      </c>
      <c r="DH186" s="492">
        <v>0</v>
      </c>
      <c r="DI186" s="236">
        <v>0</v>
      </c>
      <c r="DJ186" s="236">
        <v>0</v>
      </c>
      <c r="DK186" s="236">
        <v>0</v>
      </c>
      <c r="DL186" s="236">
        <v>0</v>
      </c>
      <c r="DM186" s="236">
        <v>0</v>
      </c>
      <c r="DN186" s="236">
        <v>0</v>
      </c>
      <c r="DO186" s="236">
        <v>0</v>
      </c>
      <c r="DP186" s="236">
        <v>0</v>
      </c>
      <c r="DQ186" s="401">
        <v>0</v>
      </c>
      <c r="DR186" s="401">
        <v>0</v>
      </c>
      <c r="DS186" s="401">
        <v>0</v>
      </c>
      <c r="DT186" s="401">
        <v>0</v>
      </c>
      <c r="DU186" s="401">
        <v>0</v>
      </c>
      <c r="DV186" s="401">
        <v>0</v>
      </c>
      <c r="DW186" s="401">
        <v>0</v>
      </c>
      <c r="DX186" s="401">
        <v>0</v>
      </c>
      <c r="DY186" s="401">
        <v>0</v>
      </c>
      <c r="DZ186" s="401"/>
      <c r="EA186" s="989"/>
    </row>
    <row r="187" spans="1:131" s="76" customFormat="1">
      <c r="A187" s="76" t="s">
        <v>3888</v>
      </c>
      <c r="B187" s="80" t="s">
        <v>4617</v>
      </c>
      <c r="C187" s="51" t="s">
        <v>919</v>
      </c>
      <c r="D187" s="207"/>
      <c r="E187" s="207"/>
      <c r="F187" s="295">
        <f>mamiabc!F31</f>
        <v>2.0000000000000001E-4</v>
      </c>
      <c r="G187" s="295">
        <f>mamiabc!G31</f>
        <v>2.0000000000000001E-4</v>
      </c>
      <c r="H187" s="295">
        <f>mamiabc!H31</f>
        <v>4.0000000596046445E-4</v>
      </c>
      <c r="I187" s="295">
        <f>mamiabc!I31</f>
        <v>5.0000000000000001E-4</v>
      </c>
      <c r="J187" s="295">
        <f>mamiabc!J31</f>
        <v>8.9999997615814213E-4</v>
      </c>
      <c r="K187" s="295">
        <f>mamiabc!K31</f>
        <v>1.2000000476837158E-3</v>
      </c>
      <c r="L187" s="295">
        <f>mamiabc!L31</f>
        <v>1.7999999523162843E-3</v>
      </c>
      <c r="M187" s="295">
        <f>mamiabc!M31</f>
        <v>2.0999999046325685E-3</v>
      </c>
      <c r="N187" s="295">
        <f>mamiabc!N31</f>
        <v>3.0000000000000001E-3</v>
      </c>
      <c r="O187" s="295">
        <f>mamiabc!O31</f>
        <v>4.4999999999999997E-3</v>
      </c>
      <c r="P187" s="295">
        <f>mamiabc!P31</f>
        <v>4.4999999999999997E-3</v>
      </c>
      <c r="Q187" s="295">
        <f>mamiabc!Q31</f>
        <v>6.199999809265137E-3</v>
      </c>
      <c r="R187" s="295">
        <f>mamiabc!R31</f>
        <v>6.0000000000000001E-3</v>
      </c>
      <c r="S187" s="295">
        <f>mamiabc!S31</f>
        <v>6.0000000000000001E-3</v>
      </c>
      <c r="T187" s="295">
        <f>mamiabc!T31</f>
        <v>6.0999999046325686E-3</v>
      </c>
      <c r="U187" s="295">
        <f>mamiabc!U31</f>
        <v>5.8000001907348633E-3</v>
      </c>
      <c r="V187" s="295">
        <f>mamiabc!V31</f>
        <v>2.9000000953674316E-3</v>
      </c>
      <c r="W187" s="295">
        <f>mamiabc!W31</f>
        <v>3.2000000476837156E-3</v>
      </c>
      <c r="X187" s="295">
        <f>mamiabc!X31</f>
        <v>4.0000000000000001E-3</v>
      </c>
      <c r="Y187" s="295">
        <f>mamiabc!Y31</f>
        <v>5.3000001907348637E-3</v>
      </c>
      <c r="Z187" s="295">
        <f>mamiabc!Z31</f>
        <v>6.8000001907348633E-3</v>
      </c>
      <c r="AA187" s="295">
        <f>mamiabc!AA31</f>
        <v>7.0000000000000001E-3</v>
      </c>
      <c r="AB187" s="295">
        <f>mamiabc!AB31</f>
        <v>7.0999999046325686E-3</v>
      </c>
      <c r="AC187" s="295">
        <f>mamiabc!AC31</f>
        <v>6.3000001907348637E-3</v>
      </c>
      <c r="AD187" s="295">
        <f>mamiabc!AD31</f>
        <v>6.6999998092651366E-3</v>
      </c>
      <c r="AE187" s="295">
        <f>mamiabc!AE31</f>
        <v>8.199999809265137E-3</v>
      </c>
      <c r="AF187" s="295">
        <f>mamiabc!AF31</f>
        <v>7.4999999999999997E-3</v>
      </c>
      <c r="AG187" s="295">
        <f>mamiabc!AG31</f>
        <v>6.5999999046325681E-3</v>
      </c>
      <c r="AH187" s="295">
        <f>mamiabc!AH31</f>
        <v>5.4000000953674313E-3</v>
      </c>
      <c r="AI187" s="295">
        <f>mamiabc!AI31</f>
        <v>2.7999999523162841E-3</v>
      </c>
      <c r="AJ187" s="295">
        <f>mamiabc!AJ31</f>
        <v>2.2000000476837156E-3</v>
      </c>
      <c r="AK187" s="295">
        <f>mamiabc!AK31</f>
        <v>1.7000000476837158E-3</v>
      </c>
      <c r="AL187" s="295">
        <f>mamiabc!AL31</f>
        <v>1.399999976158142E-3</v>
      </c>
      <c r="AM187" s="295">
        <f>mamiabc!AM31</f>
        <v>1.899999976158142E-3</v>
      </c>
      <c r="AN187" s="295">
        <f>mamiabc!AN31</f>
        <v>3.0000000000000001E-3</v>
      </c>
      <c r="AO187" s="295">
        <f>mamiabc!AO31</f>
        <v>1.5E-3</v>
      </c>
      <c r="AP187" s="295">
        <f>mamiabc!AP31</f>
        <v>2.2000000000000001E-3</v>
      </c>
      <c r="AQ187" s="295">
        <f>mamiabc!AQ31</f>
        <v>3.0999999999999999E-3</v>
      </c>
      <c r="AR187" s="295">
        <f>mamiabc!AR31</f>
        <v>2.8999999999999998E-3</v>
      </c>
      <c r="AS187" s="295">
        <f>mamiabc!AS31</f>
        <v>8.3900000000000002E-2</v>
      </c>
      <c r="AT187" s="295">
        <f>mamiabc!AT31</f>
        <v>0.2102</v>
      </c>
      <c r="AU187" s="295">
        <f>mamiabc!AU31</f>
        <v>0.49810000000000004</v>
      </c>
      <c r="AV187" s="74">
        <f>(DataInput!AV650+DataInput!AV651)*AV363</f>
        <v>0.52120250000000001</v>
      </c>
      <c r="AW187" s="74">
        <f>(DataInput!AW650+DataInput!AW651)*AW363</f>
        <v>0.48120000000000002</v>
      </c>
      <c r="AX187" s="74">
        <f>(DataInput!AX650+DataInput!AX651)*AX363</f>
        <v>0.32080000000000003</v>
      </c>
      <c r="AY187" s="74">
        <f>(DataInput!AY650+DataInput!AY651)*AY363</f>
        <v>0.85990999999999995</v>
      </c>
      <c r="AZ187" s="74">
        <f>(DataInput!AZ650+DataInput!AZ651)*AZ363</f>
        <v>1.458941</v>
      </c>
      <c r="BA187" s="74">
        <f>(DataInput!BA650+DataInput!BA651)*BA363</f>
        <v>2.6141999999999999</v>
      </c>
      <c r="BB187" s="74">
        <f>(DataInput!BB650+DataInput!BB651)*BB363</f>
        <v>2.7923340000000003</v>
      </c>
      <c r="BC187" s="74">
        <f>(DataInput!BC650+DataInput!BC651)*BC363</f>
        <v>13.537315999999999</v>
      </c>
      <c r="BD187" s="74">
        <f>(DataInput!BD650+DataInput!BD651)*BD363</f>
        <v>14.4902</v>
      </c>
      <c r="BE187" s="74">
        <f>(DataInput!BE650+DataInput!BE651)*BE363</f>
        <v>11.466000000000001</v>
      </c>
      <c r="BF187" s="74">
        <f>(DataInput!BF650+DataInput!BF651)*BF363</f>
        <v>9.3245000000000022</v>
      </c>
      <c r="BG187" s="74">
        <f>(DataInput!BG650+DataInput!BG651)*BG363</f>
        <v>0</v>
      </c>
      <c r="BH187" s="74">
        <f>(DataInput!BH650+DataInput!BH651)*BH363</f>
        <v>0</v>
      </c>
      <c r="BI187" s="74">
        <f>(DataInput!BI650+DataInput!BI651)*BI363</f>
        <v>0</v>
      </c>
      <c r="BJ187" s="74">
        <f>(DataInput!BJ650+DataInput!BJ651)*BJ363</f>
        <v>0</v>
      </c>
      <c r="BK187" s="74">
        <f>(DataInput!BK650+DataInput!BK651)*BK363</f>
        <v>0</v>
      </c>
      <c r="BL187" s="74">
        <f>(DataInput!BL650+DataInput!BL651)*BL363</f>
        <v>0</v>
      </c>
      <c r="BM187" s="74">
        <f>(DataInput!BM650+DataInput!BM651)*BM363</f>
        <v>0</v>
      </c>
      <c r="BN187" s="74">
        <f>(DataInput!BN650+DataInput!BN651)*BN363</f>
        <v>0</v>
      </c>
      <c r="BO187" s="74">
        <f>(DataInput!BO650+DataInput!BO651)*BO363</f>
        <v>0</v>
      </c>
      <c r="BP187" s="86">
        <f t="shared" ref="BP187:BU187" ca="1" si="528">BO187*(1+BP302/100)</f>
        <v>0</v>
      </c>
      <c r="BQ187" s="86">
        <f t="shared" ca="1" si="528"/>
        <v>0</v>
      </c>
      <c r="BR187" s="86">
        <f t="shared" ca="1" si="528"/>
        <v>0</v>
      </c>
      <c r="BS187" s="86">
        <f t="shared" ca="1" si="528"/>
        <v>0</v>
      </c>
      <c r="BT187" s="86">
        <f t="shared" ca="1" si="528"/>
        <v>0</v>
      </c>
      <c r="BU187" s="86">
        <f t="shared" ca="1" si="528"/>
        <v>0</v>
      </c>
      <c r="BV187" s="86">
        <f t="shared" ref="BV187:BX187" ca="1" si="529">BU187*(1+BV302/100)</f>
        <v>0</v>
      </c>
      <c r="BW187" s="86">
        <f t="shared" ca="1" si="529"/>
        <v>0</v>
      </c>
      <c r="BX187" s="86">
        <f t="shared" ca="1" si="529"/>
        <v>0</v>
      </c>
      <c r="BY187" s="86">
        <f t="shared" ref="BY187" ca="1" si="530">BX187*(1+BY302/100)</f>
        <v>0</v>
      </c>
      <c r="BZ187" s="86">
        <f t="shared" ref="BZ187" ca="1" si="531">BY187*(1+BZ302/100)</f>
        <v>0</v>
      </c>
      <c r="CA187" s="86">
        <f t="shared" ref="CA187" ca="1" si="532">BZ187*(1+CA302/100)</f>
        <v>0</v>
      </c>
      <c r="CB187" s="86">
        <f t="shared" ref="CB187" ca="1" si="533">CA187*(1+CB302/100)</f>
        <v>0</v>
      </c>
      <c r="CC187" s="86">
        <f t="shared" ref="CC187" ca="1" si="534">CB187*(1+CC302/100)</f>
        <v>0</v>
      </c>
      <c r="CD187" s="86">
        <f t="shared" ref="CD187" ca="1" si="535">CC187*(1+CD302/100)</f>
        <v>0</v>
      </c>
      <c r="CE187" s="86"/>
      <c r="CF187" s="435"/>
      <c r="CG187" s="235">
        <f t="shared" si="430"/>
        <v>0</v>
      </c>
      <c r="CH187" s="235">
        <f t="shared" si="450"/>
        <v>0</v>
      </c>
      <c r="CI187" s="235" t="e">
        <f>BM187-#REF!</f>
        <v>#REF!</v>
      </c>
      <c r="CJ187" s="235">
        <f t="shared" si="395"/>
        <v>0</v>
      </c>
      <c r="CK187" s="235">
        <f t="shared" si="396"/>
        <v>0</v>
      </c>
      <c r="CL187" s="235">
        <f t="shared" ca="1" si="397"/>
        <v>0</v>
      </c>
      <c r="CM187" s="235">
        <f t="shared" ca="1" si="398"/>
        <v>0</v>
      </c>
      <c r="CN187" s="235">
        <f t="shared" ca="1" si="399"/>
        <v>0</v>
      </c>
      <c r="CO187" s="235">
        <f t="shared" ca="1" si="400"/>
        <v>0</v>
      </c>
      <c r="CP187" s="235">
        <f t="shared" ca="1" si="401"/>
        <v>0</v>
      </c>
      <c r="CQ187" s="235">
        <f t="shared" ca="1" si="402"/>
        <v>0</v>
      </c>
      <c r="CR187" s="235">
        <f t="shared" ca="1" si="403"/>
        <v>0</v>
      </c>
      <c r="CS187" s="235">
        <f t="shared" ca="1" si="404"/>
        <v>0</v>
      </c>
      <c r="CT187" s="235">
        <f t="shared" ca="1" si="405"/>
        <v>0</v>
      </c>
      <c r="CU187" s="235">
        <f t="shared" ca="1" si="406"/>
        <v>0</v>
      </c>
      <c r="CV187" s="235">
        <f t="shared" ca="1" si="407"/>
        <v>0</v>
      </c>
      <c r="CW187" s="235">
        <f t="shared" ca="1" si="408"/>
        <v>0</v>
      </c>
      <c r="CX187" s="235">
        <f t="shared" ca="1" si="409"/>
        <v>0</v>
      </c>
      <c r="CY187" s="235">
        <f t="shared" ca="1" si="410"/>
        <v>0</v>
      </c>
      <c r="CZ187" s="235">
        <f t="shared" ca="1" si="411"/>
        <v>0</v>
      </c>
      <c r="DA187" s="38"/>
      <c r="DB187" s="236">
        <v>8.3245000000000005</v>
      </c>
      <c r="DC187" s="236">
        <v>9.3245000000000022</v>
      </c>
      <c r="DD187" s="236">
        <v>18.9405</v>
      </c>
      <c r="DE187" s="236">
        <v>25.253999999999998</v>
      </c>
      <c r="DF187" s="401">
        <v>0</v>
      </c>
      <c r="DG187" s="236">
        <v>0</v>
      </c>
      <c r="DH187" s="492">
        <v>0</v>
      </c>
      <c r="DI187" s="236">
        <v>0</v>
      </c>
      <c r="DJ187" s="236">
        <v>0</v>
      </c>
      <c r="DK187" s="236">
        <v>0</v>
      </c>
      <c r="DL187" s="236">
        <v>0</v>
      </c>
      <c r="DM187" s="236">
        <v>0</v>
      </c>
      <c r="DN187" s="236">
        <v>0</v>
      </c>
      <c r="DO187" s="236">
        <v>0</v>
      </c>
      <c r="DP187" s="236">
        <v>0</v>
      </c>
      <c r="DQ187" s="401">
        <v>0</v>
      </c>
      <c r="DR187" s="401">
        <v>0</v>
      </c>
      <c r="DS187" s="401">
        <v>0</v>
      </c>
      <c r="DT187" s="401">
        <v>0</v>
      </c>
      <c r="DU187" s="401">
        <v>0</v>
      </c>
      <c r="DV187" s="401">
        <v>0</v>
      </c>
      <c r="DW187" s="401">
        <v>0</v>
      </c>
      <c r="DX187" s="401">
        <v>0</v>
      </c>
      <c r="DY187" s="401">
        <v>0</v>
      </c>
      <c r="DZ187" s="401"/>
      <c r="EA187" s="989"/>
    </row>
    <row r="188" spans="1:131" s="76" customFormat="1">
      <c r="A188" s="76" t="s">
        <v>3889</v>
      </c>
      <c r="B188" s="80" t="s">
        <v>4618</v>
      </c>
      <c r="C188" s="51" t="s">
        <v>920</v>
      </c>
      <c r="D188" s="207"/>
      <c r="E188" s="207"/>
      <c r="F188" s="295">
        <f>mamiabc!F24</f>
        <v>4.0000000000000002E-4</v>
      </c>
      <c r="G188" s="295">
        <f>mamiabc!G24</f>
        <v>2.9999999999999997E-4</v>
      </c>
      <c r="H188" s="295">
        <f>mamiabc!H24</f>
        <v>3.0000001192092895E-4</v>
      </c>
      <c r="I188" s="295">
        <f>mamiabc!I24</f>
        <v>6.9999998807907101E-4</v>
      </c>
      <c r="J188" s="295">
        <f>mamiabc!J24</f>
        <v>4.0000000596046445E-4</v>
      </c>
      <c r="K188" s="295">
        <f>mamiabc!K24</f>
        <v>6.0000002384185791E-4</v>
      </c>
      <c r="L188" s="295">
        <f>mamiabc!L24</f>
        <v>5.0000000000000001E-4</v>
      </c>
      <c r="M188" s="295">
        <f>mamiabc!M24</f>
        <v>3.0000001192092895E-4</v>
      </c>
      <c r="N188" s="295">
        <f>mamiabc!N24</f>
        <v>3.0000001192092895E-4</v>
      </c>
      <c r="O188" s="295">
        <f>mamiabc!O24</f>
        <v>4.0000000596046445E-4</v>
      </c>
      <c r="P188" s="295">
        <f>mamiabc!P24</f>
        <v>1E-3</v>
      </c>
      <c r="Q188" s="295">
        <f>mamiabc!Q24</f>
        <v>1.5E-3</v>
      </c>
      <c r="R188" s="295">
        <f>mamiabc!R24</f>
        <v>1.7999999523162843E-3</v>
      </c>
      <c r="S188" s="295">
        <f>mamiabc!S24</f>
        <v>2.0999999046325685E-3</v>
      </c>
      <c r="T188" s="295">
        <f>mamiabc!T24</f>
        <v>6.0000002384185791E-4</v>
      </c>
      <c r="U188" s="295">
        <f>mamiabc!U24</f>
        <v>1.7999999523162843E-3</v>
      </c>
      <c r="V188" s="295">
        <f>mamiabc!V24</f>
        <v>5.199999809265137E-3</v>
      </c>
      <c r="W188" s="295">
        <f>mamiabc!W24</f>
        <v>4.4999999999999997E-3</v>
      </c>
      <c r="X188" s="295">
        <f>mamiabc!X24</f>
        <v>5.199999809265137E-3</v>
      </c>
      <c r="Y188" s="295">
        <f>mamiabc!Y24</f>
        <v>5.0999999046325685E-3</v>
      </c>
      <c r="Z188" s="295">
        <f>mamiabc!Z24</f>
        <v>1.2600000381469727E-2</v>
      </c>
      <c r="AA188" s="295">
        <f>mamiabc!AA24</f>
        <v>1.8100000381469725E-2</v>
      </c>
      <c r="AB188" s="295">
        <f>mamiabc!AB24</f>
        <v>1.7200000762939455E-2</v>
      </c>
      <c r="AC188" s="295">
        <f>mamiabc!AC24</f>
        <v>1.1899999618530274E-2</v>
      </c>
      <c r="AD188" s="295">
        <f>mamiabc!AD24</f>
        <v>1.3600000381469727E-2</v>
      </c>
      <c r="AE188" s="295">
        <f>mamiabc!AE24</f>
        <v>2.3899999618530274E-2</v>
      </c>
      <c r="AF188" s="295">
        <f>mamiabc!AF24</f>
        <v>4.4499999999999998E-2</v>
      </c>
      <c r="AG188" s="295">
        <f>mamiabc!AG24</f>
        <v>6.2799999237060547E-2</v>
      </c>
      <c r="AH188" s="295">
        <f>mamiabc!AH24</f>
        <v>6.3200000762939454E-2</v>
      </c>
      <c r="AI188" s="295">
        <f>mamiabc!AI24</f>
        <v>2.8100000381469727E-2</v>
      </c>
      <c r="AJ188" s="295">
        <f>mamiabc!AJ24</f>
        <v>7.6999998092651366E-3</v>
      </c>
      <c r="AK188" s="295">
        <f>mamiabc!AK24</f>
        <v>3.9000000953674317E-3</v>
      </c>
      <c r="AL188" s="295">
        <f>mamiabc!AL24</f>
        <v>2.7999999523162841E-3</v>
      </c>
      <c r="AM188" s="295">
        <f>mamiabc!AM24</f>
        <v>2.0999999046325685E-3</v>
      </c>
      <c r="AN188" s="295">
        <f>mamiabc!AN24</f>
        <v>2.299999952316284E-3</v>
      </c>
      <c r="AO188" s="295">
        <f>mamiabc!AO24</f>
        <v>1.7000000476837158E-3</v>
      </c>
      <c r="AP188" s="295">
        <f>mamiabc!AP24</f>
        <v>4.0000000000000001E-3</v>
      </c>
      <c r="AQ188" s="295">
        <f>mamiabc!AQ24</f>
        <v>2.5000000000000001E-3</v>
      </c>
      <c r="AR188" s="295">
        <f>mamiabc!AR24</f>
        <v>1.1999999999999999E-3</v>
      </c>
      <c r="AS188" s="295">
        <f>mamiabc!AS24</f>
        <v>1.34E-2</v>
      </c>
      <c r="AT188" s="295">
        <f>mamiabc!AT24</f>
        <v>0.2661</v>
      </c>
      <c r="AU188" s="295">
        <f>mamiabc!AU24</f>
        <v>1.222</v>
      </c>
      <c r="AV188" s="74">
        <f>DataInput!AV653*AV363</f>
        <v>2.8064749999999998</v>
      </c>
      <c r="AW188" s="74">
        <f>DataInput!AW653*AW363</f>
        <v>2.8471000000000002</v>
      </c>
      <c r="AX188" s="74">
        <f>DataInput!AX653*AX363</f>
        <v>2.6065</v>
      </c>
      <c r="AY188" s="74">
        <f>DataInput!AY653*AY363</f>
        <v>4.9874779999999994</v>
      </c>
      <c r="AZ188" s="74">
        <f>DataInput!AZ653*AZ363</f>
        <v>17.507291999999996</v>
      </c>
      <c r="BA188" s="74">
        <f>DataInput!BA653*BA363</f>
        <v>11.763900000000001</v>
      </c>
      <c r="BB188" s="74">
        <f>DataInput!BB653*BB363</f>
        <v>14.427059000000002</v>
      </c>
      <c r="BC188" s="74">
        <f>DataInput!BC653*BC363</f>
        <v>23.690302999999997</v>
      </c>
      <c r="BD188" s="74">
        <f>DataInput!BD653*BD363</f>
        <v>37.182400000000001</v>
      </c>
      <c r="BE188" s="74">
        <f>DataInput!BE653*BE363</f>
        <v>58.968000000000004</v>
      </c>
      <c r="BF188" s="74">
        <f>DataInput!BF653*BF363</f>
        <v>68.5625</v>
      </c>
      <c r="BG188" s="74">
        <f>DataInput!BG653*BG363</f>
        <v>119.682</v>
      </c>
      <c r="BH188" s="74">
        <f>DataInput!BH653*BH363</f>
        <v>115.83900000000001</v>
      </c>
      <c r="BI188" s="74">
        <f>DataInput!BI653*BI363</f>
        <v>84.93</v>
      </c>
      <c r="BJ188" s="74">
        <f>DataInput!BJ653*BJ363</f>
        <v>79.605000000000004</v>
      </c>
      <c r="BK188" s="74">
        <f>DataInput!BK653*BK363</f>
        <v>52.65</v>
      </c>
      <c r="BL188" s="74">
        <f>DataInput!BL653*BL363</f>
        <v>90.785000000000011</v>
      </c>
      <c r="BM188" s="74">
        <f>DataInput!BM653*BM363</f>
        <v>90.785000000000011</v>
      </c>
      <c r="BN188" s="74">
        <f>DataInput!BN653*BN363</f>
        <v>72.360000000000014</v>
      </c>
      <c r="BO188" s="74">
        <f>DataInput!BO653*BO363</f>
        <v>46.453333333333333</v>
      </c>
      <c r="BP188" s="86">
        <f t="shared" ref="BP188:BU188" ca="1" si="536">1.2*BO367/100*(BO357+BP357)/2</f>
        <v>113.35166475710759</v>
      </c>
      <c r="BQ188" s="86">
        <f t="shared" ca="1" si="536"/>
        <v>104.13019767615967</v>
      </c>
      <c r="BR188" s="86">
        <f t="shared" ca="1" si="536"/>
        <v>93.393334564148418</v>
      </c>
      <c r="BS188" s="86">
        <f t="shared" ca="1" si="536"/>
        <v>68.437258919928269</v>
      </c>
      <c r="BT188" s="86">
        <f t="shared" ca="1" si="536"/>
        <v>23.611518327774402</v>
      </c>
      <c r="BU188" s="86">
        <f t="shared" ca="1" si="536"/>
        <v>-38.740361772685539</v>
      </c>
      <c r="BV188" s="86">
        <f t="shared" ref="BV188:BX188" ca="1" si="537">1.2*BU367/100*(BU357+BV357)/2</f>
        <v>-119.83234551254554</v>
      </c>
      <c r="BW188" s="86">
        <f t="shared" ca="1" si="537"/>
        <v>-221.17879683415595</v>
      </c>
      <c r="BX188" s="86">
        <f t="shared" ca="1" si="537"/>
        <v>-344.95915785184815</v>
      </c>
      <c r="BY188" s="86">
        <f t="shared" ref="BY188" ca="1" si="538">1.2*BX367/100*(BX357+BY357)/2</f>
        <v>-493.68396690972264</v>
      </c>
      <c r="BZ188" s="86">
        <f t="shared" ref="BZ188" ca="1" si="539">1.2*BY367/100*(BY357+BZ357)/2</f>
        <v>-668.38004302694958</v>
      </c>
      <c r="CA188" s="86">
        <f t="shared" ref="CA188" ca="1" si="540">1.2*BZ367/100*(BZ357+CA357)/2</f>
        <v>-870.45130766337877</v>
      </c>
      <c r="CB188" s="86">
        <f t="shared" ref="CB188" ca="1" si="541">1.2*CA367/100*(CA357+CB357)/2</f>
        <v>-1103.3203277834871</v>
      </c>
      <c r="CC188" s="86">
        <f t="shared" ref="CC188" ca="1" si="542">1.2*CB367/100*(CB357+CC357)/2</f>
        <v>-1370.3870575261217</v>
      </c>
      <c r="CD188" s="86">
        <f t="shared" ref="CD188" ca="1" si="543">1.2*CC367/100*(CC357+CD357)/2</f>
        <v>-1675.5054432876846</v>
      </c>
      <c r="CE188" s="86"/>
      <c r="CF188" s="435"/>
      <c r="CG188" s="235">
        <f t="shared" si="430"/>
        <v>0</v>
      </c>
      <c r="CH188" s="235">
        <f t="shared" si="450"/>
        <v>0</v>
      </c>
      <c r="CI188" s="235" t="e">
        <f>BM188-#REF!</f>
        <v>#REF!</v>
      </c>
      <c r="CJ188" s="235">
        <f t="shared" si="395"/>
        <v>0</v>
      </c>
      <c r="CK188" s="235">
        <f t="shared" si="396"/>
        <v>0</v>
      </c>
      <c r="CL188" s="235">
        <f t="shared" ca="1" si="397"/>
        <v>0</v>
      </c>
      <c r="CM188" s="235">
        <f t="shared" ca="1" si="398"/>
        <v>-3.5527136788005009E-13</v>
      </c>
      <c r="CN188" s="235">
        <f t="shared" ca="1" si="399"/>
        <v>-7.815970093361102E-13</v>
      </c>
      <c r="CO188" s="235">
        <f t="shared" ca="1" si="400"/>
        <v>-1.3216094885137863E-12</v>
      </c>
      <c r="CP188" s="235">
        <f t="shared" ca="1" si="401"/>
        <v>-2.0676793610618915E-12</v>
      </c>
      <c r="CQ188" s="235">
        <f t="shared" ca="1" si="402"/>
        <v>-3.0482283364108298E-12</v>
      </c>
      <c r="CR188" s="235">
        <f t="shared" ca="1" si="403"/>
        <v>-4.0927261579781771E-12</v>
      </c>
      <c r="CS188" s="235">
        <f t="shared" ca="1" si="404"/>
        <v>-5.1159076974727213E-12</v>
      </c>
      <c r="CT188" s="235">
        <f t="shared" ca="1" si="405"/>
        <v>-5.9685589803848416E-12</v>
      </c>
      <c r="CU188" s="235">
        <f t="shared" ca="1" si="406"/>
        <v>-6.5938365878537297E-12</v>
      </c>
      <c r="CV188" s="235">
        <f t="shared" ca="1" si="407"/>
        <v>-7.73070496506989E-12</v>
      </c>
      <c r="CW188" s="235">
        <f t="shared" ca="1" si="408"/>
        <v>-9.8907548817805946E-12</v>
      </c>
      <c r="CX188" s="235">
        <f t="shared" ca="1" si="409"/>
        <v>-1.5916157281026244E-11</v>
      </c>
      <c r="CY188" s="235">
        <f t="shared" ca="1" si="410"/>
        <v>-6.7529981606639922E-11</v>
      </c>
      <c r="CZ188" s="235">
        <f t="shared" ca="1" si="411"/>
        <v>-5.3887561080045998E-10</v>
      </c>
      <c r="DA188" s="38"/>
      <c r="DB188" s="236">
        <v>62.077500000000001</v>
      </c>
      <c r="DC188" s="236">
        <v>63.077500000000001</v>
      </c>
      <c r="DD188" s="236">
        <v>113.09400000000001</v>
      </c>
      <c r="DE188" s="236">
        <v>110.07450000000001</v>
      </c>
      <c r="DF188" s="401">
        <v>84.93</v>
      </c>
      <c r="DG188" s="236">
        <v>52.65</v>
      </c>
      <c r="DH188" s="492">
        <v>90.785000000000011</v>
      </c>
      <c r="DI188" s="236">
        <v>72.360000000000014</v>
      </c>
      <c r="DJ188" s="236">
        <v>46.453333333333333</v>
      </c>
      <c r="DK188" s="236">
        <v>113.35166475710767</v>
      </c>
      <c r="DL188" s="236">
        <v>104.13019767616002</v>
      </c>
      <c r="DM188" s="236">
        <v>93.3933345641492</v>
      </c>
      <c r="DN188" s="236">
        <v>68.43725891992959</v>
      </c>
      <c r="DO188" s="236">
        <v>23.611518327776469</v>
      </c>
      <c r="DP188" s="236">
        <v>-38.74036177268249</v>
      </c>
      <c r="DQ188" s="401">
        <v>-119.83234551254145</v>
      </c>
      <c r="DR188" s="401">
        <v>-221.17879683415083</v>
      </c>
      <c r="DS188" s="401">
        <v>-344.95915785184218</v>
      </c>
      <c r="DT188" s="401">
        <v>-493.68396690971605</v>
      </c>
      <c r="DU188" s="401">
        <v>-668.38004302694185</v>
      </c>
      <c r="DV188" s="401">
        <v>-870.45130766336888</v>
      </c>
      <c r="DW188" s="401">
        <v>-1103.3203277834712</v>
      </c>
      <c r="DX188" s="401">
        <v>-1370.3870575260542</v>
      </c>
      <c r="DY188" s="401">
        <v>-1675.5054432871457</v>
      </c>
      <c r="DZ188" s="401"/>
      <c r="EA188" s="989"/>
    </row>
    <row r="189" spans="1:131" s="76" customFormat="1">
      <c r="A189" s="76" t="s">
        <v>3890</v>
      </c>
      <c r="B189" s="80" t="s">
        <v>4315</v>
      </c>
      <c r="C189" s="87" t="s">
        <v>3380</v>
      </c>
      <c r="D189" s="219"/>
      <c r="E189" s="219"/>
      <c r="F189" s="311">
        <f>mamiabc!F32*Model!$AV189/mamiabc!$AV32</f>
        <v>7.6848337155963307E-3</v>
      </c>
      <c r="G189" s="311">
        <f>mamiabc!G32*Model!$AV189/mamiabc!$AV32</f>
        <v>4.039463876146788E-3</v>
      </c>
      <c r="H189" s="311">
        <f>mamiabc!H32*Model!$AV189/mamiabc!$AV32</f>
        <v>1.0570567658051439E-2</v>
      </c>
      <c r="I189" s="311">
        <f>mamiabc!I32*Model!$AV189/mamiabc!$AV32</f>
        <v>1.0885862318200804E-2</v>
      </c>
      <c r="J189" s="311">
        <f>mamiabc!J32*Model!$AV189/mamiabc!$AV32</f>
        <v>8.8654799935741161E-3</v>
      </c>
      <c r="K189" s="311">
        <f>mamiabc!K32*Model!$AV189/mamiabc!$AV32</f>
        <v>2.1934289328548885E-2</v>
      </c>
      <c r="L189" s="311">
        <f>mamiabc!L32*Model!$AV189/mamiabc!$AV32</f>
        <v>2.6802788785838205E-2</v>
      </c>
      <c r="M189" s="311">
        <f>mamiabc!M32*Model!$AV189/mamiabc!$AV32</f>
        <v>2.5279555666063904E-2</v>
      </c>
      <c r="N189" s="311">
        <f>mamiabc!N32*Model!$AV189/mamiabc!$AV32</f>
        <v>2.531943764763141E-2</v>
      </c>
      <c r="O189" s="311">
        <f>mamiabc!O32*Model!$AV189/mamiabc!$AV32</f>
        <v>2.7436078497576056E-2</v>
      </c>
      <c r="P189" s="311">
        <f>mamiabc!P32*Model!$AV189/mamiabc!$AV32</f>
        <v>2.8601867736752974E-2</v>
      </c>
      <c r="Q189" s="311">
        <f>mamiabc!Q32*Model!$AV189/mamiabc!$AV32</f>
        <v>2.9196457475423813E-2</v>
      </c>
      <c r="R189" s="311">
        <f>mamiabc!R32*Model!$AV189/mamiabc!$AV32</f>
        <v>3.1933438560831445E-2</v>
      </c>
      <c r="S189" s="311">
        <f>mamiabc!S32*Model!$AV189/mamiabc!$AV32</f>
        <v>4.0625184915481359E-2</v>
      </c>
      <c r="T189" s="311">
        <f>mamiabc!T32*Model!$AV189/mamiabc!$AV32</f>
        <v>7.0813772219036702E-2</v>
      </c>
      <c r="U189" s="311">
        <f>mamiabc!U32*Model!$AV189/mamiabc!$AV32</f>
        <v>8.053409898827929E-2</v>
      </c>
      <c r="V189" s="311">
        <f>mamiabc!V32*Model!$AV189/mamiabc!$AV32</f>
        <v>7.7154742322930514E-2</v>
      </c>
      <c r="W189" s="311">
        <f>mamiabc!W32*Model!$AV189/mamiabc!$AV32</f>
        <v>8.6158805766236898E-2</v>
      </c>
      <c r="X189" s="311">
        <f>mamiabc!X32*Model!$AV189/mamiabc!$AV32</f>
        <v>7.8720285333624684E-2</v>
      </c>
      <c r="Y189" s="311">
        <f>mamiabc!Y32*Model!$AV189/mamiabc!$AV32</f>
        <v>6.7981221330275232E-2</v>
      </c>
      <c r="Z189" s="311">
        <f>mamiabc!Z32*Model!$AV189/mamiabc!$AV32</f>
        <v>6.3153567877384506E-2</v>
      </c>
      <c r="AA189" s="311">
        <f>mamiabc!AA32*Model!$AV189/mamiabc!$AV32</f>
        <v>5.7537730861147614E-2</v>
      </c>
      <c r="AB189" s="311">
        <f>mamiabc!AB32*Model!$AV189/mamiabc!$AV32</f>
        <v>7.8030616259356159E-2</v>
      </c>
      <c r="AC189" s="311">
        <f>mamiabc!AC32*Model!$AV189/mamiabc!$AV32</f>
        <v>6.6700412704310291E-2</v>
      </c>
      <c r="AD189" s="311">
        <f>mamiabc!AD32*Model!$AV189/mamiabc!$AV32</f>
        <v>6.0394910372178486E-2</v>
      </c>
      <c r="AE189" s="311">
        <f>mamiabc!AE32*Model!$AV189/mamiabc!$AV32</f>
        <v>8.5616930975826497E-2</v>
      </c>
      <c r="AF189" s="311">
        <f>mamiabc!AF32*Model!$AV189/mamiabc!$AV32</f>
        <v>6.5124038060870748E-2</v>
      </c>
      <c r="AG189" s="311">
        <f>mamiabc!AG32*Model!$AV189/mamiabc!$AV32</f>
        <v>3.1724570705803166E-2</v>
      </c>
      <c r="AH189" s="311">
        <f>mamiabc!AH32*Model!$AV189/mamiabc!$AV32</f>
        <v>4.3842961582568805E-2</v>
      </c>
      <c r="AI189" s="311">
        <f>mamiabc!AI32*Model!$AV189/mamiabc!$AV32</f>
        <v>4.4926718680136798E-2</v>
      </c>
      <c r="AJ189" s="311">
        <f>mamiabc!AJ32*Model!$AV189/mamiabc!$AV32</f>
        <v>2.857181860014386E-3</v>
      </c>
      <c r="AK189" s="311">
        <f>mamiabc!AK32*Model!$AV189/mamiabc!$AV32</f>
        <v>3.2512757557726234E-3</v>
      </c>
      <c r="AL189" s="311">
        <f>mamiabc!AL32*Model!$AV189/mamiabc!$AV32</f>
        <v>4.9261754587155973E-3</v>
      </c>
      <c r="AM189" s="311">
        <f>mamiabc!AM32*Model!$AV189/mamiabc!$AV32</f>
        <v>8.4730221648281877E-3</v>
      </c>
      <c r="AN189" s="311">
        <f>mamiabc!AN32*Model!$AV189/mamiabc!$AV32</f>
        <v>1.4581479545716846E-2</v>
      </c>
      <c r="AO189" s="311">
        <f>mamiabc!AO32*Model!$AV189/mamiabc!$AV32</f>
        <v>1.1133156724615928E-2</v>
      </c>
      <c r="AP189" s="311">
        <f>mamiabc!AP32*Model!$AV189/mamiabc!$AV32</f>
        <v>1.674899655963303E-2</v>
      </c>
      <c r="AQ189" s="311">
        <f>mamiabc!AQ32*Model!$AV189/mamiabc!$AV32</f>
        <v>1.9113560779816512E-2</v>
      </c>
      <c r="AR189" s="311">
        <f>mamiabc!AR32*Model!$AV189/mamiabc!$AV32</f>
        <v>1.1527250573394494E-2</v>
      </c>
      <c r="AS189" s="311">
        <f>mamiabc!AS32*Model!$AV189/mamiabc!$AV32</f>
        <v>0.18118473337155966</v>
      </c>
      <c r="AT189" s="311">
        <f>mamiabc!AT32*Model!$AV189/mamiabc!$AV32</f>
        <v>0.78178404529816514</v>
      </c>
      <c r="AU189" s="311">
        <f>mamiabc!AU32*Model!$AV189/mamiabc!$AV32</f>
        <v>1.9575636037844037</v>
      </c>
      <c r="AV189" s="27">
        <f>DataInput!AV655*AV363</f>
        <v>1.2027749999999999</v>
      </c>
      <c r="AW189" s="27">
        <f>DataInput!AW655*AW363</f>
        <v>3.5288000000000004</v>
      </c>
      <c r="AX189" s="27">
        <f>DataInput!AX655*AX363</f>
        <v>2.4861999999999997</v>
      </c>
      <c r="AY189" s="27">
        <f>DataInput!AY655*AY363</f>
        <v>6.1053610000000011</v>
      </c>
      <c r="AZ189" s="27">
        <f>DataInput!AZ655*AZ363</f>
        <v>8.0904910000000019</v>
      </c>
      <c r="BA189" s="27">
        <f>DataInput!BA655*BA363</f>
        <v>34.638149999999982</v>
      </c>
      <c r="BB189" s="27">
        <f>DataInput!BB655*BB363</f>
        <v>29.086812500000004</v>
      </c>
      <c r="BC189" s="27">
        <f>DataInput!BC655*BC363</f>
        <v>40.091281999999993</v>
      </c>
      <c r="BD189" s="27">
        <f>DataInput!BD655*BD363</f>
        <v>30.620800000000006</v>
      </c>
      <c r="BE189" s="27">
        <f>DataInput!BE655*BE363</f>
        <v>41.768999999999991</v>
      </c>
      <c r="BF189" s="27">
        <f>DataInput!BF655*BF363</f>
        <v>-9.050249999999993</v>
      </c>
      <c r="BG189" s="27">
        <f>DataInput!BG655*BG363</f>
        <v>0</v>
      </c>
      <c r="BH189" s="27">
        <f>DataInput!BH655*BH363</f>
        <v>0</v>
      </c>
      <c r="BI189" s="27">
        <f>DataInput!BI655*BI363</f>
        <v>0</v>
      </c>
      <c r="BJ189" s="27">
        <f>DataInput!BJ655*BJ363</f>
        <v>0</v>
      </c>
      <c r="BK189" s="27">
        <f>DataInput!BK655*BK363</f>
        <v>0</v>
      </c>
      <c r="BL189" s="27">
        <f>DataInput!BL655*BL363</f>
        <v>0</v>
      </c>
      <c r="BM189" s="27">
        <f>DataInput!BM655*BM363</f>
        <v>0</v>
      </c>
      <c r="BN189" s="27">
        <f>DataInput!BN655*BN363</f>
        <v>3.35</v>
      </c>
      <c r="BO189" s="27">
        <f>DataInput!BO655*BO363</f>
        <v>6.7</v>
      </c>
      <c r="BP189" s="86">
        <f t="shared" ref="BP189:BU189" si="544">0.85*BP276*BP367/100</f>
        <v>170.94946475812495</v>
      </c>
      <c r="BQ189" s="86">
        <f t="shared" si="544"/>
        <v>183.33505719534915</v>
      </c>
      <c r="BR189" s="86">
        <f t="shared" si="544"/>
        <v>197.03780523604837</v>
      </c>
      <c r="BS189" s="86">
        <f t="shared" si="544"/>
        <v>211.37179789578121</v>
      </c>
      <c r="BT189" s="86">
        <f t="shared" si="544"/>
        <v>225.11134892927055</v>
      </c>
      <c r="BU189" s="86">
        <f t="shared" si="544"/>
        <v>239.31111048963041</v>
      </c>
      <c r="BV189" s="86">
        <f>0.85*BV276*BV367/100</f>
        <v>253.67980694532295</v>
      </c>
      <c r="BW189" s="86">
        <f t="shared" ref="BW189:BX189" si="545">0.85*BW276*BW367/100</f>
        <v>268.06029922126226</v>
      </c>
      <c r="BX189" s="86">
        <f t="shared" si="545"/>
        <v>282.6586474255102</v>
      </c>
      <c r="BY189" s="86">
        <f t="shared" ref="BY189:CD189" si="546">0.85*BY276*BY367/100</f>
        <v>297.39247523001575</v>
      </c>
      <c r="BZ189" s="86">
        <f t="shared" si="546"/>
        <v>312.25041117998285</v>
      </c>
      <c r="CA189" s="86">
        <f t="shared" si="546"/>
        <v>327.27063023475193</v>
      </c>
      <c r="CB189" s="86">
        <f t="shared" si="546"/>
        <v>342.43424319161329</v>
      </c>
      <c r="CC189" s="86">
        <f t="shared" si="546"/>
        <v>357.74394012176026</v>
      </c>
      <c r="CD189" s="86">
        <f t="shared" si="546"/>
        <v>373.20719060907038</v>
      </c>
      <c r="CE189" s="86"/>
      <c r="CF189" s="435"/>
      <c r="CG189" s="235">
        <f t="shared" si="430"/>
        <v>0</v>
      </c>
      <c r="CH189" s="235">
        <f t="shared" si="450"/>
        <v>0</v>
      </c>
      <c r="CI189" s="235" t="e">
        <f>BM189-#REF!</f>
        <v>#REF!</v>
      </c>
      <c r="CJ189" s="235">
        <f t="shared" si="395"/>
        <v>0</v>
      </c>
      <c r="CK189" s="235">
        <f t="shared" si="396"/>
        <v>0</v>
      </c>
      <c r="CL189" s="235">
        <f t="shared" si="397"/>
        <v>0</v>
      </c>
      <c r="CM189" s="235">
        <f t="shared" si="398"/>
        <v>0</v>
      </c>
      <c r="CN189" s="235">
        <f t="shared" si="399"/>
        <v>0</v>
      </c>
      <c r="CO189" s="235">
        <f t="shared" si="400"/>
        <v>0</v>
      </c>
      <c r="CP189" s="235">
        <f t="shared" si="401"/>
        <v>0</v>
      </c>
      <c r="CQ189" s="235">
        <f t="shared" si="402"/>
        <v>0</v>
      </c>
      <c r="CR189" s="235">
        <f t="shared" si="403"/>
        <v>0</v>
      </c>
      <c r="CS189" s="235">
        <f t="shared" si="404"/>
        <v>0</v>
      </c>
      <c r="CT189" s="235">
        <f t="shared" si="405"/>
        <v>0</v>
      </c>
      <c r="CU189" s="235">
        <f t="shared" si="406"/>
        <v>0</v>
      </c>
      <c r="CV189" s="235">
        <f t="shared" si="407"/>
        <v>0</v>
      </c>
      <c r="CW189" s="235">
        <f t="shared" si="408"/>
        <v>0</v>
      </c>
      <c r="CX189" s="235">
        <f t="shared" si="409"/>
        <v>0</v>
      </c>
      <c r="CY189" s="235">
        <f t="shared" si="410"/>
        <v>0</v>
      </c>
      <c r="CZ189" s="235">
        <f t="shared" si="411"/>
        <v>0</v>
      </c>
      <c r="DA189" s="38"/>
      <c r="DB189" s="236">
        <v>56.043999999999997</v>
      </c>
      <c r="DC189" s="236">
        <v>57.044000000000018</v>
      </c>
      <c r="DD189" s="236">
        <v>43.92</v>
      </c>
      <c r="DE189" s="236">
        <v>40.900500000000001</v>
      </c>
      <c r="DF189" s="401">
        <v>69.825000000000003</v>
      </c>
      <c r="DG189" s="236">
        <v>0</v>
      </c>
      <c r="DH189" s="492">
        <v>0</v>
      </c>
      <c r="DI189" s="236">
        <v>3.35</v>
      </c>
      <c r="DJ189" s="236">
        <v>6.7</v>
      </c>
      <c r="DK189" s="236">
        <v>170.94946475812495</v>
      </c>
      <c r="DL189" s="236">
        <v>183.33505719534915</v>
      </c>
      <c r="DM189" s="236">
        <v>197.03780523604837</v>
      </c>
      <c r="DN189" s="236">
        <v>211.37179789578121</v>
      </c>
      <c r="DO189" s="236">
        <v>225.11134892927055</v>
      </c>
      <c r="DP189" s="236">
        <v>239.31111048963041</v>
      </c>
      <c r="DQ189" s="401">
        <v>253.67980694532295</v>
      </c>
      <c r="DR189" s="401">
        <v>268.06029922126226</v>
      </c>
      <c r="DS189" s="401">
        <v>282.6586474255102</v>
      </c>
      <c r="DT189" s="401">
        <v>297.39247523001575</v>
      </c>
      <c r="DU189" s="401">
        <v>312.25041117998285</v>
      </c>
      <c r="DV189" s="401">
        <v>327.27063023475193</v>
      </c>
      <c r="DW189" s="401">
        <v>342.43424319161329</v>
      </c>
      <c r="DX189" s="401">
        <v>357.74394012176026</v>
      </c>
      <c r="DY189" s="401">
        <v>373.20719060907038</v>
      </c>
      <c r="DZ189" s="401"/>
      <c r="EA189" s="989"/>
    </row>
    <row r="190" spans="1:131" s="76" customFormat="1">
      <c r="A190" s="76" t="s">
        <v>2839</v>
      </c>
      <c r="B190" s="80" t="s">
        <v>4589</v>
      </c>
      <c r="C190" s="51" t="s">
        <v>921</v>
      </c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309"/>
      <c r="AU190" s="51"/>
      <c r="AV190" s="74">
        <f>DataInput!AV656*AV363</f>
        <v>0</v>
      </c>
      <c r="AW190" s="74">
        <f>DataInput!AW656*AW363</f>
        <v>0</v>
      </c>
      <c r="AX190" s="74">
        <f>DataInput!AX656*AX363</f>
        <v>11.3483</v>
      </c>
      <c r="AY190" s="74">
        <f>DataInput!AY656*AY363</f>
        <v>29.064957999999997</v>
      </c>
      <c r="AZ190" s="74">
        <f>DataInput!AZ656*AZ363</f>
        <v>67.376547999999985</v>
      </c>
      <c r="BA190" s="74">
        <f>DataInput!BA656*BA363</f>
        <v>208.91815000000003</v>
      </c>
      <c r="BB190" s="74">
        <f>DataInput!BB656*BB363</f>
        <v>86.096965000000012</v>
      </c>
      <c r="BC190" s="74">
        <f>DataInput!BC656*BC363</f>
        <v>104.13319999999999</v>
      </c>
      <c r="BD190" s="74">
        <f>DataInput!BD656*BD363</f>
        <v>169.50800000000001</v>
      </c>
      <c r="BE190" s="74">
        <f>DataInput!BE656*BE363</f>
        <v>122.85</v>
      </c>
      <c r="BF190" s="74">
        <f>DataInput!BF656*BF363</f>
        <v>218.02875</v>
      </c>
      <c r="BG190" s="74">
        <f>DataInput!BG656*BG363</f>
        <v>126.81900000000002</v>
      </c>
      <c r="BH190" s="74">
        <f>DataInput!BH656*BH363</f>
        <v>59.841000000000001</v>
      </c>
      <c r="BI190" s="74">
        <f>DataInput!BI656*BI363</f>
        <v>71.25</v>
      </c>
      <c r="BJ190" s="74">
        <f>DataInput!BJ656*BJ363</f>
        <v>397.71999999999997</v>
      </c>
      <c r="BK190" s="74">
        <f>DataInput!BK656*BK363</f>
        <v>904.47500000000002</v>
      </c>
      <c r="BL190" s="74">
        <f>DataInput!BL656*BL363</f>
        <v>732.31</v>
      </c>
      <c r="BM190" s="74">
        <f>DataInput!BM656*BM363</f>
        <v>498.81500000000005</v>
      </c>
      <c r="BN190" s="74">
        <f>DataInput!BN656*BN363</f>
        <v>273.02500000000003</v>
      </c>
      <c r="BO190" s="74">
        <f>DataInput!BO656*BO363</f>
        <v>-129.53333333333333</v>
      </c>
      <c r="BP190" s="96">
        <f>+BP191+BP162+BP169+SIM!X77+finsim!BO154</f>
        <v>-175.60113251613757</v>
      </c>
      <c r="BQ190" s="96">
        <f ca="1">+BQ191+BQ162+BQ169+SIM!Y77+finsim!BP154</f>
        <v>-383.91578452868225</v>
      </c>
      <c r="BR190" s="96">
        <f ca="1">+BR191+BR162+BR169+SIM!Z77+finsim!BQ154</f>
        <v>-506.71821950417825</v>
      </c>
      <c r="BS190" s="96">
        <f ca="1">+BS191+BS162+BS169+SIM!AA77+finsim!BR154</f>
        <v>-570.86073307490915</v>
      </c>
      <c r="BT190" s="96">
        <f ca="1">+BT191+BT162+BT169+SIM!AB77+finsim!BS154</f>
        <v>-702.73890235328304</v>
      </c>
      <c r="BU190" s="96">
        <f ca="1">+BU191+BU162+BU169+SIM!AC77+finsim!BT154</f>
        <v>-843.66327749648099</v>
      </c>
      <c r="BV190" s="96">
        <f ca="1">+BV191+BV162+BV169+SIM!AD77+finsim!BU154</f>
        <v>-1001.6908971152744</v>
      </c>
      <c r="BW190" s="96">
        <f ca="1">+BW191+BW162+BW169+SIM!AE77+finsim!BV154</f>
        <v>-1177.1333780727023</v>
      </c>
      <c r="BX190" s="96">
        <f ca="1">+BX191+BX162+BX169+SIM!AF77+finsim!BW154</f>
        <v>-1369.7754762785075</v>
      </c>
      <c r="BY190" s="96">
        <f ca="1">+BY191+BY162+BY169+SIM!AG77+finsim!BX154</f>
        <v>-1580.475246568097</v>
      </c>
      <c r="BZ190" s="96">
        <f ca="1">+BZ191+BZ162+BZ169+SIM!AH77+finsim!BY154</f>
        <v>-1601.1330996582269</v>
      </c>
      <c r="CA190" s="96">
        <f ca="1">+CA191+CA162+CA169+SIM!AI77+finsim!BZ154</f>
        <v>-1620.2906335699422</v>
      </c>
      <c r="CB190" s="96">
        <f ca="1">+CB191+CB162+CB169+SIM!AJ77+finsim!CA154</f>
        <v>-1637.7277205691694</v>
      </c>
      <c r="CC190" s="96">
        <f ca="1">+CC191+CC162+CC169+SIM!AK77+finsim!CB154</f>
        <v>-1652.81954737973</v>
      </c>
      <c r="CD190" s="96">
        <f ca="1">+CD191+CD162+CD169+SIM!AL77+finsim!CC154</f>
        <v>-1665.094357781782</v>
      </c>
      <c r="CE190" s="96"/>
      <c r="CF190" s="438"/>
      <c r="CG190" s="235">
        <f t="shared" si="430"/>
        <v>0</v>
      </c>
      <c r="CH190" s="235">
        <f t="shared" si="450"/>
        <v>0.33499999999992269</v>
      </c>
      <c r="CI190" s="235" t="e">
        <f>BM190-#REF!</f>
        <v>#REF!</v>
      </c>
      <c r="CJ190" s="235">
        <f t="shared" si="395"/>
        <v>0</v>
      </c>
      <c r="CK190" s="235">
        <f t="shared" si="396"/>
        <v>0</v>
      </c>
      <c r="CL190" s="235">
        <f t="shared" si="397"/>
        <v>0</v>
      </c>
      <c r="CM190" s="235">
        <f t="shared" ca="1" si="398"/>
        <v>0</v>
      </c>
      <c r="CN190" s="235">
        <f t="shared" ca="1" si="399"/>
        <v>0</v>
      </c>
      <c r="CO190" s="235">
        <f t="shared" ca="1" si="400"/>
        <v>0</v>
      </c>
      <c r="CP190" s="235">
        <f t="shared" ca="1" si="401"/>
        <v>0</v>
      </c>
      <c r="CQ190" s="235">
        <f t="shared" ca="1" si="402"/>
        <v>0</v>
      </c>
      <c r="CR190" s="235">
        <f t="shared" ca="1" si="403"/>
        <v>0</v>
      </c>
      <c r="CS190" s="235">
        <f t="shared" ca="1" si="404"/>
        <v>0</v>
      </c>
      <c r="CT190" s="235">
        <f t="shared" ca="1" si="405"/>
        <v>0</v>
      </c>
      <c r="CU190" s="235">
        <f t="shared" ca="1" si="406"/>
        <v>0</v>
      </c>
      <c r="CV190" s="235">
        <f t="shared" ca="1" si="407"/>
        <v>0</v>
      </c>
      <c r="CW190" s="235">
        <f t="shared" ca="1" si="408"/>
        <v>-1.8189894035458565E-12</v>
      </c>
      <c r="CX190" s="235">
        <f t="shared" ca="1" si="409"/>
        <v>-1.0913936421275139E-11</v>
      </c>
      <c r="CY190" s="235">
        <f t="shared" ca="1" si="410"/>
        <v>-4.9112713895738125E-11</v>
      </c>
      <c r="CZ190" s="235">
        <f t="shared" ca="1" si="411"/>
        <v>6.5483618527650833E-11</v>
      </c>
      <c r="DA190" s="38"/>
      <c r="DB190" s="236">
        <v>150.93450000000001</v>
      </c>
      <c r="DC190" s="236">
        <v>151.93450000000001</v>
      </c>
      <c r="DD190" s="236">
        <v>41.174999999999997</v>
      </c>
      <c r="DE190" s="236">
        <v>0</v>
      </c>
      <c r="DF190" s="401">
        <v>0</v>
      </c>
      <c r="DG190" s="236">
        <v>904.47500000000002</v>
      </c>
      <c r="DH190" s="492">
        <v>731.97500000000002</v>
      </c>
      <c r="DI190" s="236">
        <v>273.02500000000003</v>
      </c>
      <c r="DJ190" s="236">
        <v>-129.53333333333333</v>
      </c>
      <c r="DK190" s="236">
        <v>-175.60113251613757</v>
      </c>
      <c r="DL190" s="236">
        <v>-383.91578452868225</v>
      </c>
      <c r="DM190" s="236">
        <v>-506.71821950417825</v>
      </c>
      <c r="DN190" s="236">
        <v>-570.86073307490915</v>
      </c>
      <c r="DO190" s="236">
        <v>-702.73890235328304</v>
      </c>
      <c r="DP190" s="236">
        <v>-843.66327749648099</v>
      </c>
      <c r="DQ190" s="401">
        <v>-1001.6908971152744</v>
      </c>
      <c r="DR190" s="401">
        <v>-1177.1333780727014</v>
      </c>
      <c r="DS190" s="401">
        <v>-1369.7754762785066</v>
      </c>
      <c r="DT190" s="401">
        <v>-1580.4752465680961</v>
      </c>
      <c r="DU190" s="401">
        <v>-1601.133099658226</v>
      </c>
      <c r="DV190" s="401">
        <v>-1620.2906335699404</v>
      </c>
      <c r="DW190" s="401">
        <v>-1637.7277205691585</v>
      </c>
      <c r="DX190" s="401">
        <v>-1652.8195473796809</v>
      </c>
      <c r="DY190" s="401">
        <v>-1665.0943577818475</v>
      </c>
      <c r="DZ190" s="401"/>
      <c r="EA190" s="989"/>
    </row>
    <row r="191" spans="1:131" s="76" customFormat="1">
      <c r="A191" s="3" t="s">
        <v>2848</v>
      </c>
      <c r="B191" s="80" t="s">
        <v>1918</v>
      </c>
      <c r="C191" s="351" t="s">
        <v>3735</v>
      </c>
      <c r="D191" s="207"/>
      <c r="E191" s="207"/>
      <c r="F191" s="76">
        <f t="shared" ref="F191:BC191" si="547">F190-F169-F162</f>
        <v>0</v>
      </c>
      <c r="G191" s="76">
        <f t="shared" si="547"/>
        <v>0</v>
      </c>
      <c r="H191" s="76">
        <f t="shared" si="547"/>
        <v>0</v>
      </c>
      <c r="I191" s="76">
        <f t="shared" si="547"/>
        <v>0</v>
      </c>
      <c r="J191" s="76">
        <f t="shared" si="547"/>
        <v>0</v>
      </c>
      <c r="K191" s="76">
        <f t="shared" si="547"/>
        <v>0</v>
      </c>
      <c r="L191" s="76">
        <f t="shared" si="547"/>
        <v>0</v>
      </c>
      <c r="M191" s="76">
        <f t="shared" si="547"/>
        <v>0</v>
      </c>
      <c r="N191" s="76">
        <f t="shared" si="547"/>
        <v>0</v>
      </c>
      <c r="O191" s="76">
        <f t="shared" si="547"/>
        <v>0</v>
      </c>
      <c r="P191" s="76">
        <f t="shared" si="547"/>
        <v>0</v>
      </c>
      <c r="Q191" s="76">
        <f t="shared" si="547"/>
        <v>0</v>
      </c>
      <c r="R191" s="76">
        <f t="shared" si="547"/>
        <v>0</v>
      </c>
      <c r="S191" s="76">
        <f t="shared" si="547"/>
        <v>0</v>
      </c>
      <c r="T191" s="76">
        <f t="shared" si="547"/>
        <v>0</v>
      </c>
      <c r="U191" s="76">
        <f t="shared" si="547"/>
        <v>0</v>
      </c>
      <c r="V191" s="76">
        <f t="shared" si="547"/>
        <v>0</v>
      </c>
      <c r="W191" s="76">
        <f t="shared" si="547"/>
        <v>0</v>
      </c>
      <c r="X191" s="76">
        <f t="shared" si="547"/>
        <v>0</v>
      </c>
      <c r="Y191" s="76">
        <f t="shared" si="547"/>
        <v>0</v>
      </c>
      <c r="Z191" s="76">
        <f t="shared" si="547"/>
        <v>0</v>
      </c>
      <c r="AA191" s="76">
        <f t="shared" si="547"/>
        <v>0</v>
      </c>
      <c r="AB191" s="76">
        <f t="shared" si="547"/>
        <v>0</v>
      </c>
      <c r="AC191" s="76">
        <f t="shared" si="547"/>
        <v>0</v>
      </c>
      <c r="AD191" s="76">
        <f t="shared" si="547"/>
        <v>0</v>
      </c>
      <c r="AE191" s="76">
        <f t="shared" si="547"/>
        <v>0</v>
      </c>
      <c r="AF191" s="76">
        <f t="shared" si="547"/>
        <v>0</v>
      </c>
      <c r="AG191" s="76">
        <f t="shared" si="547"/>
        <v>0</v>
      </c>
      <c r="AH191" s="76">
        <f t="shared" si="547"/>
        <v>0</v>
      </c>
      <c r="AI191" s="76">
        <f t="shared" si="547"/>
        <v>0</v>
      </c>
      <c r="AJ191" s="76">
        <f t="shared" si="547"/>
        <v>0</v>
      </c>
      <c r="AK191" s="76">
        <f t="shared" si="547"/>
        <v>0</v>
      </c>
      <c r="AL191" s="76">
        <f t="shared" si="547"/>
        <v>0</v>
      </c>
      <c r="AM191" s="76">
        <f t="shared" si="547"/>
        <v>0</v>
      </c>
      <c r="AN191" s="76">
        <f t="shared" si="547"/>
        <v>0</v>
      </c>
      <c r="AO191" s="76">
        <f t="shared" si="547"/>
        <v>0</v>
      </c>
      <c r="AP191" s="76">
        <f t="shared" si="547"/>
        <v>0</v>
      </c>
      <c r="AQ191" s="76">
        <f t="shared" si="547"/>
        <v>0</v>
      </c>
      <c r="AR191" s="76">
        <f t="shared" si="547"/>
        <v>0</v>
      </c>
      <c r="AS191" s="76">
        <f t="shared" si="547"/>
        <v>0</v>
      </c>
      <c r="AT191" s="76">
        <f t="shared" si="547"/>
        <v>0</v>
      </c>
      <c r="AU191" s="76">
        <f t="shared" si="547"/>
        <v>0</v>
      </c>
      <c r="AV191" s="76">
        <f t="shared" si="547"/>
        <v>-4.3090564646850584</v>
      </c>
      <c r="AW191" s="76">
        <f t="shared" si="547"/>
        <v>-12.724089173582721</v>
      </c>
      <c r="AX191" s="76">
        <f t="shared" si="547"/>
        <v>-9.4486916540800063</v>
      </c>
      <c r="AY191" s="76">
        <f t="shared" si="547"/>
        <v>-16.934122860072193</v>
      </c>
      <c r="AZ191" s="76">
        <f t="shared" si="547"/>
        <v>-103.04683502434334</v>
      </c>
      <c r="BA191" s="76">
        <f t="shared" si="547"/>
        <v>-20.946569898269999</v>
      </c>
      <c r="BB191" s="76">
        <f t="shared" si="547"/>
        <v>-121.40514396006708</v>
      </c>
      <c r="BC191" s="76">
        <f t="shared" si="547"/>
        <v>-360.04108456351588</v>
      </c>
      <c r="BD191" s="76">
        <f t="shared" ref="BD191:BM191" si="548">BD190-BD169-BD162</f>
        <v>-301.61873817705612</v>
      </c>
      <c r="BE191" s="76">
        <f t="shared" si="548"/>
        <v>-343.36920745940819</v>
      </c>
      <c r="BF191" s="76">
        <f t="shared" si="548"/>
        <v>-495.55306250664063</v>
      </c>
      <c r="BG191" s="76">
        <f t="shared" si="548"/>
        <v>-546.96346614177889</v>
      </c>
      <c r="BH191" s="76">
        <f t="shared" si="548"/>
        <v>-835.50526417920628</v>
      </c>
      <c r="BI191" s="76">
        <f t="shared" si="548"/>
        <v>-1015.4996527446601</v>
      </c>
      <c r="BJ191" s="76">
        <f t="shared" si="548"/>
        <v>-1450.1834245185435</v>
      </c>
      <c r="BK191" s="76">
        <f t="shared" si="548"/>
        <v>-1328.9613582505963</v>
      </c>
      <c r="BL191" s="76">
        <f t="shared" si="548"/>
        <v>-1781.6465410293963</v>
      </c>
      <c r="BM191" s="76">
        <f t="shared" si="548"/>
        <v>-1008.7945396494997</v>
      </c>
      <c r="BN191" s="76">
        <f>BN190-BN169-BN162</f>
        <v>-578.01220147539357</v>
      </c>
      <c r="BO191" s="76">
        <f>BO190-BO169-BO162</f>
        <v>-671.54593508705807</v>
      </c>
      <c r="BP191" s="96">
        <f t="shared" ref="BP191:BU191" si="549">BO191*BP363/BO363</f>
        <v>-841.93818727332655</v>
      </c>
      <c r="BQ191" s="96">
        <f t="shared" si="549"/>
        <v>-841.93818727332655</v>
      </c>
      <c r="BR191" s="96">
        <f t="shared" si="549"/>
        <v>-841.93818727332655</v>
      </c>
      <c r="BS191" s="96">
        <f t="shared" si="549"/>
        <v>-841.93818727332655</v>
      </c>
      <c r="BT191" s="96">
        <f t="shared" si="549"/>
        <v>-841.93818727332655</v>
      </c>
      <c r="BU191" s="96">
        <f t="shared" si="549"/>
        <v>-841.93818727332655</v>
      </c>
      <c r="BV191" s="96">
        <f t="shared" ref="BV191:BX191" si="550">BU191*BV363/BU363</f>
        <v>-841.93818727332655</v>
      </c>
      <c r="BW191" s="96">
        <f t="shared" si="550"/>
        <v>-841.93818727332655</v>
      </c>
      <c r="BX191" s="96">
        <f t="shared" si="550"/>
        <v>-841.93818727332655</v>
      </c>
      <c r="BY191" s="96">
        <f t="shared" ref="BY191" si="551">BX191*BY363/BX363</f>
        <v>-841.93818727332655</v>
      </c>
      <c r="BZ191" s="96">
        <f t="shared" ref="BZ191" si="552">BY191*BZ363/BY363</f>
        <v>-841.93818727332655</v>
      </c>
      <c r="CA191" s="96">
        <f t="shared" ref="CA191" si="553">BZ191*CA363/BZ363</f>
        <v>-841.93818727332655</v>
      </c>
      <c r="CB191" s="96">
        <f t="shared" ref="CB191" si="554">CA191*CB363/CA363</f>
        <v>-841.93818727332655</v>
      </c>
      <c r="CC191" s="96">
        <f t="shared" ref="CC191" si="555">CB191*CC363/CB363</f>
        <v>-841.93818727332655</v>
      </c>
      <c r="CD191" s="96">
        <f t="shared" ref="CD191" si="556">CC191*CD363/CC363</f>
        <v>-841.93818727332655</v>
      </c>
      <c r="CE191" s="96"/>
      <c r="CF191" s="435"/>
      <c r="CG191" s="235">
        <f t="shared" si="430"/>
        <v>998.17497803815968</v>
      </c>
      <c r="CH191" s="235">
        <f t="shared" si="450"/>
        <v>1274.191040898922</v>
      </c>
      <c r="CI191" s="235" t="e">
        <f>BM191-#REF!</f>
        <v>#REF!</v>
      </c>
      <c r="CJ191" s="235">
        <f t="shared" si="395"/>
        <v>0</v>
      </c>
      <c r="CK191" s="235">
        <f t="shared" si="396"/>
        <v>0</v>
      </c>
      <c r="CL191" s="235">
        <f t="shared" si="397"/>
        <v>0</v>
      </c>
      <c r="CM191" s="235">
        <f t="shared" si="398"/>
        <v>0</v>
      </c>
      <c r="CN191" s="235">
        <f t="shared" si="399"/>
        <v>0</v>
      </c>
      <c r="CO191" s="235">
        <f t="shared" si="400"/>
        <v>0</v>
      </c>
      <c r="CP191" s="235">
        <f t="shared" si="401"/>
        <v>0</v>
      </c>
      <c r="CQ191" s="235">
        <f t="shared" si="402"/>
        <v>0</v>
      </c>
      <c r="CR191" s="235">
        <f t="shared" si="403"/>
        <v>0</v>
      </c>
      <c r="CS191" s="235">
        <f t="shared" si="404"/>
        <v>0</v>
      </c>
      <c r="CT191" s="235">
        <f t="shared" si="405"/>
        <v>0</v>
      </c>
      <c r="CU191" s="235">
        <f t="shared" si="406"/>
        <v>0</v>
      </c>
      <c r="CV191" s="235">
        <f t="shared" si="407"/>
        <v>0</v>
      </c>
      <c r="CW191" s="235">
        <f t="shared" si="408"/>
        <v>0</v>
      </c>
      <c r="CX191" s="235">
        <f t="shared" si="409"/>
        <v>0</v>
      </c>
      <c r="CY191" s="235">
        <f t="shared" si="410"/>
        <v>0</v>
      </c>
      <c r="CZ191" s="235">
        <f t="shared" si="411"/>
        <v>0</v>
      </c>
      <c r="DA191" s="38"/>
      <c r="DB191" s="236">
        <v>-556.28662425945595</v>
      </c>
      <c r="DC191" s="236">
        <v>-555.28662425945595</v>
      </c>
      <c r="DD191" s="236">
        <v>-730.72542639461108</v>
      </c>
      <c r="DE191" s="236">
        <v>-1080.8790672281284</v>
      </c>
      <c r="DF191" s="401">
        <v>-1504.6604443787262</v>
      </c>
      <c r="DG191" s="236">
        <v>-2327.136336288756</v>
      </c>
      <c r="DH191" s="492">
        <v>-3055.8375819283183</v>
      </c>
      <c r="DI191" s="236">
        <v>-578.01220147539357</v>
      </c>
      <c r="DJ191" s="236">
        <v>-671.54593508705807</v>
      </c>
      <c r="DK191" s="236">
        <v>-841.93818727332655</v>
      </c>
      <c r="DL191" s="236">
        <v>-841.93818727332655</v>
      </c>
      <c r="DM191" s="236">
        <v>-841.93818727332655</v>
      </c>
      <c r="DN191" s="236">
        <v>-841.93818727332655</v>
      </c>
      <c r="DO191" s="236">
        <v>-841.93818727332655</v>
      </c>
      <c r="DP191" s="236">
        <v>-841.93818727332655</v>
      </c>
      <c r="DQ191" s="401">
        <v>-841.93818727332655</v>
      </c>
      <c r="DR191" s="401">
        <v>-841.93818727332655</v>
      </c>
      <c r="DS191" s="401">
        <v>-841.93818727332655</v>
      </c>
      <c r="DT191" s="401">
        <v>-841.93818727332655</v>
      </c>
      <c r="DU191" s="401">
        <v>-841.93818727332655</v>
      </c>
      <c r="DV191" s="401">
        <v>-841.93818727332655</v>
      </c>
      <c r="DW191" s="401">
        <v>-841.93818727332655</v>
      </c>
      <c r="DX191" s="401">
        <v>-841.93818727332655</v>
      </c>
      <c r="DY191" s="401">
        <v>-841.93818727332655</v>
      </c>
      <c r="DZ191" s="401"/>
      <c r="EA191" s="989"/>
    </row>
    <row r="192" spans="1:131" s="19" customFormat="1">
      <c r="A192" s="133" t="s">
        <v>2062</v>
      </c>
      <c r="B192" s="133" t="s">
        <v>2062</v>
      </c>
      <c r="D192" s="218"/>
      <c r="E192" s="218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46"/>
      <c r="AV192" s="76"/>
      <c r="AW192" s="76"/>
      <c r="AX192" s="76"/>
      <c r="AY192" s="76"/>
      <c r="AZ192" s="76"/>
      <c r="BA192" s="80"/>
      <c r="BB192" s="80"/>
      <c r="BC192" s="80"/>
      <c r="BD192" s="80"/>
      <c r="BE192" s="80"/>
      <c r="BF192" s="80"/>
      <c r="BG192" s="80"/>
      <c r="BH192" s="80"/>
      <c r="BI192" s="80"/>
      <c r="BJ192" s="80"/>
      <c r="BK192" s="80"/>
      <c r="BL192" s="80"/>
      <c r="BM192" s="80"/>
      <c r="BN192" s="80"/>
      <c r="BO192" s="80"/>
      <c r="BP192" s="80"/>
      <c r="BQ192" s="80"/>
      <c r="BR192" s="80"/>
      <c r="BS192" s="80"/>
      <c r="BT192" s="80"/>
      <c r="BU192" s="80"/>
      <c r="BV192" s="80"/>
      <c r="BW192" s="80"/>
      <c r="BX192" s="80"/>
      <c r="BY192" s="80"/>
      <c r="BZ192" s="80"/>
      <c r="CA192" s="80"/>
      <c r="CB192" s="80"/>
      <c r="CC192" s="80"/>
      <c r="CD192" s="80"/>
      <c r="CE192" s="80"/>
      <c r="CF192" s="435"/>
      <c r="CG192" s="235">
        <f t="shared" si="430"/>
        <v>0</v>
      </c>
      <c r="CH192" s="235">
        <f t="shared" si="450"/>
        <v>0</v>
      </c>
      <c r="CI192" s="235" t="e">
        <f>BM192-#REF!</f>
        <v>#REF!</v>
      </c>
      <c r="CJ192" s="235">
        <f t="shared" si="395"/>
        <v>0</v>
      </c>
      <c r="CK192" s="235">
        <f t="shared" si="396"/>
        <v>0</v>
      </c>
      <c r="CL192" s="235">
        <f t="shared" si="397"/>
        <v>0</v>
      </c>
      <c r="CM192" s="235">
        <f t="shared" si="398"/>
        <v>0</v>
      </c>
      <c r="CN192" s="235">
        <f t="shared" si="399"/>
        <v>0</v>
      </c>
      <c r="CO192" s="235">
        <f t="shared" si="400"/>
        <v>0</v>
      </c>
      <c r="CP192" s="235">
        <f t="shared" si="401"/>
        <v>0</v>
      </c>
      <c r="CQ192" s="235">
        <f t="shared" si="402"/>
        <v>0</v>
      </c>
      <c r="CR192" s="235">
        <f t="shared" si="403"/>
        <v>0</v>
      </c>
      <c r="CS192" s="235">
        <f t="shared" si="404"/>
        <v>0</v>
      </c>
      <c r="CT192" s="235">
        <f t="shared" si="405"/>
        <v>0</v>
      </c>
      <c r="CU192" s="235">
        <f t="shared" si="406"/>
        <v>0</v>
      </c>
      <c r="CV192" s="235">
        <f t="shared" si="407"/>
        <v>0</v>
      </c>
      <c r="CW192" s="235">
        <f t="shared" si="408"/>
        <v>0</v>
      </c>
      <c r="CX192" s="235">
        <f t="shared" si="409"/>
        <v>0</v>
      </c>
      <c r="CY192" s="235">
        <f t="shared" si="410"/>
        <v>0</v>
      </c>
      <c r="CZ192" s="235">
        <f t="shared" si="411"/>
        <v>0</v>
      </c>
      <c r="DA192" s="38"/>
      <c r="DB192" s="236"/>
      <c r="DC192" s="236"/>
      <c r="DD192" s="236"/>
      <c r="DE192" s="236"/>
      <c r="DF192" s="401"/>
      <c r="DG192" s="236"/>
      <c r="DH192" s="492"/>
      <c r="DI192" s="236"/>
      <c r="DJ192" s="236"/>
      <c r="DK192" s="236"/>
      <c r="DL192" s="236"/>
      <c r="DM192" s="236"/>
      <c r="DN192" s="236"/>
      <c r="DO192" s="236"/>
      <c r="DP192" s="236"/>
      <c r="DQ192" s="1084"/>
      <c r="DR192" s="1084"/>
      <c r="DS192" s="1084"/>
      <c r="DT192" s="1084"/>
      <c r="DU192" s="1084"/>
      <c r="DV192" s="1084"/>
      <c r="DW192" s="1084"/>
      <c r="DX192" s="1084"/>
      <c r="DY192" s="1084"/>
      <c r="DZ192" s="1084"/>
      <c r="EA192" s="988"/>
    </row>
    <row r="193" spans="1:131" s="76" customFormat="1">
      <c r="A193" s="76" t="s">
        <v>3898</v>
      </c>
      <c r="B193" s="80" t="s">
        <v>571</v>
      </c>
      <c r="C193" s="51" t="s">
        <v>397</v>
      </c>
      <c r="D193" s="207"/>
      <c r="E193" s="207"/>
      <c r="F193" s="295">
        <f>mamiabc!F25*Model!$AV193/mamiabc!$AV25</f>
        <v>0</v>
      </c>
      <c r="G193" s="295">
        <f>mamiabc!G25*Model!$AV193/mamiabc!$AV25</f>
        <v>0</v>
      </c>
      <c r="H193" s="295">
        <f>mamiabc!H25*Model!$AV193/mamiabc!$AV25</f>
        <v>0</v>
      </c>
      <c r="I193" s="295">
        <f>mamiabc!I25*Model!$AV193/mamiabc!$AV25</f>
        <v>0</v>
      </c>
      <c r="J193" s="295">
        <f>mamiabc!J25*Model!$AV193/mamiabc!$AV25</f>
        <v>0</v>
      </c>
      <c r="K193" s="295">
        <f>mamiabc!K25*Model!$AV193/mamiabc!$AV25</f>
        <v>0</v>
      </c>
      <c r="L193" s="295">
        <f>mamiabc!L25*Model!$AV193/mamiabc!$AV25</f>
        <v>0</v>
      </c>
      <c r="M193" s="295">
        <f>mamiabc!M25*Model!$AV193/mamiabc!$AV25</f>
        <v>0</v>
      </c>
      <c r="N193" s="295">
        <f>mamiabc!N25*Model!$AV193/mamiabc!$AV25</f>
        <v>0</v>
      </c>
      <c r="O193" s="295">
        <f>mamiabc!O25*Model!$AV193/mamiabc!$AV25</f>
        <v>0</v>
      </c>
      <c r="P193" s="295">
        <f>mamiabc!P25*Model!$AV193/mamiabc!$AV25</f>
        <v>0</v>
      </c>
      <c r="Q193" s="295">
        <f>mamiabc!Q25*Model!$AV193/mamiabc!$AV25</f>
        <v>0</v>
      </c>
      <c r="R193" s="295">
        <f>mamiabc!R25*Model!$AV193/mamiabc!$AV25</f>
        <v>0</v>
      </c>
      <c r="S193" s="295">
        <f>mamiabc!S25*Model!$AV193/mamiabc!$AV25</f>
        <v>0</v>
      </c>
      <c r="T193" s="295">
        <f>mamiabc!T25*Model!$AV193/mamiabc!$AV25</f>
        <v>0</v>
      </c>
      <c r="U193" s="295">
        <f>mamiabc!U25*Model!$AV193/mamiabc!$AV25</f>
        <v>0</v>
      </c>
      <c r="V193" s="295">
        <f>mamiabc!V25*Model!$AV193/mamiabc!$AV25</f>
        <v>0</v>
      </c>
      <c r="W193" s="295">
        <f>mamiabc!W25*Model!$AV193/mamiabc!$AV25</f>
        <v>0</v>
      </c>
      <c r="X193" s="295">
        <f>mamiabc!X25*Model!$AV193/mamiabc!$AV25</f>
        <v>1.738686837078509E-4</v>
      </c>
      <c r="Y193" s="295">
        <f>mamiabc!Y25*Model!$AV193/mamiabc!$AV25</f>
        <v>1.738686837078509E-4</v>
      </c>
      <c r="Z193" s="295">
        <f>mamiabc!Z25*Model!$AV193/mamiabc!$AV25</f>
        <v>1.5015931489276345E-4</v>
      </c>
      <c r="AA193" s="295">
        <f>mamiabc!AA25*Model!$AV193/mamiabc!$AV25</f>
        <v>3.0558739795148412E-4</v>
      </c>
      <c r="AB193" s="295">
        <f>mamiabc!AB25*Model!$AV193/mamiabc!$AV25</f>
        <v>3.1875926811968E-4</v>
      </c>
      <c r="AC193" s="295">
        <f>mamiabc!AC25*Model!$AV193/mamiabc!$AV25</f>
        <v>5.0579983455740108E-4</v>
      </c>
      <c r="AD193" s="295">
        <f>mamiabc!AD25*Model!$AV193/mamiabc!$AV25</f>
        <v>6.0327164365403248E-4</v>
      </c>
      <c r="AE193" s="295">
        <f>mamiabc!AE25*Model!$AV193/mamiabc!$AV25</f>
        <v>7.4552783142120863E-4</v>
      </c>
      <c r="AF193" s="295">
        <f>mamiabc!AF25*Model!$AV193/mamiabc!$AV25</f>
        <v>9.0359027343955942E-4</v>
      </c>
      <c r="AG193" s="295">
        <f>mamiabc!AG25*Model!$AV193/mamiabc!$AV25</f>
        <v>7.0601222091662104E-4</v>
      </c>
      <c r="AH193" s="295">
        <f>mamiabc!AH25*Model!$AV193/mamiabc!$AV25</f>
        <v>5.426810609790103E-4</v>
      </c>
      <c r="AI193" s="295">
        <f>mamiabc!AI25*Model!$AV193/mamiabc!$AV25</f>
        <v>4.6101545588685632E-4</v>
      </c>
      <c r="AJ193" s="295">
        <f>mamiabc!AJ25*Model!$AV193/mamiabc!$AV25</f>
        <v>8.5287859339068408E-4</v>
      </c>
      <c r="AK193" s="295">
        <f>mamiabc!AK25*Model!$AV193/mamiabc!$AV25</f>
        <v>2.4762852623515402E-3</v>
      </c>
      <c r="AL193" s="295">
        <f>mamiabc!AL25*Model!$AV193/mamiabc!$AV25</f>
        <v>6.5628055244825283E-3</v>
      </c>
      <c r="AM193" s="295">
        <f>mamiabc!AM25*Model!$AV193/mamiabc!$AV25</f>
        <v>1.7239344319292509E-2</v>
      </c>
      <c r="AN193" s="295">
        <f>mamiabc!AN25*Model!$AV193/mamiabc!$AV25</f>
        <v>2.5043677393948572E-2</v>
      </c>
      <c r="AO193" s="295">
        <f>mamiabc!AO25*Model!$AV193/mamiabc!$AV25</f>
        <v>3.1543467932620341E-2</v>
      </c>
      <c r="AP193" s="295">
        <f>mamiabc!AP25*Model!$AV193/mamiabc!$AV25</f>
        <v>5.1596849822856949E-2</v>
      </c>
      <c r="AQ193" s="295">
        <f>mamiabc!AQ25*Model!$AV193/mamiabc!$AV25</f>
        <v>8.5227268736294701E-2</v>
      </c>
      <c r="AR193" s="295">
        <f>mamiabc!AR25*Model!$AV193/mamiabc!$AV25</f>
        <v>0.12583614446484265</v>
      </c>
      <c r="AS193" s="295">
        <f>mamiabc!AS25*Model!$AV193/mamiabc!$AV25</f>
        <v>0.21937486327726891</v>
      </c>
      <c r="AT193" s="295">
        <f>mamiabc!AT25*Model!$AV193/mamiabc!$AV25</f>
        <v>0.72855194524711653</v>
      </c>
      <c r="AU193" s="295">
        <f>mamiabc!AU25*Model!$AV193/mamiabc!$AV25</f>
        <v>1.585643627170449</v>
      </c>
      <c r="AV193" s="74">
        <f>(DataInput!AV660+DataInput!AV661+DataInput!AV662)*AV363</f>
        <v>1.44333</v>
      </c>
      <c r="AW193" s="74">
        <f>(DataInput!AW660+DataInput!AW661+DataInput!AW662)*AW363</f>
        <v>1.5639000000000001</v>
      </c>
      <c r="AX193" s="74">
        <f>(DataInput!AX660+DataInput!AX661+DataInput!AX662)*AX363</f>
        <v>0.5213000000000001</v>
      </c>
      <c r="AY193" s="74">
        <f>(DataInput!AY660+DataInput!AY661+DataInput!AY662)*AY363</f>
        <v>1.375856</v>
      </c>
      <c r="AZ193" s="74">
        <f>(DataInput!AZ660+DataInput!AZ661+DataInput!AZ662)*AZ363</f>
        <v>1.5915719999999998</v>
      </c>
      <c r="BA193" s="74">
        <f>(DataInput!BA660+DataInput!BA661+DataInput!BA662)*BA363</f>
        <v>4.1391499999999999</v>
      </c>
      <c r="BB193" s="74">
        <f>(DataInput!BB660+DataInput!BB661+DataInput!BB662)*BB363</f>
        <v>30.017590500000004</v>
      </c>
      <c r="BC193" s="74">
        <f>(DataInput!BC660+DataInput!BC661+DataInput!BC662)*BC363</f>
        <v>104.1332</v>
      </c>
      <c r="BD193" s="74">
        <f>(DataInput!BD660+DataInput!BD661+DataInput!BD662)*BD363</f>
        <v>190.28640000000001</v>
      </c>
      <c r="BE193" s="74">
        <f>(DataInput!BE660+DataInput!BE661+DataInput!BE662)*BE363</f>
        <v>138.684</v>
      </c>
      <c r="BF193" s="74">
        <f>(DataInput!BF660+DataInput!BF661+DataInput!BF662)*BF363</f>
        <v>201.57375000000002</v>
      </c>
      <c r="BG193" s="74">
        <f>(DataInput!BG660+DataInput!BG661+DataInput!BG662)*BG363</f>
        <v>383.75100000000003</v>
      </c>
      <c r="BH193" s="74">
        <f>(DataInput!BH660+DataInput!BH661+DataInput!BH662)*BH363</f>
        <v>387.04500000000002</v>
      </c>
      <c r="BI193" s="74">
        <f>(DataInput!BI660+DataInput!BI661+DataInput!BI662)*BI363</f>
        <v>419.52</v>
      </c>
      <c r="BJ193" s="74">
        <f>(DataInput!BJ660+DataInput!BJ661+DataInput!BJ662)*BJ363</f>
        <v>432.49</v>
      </c>
      <c r="BK193" s="74">
        <f>(DataInput!BK660+DataInput!BK661+DataInput!BK662)*BK363</f>
        <v>518.05000000000007</v>
      </c>
      <c r="BL193" s="74">
        <f>(DataInput!BL660+DataInput!BL661+DataInput!BL662)*BL363</f>
        <v>487.42500000000001</v>
      </c>
      <c r="BM193" s="74">
        <f>(DataInput!BM660+DataInput!BM661+DataInput!BM662)*BM363</f>
        <v>513.22</v>
      </c>
      <c r="BN193" s="74">
        <f>(DataInput!BN660+DataInput!BN661+DataInput!BN662)*BN363</f>
        <v>507.19000000000005</v>
      </c>
      <c r="BO193" s="74">
        <f>(DataInput!BO660+DataInput!BO661+DataInput!BO662)*BO363</f>
        <v>469.44666666666666</v>
      </c>
      <c r="BP193" s="86">
        <f t="shared" ref="BP193:BU193" si="557">BO193*(1+BP305/100)</f>
        <v>597.11955007847837</v>
      </c>
      <c r="BQ193" s="86">
        <f t="shared" si="557"/>
        <v>624.37646489524013</v>
      </c>
      <c r="BR193" s="86">
        <f t="shared" si="557"/>
        <v>648.14742211581245</v>
      </c>
      <c r="BS193" s="86">
        <f t="shared" si="557"/>
        <v>669.45513475504322</v>
      </c>
      <c r="BT193" s="86">
        <f t="shared" si="557"/>
        <v>701.36340173032102</v>
      </c>
      <c r="BU193" s="86">
        <f t="shared" si="557"/>
        <v>734.792513715979</v>
      </c>
      <c r="BV193" s="86">
        <f t="shared" ref="BV193:BX193" si="558">BU193*(1+BV305/100)</f>
        <v>769.81495880882892</v>
      </c>
      <c r="BW193" s="86">
        <f t="shared" si="558"/>
        <v>806.50668010875222</v>
      </c>
      <c r="BX193" s="86">
        <f t="shared" si="558"/>
        <v>844.94724039464995</v>
      </c>
      <c r="BY193" s="86">
        <f t="shared" ref="BY193" si="559">BX193*(1+BY305/100)</f>
        <v>885.2199946493497</v>
      </c>
      <c r="BZ193" s="86">
        <f t="shared" ref="BZ193" si="560">BY193*(1+BZ305/100)</f>
        <v>927.41227080757312</v>
      </c>
      <c r="CA193" s="86">
        <f t="shared" ref="CA193" si="561">BZ193*(1+CA305/100)</f>
        <v>971.61555911890196</v>
      </c>
      <c r="CB193" s="86">
        <f t="shared" ref="CB193" si="562">CA193*(1+CB305/100)</f>
        <v>1017.9257105363585</v>
      </c>
      <c r="CC193" s="86">
        <f t="shared" ref="CC193" si="563">CB193*(1+CC305/100)</f>
        <v>1066.4431445607881</v>
      </c>
      <c r="CD193" s="86">
        <f t="shared" ref="CD193" si="564">CC193*(1+CD305/100)</f>
        <v>1117.2730669917387</v>
      </c>
      <c r="CE193" s="86"/>
      <c r="CF193" s="435"/>
      <c r="CG193" s="235">
        <f t="shared" si="430"/>
        <v>0</v>
      </c>
      <c r="CH193" s="235">
        <f t="shared" si="450"/>
        <v>0</v>
      </c>
      <c r="CI193" s="235" t="e">
        <f>BM193-#REF!</f>
        <v>#REF!</v>
      </c>
      <c r="CJ193" s="235">
        <f t="shared" si="395"/>
        <v>0</v>
      </c>
      <c r="CK193" s="235">
        <f t="shared" si="396"/>
        <v>0</v>
      </c>
      <c r="CL193" s="235">
        <f t="shared" si="397"/>
        <v>0</v>
      </c>
      <c r="CM193" s="235">
        <f t="shared" si="398"/>
        <v>0</v>
      </c>
      <c r="CN193" s="235">
        <f t="shared" si="399"/>
        <v>0</v>
      </c>
      <c r="CO193" s="235">
        <f t="shared" si="400"/>
        <v>0</v>
      </c>
      <c r="CP193" s="235">
        <f t="shared" si="401"/>
        <v>0</v>
      </c>
      <c r="CQ193" s="235">
        <f t="shared" si="402"/>
        <v>0</v>
      </c>
      <c r="CR193" s="235">
        <f t="shared" si="403"/>
        <v>0</v>
      </c>
      <c r="CS193" s="235">
        <f t="shared" si="404"/>
        <v>0</v>
      </c>
      <c r="CT193" s="235">
        <f t="shared" si="405"/>
        <v>0</v>
      </c>
      <c r="CU193" s="235">
        <f t="shared" si="406"/>
        <v>0</v>
      </c>
      <c r="CV193" s="235">
        <f t="shared" si="407"/>
        <v>0</v>
      </c>
      <c r="CW193" s="235">
        <f t="shared" si="408"/>
        <v>0</v>
      </c>
      <c r="CX193" s="235">
        <f t="shared" si="409"/>
        <v>0</v>
      </c>
      <c r="CY193" s="235">
        <f t="shared" si="410"/>
        <v>0</v>
      </c>
      <c r="CZ193" s="235">
        <f t="shared" si="411"/>
        <v>0</v>
      </c>
      <c r="DA193" s="38"/>
      <c r="DB193" s="236">
        <v>200.29949999999999</v>
      </c>
      <c r="DC193" s="236">
        <v>201.29950000000002</v>
      </c>
      <c r="DD193" s="236">
        <v>382.65300000000002</v>
      </c>
      <c r="DE193" s="236">
        <v>386.77050000000003</v>
      </c>
      <c r="DF193" s="401">
        <v>419.52</v>
      </c>
      <c r="DG193" s="236">
        <v>518.05000000000007</v>
      </c>
      <c r="DH193" s="492">
        <v>487.42500000000001</v>
      </c>
      <c r="DI193" s="236">
        <v>507.19000000000005</v>
      </c>
      <c r="DJ193" s="236">
        <v>469.44666666666666</v>
      </c>
      <c r="DK193" s="236">
        <v>597.11955007847837</v>
      </c>
      <c r="DL193" s="236">
        <v>624.37646489524013</v>
      </c>
      <c r="DM193" s="236">
        <v>648.14742211581245</v>
      </c>
      <c r="DN193" s="236">
        <v>669.45513475504322</v>
      </c>
      <c r="DO193" s="236">
        <v>701.36340173032102</v>
      </c>
      <c r="DP193" s="236">
        <v>734.792513715979</v>
      </c>
      <c r="DQ193" s="401">
        <v>769.81495880882892</v>
      </c>
      <c r="DR193" s="401">
        <v>806.50668010875222</v>
      </c>
      <c r="DS193" s="401">
        <v>844.94724039464995</v>
      </c>
      <c r="DT193" s="401">
        <v>885.2199946493497</v>
      </c>
      <c r="DU193" s="401">
        <v>927.41227080757312</v>
      </c>
      <c r="DV193" s="401">
        <v>971.61555911890196</v>
      </c>
      <c r="DW193" s="401">
        <v>1017.9257105363585</v>
      </c>
      <c r="DX193" s="401">
        <v>1066.4431445607881</v>
      </c>
      <c r="DY193" s="401">
        <v>1117.2730669917387</v>
      </c>
      <c r="DZ193" s="401"/>
      <c r="EA193" s="989"/>
    </row>
    <row r="194" spans="1:131" s="76" customFormat="1">
      <c r="A194" s="76" t="s">
        <v>3902</v>
      </c>
      <c r="B194" s="80" t="s">
        <v>730</v>
      </c>
      <c r="C194" s="51" t="s">
        <v>922</v>
      </c>
      <c r="D194" s="207"/>
      <c r="E194" s="207"/>
      <c r="F194" s="295">
        <f>mamiabc!F33*Model!$AV194/mamiabc!$AV33</f>
        <v>1.8406065088757395E-4</v>
      </c>
      <c r="G194" s="295">
        <f>mamiabc!G33*Model!$AV194/mamiabc!$AV33</f>
        <v>1.8406065088757395E-4</v>
      </c>
      <c r="H194" s="295">
        <f>mamiabc!H33*Model!$AV194/mamiabc!$AV33</f>
        <v>6.340467579971403E-4</v>
      </c>
      <c r="I194" s="295">
        <f>mamiabc!I33*Model!$AV194/mamiabc!$AV33</f>
        <v>7.6224180943161763E-4</v>
      </c>
      <c r="J194" s="295">
        <f>mamiabc!J33*Model!$AV194/mamiabc!$AV33</f>
        <v>8.0815191510513686E-4</v>
      </c>
      <c r="K194" s="295">
        <f>mamiabc!K33*Model!$AV194/mamiabc!$AV33</f>
        <v>9.0819553932141976E-4</v>
      </c>
      <c r="L194" s="295">
        <f>mamiabc!L33*Model!$AV194/mamiabc!$AV33</f>
        <v>1.015258589281133E-3</v>
      </c>
      <c r="M194" s="295">
        <f>mamiabc!M33*Model!$AV194/mamiabc!$AV33</f>
        <v>1.3965440570426408E-3</v>
      </c>
      <c r="N194" s="295">
        <f>mamiabc!N33*Model!$AV194/mamiabc!$AV33</f>
        <v>1.5306283591061652E-3</v>
      </c>
      <c r="O194" s="295">
        <f>mamiabc!O33*Model!$AV194/mamiabc!$AV33</f>
        <v>1.0985827835882909E-3</v>
      </c>
      <c r="P194" s="295">
        <f>mamiabc!P33*Model!$AV194/mamiabc!$AV33</f>
        <v>1.1395520483777368E-3</v>
      </c>
      <c r="Q194" s="295">
        <f>mamiabc!Q33*Model!$AV194/mamiabc!$AV33</f>
        <v>8.2643228035706731E-4</v>
      </c>
      <c r="R194" s="295">
        <f>mamiabc!R33*Model!$AV194/mamiabc!$AV33</f>
        <v>7.8962018528633564E-4</v>
      </c>
      <c r="S194" s="295">
        <f>mamiabc!S33*Model!$AV194/mamiabc!$AV33</f>
        <v>8.4667897652944857E-4</v>
      </c>
      <c r="T194" s="295">
        <f>mamiabc!T33*Model!$AV194/mamiabc!$AV33</f>
        <v>7.8225776627218933E-4</v>
      </c>
      <c r="U194" s="295">
        <f>mamiabc!U33*Model!$AV194/mamiabc!$AV33</f>
        <v>8.5036018603652178E-4</v>
      </c>
      <c r="V194" s="295">
        <f>mamiabc!V33*Model!$AV194/mamiabc!$AV33</f>
        <v>8.9821599739543085E-4</v>
      </c>
      <c r="W194" s="295">
        <f>mamiabc!W33*Model!$AV194/mamiabc!$AV33</f>
        <v>1.0325802760540379E-3</v>
      </c>
      <c r="X194" s="295">
        <f>mamiabc!X33*Model!$AV194/mamiabc!$AV33</f>
        <v>4.0125220489219795E-3</v>
      </c>
      <c r="Y194" s="295">
        <f>mamiabc!Y33*Model!$AV194/mamiabc!$AV33</f>
        <v>3.7548372078929425E-3</v>
      </c>
      <c r="Z194" s="295">
        <f>mamiabc!Z33*Model!$AV194/mamiabc!$AV33</f>
        <v>4.233394970414201E-3</v>
      </c>
      <c r="AA194" s="295">
        <f>mamiabc!AA33*Model!$AV194/mamiabc!$AV33</f>
        <v>5.4481953364857545E-3</v>
      </c>
      <c r="AB194" s="295">
        <f>mamiabc!AB33*Model!$AV194/mamiabc!$AV33</f>
        <v>3.3499039865809779E-3</v>
      </c>
      <c r="AC194" s="295">
        <f>mamiabc!AC33*Model!$AV194/mamiabc!$AV33</f>
        <v>4.9696375739644964E-3</v>
      </c>
      <c r="AD194" s="295">
        <f>mamiabc!AD33*Model!$AV194/mamiabc!$AV33</f>
        <v>2.4664126516799247E-3</v>
      </c>
      <c r="AE194" s="295">
        <f>mamiabc!AE33*Model!$AV194/mamiabc!$AV33</f>
        <v>5.4850072560225713E-3</v>
      </c>
      <c r="AF194" s="295">
        <f>mamiabc!AF33*Model!$AV194/mamiabc!$AV33</f>
        <v>7.5832989569951798E-3</v>
      </c>
      <c r="AG194" s="295">
        <f>mamiabc!AG33*Model!$AV194/mamiabc!$AV33</f>
        <v>6.6998079731619559E-3</v>
      </c>
      <c r="AH194" s="295">
        <f>mamiabc!AH33*Model!$AV194/mamiabc!$AV33</f>
        <v>8.5772260505066807E-3</v>
      </c>
      <c r="AI194" s="295">
        <f>mamiabc!AI33*Model!$AV194/mamiabc!$AV33</f>
        <v>1.0970014512045143E-2</v>
      </c>
      <c r="AJ194" s="295">
        <f>mamiabc!AJ33*Model!$AV194/mamiabc!$AV33</f>
        <v>8.3931653996191062E-3</v>
      </c>
      <c r="AK194" s="295">
        <f>mamiabc!AK33*Model!$AV194/mamiabc!$AV33</f>
        <v>5.0432617641059602E-3</v>
      </c>
      <c r="AL194" s="295">
        <f>mamiabc!AL33*Model!$AV194/mamiabc!$AV33</f>
        <v>3.9020859392437006E-3</v>
      </c>
      <c r="AM194" s="295">
        <f>mamiabc!AM33*Model!$AV194/mamiabc!$AV33</f>
        <v>3.8284613980344058E-3</v>
      </c>
      <c r="AN194" s="295">
        <f>mamiabc!AN33*Model!$AV194/mamiabc!$AV33</f>
        <v>4.711952732935459E-3</v>
      </c>
      <c r="AO194" s="295">
        <f>mamiabc!AO33*Model!$AV194/mamiabc!$AV33</f>
        <v>4.8223891936815698E-3</v>
      </c>
      <c r="AP194" s="295">
        <f>mamiabc!AP33*Model!$AV194/mamiabc!$AV33</f>
        <v>5.853128698224852E-3</v>
      </c>
      <c r="AQ194" s="295">
        <f>mamiabc!AQ33*Model!$AV194/mamiabc!$AV33</f>
        <v>7.104741124260355E-3</v>
      </c>
      <c r="AR194" s="295">
        <f>mamiabc!AR33*Model!$AV194/mamiabc!$AV33</f>
        <v>9.4607174556213015E-3</v>
      </c>
      <c r="AS194" s="295">
        <f>mamiabc!AS33*Model!$AV194/mamiabc!$AV33</f>
        <v>7.3219326923076922E-2</v>
      </c>
      <c r="AT194" s="295">
        <f>mamiabc!AT33*Model!$AV194/mamiabc!$AV33</f>
        <v>0.16856274408284022</v>
      </c>
      <c r="AU194" s="295">
        <f>mamiabc!AU33*Model!$AV194/mamiabc!$AV33</f>
        <v>0.37323818786982244</v>
      </c>
      <c r="AV194" s="74">
        <f>(DataInput!AV666+DataInput!AV667+DataInput!AV668)*AV363</f>
        <v>0.3608325</v>
      </c>
      <c r="AW194" s="74">
        <f>(DataInput!AW666+DataInput!AW667+DataInput!AW668)*AW363</f>
        <v>0.60150000000000003</v>
      </c>
      <c r="AX194" s="74">
        <f>(DataInput!AX666+DataInput!AX667+DataInput!AX668)*AX363</f>
        <v>0.84209999999999996</v>
      </c>
      <c r="AY194" s="74">
        <f>(DataInput!AY666+DataInput!AY667+DataInput!AY668)*AY363</f>
        <v>1.8058110000000001</v>
      </c>
      <c r="AZ194" s="74">
        <f>(DataInput!AZ666+DataInput!AZ667+DataInput!AZ668)*AZ363</f>
        <v>3.4484059999999999</v>
      </c>
      <c r="BA194" s="74">
        <f>(DataInput!BA666+DataInput!BA667+DataInput!BA668)*BA363</f>
        <v>4.7927000000000008</v>
      </c>
      <c r="BB194" s="74">
        <f>(DataInput!BB666+DataInput!BB667+DataInput!BB668)*BB363</f>
        <v>48.633150500000013</v>
      </c>
      <c r="BC194" s="74">
        <f>(DataInput!BC666+DataInput!BC667+DataInput!BC668)*BC363</f>
        <v>113.505188</v>
      </c>
      <c r="BD194" s="74">
        <f>(DataInput!BD666+DataInput!BD667+DataInput!BD668)*BD363</f>
        <v>148.7296</v>
      </c>
      <c r="BE194" s="74">
        <f>(DataInput!BE666+DataInput!BE667+DataInput!BE668)*BE363</f>
        <v>67.97699999999999</v>
      </c>
      <c r="BF194" s="74">
        <f>(DataInput!BF666+DataInput!BF667+DataInput!BF668)*BF363</f>
        <v>103.11800000000001</v>
      </c>
      <c r="BG194" s="74">
        <f>(DataInput!BG666+DataInput!BG667+DataInput!BG668)*BG363</f>
        <v>171.28800000000001</v>
      </c>
      <c r="BH194" s="74">
        <f>(DataInput!BH666+DataInput!BH667+DataInput!BH668)*BH363</f>
        <v>138.6225</v>
      </c>
      <c r="BI194" s="74">
        <f>(DataInput!BI666+DataInput!BI667+DataInput!BI668)*BI363</f>
        <v>151.62</v>
      </c>
      <c r="BJ194" s="74">
        <f>(DataInput!BJ666+DataInput!BJ667+DataInput!BJ668)*BJ363</f>
        <v>168.66499999999999</v>
      </c>
      <c r="BK194" s="74">
        <f>(DataInput!BK666+DataInput!BK667+DataInput!BK668)*BK363</f>
        <v>234.32499999999999</v>
      </c>
      <c r="BL194" s="74">
        <f>(DataInput!BL666+DataInput!BL667+DataInput!BL668)*BL363</f>
        <v>243.88</v>
      </c>
      <c r="BM194" s="74">
        <f>(DataInput!BM666+DataInput!BM667+DataInput!BM668)*BM363</f>
        <v>290.11</v>
      </c>
      <c r="BN194" s="74">
        <f>(DataInput!BN666+DataInput!BN667+DataInput!BN668)*BN363</f>
        <v>268.67</v>
      </c>
      <c r="BO194" s="74">
        <f>(DataInput!BO666+DataInput!BO667+DataInput!BO668)*BO363</f>
        <v>250.1333333333333</v>
      </c>
      <c r="BP194" s="86">
        <f t="shared" ref="BP194:BU194" ca="1" si="565">BO194*(1+BP302/100)</f>
        <v>341.07057790270761</v>
      </c>
      <c r="BQ194" s="86">
        <f t="shared" ca="1" si="565"/>
        <v>380.00388632729795</v>
      </c>
      <c r="BR194" s="86">
        <f t="shared" ca="1" si="565"/>
        <v>400.14022377695852</v>
      </c>
      <c r="BS194" s="86">
        <f t="shared" ca="1" si="565"/>
        <v>412.26015222033652</v>
      </c>
      <c r="BT194" s="86">
        <f t="shared" ca="1" si="565"/>
        <v>426.43244071313057</v>
      </c>
      <c r="BU194" s="86">
        <f t="shared" ca="1" si="565"/>
        <v>441.62722546025088</v>
      </c>
      <c r="BV194" s="86">
        <f t="shared" ref="BV194:BX194" ca="1" si="566">BU194*(1+BV302/100)</f>
        <v>457.50715269479548</v>
      </c>
      <c r="BW194" s="86">
        <f t="shared" ca="1" si="566"/>
        <v>474.03839773746608</v>
      </c>
      <c r="BX194" s="86">
        <f t="shared" ca="1" si="566"/>
        <v>491.08386512390126</v>
      </c>
      <c r="BY194" s="86">
        <f t="shared" ref="BY194" ca="1" si="567">BX194*(1+BY302/100)</f>
        <v>508.6276298293908</v>
      </c>
      <c r="BZ194" s="86">
        <f t="shared" ref="BZ194" ca="1" si="568">BY194*(1+BZ302/100)</f>
        <v>526.70606102513307</v>
      </c>
      <c r="CA194" s="86">
        <f t="shared" ref="CA194" ca="1" si="569">BZ194*(1+CA302/100)</f>
        <v>545.40528515878725</v>
      </c>
      <c r="CB194" s="86">
        <f t="shared" ref="CB194" ca="1" si="570">CA194*(1+CB302/100)</f>
        <v>564.77027935613694</v>
      </c>
      <c r="CC194" s="86">
        <f t="shared" ref="CC194" ca="1" si="571">CB194*(1+CC302/100)</f>
        <v>584.77177483346884</v>
      </c>
      <c r="CD194" s="86">
        <f t="shared" ref="CD194" ca="1" si="572">CC194*(1+CD302/100)</f>
        <v>605.43011968229939</v>
      </c>
      <c r="CE194" s="86"/>
      <c r="CF194" s="435"/>
      <c r="CG194" s="235">
        <f t="shared" si="430"/>
        <v>0</v>
      </c>
      <c r="CH194" s="235">
        <f t="shared" si="450"/>
        <v>0</v>
      </c>
      <c r="CI194" s="235" t="e">
        <f>BM194-#REF!</f>
        <v>#REF!</v>
      </c>
      <c r="CJ194" s="235">
        <f t="shared" si="395"/>
        <v>0</v>
      </c>
      <c r="CK194" s="235">
        <f t="shared" si="396"/>
        <v>0</v>
      </c>
      <c r="CL194" s="235">
        <f t="shared" ca="1" si="397"/>
        <v>0</v>
      </c>
      <c r="CM194" s="235">
        <f t="shared" ca="1" si="398"/>
        <v>0</v>
      </c>
      <c r="CN194" s="235">
        <f t="shared" ca="1" si="399"/>
        <v>0</v>
      </c>
      <c r="CO194" s="235">
        <f t="shared" ca="1" si="400"/>
        <v>0</v>
      </c>
      <c r="CP194" s="235">
        <f t="shared" ca="1" si="401"/>
        <v>0</v>
      </c>
      <c r="CQ194" s="235">
        <f t="shared" ca="1" si="402"/>
        <v>0</v>
      </c>
      <c r="CR194" s="235">
        <f t="shared" ca="1" si="403"/>
        <v>0</v>
      </c>
      <c r="CS194" s="235">
        <f t="shared" ca="1" si="404"/>
        <v>0</v>
      </c>
      <c r="CT194" s="235">
        <f t="shared" ca="1" si="405"/>
        <v>0</v>
      </c>
      <c r="CU194" s="235">
        <f t="shared" ca="1" si="406"/>
        <v>0</v>
      </c>
      <c r="CV194" s="235">
        <f t="shared" ca="1" si="407"/>
        <v>0</v>
      </c>
      <c r="CW194" s="235">
        <f t="shared" ca="1" si="408"/>
        <v>0</v>
      </c>
      <c r="CX194" s="235">
        <f t="shared" ca="1" si="409"/>
        <v>5.5706550483591855E-12</v>
      </c>
      <c r="CY194" s="235">
        <f t="shared" ca="1" si="410"/>
        <v>5.4228621593210846E-11</v>
      </c>
      <c r="CZ194" s="235">
        <f t="shared" ca="1" si="411"/>
        <v>4.3496584112290293E-10</v>
      </c>
      <c r="DA194" s="38"/>
      <c r="DB194" s="236">
        <v>98.004249999999999</v>
      </c>
      <c r="DC194" s="236">
        <v>99.004250000000013</v>
      </c>
      <c r="DD194" s="236">
        <v>165.798</v>
      </c>
      <c r="DE194" s="236">
        <v>134.23050000000001</v>
      </c>
      <c r="DF194" s="401">
        <v>151.62</v>
      </c>
      <c r="DG194" s="236">
        <v>234.32499999999999</v>
      </c>
      <c r="DH194" s="492">
        <v>243.88</v>
      </c>
      <c r="DI194" s="236">
        <v>268.67</v>
      </c>
      <c r="DJ194" s="236">
        <v>250.1333333333333</v>
      </c>
      <c r="DK194" s="236">
        <v>341.07057790270756</v>
      </c>
      <c r="DL194" s="236">
        <v>380.00388632729789</v>
      </c>
      <c r="DM194" s="236">
        <v>400.14022377695858</v>
      </c>
      <c r="DN194" s="236">
        <v>412.26015222033658</v>
      </c>
      <c r="DO194" s="236">
        <v>426.43244071313063</v>
      </c>
      <c r="DP194" s="236">
        <v>441.62722546025088</v>
      </c>
      <c r="DQ194" s="401">
        <v>457.50715269479548</v>
      </c>
      <c r="DR194" s="401">
        <v>474.03839773746608</v>
      </c>
      <c r="DS194" s="401">
        <v>491.08386512390126</v>
      </c>
      <c r="DT194" s="401">
        <v>508.6276298293908</v>
      </c>
      <c r="DU194" s="401">
        <v>526.70606102513295</v>
      </c>
      <c r="DV194" s="401">
        <v>545.40528515878668</v>
      </c>
      <c r="DW194" s="401">
        <v>564.77027935613137</v>
      </c>
      <c r="DX194" s="401">
        <v>584.77177483341461</v>
      </c>
      <c r="DY194" s="401">
        <v>605.43011968186443</v>
      </c>
      <c r="DZ194" s="401"/>
      <c r="EA194" s="989"/>
    </row>
    <row r="195" spans="1:131" s="76" customFormat="1">
      <c r="A195" s="76" t="s">
        <v>2840</v>
      </c>
      <c r="B195" s="80" t="s">
        <v>1381</v>
      </c>
      <c r="C195" s="51" t="s">
        <v>364</v>
      </c>
      <c r="D195" s="207"/>
      <c r="E195" s="207"/>
      <c r="F195" s="312">
        <f>mamiabc!F47</f>
        <v>0</v>
      </c>
      <c r="G195" s="312">
        <f>mamiabc!G47</f>
        <v>0</v>
      </c>
      <c r="H195" s="312">
        <f>mamiabc!H47</f>
        <v>0</v>
      </c>
      <c r="I195" s="312">
        <f>mamiabc!I47</f>
        <v>0</v>
      </c>
      <c r="J195" s="312">
        <f>mamiabc!J47</f>
        <v>0</v>
      </c>
      <c r="K195" s="312">
        <f>mamiabc!K47</f>
        <v>0</v>
      </c>
      <c r="L195" s="312">
        <f>mamiabc!L47</f>
        <v>0</v>
      </c>
      <c r="M195" s="312">
        <f>mamiabc!M47</f>
        <v>0</v>
      </c>
      <c r="N195" s="312">
        <f>mamiabc!N47</f>
        <v>0</v>
      </c>
      <c r="O195" s="312">
        <f>mamiabc!O47</f>
        <v>0</v>
      </c>
      <c r="P195" s="312">
        <f>mamiabc!P47</f>
        <v>0</v>
      </c>
      <c r="Q195" s="312">
        <f>mamiabc!Q47</f>
        <v>0</v>
      </c>
      <c r="R195" s="312">
        <f>mamiabc!R47</f>
        <v>0</v>
      </c>
      <c r="S195" s="312">
        <f>mamiabc!S47</f>
        <v>0</v>
      </c>
      <c r="T195" s="312">
        <f>mamiabc!T47</f>
        <v>0</v>
      </c>
      <c r="U195" s="312">
        <f>mamiabc!U47</f>
        <v>0</v>
      </c>
      <c r="V195" s="312">
        <f>mamiabc!V47</f>
        <v>0</v>
      </c>
      <c r="W195" s="312">
        <f>mamiabc!W47</f>
        <v>0</v>
      </c>
      <c r="X195" s="312">
        <f>mamiabc!X47</f>
        <v>0</v>
      </c>
      <c r="Y195" s="312">
        <f>mamiabc!Y47</f>
        <v>0</v>
      </c>
      <c r="Z195" s="312">
        <f>mamiabc!Z47</f>
        <v>0</v>
      </c>
      <c r="AA195" s="312">
        <f>mamiabc!AA47</f>
        <v>0</v>
      </c>
      <c r="AB195" s="312">
        <f>mamiabc!AB47</f>
        <v>0</v>
      </c>
      <c r="AC195" s="312">
        <f>mamiabc!AC47</f>
        <v>0</v>
      </c>
      <c r="AD195" s="312">
        <f>mamiabc!AD47</f>
        <v>0</v>
      </c>
      <c r="AE195" s="312">
        <f>mamiabc!AE47</f>
        <v>0</v>
      </c>
      <c r="AF195" s="312">
        <f>mamiabc!AF47</f>
        <v>0</v>
      </c>
      <c r="AG195" s="312">
        <f>mamiabc!AG47</f>
        <v>0</v>
      </c>
      <c r="AH195" s="312">
        <f>mamiabc!AH47</f>
        <v>0</v>
      </c>
      <c r="AI195" s="312">
        <f>mamiabc!AI47</f>
        <v>0</v>
      </c>
      <c r="AJ195" s="312">
        <f>mamiabc!AJ47</f>
        <v>0</v>
      </c>
      <c r="AK195" s="312">
        <f>mamiabc!AK47</f>
        <v>0</v>
      </c>
      <c r="AL195" s="312">
        <f>mamiabc!AL47</f>
        <v>0</v>
      </c>
      <c r="AM195" s="312">
        <f>mamiabc!AM47</f>
        <v>0</v>
      </c>
      <c r="AN195" s="312">
        <f>mamiabc!AN47</f>
        <v>0</v>
      </c>
      <c r="AO195" s="312">
        <f>mamiabc!AO47</f>
        <v>0</v>
      </c>
      <c r="AP195" s="312">
        <f>mamiabc!AP47</f>
        <v>0</v>
      </c>
      <c r="AQ195" s="312">
        <f>mamiabc!AQ47</f>
        <v>0</v>
      </c>
      <c r="AR195" s="312">
        <f>mamiabc!AR47</f>
        <v>0</v>
      </c>
      <c r="AS195" s="312">
        <f>mamiabc!AS47</f>
        <v>0</v>
      </c>
      <c r="AT195" s="312">
        <f>mamiabc!AT47</f>
        <v>0</v>
      </c>
      <c r="AU195" s="312">
        <f>mamiabc!AU47</f>
        <v>0</v>
      </c>
      <c r="AV195" s="74">
        <f>DataInput!AV663*AV363</f>
        <v>0</v>
      </c>
      <c r="AW195" s="74">
        <f>DataInput!AW663*AW363</f>
        <v>4.0100000000000004E-2</v>
      </c>
      <c r="AX195" s="74">
        <f>DataInput!AX663*AX363</f>
        <v>0</v>
      </c>
      <c r="AY195" s="74">
        <f>DataInput!AY663*AY363</f>
        <v>0.171982</v>
      </c>
      <c r="AZ195" s="74">
        <f>DataInput!AZ663*AZ363</f>
        <v>0</v>
      </c>
      <c r="BA195" s="74">
        <f>DataInput!BA663*BA363</f>
        <v>0.43570000000000003</v>
      </c>
      <c r="BB195" s="74">
        <f>DataInput!BB663*BB363</f>
        <v>0</v>
      </c>
      <c r="BC195" s="74">
        <f>DataInput!BC663*BC363</f>
        <v>9.6323209999999992</v>
      </c>
      <c r="BD195" s="74">
        <f>DataInput!BD663*BD363</f>
        <v>19.4114</v>
      </c>
      <c r="BE195" s="74">
        <f>DataInput!BE663*BE363</f>
        <v>4.0949999999999998</v>
      </c>
      <c r="BF195" s="74">
        <f>DataInput!BF663*BF363</f>
        <v>0.27425000000000005</v>
      </c>
      <c r="BG195" s="74">
        <f>DataInput!BG663*BG363</f>
        <v>0</v>
      </c>
      <c r="BH195" s="74">
        <f>DataInput!BH663*BH363</f>
        <v>0</v>
      </c>
      <c r="BI195" s="74">
        <f>DataInput!BI663*BI363</f>
        <v>0</v>
      </c>
      <c r="BJ195" s="74">
        <f>DataInput!BJ663*BJ363</f>
        <v>0</v>
      </c>
      <c r="BK195" s="74">
        <f>DataInput!BK663*BK363</f>
        <v>0</v>
      </c>
      <c r="BL195" s="74">
        <f>DataInput!BL663*BL363</f>
        <v>0</v>
      </c>
      <c r="BM195" s="74">
        <f>DataInput!BM663*BM363</f>
        <v>0</v>
      </c>
      <c r="BN195" s="74">
        <f>DataInput!BN663*BN363</f>
        <v>0</v>
      </c>
      <c r="BO195" s="74">
        <f>DataInput!BO663*BO363</f>
        <v>0</v>
      </c>
      <c r="BP195" s="86">
        <f t="shared" ref="BP195:BU195" si="573">BO195*(1+BP307/100)</f>
        <v>0</v>
      </c>
      <c r="BQ195" s="86">
        <f t="shared" si="573"/>
        <v>0</v>
      </c>
      <c r="BR195" s="86">
        <f t="shared" si="573"/>
        <v>0</v>
      </c>
      <c r="BS195" s="86">
        <f t="shared" si="573"/>
        <v>0</v>
      </c>
      <c r="BT195" s="86">
        <f t="shared" si="573"/>
        <v>0</v>
      </c>
      <c r="BU195" s="86">
        <f t="shared" si="573"/>
        <v>0</v>
      </c>
      <c r="BV195" s="86">
        <f t="shared" ref="BV195:BX195" si="574">BU195*(1+BV307/100)</f>
        <v>0</v>
      </c>
      <c r="BW195" s="86">
        <f t="shared" si="574"/>
        <v>0</v>
      </c>
      <c r="BX195" s="86">
        <f t="shared" si="574"/>
        <v>0</v>
      </c>
      <c r="BY195" s="86">
        <f t="shared" ref="BY195" si="575">BX195*(1+BY307/100)</f>
        <v>0</v>
      </c>
      <c r="BZ195" s="86">
        <f t="shared" ref="BZ195" si="576">BY195*(1+BZ307/100)</f>
        <v>0</v>
      </c>
      <c r="CA195" s="86">
        <f t="shared" ref="CA195" si="577">BZ195*(1+CA307/100)</f>
        <v>0</v>
      </c>
      <c r="CB195" s="86">
        <f t="shared" ref="CB195" si="578">CA195*(1+CB307/100)</f>
        <v>0</v>
      </c>
      <c r="CC195" s="86">
        <f t="shared" ref="CC195" si="579">CB195*(1+CC307/100)</f>
        <v>0</v>
      </c>
      <c r="CD195" s="86">
        <f t="shared" ref="CD195" si="580">CC195*(1+CD307/100)</f>
        <v>0</v>
      </c>
      <c r="CE195" s="86"/>
      <c r="CF195" s="435"/>
      <c r="CG195" s="235">
        <f t="shared" si="430"/>
        <v>0</v>
      </c>
      <c r="CH195" s="235">
        <f t="shared" si="450"/>
        <v>0</v>
      </c>
      <c r="CI195" s="235" t="e">
        <f>BM195-#REF!</f>
        <v>#REF!</v>
      </c>
      <c r="CJ195" s="235">
        <f t="shared" si="395"/>
        <v>0</v>
      </c>
      <c r="CK195" s="235">
        <f t="shared" si="396"/>
        <v>0</v>
      </c>
      <c r="CL195" s="235">
        <f t="shared" si="397"/>
        <v>0</v>
      </c>
      <c r="CM195" s="235">
        <f t="shared" si="398"/>
        <v>0</v>
      </c>
      <c r="CN195" s="235">
        <f t="shared" si="399"/>
        <v>0</v>
      </c>
      <c r="CO195" s="235">
        <f t="shared" si="400"/>
        <v>0</v>
      </c>
      <c r="CP195" s="235">
        <f t="shared" si="401"/>
        <v>0</v>
      </c>
      <c r="CQ195" s="235">
        <f t="shared" si="402"/>
        <v>0</v>
      </c>
      <c r="CR195" s="235">
        <f t="shared" si="403"/>
        <v>0</v>
      </c>
      <c r="CS195" s="235">
        <f t="shared" si="404"/>
        <v>0</v>
      </c>
      <c r="CT195" s="235">
        <f t="shared" si="405"/>
        <v>0</v>
      </c>
      <c r="CU195" s="235">
        <f t="shared" si="406"/>
        <v>0</v>
      </c>
      <c r="CV195" s="235">
        <f t="shared" si="407"/>
        <v>0</v>
      </c>
      <c r="CW195" s="235">
        <f t="shared" si="408"/>
        <v>0</v>
      </c>
      <c r="CX195" s="235">
        <f t="shared" si="409"/>
        <v>0</v>
      </c>
      <c r="CY195" s="235">
        <f t="shared" si="410"/>
        <v>0</v>
      </c>
      <c r="CZ195" s="235">
        <f t="shared" si="411"/>
        <v>0</v>
      </c>
      <c r="DA195" s="38"/>
      <c r="DB195" s="236">
        <v>-0.72575000000000001</v>
      </c>
      <c r="DC195" s="236">
        <v>0.27425000000000005</v>
      </c>
      <c r="DD195" s="236">
        <v>1.0980000000000001</v>
      </c>
      <c r="DE195" s="236">
        <v>0.27450000000000002</v>
      </c>
      <c r="DF195" s="401">
        <v>0</v>
      </c>
      <c r="DG195" s="236">
        <v>0</v>
      </c>
      <c r="DH195" s="492">
        <v>0</v>
      </c>
      <c r="DI195" s="236">
        <v>0</v>
      </c>
      <c r="DJ195" s="236">
        <v>0</v>
      </c>
      <c r="DK195" s="236">
        <v>0</v>
      </c>
      <c r="DL195" s="236">
        <v>0</v>
      </c>
      <c r="DM195" s="236">
        <v>0</v>
      </c>
      <c r="DN195" s="236">
        <v>0</v>
      </c>
      <c r="DO195" s="236">
        <v>0</v>
      </c>
      <c r="DP195" s="236">
        <v>0</v>
      </c>
      <c r="DQ195" s="401">
        <v>0</v>
      </c>
      <c r="DR195" s="401">
        <v>0</v>
      </c>
      <c r="DS195" s="401">
        <v>0</v>
      </c>
      <c r="DT195" s="401">
        <v>0</v>
      </c>
      <c r="DU195" s="401">
        <v>0</v>
      </c>
      <c r="DV195" s="401">
        <v>0</v>
      </c>
      <c r="DW195" s="401">
        <v>0</v>
      </c>
      <c r="DX195" s="401">
        <v>0</v>
      </c>
      <c r="DY195" s="401">
        <v>0</v>
      </c>
      <c r="DZ195" s="401"/>
      <c r="EA195" s="989"/>
    </row>
    <row r="196" spans="1:131" s="76" customFormat="1">
      <c r="A196" s="76" t="s">
        <v>2841</v>
      </c>
      <c r="B196" s="80" t="s">
        <v>1999</v>
      </c>
      <c r="C196" s="51" t="s">
        <v>3377</v>
      </c>
      <c r="D196" s="207"/>
      <c r="E196" s="207"/>
      <c r="F196" s="313">
        <f>mamiabc!F61</f>
        <v>2.9999999999999997E-4</v>
      </c>
      <c r="G196" s="313">
        <f>mamiabc!G61</f>
        <v>2.9999999999999997E-4</v>
      </c>
      <c r="H196" s="313">
        <f>mamiabc!H61</f>
        <v>2.9797226190567019E-4</v>
      </c>
      <c r="I196" s="313">
        <f>mamiabc!I61</f>
        <v>3.3970779180526731E-4</v>
      </c>
      <c r="J196" s="313">
        <f>mamiabc!J61</f>
        <v>4.1832587122917175E-4</v>
      </c>
      <c r="K196" s="313">
        <f>mamiabc!K61</f>
        <v>4.3579655885696414E-4</v>
      </c>
      <c r="L196" s="313">
        <f>mamiabc!L61</f>
        <v>5.69738507270813E-4</v>
      </c>
      <c r="M196" s="313">
        <f>mamiabc!M61</f>
        <v>5.406206846237183E-4</v>
      </c>
      <c r="N196" s="313">
        <f>mamiabc!N61</f>
        <v>5.7070904970169065E-4</v>
      </c>
      <c r="O196" s="313">
        <f>mamiabc!O61</f>
        <v>5.4450303316116338E-4</v>
      </c>
      <c r="P196" s="313">
        <f>mamiabc!P61</f>
        <v>5.5323833227157598E-4</v>
      </c>
      <c r="Q196" s="313">
        <f>mamiabc!Q61</f>
        <v>6.5499997138977045E-4</v>
      </c>
      <c r="R196" s="313">
        <f>mamiabc!R61</f>
        <v>6.5499997138977045E-4</v>
      </c>
      <c r="S196" s="313">
        <f>mamiabc!S61</f>
        <v>6.0000002384185791E-4</v>
      </c>
      <c r="T196" s="313">
        <f>mamiabc!T61</f>
        <v>6.7500001192092891E-4</v>
      </c>
      <c r="U196" s="313">
        <f>mamiabc!U61</f>
        <v>7.9000002145767213E-4</v>
      </c>
      <c r="V196" s="313">
        <f>mamiabc!V61</f>
        <v>8.600000143051148E-4</v>
      </c>
      <c r="W196" s="313">
        <f>mamiabc!W61</f>
        <v>7.9500001668930057E-4</v>
      </c>
      <c r="X196" s="313">
        <f>mamiabc!X61</f>
        <v>1.0000000149011611E-4</v>
      </c>
      <c r="Y196" s="313">
        <f>mamiabc!Y61</f>
        <v>1.0000000149011611E-4</v>
      </c>
      <c r="Z196" s="313">
        <f>mamiabc!Z61</f>
        <v>5.0000000000000001E-4</v>
      </c>
      <c r="AA196" s="313">
        <f>mamiabc!AA61</f>
        <v>1.399999976158142E-3</v>
      </c>
      <c r="AB196" s="313">
        <f>mamiabc!AB61</f>
        <v>1.899999976158142E-3</v>
      </c>
      <c r="AC196" s="313">
        <f>mamiabc!AC61</f>
        <v>1.899999976158142E-3</v>
      </c>
      <c r="AD196" s="313">
        <f>mamiabc!AD61</f>
        <v>9.1999998092651362E-3</v>
      </c>
      <c r="AE196" s="313">
        <f>mamiabc!AE61</f>
        <v>8.9999997615814213E-4</v>
      </c>
      <c r="AF196" s="313">
        <f>mamiabc!AF61</f>
        <v>2E-3</v>
      </c>
      <c r="AG196" s="313">
        <f>mamiabc!AG61</f>
        <v>2E-3</v>
      </c>
      <c r="AH196" s="313">
        <f>mamiabc!AH61</f>
        <v>2E-3</v>
      </c>
      <c r="AI196" s="313">
        <f>mamiabc!AI61</f>
        <v>2E-3</v>
      </c>
      <c r="AJ196" s="313">
        <f>mamiabc!AJ61</f>
        <v>2E-3</v>
      </c>
      <c r="AK196" s="313">
        <f>mamiabc!AK61</f>
        <v>2E-3</v>
      </c>
      <c r="AL196" s="313">
        <f>mamiabc!AL61</f>
        <v>2E-3</v>
      </c>
      <c r="AM196" s="313">
        <f>mamiabc!AM61</f>
        <v>2E-3</v>
      </c>
      <c r="AN196" s="313">
        <f>mamiabc!AN61</f>
        <v>2E-3</v>
      </c>
      <c r="AO196" s="313">
        <f>mamiabc!AO61</f>
        <v>2E-3</v>
      </c>
      <c r="AP196" s="313">
        <f>mamiabc!AP61</f>
        <v>0</v>
      </c>
      <c r="AQ196" s="313">
        <f>mamiabc!AQ61</f>
        <v>0</v>
      </c>
      <c r="AR196" s="313">
        <f>mamiabc!AR61</f>
        <v>0</v>
      </c>
      <c r="AS196" s="313">
        <f>mamiabc!AS61</f>
        <v>0</v>
      </c>
      <c r="AT196" s="313">
        <f>mamiabc!AT61</f>
        <v>0</v>
      </c>
      <c r="AU196" s="313">
        <f>mamiabc!AU61</f>
        <v>0</v>
      </c>
      <c r="AV196" s="74">
        <f>DataInput!AV669*AV363</f>
        <v>0.64148000000000005</v>
      </c>
      <c r="AW196" s="74">
        <f>DataInput!AW669*AW363</f>
        <v>0.60150000000000003</v>
      </c>
      <c r="AX196" s="74">
        <f>DataInput!AX669*AX363</f>
        <v>0.60150000000000003</v>
      </c>
      <c r="AY196" s="74">
        <f>DataInput!AY669*AY363</f>
        <v>1.0318919999999998</v>
      </c>
      <c r="AZ196" s="74">
        <f>DataInput!AZ669*AZ363</f>
        <v>1.061048</v>
      </c>
      <c r="BA196" s="74">
        <f>DataInput!BA669*BA363</f>
        <v>1.7428000000000001</v>
      </c>
      <c r="BB196" s="74">
        <f>DataInput!BB669*BB363</f>
        <v>1.1634725000000001</v>
      </c>
      <c r="BC196" s="74">
        <f>DataInput!BC669*BC363</f>
        <v>15.099313999999998</v>
      </c>
      <c r="BD196" s="74">
        <f>DataInput!BD669*BD363</f>
        <v>23.5124</v>
      </c>
      <c r="BE196" s="74">
        <f>DataInput!BE669*BE363</f>
        <v>14.468999999999999</v>
      </c>
      <c r="BF196" s="74">
        <f>DataInput!BF669*BF363</f>
        <v>4.1137500000000005</v>
      </c>
      <c r="BG196" s="74">
        <f>DataInput!BG669*BG363</f>
        <v>0</v>
      </c>
      <c r="BH196" s="74">
        <f>DataInput!BH669*BH363</f>
        <v>0</v>
      </c>
      <c r="BI196" s="74">
        <f>DataInput!BI669*BI363</f>
        <v>0</v>
      </c>
      <c r="BJ196" s="74">
        <f>DataInput!BJ669*BJ363</f>
        <v>0</v>
      </c>
      <c r="BK196" s="74">
        <f>DataInput!BK669*BK363</f>
        <v>0</v>
      </c>
      <c r="BL196" s="74">
        <f>DataInput!BL669*BL363</f>
        <v>0</v>
      </c>
      <c r="BM196" s="74">
        <f>DataInput!BM669*BM363</f>
        <v>0</v>
      </c>
      <c r="BN196" s="74">
        <f>DataInput!BN669*BN363</f>
        <v>0</v>
      </c>
      <c r="BO196" s="74">
        <f>DataInput!BO669*BO363</f>
        <v>0</v>
      </c>
      <c r="BP196" s="86">
        <f t="shared" ref="BP196:BU196" ca="1" si="581">BO196*(1+BP302/100)</f>
        <v>0</v>
      </c>
      <c r="BQ196" s="86">
        <f t="shared" ca="1" si="581"/>
        <v>0</v>
      </c>
      <c r="BR196" s="86">
        <f t="shared" ca="1" si="581"/>
        <v>0</v>
      </c>
      <c r="BS196" s="86">
        <f t="shared" ca="1" si="581"/>
        <v>0</v>
      </c>
      <c r="BT196" s="86">
        <f t="shared" ca="1" si="581"/>
        <v>0</v>
      </c>
      <c r="BU196" s="86">
        <f t="shared" ca="1" si="581"/>
        <v>0</v>
      </c>
      <c r="BV196" s="86">
        <f t="shared" ref="BV196:BX196" ca="1" si="582">BU196*(1+BV302/100)</f>
        <v>0</v>
      </c>
      <c r="BW196" s="86">
        <f t="shared" ca="1" si="582"/>
        <v>0</v>
      </c>
      <c r="BX196" s="86">
        <f t="shared" ca="1" si="582"/>
        <v>0</v>
      </c>
      <c r="BY196" s="86">
        <f t="shared" ref="BY196" ca="1" si="583">BX196*(1+BY302/100)</f>
        <v>0</v>
      </c>
      <c r="BZ196" s="86">
        <f t="shared" ref="BZ196" ca="1" si="584">BY196*(1+BZ302/100)</f>
        <v>0</v>
      </c>
      <c r="CA196" s="86">
        <f t="shared" ref="CA196" ca="1" si="585">BZ196*(1+CA302/100)</f>
        <v>0</v>
      </c>
      <c r="CB196" s="86">
        <f t="shared" ref="CB196" ca="1" si="586">CA196*(1+CB302/100)</f>
        <v>0</v>
      </c>
      <c r="CC196" s="86">
        <f t="shared" ref="CC196" ca="1" si="587">CB196*(1+CC302/100)</f>
        <v>0</v>
      </c>
      <c r="CD196" s="86">
        <f t="shared" ref="CD196" ca="1" si="588">CC196*(1+CD302/100)</f>
        <v>0</v>
      </c>
      <c r="CE196" s="86"/>
      <c r="CF196" s="435"/>
      <c r="CG196" s="235">
        <f t="shared" si="430"/>
        <v>0</v>
      </c>
      <c r="CH196" s="235">
        <f t="shared" si="450"/>
        <v>0</v>
      </c>
      <c r="CI196" s="235" t="e">
        <f>BM196-#REF!</f>
        <v>#REF!</v>
      </c>
      <c r="CJ196" s="235">
        <f t="shared" ref="CJ196:CJ227" si="589">BN196-DI196</f>
        <v>0</v>
      </c>
      <c r="CK196" s="235">
        <f t="shared" ref="CK196:CK227" si="590">BO196-DJ196</f>
        <v>0</v>
      </c>
      <c r="CL196" s="235">
        <f t="shared" ref="CL196:CL227" ca="1" si="591">BP196-DK196</f>
        <v>0</v>
      </c>
      <c r="CM196" s="235">
        <f t="shared" ref="CM196:CM227" ca="1" si="592">BQ196-DL196</f>
        <v>0</v>
      </c>
      <c r="CN196" s="235">
        <f t="shared" ref="CN196:CN227" ca="1" si="593">BR196-DM196</f>
        <v>0</v>
      </c>
      <c r="CO196" s="235">
        <f t="shared" ref="CO196:CO227" ca="1" si="594">BS196-DN196</f>
        <v>0</v>
      </c>
      <c r="CP196" s="235">
        <f t="shared" ref="CP196:CP227" ca="1" si="595">BT196-DO196</f>
        <v>0</v>
      </c>
      <c r="CQ196" s="235">
        <f t="shared" ref="CQ196:CQ227" ca="1" si="596">BU196-DP196</f>
        <v>0</v>
      </c>
      <c r="CR196" s="235">
        <f t="shared" ref="CR196:CR227" ca="1" si="597">BV196-DQ196</f>
        <v>0</v>
      </c>
      <c r="CS196" s="235">
        <f t="shared" ref="CS196:CS227" ca="1" si="598">BW196-DR196</f>
        <v>0</v>
      </c>
      <c r="CT196" s="235">
        <f t="shared" ref="CT196:CT227" ca="1" si="599">BX196-DS196</f>
        <v>0</v>
      </c>
      <c r="CU196" s="235">
        <f t="shared" ref="CU196:CU227" ca="1" si="600">BY196-DT196</f>
        <v>0</v>
      </c>
      <c r="CV196" s="235">
        <f t="shared" ref="CV196:CV227" ca="1" si="601">BZ196-DU196</f>
        <v>0</v>
      </c>
      <c r="CW196" s="235">
        <f t="shared" ref="CW196:CW227" ca="1" si="602">CA196-DV196</f>
        <v>0</v>
      </c>
      <c r="CX196" s="235">
        <f t="shared" ref="CX196:CX227" ca="1" si="603">CB196-DW196</f>
        <v>0</v>
      </c>
      <c r="CY196" s="235">
        <f t="shared" ref="CY196:CY227" ca="1" si="604">CC196-DX196</f>
        <v>0</v>
      </c>
      <c r="CZ196" s="235">
        <f t="shared" ref="CZ196:CZ227" ca="1" si="605">CD196-DY196</f>
        <v>0</v>
      </c>
      <c r="DA196" s="38"/>
      <c r="DB196" s="236">
        <v>3.11375</v>
      </c>
      <c r="DC196" s="236">
        <v>4.1137499999999996</v>
      </c>
      <c r="DD196" s="236">
        <v>5.49</v>
      </c>
      <c r="DE196" s="236">
        <v>4.3920000000000003</v>
      </c>
      <c r="DF196" s="401">
        <v>0</v>
      </c>
      <c r="DG196" s="236">
        <v>0</v>
      </c>
      <c r="DH196" s="492">
        <v>0</v>
      </c>
      <c r="DI196" s="236">
        <v>0</v>
      </c>
      <c r="DJ196" s="236">
        <v>0</v>
      </c>
      <c r="DK196" s="236">
        <v>0</v>
      </c>
      <c r="DL196" s="236">
        <v>0</v>
      </c>
      <c r="DM196" s="236">
        <v>0</v>
      </c>
      <c r="DN196" s="236">
        <v>0</v>
      </c>
      <c r="DO196" s="236">
        <v>0</v>
      </c>
      <c r="DP196" s="236">
        <v>0</v>
      </c>
      <c r="DQ196" s="401">
        <v>0</v>
      </c>
      <c r="DR196" s="401">
        <v>0</v>
      </c>
      <c r="DS196" s="401">
        <v>0</v>
      </c>
      <c r="DT196" s="401">
        <v>0</v>
      </c>
      <c r="DU196" s="401">
        <v>0</v>
      </c>
      <c r="DV196" s="401">
        <v>0</v>
      </c>
      <c r="DW196" s="401">
        <v>0</v>
      </c>
      <c r="DX196" s="401">
        <v>0</v>
      </c>
      <c r="DY196" s="401">
        <v>0</v>
      </c>
      <c r="DZ196" s="401"/>
      <c r="EA196" s="989"/>
    </row>
    <row r="197" spans="1:131" s="19" customFormat="1">
      <c r="A197" s="19" t="s">
        <v>2842</v>
      </c>
      <c r="B197" s="133" t="s">
        <v>1678</v>
      </c>
      <c r="D197" s="218"/>
      <c r="E197" s="218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218"/>
      <c r="Q197" s="218"/>
      <c r="R197" s="218"/>
      <c r="S197" s="218"/>
      <c r="T197" s="218"/>
      <c r="U197" s="218"/>
      <c r="V197" s="218"/>
      <c r="W197" s="218"/>
      <c r="X197" s="218"/>
      <c r="Y197" s="218"/>
      <c r="Z197" s="218"/>
      <c r="AA197" s="218"/>
      <c r="AB197" s="218"/>
      <c r="AC197" s="218"/>
      <c r="AD197" s="218"/>
      <c r="AE197" s="218"/>
      <c r="AF197" s="218"/>
      <c r="AG197" s="218"/>
      <c r="AH197" s="218"/>
      <c r="AI197" s="218"/>
      <c r="AJ197" s="218"/>
      <c r="AK197" s="218"/>
      <c r="AL197" s="218"/>
      <c r="AM197" s="218"/>
      <c r="AN197" s="218"/>
      <c r="AO197" s="218"/>
      <c r="AP197" s="218"/>
      <c r="AQ197" s="218"/>
      <c r="AR197" s="218"/>
      <c r="AS197" s="218"/>
      <c r="AT197" s="218"/>
      <c r="AU197" s="46"/>
      <c r="AV197" s="90"/>
      <c r="AW197" s="90"/>
      <c r="AX197" s="90"/>
      <c r="AY197" s="90"/>
      <c r="AZ197" s="90"/>
      <c r="BA197" s="91"/>
      <c r="BB197" s="91"/>
      <c r="BC197" s="91"/>
      <c r="BD197" s="91"/>
      <c r="BE197" s="91"/>
      <c r="BF197" s="91"/>
      <c r="BG197" s="91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1"/>
      <c r="CE197" s="91"/>
      <c r="CF197" s="435"/>
      <c r="CG197" s="235">
        <f t="shared" si="430"/>
        <v>0</v>
      </c>
      <c r="CH197" s="235">
        <f t="shared" si="450"/>
        <v>0</v>
      </c>
      <c r="CI197" s="235" t="e">
        <f>BM197-#REF!</f>
        <v>#REF!</v>
      </c>
      <c r="CJ197" s="235">
        <f t="shared" si="589"/>
        <v>0</v>
      </c>
      <c r="CK197" s="235">
        <f t="shared" si="590"/>
        <v>0</v>
      </c>
      <c r="CL197" s="235">
        <f t="shared" si="591"/>
        <v>0</v>
      </c>
      <c r="CM197" s="235">
        <f t="shared" si="592"/>
        <v>0</v>
      </c>
      <c r="CN197" s="235">
        <f t="shared" si="593"/>
        <v>0</v>
      </c>
      <c r="CO197" s="235">
        <f t="shared" si="594"/>
        <v>0</v>
      </c>
      <c r="CP197" s="235">
        <f t="shared" si="595"/>
        <v>0</v>
      </c>
      <c r="CQ197" s="235">
        <f t="shared" si="596"/>
        <v>0</v>
      </c>
      <c r="CR197" s="235">
        <f t="shared" si="597"/>
        <v>0</v>
      </c>
      <c r="CS197" s="235">
        <f t="shared" si="598"/>
        <v>0</v>
      </c>
      <c r="CT197" s="235">
        <f t="shared" si="599"/>
        <v>0</v>
      </c>
      <c r="CU197" s="235">
        <f t="shared" si="600"/>
        <v>0</v>
      </c>
      <c r="CV197" s="235">
        <f t="shared" si="601"/>
        <v>0</v>
      </c>
      <c r="CW197" s="235">
        <f t="shared" si="602"/>
        <v>0</v>
      </c>
      <c r="CX197" s="235">
        <f t="shared" si="603"/>
        <v>0</v>
      </c>
      <c r="CY197" s="235">
        <f t="shared" si="604"/>
        <v>0</v>
      </c>
      <c r="CZ197" s="235">
        <f t="shared" si="605"/>
        <v>0</v>
      </c>
      <c r="DA197" s="38"/>
      <c r="DB197" s="236"/>
      <c r="DC197" s="236"/>
      <c r="DD197" s="236"/>
      <c r="DE197" s="236"/>
      <c r="DF197" s="401"/>
      <c r="DG197" s="236"/>
      <c r="DH197" s="492"/>
      <c r="DI197" s="236"/>
      <c r="DJ197" s="236"/>
      <c r="DK197" s="236"/>
      <c r="DL197" s="236"/>
      <c r="DM197" s="236"/>
      <c r="DN197" s="236"/>
      <c r="DO197" s="236"/>
      <c r="DP197" s="236"/>
      <c r="DQ197" s="1084"/>
      <c r="DR197" s="1084"/>
      <c r="DS197" s="1084"/>
      <c r="DT197" s="1084"/>
      <c r="DU197" s="1084"/>
      <c r="DV197" s="1084"/>
      <c r="DW197" s="1084"/>
      <c r="DX197" s="1084"/>
      <c r="DY197" s="1084"/>
      <c r="DZ197" s="1084"/>
      <c r="EA197" s="988"/>
    </row>
    <row r="198" spans="1:131" s="76" customFormat="1">
      <c r="A198" s="76" t="s">
        <v>2843</v>
      </c>
      <c r="B198" s="80" t="s">
        <v>533</v>
      </c>
      <c r="C198" s="51" t="s">
        <v>4318</v>
      </c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  <c r="AA198" s="207"/>
      <c r="AB198" s="207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309"/>
      <c r="AU198" s="51"/>
      <c r="AV198" s="74">
        <f>DataInput!AV673*AV363</f>
        <v>17.159589999999998</v>
      </c>
      <c r="AW198" s="74">
        <f>DataInput!AW673*AW363</f>
        <v>10.385899999999999</v>
      </c>
      <c r="AX198" s="74">
        <f>DataInput!AX673*AX363</f>
        <v>14.1553</v>
      </c>
      <c r="AY198" s="74">
        <f>DataInput!AY673*AY363</f>
        <v>-0.42995499999999998</v>
      </c>
      <c r="AZ198" s="74">
        <f>DataInput!AZ673*AZ363</f>
        <v>-81.833326999999997</v>
      </c>
      <c r="BA198" s="74">
        <f>DataInput!BA673*BA363</f>
        <v>114.5891</v>
      </c>
      <c r="BB198" s="74">
        <f>DataInput!BB673*BB363</f>
        <v>-29.319507000000005</v>
      </c>
      <c r="BC198" s="74">
        <f>DataInput!BC673*BC363</f>
        <v>-21.347306000000003</v>
      </c>
      <c r="BD198" s="74">
        <f>DataInput!BD673*BD363</f>
        <v>47.298199999999994</v>
      </c>
      <c r="BE198" s="74">
        <f>DataInput!BE673*BE363</f>
        <v>322.41299999999995</v>
      </c>
      <c r="BF198" s="74">
        <f>DataInput!BF673*BF363</f>
        <v>-429.74975000000006</v>
      </c>
      <c r="BG198" s="338">
        <f>BG363*(DataInput!BG731+DataInput!BG725)-BG199-BG201-BG202</f>
        <v>-736.48349999999994</v>
      </c>
      <c r="BH198" s="338">
        <f>BH363*(DataInput!BH731+DataInput!BH725)-BH199-BH201-BH202</f>
        <v>-166.07249999999993</v>
      </c>
      <c r="BI198" s="338">
        <f>BI363*(DataInput!BI731+DataInput!BI725)-BI199-BI201-BI202</f>
        <v>-385.60500000000019</v>
      </c>
      <c r="BJ198" s="338">
        <f>BJ363*(DataInput!BJ731+DataInput!BJ725)-BJ199-BJ201-BJ202</f>
        <v>-1732.3999999999999</v>
      </c>
      <c r="BK198" s="338">
        <f>BK363*(DataInput!BK731+DataInput!BK725)-BK199-BK201-BK202</f>
        <v>-668.20000000000016</v>
      </c>
      <c r="BL198" s="338">
        <f>BL363*(DataInput!BL731+DataInput!BL725)-BL199-BL201-BL202</f>
        <v>1090.425</v>
      </c>
      <c r="BM198" s="338">
        <f>BM363*(DataInput!BM731+DataInput!BM725)-BM199-BM201-BM202</f>
        <v>741.69000000000017</v>
      </c>
      <c r="BN198" s="338">
        <f>BN363*(DataInput!BN731+DataInput!BN725)-BN199-BN201-BN202</f>
        <v>1189.585</v>
      </c>
      <c r="BO198" s="338">
        <f>BO363*(DataInput!BO731+DataInput!BO725)-BO199-BO201-BO202</f>
        <v>1036.2666666666669</v>
      </c>
      <c r="BP198" s="86">
        <f>BO198*BP363/BO363+SIM!X63+finsim!BO162</f>
        <v>1299.2000000000005</v>
      </c>
      <c r="BQ198" s="86">
        <f>BP198*BQ363/BP363+SIM!Y63+finsim!BP162</f>
        <v>1299.2000000000005</v>
      </c>
      <c r="BR198" s="86">
        <f>BQ198*BR363/BQ363+SIM!Z63+finsim!BQ162</f>
        <v>1299.2000000000005</v>
      </c>
      <c r="BS198" s="86">
        <f>BR198*BS363/BR363+SIM!AA63+finsim!BR162</f>
        <v>1299.2000000000005</v>
      </c>
      <c r="BT198" s="86">
        <f>BS198*BT363/BS363+SIM!AB63+finsim!BS162</f>
        <v>1299.2000000000005</v>
      </c>
      <c r="BU198" s="86">
        <f>BT198*BU363/BT363+SIM!AC63+finsim!BT162</f>
        <v>1299.2000000000005</v>
      </c>
      <c r="BV198" s="86">
        <f>BU198*BV363/BU363+SIM!AD63+finsim!BU162</f>
        <v>1299.2000000000005</v>
      </c>
      <c r="BW198" s="86">
        <f>BV198*BW363/BV363+SIM!AE63+finsim!BV162</f>
        <v>1299.2000000000005</v>
      </c>
      <c r="BX198" s="86">
        <f>BW198*BX363/BW363+SIM!AF63+finsim!BW162</f>
        <v>1299.2000000000005</v>
      </c>
      <c r="BY198" s="86">
        <f>BX198*BY363/BX363+SIM!AG63+finsim!BX162</f>
        <v>1299.2000000000005</v>
      </c>
      <c r="BZ198" s="86">
        <f>BY198*BZ363/BY363+SIM!AH63+finsim!BY162</f>
        <v>1299.2000000000005</v>
      </c>
      <c r="CA198" s="86">
        <f>BZ198*CA363/BZ363+SIM!AI63+finsim!BZ162</f>
        <v>1299.2000000000005</v>
      </c>
      <c r="CB198" s="86">
        <f>CA198*CB363/CA363+SIM!AJ63+finsim!CA162</f>
        <v>1299.2000000000005</v>
      </c>
      <c r="CC198" s="86">
        <f>CB198*CC363/CB363+SIM!AK63+finsim!CB162</f>
        <v>1299.2000000000005</v>
      </c>
      <c r="CD198" s="86">
        <f>CC198*CD363/CC363+SIM!AL63+finsim!CC162</f>
        <v>1299.2000000000005</v>
      </c>
      <c r="CE198" s="86"/>
      <c r="CF198" s="438"/>
      <c r="CG198" s="235">
        <f t="shared" ref="CG198:CG229" si="606">BK198-DG198</f>
        <v>0.32499999999993179</v>
      </c>
      <c r="CH198" s="235">
        <f t="shared" si="450"/>
        <v>0</v>
      </c>
      <c r="CI198" s="235" t="e">
        <f>BM198-#REF!</f>
        <v>#REF!</v>
      </c>
      <c r="CJ198" s="235">
        <f t="shared" si="589"/>
        <v>0</v>
      </c>
      <c r="CK198" s="235">
        <f t="shared" si="590"/>
        <v>0</v>
      </c>
      <c r="CL198" s="235">
        <f t="shared" si="591"/>
        <v>0</v>
      </c>
      <c r="CM198" s="235">
        <f t="shared" si="592"/>
        <v>0</v>
      </c>
      <c r="CN198" s="235">
        <f t="shared" si="593"/>
        <v>0</v>
      </c>
      <c r="CO198" s="235">
        <f t="shared" si="594"/>
        <v>0</v>
      </c>
      <c r="CP198" s="235">
        <f t="shared" si="595"/>
        <v>0</v>
      </c>
      <c r="CQ198" s="235">
        <f t="shared" si="596"/>
        <v>0</v>
      </c>
      <c r="CR198" s="235">
        <f t="shared" si="597"/>
        <v>0</v>
      </c>
      <c r="CS198" s="235">
        <f t="shared" si="598"/>
        <v>0</v>
      </c>
      <c r="CT198" s="235">
        <f t="shared" si="599"/>
        <v>0</v>
      </c>
      <c r="CU198" s="235">
        <f t="shared" si="600"/>
        <v>0</v>
      </c>
      <c r="CV198" s="235">
        <f t="shared" si="601"/>
        <v>0</v>
      </c>
      <c r="CW198" s="235">
        <f t="shared" si="602"/>
        <v>0</v>
      </c>
      <c r="CX198" s="235">
        <f t="shared" si="603"/>
        <v>0</v>
      </c>
      <c r="CY198" s="235">
        <f t="shared" si="604"/>
        <v>0</v>
      </c>
      <c r="CZ198" s="235">
        <f t="shared" si="605"/>
        <v>0</v>
      </c>
      <c r="DA198" s="38"/>
      <c r="DB198" s="236">
        <v>278.57474999999999</v>
      </c>
      <c r="DC198" s="236">
        <v>279.57474999999994</v>
      </c>
      <c r="DD198" s="236">
        <v>-488.33549999999997</v>
      </c>
      <c r="DE198" s="236">
        <v>-204.22800000000004</v>
      </c>
      <c r="DF198" s="401">
        <v>-255.93</v>
      </c>
      <c r="DG198" s="236">
        <v>-668.52500000000009</v>
      </c>
      <c r="DH198" s="492">
        <v>1090.425</v>
      </c>
      <c r="DI198" s="236">
        <v>1189.585</v>
      </c>
      <c r="DJ198" s="236">
        <v>1036.2666666666669</v>
      </c>
      <c r="DK198" s="236">
        <v>1299.2000000000005</v>
      </c>
      <c r="DL198" s="236">
        <v>1299.2000000000005</v>
      </c>
      <c r="DM198" s="236">
        <v>1299.2000000000005</v>
      </c>
      <c r="DN198" s="236">
        <v>1299.2000000000005</v>
      </c>
      <c r="DO198" s="236">
        <v>1299.2000000000005</v>
      </c>
      <c r="DP198" s="236">
        <v>1299.2000000000005</v>
      </c>
      <c r="DQ198" s="401">
        <v>1299.2000000000005</v>
      </c>
      <c r="DR198" s="401">
        <v>1299.2000000000005</v>
      </c>
      <c r="DS198" s="401">
        <v>1299.2000000000005</v>
      </c>
      <c r="DT198" s="401">
        <v>1299.2000000000005</v>
      </c>
      <c r="DU198" s="401">
        <v>1299.2000000000005</v>
      </c>
      <c r="DV198" s="401">
        <v>1299.2000000000005</v>
      </c>
      <c r="DW198" s="401">
        <v>1299.2000000000005</v>
      </c>
      <c r="DX198" s="401">
        <v>1299.2000000000005</v>
      </c>
      <c r="DY198" s="401">
        <v>1299.2000000000005</v>
      </c>
      <c r="DZ198" s="401"/>
      <c r="EA198" s="989"/>
    </row>
    <row r="199" spans="1:131" s="76" customFormat="1">
      <c r="A199" s="76" t="s">
        <v>2844</v>
      </c>
      <c r="B199" s="18" t="s">
        <v>4536</v>
      </c>
      <c r="C199" s="97" t="s">
        <v>1397</v>
      </c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  <c r="AA199" s="207"/>
      <c r="AB199" s="207"/>
      <c r="AC199" s="207"/>
      <c r="AD199" s="207"/>
      <c r="AE199" s="207"/>
      <c r="AF199" s="207"/>
      <c r="AG199" s="207"/>
      <c r="AH199" s="207"/>
      <c r="AI199" s="207"/>
      <c r="AJ199" s="207"/>
      <c r="AK199" s="207"/>
      <c r="AL199" s="207"/>
      <c r="AM199" s="207"/>
      <c r="AN199" s="207"/>
      <c r="AO199" s="207"/>
      <c r="AP199" s="207"/>
      <c r="AQ199" s="207"/>
      <c r="AR199" s="207"/>
      <c r="AS199" s="207"/>
      <c r="AT199" s="309"/>
      <c r="AU199" s="51"/>
      <c r="AV199" s="74">
        <f>DataInput!AV675*AV363</f>
        <v>16.67848</v>
      </c>
      <c r="AW199" s="74">
        <f>DataInput!AW675*AW363</f>
        <v>5.8546000000000005</v>
      </c>
      <c r="AX199" s="74">
        <f>DataInput!AX675*AX363</f>
        <v>2.6465999999999998</v>
      </c>
      <c r="AY199" s="74">
        <f>DataInput!AY675*AY363</f>
        <v>3.0096849999999997</v>
      </c>
      <c r="AZ199" s="74">
        <f>DataInput!AZ675*AZ363</f>
        <v>3.0505129999999996</v>
      </c>
      <c r="BA199" s="74">
        <f>DataInput!BA675*BA363</f>
        <v>3.2677500000000004</v>
      </c>
      <c r="BB199" s="74">
        <f>DataInput!BB675*BB363</f>
        <v>13.728975500000002</v>
      </c>
      <c r="BC199" s="74">
        <f>DataInput!BC675*BC363</f>
        <v>23.429969999999997</v>
      </c>
      <c r="BD199" s="74">
        <f>DataInput!BD675*BD363</f>
        <v>51.672599999999996</v>
      </c>
      <c r="BE199" s="74">
        <f>DataInput!BE675*BE363</f>
        <v>39.585000000000001</v>
      </c>
      <c r="BF199" s="74">
        <f>DataInput!BF675*BF363</f>
        <v>52.930250000000008</v>
      </c>
      <c r="BG199" s="74">
        <f>DataInput!BG675*BG363</f>
        <v>22.234500000000001</v>
      </c>
      <c r="BH199" s="74">
        <f>DataInput!BH675*BH363</f>
        <v>87.5655</v>
      </c>
      <c r="BI199" s="74">
        <f>DataInput!BI675*BI363</f>
        <v>249.09000000000003</v>
      </c>
      <c r="BJ199" s="74">
        <f>DataInput!BJ675*BJ363</f>
        <v>164.39499999999998</v>
      </c>
      <c r="BK199" s="74">
        <f>DataInput!BK675*BK363</f>
        <v>113.75</v>
      </c>
      <c r="BL199" s="74">
        <f>DataInput!BL675*BL363</f>
        <v>-23.45</v>
      </c>
      <c r="BM199" s="74">
        <f>DataInput!BM675*BM363</f>
        <v>0.33500000000000002</v>
      </c>
      <c r="BN199" s="74">
        <f>DataInput!BN675*BN363</f>
        <v>-1.675</v>
      </c>
      <c r="BO199" s="74">
        <f>DataInput!BO675*BO363</f>
        <v>0</v>
      </c>
      <c r="BP199" s="94">
        <f t="shared" ref="BP199:BU199" ca="1" si="607">BO199+BP237-BO237</f>
        <v>2.5248789412131099E-8</v>
      </c>
      <c r="BQ199" s="94">
        <f t="shared" ca="1" si="607"/>
        <v>3.4781160706169486E-8</v>
      </c>
      <c r="BR199" s="94">
        <f t="shared" ca="1" si="607"/>
        <v>4.0856582117238359E-8</v>
      </c>
      <c r="BS199" s="94">
        <f t="shared" ca="1" si="607"/>
        <v>4.5338475624855551E-8</v>
      </c>
      <c r="BT199" s="94">
        <f t="shared" ca="1" si="607"/>
        <v>5.1415358803628242E-8</v>
      </c>
      <c r="BU199" s="94">
        <f t="shared" ca="1" si="607"/>
        <v>5.7859137807646507E-8</v>
      </c>
      <c r="BV199" s="94">
        <f t="shared" ref="BV199:BX199" ca="1" si="608">BU199+BV237-BU237</f>
        <v>6.4599346534250354E-8</v>
      </c>
      <c r="BW199" s="94">
        <f t="shared" ca="1" si="608"/>
        <v>7.1647413239842669E-8</v>
      </c>
      <c r="BX199" s="94">
        <f t="shared" ca="1" si="608"/>
        <v>7.8985718183418578E-8</v>
      </c>
      <c r="BY199" s="94">
        <f t="shared" ref="BY199" ca="1" si="609">BX199+BY237-BX237</f>
        <v>8.6621754684944829E-8</v>
      </c>
      <c r="BZ199" s="94">
        <f t="shared" ref="BZ199" ca="1" si="610">BY199+BZ237-BY237</f>
        <v>9.4569793040226464E-8</v>
      </c>
      <c r="CA199" s="94">
        <f t="shared" ref="CA199" ca="1" si="611">BZ199+CA237-BZ237</f>
        <v>1.0285893224971069E-7</v>
      </c>
      <c r="CB199" s="94">
        <f t="shared" ref="CB199" ca="1" si="612">CA199+CB237-CA237</f>
        <v>1.1151104372670924E-7</v>
      </c>
      <c r="CC199" s="94">
        <f t="shared" ref="CC199" ca="1" si="613">CB199+CC237-CB237</f>
        <v>1.2052626849180056E-7</v>
      </c>
      <c r="CD199" s="94">
        <f t="shared" ref="CD199" ca="1" si="614">CC199+CD237-CC237</f>
        <v>1.2992018622811111E-7</v>
      </c>
      <c r="CE199" s="94"/>
      <c r="CF199" s="435"/>
      <c r="CG199" s="235">
        <f t="shared" si="606"/>
        <v>0</v>
      </c>
      <c r="CH199" s="235">
        <f t="shared" si="450"/>
        <v>0</v>
      </c>
      <c r="CI199" s="235" t="e">
        <f>BM199-#REF!</f>
        <v>#REF!</v>
      </c>
      <c r="CJ199" s="235">
        <f t="shared" si="589"/>
        <v>0</v>
      </c>
      <c r="CK199" s="235">
        <f t="shared" si="590"/>
        <v>0</v>
      </c>
      <c r="CL199" s="235">
        <f t="shared" ca="1" si="591"/>
        <v>0</v>
      </c>
      <c r="CM199" s="235">
        <f t="shared" ca="1" si="592"/>
        <v>0</v>
      </c>
      <c r="CN199" s="235">
        <f t="shared" ca="1" si="593"/>
        <v>0</v>
      </c>
      <c r="CO199" s="235">
        <f t="shared" ca="1" si="594"/>
        <v>0</v>
      </c>
      <c r="CP199" s="235">
        <f t="shared" ca="1" si="595"/>
        <v>0</v>
      </c>
      <c r="CQ199" s="235">
        <f t="shared" ca="1" si="596"/>
        <v>0</v>
      </c>
      <c r="CR199" s="235">
        <f t="shared" ca="1" si="597"/>
        <v>0</v>
      </c>
      <c r="CS199" s="235">
        <f t="shared" ca="1" si="598"/>
        <v>0</v>
      </c>
      <c r="CT199" s="235">
        <f t="shared" ca="1" si="599"/>
        <v>0</v>
      </c>
      <c r="CU199" s="235">
        <f t="shared" ca="1" si="600"/>
        <v>0</v>
      </c>
      <c r="CV199" s="235">
        <f t="shared" ca="1" si="601"/>
        <v>0</v>
      </c>
      <c r="CW199" s="235">
        <f t="shared" ca="1" si="602"/>
        <v>1.0587911840678754E-22</v>
      </c>
      <c r="CX199" s="235">
        <f t="shared" ca="1" si="603"/>
        <v>8.9997250645769411E-22</v>
      </c>
      <c r="CY199" s="235">
        <f t="shared" ca="1" si="604"/>
        <v>6.485096002415737E-21</v>
      </c>
      <c r="CZ199" s="235">
        <f t="shared" ca="1" si="605"/>
        <v>3.4569532159816133E-20</v>
      </c>
      <c r="DA199" s="38"/>
      <c r="DB199" s="236">
        <v>51.930250000000001</v>
      </c>
      <c r="DC199" s="236">
        <v>52.930250000000008</v>
      </c>
      <c r="DD199" s="236">
        <v>22.234500000000001</v>
      </c>
      <c r="DE199" s="236">
        <v>87.5655</v>
      </c>
      <c r="DF199" s="401">
        <v>251.94</v>
      </c>
      <c r="DG199" s="236">
        <v>113.75</v>
      </c>
      <c r="DH199" s="492">
        <v>-23.45</v>
      </c>
      <c r="DI199" s="236">
        <v>-1.675</v>
      </c>
      <c r="DJ199" s="236">
        <v>0</v>
      </c>
      <c r="DK199" s="236">
        <v>2.5248789412131099E-8</v>
      </c>
      <c r="DL199" s="236">
        <v>3.4781160706169486E-8</v>
      </c>
      <c r="DM199" s="236">
        <v>4.0856582117238359E-8</v>
      </c>
      <c r="DN199" s="236">
        <v>4.5338475624855551E-8</v>
      </c>
      <c r="DO199" s="236">
        <v>5.1415358803628242E-8</v>
      </c>
      <c r="DP199" s="236">
        <v>5.785913780764648E-8</v>
      </c>
      <c r="DQ199" s="401">
        <v>6.4599346534250328E-8</v>
      </c>
      <c r="DR199" s="401">
        <v>7.1647413239842589E-8</v>
      </c>
      <c r="DS199" s="401">
        <v>7.8985718183418499E-8</v>
      </c>
      <c r="DT199" s="401">
        <v>8.6621754684944776E-8</v>
      </c>
      <c r="DU199" s="401">
        <v>9.4569793040226411E-8</v>
      </c>
      <c r="DV199" s="401">
        <v>1.0285893224971058E-7</v>
      </c>
      <c r="DW199" s="401">
        <v>1.1151104372670834E-7</v>
      </c>
      <c r="DX199" s="401">
        <v>1.2052626849179408E-7</v>
      </c>
      <c r="DY199" s="401">
        <v>1.2992018622807654E-7</v>
      </c>
      <c r="DZ199" s="401"/>
      <c r="EA199" s="989"/>
    </row>
    <row r="200" spans="1:131" s="158" customFormat="1">
      <c r="A200" s="158" t="s">
        <v>2845</v>
      </c>
      <c r="B200" s="98" t="str">
        <f>B237</f>
        <v>Schenkingsmiddelen cf.FIN</v>
      </c>
      <c r="C200" s="161" t="s">
        <v>2464</v>
      </c>
      <c r="D200" s="215"/>
      <c r="E200" s="215"/>
      <c r="F200" s="98">
        <f t="shared" ref="F200:AT200" si="615">F237</f>
        <v>0</v>
      </c>
      <c r="G200" s="98">
        <f t="shared" si="615"/>
        <v>0</v>
      </c>
      <c r="H200" s="98">
        <f t="shared" si="615"/>
        <v>0</v>
      </c>
      <c r="I200" s="98">
        <f t="shared" si="615"/>
        <v>0</v>
      </c>
      <c r="J200" s="98">
        <f t="shared" si="615"/>
        <v>0</v>
      </c>
      <c r="K200" s="98">
        <f t="shared" si="615"/>
        <v>0</v>
      </c>
      <c r="L200" s="98">
        <f t="shared" si="615"/>
        <v>0</v>
      </c>
      <c r="M200" s="98">
        <f t="shared" si="615"/>
        <v>0</v>
      </c>
      <c r="N200" s="98">
        <f t="shared" si="615"/>
        <v>0</v>
      </c>
      <c r="O200" s="98">
        <f t="shared" si="615"/>
        <v>0</v>
      </c>
      <c r="P200" s="98">
        <f t="shared" si="615"/>
        <v>0</v>
      </c>
      <c r="Q200" s="98">
        <f t="shared" si="615"/>
        <v>0</v>
      </c>
      <c r="R200" s="98">
        <f t="shared" si="615"/>
        <v>0</v>
      </c>
      <c r="S200" s="98">
        <f t="shared" si="615"/>
        <v>0</v>
      </c>
      <c r="T200" s="98">
        <f t="shared" si="615"/>
        <v>0</v>
      </c>
      <c r="U200" s="98">
        <f t="shared" si="615"/>
        <v>0</v>
      </c>
      <c r="V200" s="98">
        <f t="shared" si="615"/>
        <v>0</v>
      </c>
      <c r="W200" s="98">
        <f t="shared" si="615"/>
        <v>0</v>
      </c>
      <c r="X200" s="98">
        <f t="shared" si="615"/>
        <v>0</v>
      </c>
      <c r="Y200" s="98">
        <f t="shared" si="615"/>
        <v>0</v>
      </c>
      <c r="Z200" s="98">
        <f t="shared" si="615"/>
        <v>0</v>
      </c>
      <c r="AA200" s="98">
        <f t="shared" si="615"/>
        <v>0</v>
      </c>
      <c r="AB200" s="98">
        <f t="shared" si="615"/>
        <v>0</v>
      </c>
      <c r="AC200" s="98">
        <f t="shared" si="615"/>
        <v>0</v>
      </c>
      <c r="AD200" s="98">
        <f t="shared" si="615"/>
        <v>0</v>
      </c>
      <c r="AE200" s="98">
        <f t="shared" si="615"/>
        <v>0</v>
      </c>
      <c r="AF200" s="98">
        <f t="shared" si="615"/>
        <v>0</v>
      </c>
      <c r="AG200" s="98">
        <f t="shared" si="615"/>
        <v>0</v>
      </c>
      <c r="AH200" s="98">
        <f t="shared" si="615"/>
        <v>0</v>
      </c>
      <c r="AI200" s="98">
        <f t="shared" si="615"/>
        <v>0</v>
      </c>
      <c r="AJ200" s="98">
        <f t="shared" si="615"/>
        <v>0</v>
      </c>
      <c r="AK200" s="98">
        <f t="shared" si="615"/>
        <v>0</v>
      </c>
      <c r="AL200" s="98">
        <f t="shared" si="615"/>
        <v>0</v>
      </c>
      <c r="AM200" s="98">
        <f t="shared" si="615"/>
        <v>0</v>
      </c>
      <c r="AN200" s="98">
        <f t="shared" si="615"/>
        <v>0</v>
      </c>
      <c r="AO200" s="98">
        <f t="shared" si="615"/>
        <v>0</v>
      </c>
      <c r="AP200" s="98">
        <f t="shared" si="615"/>
        <v>0</v>
      </c>
      <c r="AQ200" s="98">
        <f t="shared" si="615"/>
        <v>0</v>
      </c>
      <c r="AR200" s="98">
        <f t="shared" si="615"/>
        <v>0</v>
      </c>
      <c r="AS200" s="98">
        <f t="shared" si="615"/>
        <v>0</v>
      </c>
      <c r="AT200" s="98">
        <f t="shared" si="615"/>
        <v>184</v>
      </c>
      <c r="AU200" s="98">
        <f t="shared" ref="AU200:BH200" si="616">AU237</f>
        <v>0</v>
      </c>
      <c r="AV200" s="98">
        <f t="shared" si="616"/>
        <v>21.804707049999998</v>
      </c>
      <c r="AW200" s="98">
        <f t="shared" si="616"/>
        <v>9.2480624999999996</v>
      </c>
      <c r="AX200" s="98">
        <f t="shared" si="616"/>
        <v>13.89866</v>
      </c>
      <c r="AY200" s="98">
        <f t="shared" si="616"/>
        <v>12.00176387</v>
      </c>
      <c r="AZ200" s="98">
        <f t="shared" si="616"/>
        <v>52.625328179999997</v>
      </c>
      <c r="BA200" s="98">
        <f t="shared" si="616"/>
        <v>27.4</v>
      </c>
      <c r="BB200" s="98">
        <f t="shared" si="616"/>
        <v>29.998000000000001</v>
      </c>
      <c r="BC200" s="98">
        <f t="shared" si="616"/>
        <v>45.859171000000003</v>
      </c>
      <c r="BD200" s="98">
        <f t="shared" si="616"/>
        <v>58.167188000000003</v>
      </c>
      <c r="BE200" s="98">
        <f t="shared" si="616"/>
        <v>86.042665580000005</v>
      </c>
      <c r="BF200" s="98">
        <f t="shared" si="616"/>
        <v>159.73000018149997</v>
      </c>
      <c r="BG200" s="98">
        <f t="shared" si="616"/>
        <v>423.2</v>
      </c>
      <c r="BH200" s="98">
        <f t="shared" si="616"/>
        <v>243.58499699999999</v>
      </c>
      <c r="BI200" s="98">
        <f t="shared" ref="BI200:BP200" si="617">BI237</f>
        <v>354.07048700000001</v>
      </c>
      <c r="BJ200" s="98">
        <f t="shared" si="617"/>
        <v>149.1</v>
      </c>
      <c r="BK200" s="98">
        <f>BK237</f>
        <v>115.4</v>
      </c>
      <c r="BL200" s="98">
        <f t="shared" si="617"/>
        <v>0</v>
      </c>
      <c r="BM200" s="98">
        <f>BM237</f>
        <v>9.9999999999999995E-8</v>
      </c>
      <c r="BN200" s="98">
        <f>BN237</f>
        <v>9.9999999999999995E-8</v>
      </c>
      <c r="BO200" s="98">
        <f>BO237</f>
        <v>9.9999999999999995E-8</v>
      </c>
      <c r="BP200" s="98">
        <f t="shared" ca="1" si="617"/>
        <v>1.2524878941213109E-7</v>
      </c>
      <c r="BQ200" s="98">
        <f t="shared" ref="BQ200:BV200" ca="1" si="618">BQ237</f>
        <v>1.3478116070616948E-7</v>
      </c>
      <c r="BR200" s="98">
        <f t="shared" ca="1" si="618"/>
        <v>1.4085658211723835E-7</v>
      </c>
      <c r="BS200" s="98">
        <f t="shared" ca="1" si="618"/>
        <v>1.4533847562485555E-7</v>
      </c>
      <c r="BT200" s="98">
        <f t="shared" ca="1" si="618"/>
        <v>1.5141535880362824E-7</v>
      </c>
      <c r="BU200" s="98">
        <f t="shared" ca="1" si="618"/>
        <v>1.578591378076465E-7</v>
      </c>
      <c r="BV200" s="98">
        <f t="shared" ca="1" si="618"/>
        <v>1.6459934653425035E-7</v>
      </c>
      <c r="BW200" s="98">
        <f t="shared" ref="BW200:BX200" ca="1" si="619">BW237</f>
        <v>1.7164741323984266E-7</v>
      </c>
      <c r="BX200" s="98">
        <f t="shared" ca="1" si="619"/>
        <v>1.7898571818341857E-7</v>
      </c>
      <c r="BY200" s="98">
        <f t="shared" ref="BY200:CD200" ca="1" si="620">BY237</f>
        <v>1.8662175468494485E-7</v>
      </c>
      <c r="BZ200" s="98">
        <f t="shared" ca="1" si="620"/>
        <v>1.9456979304022649E-7</v>
      </c>
      <c r="CA200" s="98">
        <f t="shared" ca="1" si="620"/>
        <v>2.0285893224971068E-7</v>
      </c>
      <c r="CB200" s="98">
        <f t="shared" ca="1" si="620"/>
        <v>2.1151104372670921E-7</v>
      </c>
      <c r="CC200" s="98">
        <f t="shared" ca="1" si="620"/>
        <v>2.2052626849180053E-7</v>
      </c>
      <c r="CD200" s="98">
        <f t="shared" ca="1" si="620"/>
        <v>2.2992018622811105E-7</v>
      </c>
      <c r="CE200" s="98"/>
      <c r="CF200" s="435"/>
      <c r="CG200" s="235">
        <f t="shared" si="606"/>
        <v>0</v>
      </c>
      <c r="CH200" s="235">
        <f t="shared" si="450"/>
        <v>0</v>
      </c>
      <c r="CI200" s="235" t="e">
        <f>BM200-#REF!</f>
        <v>#REF!</v>
      </c>
      <c r="CJ200" s="235">
        <f t="shared" si="589"/>
        <v>0</v>
      </c>
      <c r="CK200" s="235">
        <f t="shared" si="590"/>
        <v>0</v>
      </c>
      <c r="CL200" s="235">
        <f t="shared" ca="1" si="591"/>
        <v>0</v>
      </c>
      <c r="CM200" s="235">
        <f t="shared" ca="1" si="592"/>
        <v>0</v>
      </c>
      <c r="CN200" s="235">
        <f t="shared" ca="1" si="593"/>
        <v>0</v>
      </c>
      <c r="CO200" s="235">
        <f t="shared" ca="1" si="594"/>
        <v>0</v>
      </c>
      <c r="CP200" s="235">
        <f t="shared" ca="1" si="595"/>
        <v>0</v>
      </c>
      <c r="CQ200" s="235">
        <f t="shared" ca="1" si="596"/>
        <v>0</v>
      </c>
      <c r="CR200" s="235">
        <f t="shared" ca="1" si="597"/>
        <v>0</v>
      </c>
      <c r="CS200" s="235">
        <f t="shared" ca="1" si="598"/>
        <v>0</v>
      </c>
      <c r="CT200" s="235">
        <f t="shared" ca="1" si="599"/>
        <v>0</v>
      </c>
      <c r="CU200" s="235">
        <f t="shared" ca="1" si="600"/>
        <v>0</v>
      </c>
      <c r="CV200" s="235">
        <f t="shared" ca="1" si="601"/>
        <v>0</v>
      </c>
      <c r="CW200" s="235">
        <f t="shared" ca="1" si="602"/>
        <v>0</v>
      </c>
      <c r="CX200" s="235">
        <f t="shared" ca="1" si="603"/>
        <v>9.26442286059391E-22</v>
      </c>
      <c r="CY200" s="235">
        <f t="shared" ca="1" si="604"/>
        <v>6.5115657820174339E-21</v>
      </c>
      <c r="CZ200" s="235">
        <f t="shared" ca="1" si="605"/>
        <v>3.4543062380214436E-20</v>
      </c>
      <c r="DA200" s="38"/>
      <c r="DB200" s="236">
        <v>158.7300001815</v>
      </c>
      <c r="DC200" s="236">
        <v>159.73000018149997</v>
      </c>
      <c r="DD200" s="236">
        <v>370.70384799999999</v>
      </c>
      <c r="DE200" s="236">
        <v>243.58499699999999</v>
      </c>
      <c r="DF200" s="401">
        <v>354.07048700000001</v>
      </c>
      <c r="DG200" s="236">
        <v>115.4</v>
      </c>
      <c r="DH200" s="492">
        <v>0</v>
      </c>
      <c r="DI200" s="236">
        <v>9.9999999999999995E-8</v>
      </c>
      <c r="DJ200" s="236">
        <v>9.9999999999999995E-8</v>
      </c>
      <c r="DK200" s="236">
        <v>1.2524878941213109E-7</v>
      </c>
      <c r="DL200" s="236">
        <v>1.3478116070616948E-7</v>
      </c>
      <c r="DM200" s="236">
        <v>1.4085658211723835E-7</v>
      </c>
      <c r="DN200" s="236">
        <v>1.4533847562485555E-7</v>
      </c>
      <c r="DO200" s="236">
        <v>1.5141535880362824E-7</v>
      </c>
      <c r="DP200" s="236">
        <v>1.5785913780764648E-7</v>
      </c>
      <c r="DQ200" s="401">
        <v>1.6459934653425032E-7</v>
      </c>
      <c r="DR200" s="401">
        <v>1.7164741323984258E-7</v>
      </c>
      <c r="DS200" s="401">
        <v>1.7898571818341847E-7</v>
      </c>
      <c r="DT200" s="401">
        <v>1.8662175468494475E-7</v>
      </c>
      <c r="DU200" s="401">
        <v>1.9456979304022638E-7</v>
      </c>
      <c r="DV200" s="401">
        <v>2.0285893224971052E-7</v>
      </c>
      <c r="DW200" s="401">
        <v>2.1151104372670828E-7</v>
      </c>
      <c r="DX200" s="401">
        <v>2.2052626849179402E-7</v>
      </c>
      <c r="DY200" s="401">
        <v>2.2992018622807651E-7</v>
      </c>
      <c r="DZ200" s="401"/>
      <c r="EA200" s="989"/>
    </row>
    <row r="201" spans="1:131" s="76" customFormat="1">
      <c r="A201" s="976" t="s">
        <v>3892</v>
      </c>
      <c r="B201" s="18" t="s">
        <v>4307</v>
      </c>
      <c r="C201" s="97" t="s">
        <v>1398</v>
      </c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07"/>
      <c r="V201" s="207"/>
      <c r="W201" s="207"/>
      <c r="X201" s="207"/>
      <c r="Y201" s="207"/>
      <c r="Z201" s="207"/>
      <c r="AA201" s="207"/>
      <c r="AB201" s="207"/>
      <c r="AC201" s="207"/>
      <c r="AD201" s="207"/>
      <c r="AE201" s="207"/>
      <c r="AF201" s="207"/>
      <c r="AG201" s="207"/>
      <c r="AH201" s="207"/>
      <c r="AI201" s="207"/>
      <c r="AJ201" s="207"/>
      <c r="AK201" s="207"/>
      <c r="AL201" s="207"/>
      <c r="AM201" s="207"/>
      <c r="AN201" s="207"/>
      <c r="AO201" s="207"/>
      <c r="AP201" s="207"/>
      <c r="AQ201" s="207"/>
      <c r="AR201" s="207"/>
      <c r="AS201" s="207"/>
      <c r="AT201" s="309"/>
      <c r="AU201" s="51"/>
      <c r="AV201" s="74">
        <f>DataInput!AV676*AV363</f>
        <v>0</v>
      </c>
      <c r="AW201" s="74">
        <f>DataInput!AW676*AW363</f>
        <v>0</v>
      </c>
      <c r="AX201" s="74">
        <f>DataInput!AX676*AX363</f>
        <v>0</v>
      </c>
      <c r="AY201" s="74">
        <f>DataInput!AY676*AY363</f>
        <v>0</v>
      </c>
      <c r="AZ201" s="74">
        <f>DataInput!AZ676*AZ363</f>
        <v>0</v>
      </c>
      <c r="BA201" s="74">
        <f>DataInput!BA676*BA363</f>
        <v>0</v>
      </c>
      <c r="BB201" s="74">
        <f>DataInput!BB676*BB363</f>
        <v>0</v>
      </c>
      <c r="BC201" s="74">
        <f>DataInput!BC676*BC363</f>
        <v>0</v>
      </c>
      <c r="BD201" s="74">
        <f>DataInput!BD676*BD363</f>
        <v>0</v>
      </c>
      <c r="BE201" s="74">
        <f>DataInput!BE676*BE363</f>
        <v>0</v>
      </c>
      <c r="BF201" s="74">
        <f>DataInput!BF676*BF363</f>
        <v>0</v>
      </c>
      <c r="BG201" s="74">
        <f>DataInput!BG676*BG363</f>
        <v>0</v>
      </c>
      <c r="BH201" s="74">
        <f>DataInput!BH676*BH363</f>
        <v>0</v>
      </c>
      <c r="BI201" s="74">
        <f>DataInput!BI676*BI363</f>
        <v>0</v>
      </c>
      <c r="BJ201" s="74">
        <f>DataInput!BJ676*BJ363</f>
        <v>0</v>
      </c>
      <c r="BK201" s="74">
        <f>DataInput!BK676*BK363</f>
        <v>0</v>
      </c>
      <c r="BL201" s="74">
        <f>DataInput!BL676*BL363</f>
        <v>0</v>
      </c>
      <c r="BM201" s="74">
        <f>DataInput!BM676*BM363</f>
        <v>0</v>
      </c>
      <c r="BN201" s="74">
        <f>DataInput!BN676*BN363</f>
        <v>0</v>
      </c>
      <c r="BO201" s="74">
        <f>DataInput!BO676*BO363</f>
        <v>0</v>
      </c>
      <c r="BP201" s="86">
        <f t="shared" ref="BP201:BU201" si="621">BO201</f>
        <v>0</v>
      </c>
      <c r="BQ201" s="86">
        <f t="shared" si="621"/>
        <v>0</v>
      </c>
      <c r="BR201" s="86">
        <f t="shared" si="621"/>
        <v>0</v>
      </c>
      <c r="BS201" s="86">
        <f t="shared" si="621"/>
        <v>0</v>
      </c>
      <c r="BT201" s="86">
        <f t="shared" si="621"/>
        <v>0</v>
      </c>
      <c r="BU201" s="86">
        <f t="shared" si="621"/>
        <v>0</v>
      </c>
      <c r="BV201" s="86">
        <f t="shared" ref="BV201:BX201" si="622">BU201</f>
        <v>0</v>
      </c>
      <c r="BW201" s="86">
        <f t="shared" si="622"/>
        <v>0</v>
      </c>
      <c r="BX201" s="86">
        <f t="shared" si="622"/>
        <v>0</v>
      </c>
      <c r="BY201" s="86">
        <f t="shared" ref="BY201" si="623">BX201</f>
        <v>0</v>
      </c>
      <c r="BZ201" s="86">
        <f t="shared" ref="BZ201" si="624">BY201</f>
        <v>0</v>
      </c>
      <c r="CA201" s="86">
        <f t="shared" ref="CA201" si="625">BZ201</f>
        <v>0</v>
      </c>
      <c r="CB201" s="86">
        <f t="shared" ref="CB201" si="626">CA201</f>
        <v>0</v>
      </c>
      <c r="CC201" s="86">
        <f t="shared" ref="CC201" si="627">CB201</f>
        <v>0</v>
      </c>
      <c r="CD201" s="86">
        <f t="shared" ref="CD201" si="628">CC201</f>
        <v>0</v>
      </c>
      <c r="CE201" s="86"/>
      <c r="CF201" s="435"/>
      <c r="CG201" s="235">
        <f t="shared" si="606"/>
        <v>0</v>
      </c>
      <c r="CH201" s="235">
        <f t="shared" si="450"/>
        <v>0</v>
      </c>
      <c r="CI201" s="235" t="e">
        <f>BM201-#REF!</f>
        <v>#REF!</v>
      </c>
      <c r="CJ201" s="235">
        <f t="shared" si="589"/>
        <v>0</v>
      </c>
      <c r="CK201" s="235">
        <f t="shared" si="590"/>
        <v>0</v>
      </c>
      <c r="CL201" s="235">
        <f t="shared" si="591"/>
        <v>0</v>
      </c>
      <c r="CM201" s="235">
        <f t="shared" si="592"/>
        <v>0</v>
      </c>
      <c r="CN201" s="235">
        <f t="shared" si="593"/>
        <v>0</v>
      </c>
      <c r="CO201" s="235">
        <f t="shared" si="594"/>
        <v>0</v>
      </c>
      <c r="CP201" s="235">
        <f t="shared" si="595"/>
        <v>0</v>
      </c>
      <c r="CQ201" s="235">
        <f t="shared" si="596"/>
        <v>0</v>
      </c>
      <c r="CR201" s="235">
        <f t="shared" si="597"/>
        <v>0</v>
      </c>
      <c r="CS201" s="235">
        <f t="shared" si="598"/>
        <v>0</v>
      </c>
      <c r="CT201" s="235">
        <f t="shared" si="599"/>
        <v>0</v>
      </c>
      <c r="CU201" s="235">
        <f t="shared" si="600"/>
        <v>0</v>
      </c>
      <c r="CV201" s="235">
        <f t="shared" si="601"/>
        <v>0</v>
      </c>
      <c r="CW201" s="235">
        <f t="shared" si="602"/>
        <v>0</v>
      </c>
      <c r="CX201" s="235">
        <f t="shared" si="603"/>
        <v>0</v>
      </c>
      <c r="CY201" s="235">
        <f t="shared" si="604"/>
        <v>0</v>
      </c>
      <c r="CZ201" s="235">
        <f t="shared" si="605"/>
        <v>0</v>
      </c>
      <c r="DA201" s="38"/>
      <c r="DB201" s="236">
        <v>-1</v>
      </c>
      <c r="DC201" s="236">
        <v>0</v>
      </c>
      <c r="DD201" s="236">
        <v>0</v>
      </c>
      <c r="DE201" s="236">
        <v>0</v>
      </c>
      <c r="DF201" s="401">
        <v>0</v>
      </c>
      <c r="DG201" s="236">
        <v>0</v>
      </c>
      <c r="DH201" s="492">
        <v>0</v>
      </c>
      <c r="DI201" s="236">
        <v>0</v>
      </c>
      <c r="DJ201" s="236">
        <v>0</v>
      </c>
      <c r="DK201" s="236">
        <v>0</v>
      </c>
      <c r="DL201" s="236">
        <v>0</v>
      </c>
      <c r="DM201" s="236">
        <v>0</v>
      </c>
      <c r="DN201" s="236">
        <v>0</v>
      </c>
      <c r="DO201" s="236">
        <v>0</v>
      </c>
      <c r="DP201" s="236">
        <v>0</v>
      </c>
      <c r="DQ201" s="401">
        <v>0</v>
      </c>
      <c r="DR201" s="401">
        <v>0</v>
      </c>
      <c r="DS201" s="401">
        <v>0</v>
      </c>
      <c r="DT201" s="401">
        <v>0</v>
      </c>
      <c r="DU201" s="401">
        <v>0</v>
      </c>
      <c r="DV201" s="401">
        <v>0</v>
      </c>
      <c r="DW201" s="401">
        <v>0</v>
      </c>
      <c r="DX201" s="401">
        <v>0</v>
      </c>
      <c r="DY201" s="401">
        <v>0</v>
      </c>
      <c r="DZ201" s="401"/>
      <c r="EA201" s="989"/>
    </row>
    <row r="202" spans="1:131" s="76" customFormat="1">
      <c r="A202" s="976" t="s">
        <v>3893</v>
      </c>
      <c r="B202" s="18" t="s">
        <v>2277</v>
      </c>
      <c r="C202" s="97" t="s">
        <v>3499</v>
      </c>
      <c r="D202" s="207"/>
      <c r="E202" s="207"/>
      <c r="F202" s="313">
        <f>mamiabc!F74</f>
        <v>2E-3</v>
      </c>
      <c r="G202" s="313">
        <f>mamiabc!G74</f>
        <v>1.6000000000000001E-3</v>
      </c>
      <c r="H202" s="313">
        <f>mamiabc!H74</f>
        <v>2.299999952316284E-3</v>
      </c>
      <c r="I202" s="313">
        <f>mamiabc!I74</f>
        <v>3.5999999046325685E-3</v>
      </c>
      <c r="J202" s="313">
        <f>mamiabc!J74</f>
        <v>4.6999998092651365E-3</v>
      </c>
      <c r="K202" s="313">
        <f>mamiabc!K74</f>
        <v>4.6999998092651365E-3</v>
      </c>
      <c r="L202" s="313">
        <f>mamiabc!L74</f>
        <v>6.4000000953674313E-3</v>
      </c>
      <c r="M202" s="313">
        <f>mamiabc!M74</f>
        <v>8.199999809265137E-3</v>
      </c>
      <c r="N202" s="313">
        <f>mamiabc!N74</f>
        <v>7.4000000953674313E-3</v>
      </c>
      <c r="O202" s="313">
        <f>mamiabc!O74</f>
        <v>1.1800000190734863E-2</v>
      </c>
      <c r="P202" s="313">
        <f>mamiabc!P74</f>
        <v>1.5399999618530273E-2</v>
      </c>
      <c r="Q202" s="313">
        <f>mamiabc!Q74</f>
        <v>1.6600000381469728E-2</v>
      </c>
      <c r="R202" s="313">
        <f>mamiabc!R74</f>
        <v>6.0000000000000001E-3</v>
      </c>
      <c r="S202" s="313">
        <f>mamiabc!S74</f>
        <v>4.4000000953674312E-3</v>
      </c>
      <c r="T202" s="313">
        <f>mamiabc!T74</f>
        <v>6.8000001907348633E-3</v>
      </c>
      <c r="U202" s="313">
        <f>mamiabc!U74</f>
        <v>6.9000000953674317E-3</v>
      </c>
      <c r="V202" s="313">
        <f>mamiabc!V74</f>
        <v>1.5399999618530273E-2</v>
      </c>
      <c r="W202" s="313">
        <f>mamiabc!W74</f>
        <v>7.199999809265137E-3</v>
      </c>
      <c r="X202" s="313">
        <f>mamiabc!X74</f>
        <v>3.2900001525878908E-2</v>
      </c>
      <c r="Y202" s="313">
        <f>mamiabc!Y74</f>
        <v>1.2300000190734864E-2</v>
      </c>
      <c r="Z202" s="313">
        <f>mamiabc!Z74</f>
        <v>1.8100000381469725E-2</v>
      </c>
      <c r="AA202" s="313">
        <f>mamiabc!AA74</f>
        <v>1.7100000381469728E-2</v>
      </c>
      <c r="AB202" s="313">
        <f>mamiabc!AB74</f>
        <v>0</v>
      </c>
      <c r="AC202" s="313">
        <f>mamiabc!AC74</f>
        <v>0</v>
      </c>
      <c r="AD202" s="313">
        <f>mamiabc!AD74</f>
        <v>0.04</v>
      </c>
      <c r="AE202" s="313">
        <f>mamiabc!AE74</f>
        <v>0</v>
      </c>
      <c r="AF202" s="313">
        <f>mamiabc!AF74</f>
        <v>0</v>
      </c>
      <c r="AG202" s="313">
        <f>mamiabc!AG74</f>
        <v>0</v>
      </c>
      <c r="AH202" s="313">
        <f>mamiabc!AH74</f>
        <v>0</v>
      </c>
      <c r="AI202" s="313">
        <f>mamiabc!AI74</f>
        <v>0</v>
      </c>
      <c r="AJ202" s="313">
        <f>mamiabc!AJ74</f>
        <v>0</v>
      </c>
      <c r="AK202" s="313">
        <f>mamiabc!AK74</f>
        <v>0</v>
      </c>
      <c r="AL202" s="313">
        <f>mamiabc!AL74</f>
        <v>0</v>
      </c>
      <c r="AM202" s="313">
        <f>mamiabc!AM74</f>
        <v>8.199999809265137E-3</v>
      </c>
      <c r="AN202" s="313">
        <f>mamiabc!AN74</f>
        <v>1.9E-2</v>
      </c>
      <c r="AO202" s="313">
        <f>mamiabc!AO74</f>
        <v>4.2999999999999997E-2</v>
      </c>
      <c r="AP202" s="313">
        <f>mamiabc!AP74</f>
        <v>0</v>
      </c>
      <c r="AQ202" s="313">
        <f>mamiabc!AQ74</f>
        <v>0</v>
      </c>
      <c r="AR202" s="313">
        <f>mamiabc!AR74</f>
        <v>0</v>
      </c>
      <c r="AS202" s="313">
        <f>mamiabc!AS74</f>
        <v>0</v>
      </c>
      <c r="AT202" s="313">
        <f>mamiabc!AT74</f>
        <v>0</v>
      </c>
      <c r="AU202" s="313">
        <f>mamiabc!AU74</f>
        <v>0</v>
      </c>
      <c r="AV202" s="74">
        <f>DataInput!AV677*AV363</f>
        <v>-6.0138749999999996</v>
      </c>
      <c r="AW202" s="74">
        <f>DataInput!AW677*AW363</f>
        <v>0.5213000000000001</v>
      </c>
      <c r="AX202" s="74">
        <f>DataInput!AX677*AX363</f>
        <v>7.739300000000001</v>
      </c>
      <c r="AY202" s="74">
        <f>DataInput!AY677*AY363</f>
        <v>13.844551000000001</v>
      </c>
      <c r="AZ202" s="74">
        <f>DataInput!AZ677*AZ363</f>
        <v>-28.383033999999995</v>
      </c>
      <c r="BA202" s="74">
        <f>DataInput!BA677*BA363</f>
        <v>110.44995000000002</v>
      </c>
      <c r="BB202" s="74">
        <f>DataInput!BB677*BB363</f>
        <v>-71.669906000000012</v>
      </c>
      <c r="BC202" s="74">
        <f>DataInput!BC677*BC363</f>
        <v>-61.959253999999994</v>
      </c>
      <c r="BD202" s="74">
        <f>DataInput!BD677*BD363</f>
        <v>-50.032200000000003</v>
      </c>
      <c r="BE202" s="74">
        <f>DataInput!BE677*BE363</f>
        <v>-39.311999999999998</v>
      </c>
      <c r="BF202" s="74">
        <f>DataInput!BF677*BF363</f>
        <v>-78.984000000000009</v>
      </c>
      <c r="BG202" s="74">
        <f>DataInput!BG677*BG363</f>
        <v>-269.28449999999998</v>
      </c>
      <c r="BH202" s="74">
        <f>DataInput!BH677*BH363</f>
        <v>33.488999999999997</v>
      </c>
      <c r="BI202" s="74">
        <f>DataInput!BI677*BI363</f>
        <v>-16.815000000000001</v>
      </c>
      <c r="BJ202" s="74">
        <f>DataInput!BJ677*BJ363</f>
        <v>202.52</v>
      </c>
      <c r="BK202" s="74">
        <f>DataInput!BK677*BK363</f>
        <v>392.27500000000003</v>
      </c>
      <c r="BL202" s="74">
        <f>DataInput!BL677*BL363</f>
        <v>346.39000000000004</v>
      </c>
      <c r="BM202" s="74">
        <f>DataInput!BM677*BM363</f>
        <v>552.41500000000008</v>
      </c>
      <c r="BN202" s="74">
        <f>DataInput!BN677*BN363</f>
        <v>266.995</v>
      </c>
      <c r="BO202" s="74">
        <f>DataInput!BO677*BO363</f>
        <v>371.62666666666667</v>
      </c>
      <c r="BP202" s="86">
        <f t="shared" ref="BP202:BU202" si="629">0.33*(BM202+BN202+BO202)*(1+BP307/100)</f>
        <v>504.56046300000014</v>
      </c>
      <c r="BQ202" s="86">
        <f t="shared" si="629"/>
        <v>388.56760587370002</v>
      </c>
      <c r="BR202" s="86">
        <f t="shared" si="629"/>
        <v>429.89013461017066</v>
      </c>
      <c r="BS202" s="86">
        <f t="shared" si="629"/>
        <v>449.69388736416772</v>
      </c>
      <c r="BT202" s="86">
        <f t="shared" si="629"/>
        <v>431.04473830554832</v>
      </c>
      <c r="BU202" s="86">
        <f t="shared" si="629"/>
        <v>445.48271561913344</v>
      </c>
      <c r="BV202" s="86">
        <f t="shared" ref="BV202:BX202" si="630">0.33*(BS202+BT202+BU202)*(1+BV307/100)</f>
        <v>450.78263390408</v>
      </c>
      <c r="BW202" s="86">
        <f t="shared" si="630"/>
        <v>451.1526988529962</v>
      </c>
      <c r="BX202" s="86">
        <f t="shared" si="630"/>
        <v>457.98739464307369</v>
      </c>
      <c r="BY202" s="86">
        <f t="shared" ref="BY202" si="631">0.33*(BV202+BW202+BX202)*(1+BY307/100)</f>
        <v>462.23773504331098</v>
      </c>
      <c r="BZ202" s="86">
        <f t="shared" ref="BZ202" si="632">0.33*(BW202+BX202+BY202)*(1+BZ307/100)</f>
        <v>466.13132392053564</v>
      </c>
      <c r="CA202" s="86">
        <f t="shared" ref="CA202" si="633">0.33*(BX202+BY202+BZ202)*(1+CA307/100)</f>
        <v>471.2225585809922</v>
      </c>
      <c r="CB202" s="86">
        <f t="shared" ref="CB202" si="634">0.33*(BY202+BZ202+CA202)*(1+CB307/100)</f>
        <v>475.72119080349074</v>
      </c>
      <c r="CC202" s="86">
        <f t="shared" ref="CC202" si="635">0.33*(BZ202+CA202+CB202)*(1+CC307/100)</f>
        <v>480.30421741637588</v>
      </c>
      <c r="CD202" s="86">
        <f t="shared" ref="CD202" si="636">0.33*(CA202+CB202+CC202)*(1+CD307/100)</f>
        <v>485.12158391561201</v>
      </c>
      <c r="CE202" s="86"/>
      <c r="CF202" s="435"/>
      <c r="CG202" s="235">
        <f t="shared" si="606"/>
        <v>0</v>
      </c>
      <c r="CH202" s="235">
        <f t="shared" si="450"/>
        <v>0</v>
      </c>
      <c r="CI202" s="235" t="e">
        <f>BM202-#REF!</f>
        <v>#REF!</v>
      </c>
      <c r="CJ202" s="235">
        <f t="shared" si="589"/>
        <v>0</v>
      </c>
      <c r="CK202" s="235">
        <f t="shared" si="590"/>
        <v>0</v>
      </c>
      <c r="CL202" s="235">
        <f t="shared" si="591"/>
        <v>0</v>
      </c>
      <c r="CM202" s="235">
        <f t="shared" si="592"/>
        <v>0</v>
      </c>
      <c r="CN202" s="235">
        <f t="shared" si="593"/>
        <v>0</v>
      </c>
      <c r="CO202" s="235">
        <f t="shared" si="594"/>
        <v>0</v>
      </c>
      <c r="CP202" s="235">
        <f t="shared" si="595"/>
        <v>0</v>
      </c>
      <c r="CQ202" s="235">
        <f t="shared" si="596"/>
        <v>0</v>
      </c>
      <c r="CR202" s="235">
        <f t="shared" si="597"/>
        <v>0</v>
      </c>
      <c r="CS202" s="235">
        <f t="shared" si="598"/>
        <v>0</v>
      </c>
      <c r="CT202" s="235">
        <f t="shared" si="599"/>
        <v>0</v>
      </c>
      <c r="CU202" s="235">
        <f t="shared" si="600"/>
        <v>0</v>
      </c>
      <c r="CV202" s="235">
        <f t="shared" si="601"/>
        <v>0</v>
      </c>
      <c r="CW202" s="235">
        <f t="shared" si="602"/>
        <v>0</v>
      </c>
      <c r="CX202" s="235">
        <f t="shared" si="603"/>
        <v>0</v>
      </c>
      <c r="CY202" s="235">
        <f t="shared" si="604"/>
        <v>0</v>
      </c>
      <c r="CZ202" s="235">
        <f t="shared" si="605"/>
        <v>0</v>
      </c>
      <c r="DA202" s="38"/>
      <c r="DB202" s="236">
        <v>-71.207999999999998</v>
      </c>
      <c r="DC202" s="236">
        <v>-70.208000000000013</v>
      </c>
      <c r="DD202" s="236">
        <v>-45.567000000000007</v>
      </c>
      <c r="DE202" s="236">
        <v>-7.6859999999999999</v>
      </c>
      <c r="DF202" s="401">
        <v>-264.76499999999999</v>
      </c>
      <c r="DG202" s="236">
        <v>392.27500000000003</v>
      </c>
      <c r="DH202" s="492">
        <v>346.39000000000004</v>
      </c>
      <c r="DI202" s="236">
        <v>266.995</v>
      </c>
      <c r="DJ202" s="236">
        <v>371.62666666666667</v>
      </c>
      <c r="DK202" s="236">
        <v>504.56046300000014</v>
      </c>
      <c r="DL202" s="236">
        <v>388.56760587370002</v>
      </c>
      <c r="DM202" s="236">
        <v>429.89013461017066</v>
      </c>
      <c r="DN202" s="236">
        <v>449.69388736416772</v>
      </c>
      <c r="DO202" s="236">
        <v>431.04473830554832</v>
      </c>
      <c r="DP202" s="236">
        <v>445.48271561913344</v>
      </c>
      <c r="DQ202" s="401">
        <v>450.78263390408</v>
      </c>
      <c r="DR202" s="401">
        <v>451.1526988529962</v>
      </c>
      <c r="DS202" s="401">
        <v>457.98739464307369</v>
      </c>
      <c r="DT202" s="401">
        <v>462.23773504331098</v>
      </c>
      <c r="DU202" s="401">
        <v>466.13132392053564</v>
      </c>
      <c r="DV202" s="401">
        <v>471.2225585809922</v>
      </c>
      <c r="DW202" s="401">
        <v>475.72119080349074</v>
      </c>
      <c r="DX202" s="401">
        <v>480.30421741637588</v>
      </c>
      <c r="DY202" s="401">
        <v>485.12158391561201</v>
      </c>
      <c r="DZ202" s="401"/>
      <c r="EA202" s="989"/>
    </row>
    <row r="203" spans="1:131" s="19" customFormat="1">
      <c r="A203" s="153" t="s">
        <v>3894</v>
      </c>
      <c r="B203" s="133" t="s">
        <v>1080</v>
      </c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8"/>
      <c r="AQ203" s="218"/>
      <c r="AR203" s="218"/>
      <c r="AS203" s="218"/>
      <c r="AT203" s="218"/>
      <c r="AU203" s="46"/>
      <c r="AV203" s="76"/>
      <c r="AW203" s="76"/>
      <c r="AX203" s="76"/>
      <c r="AY203" s="76"/>
      <c r="AZ203" s="76"/>
      <c r="BA203" s="80"/>
      <c r="BB203" s="80"/>
      <c r="BC203" s="80"/>
      <c r="BD203" s="80"/>
      <c r="BE203" s="80"/>
      <c r="BF203" s="80"/>
      <c r="BG203" s="80"/>
      <c r="BH203" s="80"/>
      <c r="BI203" s="80" t="s">
        <v>2219</v>
      </c>
      <c r="BJ203" s="80"/>
      <c r="BK203" s="80"/>
      <c r="BL203" s="80"/>
      <c r="BM203" s="80"/>
      <c r="BN203" s="80"/>
      <c r="BO203" s="80"/>
      <c r="BP203" s="80"/>
      <c r="BQ203" s="80"/>
      <c r="BR203" s="80"/>
      <c r="BS203" s="80"/>
      <c r="BT203" s="80"/>
      <c r="BU203" s="80"/>
      <c r="BV203" s="80"/>
      <c r="BW203" s="80"/>
      <c r="BX203" s="80"/>
      <c r="BY203" s="80"/>
      <c r="BZ203" s="80"/>
      <c r="CA203" s="80"/>
      <c r="CB203" s="80"/>
      <c r="CC203" s="80"/>
      <c r="CD203" s="80"/>
      <c r="CE203" s="80"/>
      <c r="CF203" s="435"/>
      <c r="CG203" s="235">
        <f t="shared" si="606"/>
        <v>0</v>
      </c>
      <c r="CH203" s="235">
        <f t="shared" ref="CH203:CH234" si="637">BL203-DH203</f>
        <v>0</v>
      </c>
      <c r="CI203" s="235" t="e">
        <f>BM203-#REF!</f>
        <v>#REF!</v>
      </c>
      <c r="CJ203" s="235">
        <f t="shared" si="589"/>
        <v>0</v>
      </c>
      <c r="CK203" s="235">
        <f t="shared" si="590"/>
        <v>0</v>
      </c>
      <c r="CL203" s="235">
        <f t="shared" si="591"/>
        <v>0</v>
      </c>
      <c r="CM203" s="235">
        <f t="shared" si="592"/>
        <v>0</v>
      </c>
      <c r="CN203" s="235">
        <f t="shared" si="593"/>
        <v>0</v>
      </c>
      <c r="CO203" s="235">
        <f t="shared" si="594"/>
        <v>0</v>
      </c>
      <c r="CP203" s="235">
        <f t="shared" si="595"/>
        <v>0</v>
      </c>
      <c r="CQ203" s="235">
        <f t="shared" si="596"/>
        <v>0</v>
      </c>
      <c r="CR203" s="235">
        <f t="shared" si="597"/>
        <v>0</v>
      </c>
      <c r="CS203" s="235">
        <f t="shared" si="598"/>
        <v>0</v>
      </c>
      <c r="CT203" s="235">
        <f t="shared" si="599"/>
        <v>0</v>
      </c>
      <c r="CU203" s="235">
        <f t="shared" si="600"/>
        <v>0</v>
      </c>
      <c r="CV203" s="235">
        <f t="shared" si="601"/>
        <v>0</v>
      </c>
      <c r="CW203" s="235">
        <f t="shared" si="602"/>
        <v>0</v>
      </c>
      <c r="CX203" s="235">
        <f t="shared" si="603"/>
        <v>0</v>
      </c>
      <c r="CY203" s="235">
        <f t="shared" si="604"/>
        <v>0</v>
      </c>
      <c r="CZ203" s="235">
        <f t="shared" si="605"/>
        <v>0</v>
      </c>
      <c r="DA203" s="38"/>
      <c r="DB203" s="236"/>
      <c r="DC203" s="236"/>
      <c r="DD203" s="236"/>
      <c r="DE203" s="236"/>
      <c r="DF203" s="401" t="s">
        <v>2219</v>
      </c>
      <c r="DG203" s="236"/>
      <c r="DH203" s="492"/>
      <c r="DI203" s="236"/>
      <c r="DJ203" s="236"/>
      <c r="DK203" s="236"/>
      <c r="DL203" s="236"/>
      <c r="DM203" s="236"/>
      <c r="DN203" s="236"/>
      <c r="DO203" s="236"/>
      <c r="DP203" s="236"/>
      <c r="DQ203" s="1084"/>
      <c r="DR203" s="1084"/>
      <c r="DS203" s="1084"/>
      <c r="DT203" s="1084"/>
      <c r="DU203" s="1084"/>
      <c r="DV203" s="1084"/>
      <c r="DW203" s="1084"/>
      <c r="DX203" s="1084"/>
      <c r="DY203" s="1084"/>
      <c r="DZ203" s="1084"/>
      <c r="EA203" s="988"/>
    </row>
    <row r="204" spans="1:131" s="76" customFormat="1">
      <c r="A204" s="76" t="s">
        <v>4449</v>
      </c>
      <c r="B204" s="80" t="s">
        <v>1571</v>
      </c>
      <c r="C204" s="51" t="s">
        <v>1680</v>
      </c>
      <c r="D204" s="207"/>
      <c r="E204" s="207"/>
      <c r="F204" s="76">
        <f t="shared" ref="F204:AU204" si="638">F181-(F182+F183+F184)+F186-F187+F188-F189-F190+F193-F194+F238-F250</f>
        <v>9.7391135320070415E-3</v>
      </c>
      <c r="G204" s="76">
        <f t="shared" si="638"/>
        <v>8.9773697725539867E-3</v>
      </c>
      <c r="H204" s="76">
        <f t="shared" si="638"/>
        <v>3.0742576539947906E-3</v>
      </c>
      <c r="I204" s="76">
        <f t="shared" si="638"/>
        <v>2.0945171662184094E-3</v>
      </c>
      <c r="J204" s="76">
        <f t="shared" si="638"/>
        <v>4.8276951211650553E-6</v>
      </c>
      <c r="K204" s="76">
        <f t="shared" si="638"/>
        <v>-1.131490878483961E-2</v>
      </c>
      <c r="L204" s="76">
        <f t="shared" si="638"/>
        <v>-2.1887670573547856E-2</v>
      </c>
      <c r="M204" s="76">
        <f t="shared" si="638"/>
        <v>-2.5574312188447322E-2</v>
      </c>
      <c r="N204" s="76">
        <f t="shared" si="638"/>
        <v>-2.8991231378105525E-2</v>
      </c>
      <c r="O204" s="76">
        <f t="shared" si="638"/>
        <v>-3.0862010778966536E-2</v>
      </c>
      <c r="P204" s="76">
        <f t="shared" si="638"/>
        <v>-6.4099545976050887E-2</v>
      </c>
      <c r="Q204" s="76">
        <f t="shared" si="638"/>
        <v>-6.2764388005977584E-2</v>
      </c>
      <c r="R204" s="76">
        <f t="shared" si="638"/>
        <v>-3.2872070392839529E-4</v>
      </c>
      <c r="S204" s="76">
        <f t="shared" si="638"/>
        <v>2.9749442960689222E-3</v>
      </c>
      <c r="T204" s="76">
        <f t="shared" si="638"/>
        <v>-7.8562097128322371E-3</v>
      </c>
      <c r="U204" s="76">
        <f t="shared" si="638"/>
        <v>-1.6670497272233903E-3</v>
      </c>
      <c r="V204" s="76">
        <f t="shared" si="638"/>
        <v>3.0566407343889171E-3</v>
      </c>
      <c r="W204" s="76">
        <f t="shared" si="638"/>
        <v>1.7045586081872129E-2</v>
      </c>
      <c r="X204" s="76">
        <f t="shared" si="638"/>
        <v>2.265907996070448E-2</v>
      </c>
      <c r="Y204" s="76">
        <f t="shared" si="638"/>
        <v>2.2081429301660615E-3</v>
      </c>
      <c r="Z204" s="76">
        <f t="shared" si="638"/>
        <v>3.7639733065062179E-2</v>
      </c>
      <c r="AA204" s="76">
        <f t="shared" si="638"/>
        <v>9.2324002117320711E-3</v>
      </c>
      <c r="AB204" s="76">
        <f t="shared" si="638"/>
        <v>1.747359307679202E-2</v>
      </c>
      <c r="AC204" s="76">
        <f t="shared" si="638"/>
        <v>-7.6317496330556941E-2</v>
      </c>
      <c r="AD204" s="76">
        <f t="shared" si="638"/>
        <v>1.774769914548778E-2</v>
      </c>
      <c r="AE204" s="76">
        <f t="shared" si="638"/>
        <v>6.8437776448033394E-2</v>
      </c>
      <c r="AF204" s="76">
        <f t="shared" si="638"/>
        <v>5.5895281668294314E-2</v>
      </c>
      <c r="AG204" s="76">
        <f t="shared" si="638"/>
        <v>-1.4254501575005633E-2</v>
      </c>
      <c r="AH204" s="76">
        <f t="shared" si="638"/>
        <v>-8.9356776264347459E-2</v>
      </c>
      <c r="AI204" s="76">
        <f t="shared" si="638"/>
        <v>-0.10344534459973624</v>
      </c>
      <c r="AJ204" s="76">
        <f t="shared" si="638"/>
        <v>3.8462152778960465E-3</v>
      </c>
      <c r="AK204" s="76">
        <f t="shared" si="638"/>
        <v>9.3879887654203763E-3</v>
      </c>
      <c r="AL204" s="76">
        <f t="shared" si="638"/>
        <v>-8.8274188840937476E-2</v>
      </c>
      <c r="AM204" s="76">
        <f t="shared" si="638"/>
        <v>-0.25479526419954207</v>
      </c>
      <c r="AN204" s="76">
        <f t="shared" si="638"/>
        <v>-0.40643210261047191</v>
      </c>
      <c r="AO204" s="76">
        <f t="shared" si="638"/>
        <v>-0.74832522082792763</v>
      </c>
      <c r="AP204" s="76">
        <f t="shared" si="638"/>
        <v>-1.4087823108676552</v>
      </c>
      <c r="AQ204" s="76">
        <f t="shared" si="638"/>
        <v>-2.5990094740232101</v>
      </c>
      <c r="AR204" s="76">
        <f t="shared" si="638"/>
        <v>-3.7172288872869124</v>
      </c>
      <c r="AS204" s="76">
        <f t="shared" si="638"/>
        <v>-1.6243838874905741</v>
      </c>
      <c r="AT204" s="76">
        <f t="shared" si="638"/>
        <v>-0.27767629405124794</v>
      </c>
      <c r="AU204" s="76">
        <f t="shared" si="638"/>
        <v>14.030011006579405</v>
      </c>
      <c r="AV204" s="76">
        <f t="shared" ref="AV204:BA204" si="639">AV181-(AV182+AV183+AV184)+AV186-AV187+AV188-AV189-AV190+AV193-AV194+AV238-AV250</f>
        <v>-35.842694999999999</v>
      </c>
      <c r="AW204" s="76">
        <f t="shared" si="639"/>
        <v>-27.147699999999965</v>
      </c>
      <c r="AX204" s="76">
        <f t="shared" si="639"/>
        <v>-73.463200000000029</v>
      </c>
      <c r="AY204" s="76">
        <f t="shared" si="639"/>
        <v>6.9652710000000004</v>
      </c>
      <c r="AZ204" s="76">
        <f t="shared" si="639"/>
        <v>32.627226000000014</v>
      </c>
      <c r="BA204" s="76">
        <f t="shared" si="639"/>
        <v>-182.99400000000011</v>
      </c>
      <c r="BB204" s="76">
        <f t="shared" ref="BB204:BG204" si="640">BB181-(BB182+BB183+BB184)+(BB186-BB187)+(BB188-BB189-BB190)+(BB193-BB194)+(BB195-BB196)</f>
        <v>-304.82979499999993</v>
      </c>
      <c r="BC204" s="76">
        <f t="shared" si="640"/>
        <v>-397.78882400000003</v>
      </c>
      <c r="BD204" s="76">
        <f t="shared" si="640"/>
        <v>51.399200000000036</v>
      </c>
      <c r="BE204" s="76">
        <f t="shared" si="640"/>
        <v>138.13799999999995</v>
      </c>
      <c r="BF204" s="76">
        <f t="shared" si="640"/>
        <v>704.54824999999994</v>
      </c>
      <c r="BG204" s="76">
        <f t="shared" si="640"/>
        <v>891.0270000000005</v>
      </c>
      <c r="BH204" s="76">
        <f t="shared" ref="BH204:BP204" si="641">BH181-(BH182+BH183+BH184)+(BH186-BH187)+(BH188-BH189-BH190)+(BH193-BH194)+(BH195-BH196)</f>
        <v>891.30149999999946</v>
      </c>
      <c r="BI204" s="76">
        <f t="shared" si="641"/>
        <v>317.20499999999998</v>
      </c>
      <c r="BJ204" s="76">
        <f t="shared" si="641"/>
        <v>1984.6349999999993</v>
      </c>
      <c r="BK204" s="76">
        <f>BK181-(BK182+BK183+BK184)+(BK186-BK187)+(BK188-BK189-BK190)+(BK193-BK194)+(BK195-BK196)</f>
        <v>1402.0500000000006</v>
      </c>
      <c r="BL204" s="76">
        <f t="shared" si="641"/>
        <v>566.48500000000195</v>
      </c>
      <c r="BM204" s="76">
        <f t="shared" si="641"/>
        <v>-588.59500000000105</v>
      </c>
      <c r="BN204" s="76">
        <f>BN181-(BN182+BN183+BN184)+(BN186-BN187)+(BN188-BN189-BN190)+(BN193-BN194)+(BN195-BN196)</f>
        <v>-1292.7650000000006</v>
      </c>
      <c r="BO204" s="76">
        <f>BO181-(BO182+BO183+BO184)+(BO186-BO187)+(BO188-BO189-BO190)+(BO193-BO194)+(BO195-BO196)</f>
        <v>-2206.5333333333328</v>
      </c>
      <c r="BP204" s="76">
        <f t="shared" ca="1" si="641"/>
        <v>-2374.8226263909492</v>
      </c>
      <c r="BQ204" s="76">
        <f t="shared" ref="BQ204:BV204" ca="1" si="642">BQ181-(BQ182+BQ183+BQ184)+(BQ186-BQ187)+(BQ188-BQ189-BQ190)+(BQ193-BQ194)+(BQ195-BQ196)</f>
        <v>-1537.4956875998373</v>
      </c>
      <c r="BR204" s="76">
        <f t="shared" ca="1" si="642"/>
        <v>-1699.0226357157248</v>
      </c>
      <c r="BS204" s="76">
        <f t="shared" ca="1" si="642"/>
        <v>-2230.5869705323685</v>
      </c>
      <c r="BT204" s="76">
        <f t="shared" ca="1" si="642"/>
        <v>-2583.2734593298269</v>
      </c>
      <c r="BU204" s="76">
        <f t="shared" ca="1" si="642"/>
        <v>-3005.3153325023368</v>
      </c>
      <c r="BV204" s="76">
        <f t="shared" ca="1" si="642"/>
        <v>-3435.9048500259896</v>
      </c>
      <c r="BW204" s="76">
        <f t="shared" ref="BW204:BX204" ca="1" si="643">BW181-(BW182+BW183+BW184)+(BW186-BW187)+(BW188-BW189-BW190)+(BW193-BW194)+(BW195-BW196)</f>
        <v>-3911.1838749388985</v>
      </c>
      <c r="BX204" s="76">
        <f t="shared" ca="1" si="643"/>
        <v>-4440.1722639385507</v>
      </c>
      <c r="BY204" s="76">
        <f t="shared" ref="BY204:CD204" ca="1" si="644">BY181-(BY182+BY183+BY184)+(BY186-BY187)+(BY188-BY189-BY190)+(BY193-BY194)+(BY195-BY196)</f>
        <v>-5030.9110462633807</v>
      </c>
      <c r="BZ204" s="76">
        <f t="shared" ca="1" si="644"/>
        <v>-5602.5947292027604</v>
      </c>
      <c r="CA204" s="76">
        <f t="shared" ca="1" si="644"/>
        <v>-6256.5709151151104</v>
      </c>
      <c r="CB204" s="76">
        <f t="shared" ca="1" si="644"/>
        <v>-6980.9737287105563</v>
      </c>
      <c r="CC204" s="76">
        <f t="shared" ca="1" si="644"/>
        <v>-7785.5507794136684</v>
      </c>
      <c r="CD204" s="76">
        <f t="shared" ca="1" si="644"/>
        <v>-8681.5588337933186</v>
      </c>
      <c r="CF204" s="435"/>
      <c r="CG204" s="235">
        <f t="shared" si="606"/>
        <v>585.65000000000146</v>
      </c>
      <c r="CH204" s="235">
        <f t="shared" si="637"/>
        <v>17.755000000000109</v>
      </c>
      <c r="CI204" s="235" t="e">
        <f>BM204-#REF!</f>
        <v>#REF!</v>
      </c>
      <c r="CJ204" s="235">
        <f t="shared" si="589"/>
        <v>0</v>
      </c>
      <c r="CK204" s="235">
        <f t="shared" si="590"/>
        <v>0</v>
      </c>
      <c r="CL204" s="235">
        <f t="shared" ca="1" si="591"/>
        <v>-3.637978807091713E-12</v>
      </c>
      <c r="CM204" s="235">
        <f t="shared" ca="1" si="592"/>
        <v>-5.9117155615240335E-12</v>
      </c>
      <c r="CN204" s="235">
        <f t="shared" ca="1" si="593"/>
        <v>-6.1390892369672656E-12</v>
      </c>
      <c r="CO204" s="235">
        <f t="shared" ca="1" si="594"/>
        <v>-6.3664629124104977E-12</v>
      </c>
      <c r="CP204" s="235">
        <f t="shared" ca="1" si="595"/>
        <v>-7.73070496506989E-12</v>
      </c>
      <c r="CQ204" s="235">
        <f t="shared" ca="1" si="596"/>
        <v>-8.1854523159563541E-12</v>
      </c>
      <c r="CR204" s="235">
        <f t="shared" ca="1" si="597"/>
        <v>-1.5006662579253316E-11</v>
      </c>
      <c r="CS204" s="235">
        <f t="shared" ca="1" si="598"/>
        <v>-2.2737367544323206E-11</v>
      </c>
      <c r="CT204" s="235">
        <f t="shared" ca="1" si="599"/>
        <v>-2.2737367544323206E-11</v>
      </c>
      <c r="CU204" s="235">
        <f t="shared" ca="1" si="600"/>
        <v>-2.0008883439004421E-11</v>
      </c>
      <c r="CV204" s="235">
        <f t="shared" ca="1" si="601"/>
        <v>-2.0918378140777349E-11</v>
      </c>
      <c r="CW204" s="235">
        <f t="shared" ca="1" si="602"/>
        <v>0</v>
      </c>
      <c r="CX204" s="235">
        <f t="shared" ca="1" si="603"/>
        <v>4.3200998334214091E-10</v>
      </c>
      <c r="CY204" s="235">
        <f t="shared" ca="1" si="604"/>
        <v>4.6075001591816545E-9</v>
      </c>
      <c r="CZ204" s="235">
        <f t="shared" ca="1" si="605"/>
        <v>3.6567143979482353E-8</v>
      </c>
      <c r="DA204" s="38"/>
      <c r="DB204" s="236">
        <v>177.94274999999999</v>
      </c>
      <c r="DC204" s="236">
        <v>178.94274999999999</v>
      </c>
      <c r="DD204" s="236">
        <v>365.10950000000003</v>
      </c>
      <c r="DE204" s="236">
        <v>675.23627215887893</v>
      </c>
      <c r="DF204" s="401">
        <v>314.35500000000002</v>
      </c>
      <c r="DG204" s="236">
        <v>816.39999999999918</v>
      </c>
      <c r="DH204" s="492">
        <v>548.73000000000184</v>
      </c>
      <c r="DI204" s="236">
        <v>-1292.7650000000006</v>
      </c>
      <c r="DJ204" s="236">
        <v>-2206.5333333333328</v>
      </c>
      <c r="DK204" s="236">
        <v>-2374.8226263909455</v>
      </c>
      <c r="DL204" s="236">
        <v>-1537.4956875998314</v>
      </c>
      <c r="DM204" s="236">
        <v>-1699.0226357157187</v>
      </c>
      <c r="DN204" s="236">
        <v>-2230.5869705323621</v>
      </c>
      <c r="DO204" s="236">
        <v>-2583.2734593298192</v>
      </c>
      <c r="DP204" s="236">
        <v>-3005.3153325023286</v>
      </c>
      <c r="DQ204" s="401">
        <v>-3435.9048500259746</v>
      </c>
      <c r="DR204" s="401">
        <v>-3911.1838749388758</v>
      </c>
      <c r="DS204" s="401">
        <v>-4440.172263938528</v>
      </c>
      <c r="DT204" s="401">
        <v>-5030.9110462633607</v>
      </c>
      <c r="DU204" s="401">
        <v>-5602.5947292027395</v>
      </c>
      <c r="DV204" s="401">
        <v>-6256.5709151151123</v>
      </c>
      <c r="DW204" s="401">
        <v>-6980.9737287109883</v>
      </c>
      <c r="DX204" s="401">
        <v>-7785.5507794182759</v>
      </c>
      <c r="DY204" s="401">
        <v>-8681.5588338298858</v>
      </c>
      <c r="DZ204" s="401"/>
      <c r="EA204" s="989"/>
    </row>
    <row r="205" spans="1:131" s="76" customFormat="1">
      <c r="A205" s="76" t="s">
        <v>3881</v>
      </c>
      <c r="B205" s="80" t="s">
        <v>548</v>
      </c>
      <c r="C205" s="51" t="s">
        <v>1681</v>
      </c>
      <c r="D205" s="207"/>
      <c r="E205" s="207"/>
      <c r="F205" s="76">
        <f t="shared" ref="F205:AU205" si="645">+F198+F199+F201+F202</f>
        <v>2E-3</v>
      </c>
      <c r="G205" s="76">
        <f t="shared" si="645"/>
        <v>1.6000000000000001E-3</v>
      </c>
      <c r="H205" s="76">
        <f t="shared" si="645"/>
        <v>2.299999952316284E-3</v>
      </c>
      <c r="I205" s="76">
        <f t="shared" si="645"/>
        <v>3.5999999046325685E-3</v>
      </c>
      <c r="J205" s="76">
        <f t="shared" si="645"/>
        <v>4.6999998092651365E-3</v>
      </c>
      <c r="K205" s="76">
        <f t="shared" si="645"/>
        <v>4.6999998092651365E-3</v>
      </c>
      <c r="L205" s="76">
        <f t="shared" si="645"/>
        <v>6.4000000953674313E-3</v>
      </c>
      <c r="M205" s="76">
        <f t="shared" si="645"/>
        <v>8.199999809265137E-3</v>
      </c>
      <c r="N205" s="76">
        <f t="shared" si="645"/>
        <v>7.4000000953674313E-3</v>
      </c>
      <c r="O205" s="76">
        <f t="shared" si="645"/>
        <v>1.1800000190734863E-2</v>
      </c>
      <c r="P205" s="76">
        <f t="shared" si="645"/>
        <v>1.5399999618530273E-2</v>
      </c>
      <c r="Q205" s="76">
        <f t="shared" si="645"/>
        <v>1.6600000381469728E-2</v>
      </c>
      <c r="R205" s="76">
        <f t="shared" si="645"/>
        <v>6.0000000000000001E-3</v>
      </c>
      <c r="S205" s="76">
        <f t="shared" si="645"/>
        <v>4.4000000953674312E-3</v>
      </c>
      <c r="T205" s="76">
        <f t="shared" si="645"/>
        <v>6.8000001907348633E-3</v>
      </c>
      <c r="U205" s="76">
        <f t="shared" si="645"/>
        <v>6.9000000953674317E-3</v>
      </c>
      <c r="V205" s="76">
        <f t="shared" si="645"/>
        <v>1.5399999618530273E-2</v>
      </c>
      <c r="W205" s="76">
        <f t="shared" si="645"/>
        <v>7.199999809265137E-3</v>
      </c>
      <c r="X205" s="76">
        <f t="shared" si="645"/>
        <v>3.2900001525878908E-2</v>
      </c>
      <c r="Y205" s="76">
        <f t="shared" si="645"/>
        <v>1.2300000190734864E-2</v>
      </c>
      <c r="Z205" s="76">
        <f t="shared" si="645"/>
        <v>1.8100000381469725E-2</v>
      </c>
      <c r="AA205" s="76">
        <f t="shared" si="645"/>
        <v>1.7100000381469728E-2</v>
      </c>
      <c r="AB205" s="76">
        <f t="shared" si="645"/>
        <v>0</v>
      </c>
      <c r="AC205" s="76">
        <f t="shared" si="645"/>
        <v>0</v>
      </c>
      <c r="AD205" s="76">
        <f t="shared" si="645"/>
        <v>0.04</v>
      </c>
      <c r="AE205" s="76">
        <f t="shared" si="645"/>
        <v>0</v>
      </c>
      <c r="AF205" s="76">
        <f t="shared" si="645"/>
        <v>0</v>
      </c>
      <c r="AG205" s="76">
        <f t="shared" si="645"/>
        <v>0</v>
      </c>
      <c r="AH205" s="76">
        <f t="shared" si="645"/>
        <v>0</v>
      </c>
      <c r="AI205" s="76">
        <f t="shared" si="645"/>
        <v>0</v>
      </c>
      <c r="AJ205" s="76">
        <f t="shared" si="645"/>
        <v>0</v>
      </c>
      <c r="AK205" s="76">
        <f t="shared" si="645"/>
        <v>0</v>
      </c>
      <c r="AL205" s="76">
        <f t="shared" si="645"/>
        <v>0</v>
      </c>
      <c r="AM205" s="76">
        <f t="shared" si="645"/>
        <v>8.199999809265137E-3</v>
      </c>
      <c r="AN205" s="76">
        <f t="shared" si="645"/>
        <v>1.9E-2</v>
      </c>
      <c r="AO205" s="76">
        <f t="shared" si="645"/>
        <v>4.2999999999999997E-2</v>
      </c>
      <c r="AP205" s="76">
        <f t="shared" si="645"/>
        <v>0</v>
      </c>
      <c r="AQ205" s="76">
        <f t="shared" si="645"/>
        <v>0</v>
      </c>
      <c r="AR205" s="76">
        <f t="shared" si="645"/>
        <v>0</v>
      </c>
      <c r="AS205" s="76">
        <f t="shared" si="645"/>
        <v>0</v>
      </c>
      <c r="AT205" s="76">
        <f t="shared" si="645"/>
        <v>0</v>
      </c>
      <c r="AU205" s="76">
        <f t="shared" si="645"/>
        <v>0</v>
      </c>
      <c r="AV205" s="76">
        <f t="shared" ref="AV205:BH205" si="646">+AV198+AV199+AV201+AV202</f>
        <v>27.824195000000003</v>
      </c>
      <c r="AW205" s="76">
        <f t="shared" si="646"/>
        <v>16.761800000000001</v>
      </c>
      <c r="AX205" s="76">
        <f t="shared" si="646"/>
        <v>24.5412</v>
      </c>
      <c r="AY205" s="76">
        <f t="shared" si="646"/>
        <v>16.424281000000001</v>
      </c>
      <c r="AZ205" s="76">
        <f t="shared" si="646"/>
        <v>-107.165848</v>
      </c>
      <c r="BA205" s="76">
        <f t="shared" si="646"/>
        <v>228.30680000000001</v>
      </c>
      <c r="BB205" s="76">
        <f t="shared" si="646"/>
        <v>-87.260437500000009</v>
      </c>
      <c r="BC205" s="76">
        <f t="shared" si="646"/>
        <v>-59.87659</v>
      </c>
      <c r="BD205" s="76">
        <f t="shared" si="646"/>
        <v>48.938599999999994</v>
      </c>
      <c r="BE205" s="76">
        <f t="shared" si="646"/>
        <v>322.68599999999992</v>
      </c>
      <c r="BF205" s="76">
        <f t="shared" si="646"/>
        <v>-455.8035000000001</v>
      </c>
      <c r="BG205" s="76">
        <f t="shared" si="646"/>
        <v>-983.53349999999989</v>
      </c>
      <c r="BH205" s="76">
        <f t="shared" si="646"/>
        <v>-45.017999999999937</v>
      </c>
      <c r="BI205" s="76">
        <f t="shared" ref="BI205:BP205" si="647">+BI198+BI199+BI201+BI202</f>
        <v>-153.33000000000015</v>
      </c>
      <c r="BJ205" s="76">
        <f t="shared" si="647"/>
        <v>-1365.4849999999999</v>
      </c>
      <c r="BK205" s="76">
        <f>+BK198+BK199+BK201+BK202</f>
        <v>-162.17500000000013</v>
      </c>
      <c r="BL205" s="76">
        <f t="shared" si="647"/>
        <v>1413.365</v>
      </c>
      <c r="BM205" s="76">
        <f t="shared" si="647"/>
        <v>1294.4400000000003</v>
      </c>
      <c r="BN205" s="76">
        <f>+BN198+BN199+BN201+BN202</f>
        <v>1454.9050000000002</v>
      </c>
      <c r="BO205" s="76">
        <f>+BO198+BO199+BO201+BO202</f>
        <v>1407.8933333333334</v>
      </c>
      <c r="BP205" s="76">
        <f t="shared" ca="1" si="647"/>
        <v>1803.7604630252495</v>
      </c>
      <c r="BQ205" s="76">
        <f t="shared" ref="BQ205:BV205" ca="1" si="648">+BQ198+BQ199+BQ201+BQ202</f>
        <v>1687.7676059084815</v>
      </c>
      <c r="BR205" s="76">
        <f t="shared" ca="1" si="648"/>
        <v>1729.0901346510277</v>
      </c>
      <c r="BS205" s="76">
        <f t="shared" ca="1" si="648"/>
        <v>1748.8938874095068</v>
      </c>
      <c r="BT205" s="76">
        <f t="shared" ca="1" si="648"/>
        <v>1730.2447383569643</v>
      </c>
      <c r="BU205" s="76">
        <f t="shared" ca="1" si="648"/>
        <v>1744.682715676993</v>
      </c>
      <c r="BV205" s="76">
        <f t="shared" ca="1" si="648"/>
        <v>1749.9826339686799</v>
      </c>
      <c r="BW205" s="76">
        <f t="shared" ref="BW205:BX205" ca="1" si="649">+BW198+BW199+BW201+BW202</f>
        <v>1750.3526989246443</v>
      </c>
      <c r="BX205" s="76">
        <f t="shared" ca="1" si="649"/>
        <v>1757.1873947220599</v>
      </c>
      <c r="BY205" s="76">
        <f t="shared" ref="BY205:CD205" ca="1" si="650">+BY198+BY199+BY201+BY202</f>
        <v>1761.4377351299333</v>
      </c>
      <c r="BZ205" s="76">
        <f t="shared" ca="1" si="650"/>
        <v>1765.3313240151058</v>
      </c>
      <c r="CA205" s="76">
        <f t="shared" ca="1" si="650"/>
        <v>1770.4225586838515</v>
      </c>
      <c r="CB205" s="76">
        <f t="shared" ca="1" si="650"/>
        <v>1774.9211909150024</v>
      </c>
      <c r="CC205" s="76">
        <f t="shared" ca="1" si="650"/>
        <v>1779.5042175369026</v>
      </c>
      <c r="CD205" s="76">
        <f t="shared" ca="1" si="650"/>
        <v>1784.3215840455327</v>
      </c>
      <c r="CF205" s="435"/>
      <c r="CG205" s="235">
        <f t="shared" si="606"/>
        <v>0.32499999999993179</v>
      </c>
      <c r="CH205" s="235">
        <f t="shared" si="637"/>
        <v>0</v>
      </c>
      <c r="CI205" s="235" t="e">
        <f>BM205-#REF!</f>
        <v>#REF!</v>
      </c>
      <c r="CJ205" s="235">
        <f t="shared" si="589"/>
        <v>0</v>
      </c>
      <c r="CK205" s="235">
        <f t="shared" si="590"/>
        <v>0</v>
      </c>
      <c r="CL205" s="235">
        <f t="shared" ca="1" si="591"/>
        <v>0</v>
      </c>
      <c r="CM205" s="235">
        <f t="shared" ca="1" si="592"/>
        <v>0</v>
      </c>
      <c r="CN205" s="235">
        <f t="shared" ca="1" si="593"/>
        <v>0</v>
      </c>
      <c r="CO205" s="235">
        <f t="shared" ca="1" si="594"/>
        <v>0</v>
      </c>
      <c r="CP205" s="235">
        <f t="shared" ca="1" si="595"/>
        <v>0</v>
      </c>
      <c r="CQ205" s="235">
        <f t="shared" ca="1" si="596"/>
        <v>0</v>
      </c>
      <c r="CR205" s="235">
        <f t="shared" ca="1" si="597"/>
        <v>0</v>
      </c>
      <c r="CS205" s="235">
        <f t="shared" ca="1" si="598"/>
        <v>0</v>
      </c>
      <c r="CT205" s="235">
        <f t="shared" ca="1" si="599"/>
        <v>0</v>
      </c>
      <c r="CU205" s="235">
        <f t="shared" ca="1" si="600"/>
        <v>0</v>
      </c>
      <c r="CV205" s="235">
        <f t="shared" ca="1" si="601"/>
        <v>0</v>
      </c>
      <c r="CW205" s="235">
        <f t="shared" ca="1" si="602"/>
        <v>0</v>
      </c>
      <c r="CX205" s="235">
        <f t="shared" ca="1" si="603"/>
        <v>0</v>
      </c>
      <c r="CY205" s="235">
        <f t="shared" ca="1" si="604"/>
        <v>0</v>
      </c>
      <c r="CZ205" s="235">
        <f t="shared" ca="1" si="605"/>
        <v>0</v>
      </c>
      <c r="DA205" s="38"/>
      <c r="DB205" s="236">
        <v>261.29700000000003</v>
      </c>
      <c r="DC205" s="236">
        <v>262.29699999999991</v>
      </c>
      <c r="DD205" s="236">
        <v>-511.66799999999995</v>
      </c>
      <c r="DE205" s="236">
        <v>-124.34850000000003</v>
      </c>
      <c r="DF205" s="401">
        <v>-268.755</v>
      </c>
      <c r="DG205" s="236">
        <v>-162.50000000000006</v>
      </c>
      <c r="DH205" s="492">
        <v>1413.365</v>
      </c>
      <c r="DI205" s="236">
        <v>1454.9050000000002</v>
      </c>
      <c r="DJ205" s="236">
        <v>1407.8933333333334</v>
      </c>
      <c r="DK205" s="236">
        <v>1803.7604630252495</v>
      </c>
      <c r="DL205" s="236">
        <v>1687.7676059084815</v>
      </c>
      <c r="DM205" s="236">
        <v>1729.0901346510277</v>
      </c>
      <c r="DN205" s="236">
        <v>1748.8938874095068</v>
      </c>
      <c r="DO205" s="236">
        <v>1730.2447383569643</v>
      </c>
      <c r="DP205" s="236">
        <v>1744.682715676993</v>
      </c>
      <c r="DQ205" s="401">
        <v>1749.9826339686799</v>
      </c>
      <c r="DR205" s="401">
        <v>1750.3526989246443</v>
      </c>
      <c r="DS205" s="401">
        <v>1757.1873947220599</v>
      </c>
      <c r="DT205" s="401">
        <v>1761.4377351299333</v>
      </c>
      <c r="DU205" s="401">
        <v>1765.3313240151058</v>
      </c>
      <c r="DV205" s="401">
        <v>1770.4225586838515</v>
      </c>
      <c r="DW205" s="401">
        <v>1774.9211909150024</v>
      </c>
      <c r="DX205" s="401">
        <v>1779.5042175369026</v>
      </c>
      <c r="DY205" s="401">
        <v>1784.3215840455327</v>
      </c>
      <c r="DZ205" s="401"/>
      <c r="EA205" s="989"/>
    </row>
    <row r="206" spans="1:131" s="76" customFormat="1">
      <c r="A206" s="76" t="s">
        <v>1138</v>
      </c>
      <c r="B206" s="80" t="s">
        <v>4288</v>
      </c>
      <c r="C206" s="51" t="s">
        <v>2607</v>
      </c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309">
        <v>171</v>
      </c>
      <c r="AU206" s="51"/>
      <c r="AV206" s="27">
        <f>DataInput!AV680*AV363</f>
        <v>2.9267524999999996</v>
      </c>
      <c r="AW206" s="27">
        <f>DataInput!AW680*AW363</f>
        <v>-1.5639000000000001</v>
      </c>
      <c r="AX206" s="27">
        <f>DataInput!AX680*AX363</f>
        <v>47.879400000000004</v>
      </c>
      <c r="AY206" s="27">
        <f>DataInput!AY680*AY363</f>
        <v>-89.860594999999989</v>
      </c>
      <c r="AZ206" s="27">
        <f>DataInput!AZ680*AZ363</f>
        <v>53.317661999999999</v>
      </c>
      <c r="BA206" s="27">
        <f>DataInput!BA680*BA363</f>
        <v>141.82034999999999</v>
      </c>
      <c r="BB206" s="27">
        <f>DataInput!BB680*BB363</f>
        <v>368.82078250000006</v>
      </c>
      <c r="BC206" s="27">
        <f>DataInput!BC680*BC363</f>
        <v>446.21076199999999</v>
      </c>
      <c r="BD206" s="27">
        <f>DataInput!BD680*BD363</f>
        <v>222.0008</v>
      </c>
      <c r="BE206" s="27">
        <f>DataInput!BE680*BE363</f>
        <v>383.83799999999997</v>
      </c>
      <c r="BF206" s="27">
        <f>DataInput!BF680*BF363</f>
        <v>183.47325000000004</v>
      </c>
      <c r="BG206" s="416">
        <f>+BG363*DataInput!BG752</f>
        <v>493.55099999999965</v>
      </c>
      <c r="BH206" s="416">
        <f>+BH363*DataInput!BH752</f>
        <v>-274.2254999999999</v>
      </c>
      <c r="BI206" s="416">
        <f>+BI363*DataInput!BI752</f>
        <v>-54.149999999999515</v>
      </c>
      <c r="BJ206" s="416">
        <f>+BJ363*DataInput!BJ752</f>
        <v>-512.39999999999941</v>
      </c>
      <c r="BK206" s="416">
        <f>+BK363*DataInput!BK752</f>
        <v>-836.5500000000003</v>
      </c>
      <c r="BL206" s="416">
        <f>+BL363*DataInput!BL752</f>
        <v>-1376.5149999999992</v>
      </c>
      <c r="BM206" s="416">
        <f>+BM363*DataInput!BM752</f>
        <v>-1204.3250000000003</v>
      </c>
      <c r="BN206" s="416">
        <f>+BN363*DataInput!BN752</f>
        <v>-668.66000000000042</v>
      </c>
      <c r="BO206" s="416">
        <f>+BO363*DataInput!BO752</f>
        <v>-145.61333333333286</v>
      </c>
      <c r="BP206" s="154">
        <f t="shared" ref="BP206:BU206" si="651">BO206</f>
        <v>-145.61333333333286</v>
      </c>
      <c r="BQ206" s="154">
        <f t="shared" si="651"/>
        <v>-145.61333333333286</v>
      </c>
      <c r="BR206" s="154">
        <f t="shared" si="651"/>
        <v>-145.61333333333286</v>
      </c>
      <c r="BS206" s="154">
        <f t="shared" si="651"/>
        <v>-145.61333333333286</v>
      </c>
      <c r="BT206" s="154">
        <f t="shared" si="651"/>
        <v>-145.61333333333286</v>
      </c>
      <c r="BU206" s="154">
        <f t="shared" si="651"/>
        <v>-145.61333333333286</v>
      </c>
      <c r="BV206" s="154">
        <f t="shared" ref="BV206:BX206" si="652">BU206</f>
        <v>-145.61333333333286</v>
      </c>
      <c r="BW206" s="154">
        <f t="shared" si="652"/>
        <v>-145.61333333333286</v>
      </c>
      <c r="BX206" s="154">
        <f t="shared" si="652"/>
        <v>-145.61333333333286</v>
      </c>
      <c r="BY206" s="154">
        <f t="shared" ref="BY206" si="653">BX206</f>
        <v>-145.61333333333286</v>
      </c>
      <c r="BZ206" s="154">
        <f t="shared" ref="BZ206" si="654">BY206</f>
        <v>-145.61333333333286</v>
      </c>
      <c r="CA206" s="154">
        <f t="shared" ref="CA206" si="655">BZ206</f>
        <v>-145.61333333333286</v>
      </c>
      <c r="CB206" s="154">
        <f t="shared" ref="CB206" si="656">CA206</f>
        <v>-145.61333333333286</v>
      </c>
      <c r="CC206" s="154">
        <f t="shared" ref="CC206" si="657">CB206</f>
        <v>-145.61333333333286</v>
      </c>
      <c r="CD206" s="154">
        <f t="shared" ref="CD206" si="658">CC206</f>
        <v>-145.61333333333286</v>
      </c>
      <c r="CE206" s="154"/>
      <c r="CF206" s="441"/>
      <c r="CG206" s="235">
        <f t="shared" si="606"/>
        <v>-585.9750000000007</v>
      </c>
      <c r="CH206" s="235">
        <f t="shared" si="637"/>
        <v>-17.754999999998745</v>
      </c>
      <c r="CI206" s="235" t="e">
        <f>BM206-#REF!</f>
        <v>#REF!</v>
      </c>
      <c r="CJ206" s="235">
        <f t="shared" si="589"/>
        <v>0</v>
      </c>
      <c r="CK206" s="235">
        <f t="shared" si="590"/>
        <v>0</v>
      </c>
      <c r="CL206" s="235">
        <f t="shared" si="591"/>
        <v>0</v>
      </c>
      <c r="CM206" s="235">
        <f t="shared" si="592"/>
        <v>0</v>
      </c>
      <c r="CN206" s="235">
        <f t="shared" si="593"/>
        <v>0</v>
      </c>
      <c r="CO206" s="235">
        <f t="shared" si="594"/>
        <v>0</v>
      </c>
      <c r="CP206" s="235">
        <f t="shared" si="595"/>
        <v>0</v>
      </c>
      <c r="CQ206" s="235">
        <f t="shared" si="596"/>
        <v>0</v>
      </c>
      <c r="CR206" s="235">
        <f t="shared" si="597"/>
        <v>0</v>
      </c>
      <c r="CS206" s="235">
        <f t="shared" si="598"/>
        <v>0</v>
      </c>
      <c r="CT206" s="235">
        <f t="shared" si="599"/>
        <v>0</v>
      </c>
      <c r="CU206" s="235">
        <f t="shared" si="600"/>
        <v>0</v>
      </c>
      <c r="CV206" s="235">
        <f t="shared" si="601"/>
        <v>0</v>
      </c>
      <c r="CW206" s="235">
        <f t="shared" si="602"/>
        <v>0</v>
      </c>
      <c r="CX206" s="235">
        <f t="shared" si="603"/>
        <v>0</v>
      </c>
      <c r="CY206" s="235">
        <f t="shared" si="604"/>
        <v>0</v>
      </c>
      <c r="CZ206" s="235">
        <f t="shared" si="605"/>
        <v>0</v>
      </c>
      <c r="DA206" s="38"/>
      <c r="DB206" s="236">
        <v>182.47325000000001</v>
      </c>
      <c r="DC206" s="236">
        <v>183.47325000000004</v>
      </c>
      <c r="DD206" s="236">
        <v>360.41850000000005</v>
      </c>
      <c r="DE206" s="236">
        <v>-104.85900000000001</v>
      </c>
      <c r="DF206" s="401">
        <v>-516.99</v>
      </c>
      <c r="DG206" s="236">
        <v>-250.57499999999962</v>
      </c>
      <c r="DH206" s="492">
        <v>-1358.7600000000004</v>
      </c>
      <c r="DI206" s="236">
        <v>-668.66000000000042</v>
      </c>
      <c r="DJ206" s="236">
        <v>-145.61333333333286</v>
      </c>
      <c r="DK206" s="236">
        <v>-145.61333333333286</v>
      </c>
      <c r="DL206" s="236">
        <v>-145.61333333333286</v>
      </c>
      <c r="DM206" s="236">
        <v>-145.61333333333286</v>
      </c>
      <c r="DN206" s="236">
        <v>-145.61333333333286</v>
      </c>
      <c r="DO206" s="236">
        <v>-145.61333333333286</v>
      </c>
      <c r="DP206" s="236">
        <v>-145.61333333333286</v>
      </c>
      <c r="DQ206" s="401">
        <v>-145.61333333333286</v>
      </c>
      <c r="DR206" s="401">
        <v>-145.61333333333286</v>
      </c>
      <c r="DS206" s="401">
        <v>-145.61333333333286</v>
      </c>
      <c r="DT206" s="401">
        <v>-145.61333333333286</v>
      </c>
      <c r="DU206" s="401">
        <v>-145.61333333333286</v>
      </c>
      <c r="DV206" s="401">
        <v>-145.61333333333286</v>
      </c>
      <c r="DW206" s="401">
        <v>-145.61333333333286</v>
      </c>
      <c r="DX206" s="401">
        <v>-145.61333333333286</v>
      </c>
      <c r="DY206" s="401">
        <v>-145.61333333333286</v>
      </c>
      <c r="DZ206" s="401"/>
      <c r="EA206" s="989"/>
    </row>
    <row r="207" spans="1:131" s="28" customFormat="1">
      <c r="A207" s="28" t="s">
        <v>3895</v>
      </c>
      <c r="B207" s="30" t="s">
        <v>1109</v>
      </c>
      <c r="C207" s="13" t="s">
        <v>165</v>
      </c>
      <c r="D207" s="220"/>
      <c r="E207" s="220"/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309">
        <v>71</v>
      </c>
      <c r="AU207" s="13"/>
      <c r="AV207" s="74">
        <f>DataInput!AV679*AV363</f>
        <v>6.8558175000000006</v>
      </c>
      <c r="AW207" s="74">
        <f>DataInput!AW679*AW363</f>
        <v>-1.4837000000000002</v>
      </c>
      <c r="AX207" s="74">
        <f>DataInput!AX679*AX363</f>
        <v>-17.523700000000002</v>
      </c>
      <c r="AY207" s="74">
        <f>DataInput!AY679*AY363</f>
        <v>-6.1053609999999994</v>
      </c>
      <c r="AZ207" s="74">
        <f>DataInput!AZ679*AZ363</f>
        <v>-0.92841699999999983</v>
      </c>
      <c r="BA207" s="74">
        <f>DataInput!BA679*BA363</f>
        <v>5.0105500000000003</v>
      </c>
      <c r="BB207" s="74">
        <f>DataInput!BB679*BB363</f>
        <v>2.0942505000000002</v>
      </c>
      <c r="BC207" s="74">
        <f>DataInput!BC679*BC363</f>
        <v>3.3843289999999997</v>
      </c>
      <c r="BD207" s="74">
        <f>DataInput!BD679*BD363</f>
        <v>1.367</v>
      </c>
      <c r="BE207" s="74">
        <f>DataInput!BE679*BE363</f>
        <v>18.018000000000001</v>
      </c>
      <c r="BF207" s="74">
        <f>DataInput!BF679*BF363</f>
        <v>23.859749999999998</v>
      </c>
      <c r="BG207" s="74">
        <f>DataInput!BG679*BG363</f>
        <v>54.625499999999995</v>
      </c>
      <c r="BH207" s="74">
        <f>DataInput!BH679*BH363</f>
        <v>-24.979500000000002</v>
      </c>
      <c r="BI207" s="74">
        <f>DataInput!BI679*BI363</f>
        <v>45.6</v>
      </c>
      <c r="BJ207" s="74">
        <f>DataInput!BJ679*BJ363</f>
        <v>-3.6599999999999997</v>
      </c>
      <c r="BK207" s="74">
        <f>DataInput!BK679*BK363</f>
        <v>6.1749999999999998</v>
      </c>
      <c r="BL207" s="74">
        <f>DataInput!BL679*BL363</f>
        <v>37.855000000000004</v>
      </c>
      <c r="BM207" s="74">
        <f>DataInput!BM679*BM363</f>
        <v>-271.01500000000004</v>
      </c>
      <c r="BN207" s="74">
        <f>DataInput!BN679*BN363</f>
        <v>-11.725</v>
      </c>
      <c r="BO207" s="74">
        <f>DataInput!BO679*BO363</f>
        <v>-74.593333333333334</v>
      </c>
      <c r="BP207" s="80">
        <f t="shared" ref="BP207:BU207" si="659">BO357*(BP363/BO363-1)</f>
        <v>668.48059701492559</v>
      </c>
      <c r="BQ207" s="80">
        <f t="shared" ca="1" si="659"/>
        <v>0</v>
      </c>
      <c r="BR207" s="80">
        <f t="shared" ca="1" si="659"/>
        <v>0</v>
      </c>
      <c r="BS207" s="80">
        <f t="shared" ca="1" si="659"/>
        <v>0</v>
      </c>
      <c r="BT207" s="80">
        <f t="shared" ca="1" si="659"/>
        <v>0</v>
      </c>
      <c r="BU207" s="80">
        <f t="shared" ca="1" si="659"/>
        <v>0</v>
      </c>
      <c r="BV207" s="80">
        <f t="shared" ref="BV207:BX207" ca="1" si="660">BU357*(BV363/BU363-1)</f>
        <v>0</v>
      </c>
      <c r="BW207" s="80">
        <f t="shared" ca="1" si="660"/>
        <v>0</v>
      </c>
      <c r="BX207" s="80">
        <f t="shared" ca="1" si="660"/>
        <v>0</v>
      </c>
      <c r="BY207" s="80">
        <f t="shared" ref="BY207" ca="1" si="661">BX357*(BY363/BX363-1)</f>
        <v>0</v>
      </c>
      <c r="BZ207" s="80">
        <f t="shared" ref="BZ207" ca="1" si="662">BY357*(BZ363/BY363-1)</f>
        <v>0</v>
      </c>
      <c r="CA207" s="80">
        <f t="shared" ref="CA207" ca="1" si="663">BZ357*(CA363/BZ363-1)</f>
        <v>0</v>
      </c>
      <c r="CB207" s="80">
        <f t="shared" ref="CB207" ca="1" si="664">CA357*(CB363/CA363-1)</f>
        <v>0</v>
      </c>
      <c r="CC207" s="80">
        <f t="shared" ref="CC207" ca="1" si="665">CB357*(CC363/CB363-1)</f>
        <v>0</v>
      </c>
      <c r="CD207" s="80">
        <f t="shared" ref="CD207" ca="1" si="666">CC357*(CD363/CC363-1)</f>
        <v>0</v>
      </c>
      <c r="CE207" s="80"/>
      <c r="CF207" s="435"/>
      <c r="CG207" s="235">
        <f t="shared" si="606"/>
        <v>0</v>
      </c>
      <c r="CH207" s="235">
        <f t="shared" si="637"/>
        <v>0</v>
      </c>
      <c r="CI207" s="235" t="e">
        <f>BM207-#REF!</f>
        <v>#REF!</v>
      </c>
      <c r="CJ207" s="235">
        <f t="shared" si="589"/>
        <v>0</v>
      </c>
      <c r="CK207" s="235">
        <f t="shared" si="590"/>
        <v>0</v>
      </c>
      <c r="CL207" s="235">
        <f t="shared" si="591"/>
        <v>0</v>
      </c>
      <c r="CM207" s="235">
        <f t="shared" ca="1" si="592"/>
        <v>0</v>
      </c>
      <c r="CN207" s="235">
        <f t="shared" ca="1" si="593"/>
        <v>0</v>
      </c>
      <c r="CO207" s="235">
        <f t="shared" ca="1" si="594"/>
        <v>0</v>
      </c>
      <c r="CP207" s="235">
        <f t="shared" ca="1" si="595"/>
        <v>0</v>
      </c>
      <c r="CQ207" s="235">
        <f t="shared" ca="1" si="596"/>
        <v>0</v>
      </c>
      <c r="CR207" s="235">
        <f t="shared" ca="1" si="597"/>
        <v>0</v>
      </c>
      <c r="CS207" s="235">
        <f t="shared" ca="1" si="598"/>
        <v>0</v>
      </c>
      <c r="CT207" s="235">
        <f t="shared" ca="1" si="599"/>
        <v>0</v>
      </c>
      <c r="CU207" s="235">
        <f t="shared" ca="1" si="600"/>
        <v>0</v>
      </c>
      <c r="CV207" s="235">
        <f t="shared" ca="1" si="601"/>
        <v>0</v>
      </c>
      <c r="CW207" s="235">
        <f t="shared" ca="1" si="602"/>
        <v>0</v>
      </c>
      <c r="CX207" s="235">
        <f t="shared" ca="1" si="603"/>
        <v>0</v>
      </c>
      <c r="CY207" s="235">
        <f t="shared" ca="1" si="604"/>
        <v>0</v>
      </c>
      <c r="CZ207" s="235">
        <f t="shared" ca="1" si="605"/>
        <v>0</v>
      </c>
      <c r="DA207" s="38"/>
      <c r="DB207" s="236">
        <v>19.568750000000001</v>
      </c>
      <c r="DC207" s="236">
        <v>20.568750000000001</v>
      </c>
      <c r="DD207" s="236">
        <v>32.391000000000005</v>
      </c>
      <c r="DE207" s="236">
        <v>20.587499999999999</v>
      </c>
      <c r="DF207" s="401">
        <v>57.854999999999997</v>
      </c>
      <c r="DG207" s="236">
        <v>6.1749999999999998</v>
      </c>
      <c r="DH207" s="492">
        <v>37.855000000000004</v>
      </c>
      <c r="DI207" s="236">
        <v>-11.725</v>
      </c>
      <c r="DJ207" s="236">
        <v>-74.593333333333334</v>
      </c>
      <c r="DK207" s="236">
        <v>668.48059701492559</v>
      </c>
      <c r="DL207" s="236">
        <v>0</v>
      </c>
      <c r="DM207" s="236">
        <v>0</v>
      </c>
      <c r="DN207" s="236">
        <v>0</v>
      </c>
      <c r="DO207" s="236">
        <v>0</v>
      </c>
      <c r="DP207" s="236">
        <v>0</v>
      </c>
      <c r="DQ207" s="403">
        <v>0</v>
      </c>
      <c r="DR207" s="403">
        <v>0</v>
      </c>
      <c r="DS207" s="403">
        <v>0</v>
      </c>
      <c r="DT207" s="403">
        <v>0</v>
      </c>
      <c r="DU207" s="403">
        <v>0</v>
      </c>
      <c r="DV207" s="403">
        <v>0</v>
      </c>
      <c r="DW207" s="403">
        <v>0</v>
      </c>
      <c r="DX207" s="403">
        <v>0</v>
      </c>
      <c r="DY207" s="403">
        <v>0</v>
      </c>
      <c r="DZ207" s="403"/>
      <c r="EA207" s="991"/>
    </row>
    <row r="208" spans="1:131" s="76" customFormat="1">
      <c r="A208" s="76" t="s">
        <v>3896</v>
      </c>
      <c r="B208" s="80" t="s">
        <v>1569</v>
      </c>
      <c r="C208" s="51" t="s">
        <v>941</v>
      </c>
      <c r="D208" s="207"/>
      <c r="E208" s="207"/>
      <c r="F208" s="76">
        <f t="shared" ref="F208:AU208" si="667">F204+F205+F206</f>
        <v>1.1739113532007042E-2</v>
      </c>
      <c r="G208" s="76">
        <f t="shared" si="667"/>
        <v>1.0577369772553987E-2</v>
      </c>
      <c r="H208" s="76">
        <f t="shared" si="667"/>
        <v>5.3742576063110746E-3</v>
      </c>
      <c r="I208" s="76">
        <f t="shared" si="667"/>
        <v>5.6945170708509775E-3</v>
      </c>
      <c r="J208" s="76">
        <f t="shared" si="667"/>
        <v>4.7048275043863018E-3</v>
      </c>
      <c r="K208" s="76">
        <f t="shared" si="667"/>
        <v>-6.6149089755744737E-3</v>
      </c>
      <c r="L208" s="76">
        <f t="shared" si="667"/>
        <v>-1.5487670478180424E-2</v>
      </c>
      <c r="M208" s="76">
        <f t="shared" si="667"/>
        <v>-1.7374312379182185E-2</v>
      </c>
      <c r="N208" s="76">
        <f t="shared" si="667"/>
        <v>-2.1591231282738092E-2</v>
      </c>
      <c r="O208" s="76">
        <f t="shared" si="667"/>
        <v>-1.9062010588231672E-2</v>
      </c>
      <c r="P208" s="76">
        <f t="shared" si="667"/>
        <v>-4.8699546357520614E-2</v>
      </c>
      <c r="Q208" s="76">
        <f t="shared" si="667"/>
        <v>-4.6164387624507856E-2</v>
      </c>
      <c r="R208" s="76">
        <f t="shared" si="667"/>
        <v>5.6712792960716052E-3</v>
      </c>
      <c r="S208" s="76">
        <f t="shared" si="667"/>
        <v>7.3749443914363534E-3</v>
      </c>
      <c r="T208" s="76">
        <f t="shared" si="667"/>
        <v>-1.0562095220973738E-3</v>
      </c>
      <c r="U208" s="76">
        <f t="shared" si="667"/>
        <v>5.2329503681440414E-3</v>
      </c>
      <c r="V208" s="76">
        <f t="shared" si="667"/>
        <v>1.845664035291919E-2</v>
      </c>
      <c r="W208" s="76">
        <f t="shared" si="667"/>
        <v>2.4245585891137265E-2</v>
      </c>
      <c r="X208" s="76">
        <f t="shared" si="667"/>
        <v>5.5559081486583388E-2</v>
      </c>
      <c r="Y208" s="76">
        <f t="shared" si="667"/>
        <v>1.4508143120900926E-2</v>
      </c>
      <c r="Z208" s="76">
        <f t="shared" si="667"/>
        <v>5.5739733446531908E-2</v>
      </c>
      <c r="AA208" s="76">
        <f t="shared" si="667"/>
        <v>2.6332400593201799E-2</v>
      </c>
      <c r="AB208" s="76">
        <f t="shared" si="667"/>
        <v>1.747359307679202E-2</v>
      </c>
      <c r="AC208" s="76">
        <f t="shared" si="667"/>
        <v>-7.6317496330556941E-2</v>
      </c>
      <c r="AD208" s="76">
        <f t="shared" si="667"/>
        <v>5.7747699145487781E-2</v>
      </c>
      <c r="AE208" s="76">
        <f t="shared" si="667"/>
        <v>6.8437776448033394E-2</v>
      </c>
      <c r="AF208" s="76">
        <f t="shared" si="667"/>
        <v>5.5895281668294314E-2</v>
      </c>
      <c r="AG208" s="76">
        <f t="shared" si="667"/>
        <v>-1.4254501575005633E-2</v>
      </c>
      <c r="AH208" s="76">
        <f t="shared" si="667"/>
        <v>-8.9356776264347459E-2</v>
      </c>
      <c r="AI208" s="76">
        <f t="shared" si="667"/>
        <v>-0.10344534459973624</v>
      </c>
      <c r="AJ208" s="76">
        <f t="shared" si="667"/>
        <v>3.8462152778960465E-3</v>
      </c>
      <c r="AK208" s="76">
        <f t="shared" si="667"/>
        <v>9.3879887654203763E-3</v>
      </c>
      <c r="AL208" s="76">
        <f t="shared" si="667"/>
        <v>-8.8274188840937476E-2</v>
      </c>
      <c r="AM208" s="76">
        <f t="shared" si="667"/>
        <v>-0.24659526439027693</v>
      </c>
      <c r="AN208" s="76">
        <f t="shared" si="667"/>
        <v>-0.3874321026104719</v>
      </c>
      <c r="AO208" s="76">
        <f t="shared" si="667"/>
        <v>-0.70532522082792759</v>
      </c>
      <c r="AP208" s="76">
        <f t="shared" si="667"/>
        <v>-1.4087823108676552</v>
      </c>
      <c r="AQ208" s="76">
        <f t="shared" si="667"/>
        <v>-2.5990094740232101</v>
      </c>
      <c r="AR208" s="76">
        <f t="shared" si="667"/>
        <v>-3.7172288872869124</v>
      </c>
      <c r="AS208" s="76">
        <f t="shared" si="667"/>
        <v>-1.6243838874905741</v>
      </c>
      <c r="AT208" s="76">
        <f t="shared" si="667"/>
        <v>170.72232370594875</v>
      </c>
      <c r="AU208" s="76">
        <f t="shared" si="667"/>
        <v>14.030011006579405</v>
      </c>
      <c r="AV208" s="76">
        <f t="shared" ref="AV208:BG208" si="668">AV204+AV205+AV206</f>
        <v>-5.0917474999999968</v>
      </c>
      <c r="AW208" s="76">
        <f t="shared" si="668"/>
        <v>-11.949799999999964</v>
      </c>
      <c r="AX208" s="76">
        <f t="shared" si="668"/>
        <v>-1.0426000000000215</v>
      </c>
      <c r="AY208" s="76">
        <f t="shared" si="668"/>
        <v>-66.47104299999998</v>
      </c>
      <c r="AZ208" s="76">
        <f t="shared" si="668"/>
        <v>-21.220959999999977</v>
      </c>
      <c r="BA208" s="76">
        <f t="shared" si="668"/>
        <v>187.13314999999989</v>
      </c>
      <c r="BB208" s="76">
        <f t="shared" si="668"/>
        <v>-23.269449999999892</v>
      </c>
      <c r="BC208" s="76">
        <f t="shared" si="668"/>
        <v>-11.454652000000067</v>
      </c>
      <c r="BD208" s="76">
        <f t="shared" si="668"/>
        <v>322.33860000000004</v>
      </c>
      <c r="BE208" s="76">
        <f t="shared" si="668"/>
        <v>844.66199999999981</v>
      </c>
      <c r="BF208" s="76">
        <f t="shared" si="668"/>
        <v>432.21799999999985</v>
      </c>
      <c r="BG208" s="76">
        <f t="shared" si="668"/>
        <v>401.04450000000026</v>
      </c>
      <c r="BH208" s="76">
        <f t="shared" ref="BH208:BP208" si="669">BH204+BH205+BH206</f>
        <v>572.05799999999965</v>
      </c>
      <c r="BI208" s="76">
        <f t="shared" si="669"/>
        <v>109.72500000000031</v>
      </c>
      <c r="BJ208" s="76">
        <f t="shared" si="669"/>
        <v>106.75</v>
      </c>
      <c r="BK208" s="76">
        <f>BK204+BK205+BK206</f>
        <v>403.32500000000016</v>
      </c>
      <c r="BL208" s="76">
        <f t="shared" si="669"/>
        <v>603.33500000000276</v>
      </c>
      <c r="BM208" s="76">
        <f t="shared" si="669"/>
        <v>-498.48000000000104</v>
      </c>
      <c r="BN208" s="76">
        <f>BN204+BN205+BN206</f>
        <v>-506.52000000000078</v>
      </c>
      <c r="BO208" s="76">
        <f>BO204+BO205+BO206</f>
        <v>-944.25333333333231</v>
      </c>
      <c r="BP208" s="76">
        <f t="shared" ca="1" si="669"/>
        <v>-716.67549669903258</v>
      </c>
      <c r="BQ208" s="76">
        <f t="shared" ref="BQ208:BV208" ca="1" si="670">BQ204+BQ205+BQ206</f>
        <v>4.6585849753113564</v>
      </c>
      <c r="BR208" s="76">
        <f t="shared" ca="1" si="670"/>
        <v>-115.54583439803</v>
      </c>
      <c r="BS208" s="76">
        <f t="shared" ca="1" si="670"/>
        <v>-627.3064164561946</v>
      </c>
      <c r="BT208" s="76">
        <f t="shared" ca="1" si="670"/>
        <v>-998.64205430619552</v>
      </c>
      <c r="BU208" s="76">
        <f t="shared" ca="1" si="670"/>
        <v>-1406.2459501586766</v>
      </c>
      <c r="BV208" s="76">
        <f t="shared" ca="1" si="670"/>
        <v>-1831.5355493906425</v>
      </c>
      <c r="BW208" s="76">
        <f t="shared" ref="BW208:BX208" ca="1" si="671">BW204+BW205+BW206</f>
        <v>-2306.444509347587</v>
      </c>
      <c r="BX208" s="76">
        <f t="shared" ca="1" si="671"/>
        <v>-2828.5982025498233</v>
      </c>
      <c r="BY208" s="76">
        <f t="shared" ref="BY208:CD208" ca="1" si="672">BY204+BY205+BY206</f>
        <v>-3415.0866444667799</v>
      </c>
      <c r="BZ208" s="76">
        <f t="shared" ca="1" si="672"/>
        <v>-3982.8767385209876</v>
      </c>
      <c r="CA208" s="76">
        <f t="shared" ca="1" si="672"/>
        <v>-4631.7616897645912</v>
      </c>
      <c r="CB208" s="76">
        <f t="shared" ca="1" si="672"/>
        <v>-5351.6658711288865</v>
      </c>
      <c r="CC208" s="76">
        <f t="shared" ca="1" si="672"/>
        <v>-6151.6598952100985</v>
      </c>
      <c r="CD208" s="76">
        <f t="shared" ca="1" si="672"/>
        <v>-7042.8505830811191</v>
      </c>
      <c r="CF208" s="435"/>
      <c r="CG208" s="235">
        <f t="shared" si="606"/>
        <v>5.6843418860808015E-13</v>
      </c>
      <c r="CH208" s="235">
        <f t="shared" si="637"/>
        <v>1.3642420526593924E-12</v>
      </c>
      <c r="CI208" s="235" t="e">
        <f>BM208-#REF!</f>
        <v>#REF!</v>
      </c>
      <c r="CJ208" s="235">
        <f t="shared" si="589"/>
        <v>0</v>
      </c>
      <c r="CK208" s="235">
        <f t="shared" si="590"/>
        <v>0</v>
      </c>
      <c r="CL208" s="235">
        <f t="shared" ca="1" si="591"/>
        <v>-3.637978807091713E-12</v>
      </c>
      <c r="CM208" s="235">
        <f t="shared" ca="1" si="592"/>
        <v>-5.9117155615240335E-12</v>
      </c>
      <c r="CN208" s="235">
        <f t="shared" ca="1" si="593"/>
        <v>-6.1390892369672656E-12</v>
      </c>
      <c r="CO208" s="235">
        <f t="shared" ca="1" si="594"/>
        <v>-6.3664629124104977E-12</v>
      </c>
      <c r="CP208" s="235">
        <f t="shared" ca="1" si="595"/>
        <v>-7.73070496506989E-12</v>
      </c>
      <c r="CQ208" s="235">
        <f t="shared" ca="1" si="596"/>
        <v>-8.1854523159563541E-12</v>
      </c>
      <c r="CR208" s="235">
        <f t="shared" ca="1" si="597"/>
        <v>-1.5006662579253316E-11</v>
      </c>
      <c r="CS208" s="235">
        <f t="shared" ca="1" si="598"/>
        <v>-2.2737367544323206E-11</v>
      </c>
      <c r="CT208" s="235">
        <f t="shared" ca="1" si="599"/>
        <v>-2.2737367544323206E-11</v>
      </c>
      <c r="CU208" s="235">
        <f t="shared" ca="1" si="600"/>
        <v>-2.0008883439004421E-11</v>
      </c>
      <c r="CV208" s="235">
        <f t="shared" ca="1" si="601"/>
        <v>-2.0918378140777349E-11</v>
      </c>
      <c r="CW208" s="235">
        <f t="shared" ca="1" si="602"/>
        <v>0</v>
      </c>
      <c r="CX208" s="235">
        <f t="shared" ca="1" si="603"/>
        <v>4.3200998334214091E-10</v>
      </c>
      <c r="CY208" s="235">
        <f t="shared" ca="1" si="604"/>
        <v>4.6075001591816545E-9</v>
      </c>
      <c r="CZ208" s="235">
        <f t="shared" ca="1" si="605"/>
        <v>3.6567143979482353E-8</v>
      </c>
      <c r="DA208" s="38"/>
      <c r="DB208" s="236">
        <v>623.71299999999997</v>
      </c>
      <c r="DC208" s="236">
        <v>624.71299999999997</v>
      </c>
      <c r="DD208" s="236">
        <v>213.86</v>
      </c>
      <c r="DE208" s="236">
        <v>446.02877215887884</v>
      </c>
      <c r="DF208" s="401">
        <v>-471.39</v>
      </c>
      <c r="DG208" s="236">
        <v>403.32499999999959</v>
      </c>
      <c r="DH208" s="492">
        <v>603.3350000000014</v>
      </c>
      <c r="DI208" s="236">
        <v>-506.52000000000078</v>
      </c>
      <c r="DJ208" s="236">
        <v>-944.25333333333231</v>
      </c>
      <c r="DK208" s="236">
        <v>-716.67549669902894</v>
      </c>
      <c r="DL208" s="236">
        <v>4.6585849753172681</v>
      </c>
      <c r="DM208" s="236">
        <v>-115.54583439802386</v>
      </c>
      <c r="DN208" s="236">
        <v>-627.30641645618823</v>
      </c>
      <c r="DO208" s="236">
        <v>-998.64205430618779</v>
      </c>
      <c r="DP208" s="236">
        <v>-1406.2459501586684</v>
      </c>
      <c r="DQ208" s="401">
        <v>-1831.5355493906275</v>
      </c>
      <c r="DR208" s="401">
        <v>-2306.4445093475642</v>
      </c>
      <c r="DS208" s="401">
        <v>-2828.5982025498006</v>
      </c>
      <c r="DT208" s="401">
        <v>-3415.0866444667599</v>
      </c>
      <c r="DU208" s="401">
        <v>-3982.8767385209667</v>
      </c>
      <c r="DV208" s="401">
        <v>-4631.761689764593</v>
      </c>
      <c r="DW208" s="401">
        <v>-5351.6658711293185</v>
      </c>
      <c r="DX208" s="401">
        <v>-6151.659895214706</v>
      </c>
      <c r="DY208" s="401">
        <v>-7042.8505831176863</v>
      </c>
      <c r="DZ208" s="401"/>
      <c r="EA208" s="989"/>
    </row>
    <row r="209" spans="1:131" s="76" customFormat="1">
      <c r="B209" s="80"/>
      <c r="C209" s="51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07"/>
      <c r="V209" s="207"/>
      <c r="W209" s="207"/>
      <c r="X209" s="207"/>
      <c r="Y209" s="207"/>
      <c r="Z209" s="207"/>
      <c r="AA209" s="207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51"/>
      <c r="BI209" s="273" t="s">
        <v>2219</v>
      </c>
      <c r="CF209" s="435"/>
      <c r="CG209" s="235">
        <f t="shared" si="606"/>
        <v>0</v>
      </c>
      <c r="CH209" s="235">
        <f t="shared" si="637"/>
        <v>0</v>
      </c>
      <c r="CI209" s="235" t="e">
        <f>BM209-#REF!</f>
        <v>#REF!</v>
      </c>
      <c r="CJ209" s="235">
        <f t="shared" si="589"/>
        <v>0</v>
      </c>
      <c r="CK209" s="235">
        <f t="shared" si="590"/>
        <v>0</v>
      </c>
      <c r="CL209" s="235">
        <f t="shared" si="591"/>
        <v>0</v>
      </c>
      <c r="CM209" s="235">
        <f t="shared" si="592"/>
        <v>0</v>
      </c>
      <c r="CN209" s="235">
        <f t="shared" si="593"/>
        <v>0</v>
      </c>
      <c r="CO209" s="235">
        <f t="shared" si="594"/>
        <v>0</v>
      </c>
      <c r="CP209" s="235">
        <f t="shared" si="595"/>
        <v>0</v>
      </c>
      <c r="CQ209" s="235">
        <f t="shared" si="596"/>
        <v>0</v>
      </c>
      <c r="CR209" s="235">
        <f t="shared" si="597"/>
        <v>0</v>
      </c>
      <c r="CS209" s="235">
        <f t="shared" si="598"/>
        <v>0</v>
      </c>
      <c r="CT209" s="235">
        <f t="shared" si="599"/>
        <v>0</v>
      </c>
      <c r="CU209" s="235">
        <f t="shared" si="600"/>
        <v>0</v>
      </c>
      <c r="CV209" s="235">
        <f t="shared" si="601"/>
        <v>0</v>
      </c>
      <c r="CW209" s="235">
        <f t="shared" si="602"/>
        <v>0</v>
      </c>
      <c r="CX209" s="235">
        <f t="shared" si="603"/>
        <v>0</v>
      </c>
      <c r="CY209" s="235">
        <f t="shared" si="604"/>
        <v>0</v>
      </c>
      <c r="CZ209" s="235">
        <f t="shared" si="605"/>
        <v>0</v>
      </c>
      <c r="DA209" s="38"/>
      <c r="DB209" s="236"/>
      <c r="DC209" s="236"/>
      <c r="DD209" s="236"/>
      <c r="DE209" s="236"/>
      <c r="DF209" s="402" t="s">
        <v>2219</v>
      </c>
      <c r="DG209" s="236"/>
      <c r="DH209" s="492"/>
      <c r="DI209" s="236"/>
      <c r="DJ209" s="236"/>
      <c r="DK209" s="236"/>
      <c r="DL209" s="236"/>
      <c r="DM209" s="236"/>
      <c r="DN209" s="236"/>
      <c r="DO209" s="236"/>
      <c r="DP209" s="236"/>
      <c r="DQ209" s="401"/>
      <c r="DR209" s="401"/>
      <c r="DS209" s="401"/>
      <c r="DT209" s="401"/>
      <c r="DU209" s="401"/>
      <c r="DV209" s="401"/>
      <c r="DW209" s="401"/>
      <c r="DX209" s="401"/>
      <c r="DY209" s="401"/>
      <c r="DZ209" s="401"/>
      <c r="EA209" s="989"/>
    </row>
    <row r="210" spans="1:131" s="25" customFormat="1">
      <c r="A210" s="25" t="s">
        <v>3648</v>
      </c>
      <c r="B210" s="134" t="s">
        <v>197</v>
      </c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100"/>
      <c r="AV210" s="76"/>
      <c r="AW210" s="76"/>
      <c r="AX210" s="76"/>
      <c r="AY210" s="76"/>
      <c r="AZ210" s="76"/>
      <c r="BA210" s="80"/>
      <c r="BB210" s="80"/>
      <c r="BC210" s="80"/>
      <c r="BD210" s="80"/>
      <c r="BE210" s="80"/>
      <c r="BF210" s="80"/>
      <c r="BG210" s="80"/>
      <c r="BH210" s="80"/>
      <c r="BI210" s="80"/>
      <c r="BJ210" s="80"/>
      <c r="BK210" s="80"/>
      <c r="BL210" s="80"/>
      <c r="BM210" s="80"/>
      <c r="BN210" s="80"/>
      <c r="BO210" s="80"/>
      <c r="BP210" s="80"/>
      <c r="BQ210" s="80"/>
      <c r="BR210" s="80"/>
      <c r="BS210" s="80"/>
      <c r="BT210" s="80"/>
      <c r="BU210" s="80"/>
      <c r="BV210" s="80"/>
      <c r="BW210" s="80"/>
      <c r="BX210" s="80"/>
      <c r="BY210" s="80"/>
      <c r="BZ210" s="80"/>
      <c r="CA210" s="80"/>
      <c r="CB210" s="80"/>
      <c r="CC210" s="80"/>
      <c r="CD210" s="80"/>
      <c r="CE210" s="80"/>
      <c r="CF210" s="435"/>
      <c r="CG210" s="235">
        <f t="shared" si="606"/>
        <v>0</v>
      </c>
      <c r="CH210" s="235">
        <f t="shared" si="637"/>
        <v>0</v>
      </c>
      <c r="CI210" s="235" t="e">
        <f>BM210-#REF!</f>
        <v>#REF!</v>
      </c>
      <c r="CJ210" s="235">
        <f t="shared" si="589"/>
        <v>0</v>
      </c>
      <c r="CK210" s="235">
        <f t="shared" si="590"/>
        <v>0</v>
      </c>
      <c r="CL210" s="235">
        <f t="shared" si="591"/>
        <v>0</v>
      </c>
      <c r="CM210" s="235">
        <f t="shared" si="592"/>
        <v>0</v>
      </c>
      <c r="CN210" s="235">
        <f t="shared" si="593"/>
        <v>0</v>
      </c>
      <c r="CO210" s="235">
        <f t="shared" si="594"/>
        <v>0</v>
      </c>
      <c r="CP210" s="235">
        <f t="shared" si="595"/>
        <v>0</v>
      </c>
      <c r="CQ210" s="235">
        <f t="shared" si="596"/>
        <v>0</v>
      </c>
      <c r="CR210" s="235">
        <f t="shared" si="597"/>
        <v>0</v>
      </c>
      <c r="CS210" s="235">
        <f t="shared" si="598"/>
        <v>0</v>
      </c>
      <c r="CT210" s="235">
        <f t="shared" si="599"/>
        <v>0</v>
      </c>
      <c r="CU210" s="235">
        <f t="shared" si="600"/>
        <v>0</v>
      </c>
      <c r="CV210" s="235">
        <f t="shared" si="601"/>
        <v>0</v>
      </c>
      <c r="CW210" s="235">
        <f t="shared" si="602"/>
        <v>0</v>
      </c>
      <c r="CX210" s="235">
        <f t="shared" si="603"/>
        <v>0</v>
      </c>
      <c r="CY210" s="235">
        <f t="shared" si="604"/>
        <v>0</v>
      </c>
      <c r="CZ210" s="235">
        <f t="shared" si="605"/>
        <v>0</v>
      </c>
      <c r="DA210" s="38"/>
      <c r="DB210" s="236"/>
      <c r="DC210" s="236"/>
      <c r="DD210" s="236"/>
      <c r="DE210" s="236"/>
      <c r="DF210" s="401"/>
      <c r="DG210" s="236"/>
      <c r="DH210" s="492"/>
      <c r="DI210" s="236"/>
      <c r="DJ210" s="236"/>
      <c r="DK210" s="236"/>
      <c r="DL210" s="236"/>
      <c r="DM210" s="236"/>
      <c r="DN210" s="236"/>
      <c r="DO210" s="236"/>
      <c r="DP210" s="236"/>
      <c r="DQ210" s="259"/>
      <c r="DR210" s="259"/>
      <c r="DS210" s="259"/>
      <c r="DT210" s="259"/>
      <c r="DU210" s="259"/>
      <c r="DV210" s="259"/>
      <c r="DW210" s="259"/>
      <c r="DX210" s="259"/>
      <c r="DY210" s="259"/>
      <c r="DZ210" s="259"/>
      <c r="EA210" s="508"/>
    </row>
    <row r="211" spans="1:131" s="38" customFormat="1">
      <c r="A211" s="38" t="s">
        <v>3647</v>
      </c>
      <c r="B211" s="101" t="s">
        <v>1934</v>
      </c>
      <c r="C211" s="92" t="s">
        <v>4501</v>
      </c>
      <c r="D211" s="213"/>
      <c r="E211" s="213"/>
      <c r="F211" s="308">
        <f>(1000*mamiabc!F155)*Model!$AV211/(1000*mamiabc!$AV155)</f>
        <v>80.081493088610387</v>
      </c>
      <c r="G211" s="308">
        <f>(1000*mamiabc!G155)*Model!$AV211/(1000*mamiabc!$AV155)</f>
        <v>80.053148484513216</v>
      </c>
      <c r="H211" s="308">
        <f>(1000*mamiabc!H155)*Model!$AV211/(1000*mamiabc!$AV155)</f>
        <v>90.520057614890305</v>
      </c>
      <c r="I211" s="308">
        <f>(1000*mamiabc!I155)*Model!$AV211/(1000*mamiabc!$AV155)</f>
        <v>104.3657728209698</v>
      </c>
      <c r="J211" s="308">
        <f>(1000*mamiabc!J155)*Model!$AV211/(1000*mamiabc!$AV155)</f>
        <v>100.77439641809514</v>
      </c>
      <c r="K211" s="308">
        <f>(1000*mamiabc!K155)*Model!$AV211/(1000*mamiabc!$AV155)</f>
        <v>110.94512891910057</v>
      </c>
      <c r="L211" s="308">
        <f>(1000*mamiabc!L155)*Model!$AV211/(1000*mamiabc!$AV155)</f>
        <v>126.75613643316176</v>
      </c>
      <c r="M211" s="308">
        <f>(1000*mamiabc!M155)*Model!$AV211/(1000*mamiabc!$AV155)</f>
        <v>120.04531588719725</v>
      </c>
      <c r="N211" s="308">
        <f>(1000*mamiabc!N155)*Model!$AV211/(1000*mamiabc!$AV155)</f>
        <v>128.06680278149574</v>
      </c>
      <c r="O211" s="308">
        <f>(1000*mamiabc!O155)*Model!$AV211/(1000*mamiabc!$AV155)</f>
        <v>133.0712415437487</v>
      </c>
      <c r="P211" s="308">
        <f>(1000*mamiabc!P155)*Model!$AV211/(1000*mamiabc!$AV155)</f>
        <v>175.90018016147417</v>
      </c>
      <c r="Q211" s="308">
        <f>(1000*mamiabc!Q155)*Model!$AV211/(1000*mamiabc!$AV155)</f>
        <v>206.71376661178988</v>
      </c>
      <c r="R211" s="308">
        <f>(1000*mamiabc!R155)*Model!$AV211/(1000*mamiabc!$AV155)</f>
        <v>210.77319343515791</v>
      </c>
      <c r="S211" s="308">
        <f>(1000*mamiabc!S155)*Model!$AV211/(1000*mamiabc!$AV155)</f>
        <v>222.46352972045727</v>
      </c>
      <c r="T211" s="308">
        <f>(1000*mamiabc!T155)*Model!$AV211/(1000*mamiabc!$AV155)</f>
        <v>218.60768324915196</v>
      </c>
      <c r="U211" s="308">
        <f>(1000*mamiabc!U155)*Model!$AV211/(1000*mamiabc!$AV155)</f>
        <v>215.81432862525472</v>
      </c>
      <c r="V211" s="308">
        <f>(1000*mamiabc!V155)*Model!$AV211/(1000*mamiabc!$AV155)</f>
        <v>215.31410971034231</v>
      </c>
      <c r="W211" s="308">
        <f>(1000*mamiabc!W155)*Model!$AV211/(1000*mamiabc!$AV155)</f>
        <v>221.85224656009447</v>
      </c>
      <c r="X211" s="308">
        <f>(1000*mamiabc!X155)*Model!$AV211/(1000*mamiabc!$AV155)</f>
        <v>234.51194451110234</v>
      </c>
      <c r="Y211" s="308">
        <f>(1000*mamiabc!Y155)*Model!$AV211/(1000*mamiabc!$AV155)</f>
        <v>260.63895359864688</v>
      </c>
      <c r="Z211" s="308">
        <f>(1000*mamiabc!Z155)*Model!$AV211/(1000*mamiabc!$AV155)</f>
        <v>312.26670614627062</v>
      </c>
      <c r="AA211" s="308">
        <f>(1000*mamiabc!AA155)*Model!$AV211/(1000*mamiabc!$AV155)</f>
        <v>298.2767200811154</v>
      </c>
      <c r="AB211" s="308">
        <f>(1000*mamiabc!AB155)*Model!$AV211/(1000*mamiabc!$AV155)</f>
        <v>274.95056731402155</v>
      </c>
      <c r="AC211" s="308">
        <f>(1000*mamiabc!AC155)*Model!$AV211/(1000*mamiabc!$AV155)</f>
        <v>334.2800453553092</v>
      </c>
      <c r="AD211" s="308">
        <f>(1000*mamiabc!AD155)*Model!$AV211/(1000*mamiabc!$AV155)</f>
        <v>326.52698861830783</v>
      </c>
      <c r="AE211" s="308">
        <f>(1000*mamiabc!AE155)*Model!$AV211/(1000*mamiabc!$AV155)</f>
        <v>318.18272141526967</v>
      </c>
      <c r="AF211" s="308">
        <f>(1000*mamiabc!AF155)*Model!$AV211/(1000*mamiabc!$AV155)</f>
        <v>320.790205979831</v>
      </c>
      <c r="AG211" s="308">
        <f>(1000*mamiabc!AG155)*Model!$AV211/(1000*mamiabc!$AV155)</f>
        <v>312.77269924020015</v>
      </c>
      <c r="AH211" s="308">
        <f>(1000*mamiabc!AH155)*Model!$AV211/(1000*mamiabc!$AV155)</f>
        <v>289.4527424092218</v>
      </c>
      <c r="AI211" s="308">
        <f>(1000*mamiabc!AI155)*Model!$AV211/(1000*mamiabc!$AV155)</f>
        <v>257.7830061237575</v>
      </c>
      <c r="AJ211" s="308">
        <f>(1000*mamiabc!AJ155)*Model!$AV211/(1000*mamiabc!$AV155)</f>
        <v>240.8350045837995</v>
      </c>
      <c r="AK211" s="308">
        <f>(1000*mamiabc!AK155)*Model!$AV211/(1000*mamiabc!$AV155)</f>
        <v>222.01602476757463</v>
      </c>
      <c r="AL211" s="308">
        <f>(1000*mamiabc!AL155)*Model!$AV211/(1000*mamiabc!$AV155)</f>
        <v>227.77710138056355</v>
      </c>
      <c r="AM211" s="308">
        <f>(1000*mamiabc!AM155)*Model!$AV211/(1000*mamiabc!$AV155)</f>
        <v>219.15178748590876</v>
      </c>
      <c r="AN211" s="308">
        <f>(1000*mamiabc!AN155)*Model!$AV211/(1000*mamiabc!$AV155)</f>
        <v>182.16861786255296</v>
      </c>
      <c r="AO211" s="308">
        <f>(1000*mamiabc!AO155)*Model!$AV211/(1000*mamiabc!$AV155)</f>
        <v>203.15533309456714</v>
      </c>
      <c r="AP211" s="308">
        <f>(1000*mamiabc!AP155)*Model!$AV211/(1000*mamiabc!$AV155)</f>
        <v>205.35401099890021</v>
      </c>
      <c r="AQ211" s="308">
        <f>(1000*mamiabc!AQ155)*Model!$AV211/(1000*mamiabc!$AV155)</f>
        <v>216.67948818050675</v>
      </c>
      <c r="AR211" s="308">
        <f>(1000*mamiabc!AR155)*Model!$AV211/(1000*mamiabc!$AV155)</f>
        <v>215.69960244220061</v>
      </c>
      <c r="AS211" s="308">
        <f>(1000*mamiabc!AS155)*Model!$AV211/(1000*mamiabc!$AV155)</f>
        <v>168.51464735094768</v>
      </c>
      <c r="AT211" s="308">
        <f>(1000*mamiabc!AT155)*Model!$AV211/(1000*mamiabc!$AV155)</f>
        <v>160.18411367335614</v>
      </c>
      <c r="AU211" s="308">
        <f>(1000*mamiabc!AU155)*Model!$AV211/(1000*mamiabc!$AV155)</f>
        <v>182.94225785751269</v>
      </c>
      <c r="AV211" s="103">
        <f t="shared" ref="AV211:BQ211" si="673">0.25*(AV83+AV84+AV85+AV86+AV88+AV89)/(AV58/$AV58)+0.42*AV80/(AV56/$AV56)+0.2*AV90/(AV66/$AV66)+0.35*(AV181-AV83-AV84-AV85-AV86-AV88-AV89-AV80-AV90)/(AV315/100)+0.35*(AV332+AV298)/(AV313/100)+(AV256*0.76+AV293*0.66)/(AV314/100)</f>
        <v>254.98749479993594</v>
      </c>
      <c r="AW211" s="103">
        <f t="shared" si="673"/>
        <v>242.42259633232754</v>
      </c>
      <c r="AX211" s="103">
        <f t="shared" si="673"/>
        <v>224.36597654202905</v>
      </c>
      <c r="AY211" s="103">
        <f t="shared" si="673"/>
        <v>218.90713979748986</v>
      </c>
      <c r="AZ211" s="103">
        <f t="shared" si="673"/>
        <v>212.43826651109202</v>
      </c>
      <c r="BA211" s="103">
        <f t="shared" si="673"/>
        <v>228.85528186205715</v>
      </c>
      <c r="BB211" s="103">
        <f t="shared" si="673"/>
        <v>232.79893686134875</v>
      </c>
      <c r="BC211" s="103">
        <f t="shared" ca="1" si="673"/>
        <v>290.11446187369449</v>
      </c>
      <c r="BD211" s="103">
        <f t="shared" ca="1" si="673"/>
        <v>289.8628653219256</v>
      </c>
      <c r="BE211" s="103">
        <f t="shared" ca="1" si="673"/>
        <v>376.4517332267821</v>
      </c>
      <c r="BF211" s="103">
        <f t="shared" ca="1" si="673"/>
        <v>352.7174953694373</v>
      </c>
      <c r="BG211" s="103">
        <f t="shared" ca="1" si="673"/>
        <v>402.32852955340417</v>
      </c>
      <c r="BH211" s="103">
        <f t="shared" ca="1" si="673"/>
        <v>430.69721273461164</v>
      </c>
      <c r="BI211" s="103">
        <f t="shared" ca="1" si="673"/>
        <v>429.72464722663443</v>
      </c>
      <c r="BJ211" s="103">
        <f t="shared" ca="1" si="673"/>
        <v>429.07888101209301</v>
      </c>
      <c r="BK211" s="103">
        <f t="shared" ca="1" si="673"/>
        <v>474.46161898086609</v>
      </c>
      <c r="BL211" s="103">
        <f t="shared" ca="1" si="673"/>
        <v>517.80175179839955</v>
      </c>
      <c r="BM211" s="103">
        <f t="shared" ca="1" si="673"/>
        <v>527.30323614491658</v>
      </c>
      <c r="BN211" s="103">
        <f t="shared" ca="1" si="673"/>
        <v>552.5224997718841</v>
      </c>
      <c r="BO211" s="103">
        <f t="shared" ca="1" si="673"/>
        <v>574.38463945351521</v>
      </c>
      <c r="BP211" s="103">
        <f t="shared" ca="1" si="673"/>
        <v>545.9021059783181</v>
      </c>
      <c r="BQ211" s="103">
        <f t="shared" ca="1" si="673"/>
        <v>586.61679706668383</v>
      </c>
      <c r="BR211" s="103">
        <f ca="1">0.25*(BR83+BR84+BR85+BR86+BR88+BR89)/(BR58/$AV58)+0.42*BR80/(BR56/$AV56)+0.2*BR90/(BR66/$AV66)+0.35*(BR181-BR83-BR84-BR85-BR86-BR88-BR89-BR80-BR90)/(BR315/100)+0.35*(BR332+BR298)/(BR313/100)+(BR256*0.76+BR293*0.66)/(BR314/100)</f>
        <v>606.10095784961288</v>
      </c>
      <c r="BS211" s="103">
        <f ca="1">0.25*(BS83+BS84+BS85+BS86+BS88+BS89)/(BS58/$AV58)+0.42*BS80/(BS56/$AV56)+0.2*BS90/(BS66/$AV66)+0.35*(BS181-BS83-BS84-BS85-BS86-BS88-BS89-BS80-BS90)/(BS315/100)+0.35*(BS332+BS298)/(BS313/100)+(BS256*0.76+BS293*0.66)/(BS314/100)</f>
        <v>615.42527689288818</v>
      </c>
      <c r="BT211" s="103">
        <f ca="1">0.25*(BT83+BT84+BT85+BT86+BT88+BT89)/(BT58/$AV58)+0.42*BT80/(BT56/$AV56)+0.2*BT90/(BT66/$AV66)+0.35*(BT181-BT83-BT84-BT85-BT86-BT88-BT89-BT80-BT90)/(BT315/100)+0.35*(BT332+BT298)/(BT313/100)+(BT256*0.76+BT293*0.66)/(BT314/100)</f>
        <v>620.70219708820116</v>
      </c>
      <c r="BU211" s="103">
        <f ca="1">0.25*(BU83+BU84+BU85+BU86+BU88+BU89)/(BU58/$AV58)+0.42*BU80/(BU56/$AV56)+0.2*BU90/(BU66/$AV66)+0.35*(BU181-BU83-BU84-BU85-BU86-BU88-BU89-BU80-BU90)/(BU315/100)+0.35*(BU332+BU298)/(BU313/100)+(BU256*0.76+BU293*0.66)/(BU314/100)</f>
        <v>632.96244978486243</v>
      </c>
      <c r="BV211" s="103">
        <f ca="1">0.25*(BV83+BV84+BV85+BV86+BV88+BV89)/(BV58/$AV58)+0.42*BV80/(BV56/$AV56)+0.2*BV90/(BV66/$AV66)+0.35*(BV181-BV83-BV84-BV85-BV86-BV88-BV89-BV80-BV90)/(BV315/100)+0.35*(BV332+BV298)/(BV313/100)+(BV256*0.76+BV293*0.66)/(BV314/100)</f>
        <v>644.16622187413486</v>
      </c>
      <c r="BW211" s="103">
        <f t="shared" ref="BW211:BX211" ca="1" si="674">0.25*(BW83+BW84+BW85+BW86+BW88+BW89)/(BW58/$AV58)+0.42*BW80/(BW56/$AV56)+0.2*BW90/(BW66/$AV66)+0.35*(BW181-BW83-BW84-BW85-BW86-BW88-BW89-BW80-BW90)/(BW315/100)+0.35*(BW332+BW298)/(BW313/100)+(BW256*0.76+BW293*0.66)/(BW314/100)</f>
        <v>655.68906314581682</v>
      </c>
      <c r="BX211" s="103">
        <f t="shared" ca="1" si="674"/>
        <v>667.67911943024058</v>
      </c>
      <c r="BY211" s="103">
        <f t="shared" ref="BY211:CD211" ca="1" si="675">0.25*(BY83+BY84+BY85+BY86+BY88+BY89)/(BY58/$AV58)+0.42*BY80/(BY56/$AV56)+0.2*BY90/(BY66/$AV66)+0.35*(BY181-BY83-BY84-BY85-BY86-BY88-BY89-BY80-BY90)/(BY315/100)+0.35*(BY332+BY298)/(BY313/100)+(BY256*0.76+BY293*0.66)/(BY314/100)</f>
        <v>680.23527387307001</v>
      </c>
      <c r="BZ211" s="103">
        <f t="shared" ca="1" si="675"/>
        <v>692.54196121134373</v>
      </c>
      <c r="CA211" s="103">
        <f t="shared" ca="1" si="675"/>
        <v>706.07449560466398</v>
      </c>
      <c r="CB211" s="103">
        <f t="shared" ca="1" si="675"/>
        <v>720.21850900236882</v>
      </c>
      <c r="CC211" s="103">
        <f t="shared" ca="1" si="675"/>
        <v>735.06521776937734</v>
      </c>
      <c r="CD211" s="103">
        <f t="shared" ca="1" si="675"/>
        <v>750.71087900915199</v>
      </c>
      <c r="CE211" s="103"/>
      <c r="CF211" s="435"/>
      <c r="CG211" s="235">
        <f t="shared" ca="1" si="606"/>
        <v>28.939650976920007</v>
      </c>
      <c r="CH211" s="235">
        <f t="shared" ca="1" si="637"/>
        <v>-5.0941164325055297</v>
      </c>
      <c r="CI211" s="235" t="e">
        <f ca="1">BM211-#REF!</f>
        <v>#REF!</v>
      </c>
      <c r="CJ211" s="235">
        <f t="shared" ca="1" si="589"/>
        <v>0</v>
      </c>
      <c r="CK211" s="235">
        <f t="shared" ca="1" si="590"/>
        <v>0</v>
      </c>
      <c r="CL211" s="235">
        <f t="shared" ca="1" si="591"/>
        <v>0</v>
      </c>
      <c r="CM211" s="235">
        <f t="shared" ca="1" si="592"/>
        <v>0</v>
      </c>
      <c r="CN211" s="235">
        <f t="shared" ca="1" si="593"/>
        <v>0</v>
      </c>
      <c r="CO211" s="235">
        <f t="shared" ca="1" si="594"/>
        <v>0</v>
      </c>
      <c r="CP211" s="235">
        <f t="shared" ca="1" si="595"/>
        <v>0</v>
      </c>
      <c r="CQ211" s="235">
        <f t="shared" ca="1" si="596"/>
        <v>-9.0949470177292824E-13</v>
      </c>
      <c r="CR211" s="235">
        <f t="shared" ca="1" si="597"/>
        <v>-1.2505552149377763E-12</v>
      </c>
      <c r="CS211" s="235">
        <f t="shared" ca="1" si="598"/>
        <v>-1.3642420526593924E-12</v>
      </c>
      <c r="CT211" s="235">
        <f t="shared" ca="1" si="599"/>
        <v>-1.4779288903810084E-12</v>
      </c>
      <c r="CU211" s="235">
        <f t="shared" ca="1" si="600"/>
        <v>-1.9326762412674725E-12</v>
      </c>
      <c r="CV211" s="235">
        <f t="shared" ca="1" si="601"/>
        <v>-1.9326762412674725E-12</v>
      </c>
      <c r="CW211" s="235">
        <f t="shared" ca="1" si="602"/>
        <v>-1.9326762412674725E-12</v>
      </c>
      <c r="CX211" s="235">
        <f t="shared" ca="1" si="603"/>
        <v>4.2064129956997931E-12</v>
      </c>
      <c r="CY211" s="235">
        <f t="shared" ca="1" si="604"/>
        <v>6.5710992203094065E-11</v>
      </c>
      <c r="CZ211" s="235">
        <f t="shared" ca="1" si="605"/>
        <v>4.8271431296598166E-10</v>
      </c>
      <c r="DB211" s="236">
        <v>335.25182499806402</v>
      </c>
      <c r="DC211" s="236">
        <v>336.25182499806419</v>
      </c>
      <c r="DD211" s="236">
        <v>364.97690860352361</v>
      </c>
      <c r="DE211" s="236">
        <v>380.52488881994327</v>
      </c>
      <c r="DF211" s="401">
        <v>366.13031680015229</v>
      </c>
      <c r="DG211" s="236">
        <v>445.52196800394609</v>
      </c>
      <c r="DH211" s="492">
        <v>522.89586823090508</v>
      </c>
      <c r="DI211" s="236">
        <v>552.5224997718841</v>
      </c>
      <c r="DJ211" s="236">
        <v>574.38463945351521</v>
      </c>
      <c r="DK211" s="236">
        <v>545.9021059783181</v>
      </c>
      <c r="DL211" s="236">
        <v>586.61679706668406</v>
      </c>
      <c r="DM211" s="236">
        <v>606.10095784961311</v>
      </c>
      <c r="DN211" s="236">
        <v>615.42527689288841</v>
      </c>
      <c r="DO211" s="236">
        <v>620.70219708820173</v>
      </c>
      <c r="DP211" s="236">
        <v>632.96244978486334</v>
      </c>
      <c r="DQ211" s="236">
        <v>644.16622187413611</v>
      </c>
      <c r="DR211" s="236">
        <v>655.68906314581818</v>
      </c>
      <c r="DS211" s="236">
        <v>667.67911943024205</v>
      </c>
      <c r="DT211" s="236">
        <v>680.23527387307195</v>
      </c>
      <c r="DU211" s="236">
        <v>692.54196121134567</v>
      </c>
      <c r="DV211" s="236">
        <v>706.07449560466591</v>
      </c>
      <c r="DW211" s="236">
        <v>720.21850900236461</v>
      </c>
      <c r="DX211" s="236">
        <v>735.06521776931163</v>
      </c>
      <c r="DY211" s="236">
        <v>750.71087900866928</v>
      </c>
      <c r="DZ211" s="236"/>
      <c r="EA211" s="492"/>
    </row>
    <row r="212" spans="1:131" s="38" customFormat="1">
      <c r="A212" s="38" t="s">
        <v>3647</v>
      </c>
      <c r="B212" s="101" t="s">
        <v>3959</v>
      </c>
      <c r="C212" s="92" t="s">
        <v>426</v>
      </c>
      <c r="D212" s="213"/>
      <c r="E212" s="213"/>
      <c r="F212" s="76"/>
      <c r="G212" s="76">
        <f t="shared" ref="G212:AU212" si="676">(G211/F211-1)*100</f>
        <v>-3.5394699828850129E-2</v>
      </c>
      <c r="H212" s="76">
        <f t="shared" si="676"/>
        <v>13.074949990757666</v>
      </c>
      <c r="I212" s="76">
        <f t="shared" si="676"/>
        <v>15.295742812034963</v>
      </c>
      <c r="J212" s="76">
        <f t="shared" si="676"/>
        <v>-3.441143878688413</v>
      </c>
      <c r="K212" s="76">
        <f t="shared" si="676"/>
        <v>10.092575954321624</v>
      </c>
      <c r="L212" s="76">
        <f t="shared" si="676"/>
        <v>14.251195765061775</v>
      </c>
      <c r="M212" s="76">
        <f t="shared" si="676"/>
        <v>-5.2942766597363971</v>
      </c>
      <c r="N212" s="76">
        <f t="shared" si="676"/>
        <v>6.6820490537390365</v>
      </c>
      <c r="O212" s="76">
        <f t="shared" si="676"/>
        <v>3.9076783784408153</v>
      </c>
      <c r="P212" s="76">
        <f t="shared" si="676"/>
        <v>32.184969585366765</v>
      </c>
      <c r="Q212" s="76">
        <f t="shared" si="676"/>
        <v>17.517654855173671</v>
      </c>
      <c r="R212" s="76">
        <f t="shared" si="676"/>
        <v>1.9637912316656125</v>
      </c>
      <c r="S212" s="76">
        <f t="shared" si="676"/>
        <v>5.5464056385784</v>
      </c>
      <c r="T212" s="76">
        <f t="shared" si="676"/>
        <v>-1.7332488053886763</v>
      </c>
      <c r="U212" s="76">
        <f t="shared" si="676"/>
        <v>-1.2777934345123643</v>
      </c>
      <c r="V212" s="76">
        <f t="shared" si="676"/>
        <v>-0.23178206845616556</v>
      </c>
      <c r="W212" s="76">
        <f t="shared" si="676"/>
        <v>3.0365575477370177</v>
      </c>
      <c r="X212" s="76">
        <f t="shared" si="676"/>
        <v>5.7063645499657589</v>
      </c>
      <c r="Y212" s="76">
        <f t="shared" si="676"/>
        <v>11.14101422083753</v>
      </c>
      <c r="Z212" s="76">
        <f t="shared" si="676"/>
        <v>19.808149102349603</v>
      </c>
      <c r="AA212" s="76">
        <f t="shared" si="676"/>
        <v>-4.4801401461614931</v>
      </c>
      <c r="AB212" s="76">
        <f t="shared" si="676"/>
        <v>-7.8203061776830456</v>
      </c>
      <c r="AC212" s="76">
        <f t="shared" si="676"/>
        <v>21.578234451695934</v>
      </c>
      <c r="AD212" s="76">
        <f t="shared" si="676"/>
        <v>-2.3193298088614811</v>
      </c>
      <c r="AE212" s="76">
        <f t="shared" si="676"/>
        <v>-2.5554601897830098</v>
      </c>
      <c r="AF212" s="76">
        <f t="shared" si="676"/>
        <v>0.81949282254023537</v>
      </c>
      <c r="AG212" s="76">
        <f t="shared" si="676"/>
        <v>-2.499299102708552</v>
      </c>
      <c r="AH212" s="76">
        <f t="shared" si="676"/>
        <v>-7.4558799050006952</v>
      </c>
      <c r="AI212" s="76">
        <f t="shared" si="676"/>
        <v>-10.941245891078943</v>
      </c>
      <c r="AJ212" s="76">
        <f t="shared" si="676"/>
        <v>-6.5745224228712429</v>
      </c>
      <c r="AK212" s="76">
        <f t="shared" si="676"/>
        <v>-7.8140550410215504</v>
      </c>
      <c r="AL212" s="76">
        <f t="shared" si="676"/>
        <v>2.5948922466385582</v>
      </c>
      <c r="AM212" s="76">
        <f t="shared" si="676"/>
        <v>-3.786734418155524</v>
      </c>
      <c r="AN212" s="76">
        <f t="shared" si="676"/>
        <v>-16.87559569904661</v>
      </c>
      <c r="AO212" s="76">
        <f t="shared" si="676"/>
        <v>11.520488807709327</v>
      </c>
      <c r="AP212" s="76">
        <f t="shared" si="676"/>
        <v>1.0822644283276617</v>
      </c>
      <c r="AQ212" s="76">
        <f t="shared" si="676"/>
        <v>5.5150990849977655</v>
      </c>
      <c r="AR212" s="76">
        <f t="shared" si="676"/>
        <v>-0.45222819498716982</v>
      </c>
      <c r="AS212" s="76">
        <f t="shared" si="676"/>
        <v>-21.875309252782106</v>
      </c>
      <c r="AT212" s="76">
        <f t="shared" si="676"/>
        <v>-4.9435071719566404</v>
      </c>
      <c r="AU212" s="76">
        <f t="shared" si="676"/>
        <v>14.207491406148076</v>
      </c>
      <c r="AV212" s="76">
        <f t="shared" ref="AV212:BB212" si="677">(AV211/AU211-1)*100</f>
        <v>39.381407984226783</v>
      </c>
      <c r="AW212" s="76">
        <f t="shared" si="677"/>
        <v>-4.9276528158633255</v>
      </c>
      <c r="AX212" s="76">
        <f t="shared" si="677"/>
        <v>-7.4484062391384498</v>
      </c>
      <c r="AY212" s="76">
        <f t="shared" si="677"/>
        <v>-2.4330055869752676</v>
      </c>
      <c r="AZ212" s="76">
        <f t="shared" si="677"/>
        <v>-2.9550764275583563</v>
      </c>
      <c r="BA212" s="80">
        <f t="shared" si="677"/>
        <v>7.7278993189807244</v>
      </c>
      <c r="BB212" s="80">
        <f t="shared" si="677"/>
        <v>1.7232090809547573</v>
      </c>
      <c r="BC212" s="80">
        <f t="shared" ref="BC212:BQ212" ca="1" si="678">(BC211/BB211-1)*100</f>
        <v>24.620183315734788</v>
      </c>
      <c r="BD212" s="80">
        <f t="shared" ca="1" si="678"/>
        <v>-8.6723202333305327E-2</v>
      </c>
      <c r="BE212" s="80">
        <f t="shared" ca="1" si="678"/>
        <v>29.872356298103142</v>
      </c>
      <c r="BF212" s="80">
        <f t="shared" ca="1" si="678"/>
        <v>-6.3047226941698842</v>
      </c>
      <c r="BG212" s="80">
        <f t="shared" ca="1" si="678"/>
        <v>14.065373800640124</v>
      </c>
      <c r="BH212" s="80">
        <f t="shared" ca="1" si="678"/>
        <v>7.0511239192252884</v>
      </c>
      <c r="BI212" s="80">
        <f t="shared" ca="1" si="678"/>
        <v>-0.225811888078431</v>
      </c>
      <c r="BJ212" s="80">
        <f t="shared" ca="1" si="678"/>
        <v>-0.15027441844657208</v>
      </c>
      <c r="BK212" s="80">
        <f t="shared" ref="BK212:BP212" ca="1" si="679">(BK211/BJ211-1)*100</f>
        <v>10.576782027054366</v>
      </c>
      <c r="BL212" s="80">
        <f t="shared" ca="1" si="679"/>
        <v>9.1345919424688624</v>
      </c>
      <c r="BM212" s="80">
        <f t="shared" ca="1" si="679"/>
        <v>1.8349656627303812</v>
      </c>
      <c r="BN212" s="80">
        <f t="shared" ca="1" si="679"/>
        <v>4.7826870571370028</v>
      </c>
      <c r="BO212" s="80">
        <f t="shared" ca="1" si="679"/>
        <v>3.9567872241686342</v>
      </c>
      <c r="BP212" s="80">
        <f t="shared" ca="1" si="679"/>
        <v>-4.9587909423023824</v>
      </c>
      <c r="BQ212" s="80">
        <f t="shared" ca="1" si="678"/>
        <v>7.4582403406193931</v>
      </c>
      <c r="BR212" s="80">
        <f t="shared" ref="BR212:BX212" ca="1" si="680">(BR211/BQ211-1)*100</f>
        <v>3.3214461093438841</v>
      </c>
      <c r="BS212" s="80">
        <f t="shared" ca="1" si="680"/>
        <v>1.5384102140932221</v>
      </c>
      <c r="BT212" s="80">
        <f t="shared" ca="1" si="680"/>
        <v>0.8574428762423647</v>
      </c>
      <c r="BU212" s="80">
        <f t="shared" ca="1" si="680"/>
        <v>1.9752230222763512</v>
      </c>
      <c r="BV212" s="80">
        <f t="shared" ca="1" si="680"/>
        <v>1.7700531987451251</v>
      </c>
      <c r="BW212" s="80">
        <f t="shared" ca="1" si="680"/>
        <v>1.7887993627106802</v>
      </c>
      <c r="BX212" s="80">
        <f t="shared" ca="1" si="680"/>
        <v>1.8286192279765467</v>
      </c>
      <c r="BY212" s="80">
        <f t="shared" ref="BY212" ca="1" si="681">(BY211/BX211-1)*100</f>
        <v>1.8805671882541564</v>
      </c>
      <c r="BZ212" s="80">
        <f t="shared" ref="BZ212" ca="1" si="682">(BZ211/BY211-1)*100</f>
        <v>1.8091810011855003</v>
      </c>
      <c r="CA212" s="80">
        <f t="shared" ref="CA212" ca="1" si="683">(CA211/BZ211-1)*100</f>
        <v>1.9540381884803226</v>
      </c>
      <c r="CB212" s="80">
        <f t="shared" ref="CB212" ca="1" si="684">(CB211/CA211-1)*100</f>
        <v>2.0031899588147883</v>
      </c>
      <c r="CC212" s="80">
        <f t="shared" ref="CC212" ca="1" si="685">(CC211/CB211-1)*100</f>
        <v>2.0614172756506788</v>
      </c>
      <c r="CD212" s="80">
        <f t="shared" ref="CD212" ca="1" si="686">(CD211/CC211-1)*100</f>
        <v>2.1284725302678442</v>
      </c>
      <c r="CE212" s="80"/>
      <c r="CF212" s="435"/>
      <c r="CG212" s="235">
        <f t="shared" ca="1" si="606"/>
        <v>-5.9401201368121992</v>
      </c>
      <c r="CH212" s="235">
        <f t="shared" ca="1" si="637"/>
        <v>0.37292427804334238</v>
      </c>
      <c r="CI212" s="235" t="e">
        <f ca="1">BM212-#REF!</f>
        <v>#REF!</v>
      </c>
      <c r="CJ212" s="235">
        <f t="shared" ca="1" si="589"/>
        <v>0</v>
      </c>
      <c r="CK212" s="235">
        <f t="shared" ca="1" si="590"/>
        <v>0</v>
      </c>
      <c r="CL212" s="235">
        <f t="shared" ca="1" si="591"/>
        <v>0</v>
      </c>
      <c r="CM212" s="235">
        <f t="shared" ca="1" si="592"/>
        <v>-4.4408920985006262E-14</v>
      </c>
      <c r="CN212" s="235">
        <f t="shared" ca="1" si="593"/>
        <v>0</v>
      </c>
      <c r="CO212" s="235">
        <f t="shared" ca="1" si="594"/>
        <v>0</v>
      </c>
      <c r="CP212" s="235">
        <f t="shared" ca="1" si="595"/>
        <v>-6.6613381477509392E-14</v>
      </c>
      <c r="CQ212" s="235">
        <f t="shared" ca="1" si="596"/>
        <v>-4.4408920985006262E-14</v>
      </c>
      <c r="CR212" s="235">
        <f t="shared" ca="1" si="597"/>
        <v>-4.4408920985006262E-14</v>
      </c>
      <c r="CS212" s="235">
        <f t="shared" ca="1" si="598"/>
        <v>0</v>
      </c>
      <c r="CT212" s="235">
        <f t="shared" ca="1" si="599"/>
        <v>-2.2204460492503131E-14</v>
      </c>
      <c r="CU212" s="235">
        <f t="shared" ca="1" si="600"/>
        <v>-6.6613381477509392E-14</v>
      </c>
      <c r="CV212" s="235">
        <f t="shared" ca="1" si="601"/>
        <v>0</v>
      </c>
      <c r="CW212" s="235">
        <f t="shared" ca="1" si="602"/>
        <v>0</v>
      </c>
      <c r="CX212" s="235">
        <f t="shared" ca="1" si="603"/>
        <v>8.659739592076221E-13</v>
      </c>
      <c r="CY212" s="235">
        <f t="shared" ca="1" si="604"/>
        <v>8.5265128291212022E-12</v>
      </c>
      <c r="CZ212" s="235">
        <f t="shared" ca="1" si="605"/>
        <v>5.6554760874405474E-11</v>
      </c>
      <c r="DB212" s="236">
        <v>-13.0853273691939</v>
      </c>
      <c r="DC212" s="236">
        <v>-12.085327369193877</v>
      </c>
      <c r="DD212" s="236">
        <v>8.5427294277510057</v>
      </c>
      <c r="DE212" s="236">
        <v>4.2599901116784133</v>
      </c>
      <c r="DF212" s="401">
        <v>4.2917971549005784</v>
      </c>
      <c r="DG212" s="236">
        <v>16.516902163866565</v>
      </c>
      <c r="DH212" s="492">
        <v>8.76166766442552</v>
      </c>
      <c r="DI212" s="236">
        <v>4.7826870571370028</v>
      </c>
      <c r="DJ212" s="236">
        <v>3.9567872241686342</v>
      </c>
      <c r="DK212" s="236">
        <v>-4.9587909423023824</v>
      </c>
      <c r="DL212" s="236">
        <v>7.4582403406194375</v>
      </c>
      <c r="DM212" s="236">
        <v>3.3214461093438841</v>
      </c>
      <c r="DN212" s="236">
        <v>1.5384102140932221</v>
      </c>
      <c r="DO212" s="236">
        <v>0.85744287624243132</v>
      </c>
      <c r="DP212" s="236">
        <v>1.9752230222763956</v>
      </c>
      <c r="DQ212" s="236">
        <v>1.7700531987451695</v>
      </c>
      <c r="DR212" s="236">
        <v>1.7887993627106802</v>
      </c>
      <c r="DS212" s="236">
        <v>1.828619227976569</v>
      </c>
      <c r="DT212" s="236">
        <v>1.880567188254223</v>
      </c>
      <c r="DU212" s="236">
        <v>1.8091810011855003</v>
      </c>
      <c r="DV212" s="236">
        <v>1.9540381884803226</v>
      </c>
      <c r="DW212" s="236">
        <v>2.0031899588139224</v>
      </c>
      <c r="DX212" s="236">
        <v>2.0614172756421523</v>
      </c>
      <c r="DY212" s="236">
        <v>2.1284725302112895</v>
      </c>
      <c r="DZ212" s="236"/>
      <c r="EA212" s="492"/>
    </row>
    <row r="213" spans="1:131">
      <c r="BM213" s="931"/>
      <c r="BN213" s="931"/>
      <c r="BO213" s="931"/>
      <c r="BP213" s="931"/>
      <c r="BQ213" s="931"/>
      <c r="BR213" s="931"/>
      <c r="BS213" s="931"/>
      <c r="BT213" s="931"/>
      <c r="BU213" s="931"/>
      <c r="BV213" s="931"/>
      <c r="BW213" s="931"/>
      <c r="BX213" s="931"/>
      <c r="BY213" s="931"/>
      <c r="BZ213" s="931"/>
      <c r="CA213" s="931"/>
      <c r="CB213" s="931"/>
      <c r="CC213" s="931"/>
      <c r="CD213" s="931"/>
      <c r="CF213" s="435"/>
      <c r="CG213" s="235">
        <f t="shared" si="606"/>
        <v>0</v>
      </c>
      <c r="CH213" s="235">
        <f t="shared" si="637"/>
        <v>0</v>
      </c>
      <c r="CI213" s="235" t="e">
        <f>BM213-#REF!</f>
        <v>#REF!</v>
      </c>
      <c r="CJ213" s="235">
        <f t="shared" si="589"/>
        <v>0</v>
      </c>
      <c r="CK213" s="235">
        <f t="shared" si="590"/>
        <v>0</v>
      </c>
      <c r="CL213" s="235">
        <f t="shared" si="591"/>
        <v>0</v>
      </c>
      <c r="CM213" s="235">
        <f t="shared" si="592"/>
        <v>0</v>
      </c>
      <c r="CN213" s="235">
        <f t="shared" si="593"/>
        <v>0</v>
      </c>
      <c r="CO213" s="235">
        <f t="shared" si="594"/>
        <v>0</v>
      </c>
      <c r="CP213" s="235">
        <f t="shared" si="595"/>
        <v>0</v>
      </c>
      <c r="CQ213" s="235">
        <f t="shared" si="596"/>
        <v>0</v>
      </c>
      <c r="CR213" s="235">
        <f t="shared" si="597"/>
        <v>0</v>
      </c>
      <c r="CS213" s="235">
        <f t="shared" si="598"/>
        <v>0</v>
      </c>
      <c r="CT213" s="235">
        <f t="shared" si="599"/>
        <v>0</v>
      </c>
      <c r="CU213" s="235">
        <f t="shared" si="600"/>
        <v>0</v>
      </c>
      <c r="CV213" s="235">
        <f t="shared" si="601"/>
        <v>0</v>
      </c>
      <c r="CW213" s="235">
        <f t="shared" si="602"/>
        <v>0</v>
      </c>
      <c r="CX213" s="235">
        <f t="shared" si="603"/>
        <v>0</v>
      </c>
      <c r="CY213" s="235">
        <f t="shared" si="604"/>
        <v>0</v>
      </c>
      <c r="CZ213" s="235">
        <f t="shared" si="605"/>
        <v>0</v>
      </c>
      <c r="DF213" s="258"/>
    </row>
    <row r="214" spans="1:131" s="66" customFormat="1">
      <c r="B214" s="70" t="s">
        <v>1891</v>
      </c>
      <c r="D214" s="205"/>
      <c r="E214" s="205"/>
      <c r="F214" s="205"/>
      <c r="G214" s="205"/>
      <c r="H214" s="205"/>
      <c r="I214" s="205"/>
      <c r="J214" s="205"/>
      <c r="K214" s="205"/>
      <c r="L214" s="205"/>
      <c r="M214" s="205"/>
      <c r="N214" s="205"/>
      <c r="O214" s="205"/>
      <c r="P214" s="205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205"/>
      <c r="AD214" s="205"/>
      <c r="AE214" s="205"/>
      <c r="AF214" s="205"/>
      <c r="AG214" s="205"/>
      <c r="AH214" s="205"/>
      <c r="AI214" s="205"/>
      <c r="AJ214" s="205"/>
      <c r="AK214" s="205"/>
      <c r="AL214" s="205"/>
      <c r="AM214" s="205"/>
      <c r="AN214" s="205"/>
      <c r="AO214" s="205"/>
      <c r="AP214" s="205"/>
      <c r="AQ214" s="205"/>
      <c r="AR214" s="205"/>
      <c r="AS214" s="205"/>
      <c r="AT214" s="205"/>
      <c r="AU214" s="70"/>
      <c r="AV214" s="143"/>
      <c r="AW214" s="143"/>
      <c r="AX214" s="143"/>
      <c r="AY214" s="143"/>
      <c r="AZ214" s="143"/>
      <c r="BA214" s="144"/>
      <c r="BB214" s="145"/>
      <c r="BC214" s="145"/>
      <c r="BD214" s="145"/>
      <c r="BE214" s="163"/>
      <c r="BF214" s="145"/>
      <c r="BG214" s="145"/>
      <c r="BH214" s="145"/>
      <c r="BI214" s="145"/>
      <c r="BJ214" s="145"/>
      <c r="BK214" s="145"/>
      <c r="BL214" s="145"/>
      <c r="BM214" s="1024">
        <f>DataInput!BM265</f>
        <v>3960.2999265017816</v>
      </c>
      <c r="BN214" s="1024">
        <f>DataInput!BN265</f>
        <v>3750.9002090999998</v>
      </c>
      <c r="BO214" s="1024">
        <f>DataInput!BO265</f>
        <v>3345.6999960999992</v>
      </c>
      <c r="BP214" s="1024">
        <f>DataInput!BP265</f>
        <v>4286.1999961000001</v>
      </c>
      <c r="BQ214" s="1024">
        <f>DataInput!BQ265</f>
        <v>4942.4002121000003</v>
      </c>
      <c r="BR214" s="1024">
        <f>DataInput!BR265</f>
        <v>5347.5002121000007</v>
      </c>
      <c r="BS214" s="1024">
        <f>DataInput!BS265</f>
        <v>5719.7002121000005</v>
      </c>
      <c r="BT214" s="1024">
        <f>DataInput!BT265</f>
        <v>5719.7002121000005</v>
      </c>
      <c r="BU214" s="1024">
        <f>DataInput!BU265</f>
        <v>5719.7002121000005</v>
      </c>
      <c r="BV214" s="1024">
        <f>DataInput!BV265</f>
        <v>5719.7002121000005</v>
      </c>
      <c r="BW214" s="1024">
        <f>DataInput!BW265</f>
        <v>5719.7002121000005</v>
      </c>
      <c r="BX214" s="1024">
        <f>DataInput!BX265</f>
        <v>5719.7002121000005</v>
      </c>
      <c r="BY214" s="1024">
        <f>DataInput!BY265</f>
        <v>5719.7002121000005</v>
      </c>
      <c r="BZ214" s="1024">
        <f>DataInput!BZ265</f>
        <v>5719.7002121000005</v>
      </c>
      <c r="CA214" s="1024">
        <f>DataInput!CA265</f>
        <v>5719.7002121000005</v>
      </c>
      <c r="CB214" s="1024">
        <f>DataInput!CB265</f>
        <v>5719.7002121000005</v>
      </c>
      <c r="CC214" s="1024">
        <f>DataInput!CC265</f>
        <v>5719.7002121000005</v>
      </c>
      <c r="CD214" s="1024">
        <f>DataInput!CD265</f>
        <v>5719.7002121000005</v>
      </c>
      <c r="CE214" s="145"/>
      <c r="CF214" s="435"/>
      <c r="CG214" s="235">
        <f t="shared" si="606"/>
        <v>0</v>
      </c>
      <c r="CH214" s="235">
        <f t="shared" si="637"/>
        <v>0</v>
      </c>
      <c r="CI214" s="235" t="e">
        <f>BM214-#REF!</f>
        <v>#REF!</v>
      </c>
      <c r="CJ214" s="235">
        <f t="shared" si="589"/>
        <v>0</v>
      </c>
      <c r="CK214" s="235">
        <f t="shared" si="590"/>
        <v>0</v>
      </c>
      <c r="CL214" s="235">
        <f t="shared" si="591"/>
        <v>0</v>
      </c>
      <c r="CM214" s="235">
        <f t="shared" si="592"/>
        <v>0</v>
      </c>
      <c r="CN214" s="235">
        <f t="shared" si="593"/>
        <v>0</v>
      </c>
      <c r="CO214" s="235">
        <f t="shared" si="594"/>
        <v>0</v>
      </c>
      <c r="CP214" s="235">
        <f t="shared" si="595"/>
        <v>0</v>
      </c>
      <c r="CQ214" s="235">
        <f t="shared" si="596"/>
        <v>0</v>
      </c>
      <c r="CR214" s="235">
        <f t="shared" si="597"/>
        <v>0</v>
      </c>
      <c r="CS214" s="235">
        <f t="shared" si="598"/>
        <v>0</v>
      </c>
      <c r="CT214" s="235">
        <f t="shared" si="599"/>
        <v>0</v>
      </c>
      <c r="CU214" s="235">
        <f t="shared" si="600"/>
        <v>0</v>
      </c>
      <c r="CV214" s="235">
        <f t="shared" si="601"/>
        <v>0</v>
      </c>
      <c r="CW214" s="235">
        <f t="shared" si="602"/>
        <v>0</v>
      </c>
      <c r="CX214" s="235">
        <f t="shared" si="603"/>
        <v>0</v>
      </c>
      <c r="CY214" s="235">
        <f t="shared" si="604"/>
        <v>0</v>
      </c>
      <c r="CZ214" s="235">
        <f t="shared" si="605"/>
        <v>0</v>
      </c>
      <c r="DA214" s="38"/>
      <c r="DB214" s="236"/>
      <c r="DC214" s="236"/>
      <c r="DD214" s="236"/>
      <c r="DE214" s="236"/>
      <c r="DF214" s="258"/>
      <c r="DG214" s="236"/>
      <c r="DH214" s="492"/>
      <c r="DI214" s="236">
        <v>3750.9002090999998</v>
      </c>
      <c r="DJ214" s="236">
        <v>3345.6999960999992</v>
      </c>
      <c r="DK214" s="236">
        <v>4286.1999961000001</v>
      </c>
      <c r="DL214" s="236">
        <v>4942.4002121000003</v>
      </c>
      <c r="DM214" s="236">
        <v>5347.5002121000007</v>
      </c>
      <c r="DN214" s="236">
        <v>5719.7002121000005</v>
      </c>
      <c r="DO214" s="236">
        <v>5719.7002121000005</v>
      </c>
      <c r="DP214" s="236">
        <v>5719.7002121000005</v>
      </c>
      <c r="DQ214" s="1084">
        <v>5719.7002121000005</v>
      </c>
      <c r="DR214" s="1084">
        <v>5719.7002121000005</v>
      </c>
      <c r="DS214" s="1084">
        <v>5719.7002121000005</v>
      </c>
      <c r="DT214" s="1084">
        <v>5719.7002121000005</v>
      </c>
      <c r="DU214" s="1084">
        <v>5719.7002121000005</v>
      </c>
      <c r="DV214" s="1084">
        <v>5719.7002121000005</v>
      </c>
      <c r="DW214" s="1084">
        <v>5719.7002121000005</v>
      </c>
      <c r="DX214" s="1084">
        <v>5719.7002121000005</v>
      </c>
      <c r="DY214" s="1084">
        <v>5719.7002121000005</v>
      </c>
      <c r="DZ214" s="1084"/>
      <c r="EA214" s="988"/>
    </row>
    <row r="215" spans="1:131" s="19" customFormat="1">
      <c r="A215" s="19" t="str">
        <f>DataInput!A265</f>
        <v>Revenue and grants</v>
      </c>
      <c r="B215" s="282" t="s">
        <v>4121</v>
      </c>
      <c r="D215" s="222"/>
      <c r="E215" s="222"/>
      <c r="F215" s="87">
        <f t="shared" ref="F215:AW215" si="687">+F217+F223+F230+F237</f>
        <v>2.5549357787214094E-2</v>
      </c>
      <c r="G215" s="87">
        <f t="shared" si="687"/>
        <v>2.6525178673812856E-2</v>
      </c>
      <c r="H215" s="87">
        <f t="shared" si="687"/>
        <v>2.8093486257131359E-2</v>
      </c>
      <c r="I215" s="87">
        <f t="shared" si="687"/>
        <v>3.2599227268304984E-2</v>
      </c>
      <c r="J215" s="87">
        <f t="shared" si="687"/>
        <v>3.4483671235725148E-2</v>
      </c>
      <c r="K215" s="87">
        <f t="shared" si="687"/>
        <v>3.74651847395015E-2</v>
      </c>
      <c r="L215" s="87">
        <f t="shared" si="687"/>
        <v>4.4249526508507303E-2</v>
      </c>
      <c r="M215" s="87">
        <f t="shared" si="687"/>
        <v>4.539179438917882E-2</v>
      </c>
      <c r="N215" s="87">
        <f t="shared" si="687"/>
        <v>4.6721796548927677E-2</v>
      </c>
      <c r="O215" s="87">
        <f t="shared" si="687"/>
        <v>4.8582409683574607E-2</v>
      </c>
      <c r="P215" s="87">
        <f t="shared" si="687"/>
        <v>5.506050736692597E-2</v>
      </c>
      <c r="Q215" s="87">
        <f t="shared" si="687"/>
        <v>6.125984979626968E-2</v>
      </c>
      <c r="R215" s="87">
        <f t="shared" si="687"/>
        <v>7.1672819580306607E-2</v>
      </c>
      <c r="S215" s="87">
        <f t="shared" si="687"/>
        <v>7.8232636286971774E-2</v>
      </c>
      <c r="T215" s="87">
        <f t="shared" si="687"/>
        <v>7.8230120870162428E-2</v>
      </c>
      <c r="U215" s="87">
        <f t="shared" si="687"/>
        <v>8.3305320559662888E-2</v>
      </c>
      <c r="V215" s="87">
        <f t="shared" si="687"/>
        <v>8.9695609072552085E-2</v>
      </c>
      <c r="W215" s="87">
        <f t="shared" si="687"/>
        <v>9.4809949192782128E-2</v>
      </c>
      <c r="X215" s="87">
        <f t="shared" si="687"/>
        <v>9.9501652355641942E-2</v>
      </c>
      <c r="Y215" s="87">
        <f t="shared" si="687"/>
        <v>9.6081915918923386E-2</v>
      </c>
      <c r="Z215" s="87">
        <f t="shared" si="687"/>
        <v>0.11140198636407339</v>
      </c>
      <c r="AA215" s="87">
        <f t="shared" si="687"/>
        <v>0.10161645641396466</v>
      </c>
      <c r="AB215" s="87">
        <f t="shared" si="687"/>
        <v>0.13190894587232196</v>
      </c>
      <c r="AC215" s="87">
        <f t="shared" si="687"/>
        <v>0.17020206184187822</v>
      </c>
      <c r="AD215" s="87">
        <f t="shared" si="687"/>
        <v>0.19336234620739365</v>
      </c>
      <c r="AE215" s="87">
        <f t="shared" si="687"/>
        <v>0.19059899968785871</v>
      </c>
      <c r="AF215" s="87">
        <f t="shared" si="687"/>
        <v>0.20703110583273646</v>
      </c>
      <c r="AG215" s="87">
        <f t="shared" si="687"/>
        <v>0.22475890342350849</v>
      </c>
      <c r="AH215" s="87">
        <f t="shared" si="687"/>
        <v>0.22468669345574416</v>
      </c>
      <c r="AI215" s="87">
        <f t="shared" si="687"/>
        <v>0.20081448704403196</v>
      </c>
      <c r="AJ215" s="87">
        <f t="shared" si="687"/>
        <v>0.21223607108936274</v>
      </c>
      <c r="AK215" s="87">
        <f t="shared" si="687"/>
        <v>0.19965421949640996</v>
      </c>
      <c r="AL215" s="87">
        <f t="shared" si="687"/>
        <v>0.18170341573171286</v>
      </c>
      <c r="AM215" s="87">
        <f t="shared" si="687"/>
        <v>0.18080504778677897</v>
      </c>
      <c r="AN215" s="87">
        <f t="shared" si="687"/>
        <v>0.24352013016769847</v>
      </c>
      <c r="AO215" s="87">
        <f t="shared" si="687"/>
        <v>0.27661034546723889</v>
      </c>
      <c r="AP215" s="87">
        <f t="shared" si="687"/>
        <v>0.30503119464301187</v>
      </c>
      <c r="AQ215" s="87">
        <f t="shared" si="687"/>
        <v>0.3275987736821841</v>
      </c>
      <c r="AR215" s="87">
        <f t="shared" si="687"/>
        <v>0.30243494012441763</v>
      </c>
      <c r="AS215" s="87">
        <f t="shared" si="687"/>
        <v>0.29286296265896317</v>
      </c>
      <c r="AT215" s="87">
        <f t="shared" si="687"/>
        <v>234.61687353334574</v>
      </c>
      <c r="AU215" s="87">
        <f t="shared" si="687"/>
        <v>31.030299115120656</v>
      </c>
      <c r="AV215" s="87">
        <f t="shared" si="687"/>
        <v>91.467269824999988</v>
      </c>
      <c r="AW215" s="87">
        <f t="shared" si="687"/>
        <v>85.972547038000002</v>
      </c>
      <c r="AX215" s="87">
        <f>+AX217+AX223+AX230+AX237</f>
        <v>139.46455785500001</v>
      </c>
      <c r="AY215" s="87">
        <f>+AY217+AY223+AY230+AY237</f>
        <v>246.31206386999997</v>
      </c>
      <c r="AZ215" s="87">
        <f>+AZ217+AZ223+AZ230+AZ237</f>
        <v>356.43932818000002</v>
      </c>
      <c r="BA215" s="87">
        <f t="shared" ref="BA215:BH215" si="688">+BA217+BA223+BA230+BA237</f>
        <v>594.52711699999986</v>
      </c>
      <c r="BB215" s="87">
        <f t="shared" si="688"/>
        <v>687.66828800000019</v>
      </c>
      <c r="BC215" s="87">
        <f t="shared" si="688"/>
        <v>920.82906100000014</v>
      </c>
      <c r="BD215" s="87">
        <f t="shared" si="688"/>
        <v>1137.7830649999999</v>
      </c>
      <c r="BE215" s="87">
        <f t="shared" si="688"/>
        <v>1401.04823758</v>
      </c>
      <c r="BF215" s="87">
        <f t="shared" si="688"/>
        <v>1739.9962521815</v>
      </c>
      <c r="BG215" s="1000">
        <f t="shared" si="688"/>
        <v>2367.9297889999998</v>
      </c>
      <c r="BH215" s="323">
        <f t="shared" si="688"/>
        <v>2354.7159219999944</v>
      </c>
      <c r="BI215" s="1000">
        <f>+BI217+BI223+BI230+BI237</f>
        <v>2944.6573789999993</v>
      </c>
      <c r="BJ215" s="1000">
        <f>+BJ217+BJ223+BJ230+BJ237</f>
        <v>2606.1094539999999</v>
      </c>
      <c r="BK215" s="1000">
        <f>+BK217+BK223+BK230+BK237</f>
        <v>3537.501115</v>
      </c>
      <c r="BL215" s="323">
        <f>+BL217+BL223+BL230+BL237-0.1</f>
        <v>4024.4</v>
      </c>
      <c r="BM215" s="323">
        <f t="shared" ref="BM215:BS215" si="689">+BM217+BM223+BM230+BM237</f>
        <v>3960.2999265017816</v>
      </c>
      <c r="BN215" s="1015">
        <f t="shared" si="689"/>
        <v>3750.9002090999998</v>
      </c>
      <c r="BO215" s="323">
        <f t="shared" si="689"/>
        <v>3345.6999960999992</v>
      </c>
      <c r="BP215" s="323">
        <f t="shared" ca="1" si="689"/>
        <v>4432.6454290922047</v>
      </c>
      <c r="BQ215" s="323">
        <f t="shared" ca="1" si="689"/>
        <v>5429.9047529798472</v>
      </c>
      <c r="BR215" s="323">
        <f t="shared" ca="1" si="689"/>
        <v>5957.880569348029</v>
      </c>
      <c r="BS215" s="323">
        <f t="shared" ca="1" si="689"/>
        <v>6171.4535376790354</v>
      </c>
      <c r="BT215" s="323">
        <f ca="1">+BT217+BT223+BT230+BT237</f>
        <v>6364.037596880321</v>
      </c>
      <c r="BU215" s="323">
        <f ca="1">+BU217+BU223+BU230+BU237</f>
        <v>6635.3873261020399</v>
      </c>
      <c r="BV215" s="323">
        <f ca="1">+BV217+BV223+BV230+BV237</f>
        <v>6928.5087996095499</v>
      </c>
      <c r="BW215" s="323">
        <f t="shared" ref="BW215:BX215" ca="1" si="690">+BW217+BW223+BW230+BW237</f>
        <v>7236.3000713470155</v>
      </c>
      <c r="BX215" s="323">
        <f t="shared" ca="1" si="690"/>
        <v>7560.1918608372189</v>
      </c>
      <c r="BY215" s="323">
        <f t="shared" ref="BY215:CD215" ca="1" si="691">+BY217+BY223+BY230+BY237</f>
        <v>7901.1231285751428</v>
      </c>
      <c r="BZ215" s="323">
        <f t="shared" ca="1" si="691"/>
        <v>8295.4177146590628</v>
      </c>
      <c r="CA215" s="323">
        <f t="shared" ca="1" si="691"/>
        <v>8722.4003344160756</v>
      </c>
      <c r="CB215" s="323">
        <f t="shared" ca="1" si="691"/>
        <v>9174.3123578535178</v>
      </c>
      <c r="CC215" s="323">
        <f t="shared" ca="1" si="691"/>
        <v>9654.7256013916613</v>
      </c>
      <c r="CD215" s="323">
        <f t="shared" ca="1" si="691"/>
        <v>10166.324309415024</v>
      </c>
      <c r="CE215" s="87"/>
      <c r="CF215" s="435"/>
      <c r="CG215" s="235">
        <f t="shared" si="606"/>
        <v>0</v>
      </c>
      <c r="CH215" s="235">
        <f t="shared" si="637"/>
        <v>0</v>
      </c>
      <c r="CI215" s="235" t="e">
        <f>BM215-#REF!</f>
        <v>#REF!</v>
      </c>
      <c r="CJ215" s="235">
        <f t="shared" si="589"/>
        <v>0</v>
      </c>
      <c r="CK215" s="235">
        <f t="shared" si="590"/>
        <v>0</v>
      </c>
      <c r="CL215" s="235">
        <f t="shared" ca="1" si="591"/>
        <v>0</v>
      </c>
      <c r="CM215" s="235">
        <f t="shared" ca="1" si="592"/>
        <v>0</v>
      </c>
      <c r="CN215" s="235">
        <f t="shared" ca="1" si="593"/>
        <v>0</v>
      </c>
      <c r="CO215" s="235">
        <f t="shared" ca="1" si="594"/>
        <v>0</v>
      </c>
      <c r="CP215" s="235">
        <f t="shared" ca="1" si="595"/>
        <v>0</v>
      </c>
      <c r="CQ215" s="235">
        <f t="shared" ca="1" si="596"/>
        <v>0</v>
      </c>
      <c r="CR215" s="235">
        <f t="shared" ca="1" si="597"/>
        <v>0</v>
      </c>
      <c r="CS215" s="235">
        <f t="shared" ca="1" si="598"/>
        <v>0</v>
      </c>
      <c r="CT215" s="235">
        <f t="shared" ca="1" si="599"/>
        <v>0</v>
      </c>
      <c r="CU215" s="235">
        <f t="shared" ca="1" si="600"/>
        <v>9.0949470177292824E-12</v>
      </c>
      <c r="CV215" s="235">
        <f t="shared" ca="1" si="601"/>
        <v>1.4551915228366852E-11</v>
      </c>
      <c r="CW215" s="235">
        <f t="shared" ca="1" si="602"/>
        <v>7.4578565545380116E-11</v>
      </c>
      <c r="CX215" s="235">
        <f t="shared" ca="1" si="603"/>
        <v>8.2582118920981884E-10</v>
      </c>
      <c r="CY215" s="235">
        <f t="shared" ca="1" si="604"/>
        <v>7.7288859756663442E-9</v>
      </c>
      <c r="CZ215" s="235">
        <f t="shared" ca="1" si="605"/>
        <v>5.8771547628566623E-8</v>
      </c>
      <c r="DA215" s="38"/>
      <c r="DB215" s="236">
        <v>1738.9991561815</v>
      </c>
      <c r="DC215" s="236">
        <v>1739.9991561814998</v>
      </c>
      <c r="DD215" s="236">
        <v>2315.4115690000003</v>
      </c>
      <c r="DE215" s="236">
        <v>2723.1746910000002</v>
      </c>
      <c r="DF215" s="401">
        <v>2944.64260337</v>
      </c>
      <c r="DG215" s="236">
        <v>3537.501115</v>
      </c>
      <c r="DH215" s="492">
        <v>4024.4</v>
      </c>
      <c r="DI215" s="236">
        <v>3750.9002090999998</v>
      </c>
      <c r="DJ215" s="236">
        <v>3345.6999960999992</v>
      </c>
      <c r="DK215" s="236">
        <v>4432.6454290922038</v>
      </c>
      <c r="DL215" s="236">
        <v>5429.9047529798472</v>
      </c>
      <c r="DM215" s="236">
        <v>5957.8805693480299</v>
      </c>
      <c r="DN215" s="236">
        <v>6171.4535376790354</v>
      </c>
      <c r="DO215" s="236">
        <v>6364.0375968803219</v>
      </c>
      <c r="DP215" s="236">
        <v>6635.3873261020417</v>
      </c>
      <c r="DQ215" s="1084">
        <v>6928.5087996095508</v>
      </c>
      <c r="DR215" s="1084">
        <v>7236.3000713470128</v>
      </c>
      <c r="DS215" s="1084">
        <v>7560.1918608372152</v>
      </c>
      <c r="DT215" s="1084">
        <v>7901.1231285751337</v>
      </c>
      <c r="DU215" s="1084">
        <v>8295.4177146590482</v>
      </c>
      <c r="DV215" s="1084">
        <v>8722.400334416001</v>
      </c>
      <c r="DW215" s="1084">
        <v>9174.312357852692</v>
      </c>
      <c r="DX215" s="1084">
        <v>9654.7256013839324</v>
      </c>
      <c r="DY215" s="1084">
        <v>10166.324309356252</v>
      </c>
      <c r="DZ215" s="1084"/>
      <c r="EA215" s="988"/>
    </row>
    <row r="216" spans="1:131" s="19" customFormat="1">
      <c r="A216" s="19" t="str">
        <f>DataInput!A266</f>
        <v>Revenue</v>
      </c>
      <c r="B216" s="104" t="s">
        <v>716</v>
      </c>
      <c r="D216" s="222"/>
      <c r="E216" s="222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22"/>
      <c r="AT216" s="222"/>
      <c r="AU216" s="104"/>
      <c r="AV216" s="90"/>
      <c r="AW216" s="90"/>
      <c r="AX216" s="90"/>
      <c r="AY216" s="90"/>
      <c r="AZ216" s="90"/>
      <c r="BA216" s="91"/>
      <c r="BB216" s="91"/>
      <c r="BC216" s="91"/>
      <c r="BD216" s="91"/>
      <c r="BE216" s="91"/>
      <c r="BF216" s="91"/>
      <c r="BG216" s="91"/>
      <c r="BH216" s="334">
        <f>DataInput!BH269-Model!BH217</f>
        <v>0</v>
      </c>
      <c r="BI216" s="334">
        <f>DataInput!BI269-Model!BI217</f>
        <v>0</v>
      </c>
      <c r="BJ216" s="329">
        <f>DataInput!BJ269-Model!BJ217</f>
        <v>0</v>
      </c>
      <c r="BK216" s="329">
        <f>DataInput!BK269-Model!BK217</f>
        <v>0</v>
      </c>
      <c r="BL216" s="329">
        <f>DataInput!BL269-Model!BL217</f>
        <v>0</v>
      </c>
      <c r="BM216" s="329">
        <f>DataInput!BM269-Model!BM217</f>
        <v>0</v>
      </c>
      <c r="BN216" s="329">
        <f>DataInput!BN269-Model!BN217</f>
        <v>0</v>
      </c>
      <c r="BO216" s="329">
        <f>DataInput!BO269-Model!BO217</f>
        <v>0</v>
      </c>
      <c r="BP216" s="329">
        <f ca="1">DataInput!BP269-Model!BP217</f>
        <v>-320.42452452863836</v>
      </c>
      <c r="BQ216" s="329">
        <f ca="1">DataInput!BQ269-Model!BQ217</f>
        <v>-573.76840275416293</v>
      </c>
      <c r="BR216" s="329">
        <f ca="1">DataInput!BR269-Model!BR217</f>
        <v>-641.15136492153579</v>
      </c>
      <c r="BS216" s="329">
        <f ca="1">DataInput!BS269-Model!BS217</f>
        <v>-556.15684093070922</v>
      </c>
      <c r="BT216" s="329">
        <f ca="1">DataInput!BT269-Model!BT217</f>
        <v>-604.79662571320478</v>
      </c>
      <c r="BU216" s="329">
        <f ca="1">DataInput!BU269-Model!BU217</f>
        <v>-692.95633446023839</v>
      </c>
      <c r="BV216" s="329">
        <f ca="1">DataInput!BV269-Model!BV217</f>
        <v>-789.16595106660861</v>
      </c>
      <c r="BW216" s="329">
        <f ca="1">DataInput!BW269-Model!BW217</f>
        <v>-889.93135129513848</v>
      </c>
      <c r="BX216" s="329">
        <f ca="1">DataInput!BX269-Model!BX217</f>
        <v>-996.05520549386847</v>
      </c>
      <c r="BY216" s="329">
        <f ca="1">DataInput!BY269-Model!BY217</f>
        <v>-1107.6143737497164</v>
      </c>
      <c r="BZ216" s="329">
        <f ca="1">DataInput!BZ269-Model!BZ217</f>
        <v>-1257.6489124994814</v>
      </c>
      <c r="CA216" s="329">
        <f ca="1">DataInput!CA269-Model!CA217</f>
        <v>-1420.4941095067607</v>
      </c>
      <c r="CB216" s="329">
        <f ca="1">DataInput!CB269-Model!CB217</f>
        <v>-1592.728210410854</v>
      </c>
      <c r="CC216" s="329">
        <f ca="1">DataInput!CC269-Model!CC217</f>
        <v>-1776.0424537808258</v>
      </c>
      <c r="CD216" s="329">
        <f ca="1">DataInput!CD269-Model!CD217</f>
        <v>-1971.2814226388646</v>
      </c>
      <c r="CE216" s="329"/>
      <c r="CF216" s="435"/>
      <c r="CG216" s="235">
        <f t="shared" si="606"/>
        <v>0</v>
      </c>
      <c r="CH216" s="235">
        <f t="shared" si="637"/>
        <v>0</v>
      </c>
      <c r="CI216" s="235" t="e">
        <f>BM216-#REF!</f>
        <v>#REF!</v>
      </c>
      <c r="CJ216" s="235">
        <f t="shared" si="589"/>
        <v>0</v>
      </c>
      <c r="CK216" s="235">
        <f t="shared" si="590"/>
        <v>0</v>
      </c>
      <c r="CL216" s="235">
        <f t="shared" ca="1" si="591"/>
        <v>0</v>
      </c>
      <c r="CM216" s="235">
        <f t="shared" ca="1" si="592"/>
        <v>0</v>
      </c>
      <c r="CN216" s="235">
        <f t="shared" ca="1" si="593"/>
        <v>0</v>
      </c>
      <c r="CO216" s="235">
        <f t="shared" ca="1" si="594"/>
        <v>0</v>
      </c>
      <c r="CP216" s="235">
        <f t="shared" ca="1" si="595"/>
        <v>9.0949470177292824E-13</v>
      </c>
      <c r="CQ216" s="235">
        <f t="shared" ca="1" si="596"/>
        <v>1.3642420526593924E-12</v>
      </c>
      <c r="CR216" s="235">
        <f t="shared" ca="1" si="597"/>
        <v>9.0949470177292824E-13</v>
      </c>
      <c r="CS216" s="235">
        <f t="shared" ca="1" si="598"/>
        <v>-2.2737367544323206E-12</v>
      </c>
      <c r="CT216" s="235">
        <f t="shared" ca="1" si="599"/>
        <v>-2.2737367544323206E-12</v>
      </c>
      <c r="CU216" s="235">
        <f t="shared" ca="1" si="600"/>
        <v>-5.4569682106375694E-12</v>
      </c>
      <c r="CV216" s="235">
        <f t="shared" ca="1" si="601"/>
        <v>-5.9117155615240335E-12</v>
      </c>
      <c r="CW216" s="235">
        <f t="shared" ca="1" si="602"/>
        <v>-4.5474735088646412E-11</v>
      </c>
      <c r="CX216" s="235">
        <f t="shared" ca="1" si="603"/>
        <v>-5.4706106311641634E-10</v>
      </c>
      <c r="CY216" s="235">
        <f t="shared" ca="1" si="604"/>
        <v>-5.1700226322282106E-9</v>
      </c>
      <c r="CZ216" s="235">
        <f t="shared" ca="1" si="605"/>
        <v>-3.9289716369239613E-8</v>
      </c>
      <c r="DA216" s="38"/>
      <c r="DB216" s="236"/>
      <c r="DC216" s="236"/>
      <c r="DD216" s="236"/>
      <c r="DE216" s="236">
        <v>0</v>
      </c>
      <c r="DF216" s="400">
        <v>0</v>
      </c>
      <c r="DG216" s="236">
        <v>0</v>
      </c>
      <c r="DH216" s="492">
        <v>0</v>
      </c>
      <c r="DI216" s="236">
        <v>0</v>
      </c>
      <c r="DJ216" s="236">
        <v>0</v>
      </c>
      <c r="DK216" s="236">
        <v>-320.42452452863813</v>
      </c>
      <c r="DL216" s="236">
        <v>-573.76840275416293</v>
      </c>
      <c r="DM216" s="236">
        <v>-641.15136492153579</v>
      </c>
      <c r="DN216" s="236">
        <v>-556.15684093070968</v>
      </c>
      <c r="DO216" s="236">
        <v>-604.79662571320569</v>
      </c>
      <c r="DP216" s="236">
        <v>-692.95633446023976</v>
      </c>
      <c r="DQ216" s="1084">
        <v>-789.16595106660952</v>
      </c>
      <c r="DR216" s="1084">
        <v>-889.93135129513621</v>
      </c>
      <c r="DS216" s="1084">
        <v>-996.0552054938662</v>
      </c>
      <c r="DT216" s="1084">
        <v>-1107.6143737497109</v>
      </c>
      <c r="DU216" s="1084">
        <v>-1257.6489124994755</v>
      </c>
      <c r="DV216" s="1084">
        <v>-1420.4941095067152</v>
      </c>
      <c r="DW216" s="1084">
        <v>-1592.7282104103069</v>
      </c>
      <c r="DX216" s="1084">
        <v>-1776.0424537756558</v>
      </c>
      <c r="DY216" s="1084">
        <v>-1971.2814225995749</v>
      </c>
      <c r="DZ216" s="1084"/>
      <c r="EA216" s="988"/>
    </row>
    <row r="217" spans="1:131" s="19" customFormat="1">
      <c r="A217" s="19" t="str">
        <f>DataInput!A269</f>
        <v>Direct taxes</v>
      </c>
      <c r="B217" s="133" t="s">
        <v>881</v>
      </c>
      <c r="D217" s="206"/>
      <c r="E217" s="206"/>
      <c r="F217" s="80">
        <f t="shared" ref="F217:AM217" si="692">+F218+F220</f>
        <v>4.0757186267157556E-3</v>
      </c>
      <c r="G217" s="80">
        <f t="shared" si="692"/>
        <v>4.4612595778915701E-3</v>
      </c>
      <c r="H217" s="80">
        <f t="shared" si="692"/>
        <v>5.0527894338949888E-3</v>
      </c>
      <c r="I217" s="80">
        <f t="shared" si="692"/>
        <v>5.8888628571220807E-3</v>
      </c>
      <c r="J217" s="80">
        <f t="shared" si="692"/>
        <v>6.106968830505358E-3</v>
      </c>
      <c r="K217" s="80">
        <f t="shared" si="692"/>
        <v>6.4704787861441541E-3</v>
      </c>
      <c r="L217" s="80">
        <f t="shared" si="692"/>
        <v>6.4704787861441541E-3</v>
      </c>
      <c r="M217" s="80">
        <f t="shared" si="692"/>
        <v>6.3250748038886353E-3</v>
      </c>
      <c r="N217" s="80">
        <f t="shared" si="692"/>
        <v>7.0157437196023487E-3</v>
      </c>
      <c r="O217" s="80">
        <f t="shared" si="692"/>
        <v>6.9066907329107096E-3</v>
      </c>
      <c r="P217" s="80">
        <f t="shared" si="692"/>
        <v>7.7791146264438197E-3</v>
      </c>
      <c r="Q217" s="80">
        <f t="shared" si="692"/>
        <v>9.1604529831291071E-3</v>
      </c>
      <c r="R217" s="80">
        <f t="shared" si="692"/>
        <v>1.4576752372662892E-2</v>
      </c>
      <c r="S217" s="80">
        <f t="shared" si="692"/>
        <v>1.6248899219117076E-2</v>
      </c>
      <c r="T217" s="80">
        <f t="shared" si="692"/>
        <v>1.5194719297248842E-2</v>
      </c>
      <c r="U217" s="80">
        <f t="shared" si="692"/>
        <v>1.7666588046108381E-2</v>
      </c>
      <c r="V217" s="80">
        <f t="shared" si="692"/>
        <v>1.8938873941359891E-2</v>
      </c>
      <c r="W217" s="80">
        <f t="shared" si="692"/>
        <v>2.1701549604214738E-2</v>
      </c>
      <c r="X217" s="80">
        <f t="shared" si="692"/>
        <v>2.7869102201724887E-2</v>
      </c>
      <c r="Y217" s="80">
        <f t="shared" si="692"/>
        <v>2.3517998441930987E-2</v>
      </c>
      <c r="Z217" s="80">
        <f t="shared" si="692"/>
        <v>2.2967225654536967E-2</v>
      </c>
      <c r="AA217" s="80">
        <f t="shared" si="692"/>
        <v>1.5862255856741517E-2</v>
      </c>
      <c r="AB217" s="80">
        <f t="shared" si="692"/>
        <v>2.4564465477360756E-2</v>
      </c>
      <c r="AC217" s="80">
        <f t="shared" si="692"/>
        <v>3.2715904411617425E-2</v>
      </c>
      <c r="AD217" s="80">
        <f t="shared" si="692"/>
        <v>4.0812262705484381E-2</v>
      </c>
      <c r="AE217" s="80">
        <f t="shared" si="692"/>
        <v>3.8829481511278477E-2</v>
      </c>
      <c r="AF217" s="80">
        <f t="shared" si="692"/>
        <v>3.7333215158720533E-2</v>
      </c>
      <c r="AG217" s="80">
        <f t="shared" si="692"/>
        <v>3.5836948806162582E-2</v>
      </c>
      <c r="AH217" s="80">
        <f t="shared" si="692"/>
        <v>3.434068245360463E-2</v>
      </c>
      <c r="AI217" s="80">
        <f t="shared" si="692"/>
        <v>3.2844418202078125E-2</v>
      </c>
      <c r="AJ217" s="80">
        <f t="shared" si="692"/>
        <v>3.1348151849520174E-2</v>
      </c>
      <c r="AK217" s="80">
        <f t="shared" si="692"/>
        <v>2.9851885496962226E-2</v>
      </c>
      <c r="AL217" s="80">
        <f t="shared" si="692"/>
        <v>1.905673760342055E-2</v>
      </c>
      <c r="AM217" s="80">
        <f t="shared" si="692"/>
        <v>2.5666011052148798E-2</v>
      </c>
      <c r="AN217" s="80">
        <f t="shared" ref="AN217:AU217" si="693">+AN218+AN220</f>
        <v>5.3039421106869385E-2</v>
      </c>
      <c r="AO217" s="80">
        <f t="shared" si="693"/>
        <v>6.4881036035840819E-2</v>
      </c>
      <c r="AP217" s="80">
        <f t="shared" si="693"/>
        <v>0.10519760239225803</v>
      </c>
      <c r="AQ217" s="80">
        <f t="shared" si="693"/>
        <v>9.7486783368741725E-2</v>
      </c>
      <c r="AR217" s="80">
        <f t="shared" si="693"/>
        <v>6.9948143999040674E-2</v>
      </c>
      <c r="AS217" s="80">
        <f t="shared" si="693"/>
        <v>9.7762169762438733E-2</v>
      </c>
      <c r="AT217" s="80">
        <f t="shared" si="693"/>
        <v>47.288516008900899</v>
      </c>
      <c r="AU217" s="80">
        <f t="shared" si="693"/>
        <v>13.815584598991624</v>
      </c>
      <c r="AV217" s="80">
        <f t="shared" ref="AV217:BD217" si="694">+AV218+AV220</f>
        <v>30.565108252999998</v>
      </c>
      <c r="AW217" s="80">
        <f t="shared" si="694"/>
        <v>39.966346797</v>
      </c>
      <c r="AX217" s="80">
        <f t="shared" si="694"/>
        <v>47.100897854999999</v>
      </c>
      <c r="AY217" s="80">
        <f t="shared" si="694"/>
        <v>58.838299999999997</v>
      </c>
      <c r="AZ217" s="80">
        <f t="shared" si="694"/>
        <v>120.88800000000001</v>
      </c>
      <c r="BA217" s="80">
        <f t="shared" si="694"/>
        <v>231.76791299999991</v>
      </c>
      <c r="BB217" s="80">
        <f t="shared" si="694"/>
        <v>234.31983100000005</v>
      </c>
      <c r="BC217" s="80">
        <f t="shared" si="694"/>
        <v>310.72297199999997</v>
      </c>
      <c r="BD217" s="80">
        <f t="shared" si="694"/>
        <v>422.09347400000001</v>
      </c>
      <c r="BE217" s="80">
        <f t="shared" ref="BE217:BK217" si="695">+BE218+BE220</f>
        <v>538.1652620000001</v>
      </c>
      <c r="BF217" s="80">
        <f t="shared" si="695"/>
        <v>591.76625200000001</v>
      </c>
      <c r="BG217" s="80">
        <f t="shared" si="695"/>
        <v>767.150217</v>
      </c>
      <c r="BH217" s="324">
        <f t="shared" si="695"/>
        <v>835.55110499999444</v>
      </c>
      <c r="BI217" s="80">
        <f t="shared" si="695"/>
        <v>965.39115399999946</v>
      </c>
      <c r="BJ217" s="80">
        <f t="shared" si="695"/>
        <v>970.60945400000014</v>
      </c>
      <c r="BK217" s="80">
        <f t="shared" si="695"/>
        <v>1340.9801830000001</v>
      </c>
      <c r="BL217" s="80">
        <f t="shared" ref="BL217:BS217" si="696">+BL218+BL220</f>
        <v>1584.6</v>
      </c>
      <c r="BM217" s="80">
        <f t="shared" si="696"/>
        <v>1686.5999959686728</v>
      </c>
      <c r="BN217" s="80">
        <f t="shared" si="696"/>
        <v>1450.0002199999999</v>
      </c>
      <c r="BO217" s="80">
        <f t="shared" si="696"/>
        <v>1143.400363</v>
      </c>
      <c r="BP217" s="80">
        <f t="shared" ca="1" si="696"/>
        <v>1756.6248875286383</v>
      </c>
      <c r="BQ217" s="80">
        <f t="shared" ca="1" si="696"/>
        <v>2246.0687657541625</v>
      </c>
      <c r="BR217" s="80">
        <f t="shared" ca="1" si="696"/>
        <v>2444.8517279215353</v>
      </c>
      <c r="BS217" s="80">
        <f t="shared" ca="1" si="696"/>
        <v>2483.1572039307093</v>
      </c>
      <c r="BT217" s="80">
        <f ca="1">+BT218+BT220</f>
        <v>2531.7969887132058</v>
      </c>
      <c r="BU217" s="80">
        <f ca="1">+BU218+BU220</f>
        <v>2619.9566974602403</v>
      </c>
      <c r="BV217" s="80">
        <f ca="1">+BV218+BV220</f>
        <v>2716.1663140666096</v>
      </c>
      <c r="BW217" s="80">
        <f t="shared" ref="BW217:BX217" ca="1" si="697">+BW218+BW220</f>
        <v>2816.9317142951345</v>
      </c>
      <c r="BX217" s="80">
        <f t="shared" ca="1" si="697"/>
        <v>2923.0555684938658</v>
      </c>
      <c r="BY217" s="80">
        <f t="shared" ref="BY217:CD217" ca="1" si="698">+BY218+BY220</f>
        <v>3034.6147367497147</v>
      </c>
      <c r="BZ217" s="80">
        <f t="shared" ca="1" si="698"/>
        <v>3184.6492754994865</v>
      </c>
      <c r="CA217" s="80">
        <f t="shared" ca="1" si="698"/>
        <v>3347.4944725067739</v>
      </c>
      <c r="CB217" s="80">
        <f t="shared" ca="1" si="698"/>
        <v>3519.7285734108737</v>
      </c>
      <c r="CC217" s="80">
        <f t="shared" ca="1" si="698"/>
        <v>3703.0428167808541</v>
      </c>
      <c r="CD217" s="80">
        <f t="shared" ca="1" si="698"/>
        <v>3898.2817856389056</v>
      </c>
      <c r="CE217" s="80"/>
      <c r="CF217" s="435"/>
      <c r="CG217" s="235">
        <f t="shared" si="606"/>
        <v>0</v>
      </c>
      <c r="CH217" s="235">
        <f t="shared" si="637"/>
        <v>0</v>
      </c>
      <c r="CI217" s="235" t="e">
        <f>BM217-#REF!</f>
        <v>#REF!</v>
      </c>
      <c r="CJ217" s="235">
        <f t="shared" si="589"/>
        <v>0</v>
      </c>
      <c r="CK217" s="235">
        <f t="shared" si="590"/>
        <v>0</v>
      </c>
      <c r="CL217" s="235">
        <f t="shared" ca="1" si="591"/>
        <v>0</v>
      </c>
      <c r="CM217" s="235">
        <f t="shared" ca="1" si="592"/>
        <v>0</v>
      </c>
      <c r="CN217" s="235">
        <f t="shared" ca="1" si="593"/>
        <v>0</v>
      </c>
      <c r="CO217" s="235">
        <f t="shared" ca="1" si="594"/>
        <v>0</v>
      </c>
      <c r="CP217" s="235">
        <f t="shared" ca="1" si="595"/>
        <v>0</v>
      </c>
      <c r="CQ217" s="235">
        <f t="shared" ca="1" si="596"/>
        <v>4.5474735088646412E-12</v>
      </c>
      <c r="CR217" s="235">
        <f t="shared" ca="1" si="597"/>
        <v>3.637978807091713E-12</v>
      </c>
      <c r="CS217" s="235">
        <f t="shared" ca="1" si="598"/>
        <v>0</v>
      </c>
      <c r="CT217" s="235">
        <f t="shared" ca="1" si="599"/>
        <v>0</v>
      </c>
      <c r="CU217" s="235">
        <f t="shared" ca="1" si="600"/>
        <v>0</v>
      </c>
      <c r="CV217" s="235">
        <f t="shared" ca="1" si="601"/>
        <v>8.1854523159563541E-12</v>
      </c>
      <c r="CW217" s="235">
        <f t="shared" ca="1" si="602"/>
        <v>-8.6401996668428183E-12</v>
      </c>
      <c r="CX217" s="235">
        <f t="shared" ca="1" si="603"/>
        <v>-2.6284396881237626E-10</v>
      </c>
      <c r="CY217" s="235">
        <f t="shared" ca="1" si="604"/>
        <v>-2.502474671928212E-9</v>
      </c>
      <c r="CZ217" s="235">
        <f t="shared" ca="1" si="605"/>
        <v>-1.7452748579671606E-8</v>
      </c>
      <c r="DA217" s="38"/>
      <c r="DB217" s="236">
        <v>590.76625200000001</v>
      </c>
      <c r="DC217" s="236">
        <v>591.76625200000001</v>
      </c>
      <c r="DD217" s="236">
        <v>767.150217</v>
      </c>
      <c r="DE217" s="236">
        <v>1204.0335810000001</v>
      </c>
      <c r="DF217" s="401">
        <v>965.39115399999991</v>
      </c>
      <c r="DG217" s="236">
        <v>1340.9801830000001</v>
      </c>
      <c r="DH217" s="492">
        <v>1584.6</v>
      </c>
      <c r="DI217" s="236">
        <v>1450.0002199999999</v>
      </c>
      <c r="DJ217" s="236">
        <v>1143.400363</v>
      </c>
      <c r="DK217" s="236">
        <v>1756.6248875286383</v>
      </c>
      <c r="DL217" s="236">
        <v>2246.0687657541625</v>
      </c>
      <c r="DM217" s="236">
        <v>2444.8517279215348</v>
      </c>
      <c r="DN217" s="236">
        <v>2483.1572039307075</v>
      </c>
      <c r="DO217" s="236">
        <v>2531.7969887132026</v>
      </c>
      <c r="DP217" s="236">
        <v>2619.9566974602358</v>
      </c>
      <c r="DQ217" s="1084">
        <v>2716.166314066606</v>
      </c>
      <c r="DR217" s="1084">
        <v>2816.9317142951327</v>
      </c>
      <c r="DS217" s="1084">
        <v>2923.055568493864</v>
      </c>
      <c r="DT217" s="1084">
        <v>3034.6147367497115</v>
      </c>
      <c r="DU217" s="1084">
        <v>3184.6492754994783</v>
      </c>
      <c r="DV217" s="1084">
        <v>3347.4944725067826</v>
      </c>
      <c r="DW217" s="1084">
        <v>3519.7285734111365</v>
      </c>
      <c r="DX217" s="1084">
        <v>3703.0428167833566</v>
      </c>
      <c r="DY217" s="1084">
        <v>3898.2817856563584</v>
      </c>
      <c r="DZ217" s="1084"/>
      <c r="EA217" s="988"/>
    </row>
    <row r="218" spans="1:131" s="76" customFormat="1">
      <c r="A218" s="19" t="s">
        <v>4436</v>
      </c>
      <c r="B218" s="76" t="s">
        <v>2351</v>
      </c>
      <c r="C218" s="51" t="s">
        <v>4182</v>
      </c>
      <c r="D218" s="207"/>
      <c r="E218" s="207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  <c r="AA218" s="207"/>
      <c r="AB218" s="207"/>
      <c r="AC218" s="207"/>
      <c r="AD218" s="207"/>
      <c r="AE218" s="207"/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7"/>
      <c r="AT218" s="309">
        <v>45</v>
      </c>
      <c r="AU218" s="51"/>
      <c r="AV218" s="74">
        <f>DataInput!AV387</f>
        <v>9.3223526159999999</v>
      </c>
      <c r="AW218" s="74">
        <f>DataInput!AW387</f>
        <v>16.457485397999999</v>
      </c>
      <c r="AX218" s="74">
        <f>DataInput!AX387</f>
        <v>31.878410414000001</v>
      </c>
      <c r="AY218" s="74">
        <f>DataInput!AY387</f>
        <v>36.405999999999999</v>
      </c>
      <c r="AZ218" s="74">
        <f>DataInput!AZ387</f>
        <v>53.9</v>
      </c>
      <c r="BA218" s="74">
        <f>DataInput!BA387/1000+BA219</f>
        <v>61.490143000000003</v>
      </c>
      <c r="BB218" s="74">
        <f>DataInput!BB387/1000+BB219</f>
        <v>116.959515</v>
      </c>
      <c r="BC218" s="74">
        <f>DataInput!BC387/1000+BC219</f>
        <v>172.68615</v>
      </c>
      <c r="BD218" s="74">
        <f>DataInput!BD387+BD219</f>
        <v>170.192106</v>
      </c>
      <c r="BE218" s="74">
        <f>DataInput!BE387+BE219</f>
        <v>215.25793099999999</v>
      </c>
      <c r="BF218" s="74">
        <f>DataInput!BF387+BF219</f>
        <v>264.180545</v>
      </c>
      <c r="BG218" s="74">
        <f>DataInput!BG387+BG219</f>
        <v>309.58553499999999</v>
      </c>
      <c r="BH218" s="74">
        <f>DataInput!BH387+BH219</f>
        <v>339.41033300000004</v>
      </c>
      <c r="BI218" s="74">
        <f>DataInput!BI387+BI219</f>
        <v>324.67690199999959</v>
      </c>
      <c r="BJ218" s="74">
        <f>DataInput!BJ387+BJ219</f>
        <v>420.8252250000001</v>
      </c>
      <c r="BK218" s="74">
        <f>DataInput!BK387+BK219</f>
        <v>507.57252999999997</v>
      </c>
      <c r="BL218" s="74">
        <f>DataInput!BL387+BL219</f>
        <v>553.54999999999995</v>
      </c>
      <c r="BM218" s="74">
        <f>DataInput!BM387+BM219</f>
        <v>552.63730420445177</v>
      </c>
      <c r="BN218" s="74">
        <f>DataInput!BN387+BN219</f>
        <v>347.053516</v>
      </c>
      <c r="BO218" s="74">
        <f>DataInput!BO387+BO219</f>
        <v>352.6571110000001</v>
      </c>
      <c r="BP218" s="102">
        <f ca="1">(BO218-BO219)*(BO336+BP335)/(BN336+BO335)+BP219+SIM!X71+finsim!BO182</f>
        <v>404.8990993471719</v>
      </c>
      <c r="BQ218" s="102">
        <f ca="1">(BP218-BP219)*(BP336+BQ335)/(BO336+BP335)+BQ219+SIM!Y71+finsim!BP182</f>
        <v>511.82199740587839</v>
      </c>
      <c r="BR218" s="102">
        <f ca="1">(BQ218-BQ219)*(BQ336+BR335)/(BP336+BQ335)+BR219+SIM!Z71+finsim!BQ182</f>
        <v>589.39303988053064</v>
      </c>
      <c r="BS218" s="102">
        <f ca="1">(BR218-BR219)*(BR336+BS335)/(BQ336+BR335)+BS219+SIM!AA71+finsim!BR182</f>
        <v>622.75457518649739</v>
      </c>
      <c r="BT218" s="102">
        <f ca="1">(BS218-BS219)*(BS336+BT335)/(BR336+BS335)+BT219+SIM!AB71+finsim!BS182</f>
        <v>642.00711366821565</v>
      </c>
      <c r="BU218" s="102">
        <f ca="1">(BT218-BT219)*(BT336+BU335)/(BS336+BT335)+BU219+SIM!AC71+finsim!BT182</f>
        <v>665.50870484465963</v>
      </c>
      <c r="BV218" s="102">
        <f ca="1">(BU218-BU219)*(BU336+BV335)/(BT336+BU335)+BV219+SIM!AD71+finsim!BU182</f>
        <v>693.56322644479303</v>
      </c>
      <c r="BW218" s="102">
        <f ca="1">(BV218-BV219)*(BV336+BW335)/(BU336+BV335)+BW219+SIM!AE71+finsim!BV182</f>
        <v>722.71466501969587</v>
      </c>
      <c r="BX218" s="102">
        <f ca="1">(BW218-BW219)*(BW336+BX335)/(BV336+BW335)+BX219+SIM!AF71+finsim!BW182</f>
        <v>752.86379565282846</v>
      </c>
      <c r="BY218" s="102">
        <f ca="1">(BX218-BX219)*(BX336+BY335)/(BW336+BX335)+BY219+SIM!AG71+finsim!BX182</f>
        <v>784.06580362980412</v>
      </c>
      <c r="BZ218" s="102">
        <f ca="1">(BY218-BY219)*(BY336+BZ335)/(BX336+BY335)+BZ219+SIM!AH71+finsim!BY182</f>
        <v>816.94291589165778</v>
      </c>
      <c r="CA218" s="102">
        <f ca="1">(BZ218-BZ219)*(BZ336+CA335)/(BY336+BZ335)+CA219+SIM!AI71+finsim!BZ182</f>
        <v>852.43211284298695</v>
      </c>
      <c r="CB218" s="102">
        <f ca="1">(CA218-CA219)*(CA336+CB335)/(BZ336+CA335)+CB219+SIM!AJ71+finsim!CA182</f>
        <v>889.48623168183724</v>
      </c>
      <c r="CC218" s="102">
        <f ca="1">(CB218-CB219)*(CB336+CC335)/(CA336+CB335)+CC219+SIM!AK71+finsim!CB182</f>
        <v>928.33874265730253</v>
      </c>
      <c r="CD218" s="102">
        <f ca="1">(CC218-CC219)*(CC336+CD335)/(CB336+CC335)+CD219+SIM!AL71+finsim!CC182</f>
        <v>969.20548478033982</v>
      </c>
      <c r="CE218" s="102"/>
      <c r="CF218" s="438"/>
      <c r="CG218" s="235">
        <f t="shared" si="606"/>
        <v>0</v>
      </c>
      <c r="CH218" s="235">
        <f t="shared" si="637"/>
        <v>0</v>
      </c>
      <c r="CI218" s="235" t="e">
        <f>BM218-#REF!</f>
        <v>#REF!</v>
      </c>
      <c r="CJ218" s="235">
        <f t="shared" si="589"/>
        <v>0</v>
      </c>
      <c r="CK218" s="235">
        <f t="shared" si="590"/>
        <v>0</v>
      </c>
      <c r="CL218" s="235">
        <f t="shared" ca="1" si="591"/>
        <v>0</v>
      </c>
      <c r="CM218" s="235">
        <f t="shared" ca="1" si="592"/>
        <v>0</v>
      </c>
      <c r="CN218" s="235">
        <f t="shared" ca="1" si="593"/>
        <v>0</v>
      </c>
      <c r="CO218" s="235">
        <f t="shared" ca="1" si="594"/>
        <v>0</v>
      </c>
      <c r="CP218" s="235">
        <f t="shared" ca="1" si="595"/>
        <v>0</v>
      </c>
      <c r="CQ218" s="235">
        <f t="shared" ca="1" si="596"/>
        <v>0</v>
      </c>
      <c r="CR218" s="235">
        <f t="shared" ca="1" si="597"/>
        <v>0</v>
      </c>
      <c r="CS218" s="235">
        <f t="shared" ca="1" si="598"/>
        <v>1.0231815394945443E-12</v>
      </c>
      <c r="CT218" s="235">
        <f t="shared" ca="1" si="599"/>
        <v>1.3642420526593924E-12</v>
      </c>
      <c r="CU218" s="235">
        <f t="shared" ca="1" si="600"/>
        <v>1.8189894035458565E-12</v>
      </c>
      <c r="CV218" s="235">
        <f t="shared" ca="1" si="601"/>
        <v>2.5011104298755527E-12</v>
      </c>
      <c r="CW218" s="235">
        <f t="shared" ca="1" si="602"/>
        <v>2.3874235921539366E-12</v>
      </c>
      <c r="CX218" s="235">
        <f t="shared" ca="1" si="603"/>
        <v>-6.7075234255753458E-12</v>
      </c>
      <c r="CY218" s="235">
        <f t="shared" ca="1" si="604"/>
        <v>-1.0675194062059745E-10</v>
      </c>
      <c r="CZ218" s="235">
        <f t="shared" ca="1" si="605"/>
        <v>-8.6379259300883859E-10</v>
      </c>
      <c r="DA218" s="38"/>
      <c r="DB218" s="236">
        <v>263.180545</v>
      </c>
      <c r="DC218" s="236">
        <v>264.180545</v>
      </c>
      <c r="DD218" s="236">
        <v>309.58553499999999</v>
      </c>
      <c r="DE218" s="236">
        <v>339.41033600000003</v>
      </c>
      <c r="DF218" s="401">
        <v>324.67690200000004</v>
      </c>
      <c r="DG218" s="236">
        <v>507.57252999999997</v>
      </c>
      <c r="DH218" s="492">
        <v>553.54999999999995</v>
      </c>
      <c r="DI218" s="236">
        <v>347.053516</v>
      </c>
      <c r="DJ218" s="236">
        <v>352.6571110000001</v>
      </c>
      <c r="DK218" s="236">
        <v>404.89909934717184</v>
      </c>
      <c r="DL218" s="236">
        <v>511.82199740587839</v>
      </c>
      <c r="DM218" s="236">
        <v>589.39303988053075</v>
      </c>
      <c r="DN218" s="236">
        <v>622.75457518649762</v>
      </c>
      <c r="DO218" s="236">
        <v>642.00711366821611</v>
      </c>
      <c r="DP218" s="236">
        <v>665.50870484465963</v>
      </c>
      <c r="DQ218" s="401">
        <v>693.56322644479258</v>
      </c>
      <c r="DR218" s="401">
        <v>722.71466501969485</v>
      </c>
      <c r="DS218" s="401">
        <v>752.86379565282709</v>
      </c>
      <c r="DT218" s="401">
        <v>784.0658036298023</v>
      </c>
      <c r="DU218" s="401">
        <v>816.94291589165528</v>
      </c>
      <c r="DV218" s="401">
        <v>852.43211284298457</v>
      </c>
      <c r="DW218" s="401">
        <v>889.48623168184395</v>
      </c>
      <c r="DX218" s="401">
        <v>928.33874265740928</v>
      </c>
      <c r="DY218" s="401">
        <v>969.20548478120361</v>
      </c>
      <c r="DZ218" s="401"/>
      <c r="EA218" s="989"/>
    </row>
    <row r="219" spans="1:131" s="76" customFormat="1">
      <c r="A219" s="76" t="s">
        <v>3903</v>
      </c>
      <c r="B219" s="76" t="s">
        <v>73</v>
      </c>
      <c r="C219" s="51" t="s">
        <v>74</v>
      </c>
      <c r="D219" s="207"/>
      <c r="E219" s="207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  <c r="AA219" s="207"/>
      <c r="AB219" s="207"/>
      <c r="AC219" s="207"/>
      <c r="AD219" s="207"/>
      <c r="AE219" s="207"/>
      <c r="AF219" s="207"/>
      <c r="AG219" s="207"/>
      <c r="AH219" s="207"/>
      <c r="AI219" s="207"/>
      <c r="AJ219" s="207"/>
      <c r="AK219" s="207"/>
      <c r="AL219" s="207"/>
      <c r="AM219" s="207"/>
      <c r="AN219" s="207"/>
      <c r="AO219" s="207"/>
      <c r="AP219" s="207"/>
      <c r="AQ219" s="207"/>
      <c r="AR219" s="207"/>
      <c r="AS219" s="207"/>
      <c r="AT219" s="309"/>
      <c r="AU219" s="51"/>
      <c r="AV219" s="74"/>
      <c r="AW219" s="74"/>
      <c r="AX219" s="74"/>
      <c r="AY219" s="74"/>
      <c r="AZ219" s="74">
        <f>(DataInput!AZ360+DataInput!AZ363)/1000000</f>
        <v>47.060924999999997</v>
      </c>
      <c r="BA219" s="74">
        <f>(DataInput!BA360+DataInput!BA363)/1000</f>
        <v>53.527092000000003</v>
      </c>
      <c r="BB219" s="74">
        <f>(DataInput!BB360+DataInput!BB363)/1000</f>
        <v>106.15276999999999</v>
      </c>
      <c r="BC219" s="74">
        <f>(DataInput!BC360+DataInput!BC363)/1000</f>
        <v>158.546706</v>
      </c>
      <c r="BD219" s="74">
        <f>(DataInput!BD360+DataInput!BD363)</f>
        <v>150.43715</v>
      </c>
      <c r="BE219" s="74">
        <f>(DataInput!BE360+DataInput!BE363)</f>
        <v>195.495385</v>
      </c>
      <c r="BF219" s="74">
        <f>(DataInput!BF360+DataInput!BF363)</f>
        <v>229.51602399999999</v>
      </c>
      <c r="BG219" s="74">
        <f>(DataInput!BG360+DataInput!BG363)</f>
        <v>228.341094</v>
      </c>
      <c r="BH219" s="338">
        <f>DataInput!BH359</f>
        <v>190.43953299999998</v>
      </c>
      <c r="BI219" s="338">
        <f>DataInput!BI359</f>
        <v>287.00764999999956</v>
      </c>
      <c r="BJ219" s="338">
        <f>DataInput!BJ359</f>
        <v>389.34988700000008</v>
      </c>
      <c r="BK219" s="338">
        <f>DataInput!BK359</f>
        <v>390.15443899999997</v>
      </c>
      <c r="BL219" s="338">
        <f>DataInput!BL359</f>
        <v>437.82</v>
      </c>
      <c r="BM219" s="338">
        <f>DataInput!BM359</f>
        <v>437.09812036273701</v>
      </c>
      <c r="BN219" s="338">
        <f>DataInput!BN359</f>
        <v>299.42377900000002</v>
      </c>
      <c r="BO219" s="338">
        <f>DataInput!BO359</f>
        <v>302.41801700000008</v>
      </c>
      <c r="BP219" s="102">
        <f ca="1">BO219*(BP242+BP294)/(BO294+BO242)+SIM!X46+finsim!BO183</f>
        <v>349.07405806317854</v>
      </c>
      <c r="BQ219" s="102">
        <f ca="1">BP219*(BQ242+BQ294)/(BP294+BP242)+SIM!Y46+finsim!BP183</f>
        <v>439.85153913739708</v>
      </c>
      <c r="BR219" s="102">
        <f ca="1">BQ219*(BR242+BR294)/(BQ294+BQ242)+SIM!Z46+finsim!BQ183</f>
        <v>502.72998443106201</v>
      </c>
      <c r="BS219" s="102">
        <f ca="1">BR219*(BS242+BS294)/(BR294+BR242)+SIM!AA46+finsim!BR183</f>
        <v>529.38659485719597</v>
      </c>
      <c r="BT219" s="102">
        <f ca="1">BS219*(BT242+BT294)/(BS294+BS242)+SIM!AB46+finsim!BS183</f>
        <v>545.12062086574133</v>
      </c>
      <c r="BU219" s="102">
        <f ca="1">BT219*(BU242+BU294)/(BT294+BT242)+SIM!AC46+finsim!BT183</f>
        <v>564.50466068097239</v>
      </c>
      <c r="BV219" s="102">
        <f ca="1">BU219*(BV242+BV294)/(BU294+BU242)+SIM!AD46+finsim!BU183</f>
        <v>587.40557719270578</v>
      </c>
      <c r="BW219" s="102">
        <f ca="1">BV219*(BW242+BW294)/(BV294+BV242)+SIM!AE46+finsim!BV183</f>
        <v>611.1176251282302</v>
      </c>
      <c r="BX219" s="102">
        <f ca="1">BW219*(BX242+BX294)/(BW294+BW242)+SIM!AF46+finsim!BW183</f>
        <v>635.50914527772409</v>
      </c>
      <c r="BY219" s="102">
        <f ca="1">BX219*(BY242+BY294)/(BX294+BX242)+SIM!AG46+finsim!BX183</f>
        <v>660.5816933601069</v>
      </c>
      <c r="BZ219" s="102">
        <f ca="1">BY219*(BZ242+BZ294)/(BY294+BY242)+SIM!AH46+finsim!BY183</f>
        <v>686.89813247134066</v>
      </c>
      <c r="CA219" s="102">
        <f ca="1">BZ219*(CA242+CA294)/(BZ294+BZ242)+SIM!AI46+finsim!BZ183</f>
        <v>714.96563288403979</v>
      </c>
      <c r="CB219" s="102">
        <f ca="1">CA219*(CB242+CB294)/(CA294+CA242)+SIM!AJ46+finsim!CA183</f>
        <v>743.99861401572684</v>
      </c>
      <c r="CC219" s="102">
        <f ca="1">CB219*(CC242+CC294)/(CB294+CB242)+SIM!AK46+finsim!CB183</f>
        <v>774.25342836057928</v>
      </c>
      <c r="CD219" s="102">
        <f ca="1">CC219*(CD242+CD294)/(CC294+CC242)+SIM!AL46+finsim!CC183</f>
        <v>805.86061223486706</v>
      </c>
      <c r="CE219" s="102"/>
      <c r="CF219" s="438"/>
      <c r="CG219" s="235">
        <f t="shared" si="606"/>
        <v>0</v>
      </c>
      <c r="CH219" s="235">
        <f t="shared" si="637"/>
        <v>0</v>
      </c>
      <c r="CI219" s="235" t="e">
        <f>BM219-#REF!</f>
        <v>#REF!</v>
      </c>
      <c r="CJ219" s="235">
        <f t="shared" si="589"/>
        <v>0</v>
      </c>
      <c r="CK219" s="235">
        <f t="shared" si="590"/>
        <v>0</v>
      </c>
      <c r="CL219" s="235">
        <f t="shared" ca="1" si="591"/>
        <v>0</v>
      </c>
      <c r="CM219" s="235">
        <f t="shared" ca="1" si="592"/>
        <v>0</v>
      </c>
      <c r="CN219" s="235">
        <f t="shared" ca="1" si="593"/>
        <v>-4.5474735088646412E-13</v>
      </c>
      <c r="CO219" s="235">
        <f t="shared" ca="1" si="594"/>
        <v>0</v>
      </c>
      <c r="CP219" s="235">
        <f t="shared" ca="1" si="595"/>
        <v>0</v>
      </c>
      <c r="CQ219" s="235">
        <f t="shared" ca="1" si="596"/>
        <v>-1.2505552149377763E-12</v>
      </c>
      <c r="CR219" s="235">
        <f t="shared" ca="1" si="597"/>
        <v>-1.8189894035458565E-12</v>
      </c>
      <c r="CS219" s="235">
        <f t="shared" ca="1" si="598"/>
        <v>-2.2737367544323206E-12</v>
      </c>
      <c r="CT219" s="235">
        <f t="shared" ca="1" si="599"/>
        <v>-2.6147972675971687E-12</v>
      </c>
      <c r="CU219" s="235">
        <f t="shared" ca="1" si="600"/>
        <v>-3.4106051316484809E-12</v>
      </c>
      <c r="CV219" s="235">
        <f t="shared" ca="1" si="601"/>
        <v>-4.2064129956997931E-12</v>
      </c>
      <c r="CW219" s="235">
        <f t="shared" ca="1" si="602"/>
        <v>-6.4801497501321137E-12</v>
      </c>
      <c r="CX219" s="235">
        <f t="shared" ca="1" si="603"/>
        <v>-2.1600499167107046E-11</v>
      </c>
      <c r="CY219" s="235">
        <f t="shared" ca="1" si="604"/>
        <v>-1.4779288903810084E-10</v>
      </c>
      <c r="CZ219" s="235">
        <f t="shared" ca="1" si="605"/>
        <v>-1.1124257071060129E-9</v>
      </c>
      <c r="DA219" s="38"/>
      <c r="DB219" s="236">
        <v>228.51602399999999</v>
      </c>
      <c r="DC219" s="236">
        <v>229.51602399999999</v>
      </c>
      <c r="DD219" s="236">
        <v>228.341094</v>
      </c>
      <c r="DE219" s="236">
        <v>190.43953300000001</v>
      </c>
      <c r="DF219" s="401">
        <v>287.00765000000001</v>
      </c>
      <c r="DG219" s="236">
        <v>390.15443899999997</v>
      </c>
      <c r="DH219" s="492">
        <v>437.82</v>
      </c>
      <c r="DI219" s="236">
        <v>299.42377900000002</v>
      </c>
      <c r="DJ219" s="236">
        <v>302.41801700000008</v>
      </c>
      <c r="DK219" s="236">
        <v>349.0740580631786</v>
      </c>
      <c r="DL219" s="236">
        <v>439.85153913739731</v>
      </c>
      <c r="DM219" s="236">
        <v>502.72998443106246</v>
      </c>
      <c r="DN219" s="236">
        <v>529.38659485719654</v>
      </c>
      <c r="DO219" s="236">
        <v>545.12062086574201</v>
      </c>
      <c r="DP219" s="236">
        <v>564.50466068097364</v>
      </c>
      <c r="DQ219" s="401">
        <v>587.4055771927076</v>
      </c>
      <c r="DR219" s="401">
        <v>611.11762512823248</v>
      </c>
      <c r="DS219" s="401">
        <v>635.5091452777267</v>
      </c>
      <c r="DT219" s="401">
        <v>660.58169336011031</v>
      </c>
      <c r="DU219" s="401">
        <v>686.89813247134487</v>
      </c>
      <c r="DV219" s="401">
        <v>714.96563288404627</v>
      </c>
      <c r="DW219" s="401">
        <v>743.99861401574844</v>
      </c>
      <c r="DX219" s="401">
        <v>774.25342836072707</v>
      </c>
      <c r="DY219" s="401">
        <v>805.86061223597949</v>
      </c>
      <c r="DZ219" s="401"/>
      <c r="EA219" s="989"/>
    </row>
    <row r="220" spans="1:131" s="76" customFormat="1">
      <c r="A220" s="76" t="s">
        <v>4437</v>
      </c>
      <c r="B220" s="76" t="s">
        <v>2122</v>
      </c>
      <c r="C220" s="51" t="s">
        <v>4183</v>
      </c>
      <c r="D220" s="207"/>
      <c r="E220" s="207"/>
      <c r="F220" s="295">
        <f>mamiabc!F44*Model!$AV$220/mamiabc!$AV$44</f>
        <v>4.0757186267157556E-3</v>
      </c>
      <c r="G220" s="295">
        <f>mamiabc!G44*Model!$AV$220/mamiabc!$AV$44</f>
        <v>4.4612595778915701E-3</v>
      </c>
      <c r="H220" s="295">
        <f>mamiabc!H44*Model!$AV$220/mamiabc!$AV$44</f>
        <v>5.0527894338949888E-3</v>
      </c>
      <c r="I220" s="295">
        <f>mamiabc!I44*Model!$AV$220/mamiabc!$AV$44</f>
        <v>5.8888628571220807E-3</v>
      </c>
      <c r="J220" s="295">
        <f>mamiabc!J44*Model!$AV$220/mamiabc!$AV$44</f>
        <v>6.106968830505358E-3</v>
      </c>
      <c r="K220" s="295">
        <f>mamiabc!K44*Model!$AV$220/mamiabc!$AV$44</f>
        <v>6.4704787861441541E-3</v>
      </c>
      <c r="L220" s="295">
        <f>mamiabc!L44*Model!$AV$220/mamiabc!$AV$44</f>
        <v>6.4704787861441541E-3</v>
      </c>
      <c r="M220" s="295">
        <f>mamiabc!M44*Model!$AV$220/mamiabc!$AV$44</f>
        <v>6.3250748038886353E-3</v>
      </c>
      <c r="N220" s="295">
        <f>mamiabc!N44*Model!$AV$220/mamiabc!$AV$44</f>
        <v>7.0157437196023487E-3</v>
      </c>
      <c r="O220" s="295">
        <f>mamiabc!O44*Model!$AV$220/mamiabc!$AV$44</f>
        <v>6.9066907329107096E-3</v>
      </c>
      <c r="P220" s="295">
        <f>mamiabc!P44*Model!$AV$220/mamiabc!$AV$44</f>
        <v>7.7791146264438197E-3</v>
      </c>
      <c r="Q220" s="295">
        <f>mamiabc!Q44*Model!$AV$220/mamiabc!$AV$44</f>
        <v>9.1604529831291071E-3</v>
      </c>
      <c r="R220" s="295">
        <f>mamiabc!R44*Model!$AV$220/mamiabc!$AV$44</f>
        <v>1.4576752372662892E-2</v>
      </c>
      <c r="S220" s="295">
        <f>mamiabc!S44*Model!$AV$220/mamiabc!$AV$44</f>
        <v>1.6248899219117076E-2</v>
      </c>
      <c r="T220" s="295">
        <f>mamiabc!T44*Model!$AV$220/mamiabc!$AV$44</f>
        <v>1.5194719297248842E-2</v>
      </c>
      <c r="U220" s="295">
        <f>mamiabc!U44*Model!$AV$220/mamiabc!$AV$44</f>
        <v>1.7666588046108381E-2</v>
      </c>
      <c r="V220" s="295">
        <f>mamiabc!V44*Model!$AV$220/mamiabc!$AV$44</f>
        <v>1.8938873941359891E-2</v>
      </c>
      <c r="W220" s="295">
        <f>mamiabc!W44*Model!$AV$220/mamiabc!$AV$44</f>
        <v>2.1701549604214738E-2</v>
      </c>
      <c r="X220" s="295">
        <f>mamiabc!X44*Model!$AV$220/mamiabc!$AV$44</f>
        <v>2.7869102201724887E-2</v>
      </c>
      <c r="Y220" s="295">
        <f>mamiabc!Y44*Model!$AV$220/mamiabc!$AV$44</f>
        <v>2.3517998441930987E-2</v>
      </c>
      <c r="Z220" s="295">
        <f>mamiabc!Z44*Model!$AV$220/mamiabc!$AV$44</f>
        <v>2.2967225654536967E-2</v>
      </c>
      <c r="AA220" s="295">
        <f>mamiabc!AA44*Model!$AV$220/mamiabc!$AV$44</f>
        <v>1.5862255856741517E-2</v>
      </c>
      <c r="AB220" s="295">
        <f>mamiabc!AB44*Model!$AV$220/mamiabc!$AV$44</f>
        <v>2.4564465477360756E-2</v>
      </c>
      <c r="AC220" s="295">
        <f>mamiabc!AC44*Model!$AV$220/mamiabc!$AV$44</f>
        <v>3.2715904411617425E-2</v>
      </c>
      <c r="AD220" s="295">
        <f>mamiabc!AD44*Model!$AV$220/mamiabc!$AV$44</f>
        <v>4.0812262705484381E-2</v>
      </c>
      <c r="AE220" s="295">
        <f>mamiabc!AE44*Model!$AV$220/mamiabc!$AV$44</f>
        <v>3.8829481511278477E-2</v>
      </c>
      <c r="AF220" s="295">
        <f>mamiabc!AF44*Model!$AV$220/mamiabc!$AV$44</f>
        <v>3.7333215158720533E-2</v>
      </c>
      <c r="AG220" s="295">
        <f>mamiabc!AG44*Model!$AV$220/mamiabc!$AV$44</f>
        <v>3.5836948806162582E-2</v>
      </c>
      <c r="AH220" s="295">
        <f>mamiabc!AH44*Model!$AV$220/mamiabc!$AV$44</f>
        <v>3.434068245360463E-2</v>
      </c>
      <c r="AI220" s="295">
        <f>mamiabc!AI44*Model!$AV$220/mamiabc!$AV$44</f>
        <v>3.2844418202078125E-2</v>
      </c>
      <c r="AJ220" s="295">
        <f>mamiabc!AJ44*Model!$AV$220/mamiabc!$AV$44</f>
        <v>3.1348151849520174E-2</v>
      </c>
      <c r="AK220" s="295">
        <f>mamiabc!AK44*Model!$AV$220/mamiabc!$AV$44</f>
        <v>2.9851885496962226E-2</v>
      </c>
      <c r="AL220" s="295">
        <f>mamiabc!AL44*Model!$AV$220/mamiabc!$AV$44</f>
        <v>1.905673760342055E-2</v>
      </c>
      <c r="AM220" s="295">
        <f>mamiabc!AM44*Model!$AV$220/mamiabc!$AV$44</f>
        <v>2.5666011052148798E-2</v>
      </c>
      <c r="AN220" s="295">
        <f>mamiabc!AN44*Model!$AV$220/mamiabc!$AV$44</f>
        <v>5.3039421106869385E-2</v>
      </c>
      <c r="AO220" s="295">
        <f>mamiabc!AO44*Model!$AV$220/mamiabc!$AV$44</f>
        <v>6.4881036035840819E-2</v>
      </c>
      <c r="AP220" s="295">
        <f>mamiabc!AP44*Model!$AV$220/mamiabc!$AV$44</f>
        <v>0.10519760239225803</v>
      </c>
      <c r="AQ220" s="295">
        <f>mamiabc!AQ44*Model!$AV$220/mamiabc!$AV$44</f>
        <v>9.7486783368741725E-2</v>
      </c>
      <c r="AR220" s="295">
        <f>mamiabc!AR44*Model!$AV$220/mamiabc!$AV$44</f>
        <v>6.9948143999040674E-2</v>
      </c>
      <c r="AS220" s="295">
        <f>mamiabc!AS44*Model!$AV$220/mamiabc!$AV$44</f>
        <v>9.7762169762438733E-2</v>
      </c>
      <c r="AT220" s="295">
        <f>mamiabc!AT44*Model!$AV$220/mamiabc!$AV$44</f>
        <v>2.2885160089008969</v>
      </c>
      <c r="AU220" s="295">
        <f>mamiabc!AU44*Model!$AV$220/mamiabc!$AV$44</f>
        <v>13.815584598991624</v>
      </c>
      <c r="AV220" s="74">
        <f>DataInput!AV384</f>
        <v>21.242755636999998</v>
      </c>
      <c r="AW220" s="74">
        <f>DataInput!AW384</f>
        <v>23.508861399000001</v>
      </c>
      <c r="AX220" s="74">
        <f>DataInput!AX384</f>
        <v>15.222487441</v>
      </c>
      <c r="AY220" s="74">
        <f>DataInput!AY384</f>
        <v>22.432299999999998</v>
      </c>
      <c r="AZ220" s="74">
        <f>DataInput!AZ384</f>
        <v>66.988</v>
      </c>
      <c r="BA220" s="75">
        <f>DataInput!BA269/1000-Model!BA218</f>
        <v>170.27776999999992</v>
      </c>
      <c r="BB220" s="75">
        <f>DataInput!BB269/1000-Model!BB218</f>
        <v>117.36031600000005</v>
      </c>
      <c r="BC220" s="75">
        <f>DataInput!BC269/1000-Model!BC218</f>
        <v>138.03682199999997</v>
      </c>
      <c r="BD220" s="74">
        <f>DataInput!BD269-BD218</f>
        <v>251.90136800000002</v>
      </c>
      <c r="BE220" s="74">
        <f>DataInput!BE269-BE218</f>
        <v>322.90733100000011</v>
      </c>
      <c r="BF220" s="74">
        <f>DataInput!BF269-BF218</f>
        <v>327.58570700000001</v>
      </c>
      <c r="BG220" s="74">
        <f>DataInput!BG269-BG218</f>
        <v>457.564682</v>
      </c>
      <c r="BH220" s="74">
        <f>DataInput!BH269-BH218</f>
        <v>496.1407719999944</v>
      </c>
      <c r="BI220" s="74">
        <f>DataInput!BI269-BI218</f>
        <v>640.71425199999987</v>
      </c>
      <c r="BJ220" s="74">
        <f>DataInput!BJ269-BJ218</f>
        <v>549.7842290000001</v>
      </c>
      <c r="BK220" s="74">
        <f>DataInput!BK269-BK218</f>
        <v>833.40765300000021</v>
      </c>
      <c r="BL220" s="74">
        <f>DataInput!BL269-BL218</f>
        <v>1031.05</v>
      </c>
      <c r="BM220" s="74">
        <f>DataInput!BM269-BM218</f>
        <v>1133.9626917642211</v>
      </c>
      <c r="BN220" s="74">
        <f>DataInput!BN269-BN218</f>
        <v>1102.946704</v>
      </c>
      <c r="BO220" s="74">
        <f>DataInput!BO269-BO218</f>
        <v>790.74325199999987</v>
      </c>
      <c r="BP220" s="94">
        <f ca="1">(BO220-BO221)*(BP338/BO338)+BP221+SIM!X47+finsim!BO184</f>
        <v>1351.7257881814664</v>
      </c>
      <c r="BQ220" s="94">
        <f ca="1">(BP220-BP221)*(BQ338/BP338)+BQ221+SIM!Y47+finsim!BP184</f>
        <v>1734.2467683482841</v>
      </c>
      <c r="BR220" s="94">
        <f ca="1">(BQ220-BQ221)*(BR338/BQ338)+BR221+SIM!Z47+finsim!BQ184</f>
        <v>1855.4586880410041</v>
      </c>
      <c r="BS220" s="94">
        <f ca="1">(BR220-BR221)*(BS338/BR338)+BS221+SIM!AA47+finsim!BR184</f>
        <v>1860.4026287442107</v>
      </c>
      <c r="BT220" s="94">
        <f ca="1">(BS220-BS221)*(BT338/BS338)+BT221+SIM!AB47+finsim!BS184</f>
        <v>1889.7898750449879</v>
      </c>
      <c r="BU220" s="94">
        <f ca="1">(BT220-BT221)*(BU338/BT338)+BU221+SIM!AC47+finsim!BT184</f>
        <v>1954.4479926155768</v>
      </c>
      <c r="BV220" s="94">
        <f ca="1">(BU220-BU221)*(BV338/BU338)+BV221+SIM!AD47+finsim!BU184</f>
        <v>2022.6030876218156</v>
      </c>
      <c r="BW220" s="94">
        <f ca="1">(BV220-BV221)*(BW338/BV338)+BW221+SIM!AE47+finsim!BV184</f>
        <v>2094.2170492754399</v>
      </c>
      <c r="BX220" s="94">
        <f ca="1">(BW220-BW221)*(BX338/BW338)+BX221+SIM!AF47+finsim!BW184</f>
        <v>2170.1917728410353</v>
      </c>
      <c r="BY220" s="94">
        <f ca="1">(BX220-BX221)*(BY338/BX338)+BY221+SIM!AG47+finsim!BX184</f>
        <v>2250.5489331199024</v>
      </c>
      <c r="BZ220" s="94">
        <f ca="1">(BY220-BY221)*(BZ338/BY338)+BZ221+SIM!AH47+finsim!BY184</f>
        <v>2367.7063596078119</v>
      </c>
      <c r="CA220" s="94">
        <f ca="1">(BZ220-BZ221)*(CA338/BZ338)+CA221+SIM!AI47+finsim!BZ184</f>
        <v>2495.0623596637597</v>
      </c>
      <c r="CB220" s="94">
        <f ca="1">(CA220-CA221)*(CB338/CA338)+CB221+SIM!AJ47+finsim!CA184</f>
        <v>2630.2423417289988</v>
      </c>
      <c r="CC220" s="94">
        <f ca="1">(CB220-CB221)*(CC338/CB338)+CC221+SIM!AK47+finsim!CB184</f>
        <v>2774.7040741234991</v>
      </c>
      <c r="CD220" s="94">
        <f ca="1">(CC220-CC221)*(CD338/CC338)+CD221+SIM!AL47+finsim!CC184</f>
        <v>2929.0763008584945</v>
      </c>
      <c r="CE220" s="94"/>
      <c r="CF220" s="438"/>
      <c r="CG220" s="235">
        <f t="shared" si="606"/>
        <v>0</v>
      </c>
      <c r="CH220" s="235">
        <f t="shared" si="637"/>
        <v>0</v>
      </c>
      <c r="CI220" s="235" t="e">
        <f>BM220-#REF!</f>
        <v>#REF!</v>
      </c>
      <c r="CJ220" s="235">
        <f t="shared" si="589"/>
        <v>0</v>
      </c>
      <c r="CK220" s="235">
        <f t="shared" si="590"/>
        <v>0</v>
      </c>
      <c r="CL220" s="235">
        <f t="shared" ca="1" si="591"/>
        <v>0</v>
      </c>
      <c r="CM220" s="235">
        <f t="shared" ca="1" si="592"/>
        <v>0</v>
      </c>
      <c r="CN220" s="235">
        <f t="shared" ca="1" si="593"/>
        <v>0</v>
      </c>
      <c r="CO220" s="235">
        <f t="shared" ca="1" si="594"/>
        <v>-2.0463630789890885E-12</v>
      </c>
      <c r="CP220" s="235">
        <f t="shared" ca="1" si="595"/>
        <v>-2.9558577807620168E-12</v>
      </c>
      <c r="CQ220" s="235">
        <f t="shared" ca="1" si="596"/>
        <v>-2.5011104298755527E-12</v>
      </c>
      <c r="CR220" s="235">
        <f t="shared" ca="1" si="597"/>
        <v>0</v>
      </c>
      <c r="CS220" s="235">
        <f t="shared" ca="1" si="598"/>
        <v>0</v>
      </c>
      <c r="CT220" s="235">
        <f t="shared" ca="1" si="599"/>
        <v>0</v>
      </c>
      <c r="CU220" s="235">
        <f t="shared" ca="1" si="600"/>
        <v>0</v>
      </c>
      <c r="CV220" s="235">
        <f t="shared" ca="1" si="601"/>
        <v>0</v>
      </c>
      <c r="CW220" s="235">
        <f t="shared" ca="1" si="602"/>
        <v>-8.1854523159563541E-12</v>
      </c>
      <c r="CX220" s="235">
        <f t="shared" ca="1" si="603"/>
        <v>-1.0459189070388675E-10</v>
      </c>
      <c r="CY220" s="235">
        <f t="shared" ca="1" si="604"/>
        <v>-1.083662937162444E-9</v>
      </c>
      <c r="CZ220" s="235">
        <f t="shared" ca="1" si="605"/>
        <v>-9.517862054053694E-9</v>
      </c>
      <c r="DA220" s="38"/>
      <c r="DB220" s="236">
        <v>326.58570700000001</v>
      </c>
      <c r="DC220" s="236">
        <v>327.58570700000001</v>
      </c>
      <c r="DD220" s="236">
        <v>457.564682</v>
      </c>
      <c r="DE220" s="236">
        <v>864.62324500000011</v>
      </c>
      <c r="DF220" s="401">
        <v>640.71425199999987</v>
      </c>
      <c r="DG220" s="236">
        <v>833.40765300000021</v>
      </c>
      <c r="DH220" s="492">
        <v>1031.05</v>
      </c>
      <c r="DI220" s="236">
        <v>1102.946704</v>
      </c>
      <c r="DJ220" s="236">
        <v>790.74325199999987</v>
      </c>
      <c r="DK220" s="236">
        <v>1351.7257881814669</v>
      </c>
      <c r="DL220" s="236">
        <v>1734.2467683482851</v>
      </c>
      <c r="DM220" s="236">
        <v>1855.4586880410054</v>
      </c>
      <c r="DN220" s="236">
        <v>1860.4026287442127</v>
      </c>
      <c r="DO220" s="236">
        <v>1889.7898750449908</v>
      </c>
      <c r="DP220" s="236">
        <v>1954.4479926155793</v>
      </c>
      <c r="DQ220" s="401">
        <v>2022.6030876218147</v>
      </c>
      <c r="DR220" s="401">
        <v>2094.2170492754381</v>
      </c>
      <c r="DS220" s="401">
        <v>2170.1917728410344</v>
      </c>
      <c r="DT220" s="401">
        <v>2250.5489331199019</v>
      </c>
      <c r="DU220" s="401">
        <v>2367.7063596078128</v>
      </c>
      <c r="DV220" s="401">
        <v>2495.0623596637679</v>
      </c>
      <c r="DW220" s="401">
        <v>2630.2423417291034</v>
      </c>
      <c r="DX220" s="401">
        <v>2774.7040741245828</v>
      </c>
      <c r="DY220" s="401">
        <v>2929.0763008680124</v>
      </c>
      <c r="DZ220" s="401"/>
      <c r="EA220" s="989"/>
    </row>
    <row r="221" spans="1:131" s="76" customFormat="1">
      <c r="A221" s="76" t="s">
        <v>3904</v>
      </c>
      <c r="B221" s="76" t="s">
        <v>4248</v>
      </c>
      <c r="C221" s="351" t="s">
        <v>3736</v>
      </c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07"/>
      <c r="V221" s="207"/>
      <c r="W221" s="207"/>
      <c r="X221" s="207"/>
      <c r="Y221" s="207"/>
      <c r="Z221" s="207"/>
      <c r="AA221" s="207"/>
      <c r="AB221" s="207"/>
      <c r="AC221" s="207"/>
      <c r="AD221" s="207"/>
      <c r="AE221" s="207"/>
      <c r="AF221" s="207"/>
      <c r="AG221" s="207"/>
      <c r="AH221" s="207"/>
      <c r="AI221" s="207"/>
      <c r="AJ221" s="207"/>
      <c r="AK221" s="207"/>
      <c r="AL221" s="207"/>
      <c r="AM221" s="207"/>
      <c r="AN221" s="207"/>
      <c r="AO221" s="207"/>
      <c r="AP221" s="207"/>
      <c r="AQ221" s="207"/>
      <c r="AR221" s="207"/>
      <c r="AS221" s="207"/>
      <c r="AT221" s="309"/>
      <c r="AU221" s="51"/>
      <c r="AV221" s="74">
        <f>DataInput!AV356+DataInput!AV357</f>
        <v>0</v>
      </c>
      <c r="AW221" s="74">
        <f>DataInput!AW356+DataInput!AW357</f>
        <v>0</v>
      </c>
      <c r="AX221" s="74">
        <f>DataInput!AX356+DataInput!AX357</f>
        <v>0</v>
      </c>
      <c r="AY221" s="74">
        <f>DataInput!AY356+DataInput!AY357</f>
        <v>0</v>
      </c>
      <c r="AZ221" s="74">
        <f>DataInput!AZ356+DataInput!AZ357</f>
        <v>26.791081999999999</v>
      </c>
      <c r="BA221" s="74">
        <f>DataInput!BA356+DataInput!BA357</f>
        <v>80022.274000000005</v>
      </c>
      <c r="BB221" s="74">
        <f>DataInput!BB356+DataInput!BB357</f>
        <v>34325.194000000003</v>
      </c>
      <c r="BC221" s="74">
        <f>DataInput!BC356+DataInput!BC357</f>
        <v>56026.012000000002</v>
      </c>
      <c r="BD221" s="74">
        <f>DataInput!BD356+DataInput!BD357</f>
        <v>113.891182</v>
      </c>
      <c r="BE221" s="74">
        <f>DataInput!BE356+DataInput!BE357</f>
        <v>114.752122</v>
      </c>
      <c r="BF221" s="74">
        <f>DataInput!BF356+DataInput!BF357</f>
        <v>47.237707999999998</v>
      </c>
      <c r="BG221" s="74">
        <f>DataInput!BG356+DataInput!BG357</f>
        <v>123.979009</v>
      </c>
      <c r="BH221" s="74">
        <f>DataInput!BH356+DataInput!BH357</f>
        <v>26.901477</v>
      </c>
      <c r="BI221" s="74">
        <f>DataInput!BI356+DataInput!BI357</f>
        <v>152.383724</v>
      </c>
      <c r="BJ221" s="74">
        <f>DataInput!BJ356+DataInput!BJ357</f>
        <v>156.710432</v>
      </c>
      <c r="BK221" s="74">
        <f>DataInput!BK356+DataInput!BK357</f>
        <v>6.6694329999999997</v>
      </c>
      <c r="BL221" s="74">
        <f>DataInput!BL356+DataInput!BL357</f>
        <v>2.1800000000000002</v>
      </c>
      <c r="BM221" s="74">
        <f>DataInput!BM356+DataInput!BM357</f>
        <v>62.176405605935699</v>
      </c>
      <c r="BN221" s="74">
        <f>DataInput!BN356+DataInput!BN357</f>
        <v>57.954999999999998</v>
      </c>
      <c r="BO221" s="74">
        <f>DataInput!BO356+DataInput!BO357</f>
        <v>39.865000000000009</v>
      </c>
      <c r="BP221" s="86">
        <f>IF(((0.32)*(BP80-BP165)*(1+SIM!X68/100))&gt;0,((0.32)*(BP80-BP165)*(1+SIM!X68/100)),0)+finsim!BO185+BP170</f>
        <v>353.72948196422709</v>
      </c>
      <c r="BQ221" s="86">
        <f>IF(((0.32)*(BQ80-BQ165)*(1+SIM!Y68/100))&gt;0,((0.32)*(BQ80-BQ165)*(1+SIM!Y68/100)),0)+finsim!BP185+BQ170</f>
        <v>453.51816190388718</v>
      </c>
      <c r="BR221" s="86">
        <f>IF(((0.32)*(BR80-BR165)*(1+SIM!Z68/100))&gt;0,((0.32)*(BR80-BR165)*(1+SIM!Z68/100)),0)+finsim!BQ185+BR170</f>
        <v>476.43605355897807</v>
      </c>
      <c r="BS221" s="86">
        <f>IF(((0.32)*(BS80-BS165)*(1+SIM!AA68/100))&gt;0,((0.32)*(BS80-BS165)*(1+SIM!AA68/100)),0)+finsim!BR185+BS170</f>
        <v>463.19086204712039</v>
      </c>
      <c r="BT221" s="86">
        <f>IF(((0.32)*(BT80-BT165)*(1+SIM!AB68/100))&gt;0,((0.32)*(BT80-BT165)*(1+SIM!AB68/100)),0)+finsim!BS185+BT170</f>
        <v>465.68748963709987</v>
      </c>
      <c r="BU221" s="86">
        <f>IF(((0.32)*(BU80-BU165)*(1+SIM!AC68/100))&gt;0,((0.32)*(BU80-BU165)*(1+SIM!AC68/100)),0)+finsim!BT185+BU170</f>
        <v>484.39911397135262</v>
      </c>
      <c r="BV221" s="86">
        <f>IF(((0.32)*(BV80-BV165)*(1+SIM!AD68/100))&gt;0,((0.32)*(BV80-BV165)*(1+SIM!AD68/100)),0)+finsim!BU185+BV170</f>
        <v>503.86257964259232</v>
      </c>
      <c r="BW221" s="86">
        <f>IF(((0.32)*(BW80-BW165)*(1+SIM!AE68/100))&gt;0,((0.32)*(BW80-BW165)*(1+SIM!AE68/100)),0)+finsim!BV185+BW170</f>
        <v>524.10809581532737</v>
      </c>
      <c r="BX221" s="86">
        <f>IF(((0.32)*(BX80-BX165)*(1+SIM!AF68/100))&gt;0,((0.32)*(BX80-BX165)*(1+SIM!AF68/100)),0)+finsim!BW185+BX170</f>
        <v>545.16708545940901</v>
      </c>
      <c r="BY221" s="86">
        <f>IF(((0.32)*(BY80-BY165)*(1+SIM!AG68/100))&gt;0,((0.32)*(BY80-BY165)*(1+SIM!AG68/100)),0)+finsim!BX185+BY170</f>
        <v>567.07223412053031</v>
      </c>
      <c r="BZ221" s="86">
        <f>IF(((0.32)*(BZ80-BZ165)*(1+SIM!AH68/100))&gt;0,((0.32)*(BZ80-BZ165)*(1+SIM!AH68/100)),0)+finsim!BY185+BZ170</f>
        <v>613.38985385971625</v>
      </c>
      <c r="CA221" s="86">
        <f>IF(((0.32)*(CA80-CA165)*(1+SIM!AI68/100))&gt;0,((0.32)*(CA80-CA165)*(1+SIM!AI68/100)),0)+finsim!BZ185+CA170</f>
        <v>663.24297119112407</v>
      </c>
      <c r="CB221" s="86">
        <f>IF(((0.32)*(CB80-CB165)*(1+SIM!AJ68/100))&gt;0,((0.32)*(CB80-CB165)*(1+SIM!AJ68/100)),0)+finsim!CA185+CB170</f>
        <v>716.89282086599212</v>
      </c>
      <c r="CC221" s="86">
        <f>IF(((0.32)*(CC80-CC165)*(1+SIM!AK68/100))&gt;0,((0.32)*(CC80-CC165)*(1+SIM!AK68/100)),0)+finsim!CB185+CC170</f>
        <v>774.6196178427532</v>
      </c>
      <c r="CD221" s="86">
        <f>IF(((0.32)*(CD80-CD165)*(1+SIM!AL68/100))&gt;0,((0.32)*(CD80-CD165)*(1+SIM!AL68/100)),0)+finsim!CC185+CD170</f>
        <v>836.72392388950391</v>
      </c>
      <c r="CE221" s="86"/>
      <c r="CF221" s="438"/>
      <c r="CG221" s="235">
        <f t="shared" si="606"/>
        <v>0</v>
      </c>
      <c r="CH221" s="235">
        <f t="shared" si="637"/>
        <v>0</v>
      </c>
      <c r="CI221" s="235" t="e">
        <f>BM221-#REF!</f>
        <v>#REF!</v>
      </c>
      <c r="CJ221" s="235">
        <f t="shared" si="589"/>
        <v>0</v>
      </c>
      <c r="CK221" s="235">
        <f t="shared" si="590"/>
        <v>0</v>
      </c>
      <c r="CL221" s="235">
        <f t="shared" si="591"/>
        <v>0</v>
      </c>
      <c r="CM221" s="235">
        <f t="shared" si="592"/>
        <v>0</v>
      </c>
      <c r="CN221" s="235">
        <f t="shared" si="593"/>
        <v>0</v>
      </c>
      <c r="CO221" s="235">
        <f t="shared" si="594"/>
        <v>0</v>
      </c>
      <c r="CP221" s="235">
        <f t="shared" si="595"/>
        <v>0</v>
      </c>
      <c r="CQ221" s="235">
        <f t="shared" si="596"/>
        <v>0</v>
      </c>
      <c r="CR221" s="235">
        <f t="shared" si="597"/>
        <v>0</v>
      </c>
      <c r="CS221" s="235">
        <f t="shared" si="598"/>
        <v>0</v>
      </c>
      <c r="CT221" s="235">
        <f t="shared" si="599"/>
        <v>0</v>
      </c>
      <c r="CU221" s="235">
        <f t="shared" si="600"/>
        <v>0</v>
      </c>
      <c r="CV221" s="235">
        <f t="shared" si="601"/>
        <v>0</v>
      </c>
      <c r="CW221" s="235">
        <f t="shared" si="602"/>
        <v>0</v>
      </c>
      <c r="CX221" s="235">
        <f t="shared" si="603"/>
        <v>0</v>
      </c>
      <c r="CY221" s="235">
        <f t="shared" si="604"/>
        <v>0</v>
      </c>
      <c r="CZ221" s="235">
        <f t="shared" si="605"/>
        <v>0</v>
      </c>
      <c r="DA221" s="38"/>
      <c r="DB221" s="236">
        <v>46.237707999999998</v>
      </c>
      <c r="DC221" s="236">
        <v>47.237707999999998</v>
      </c>
      <c r="DD221" s="236">
        <v>123.979009</v>
      </c>
      <c r="DE221" s="236">
        <v>26.901477</v>
      </c>
      <c r="DF221" s="401">
        <v>12.876058</v>
      </c>
      <c r="DG221" s="236">
        <v>6.6694329999999997</v>
      </c>
      <c r="DH221" s="492">
        <v>2.1800000000000002</v>
      </c>
      <c r="DI221" s="236">
        <v>57.954999999999998</v>
      </c>
      <c r="DJ221" s="236">
        <v>39.865000000000009</v>
      </c>
      <c r="DK221" s="236">
        <v>353.72948196422709</v>
      </c>
      <c r="DL221" s="236">
        <v>453.51816190388718</v>
      </c>
      <c r="DM221" s="236">
        <v>476.43605355897807</v>
      </c>
      <c r="DN221" s="236">
        <v>463.19086204712039</v>
      </c>
      <c r="DO221" s="236">
        <v>465.68748963709987</v>
      </c>
      <c r="DP221" s="236">
        <v>484.39911397135262</v>
      </c>
      <c r="DQ221" s="401">
        <v>503.86257964259232</v>
      </c>
      <c r="DR221" s="401">
        <v>524.10809581532737</v>
      </c>
      <c r="DS221" s="401">
        <v>545.16708545940901</v>
      </c>
      <c r="DT221" s="401">
        <v>567.07223412053031</v>
      </c>
      <c r="DU221" s="401">
        <v>613.38985385971625</v>
      </c>
      <c r="DV221" s="401">
        <v>663.24297119112407</v>
      </c>
      <c r="DW221" s="401">
        <v>716.89282086599212</v>
      </c>
      <c r="DX221" s="401">
        <v>774.6196178427532</v>
      </c>
      <c r="DY221" s="401">
        <v>836.72392388950391</v>
      </c>
      <c r="DZ221" s="401"/>
      <c r="EA221" s="989"/>
    </row>
    <row r="222" spans="1:131" s="19" customFormat="1">
      <c r="A222" s="19" t="s">
        <v>531</v>
      </c>
      <c r="B222" s="133" t="s">
        <v>4184</v>
      </c>
      <c r="D222" s="206"/>
      <c r="E222" s="206"/>
      <c r="F222" s="206"/>
      <c r="G222" s="206"/>
      <c r="H222" s="206"/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6"/>
      <c r="V222" s="206"/>
      <c r="W222" s="206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63"/>
      <c r="AV222" s="76"/>
      <c r="AW222" s="76"/>
      <c r="AX222" s="76"/>
      <c r="AY222" s="76"/>
      <c r="AZ222" s="76"/>
      <c r="BA222" s="80"/>
      <c r="BB222" s="80"/>
      <c r="BC222" s="87"/>
      <c r="BD222" s="87"/>
      <c r="BE222" s="80"/>
      <c r="BF222" s="257"/>
      <c r="BG222" s="257"/>
      <c r="BH222" s="332">
        <f>DataInput!BH271-Model!BH223</f>
        <v>0</v>
      </c>
      <c r="BI222" s="357"/>
      <c r="BJ222" s="357"/>
      <c r="BK222" s="357"/>
      <c r="BL222" s="357"/>
      <c r="BM222" s="371">
        <f>DataInput!BM271-Model!BM223</f>
        <v>0</v>
      </c>
      <c r="BN222" s="371">
        <f>DataInput!BN271-Model!BN223</f>
        <v>0</v>
      </c>
      <c r="BO222" s="371">
        <f>DataInput!BO271-Model!BO223</f>
        <v>0</v>
      </c>
      <c r="BP222" s="371">
        <f ca="1">DataInput!BP271-Model!BP223</f>
        <v>-136.29099288098746</v>
      </c>
      <c r="BQ222" s="371">
        <f ca="1">DataInput!BQ271-Model!BQ223</f>
        <v>-303.96437570974558</v>
      </c>
      <c r="BR222" s="371">
        <f ca="1">DataInput!BR271-Model!BR223</f>
        <v>-383.99299088005955</v>
      </c>
      <c r="BS222" s="371">
        <f ca="1">DataInput!BS271-Model!BS223</f>
        <v>-360.58586710305735</v>
      </c>
      <c r="BT222" s="371">
        <f ca="1">DataInput!BT271-Model!BT223</f>
        <v>-468.75868013748322</v>
      </c>
      <c r="BU222" s="371">
        <f ca="1">DataInput!BU271-Model!BU223</f>
        <v>-609.79525446765956</v>
      </c>
      <c r="BV222" s="371">
        <f ca="1">DataInput!BV271-Model!BV223</f>
        <v>-758.99883643055819</v>
      </c>
      <c r="BW222" s="371">
        <f ca="1">DataInput!BW271-Model!BW223</f>
        <v>-916.50477053497798</v>
      </c>
      <c r="BX222" s="371">
        <f ca="1">DataInput!BX271-Model!BX223</f>
        <v>-1083.2266791886868</v>
      </c>
      <c r="BY222" s="371">
        <f ca="1">DataInput!BY271-Model!BY223</f>
        <v>-1260.0905845518355</v>
      </c>
      <c r="BZ222" s="371">
        <f ca="1">DataInput!BZ271-Model!BZ223</f>
        <v>-1449.6150157971183</v>
      </c>
      <c r="CA222" s="371">
        <f ca="1">DataInput!CA271-Model!CA223</f>
        <v>-1656.0416400765635</v>
      </c>
      <c r="CB222" s="371">
        <f ca="1">DataInput!CB271-Model!CB223</f>
        <v>-1876.0079666236138</v>
      </c>
      <c r="CC222" s="371">
        <f ca="1">DataInput!CC271-Model!CC223</f>
        <v>-2111.0578791185271</v>
      </c>
      <c r="CD222" s="371">
        <f ca="1">DataInput!CD271-Model!CD223</f>
        <v>-2362.8552705015172</v>
      </c>
      <c r="CE222" s="371"/>
      <c r="CF222" s="435"/>
      <c r="CG222" s="235">
        <f t="shared" si="606"/>
        <v>0</v>
      </c>
      <c r="CH222" s="235">
        <f t="shared" si="637"/>
        <v>0</v>
      </c>
      <c r="CI222" s="235" t="e">
        <f>BM222-#REF!</f>
        <v>#REF!</v>
      </c>
      <c r="CJ222" s="235"/>
      <c r="CK222" s="235"/>
      <c r="CL222" s="235"/>
      <c r="CM222" s="235"/>
      <c r="CN222" s="235"/>
      <c r="CO222" s="235"/>
      <c r="CP222" s="235"/>
      <c r="CQ222" s="235"/>
      <c r="CR222" s="235"/>
      <c r="CS222" s="235"/>
      <c r="CT222" s="235"/>
      <c r="CU222" s="235"/>
      <c r="CV222" s="235"/>
      <c r="CW222" s="235"/>
      <c r="CX222" s="235"/>
      <c r="CY222" s="235"/>
      <c r="CZ222" s="235"/>
      <c r="DA222" s="38"/>
      <c r="DB222" s="236"/>
      <c r="DC222" s="236"/>
      <c r="DD222" s="236"/>
      <c r="DE222" s="236">
        <v>0</v>
      </c>
      <c r="DF222" s="400"/>
      <c r="DG222" s="236"/>
      <c r="DH222" s="492"/>
      <c r="DI222" s="236">
        <v>0</v>
      </c>
      <c r="DJ222" s="236">
        <v>0</v>
      </c>
      <c r="DK222" s="236">
        <v>-136.29099288098723</v>
      </c>
      <c r="DL222" s="236">
        <v>-303.96437570974558</v>
      </c>
      <c r="DM222" s="236">
        <v>-383.99299088005955</v>
      </c>
      <c r="DN222" s="236">
        <v>-360.58586710305735</v>
      </c>
      <c r="DO222" s="236">
        <v>-468.75868013748277</v>
      </c>
      <c r="DP222" s="236">
        <v>-609.79525446765956</v>
      </c>
      <c r="DQ222" s="1084">
        <v>-758.99883643055773</v>
      </c>
      <c r="DR222" s="1084">
        <v>-916.50477053497661</v>
      </c>
      <c r="DS222" s="1084">
        <v>-1083.2266791886846</v>
      </c>
      <c r="DT222" s="1084">
        <v>-1260.0905845518309</v>
      </c>
      <c r="DU222" s="1084">
        <v>-1449.6150157971124</v>
      </c>
      <c r="DV222" s="1084">
        <v>-1656.0416400765394</v>
      </c>
      <c r="DW222" s="1084">
        <v>-1876.0079666233792</v>
      </c>
      <c r="DX222" s="1084">
        <v>-2111.0578791163807</v>
      </c>
      <c r="DY222" s="1084">
        <v>-2362.8552704852409</v>
      </c>
      <c r="DZ222" s="1084"/>
      <c r="EA222" s="988"/>
    </row>
    <row r="223" spans="1:131" s="76" customFormat="1">
      <c r="A223" s="76" t="str">
        <f>DataInput!A271</f>
        <v>Indirect taxes</v>
      </c>
      <c r="B223" s="80" t="s">
        <v>2352</v>
      </c>
      <c r="C223" s="51" t="s">
        <v>4185</v>
      </c>
      <c r="D223" s="207"/>
      <c r="E223" s="207"/>
      <c r="F223" s="76">
        <f t="shared" ref="F223:AU223" si="699">F224+F225+F228+F229</f>
        <v>1.21E-2</v>
      </c>
      <c r="G223" s="76">
        <f t="shared" si="699"/>
        <v>1.2E-2</v>
      </c>
      <c r="H223" s="76">
        <f t="shared" si="699"/>
        <v>1.3200000286102295E-2</v>
      </c>
      <c r="I223" s="76">
        <f t="shared" si="699"/>
        <v>1.6700000286102294E-2</v>
      </c>
      <c r="J223" s="76">
        <f t="shared" si="699"/>
        <v>1.6499999523162841E-2</v>
      </c>
      <c r="K223" s="76">
        <f t="shared" si="699"/>
        <v>1.8099999904632569E-2</v>
      </c>
      <c r="L223" s="76">
        <f t="shared" si="699"/>
        <v>2.1999999284744262E-2</v>
      </c>
      <c r="M223" s="76">
        <f t="shared" si="699"/>
        <v>2.2100000858306885E-2</v>
      </c>
      <c r="N223" s="76">
        <f t="shared" si="699"/>
        <v>2.2400000333786009E-2</v>
      </c>
      <c r="O223" s="76">
        <f t="shared" si="699"/>
        <v>2.4199999332427981E-2</v>
      </c>
      <c r="P223" s="76">
        <f t="shared" si="699"/>
        <v>2.759999966621399E-2</v>
      </c>
      <c r="Q223" s="76">
        <f t="shared" si="699"/>
        <v>3.1400000095367434E-2</v>
      </c>
      <c r="R223" s="76">
        <f t="shared" si="699"/>
        <v>3.4699999332427976E-2</v>
      </c>
      <c r="S223" s="76">
        <f t="shared" si="699"/>
        <v>3.8399998426437383E-2</v>
      </c>
      <c r="T223" s="76">
        <f t="shared" si="699"/>
        <v>4.0299998521804804E-2</v>
      </c>
      <c r="U223" s="76">
        <f t="shared" si="699"/>
        <v>4.4600001573562621E-2</v>
      </c>
      <c r="V223" s="76">
        <f t="shared" si="699"/>
        <v>4.8700001478195191E-2</v>
      </c>
      <c r="W223" s="76">
        <f t="shared" si="699"/>
        <v>5.1900001525878911E-2</v>
      </c>
      <c r="X223" s="76">
        <f t="shared" si="699"/>
        <v>5.5599999904632567E-2</v>
      </c>
      <c r="Y223" s="76">
        <f t="shared" si="699"/>
        <v>6.0899998664855959E-2</v>
      </c>
      <c r="Z223" s="76">
        <f t="shared" si="699"/>
        <v>7.5200001716613757E-2</v>
      </c>
      <c r="AA223" s="76">
        <f t="shared" si="699"/>
        <v>7.6000001430511471E-2</v>
      </c>
      <c r="AB223" s="76">
        <f t="shared" si="699"/>
        <v>9.7500001430511476E-2</v>
      </c>
      <c r="AC223" s="76">
        <f t="shared" si="699"/>
        <v>0.12499999856948853</v>
      </c>
      <c r="AD223" s="76">
        <f t="shared" si="699"/>
        <v>0.13420000600814819</v>
      </c>
      <c r="AE223" s="76">
        <f t="shared" si="699"/>
        <v>0.13470000004768373</v>
      </c>
      <c r="AF223" s="76">
        <f t="shared" si="699"/>
        <v>0.14669999384880064</v>
      </c>
      <c r="AG223" s="76">
        <f t="shared" si="699"/>
        <v>0.16729999995231629</v>
      </c>
      <c r="AH223" s="76">
        <f t="shared" si="699"/>
        <v>0.17009999990463259</v>
      </c>
      <c r="AI223" s="76">
        <f t="shared" si="699"/>
        <v>0.14909999990463257</v>
      </c>
      <c r="AJ223" s="76">
        <f t="shared" si="699"/>
        <v>0.15159999990463255</v>
      </c>
      <c r="AK223" s="76">
        <f t="shared" si="699"/>
        <v>0.12990000009536742</v>
      </c>
      <c r="AL223" s="76">
        <f t="shared" si="699"/>
        <v>0.13100000000000001</v>
      </c>
      <c r="AM223" s="76">
        <f t="shared" si="699"/>
        <v>0.115</v>
      </c>
      <c r="AN223" s="76">
        <f t="shared" si="699"/>
        <v>0.14669999384880064</v>
      </c>
      <c r="AO223" s="76">
        <f t="shared" si="699"/>
        <v>0.17089999389648439</v>
      </c>
      <c r="AP223" s="76">
        <f t="shared" si="699"/>
        <v>0.15299999999999997</v>
      </c>
      <c r="AQ223" s="76">
        <f t="shared" si="699"/>
        <v>0.17157</v>
      </c>
      <c r="AR223" s="76">
        <f t="shared" si="699"/>
        <v>0.20906999999999998</v>
      </c>
      <c r="AS223" s="76">
        <f t="shared" si="699"/>
        <v>0.15217</v>
      </c>
      <c r="AT223" s="76">
        <f t="shared" si="699"/>
        <v>2.8717300000000003</v>
      </c>
      <c r="AU223" s="76">
        <f t="shared" si="699"/>
        <v>13.08165</v>
      </c>
      <c r="AV223" s="76">
        <f t="shared" ref="AV223:BH223" si="700">AV224+AV225+AV228+AV229</f>
        <v>33.597454522</v>
      </c>
      <c r="AW223" s="76">
        <f t="shared" si="700"/>
        <v>23.858137741</v>
      </c>
      <c r="AX223" s="76">
        <f t="shared" si="700"/>
        <v>52.465000000000003</v>
      </c>
      <c r="AY223" s="76">
        <f t="shared" si="700"/>
        <v>86.272000000000006</v>
      </c>
      <c r="AZ223" s="76">
        <f t="shared" si="700"/>
        <v>116.126</v>
      </c>
      <c r="BA223" s="80">
        <f t="shared" si="700"/>
        <v>262.06744300000003</v>
      </c>
      <c r="BB223" s="80">
        <f t="shared" si="700"/>
        <v>308.45228200000008</v>
      </c>
      <c r="BC223" s="87">
        <f t="shared" si="700"/>
        <v>423.895217</v>
      </c>
      <c r="BD223" s="87">
        <f t="shared" si="700"/>
        <v>463.62559900000002</v>
      </c>
      <c r="BE223" s="80">
        <f t="shared" si="700"/>
        <v>508.10831199999996</v>
      </c>
      <c r="BF223" s="80">
        <f t="shared" si="700"/>
        <v>615.70000000000005</v>
      </c>
      <c r="BG223" s="80">
        <f t="shared" si="700"/>
        <v>754</v>
      </c>
      <c r="BH223" s="80">
        <f t="shared" si="700"/>
        <v>847.6</v>
      </c>
      <c r="BI223" s="80">
        <f t="shared" ref="BI223:BN223" si="701">BI224+BI225+BI228+BI229</f>
        <v>867.5</v>
      </c>
      <c r="BJ223" s="80">
        <f t="shared" si="701"/>
        <v>907.9</v>
      </c>
      <c r="BK223" s="80">
        <f t="shared" si="701"/>
        <v>1326.8</v>
      </c>
      <c r="BL223" s="80">
        <f t="shared" si="701"/>
        <v>1434.5</v>
      </c>
      <c r="BM223" s="80">
        <f t="shared" si="701"/>
        <v>1447.0999504331087</v>
      </c>
      <c r="BN223" s="80">
        <f t="shared" si="701"/>
        <v>1409.1</v>
      </c>
      <c r="BO223" s="80">
        <f t="shared" ref="BO223:BU223" si="702">BO224+BO225+BO228+BO229</f>
        <v>1530.1999999999998</v>
      </c>
      <c r="BP223" s="80">
        <f t="shared" ca="1" si="702"/>
        <v>1870.8909928809876</v>
      </c>
      <c r="BQ223" s="80">
        <f t="shared" ca="1" si="702"/>
        <v>2194.464375709746</v>
      </c>
      <c r="BR223" s="80">
        <f t="shared" ca="1" si="702"/>
        <v>2410.4929908800605</v>
      </c>
      <c r="BS223" s="80">
        <f t="shared" ca="1" si="702"/>
        <v>2533.7858671030581</v>
      </c>
      <c r="BT223" s="80">
        <f t="shared" ca="1" si="702"/>
        <v>2641.958680137484</v>
      </c>
      <c r="BU223" s="80">
        <f t="shared" ca="1" si="702"/>
        <v>2782.9952544676603</v>
      </c>
      <c r="BV223" s="80">
        <f ca="1">BV224+BV225+BV228+BV229</f>
        <v>2932.1988364305585</v>
      </c>
      <c r="BW223" s="80">
        <f t="shared" ref="BW223:BX223" ca="1" si="703">BW224+BW225+BW228+BW229</f>
        <v>3089.7047705349769</v>
      </c>
      <c r="BX223" s="80">
        <f t="shared" ca="1" si="703"/>
        <v>3256.4266791886848</v>
      </c>
      <c r="BY223" s="80">
        <f t="shared" ref="BY223:CD223" ca="1" si="704">BY224+BY225+BY228+BY229</f>
        <v>3433.2905845518326</v>
      </c>
      <c r="BZ223" s="80">
        <f t="shared" ca="1" si="704"/>
        <v>3622.8150157971168</v>
      </c>
      <c r="CA223" s="80">
        <f t="shared" ca="1" si="704"/>
        <v>3829.2416400765642</v>
      </c>
      <c r="CB223" s="80">
        <f t="shared" ca="1" si="704"/>
        <v>4049.2079666236164</v>
      </c>
      <c r="CC223" s="80">
        <f t="shared" ca="1" si="704"/>
        <v>4284.2578791185324</v>
      </c>
      <c r="CD223" s="80">
        <f t="shared" ca="1" si="704"/>
        <v>4536.055270501527</v>
      </c>
      <c r="CE223" s="80"/>
      <c r="CF223" s="435"/>
      <c r="CG223" s="235">
        <f t="shared" si="606"/>
        <v>0</v>
      </c>
      <c r="CH223" s="235">
        <f t="shared" si="637"/>
        <v>0</v>
      </c>
      <c r="CI223" s="235" t="e">
        <f>BM223-#REF!</f>
        <v>#REF!</v>
      </c>
      <c r="CJ223" s="235">
        <f t="shared" si="589"/>
        <v>0</v>
      </c>
      <c r="CK223" s="235">
        <f t="shared" si="590"/>
        <v>0</v>
      </c>
      <c r="CL223" s="235">
        <f t="shared" ca="1" si="591"/>
        <v>0</v>
      </c>
      <c r="CM223" s="235">
        <f t="shared" ca="1" si="592"/>
        <v>0</v>
      </c>
      <c r="CN223" s="235">
        <f t="shared" ca="1" si="593"/>
        <v>0</v>
      </c>
      <c r="CO223" s="235">
        <f t="shared" ca="1" si="594"/>
        <v>0</v>
      </c>
      <c r="CP223" s="235">
        <f t="shared" ca="1" si="595"/>
        <v>0</v>
      </c>
      <c r="CQ223" s="235">
        <f t="shared" ca="1" si="596"/>
        <v>0</v>
      </c>
      <c r="CR223" s="235">
        <f t="shared" ca="1" si="597"/>
        <v>0</v>
      </c>
      <c r="CS223" s="235">
        <f t="shared" ca="1" si="598"/>
        <v>0</v>
      </c>
      <c r="CT223" s="235">
        <f t="shared" ca="1" si="599"/>
        <v>0</v>
      </c>
      <c r="CU223" s="235">
        <f t="shared" ca="1" si="600"/>
        <v>0</v>
      </c>
      <c r="CV223" s="235">
        <f t="shared" ca="1" si="601"/>
        <v>4.0927261579781771E-12</v>
      </c>
      <c r="CW223" s="235">
        <f t="shared" ca="1" si="602"/>
        <v>0</v>
      </c>
      <c r="CX223" s="235">
        <f t="shared" ca="1" si="603"/>
        <v>-1.241460267920047E-10</v>
      </c>
      <c r="CY223" s="235">
        <f t="shared" ca="1" si="604"/>
        <v>-1.2087184586562216E-9</v>
      </c>
      <c r="CZ223" s="235">
        <f t="shared" ca="1" si="605"/>
        <v>-8.5847204900346696E-9</v>
      </c>
      <c r="DA223" s="38"/>
      <c r="DB223" s="236">
        <v>652.76127799999995</v>
      </c>
      <c r="DC223" s="236">
        <v>653.76127799999995</v>
      </c>
      <c r="DD223" s="236">
        <v>786.66798300000005</v>
      </c>
      <c r="DE223" s="236">
        <v>878.69809000000009</v>
      </c>
      <c r="DF223" s="401">
        <v>867.48522437000008</v>
      </c>
      <c r="DG223" s="236">
        <v>1326.8</v>
      </c>
      <c r="DH223" s="492">
        <v>1434.5</v>
      </c>
      <c r="DI223" s="236">
        <v>1409.1</v>
      </c>
      <c r="DJ223" s="236">
        <v>1530.1999999999998</v>
      </c>
      <c r="DK223" s="236">
        <v>1870.8909928809878</v>
      </c>
      <c r="DL223" s="236">
        <v>2194.464375709746</v>
      </c>
      <c r="DM223" s="236">
        <v>2410.49299088006</v>
      </c>
      <c r="DN223" s="236">
        <v>2533.7858671030581</v>
      </c>
      <c r="DO223" s="236">
        <v>2641.958680137483</v>
      </c>
      <c r="DP223" s="236">
        <v>2782.9952544676585</v>
      </c>
      <c r="DQ223" s="401">
        <v>2932.1988364305566</v>
      </c>
      <c r="DR223" s="401">
        <v>3089.7047705349751</v>
      </c>
      <c r="DS223" s="401">
        <v>3256.4266791886835</v>
      </c>
      <c r="DT223" s="401">
        <v>3433.2905845518308</v>
      </c>
      <c r="DU223" s="401">
        <v>3622.8150157971127</v>
      </c>
      <c r="DV223" s="401">
        <v>3829.2416400765674</v>
      </c>
      <c r="DW223" s="401">
        <v>4049.2079666237405</v>
      </c>
      <c r="DX223" s="401">
        <v>4284.2578791197411</v>
      </c>
      <c r="DY223" s="401">
        <v>4536.0552705101118</v>
      </c>
      <c r="DZ223" s="401"/>
      <c r="EA223" s="989"/>
    </row>
    <row r="224" spans="1:131" s="76" customFormat="1">
      <c r="A224" s="76" t="s">
        <v>3905</v>
      </c>
      <c r="B224" s="80" t="s">
        <v>2353</v>
      </c>
      <c r="C224" s="51" t="s">
        <v>4186</v>
      </c>
      <c r="D224" s="207"/>
      <c r="E224" s="207"/>
      <c r="F224" s="295">
        <f>mamiabc!F43</f>
        <v>9.1000000000000004E-3</v>
      </c>
      <c r="G224" s="295">
        <f>mamiabc!G43</f>
        <v>9.1999999999999998E-3</v>
      </c>
      <c r="H224" s="295">
        <f>mamiabc!H43</f>
        <v>1.0100000381469727E-2</v>
      </c>
      <c r="I224" s="295">
        <f>mamiabc!I43</f>
        <v>1.3600000381469727E-2</v>
      </c>
      <c r="J224" s="295">
        <f>mamiabc!J43</f>
        <v>1.3899999618530274E-2</v>
      </c>
      <c r="K224" s="295">
        <f>mamiabc!K43</f>
        <v>1.4999999999999999E-2</v>
      </c>
      <c r="L224" s="295">
        <f>mamiabc!L43</f>
        <v>1.8799999237060546E-2</v>
      </c>
      <c r="M224" s="295">
        <f>mamiabc!M43</f>
        <v>1.9200000762939453E-2</v>
      </c>
      <c r="N224" s="295">
        <f>mamiabc!N43</f>
        <v>1.9600000381469727E-2</v>
      </c>
      <c r="O224" s="295">
        <f>mamiabc!O43</f>
        <v>2.1299999237060548E-2</v>
      </c>
      <c r="P224" s="295">
        <f>mamiabc!P43</f>
        <v>2.4399999618530274E-2</v>
      </c>
      <c r="Q224" s="295">
        <f>mamiabc!Q43</f>
        <v>2.8000000000000001E-2</v>
      </c>
      <c r="R224" s="295">
        <f>mamiabc!R43</f>
        <v>3.0799999237060546E-2</v>
      </c>
      <c r="S224" s="295">
        <f>mamiabc!S43</f>
        <v>3.4599998474121096E-2</v>
      </c>
      <c r="T224" s="295">
        <f>mamiabc!T43</f>
        <v>3.6599998474121091E-2</v>
      </c>
      <c r="U224" s="295">
        <f>mamiabc!U43</f>
        <v>4.0900001525878908E-2</v>
      </c>
      <c r="V224" s="295">
        <f>mamiabc!V43</f>
        <v>4.4900001525878905E-2</v>
      </c>
      <c r="W224" s="295">
        <f>mamiabc!W43</f>
        <v>4.7900001525878907E-2</v>
      </c>
      <c r="X224" s="295">
        <f>mamiabc!X43</f>
        <v>5.1499999999999997E-2</v>
      </c>
      <c r="Y224" s="295">
        <f>mamiabc!Y43</f>
        <v>5.6599998474121095E-2</v>
      </c>
      <c r="Z224" s="295">
        <f>mamiabc!Z43</f>
        <v>7.09000015258789E-2</v>
      </c>
      <c r="AA224" s="295">
        <f>mamiabc!AA43</f>
        <v>7.2900001525878902E-2</v>
      </c>
      <c r="AB224" s="295">
        <f>mamiabc!AB43</f>
        <v>9.4900001525878908E-2</v>
      </c>
      <c r="AC224" s="295">
        <f>mamiabc!AC43</f>
        <v>0.12209999847412109</v>
      </c>
      <c r="AD224" s="295">
        <f>mamiabc!AD43</f>
        <v>0.13110000610351563</v>
      </c>
      <c r="AE224" s="295">
        <f>mamiabc!AE43</f>
        <v>0.13200000000000001</v>
      </c>
      <c r="AF224" s="295">
        <f>mamiabc!AF43</f>
        <v>0.14389999389648436</v>
      </c>
      <c r="AG224" s="295">
        <f>mamiabc!AG43</f>
        <v>0.16500000000000001</v>
      </c>
      <c r="AH224" s="295">
        <f>mamiabc!AH43</f>
        <v>0.16800000000000001</v>
      </c>
      <c r="AI224" s="295">
        <f>mamiabc!AI43</f>
        <v>0.14699999999999999</v>
      </c>
      <c r="AJ224" s="295">
        <f>mamiabc!AJ43</f>
        <v>0.14899999999999999</v>
      </c>
      <c r="AK224" s="295">
        <f>mamiabc!AK43</f>
        <v>0.127</v>
      </c>
      <c r="AL224" s="295">
        <f>mamiabc!AL43</f>
        <v>0.128</v>
      </c>
      <c r="AM224" s="295">
        <f>mamiabc!AM43</f>
        <v>0.113</v>
      </c>
      <c r="AN224" s="295">
        <f>mamiabc!AN43</f>
        <v>0.14489999389648436</v>
      </c>
      <c r="AO224" s="295">
        <f>mamiabc!AO43</f>
        <v>0.16939999389648439</v>
      </c>
      <c r="AP224" s="295">
        <f>mamiabc!AP43</f>
        <v>0.15131999999999998</v>
      </c>
      <c r="AQ224" s="295">
        <f>mamiabc!AQ43</f>
        <v>0.16974</v>
      </c>
      <c r="AR224" s="295">
        <f>mamiabc!AR43</f>
        <v>0.20746999999999999</v>
      </c>
      <c r="AS224" s="295">
        <f>mamiabc!AS43</f>
        <v>0.14771000000000001</v>
      </c>
      <c r="AT224" s="295">
        <f>mamiabc!AT43</f>
        <v>2.8434400000000002</v>
      </c>
      <c r="AU224" s="295">
        <f>mamiabc!AU43</f>
        <v>12.58165</v>
      </c>
      <c r="AV224" s="74">
        <f>DataInput!AV460</f>
        <v>23.713202074000002</v>
      </c>
      <c r="AW224" s="74">
        <f>DataInput!AW460</f>
        <v>20.106794970999999</v>
      </c>
      <c r="AX224" s="74">
        <f>DataInput!AX460</f>
        <v>23.428000000000001</v>
      </c>
      <c r="AY224" s="74">
        <f>DataInput!AY460</f>
        <v>38.521000000000001</v>
      </c>
      <c r="AZ224" s="74">
        <f>DataInput!AZ460</f>
        <v>63.414000000000001</v>
      </c>
      <c r="BA224" s="75">
        <f>DataInput!BA271/1000-BA225-BA228-BA229</f>
        <v>141.03306500000002</v>
      </c>
      <c r="BB224" s="75">
        <f>DataInput!BB271/1000-BB225-BB228-BB229</f>
        <v>166.28641900000008</v>
      </c>
      <c r="BC224" s="75">
        <f>DataInput!BC271/1000-BC225-BC228-BC229</f>
        <v>213.37575600000002</v>
      </c>
      <c r="BD224" s="74">
        <f>DataInput!BD410</f>
        <v>146.37892299999999</v>
      </c>
      <c r="BE224" s="74">
        <f>DataInput!BE410</f>
        <v>170.541293</v>
      </c>
      <c r="BF224" s="74">
        <f>DataInput!BF410</f>
        <v>160.05986200000001</v>
      </c>
      <c r="BG224" s="74">
        <f>DataInput!BG410</f>
        <v>184.797573</v>
      </c>
      <c r="BH224" s="74">
        <f>DataInput!BH410</f>
        <v>221.90648400000001</v>
      </c>
      <c r="BI224" s="74">
        <f>DataInput!BI410</f>
        <v>211.80702700000001</v>
      </c>
      <c r="BJ224" s="74">
        <f>DataInput!BJ410</f>
        <v>220.68122600000001</v>
      </c>
      <c r="BK224" s="74">
        <f>DataInput!BK410</f>
        <v>297.33182900000003</v>
      </c>
      <c r="BL224" s="74">
        <f>DataInput!BL410</f>
        <v>316.55</v>
      </c>
      <c r="BM224" s="74">
        <f>DataInput!BM410</f>
        <v>335.74408084696825</v>
      </c>
      <c r="BN224" s="74">
        <f>DataInput!BN410</f>
        <v>372.9</v>
      </c>
      <c r="BO224" s="74">
        <f>DataInput!BO410</f>
        <v>410.19</v>
      </c>
      <c r="BP224" s="94">
        <f ca="1">BO224*(BP182+BP183+BP184)/(BO182+BO183+BO184)+SIM!X67+finsim!BO188</f>
        <v>498.23408912958337</v>
      </c>
      <c r="BQ224" s="94">
        <f ca="1">BP224*(BQ182+BQ183+BQ184)/(BP182+BP183+BP184)+SIM!Y67+finsim!BP188</f>
        <v>559.50447898729396</v>
      </c>
      <c r="BR224" s="94">
        <f ca="1">BQ224*(BR182+BR183+BR184)/(BQ182+BQ183+BQ184)+SIM!Z67+finsim!BQ188</f>
        <v>598.66420688096275</v>
      </c>
      <c r="BS224" s="94">
        <f ca="1">BR224*(BS182+BS183+BS184)/(BR182+BR183+BR184)+SIM!AA67+finsim!BR188</f>
        <v>624.63124896655995</v>
      </c>
      <c r="BT224" s="94">
        <f ca="1">BS224*(BT182+BT183+BT184)/(BS182+BS183+BS184)+SIM!AB67+finsim!BS188</f>
        <v>657.0095266729428</v>
      </c>
      <c r="BU224" s="94">
        <f ca="1">BT224*(BU182+BU183+BU184)/(BT182+BT183+BT184)+SIM!AC67+finsim!BT188</f>
        <v>701.07608434097608</v>
      </c>
      <c r="BV224" s="94">
        <f ca="1">BU224*(BV182+BV183+BV184)/(BU182+BU183+BU184)+SIM!AD67+finsim!BU188</f>
        <v>746.61743168904081</v>
      </c>
      <c r="BW224" s="94">
        <f ca="1">BV224*(BW182+BW183+BW184)/(BV182+BV183+BV184)+SIM!AE67+finsim!BV188</f>
        <v>795.27754688820846</v>
      </c>
      <c r="BX224" s="94">
        <f ca="1">BW224*(BX182+BX183+BX184)/(BW182+BW183+BW184)+SIM!AF67+finsim!BW188</f>
        <v>847.42555675175061</v>
      </c>
      <c r="BY224" s="94">
        <f ca="1">BX224*(BY182+BY183+BY184)/(BX182+BX183+BX184)+SIM!AG67+finsim!BX188</f>
        <v>903.4325710977173</v>
      </c>
      <c r="BZ224" s="94">
        <f ca="1">BY224*(BZ182+BZ183+BZ184)/(BY182+BY183+BY184)+SIM!AH67+finsim!BY188</f>
        <v>962.44882962927443</v>
      </c>
      <c r="CA224" s="94">
        <f ca="1">BZ224*(CA182+CA183+CA184)/(BZ182+BZ183+BZ184)+SIM!AI67+finsim!BZ188</f>
        <v>1026.7749002917551</v>
      </c>
      <c r="CB224" s="94">
        <f ca="1">CA224*(CB182+CB183+CB184)/(CA182+CA183+CA184)+SIM!AJ67+finsim!CA188</f>
        <v>1095.9287306600786</v>
      </c>
      <c r="CC224" s="94">
        <f ca="1">CB224*(CC182+CC183+CC184)/(CB182+CB183+CB184)+SIM!AK67+finsim!CB188</f>
        <v>1170.397244595971</v>
      </c>
      <c r="CD224" s="94">
        <f ca="1">CC224*(CD182+CD183+CD184)/(CC182+CC183+CC184)+SIM!AL67+finsim!CC188</f>
        <v>1250.7360864767161</v>
      </c>
      <c r="CE224" s="94"/>
      <c r="CF224" s="438"/>
      <c r="CG224" s="235">
        <f t="shared" si="606"/>
        <v>0</v>
      </c>
      <c r="CH224" s="235">
        <f t="shared" si="637"/>
        <v>0</v>
      </c>
      <c r="CI224" s="235" t="e">
        <f>BM224-#REF!</f>
        <v>#REF!</v>
      </c>
      <c r="CJ224" s="235">
        <f t="shared" si="589"/>
        <v>0</v>
      </c>
      <c r="CK224" s="235">
        <f t="shared" si="590"/>
        <v>0</v>
      </c>
      <c r="CL224" s="235">
        <f t="shared" ca="1" si="591"/>
        <v>0</v>
      </c>
      <c r="CM224" s="235">
        <f t="shared" ca="1" si="592"/>
        <v>0</v>
      </c>
      <c r="CN224" s="235">
        <f t="shared" ca="1" si="593"/>
        <v>0</v>
      </c>
      <c r="CO224" s="235">
        <f t="shared" ca="1" si="594"/>
        <v>0</v>
      </c>
      <c r="CP224" s="235">
        <f t="shared" ca="1" si="595"/>
        <v>0</v>
      </c>
      <c r="CQ224" s="235">
        <f t="shared" ca="1" si="596"/>
        <v>0</v>
      </c>
      <c r="CR224" s="235">
        <f t="shared" ca="1" si="597"/>
        <v>0</v>
      </c>
      <c r="CS224" s="235">
        <f t="shared" ca="1" si="598"/>
        <v>0</v>
      </c>
      <c r="CT224" s="235">
        <f t="shared" ca="1" si="599"/>
        <v>0</v>
      </c>
      <c r="CU224" s="235">
        <f t="shared" ca="1" si="600"/>
        <v>0</v>
      </c>
      <c r="CV224" s="235">
        <f t="shared" ca="1" si="601"/>
        <v>0</v>
      </c>
      <c r="CW224" s="235">
        <f t="shared" ca="1" si="602"/>
        <v>0</v>
      </c>
      <c r="CX224" s="235">
        <f t="shared" ca="1" si="603"/>
        <v>-2.0008883439004421E-11</v>
      </c>
      <c r="CY224" s="235">
        <f t="shared" ca="1" si="604"/>
        <v>-2.0986590243410319E-10</v>
      </c>
      <c r="CZ224" s="235">
        <f t="shared" ca="1" si="605"/>
        <v>-1.6843841876834631E-9</v>
      </c>
      <c r="DA224" s="38"/>
      <c r="DB224" s="236">
        <v>308.14176300000003</v>
      </c>
      <c r="DC224" s="236">
        <v>309.14176299999997</v>
      </c>
      <c r="DD224" s="236">
        <v>184.21785699999998</v>
      </c>
      <c r="DE224" s="236">
        <v>307.34089300000005</v>
      </c>
      <c r="DF224" s="401">
        <v>211.80702700000001</v>
      </c>
      <c r="DG224" s="236">
        <v>297.33182900000003</v>
      </c>
      <c r="DH224" s="492">
        <v>316.55</v>
      </c>
      <c r="DI224" s="236">
        <v>372.9</v>
      </c>
      <c r="DJ224" s="236">
        <v>410.19</v>
      </c>
      <c r="DK224" s="236">
        <v>498.23408912958325</v>
      </c>
      <c r="DL224" s="236">
        <v>559.50447898729374</v>
      </c>
      <c r="DM224" s="236">
        <v>598.66420688096252</v>
      </c>
      <c r="DN224" s="236">
        <v>624.63124896655972</v>
      </c>
      <c r="DO224" s="236">
        <v>657.00952667294257</v>
      </c>
      <c r="DP224" s="236">
        <v>701.07608434097585</v>
      </c>
      <c r="DQ224" s="401">
        <v>746.61743168904036</v>
      </c>
      <c r="DR224" s="401">
        <v>795.27754688820767</v>
      </c>
      <c r="DS224" s="401">
        <v>847.42555675174981</v>
      </c>
      <c r="DT224" s="401">
        <v>903.43257109771662</v>
      </c>
      <c r="DU224" s="401">
        <v>962.44882962927386</v>
      </c>
      <c r="DV224" s="401">
        <v>1026.7749002917558</v>
      </c>
      <c r="DW224" s="401">
        <v>1095.9287306600986</v>
      </c>
      <c r="DX224" s="401">
        <v>1170.3972445961808</v>
      </c>
      <c r="DY224" s="401">
        <v>1250.7360864784005</v>
      </c>
      <c r="DZ224" s="401"/>
      <c r="EA224" s="989"/>
    </row>
    <row r="225" spans="1:131" s="76" customFormat="1">
      <c r="A225" s="76" t="s">
        <v>1137</v>
      </c>
      <c r="B225" s="80" t="s">
        <v>4607</v>
      </c>
      <c r="C225" s="51" t="s">
        <v>4187</v>
      </c>
      <c r="D225" s="207"/>
      <c r="E225" s="207"/>
      <c r="F225" s="76">
        <f t="shared" ref="F225:AU225" si="705">F226+F227</f>
        <v>0</v>
      </c>
      <c r="G225" s="76">
        <f t="shared" si="705"/>
        <v>0</v>
      </c>
      <c r="H225" s="76">
        <f t="shared" si="705"/>
        <v>0</v>
      </c>
      <c r="I225" s="76">
        <f t="shared" si="705"/>
        <v>0</v>
      </c>
      <c r="J225" s="76">
        <f t="shared" si="705"/>
        <v>0</v>
      </c>
      <c r="K225" s="76">
        <f t="shared" si="705"/>
        <v>0</v>
      </c>
      <c r="L225" s="76">
        <f t="shared" si="705"/>
        <v>0</v>
      </c>
      <c r="M225" s="76">
        <f t="shared" si="705"/>
        <v>0</v>
      </c>
      <c r="N225" s="76">
        <f t="shared" si="705"/>
        <v>0</v>
      </c>
      <c r="O225" s="76">
        <f t="shared" si="705"/>
        <v>0</v>
      </c>
      <c r="P225" s="76">
        <f t="shared" si="705"/>
        <v>0</v>
      </c>
      <c r="Q225" s="76">
        <f t="shared" si="705"/>
        <v>0</v>
      </c>
      <c r="R225" s="76">
        <f t="shared" si="705"/>
        <v>0</v>
      </c>
      <c r="S225" s="76">
        <f t="shared" si="705"/>
        <v>0</v>
      </c>
      <c r="T225" s="76">
        <f t="shared" si="705"/>
        <v>0</v>
      </c>
      <c r="U225" s="76">
        <f t="shared" si="705"/>
        <v>0</v>
      </c>
      <c r="V225" s="76">
        <f t="shared" si="705"/>
        <v>0</v>
      </c>
      <c r="W225" s="76">
        <f t="shared" si="705"/>
        <v>0</v>
      </c>
      <c r="X225" s="76">
        <f t="shared" si="705"/>
        <v>0</v>
      </c>
      <c r="Y225" s="76">
        <f t="shared" si="705"/>
        <v>0</v>
      </c>
      <c r="Z225" s="76">
        <f t="shared" si="705"/>
        <v>0</v>
      </c>
      <c r="AA225" s="76">
        <f t="shared" si="705"/>
        <v>0</v>
      </c>
      <c r="AB225" s="76">
        <f t="shared" si="705"/>
        <v>0</v>
      </c>
      <c r="AC225" s="76">
        <f t="shared" si="705"/>
        <v>0</v>
      </c>
      <c r="AD225" s="76">
        <f t="shared" si="705"/>
        <v>0</v>
      </c>
      <c r="AE225" s="76">
        <f t="shared" si="705"/>
        <v>0</v>
      </c>
      <c r="AF225" s="76">
        <f t="shared" si="705"/>
        <v>0</v>
      </c>
      <c r="AG225" s="76">
        <f t="shared" si="705"/>
        <v>0</v>
      </c>
      <c r="AH225" s="76">
        <f t="shared" si="705"/>
        <v>0</v>
      </c>
      <c r="AI225" s="76">
        <f t="shared" si="705"/>
        <v>0</v>
      </c>
      <c r="AJ225" s="76">
        <f t="shared" si="705"/>
        <v>0</v>
      </c>
      <c r="AK225" s="76">
        <f t="shared" si="705"/>
        <v>0</v>
      </c>
      <c r="AL225" s="76">
        <f t="shared" si="705"/>
        <v>0</v>
      </c>
      <c r="AM225" s="76">
        <f t="shared" si="705"/>
        <v>0</v>
      </c>
      <c r="AN225" s="76">
        <f t="shared" si="705"/>
        <v>0</v>
      </c>
      <c r="AO225" s="76">
        <f t="shared" si="705"/>
        <v>0</v>
      </c>
      <c r="AP225" s="76">
        <f t="shared" si="705"/>
        <v>0</v>
      </c>
      <c r="AQ225" s="76">
        <f t="shared" si="705"/>
        <v>0</v>
      </c>
      <c r="AR225" s="76">
        <f t="shared" si="705"/>
        <v>0</v>
      </c>
      <c r="AS225" s="76">
        <f t="shared" si="705"/>
        <v>0</v>
      </c>
      <c r="AT225" s="76">
        <f t="shared" si="705"/>
        <v>0</v>
      </c>
      <c r="AU225" s="76">
        <f t="shared" si="705"/>
        <v>0</v>
      </c>
      <c r="AV225" s="76">
        <f t="shared" ref="AV225:BC225" si="706">AV226+AV227</f>
        <v>0</v>
      </c>
      <c r="AW225" s="76">
        <f t="shared" si="706"/>
        <v>0</v>
      </c>
      <c r="AX225" s="76">
        <f t="shared" si="706"/>
        <v>12.814</v>
      </c>
      <c r="AY225" s="76">
        <f t="shared" si="706"/>
        <v>32.572000000000003</v>
      </c>
      <c r="AZ225" s="76">
        <f t="shared" si="706"/>
        <v>41.887</v>
      </c>
      <c r="BA225" s="76">
        <f t="shared" si="706"/>
        <v>50.989488999999999</v>
      </c>
      <c r="BB225" s="76">
        <f t="shared" si="706"/>
        <v>57.648769999999999</v>
      </c>
      <c r="BC225" s="105">
        <f t="shared" si="706"/>
        <v>97.717900999999998</v>
      </c>
      <c r="BD225" s="80">
        <f t="shared" ref="BD225:BJ225" si="707">BD226+BD227</f>
        <v>116.62951200000001</v>
      </c>
      <c r="BE225" s="80">
        <f t="shared" si="707"/>
        <v>139.65088299999999</v>
      </c>
      <c r="BF225" s="80">
        <f t="shared" si="707"/>
        <v>146.93851799999999</v>
      </c>
      <c r="BG225" s="80">
        <f t="shared" si="707"/>
        <v>269.54140200000001</v>
      </c>
      <c r="BH225" s="80">
        <f t="shared" si="707"/>
        <v>280.323058</v>
      </c>
      <c r="BI225" s="80">
        <f t="shared" si="707"/>
        <v>316.64965037000002</v>
      </c>
      <c r="BJ225" s="80">
        <f t="shared" si="707"/>
        <v>334.959135</v>
      </c>
      <c r="BK225" s="80">
        <f t="shared" ref="BK225:BS225" si="708">BK226+BK227</f>
        <v>600.48683400000004</v>
      </c>
      <c r="BL225" s="80">
        <f t="shared" si="708"/>
        <v>690.1</v>
      </c>
      <c r="BM225" s="80">
        <f t="shared" si="708"/>
        <v>731.94436958614051</v>
      </c>
      <c r="BN225" s="80">
        <f t="shared" si="708"/>
        <v>853.5</v>
      </c>
      <c r="BO225" s="80">
        <f t="shared" si="708"/>
        <v>928.5</v>
      </c>
      <c r="BP225" s="80">
        <f t="shared" ca="1" si="708"/>
        <v>1144.7977572060727</v>
      </c>
      <c r="BQ225" s="80">
        <f t="shared" ca="1" si="708"/>
        <v>1350.4874816921035</v>
      </c>
      <c r="BR225" s="80">
        <f t="shared" ca="1" si="708"/>
        <v>1487.8685299065321</v>
      </c>
      <c r="BS225" s="80">
        <f t="shared" ca="1" si="708"/>
        <v>1567.3572133615407</v>
      </c>
      <c r="BT225" s="80">
        <f ca="1">BT226+BT227</f>
        <v>1630.7566394868632</v>
      </c>
      <c r="BU225" s="80">
        <f ca="1">BU226+BU227</f>
        <v>1712.6250255363043</v>
      </c>
      <c r="BV225" s="80">
        <f ca="1">BV226+BV227</f>
        <v>1798.8157546246823</v>
      </c>
      <c r="BW225" s="80">
        <f t="shared" ref="BW225:BX225" ca="1" si="709">BW226+BW227</f>
        <v>1889.35841283844</v>
      </c>
      <c r="BX225" s="80">
        <f t="shared" ca="1" si="709"/>
        <v>1984.7026061008621</v>
      </c>
      <c r="BY225" s="80">
        <f t="shared" ref="BY225:CD225" ca="1" si="710">BY226+BY227</f>
        <v>2085.3168842023933</v>
      </c>
      <c r="BZ225" s="80">
        <f t="shared" ca="1" si="710"/>
        <v>2193.7686477834413</v>
      </c>
      <c r="CA225" s="80">
        <f t="shared" ca="1" si="710"/>
        <v>2311.789947739886</v>
      </c>
      <c r="CB225" s="80">
        <f t="shared" ca="1" si="710"/>
        <v>2437.0791855249063</v>
      </c>
      <c r="CC225" s="80">
        <f t="shared" ca="1" si="710"/>
        <v>2570.5037397897368</v>
      </c>
      <c r="CD225" s="80">
        <f t="shared" ca="1" si="710"/>
        <v>2712.9807867319196</v>
      </c>
      <c r="CE225" s="80"/>
      <c r="CF225" s="435"/>
      <c r="CG225" s="235">
        <f t="shared" si="606"/>
        <v>0</v>
      </c>
      <c r="CH225" s="235">
        <f t="shared" si="637"/>
        <v>0</v>
      </c>
      <c r="CI225" s="235" t="e">
        <f>BM225-#REF!</f>
        <v>#REF!</v>
      </c>
      <c r="CJ225" s="235">
        <f t="shared" si="589"/>
        <v>0</v>
      </c>
      <c r="CK225" s="235">
        <f t="shared" si="590"/>
        <v>0</v>
      </c>
      <c r="CL225" s="235">
        <f t="shared" ca="1" si="591"/>
        <v>0</v>
      </c>
      <c r="CM225" s="235">
        <f t="shared" ca="1" si="592"/>
        <v>0</v>
      </c>
      <c r="CN225" s="235">
        <f t="shared" ca="1" si="593"/>
        <v>0</v>
      </c>
      <c r="CO225" s="235">
        <f t="shared" ca="1" si="594"/>
        <v>0</v>
      </c>
      <c r="CP225" s="235">
        <f t="shared" ca="1" si="595"/>
        <v>0</v>
      </c>
      <c r="CQ225" s="235">
        <f t="shared" ca="1" si="596"/>
        <v>0</v>
      </c>
      <c r="CR225" s="235">
        <f t="shared" ca="1" si="597"/>
        <v>0</v>
      </c>
      <c r="CS225" s="235">
        <f t="shared" ca="1" si="598"/>
        <v>0</v>
      </c>
      <c r="CT225" s="235">
        <f t="shared" ca="1" si="599"/>
        <v>0</v>
      </c>
      <c r="CU225" s="235">
        <f t="shared" ca="1" si="600"/>
        <v>0</v>
      </c>
      <c r="CV225" s="235">
        <f t="shared" ca="1" si="601"/>
        <v>0</v>
      </c>
      <c r="CW225" s="235">
        <f t="shared" ca="1" si="602"/>
        <v>-4.5474735088646412E-12</v>
      </c>
      <c r="CX225" s="235">
        <f t="shared" ca="1" si="603"/>
        <v>-5.3205440053716302E-11</v>
      </c>
      <c r="CY225" s="235">
        <f t="shared" ca="1" si="604"/>
        <v>-5.4069460020400584E-10</v>
      </c>
      <c r="CZ225" s="235">
        <f t="shared" ca="1" si="605"/>
        <v>-4.6306922740768641E-9</v>
      </c>
      <c r="DA225" s="38"/>
      <c r="DB225" s="236">
        <v>145.93851799999999</v>
      </c>
      <c r="DC225" s="236">
        <v>146.93851799999999</v>
      </c>
      <c r="DD225" s="236">
        <v>269.54140200000001</v>
      </c>
      <c r="DE225" s="236">
        <v>280.323058</v>
      </c>
      <c r="DF225" s="401">
        <v>316.64965037000002</v>
      </c>
      <c r="DG225" s="236">
        <v>600.48683400000004</v>
      </c>
      <c r="DH225" s="492">
        <v>690.1</v>
      </c>
      <c r="DI225" s="236">
        <v>853.5</v>
      </c>
      <c r="DJ225" s="236">
        <v>928.5</v>
      </c>
      <c r="DK225" s="236">
        <v>1144.7977572060729</v>
      </c>
      <c r="DL225" s="236">
        <v>1350.487481692104</v>
      </c>
      <c r="DM225" s="236">
        <v>1487.8685299065326</v>
      </c>
      <c r="DN225" s="236">
        <v>1567.3572133615414</v>
      </c>
      <c r="DO225" s="236">
        <v>1630.7566394868641</v>
      </c>
      <c r="DP225" s="236">
        <v>1712.6250255363052</v>
      </c>
      <c r="DQ225" s="401">
        <v>1798.8157546246825</v>
      </c>
      <c r="DR225" s="401">
        <v>1889.3584128384391</v>
      </c>
      <c r="DS225" s="401">
        <v>1984.7026061008617</v>
      </c>
      <c r="DT225" s="401">
        <v>2085.3168842023938</v>
      </c>
      <c r="DU225" s="401">
        <v>2193.7686477834418</v>
      </c>
      <c r="DV225" s="401">
        <v>2311.7899477398905</v>
      </c>
      <c r="DW225" s="401">
        <v>2437.0791855249595</v>
      </c>
      <c r="DX225" s="401">
        <v>2570.5037397902775</v>
      </c>
      <c r="DY225" s="401">
        <v>2712.9807867365503</v>
      </c>
      <c r="DZ225" s="401"/>
      <c r="EA225" s="989"/>
    </row>
    <row r="226" spans="1:131" s="76" customFormat="1">
      <c r="A226" s="976" t="s">
        <v>3906</v>
      </c>
      <c r="B226" s="80" t="s">
        <v>4608</v>
      </c>
      <c r="C226" s="51" t="s">
        <v>4188</v>
      </c>
      <c r="D226" s="207"/>
      <c r="E226" s="207"/>
      <c r="F226" s="207"/>
      <c r="G226" s="207"/>
      <c r="H226" s="207"/>
      <c r="I226" s="207"/>
      <c r="J226" s="207"/>
      <c r="K226" s="207"/>
      <c r="L226" s="207"/>
      <c r="M226" s="207"/>
      <c r="N226" s="207"/>
      <c r="O226" s="207"/>
      <c r="P226" s="207"/>
      <c r="Q226" s="207"/>
      <c r="R226" s="207"/>
      <c r="S226" s="207"/>
      <c r="T226" s="207"/>
      <c r="U226" s="207"/>
      <c r="V226" s="207"/>
      <c r="W226" s="207"/>
      <c r="X226" s="207"/>
      <c r="Y226" s="207"/>
      <c r="Z226" s="207"/>
      <c r="AA226" s="207"/>
      <c r="AB226" s="207"/>
      <c r="AC226" s="207"/>
      <c r="AD226" s="207"/>
      <c r="AE226" s="207"/>
      <c r="AF226" s="207"/>
      <c r="AG226" s="207"/>
      <c r="AH226" s="207"/>
      <c r="AI226" s="207"/>
      <c r="AJ226" s="207"/>
      <c r="AK226" s="207"/>
      <c r="AL226" s="207"/>
      <c r="AM226" s="207"/>
      <c r="AN226" s="207"/>
      <c r="AO226" s="207"/>
      <c r="AP226" s="207"/>
      <c r="AQ226" s="207"/>
      <c r="AR226" s="207"/>
      <c r="AS226" s="207"/>
      <c r="AT226" s="309"/>
      <c r="AU226" s="51"/>
      <c r="AV226" s="74">
        <f>DataInput!AV454</f>
        <v>0</v>
      </c>
      <c r="AW226" s="74">
        <f>DataInput!AW454</f>
        <v>0</v>
      </c>
      <c r="AX226" s="74">
        <f>DataInput!AX454</f>
        <v>9.173</v>
      </c>
      <c r="AY226" s="74">
        <f>DataInput!AY454</f>
        <v>21.978000000000002</v>
      </c>
      <c r="AZ226" s="74">
        <f>DataInput!AZ454</f>
        <v>27.532</v>
      </c>
      <c r="BA226" s="74">
        <f>DataInput!BA454/1000</f>
        <v>35.182747409999998</v>
      </c>
      <c r="BB226" s="74">
        <f>DataInput!BB454/1000</f>
        <v>39.777651299999995</v>
      </c>
      <c r="BC226" s="74">
        <f>DataInput!BC454/1000</f>
        <v>61.562277629999997</v>
      </c>
      <c r="BD226" s="74">
        <f>DataInput!BD454</f>
        <v>75.809182800000002</v>
      </c>
      <c r="BE226" s="74">
        <f>DataInput!BE454</f>
        <v>92.169582779999999</v>
      </c>
      <c r="BF226" s="74">
        <f>DataInput!BF454</f>
        <v>52.89786647999999</v>
      </c>
      <c r="BG226" s="74">
        <f>DataInput!BG454</f>
        <v>172.50649728000002</v>
      </c>
      <c r="BH226" s="74">
        <f>DataInput!BH454</f>
        <v>179.40675712000001</v>
      </c>
      <c r="BI226" s="74">
        <f>DataInput!BI426</f>
        <v>210.665637</v>
      </c>
      <c r="BJ226" s="74">
        <f>DataInput!BJ426</f>
        <v>215.86030877000002</v>
      </c>
      <c r="BK226" s="74">
        <f>DataInput!BK426</f>
        <v>445.56142399999999</v>
      </c>
      <c r="BL226" s="74">
        <f>DataInput!BL426</f>
        <v>496.57</v>
      </c>
      <c r="BM226" s="74">
        <f>DataInput!BM426</f>
        <v>526.67963426371512</v>
      </c>
      <c r="BN226" s="74">
        <f>DataInput!BN426</f>
        <v>0</v>
      </c>
      <c r="BO226" s="74">
        <f>DataInput!BO426</f>
        <v>0</v>
      </c>
      <c r="BP226" s="94">
        <f ca="1">BO226*(BP182+BP183+BP184)/(BO182+BO183+BO184)+SIM!X72+finsim!BO190</f>
        <v>0</v>
      </c>
      <c r="BQ226" s="94">
        <f ca="1">BP226*(BQ182+BQ183+BQ184)/(BP182+BP183+BP184)+SIM!Y72+finsim!BP190</f>
        <v>0</v>
      </c>
      <c r="BR226" s="94">
        <f ca="1">BQ226*(BR182+BR183+BR184)/(BQ182+BQ183+BQ184)+SIM!Z72+finsim!BQ190</f>
        <v>0</v>
      </c>
      <c r="BS226" s="94">
        <f ca="1">BR226*(BS182+BS183+BS184)/(BR182+BR183+BR184)+SIM!AA72+finsim!BR190</f>
        <v>0</v>
      </c>
      <c r="BT226" s="94">
        <f ca="1">BS226*(BT182+BT183+BT184)/(BS182+BS183+BS184)+SIM!AB72+finsim!BS190</f>
        <v>0</v>
      </c>
      <c r="BU226" s="94">
        <f ca="1">BT226*(BU182+BU183+BU184)/(BT182+BT183+BT184)+SIM!AC72+finsim!BT190</f>
        <v>0</v>
      </c>
      <c r="BV226" s="94">
        <f ca="1">BU226*(BV182+BV183+BV184)/(BU182+BU183+BU184)+SIM!AD72+finsim!BU190</f>
        <v>0</v>
      </c>
      <c r="BW226" s="94">
        <f ca="1">BV226*(BW182+BW183+BW184)/(BV182+BV183+BV184)+SIM!AE72+finsim!BV190</f>
        <v>0</v>
      </c>
      <c r="BX226" s="94">
        <f ca="1">BW226*(BX182+BX183+BX184)/(BW182+BW183+BW184)+SIM!AF72+finsim!BW190</f>
        <v>0</v>
      </c>
      <c r="BY226" s="94">
        <f ca="1">BX226*(BY182+BY183+BY184)/(BX182+BX183+BX184)+SIM!AG72+finsim!BX190</f>
        <v>0</v>
      </c>
      <c r="BZ226" s="94">
        <f ca="1">BY226*(BZ182+BZ183+BZ184)/(BY182+BY183+BY184)+SIM!AH72+finsim!BY190</f>
        <v>0</v>
      </c>
      <c r="CA226" s="94">
        <f ca="1">BZ226*(CA182+CA183+CA184)/(BZ182+BZ183+BZ184)+SIM!AI72+finsim!BZ190</f>
        <v>0</v>
      </c>
      <c r="CB226" s="94">
        <f ca="1">CA226*(CB182+CB183+CB184)/(CA182+CA183+CA184)+SIM!AJ72+finsim!CA190</f>
        <v>0</v>
      </c>
      <c r="CC226" s="94">
        <f ca="1">CB226*(CC182+CC183+CC184)/(CB182+CB183+CB184)+SIM!AK72+finsim!CB190</f>
        <v>0</v>
      </c>
      <c r="CD226" s="94">
        <f ca="1">CC226*(CD182+CD183+CD184)/(CC182+CC183+CC184)+SIM!AL72+finsim!CC190</f>
        <v>0</v>
      </c>
      <c r="CE226" s="94"/>
      <c r="CF226" s="438"/>
      <c r="CG226" s="235">
        <f t="shared" si="606"/>
        <v>0</v>
      </c>
      <c r="CH226" s="235">
        <f t="shared" si="637"/>
        <v>0</v>
      </c>
      <c r="CI226" s="235" t="e">
        <f>BM226-#REF!</f>
        <v>#REF!</v>
      </c>
      <c r="CJ226" s="235">
        <f t="shared" si="589"/>
        <v>0</v>
      </c>
      <c r="CK226" s="235">
        <f t="shared" si="590"/>
        <v>0</v>
      </c>
      <c r="CL226" s="235">
        <f t="shared" ca="1" si="591"/>
        <v>0</v>
      </c>
      <c r="CM226" s="235">
        <f t="shared" ca="1" si="592"/>
        <v>0</v>
      </c>
      <c r="CN226" s="235">
        <f t="shared" ca="1" si="593"/>
        <v>0</v>
      </c>
      <c r="CO226" s="235">
        <f t="shared" ca="1" si="594"/>
        <v>0</v>
      </c>
      <c r="CP226" s="235">
        <f t="shared" ca="1" si="595"/>
        <v>0</v>
      </c>
      <c r="CQ226" s="235">
        <f t="shared" ca="1" si="596"/>
        <v>0</v>
      </c>
      <c r="CR226" s="235">
        <f t="shared" ca="1" si="597"/>
        <v>0</v>
      </c>
      <c r="CS226" s="235">
        <f t="shared" ca="1" si="598"/>
        <v>0</v>
      </c>
      <c r="CT226" s="235">
        <f t="shared" ca="1" si="599"/>
        <v>0</v>
      </c>
      <c r="CU226" s="235">
        <f t="shared" ca="1" si="600"/>
        <v>0</v>
      </c>
      <c r="CV226" s="235">
        <f t="shared" ca="1" si="601"/>
        <v>0</v>
      </c>
      <c r="CW226" s="235">
        <f t="shared" ca="1" si="602"/>
        <v>0</v>
      </c>
      <c r="CX226" s="235">
        <f t="shared" ca="1" si="603"/>
        <v>0</v>
      </c>
      <c r="CY226" s="235">
        <f t="shared" ca="1" si="604"/>
        <v>0</v>
      </c>
      <c r="CZ226" s="235">
        <f t="shared" ca="1" si="605"/>
        <v>0</v>
      </c>
      <c r="DA226" s="38"/>
      <c r="DB226" s="236">
        <v>51.897866479999998</v>
      </c>
      <c r="DC226" s="236">
        <v>52.89786647999999</v>
      </c>
      <c r="DD226" s="236">
        <v>172.50649728000002</v>
      </c>
      <c r="DE226" s="236">
        <v>179.40675712000001</v>
      </c>
      <c r="DF226" s="401">
        <v>210.665637</v>
      </c>
      <c r="DG226" s="236">
        <v>445.56142399999999</v>
      </c>
      <c r="DH226" s="492">
        <v>496.57</v>
      </c>
      <c r="DI226" s="236">
        <v>0</v>
      </c>
      <c r="DJ226" s="236">
        <v>0</v>
      </c>
      <c r="DK226" s="236">
        <v>0</v>
      </c>
      <c r="DL226" s="236">
        <v>0</v>
      </c>
      <c r="DM226" s="236">
        <v>0</v>
      </c>
      <c r="DN226" s="236">
        <v>0</v>
      </c>
      <c r="DO226" s="236">
        <v>0</v>
      </c>
      <c r="DP226" s="236">
        <v>0</v>
      </c>
      <c r="DQ226" s="401">
        <v>0</v>
      </c>
      <c r="DR226" s="401">
        <v>0</v>
      </c>
      <c r="DS226" s="401">
        <v>0</v>
      </c>
      <c r="DT226" s="401">
        <v>0</v>
      </c>
      <c r="DU226" s="401">
        <v>0</v>
      </c>
      <c r="DV226" s="401">
        <v>0</v>
      </c>
      <c r="DW226" s="401">
        <v>0</v>
      </c>
      <c r="DX226" s="401">
        <v>0</v>
      </c>
      <c r="DY226" s="401">
        <v>0</v>
      </c>
      <c r="DZ226" s="401"/>
      <c r="EA226" s="989"/>
    </row>
    <row r="227" spans="1:131" s="76" customFormat="1">
      <c r="A227" s="976" t="s">
        <v>3907</v>
      </c>
      <c r="B227" s="80" t="s">
        <v>536</v>
      </c>
      <c r="C227" s="51" t="s">
        <v>2074</v>
      </c>
      <c r="D227" s="207"/>
      <c r="E227" s="207"/>
      <c r="F227" s="207"/>
      <c r="G227" s="207"/>
      <c r="H227" s="207"/>
      <c r="I227" s="207"/>
      <c r="J227" s="207"/>
      <c r="K227" s="207"/>
      <c r="L227" s="207"/>
      <c r="M227" s="207"/>
      <c r="N227" s="207"/>
      <c r="O227" s="207"/>
      <c r="P227" s="207"/>
      <c r="Q227" s="207"/>
      <c r="R227" s="207"/>
      <c r="S227" s="207"/>
      <c r="T227" s="207"/>
      <c r="U227" s="207"/>
      <c r="V227" s="207"/>
      <c r="W227" s="207"/>
      <c r="X227" s="207"/>
      <c r="Y227" s="207"/>
      <c r="Z227" s="207"/>
      <c r="AA227" s="207"/>
      <c r="AB227" s="207"/>
      <c r="AC227" s="207"/>
      <c r="AD227" s="207"/>
      <c r="AE227" s="207"/>
      <c r="AF227" s="207"/>
      <c r="AG227" s="207"/>
      <c r="AH227" s="207"/>
      <c r="AI227" s="207"/>
      <c r="AJ227" s="207"/>
      <c r="AK227" s="207"/>
      <c r="AL227" s="207"/>
      <c r="AM227" s="207"/>
      <c r="AN227" s="207"/>
      <c r="AO227" s="207"/>
      <c r="AP227" s="207"/>
      <c r="AQ227" s="207"/>
      <c r="AR227" s="207"/>
      <c r="AS227" s="207"/>
      <c r="AT227" s="309"/>
      <c r="AU227" s="51"/>
      <c r="AV227" s="74">
        <f>DataInput!AV455</f>
        <v>0</v>
      </c>
      <c r="AW227" s="74">
        <f>DataInput!AW455</f>
        <v>0</v>
      </c>
      <c r="AX227" s="74">
        <f>DataInput!AX455</f>
        <v>3.641</v>
      </c>
      <c r="AY227" s="74">
        <f>DataInput!AY455</f>
        <v>10.593999999999999</v>
      </c>
      <c r="AZ227" s="74">
        <f>DataInput!AZ455</f>
        <v>14.355</v>
      </c>
      <c r="BA227" s="74">
        <f>DataInput!BA455/1000</f>
        <v>15.80674159</v>
      </c>
      <c r="BB227" s="74">
        <f>DataInput!BB455/1000</f>
        <v>17.8711187</v>
      </c>
      <c r="BC227" s="74">
        <f>DataInput!BC455/1000</f>
        <v>36.155623370000001</v>
      </c>
      <c r="BD227" s="74">
        <f>DataInput!BD455</f>
        <v>40.820329199999996</v>
      </c>
      <c r="BE227" s="74">
        <f>DataInput!BE455</f>
        <v>47.481300220000001</v>
      </c>
      <c r="BF227" s="74">
        <f>DataInput!BF455</f>
        <v>94.040651519999997</v>
      </c>
      <c r="BG227" s="74">
        <f>DataInput!BG455</f>
        <v>97.03490472</v>
      </c>
      <c r="BH227" s="74">
        <f>DataInput!BH455</f>
        <v>100.91630087999999</v>
      </c>
      <c r="BI227" s="74">
        <f>DataInput!BI437</f>
        <v>105.98401337</v>
      </c>
      <c r="BJ227" s="74">
        <f>DataInput!BJ427</f>
        <v>119.09882623</v>
      </c>
      <c r="BK227" s="74">
        <f>DataInput!BK427</f>
        <v>154.92541</v>
      </c>
      <c r="BL227" s="74">
        <f>DataInput!BL427</f>
        <v>193.53</v>
      </c>
      <c r="BM227" s="74">
        <f>DataInput!BM427</f>
        <v>205.26473532242539</v>
      </c>
      <c r="BN227" s="74">
        <f>DataInput!BN427</f>
        <v>853.5</v>
      </c>
      <c r="BO227" s="74">
        <f>DataInput!BO427</f>
        <v>928.5</v>
      </c>
      <c r="BP227" s="94">
        <f ca="1">BO227*(BP293+BP298+BP256+BP332)/(BO293+BO298+BO256+BO332)+SIM!X65+finsim!BO191</f>
        <v>1144.7977572060729</v>
      </c>
      <c r="BQ227" s="94">
        <f ca="1">BP227*(BQ293+BQ298+BQ256+BQ332)/(BP293+BP298+BP256+BP332)+SIM!Y65+finsim!BP191</f>
        <v>1350.487481692104</v>
      </c>
      <c r="BR227" s="94">
        <f ca="1">BQ227*(BR293+BR298+BR256+BR332)/(BQ293+BQ298+BQ256+BQ332)+SIM!Z65+finsim!BQ191</f>
        <v>1487.8685299065328</v>
      </c>
      <c r="BS227" s="94">
        <f ca="1">BR227*(BS293+BS298+BS256+BS332)/(BR293+BR298+BR256+BR332)+SIM!AA65+finsim!BR191</f>
        <v>1567.3572133615419</v>
      </c>
      <c r="BT227" s="94">
        <f ca="1">BS227*(BT293+BT298+BT256+BT332)/(BS293+BS298+BS256+BS332)+SIM!AB65+finsim!BS191</f>
        <v>1630.7566394868638</v>
      </c>
      <c r="BU227" s="94">
        <f ca="1">BT227*(BU293+BU298+BU256+BU332)/(BT293+BT298+BT256+BT332)+SIM!AC65+finsim!BT191</f>
        <v>1712.6250255363057</v>
      </c>
      <c r="BV227" s="94">
        <f ca="1">BU227*(BV293+BV298+BV256+BV332)/(BU293+BU298+BU256+BU332)+SIM!AD65+finsim!BU191</f>
        <v>1798.815754624683</v>
      </c>
      <c r="BW227" s="94">
        <f ca="1">BV227*(BW293+BW298+BW256+BW332)/(BV293+BV298+BV256+BV332)+SIM!AE65+finsim!BV191</f>
        <v>1889.3584128384409</v>
      </c>
      <c r="BX227" s="94">
        <f ca="1">BW227*(BX293+BX298+BX256+BX332)/(BW293+BW298+BW256+BW332)+SIM!AF65+finsim!BW191</f>
        <v>1984.7026061008648</v>
      </c>
      <c r="BY227" s="94">
        <f ca="1">BX227*(BY293+BY298+BY256+BY332)/(BX293+BX298+BX256+BX332)+SIM!AG65+finsim!BX191</f>
        <v>2085.3168842023979</v>
      </c>
      <c r="BZ227" s="94">
        <f ca="1">BY227*(BZ293+BZ298+BZ256+BZ332)/(BY293+BY298+BY256+BY332)+SIM!AH65+finsim!BY191</f>
        <v>2193.7686477834477</v>
      </c>
      <c r="CA227" s="94">
        <f ca="1">BZ227*(CA293+CA298+CA256+CA332)/(BZ293+BZ298+BZ256+BZ332)+SIM!AI65+finsim!BZ191</f>
        <v>2311.7899477398942</v>
      </c>
      <c r="CB227" s="94">
        <f ca="1">CA227*(CB293+CB298+CB256+CB332)/(CA293+CA298+CA256+CA332)+SIM!AJ65+finsim!CA191</f>
        <v>2437.0791855249158</v>
      </c>
      <c r="CC227" s="94">
        <f ca="1">CB227*(CC293+CC298+CC256+CC332)/(CB293+CB298+CB256+CB332)+SIM!AK65+finsim!CB191</f>
        <v>2570.503739789749</v>
      </c>
      <c r="CD227" s="94">
        <f ca="1">CC227*(CD293+CD298+CD256+CD332)/(CC293+CC298+CC256+CC332)+SIM!AL65+finsim!CC191</f>
        <v>2712.9807867319355</v>
      </c>
      <c r="CE227" s="94"/>
      <c r="CF227" s="438"/>
      <c r="CG227" s="235">
        <f t="shared" si="606"/>
        <v>0</v>
      </c>
      <c r="CH227" s="235">
        <f t="shared" si="637"/>
        <v>0</v>
      </c>
      <c r="CI227" s="235" t="e">
        <f>BM227-#REF!</f>
        <v>#REF!</v>
      </c>
      <c r="CJ227" s="235">
        <f t="shared" si="589"/>
        <v>0</v>
      </c>
      <c r="CK227" s="235">
        <f t="shared" si="590"/>
        <v>0</v>
      </c>
      <c r="CL227" s="235">
        <f t="shared" ca="1" si="591"/>
        <v>0</v>
      </c>
      <c r="CM227" s="235">
        <f t="shared" ca="1" si="592"/>
        <v>0</v>
      </c>
      <c r="CN227" s="235">
        <f t="shared" ca="1" si="593"/>
        <v>0</v>
      </c>
      <c r="CO227" s="235">
        <f t="shared" ca="1" si="594"/>
        <v>0</v>
      </c>
      <c r="CP227" s="235">
        <f t="shared" ca="1" si="595"/>
        <v>0</v>
      </c>
      <c r="CQ227" s="235">
        <f t="shared" ca="1" si="596"/>
        <v>0</v>
      </c>
      <c r="CR227" s="235">
        <f t="shared" ca="1" si="597"/>
        <v>-2.5011104298755527E-12</v>
      </c>
      <c r="CS227" s="235">
        <f t="shared" ca="1" si="598"/>
        <v>-2.9558577807620168E-12</v>
      </c>
      <c r="CT227" s="235">
        <f t="shared" ca="1" si="599"/>
        <v>-2.9558577807620168E-12</v>
      </c>
      <c r="CU227" s="235">
        <f t="shared" ca="1" si="600"/>
        <v>-3.637978807091713E-12</v>
      </c>
      <c r="CV227" s="235">
        <f t="shared" ca="1" si="601"/>
        <v>-4.0927261579781771E-12</v>
      </c>
      <c r="CW227" s="235">
        <f t="shared" ca="1" si="602"/>
        <v>0</v>
      </c>
      <c r="CX227" s="235">
        <f t="shared" ca="1" si="603"/>
        <v>8.8675733422860503E-11</v>
      </c>
      <c r="CY227" s="235">
        <f t="shared" ca="1" si="604"/>
        <v>9.2450136435218155E-10</v>
      </c>
      <c r="CZ227" s="235">
        <f t="shared" ca="1" si="605"/>
        <v>7.1622707764618099E-9</v>
      </c>
      <c r="DA227" s="38"/>
      <c r="DB227" s="236">
        <v>93.040651519999997</v>
      </c>
      <c r="DC227" s="236">
        <v>94.040651519999997</v>
      </c>
      <c r="DD227" s="236">
        <v>97.03490472</v>
      </c>
      <c r="DE227" s="236">
        <v>100.91630087999999</v>
      </c>
      <c r="DF227" s="401">
        <v>105.98401337</v>
      </c>
      <c r="DG227" s="236">
        <v>154.92541</v>
      </c>
      <c r="DH227" s="492">
        <v>193.53</v>
      </c>
      <c r="DI227" s="236">
        <v>853.5</v>
      </c>
      <c r="DJ227" s="236">
        <v>928.5</v>
      </c>
      <c r="DK227" s="236">
        <v>1144.7977572060727</v>
      </c>
      <c r="DL227" s="236">
        <v>1350.4874816921038</v>
      </c>
      <c r="DM227" s="236">
        <v>1487.868529906533</v>
      </c>
      <c r="DN227" s="236">
        <v>1567.3572133615419</v>
      </c>
      <c r="DO227" s="236">
        <v>1630.756639486865</v>
      </c>
      <c r="DP227" s="236">
        <v>1712.6250255363072</v>
      </c>
      <c r="DQ227" s="401">
        <v>1798.8157546246855</v>
      </c>
      <c r="DR227" s="401">
        <v>1889.3584128384439</v>
      </c>
      <c r="DS227" s="401">
        <v>1984.7026061008678</v>
      </c>
      <c r="DT227" s="401">
        <v>2085.3168842024015</v>
      </c>
      <c r="DU227" s="401">
        <v>2193.7686477834518</v>
      </c>
      <c r="DV227" s="401">
        <v>2311.7899477398928</v>
      </c>
      <c r="DW227" s="401">
        <v>2437.0791855248272</v>
      </c>
      <c r="DX227" s="401">
        <v>2570.5037397888245</v>
      </c>
      <c r="DY227" s="401">
        <v>2712.9807867247732</v>
      </c>
      <c r="DZ227" s="401"/>
      <c r="EA227" s="989"/>
    </row>
    <row r="228" spans="1:131" s="76" customFormat="1">
      <c r="A228" s="976" t="s">
        <v>3908</v>
      </c>
      <c r="B228" s="80" t="s">
        <v>1774</v>
      </c>
      <c r="C228" s="51" t="s">
        <v>2075</v>
      </c>
      <c r="D228" s="207"/>
      <c r="E228" s="207"/>
      <c r="F228" s="295">
        <f>mamiabc!F109</f>
        <v>3.0000000000000001E-3</v>
      </c>
      <c r="G228" s="295">
        <f>mamiabc!G109</f>
        <v>2.8E-3</v>
      </c>
      <c r="H228" s="295">
        <f>mamiabc!H109</f>
        <v>3.0999999046325685E-3</v>
      </c>
      <c r="I228" s="295">
        <f>mamiabc!I109</f>
        <v>3.0999999046325685E-3</v>
      </c>
      <c r="J228" s="295">
        <f>mamiabc!J109</f>
        <v>2.5999999046325685E-3</v>
      </c>
      <c r="K228" s="295">
        <f>mamiabc!K109</f>
        <v>3.0999999046325685E-3</v>
      </c>
      <c r="L228" s="295">
        <f>mamiabc!L109</f>
        <v>3.2000000476837156E-3</v>
      </c>
      <c r="M228" s="295">
        <f>mamiabc!M109</f>
        <v>2.9000000953674316E-3</v>
      </c>
      <c r="N228" s="295">
        <f>mamiabc!N109</f>
        <v>2.7999999523162841E-3</v>
      </c>
      <c r="O228" s="295">
        <f>mamiabc!O109</f>
        <v>2.9000000953674316E-3</v>
      </c>
      <c r="P228" s="295">
        <f>mamiabc!P109</f>
        <v>3.2000000476837156E-3</v>
      </c>
      <c r="Q228" s="295">
        <f>mamiabc!Q109</f>
        <v>3.4000000953674316E-3</v>
      </c>
      <c r="R228" s="295">
        <f>mamiabc!R109</f>
        <v>3.9000000953674317E-3</v>
      </c>
      <c r="S228" s="295">
        <f>mamiabc!S109</f>
        <v>3.7999999523162841E-3</v>
      </c>
      <c r="T228" s="295">
        <f>mamiabc!T109</f>
        <v>3.7000000476837156E-3</v>
      </c>
      <c r="U228" s="295">
        <f>mamiabc!U109</f>
        <v>3.7000000476837156E-3</v>
      </c>
      <c r="V228" s="295">
        <f>mamiabc!V109</f>
        <v>3.7999999523162841E-3</v>
      </c>
      <c r="W228" s="295">
        <f>mamiabc!W109</f>
        <v>4.0000000000000001E-3</v>
      </c>
      <c r="X228" s="295">
        <f>mamiabc!X109</f>
        <v>4.0999999046325685E-3</v>
      </c>
      <c r="Y228" s="295">
        <f>mamiabc!Y109</f>
        <v>4.3000001907348637E-3</v>
      </c>
      <c r="Z228" s="295">
        <f>mamiabc!Z109</f>
        <v>4.3000001907348637E-3</v>
      </c>
      <c r="AA228" s="295">
        <f>mamiabc!AA109</f>
        <v>3.0999999046325685E-3</v>
      </c>
      <c r="AB228" s="295">
        <f>mamiabc!AB109</f>
        <v>2.5999999046325685E-3</v>
      </c>
      <c r="AC228" s="295">
        <f>mamiabc!AC109</f>
        <v>2.9000000953674316E-3</v>
      </c>
      <c r="AD228" s="295">
        <f>mamiabc!AD109</f>
        <v>3.0999999046325685E-3</v>
      </c>
      <c r="AE228" s="295">
        <f>mamiabc!AE109</f>
        <v>2.7000000476837156E-3</v>
      </c>
      <c r="AF228" s="295">
        <f>mamiabc!AF109</f>
        <v>2.7999999523162841E-3</v>
      </c>
      <c r="AG228" s="295">
        <f>mamiabc!AG109</f>
        <v>2.299999952316284E-3</v>
      </c>
      <c r="AH228" s="295">
        <f>mamiabc!AH109</f>
        <v>2.0999999046325685E-3</v>
      </c>
      <c r="AI228" s="295">
        <f>mamiabc!AI109</f>
        <v>2.0999999046325685E-3</v>
      </c>
      <c r="AJ228" s="295">
        <f>mamiabc!AJ109</f>
        <v>2.5999999046325685E-3</v>
      </c>
      <c r="AK228" s="295">
        <f>mamiabc!AK109</f>
        <v>2.9000000953674316E-3</v>
      </c>
      <c r="AL228" s="295">
        <f>mamiabc!AL109</f>
        <v>3.0000000000000001E-3</v>
      </c>
      <c r="AM228" s="295">
        <f>mamiabc!AM109</f>
        <v>2E-3</v>
      </c>
      <c r="AN228" s="295">
        <f>mamiabc!AN109</f>
        <v>1.7999999523162843E-3</v>
      </c>
      <c r="AO228" s="295">
        <f>mamiabc!AO109</f>
        <v>1.5E-3</v>
      </c>
      <c r="AP228" s="295">
        <f>mamiabc!AP109</f>
        <v>1.6799999999999999E-3</v>
      </c>
      <c r="AQ228" s="295">
        <f>mamiabc!AQ109</f>
        <v>1.83E-3</v>
      </c>
      <c r="AR228" s="295">
        <f>mamiabc!AR109</f>
        <v>1.6000000000000001E-3</v>
      </c>
      <c r="AS228" s="295">
        <f>mamiabc!AS109</f>
        <v>4.4599999999999996E-3</v>
      </c>
      <c r="AT228" s="295">
        <f>mamiabc!AT109</f>
        <v>2.8289999999999999E-2</v>
      </c>
      <c r="AU228" s="295">
        <f>mamiabc!AU109</f>
        <v>0.5</v>
      </c>
      <c r="AV228" s="74">
        <f>DataInput!AV462</f>
        <v>6.3434957E-2</v>
      </c>
      <c r="AW228" s="74">
        <f>DataInput!AW462</f>
        <v>0.106957815</v>
      </c>
      <c r="AX228" s="74">
        <f>DataInput!AX462</f>
        <v>0.42899999999999999</v>
      </c>
      <c r="AY228" s="74">
        <f>DataInput!AY462</f>
        <v>0.67500000000000004</v>
      </c>
      <c r="AZ228" s="74">
        <f>DataInput!AZ462</f>
        <v>1.0549999999999999</v>
      </c>
      <c r="BA228" s="74">
        <f>DataInput!BA462/1000</f>
        <v>0.61801499999999998</v>
      </c>
      <c r="BB228" s="74">
        <f>DataInput!BB462/1000</f>
        <v>0.33480599999999999</v>
      </c>
      <c r="BC228" s="74">
        <f>DataInput!BC462/1000</f>
        <v>0.289991</v>
      </c>
      <c r="BD228" s="74">
        <f>DataInput!BD462</f>
        <v>0.31531500000000001</v>
      </c>
      <c r="BE228" s="74">
        <f>DataInput!BE462</f>
        <v>0.57403999999999999</v>
      </c>
      <c r="BF228" s="74">
        <f>DataInput!BF462</f>
        <v>1.2487790000000001</v>
      </c>
      <c r="BG228" s="74">
        <f>DataInput!BG462</f>
        <v>0.87477099999999997</v>
      </c>
      <c r="BH228" s="74">
        <f>DataInput!BH462</f>
        <v>1.333777</v>
      </c>
      <c r="BI228" s="74">
        <f>DataInput!BI462</f>
        <v>2.0732919999999999</v>
      </c>
      <c r="BJ228" s="74">
        <f>DataInput!BJ462</f>
        <v>3.1437949999999999</v>
      </c>
      <c r="BK228" s="74">
        <f>DataInput!BK462</f>
        <v>3</v>
      </c>
      <c r="BL228" s="74">
        <f>DataInput!BL462</f>
        <v>3.3491154536092629</v>
      </c>
      <c r="BM228" s="74">
        <f>DataInput!BM462</f>
        <v>3.5521898266385059</v>
      </c>
      <c r="BN228" s="74">
        <f>DataInput!BN462</f>
        <v>3.569257995733941</v>
      </c>
      <c r="BO228" s="74">
        <f>DataInput!BO462</f>
        <v>4.089433972310756</v>
      </c>
      <c r="BP228" s="94">
        <f>BO228*BP181/BO181+finsim!BO192</f>
        <v>5.2184233346058795</v>
      </c>
      <c r="BQ228" s="94">
        <f>BP228*BQ181/BP181+finsim!BP192</f>
        <v>6.4833174341532853</v>
      </c>
      <c r="BR228" s="94">
        <f>BQ228*BR181/BQ181+finsim!BQ192</f>
        <v>6.8638982249749949</v>
      </c>
      <c r="BS228" s="94">
        <f>BR228*BS181/BR181+finsim!BR192</f>
        <v>6.8727785508399766</v>
      </c>
      <c r="BT228" s="94">
        <f>BS228*BT181/BS181+finsim!BS192</f>
        <v>7.046762223618499</v>
      </c>
      <c r="BU228" s="94">
        <f>BT228*BU181/BT181+finsim!BT192</f>
        <v>7.3453930944564281</v>
      </c>
      <c r="BV228" s="94">
        <f>BU228*BV181/BU181+finsim!BU192</f>
        <v>7.6597738756435811</v>
      </c>
      <c r="BW228" s="94">
        <f>BV228*BW181/BV181+finsim!BV192</f>
        <v>7.9908421109962502</v>
      </c>
      <c r="BX228" s="94">
        <f>BW228*BX181/BW181+finsim!BW192</f>
        <v>8.3395989125690289</v>
      </c>
      <c r="BY228" s="94">
        <f>BX228*BY181/BX181+finsim!BX192</f>
        <v>8.7071138220460309</v>
      </c>
      <c r="BZ228" s="94">
        <f>BY228*BZ181/BY181+finsim!BY192</f>
        <v>9.2621393314853666</v>
      </c>
      <c r="CA228" s="94">
        <f>BZ228*CA181/BZ181+finsim!BZ192</f>
        <v>9.8569875986965005</v>
      </c>
      <c r="CB228" s="94">
        <f>CA228*CB181/CA181+finsim!CA192</f>
        <v>10.494570452569485</v>
      </c>
      <c r="CC228" s="94">
        <f>CB228*CC181/CB181+finsim!CB192</f>
        <v>11.178017245901589</v>
      </c>
      <c r="CD228" s="94">
        <f>CC228*CD181/CC181+finsim!CC192</f>
        <v>11.910691534102387</v>
      </c>
      <c r="CE228" s="94"/>
      <c r="CF228" s="438"/>
      <c r="CG228" s="235">
        <f t="shared" si="606"/>
        <v>0</v>
      </c>
      <c r="CH228" s="235">
        <f t="shared" si="637"/>
        <v>0</v>
      </c>
      <c r="CI228" s="235" t="e">
        <f>BM228-#REF!</f>
        <v>#REF!</v>
      </c>
      <c r="CJ228" s="235">
        <f t="shared" ref="CJ228:CJ240" si="711">BN228-DI228</f>
        <v>0</v>
      </c>
      <c r="CK228" s="235">
        <f t="shared" ref="CK228:CK240" si="712">BO228-DJ228</f>
        <v>0</v>
      </c>
      <c r="CL228" s="235">
        <f t="shared" ref="CL228:CL240" si="713">BP228-DK228</f>
        <v>0</v>
      </c>
      <c r="CM228" s="235">
        <f t="shared" ref="CM228:CM240" si="714">BQ228-DL228</f>
        <v>0</v>
      </c>
      <c r="CN228" s="235">
        <f t="shared" ref="CN228:CN240" si="715">BR228-DM228</f>
        <v>0</v>
      </c>
      <c r="CO228" s="235">
        <f t="shared" ref="CO228:CO240" si="716">BS228-DN228</f>
        <v>0</v>
      </c>
      <c r="CP228" s="235">
        <f t="shared" ref="CP228:CP240" si="717">BT228-DO228</f>
        <v>0</v>
      </c>
      <c r="CQ228" s="235">
        <f t="shared" ref="CQ228:CQ240" si="718">BU228-DP228</f>
        <v>0</v>
      </c>
      <c r="CR228" s="235">
        <f t="shared" ref="CR228:CR240" si="719">BV228-DQ228</f>
        <v>0</v>
      </c>
      <c r="CS228" s="235">
        <f t="shared" ref="CS228:CS240" si="720">BW228-DR228</f>
        <v>0</v>
      </c>
      <c r="CT228" s="235">
        <f t="shared" ref="CT228:CT240" si="721">BX228-DS228</f>
        <v>0</v>
      </c>
      <c r="CU228" s="235">
        <f t="shared" ref="CU228:CU240" si="722">BY228-DT228</f>
        <v>0</v>
      </c>
      <c r="CV228" s="235">
        <f t="shared" ref="CV228:CV240" si="723">BZ228-DU228</f>
        <v>0</v>
      </c>
      <c r="CW228" s="235">
        <f t="shared" ref="CW228:CW240" si="724">CA228-DV228</f>
        <v>0</v>
      </c>
      <c r="CX228" s="235">
        <f t="shared" ref="CX228:CX240" si="725">CB228-DW228</f>
        <v>0</v>
      </c>
      <c r="CY228" s="235">
        <f t="shared" ref="CY228:CY240" si="726">CC228-DX228</f>
        <v>0</v>
      </c>
      <c r="CZ228" s="235">
        <f t="shared" ref="CZ228:CZ240" si="727">CD228-DY228</f>
        <v>0</v>
      </c>
      <c r="DA228" s="38"/>
      <c r="DB228" s="236">
        <v>0.248779</v>
      </c>
      <c r="DC228" s="236">
        <v>1.2487790000000001</v>
      </c>
      <c r="DD228" s="236">
        <v>0.87477099999999997</v>
      </c>
      <c r="DE228" s="236">
        <v>1.333777</v>
      </c>
      <c r="DF228" s="401">
        <v>2.0732919999999999</v>
      </c>
      <c r="DG228" s="236">
        <v>3</v>
      </c>
      <c r="DH228" s="492">
        <v>3.3491154536092629</v>
      </c>
      <c r="DI228" s="236">
        <v>3.569257995733941</v>
      </c>
      <c r="DJ228" s="236">
        <v>4.089433972310756</v>
      </c>
      <c r="DK228" s="236">
        <v>5.2184233346058795</v>
      </c>
      <c r="DL228" s="236">
        <v>6.4833174341532853</v>
      </c>
      <c r="DM228" s="236">
        <v>6.8638982249749949</v>
      </c>
      <c r="DN228" s="236">
        <v>6.8727785508399766</v>
      </c>
      <c r="DO228" s="236">
        <v>7.046762223618499</v>
      </c>
      <c r="DP228" s="236">
        <v>7.3453930944564281</v>
      </c>
      <c r="DQ228" s="401">
        <v>7.6597738756435811</v>
      </c>
      <c r="DR228" s="401">
        <v>7.9908421109962502</v>
      </c>
      <c r="DS228" s="401">
        <v>8.3395989125690289</v>
      </c>
      <c r="DT228" s="401">
        <v>8.7071138220460309</v>
      </c>
      <c r="DU228" s="401">
        <v>9.2621393314853666</v>
      </c>
      <c r="DV228" s="401">
        <v>9.8569875986965005</v>
      </c>
      <c r="DW228" s="401">
        <v>10.494570452569485</v>
      </c>
      <c r="DX228" s="401">
        <v>11.178017245901589</v>
      </c>
      <c r="DY228" s="401">
        <v>11.910691534102387</v>
      </c>
      <c r="DZ228" s="401"/>
      <c r="EA228" s="989"/>
    </row>
    <row r="229" spans="1:131" s="76" customFormat="1">
      <c r="A229" s="976" t="s">
        <v>3909</v>
      </c>
      <c r="B229" s="80" t="s">
        <v>3829</v>
      </c>
      <c r="C229" s="51" t="s">
        <v>1775</v>
      </c>
      <c r="D229" s="207"/>
      <c r="E229" s="207"/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07"/>
      <c r="S229" s="207"/>
      <c r="T229" s="207"/>
      <c r="U229" s="207"/>
      <c r="V229" s="207"/>
      <c r="W229" s="207"/>
      <c r="X229" s="207"/>
      <c r="Y229" s="207"/>
      <c r="Z229" s="207"/>
      <c r="AA229" s="207"/>
      <c r="AB229" s="207"/>
      <c r="AC229" s="207"/>
      <c r="AD229" s="207"/>
      <c r="AE229" s="207"/>
      <c r="AF229" s="207"/>
      <c r="AG229" s="207"/>
      <c r="AH229" s="207"/>
      <c r="AI229" s="207"/>
      <c r="AJ229" s="207"/>
      <c r="AK229" s="207"/>
      <c r="AL229" s="207"/>
      <c r="AM229" s="207"/>
      <c r="AN229" s="207"/>
      <c r="AO229" s="207"/>
      <c r="AP229" s="207"/>
      <c r="AQ229" s="207"/>
      <c r="AR229" s="207"/>
      <c r="AS229" s="207"/>
      <c r="AT229" s="309"/>
      <c r="AU229" s="51"/>
      <c r="AV229" s="74">
        <f>DataInput!AV458</f>
        <v>9.8208174909999997</v>
      </c>
      <c r="AW229" s="74">
        <f>DataInput!AW458</f>
        <v>3.644384955</v>
      </c>
      <c r="AX229" s="74">
        <f>DataInput!AX458</f>
        <v>15.794</v>
      </c>
      <c r="AY229" s="74">
        <f>DataInput!AY458</f>
        <v>14.504</v>
      </c>
      <c r="AZ229" s="74">
        <f>DataInput!AZ458</f>
        <v>9.77</v>
      </c>
      <c r="BA229" s="74">
        <f>DataInput!BA458/1000</f>
        <v>69.426874000000012</v>
      </c>
      <c r="BB229" s="74">
        <f>DataInput!BB458/1000</f>
        <v>84.182287000000002</v>
      </c>
      <c r="BC229" s="74">
        <f>DataInput!BC458/1000</f>
        <v>112.51156900000001</v>
      </c>
      <c r="BD229" s="74">
        <f>DataInput!BD271-(Model!BD224+Model!BD225+Model!BD228)</f>
        <v>200.30184900000006</v>
      </c>
      <c r="BE229" s="74">
        <f>DataInput!BE271-(Model!BE224+Model!BE225+Model!BE228)</f>
        <v>197.34209599999991</v>
      </c>
      <c r="BF229" s="74">
        <f>DataInput!BF271-(Model!BF224+Model!BF225+Model!BF228)</f>
        <v>307.45284100000003</v>
      </c>
      <c r="BG229" s="74">
        <f>DataInput!BG271-(Model!BG224+Model!BG225+Model!BG228)</f>
        <v>298.78625399999999</v>
      </c>
      <c r="BH229" s="74">
        <f>DataInput!BH271-(Model!BH224+Model!BH225+Model!BH228)</f>
        <v>344.03668099999999</v>
      </c>
      <c r="BI229" s="74">
        <f>DataInput!BI271-(Model!BI224+Model!BI225+Model!BI228)</f>
        <v>336.97003062999988</v>
      </c>
      <c r="BJ229" s="74">
        <f>DataInput!BJ271-(Model!BJ224+Model!BJ225+Model!BJ228)</f>
        <v>349.11584400000004</v>
      </c>
      <c r="BK229" s="74">
        <f>DataInput!BK271-(Model!BK224+Model!BK225+Model!BK228)</f>
        <v>425.98133699999994</v>
      </c>
      <c r="BL229" s="74">
        <f>DataInput!BL271-(Model!BL224+Model!BL225+Model!BL228)</f>
        <v>424.50088454639069</v>
      </c>
      <c r="BM229" s="74">
        <f>DataInput!BM271-(Model!BM224+Model!BM225+Model!BM228)</f>
        <v>375.85931017336134</v>
      </c>
      <c r="BN229" s="74">
        <f>DataInput!BN271-(Model!BN224+Model!BN225+Model!BN228)</f>
        <v>179.13074200426581</v>
      </c>
      <c r="BO229" s="74">
        <f>DataInput!BO271-(Model!BO224+Model!BO225+Model!BO228)</f>
        <v>187.42056602768912</v>
      </c>
      <c r="BP229" s="94">
        <f ca="1">BO229*BP298/BO298+DataInput!BP825+SIM!X48+finsim!BO193</f>
        <v>222.64072321072601</v>
      </c>
      <c r="BQ229" s="94">
        <f ca="1">BP229*BQ298/BP298+DataInput!BQ825+SIM!Y48+finsim!BP193</f>
        <v>277.98909759619517</v>
      </c>
      <c r="BR229" s="94">
        <f ca="1">BQ229*BR298/BQ298+DataInput!BR825+SIM!Z48+finsim!BQ193</f>
        <v>317.09635586758975</v>
      </c>
      <c r="BS229" s="94">
        <f ca="1">BR229*BS298/BR298+DataInput!BS825+SIM!AA48+finsim!BR193</f>
        <v>334.92462622411705</v>
      </c>
      <c r="BT229" s="94">
        <f ca="1">BS229*BT298/BS298+DataInput!BT825+SIM!AB48+finsim!BS193</f>
        <v>347.14575175405901</v>
      </c>
      <c r="BU229" s="94">
        <f ca="1">BT229*BU298/BT298+DataInput!BU825+SIM!AC48+finsim!BT193</f>
        <v>361.94875149592161</v>
      </c>
      <c r="BV229" s="94">
        <f ca="1">BU229*BV298/BU298+DataInput!BV825+SIM!AD48+finsim!BU193</f>
        <v>379.10587624119103</v>
      </c>
      <c r="BW229" s="94">
        <f ca="1">BV229*BW298/BV298+DataInput!BW825+SIM!AE48+finsim!BV193</f>
        <v>397.0779686973321</v>
      </c>
      <c r="BX229" s="94">
        <f ca="1">BW229*BX298/BW298+DataInput!BX825+SIM!AF48+finsim!BW193</f>
        <v>415.95891742350256</v>
      </c>
      <c r="BY229" s="94">
        <f ca="1">BX229*BY298/BX298+DataInput!BY825+SIM!AG48+finsim!BX193</f>
        <v>435.83401542967334</v>
      </c>
      <c r="BZ229" s="94">
        <f ca="1">BY229*BZ298/BY298+DataInput!BZ825+SIM!AH48+finsim!BY193</f>
        <v>457.3353990529082</v>
      </c>
      <c r="CA229" s="94">
        <f ca="1">BZ229*CA298/BZ298+DataInput!CA825+SIM!AI48+finsim!BZ193</f>
        <v>480.81980444621507</v>
      </c>
      <c r="CB229" s="94">
        <f ca="1">CA229*CB298/CA298+DataInput!CB825+SIM!AJ48+finsim!CA193</f>
        <v>505.70547998604371</v>
      </c>
      <c r="CC229" s="94">
        <f ca="1">CB229*CC298/CB298+DataInput!CC825+SIM!AK48+finsim!CB193</f>
        <v>532.178877486896</v>
      </c>
      <c r="CD229" s="94">
        <f ca="1">CC229*CD298/CC298+DataInput!CD825+SIM!AL48+finsim!CC193</f>
        <v>560.42770575874988</v>
      </c>
      <c r="CE229" s="94"/>
      <c r="CF229" s="438"/>
      <c r="CG229" s="235">
        <f t="shared" si="606"/>
        <v>0</v>
      </c>
      <c r="CH229" s="235">
        <f t="shared" si="637"/>
        <v>0</v>
      </c>
      <c r="CI229" s="235" t="e">
        <f>BM229-#REF!</f>
        <v>#REF!</v>
      </c>
      <c r="CJ229" s="235">
        <f t="shared" si="711"/>
        <v>0</v>
      </c>
      <c r="CK229" s="235">
        <f t="shared" si="712"/>
        <v>0</v>
      </c>
      <c r="CL229" s="235">
        <f t="shared" ca="1" si="713"/>
        <v>0</v>
      </c>
      <c r="CM229" s="235">
        <f t="shared" ca="1" si="714"/>
        <v>0</v>
      </c>
      <c r="CN229" s="235">
        <f t="shared" ca="1" si="715"/>
        <v>0</v>
      </c>
      <c r="CO229" s="235">
        <f t="shared" ca="1" si="716"/>
        <v>0</v>
      </c>
      <c r="CP229" s="235">
        <f t="shared" ca="1" si="717"/>
        <v>0</v>
      </c>
      <c r="CQ229" s="235">
        <f t="shared" ca="1" si="718"/>
        <v>0</v>
      </c>
      <c r="CR229" s="235">
        <f t="shared" ca="1" si="719"/>
        <v>0</v>
      </c>
      <c r="CS229" s="235">
        <f t="shared" ca="1" si="720"/>
        <v>0</v>
      </c>
      <c r="CT229" s="235">
        <f t="shared" ca="1" si="721"/>
        <v>0</v>
      </c>
      <c r="CU229" s="235">
        <f t="shared" ca="1" si="722"/>
        <v>0</v>
      </c>
      <c r="CV229" s="235">
        <f t="shared" ca="1" si="723"/>
        <v>7.3896444519050419E-13</v>
      </c>
      <c r="CW229" s="235">
        <f t="shared" ca="1" si="724"/>
        <v>3.637978807091713E-12</v>
      </c>
      <c r="CX229" s="235">
        <f t="shared" ca="1" si="725"/>
        <v>3.8767211663071066E-11</v>
      </c>
      <c r="CY229" s="235">
        <f t="shared" ca="1" si="726"/>
        <v>3.6789060686714947E-10</v>
      </c>
      <c r="CZ229" s="235">
        <f t="shared" ca="1" si="727"/>
        <v>2.846832103386987E-9</v>
      </c>
      <c r="DA229" s="38"/>
      <c r="DB229" s="236">
        <v>195.43221800000001</v>
      </c>
      <c r="DC229" s="236">
        <v>196.43221800000001</v>
      </c>
      <c r="DD229" s="236">
        <v>332.033953</v>
      </c>
      <c r="DE229" s="236">
        <v>289.70036200000004</v>
      </c>
      <c r="DF229" s="401">
        <v>336.95525499999997</v>
      </c>
      <c r="DG229" s="236">
        <v>425.98133699999994</v>
      </c>
      <c r="DH229" s="492">
        <v>424.50088454639069</v>
      </c>
      <c r="DI229" s="236">
        <v>179.13074200426581</v>
      </c>
      <c r="DJ229" s="236">
        <v>187.42056602768912</v>
      </c>
      <c r="DK229" s="236">
        <v>222.64072321072598</v>
      </c>
      <c r="DL229" s="236">
        <v>277.98909759619511</v>
      </c>
      <c r="DM229" s="236">
        <v>317.09635586758981</v>
      </c>
      <c r="DN229" s="236">
        <v>334.92462622411699</v>
      </c>
      <c r="DO229" s="236">
        <v>347.14575175405906</v>
      </c>
      <c r="DP229" s="236">
        <v>361.94875149592167</v>
      </c>
      <c r="DQ229" s="401">
        <v>379.10587624119114</v>
      </c>
      <c r="DR229" s="401">
        <v>397.07796869733221</v>
      </c>
      <c r="DS229" s="401">
        <v>415.95891742350238</v>
      </c>
      <c r="DT229" s="401">
        <v>435.834015429673</v>
      </c>
      <c r="DU229" s="401">
        <v>457.33539905290746</v>
      </c>
      <c r="DV229" s="401">
        <v>480.81980444621144</v>
      </c>
      <c r="DW229" s="401">
        <v>505.70547998600495</v>
      </c>
      <c r="DX229" s="401">
        <v>532.17887748652811</v>
      </c>
      <c r="DY229" s="401">
        <v>560.42770575590305</v>
      </c>
      <c r="DZ229" s="401"/>
      <c r="EA229" s="989"/>
    </row>
    <row r="230" spans="1:131" s="19" customFormat="1">
      <c r="A230" s="19" t="str">
        <f>DataInput!A272</f>
        <v>Non-tax revenue</v>
      </c>
      <c r="B230" s="136" t="s">
        <v>2518</v>
      </c>
      <c r="C230" s="449" t="s">
        <v>3284</v>
      </c>
      <c r="D230" s="206"/>
      <c r="E230" s="206"/>
      <c r="F230" s="76">
        <f t="shared" ref="F230:AU230" si="728">+F231+F232+F233+F234</f>
        <v>9.3736391604983399E-3</v>
      </c>
      <c r="G230" s="76">
        <f t="shared" si="728"/>
        <v>1.0063919095921288E-2</v>
      </c>
      <c r="H230" s="76">
        <f t="shared" si="728"/>
        <v>9.840696537134078E-3</v>
      </c>
      <c r="I230" s="76">
        <f t="shared" si="728"/>
        <v>1.0010364125080606E-2</v>
      </c>
      <c r="J230" s="76">
        <f t="shared" si="728"/>
        <v>1.1876702882056951E-2</v>
      </c>
      <c r="K230" s="76">
        <f t="shared" si="728"/>
        <v>1.2894706048724775E-2</v>
      </c>
      <c r="L230" s="76">
        <f t="shared" si="728"/>
        <v>1.5779048437618882E-2</v>
      </c>
      <c r="M230" s="76">
        <f t="shared" si="728"/>
        <v>1.6966718726983299E-2</v>
      </c>
      <c r="N230" s="76">
        <f t="shared" si="728"/>
        <v>1.7306052495539324E-2</v>
      </c>
      <c r="O230" s="76">
        <f t="shared" si="728"/>
        <v>1.7475719618235915E-2</v>
      </c>
      <c r="P230" s="76">
        <f t="shared" si="728"/>
        <v>1.9681393074268156E-2</v>
      </c>
      <c r="Q230" s="76">
        <f t="shared" si="728"/>
        <v>2.0699396717773141E-2</v>
      </c>
      <c r="R230" s="76">
        <f t="shared" si="728"/>
        <v>2.2396067875215732E-2</v>
      </c>
      <c r="S230" s="76">
        <f t="shared" si="728"/>
        <v>2.3583738641417308E-2</v>
      </c>
      <c r="T230" s="76">
        <f t="shared" si="728"/>
        <v>2.2735403051108792E-2</v>
      </c>
      <c r="U230" s="76">
        <f t="shared" si="728"/>
        <v>2.1038730939991881E-2</v>
      </c>
      <c r="V230" s="76">
        <f t="shared" si="728"/>
        <v>2.2056733652996992E-2</v>
      </c>
      <c r="W230" s="76">
        <f t="shared" si="728"/>
        <v>2.1208398062688476E-2</v>
      </c>
      <c r="X230" s="76">
        <f t="shared" si="728"/>
        <v>1.6032550249284485E-2</v>
      </c>
      <c r="Y230" s="76">
        <f t="shared" si="728"/>
        <v>1.1663918812136437E-2</v>
      </c>
      <c r="Z230" s="76">
        <f t="shared" si="728"/>
        <v>1.3234758992922677E-2</v>
      </c>
      <c r="AA230" s="76">
        <f t="shared" si="728"/>
        <v>9.7541991267116688E-3</v>
      </c>
      <c r="AB230" s="76">
        <f t="shared" si="728"/>
        <v>9.8444789644497425E-3</v>
      </c>
      <c r="AC230" s="76">
        <f t="shared" si="728"/>
        <v>1.2486158860772287E-2</v>
      </c>
      <c r="AD230" s="76">
        <f t="shared" si="728"/>
        <v>1.8350077493761083E-2</v>
      </c>
      <c r="AE230" s="76">
        <f t="shared" si="728"/>
        <v>1.7069518128896503E-2</v>
      </c>
      <c r="AF230" s="76">
        <f t="shared" si="728"/>
        <v>2.2997896825215275E-2</v>
      </c>
      <c r="AG230" s="76">
        <f t="shared" si="728"/>
        <v>2.162195466502962E-2</v>
      </c>
      <c r="AH230" s="76">
        <f t="shared" si="728"/>
        <v>2.0246011097506927E-2</v>
      </c>
      <c r="AI230" s="76">
        <f t="shared" si="728"/>
        <v>1.8870068937321273E-2</v>
      </c>
      <c r="AJ230" s="76">
        <f t="shared" si="728"/>
        <v>2.9287919335210022E-2</v>
      </c>
      <c r="AK230" s="76">
        <f t="shared" si="728"/>
        <v>3.9902333904080323E-2</v>
      </c>
      <c r="AL230" s="76">
        <f t="shared" si="728"/>
        <v>3.1646678128292305E-2</v>
      </c>
      <c r="AM230" s="76">
        <f t="shared" si="728"/>
        <v>4.0139036734630165E-2</v>
      </c>
      <c r="AN230" s="76">
        <f t="shared" si="728"/>
        <v>4.3780715212028462E-2</v>
      </c>
      <c r="AO230" s="76">
        <f t="shared" si="728"/>
        <v>4.0829315534913715E-2</v>
      </c>
      <c r="AP230" s="76">
        <f t="shared" si="728"/>
        <v>4.6833592250753897E-2</v>
      </c>
      <c r="AQ230" s="76">
        <f t="shared" si="728"/>
        <v>5.8541990313442371E-2</v>
      </c>
      <c r="AR230" s="76">
        <f t="shared" si="728"/>
        <v>2.3416796125376949E-2</v>
      </c>
      <c r="AS230" s="76">
        <f t="shared" si="728"/>
        <v>4.2930792896524406E-2</v>
      </c>
      <c r="AT230" s="76">
        <f t="shared" si="728"/>
        <v>0.4566275244448505</v>
      </c>
      <c r="AU230" s="76">
        <f t="shared" si="728"/>
        <v>4.1330645161290311</v>
      </c>
      <c r="AV230" s="76">
        <f>+AV231+AV232+AV233+AV234</f>
        <v>5.5</v>
      </c>
      <c r="AW230" s="76">
        <f>+AW231+AW232+AW233+AW234</f>
        <v>12.9</v>
      </c>
      <c r="AX230" s="76">
        <f>+AX231+AX232+AX233+AX234</f>
        <v>26</v>
      </c>
      <c r="AY230" s="76">
        <f>+AY231+AY232+AY233+AY234</f>
        <v>89.199999999999989</v>
      </c>
      <c r="AZ230" s="76">
        <f>+AZ231+AZ232+AZ233+AZ234</f>
        <v>66.8</v>
      </c>
      <c r="BA230" s="74">
        <f>(DataInput!BA534+DataInput!BA536)/1000</f>
        <v>73.291760999999923</v>
      </c>
      <c r="BB230" s="74">
        <f>(DataInput!BB534+DataInput!BB536)/1000</f>
        <v>114.89817500000002</v>
      </c>
      <c r="BC230" s="74">
        <f>(DataInput!BC534+DataInput!BC536)/1000</f>
        <v>140.35170100000002</v>
      </c>
      <c r="BD230" s="74">
        <f>DataInput!BD534+DataInput!BD536</f>
        <v>193.89680399999992</v>
      </c>
      <c r="BE230" s="74">
        <f>DataInput!BE534+DataInput!BE536</f>
        <v>268.73199799999998</v>
      </c>
      <c r="BF230" s="74">
        <f>DataInput!BF272</f>
        <v>372.8</v>
      </c>
      <c r="BG230" s="74">
        <f>DataInput!BG272</f>
        <v>423.57957200000021</v>
      </c>
      <c r="BH230" s="74">
        <f>DataInput!BH272</f>
        <v>427.97982000000002</v>
      </c>
      <c r="BI230" s="74">
        <f>DataInput!BI272</f>
        <v>757.69573799999989</v>
      </c>
      <c r="BJ230" s="74">
        <f>DataInput!BJ272</f>
        <v>578.5</v>
      </c>
      <c r="BK230" s="74">
        <f>DataInput!BK272</f>
        <v>754.32093199999997</v>
      </c>
      <c r="BL230" s="74">
        <f>DataInput!BL272</f>
        <v>1005.4</v>
      </c>
      <c r="BM230" s="74">
        <f>DataInput!BM272</f>
        <v>826.59998000000007</v>
      </c>
      <c r="BN230" s="74">
        <f>DataInput!BN272</f>
        <v>891.7999890000001</v>
      </c>
      <c r="BO230" s="74">
        <f>DataInput!BO272</f>
        <v>672.09963300000004</v>
      </c>
      <c r="BP230" s="76">
        <f t="shared" ref="BP230:BU230" ca="1" si="729">SUM(BP231:BP234)</f>
        <v>805.12954855732914</v>
      </c>
      <c r="BQ230" s="76">
        <f t="shared" ca="1" si="729"/>
        <v>989.37161138115675</v>
      </c>
      <c r="BR230" s="76">
        <f t="shared" ca="1" si="729"/>
        <v>1102.5358504055775</v>
      </c>
      <c r="BS230" s="76">
        <f t="shared" ca="1" si="729"/>
        <v>1154.5104664999301</v>
      </c>
      <c r="BT230" s="76">
        <f t="shared" ca="1" si="729"/>
        <v>1190.2819278782167</v>
      </c>
      <c r="BU230" s="76">
        <f t="shared" ca="1" si="729"/>
        <v>1232.4353740162819</v>
      </c>
      <c r="BV230" s="76">
        <f ca="1">SUM(BV231:BV234)</f>
        <v>1280.1436489477826</v>
      </c>
      <c r="BW230" s="76">
        <f t="shared" ref="BW230:BX230" ca="1" si="730">SUM(BW231:BW234)</f>
        <v>1329.6635863452502</v>
      </c>
      <c r="BX230" s="76">
        <f t="shared" ca="1" si="730"/>
        <v>1380.7096129756746</v>
      </c>
      <c r="BY230" s="76">
        <f t="shared" ref="BY230:CD230" ca="1" si="731">SUM(BY231:BY234)</f>
        <v>1433.2178070869645</v>
      </c>
      <c r="BZ230" s="76">
        <f t="shared" ca="1" si="731"/>
        <v>1487.9534231678833</v>
      </c>
      <c r="CA230" s="76">
        <f t="shared" ca="1" si="731"/>
        <v>1545.6642216298808</v>
      </c>
      <c r="CB230" s="76">
        <f t="shared" ca="1" si="731"/>
        <v>1605.3758176075253</v>
      </c>
      <c r="CC230" s="76">
        <f t="shared" ca="1" si="731"/>
        <v>1667.424905271763</v>
      </c>
      <c r="CD230" s="76">
        <f t="shared" ca="1" si="731"/>
        <v>1731.9872530446971</v>
      </c>
      <c r="CE230" s="76"/>
      <c r="CF230" s="435"/>
      <c r="CG230" s="235">
        <f t="shared" ref="CG230:CG240" si="732">BK230-DG230</f>
        <v>0</v>
      </c>
      <c r="CH230" s="235">
        <f t="shared" si="637"/>
        <v>0</v>
      </c>
      <c r="CI230" s="235" t="e">
        <f>BM230-#REF!</f>
        <v>#REF!</v>
      </c>
      <c r="CJ230" s="235">
        <f t="shared" si="711"/>
        <v>0</v>
      </c>
      <c r="CK230" s="235">
        <f t="shared" si="712"/>
        <v>0</v>
      </c>
      <c r="CL230" s="235">
        <f t="shared" ca="1" si="713"/>
        <v>0</v>
      </c>
      <c r="CM230" s="235">
        <f t="shared" ca="1" si="714"/>
        <v>0</v>
      </c>
      <c r="CN230" s="235">
        <f t="shared" ca="1" si="715"/>
        <v>0</v>
      </c>
      <c r="CO230" s="235">
        <f t="shared" ca="1" si="716"/>
        <v>0</v>
      </c>
      <c r="CP230" s="235">
        <f t="shared" ca="1" si="717"/>
        <v>0</v>
      </c>
      <c r="CQ230" s="235">
        <f t="shared" ca="1" si="718"/>
        <v>0</v>
      </c>
      <c r="CR230" s="235">
        <f t="shared" ca="1" si="719"/>
        <v>0</v>
      </c>
      <c r="CS230" s="235">
        <f t="shared" ca="1" si="720"/>
        <v>0</v>
      </c>
      <c r="CT230" s="235">
        <f t="shared" ca="1" si="721"/>
        <v>2.0463630789890885E-12</v>
      </c>
      <c r="CU230" s="235">
        <f t="shared" ca="1" si="722"/>
        <v>2.7284841053187847E-12</v>
      </c>
      <c r="CV230" s="235">
        <f t="shared" ca="1" si="723"/>
        <v>3.637978807091713E-12</v>
      </c>
      <c r="CW230" s="235">
        <f t="shared" ca="1" si="724"/>
        <v>4.0927261579781771E-12</v>
      </c>
      <c r="CX230" s="235">
        <f t="shared" ca="1" si="725"/>
        <v>-4.7748471843078732E-12</v>
      </c>
      <c r="CY230" s="235">
        <f t="shared" ca="1" si="726"/>
        <v>-1.1141310096718371E-10</v>
      </c>
      <c r="CZ230" s="235">
        <f t="shared" ca="1" si="727"/>
        <v>-9.4428287411574274E-10</v>
      </c>
      <c r="DA230" s="38"/>
      <c r="DB230" s="236">
        <v>333.741626</v>
      </c>
      <c r="DC230" s="236">
        <v>334.74162599999988</v>
      </c>
      <c r="DD230" s="236">
        <v>390.889521</v>
      </c>
      <c r="DE230" s="236">
        <v>396.858023</v>
      </c>
      <c r="DF230" s="401">
        <v>757.69573799999989</v>
      </c>
      <c r="DG230" s="236">
        <v>754.32093199999997</v>
      </c>
      <c r="DH230" s="492">
        <v>1005.4</v>
      </c>
      <c r="DI230" s="236">
        <v>891.7999890000001</v>
      </c>
      <c r="DJ230" s="236">
        <v>672.09963300000004</v>
      </c>
      <c r="DK230" s="236">
        <v>805.12954855732914</v>
      </c>
      <c r="DL230" s="236">
        <v>989.37161138115675</v>
      </c>
      <c r="DM230" s="236">
        <v>1102.5358504055775</v>
      </c>
      <c r="DN230" s="236">
        <v>1154.5104664999303</v>
      </c>
      <c r="DO230" s="236">
        <v>1190.2819278782169</v>
      </c>
      <c r="DP230" s="236">
        <v>1232.4353740162819</v>
      </c>
      <c r="DQ230" s="1084">
        <v>1280.1436489477817</v>
      </c>
      <c r="DR230" s="1084">
        <v>1329.6635863452486</v>
      </c>
      <c r="DS230" s="1084">
        <v>1380.7096129756726</v>
      </c>
      <c r="DT230" s="1084">
        <v>1433.2178070869618</v>
      </c>
      <c r="DU230" s="1084">
        <v>1487.9534231678797</v>
      </c>
      <c r="DV230" s="1084">
        <v>1545.6642216298767</v>
      </c>
      <c r="DW230" s="1084">
        <v>1605.3758176075301</v>
      </c>
      <c r="DX230" s="1084">
        <v>1667.4249052718744</v>
      </c>
      <c r="DY230" s="1084">
        <v>1731.9872530456414</v>
      </c>
      <c r="DZ230" s="1084"/>
      <c r="EA230" s="988"/>
    </row>
    <row r="231" spans="1:131" s="76" customFormat="1">
      <c r="A231" s="76" t="s">
        <v>3910</v>
      </c>
      <c r="B231" s="80" t="s">
        <v>3848</v>
      </c>
      <c r="C231" s="51" t="s">
        <v>3790</v>
      </c>
      <c r="D231" s="207"/>
      <c r="E231" s="207"/>
      <c r="F231" s="295">
        <f>mamiabc!F39</f>
        <v>4.3E-3</v>
      </c>
      <c r="G231" s="295">
        <f>mamiabc!G39</f>
        <v>4.5999999999999999E-3</v>
      </c>
      <c r="H231" s="295">
        <f>mamiabc!H39</f>
        <v>4.4079999923706051E-3</v>
      </c>
      <c r="I231" s="295">
        <f>mamiabc!I39</f>
        <v>4.484000205993652E-3</v>
      </c>
      <c r="J231" s="295">
        <f>mamiabc!J39</f>
        <v>5.320000171661377E-3</v>
      </c>
      <c r="K231" s="295">
        <f>mamiabc!K39</f>
        <v>5.7760000228881834E-3</v>
      </c>
      <c r="L231" s="295">
        <f>mamiabc!L39</f>
        <v>7.0679998397827149E-3</v>
      </c>
      <c r="M231" s="295">
        <f>mamiabc!M39</f>
        <v>7.5999999046325682E-3</v>
      </c>
      <c r="N231" s="295">
        <f>mamiabc!N39</f>
        <v>7.7519998550415036E-3</v>
      </c>
      <c r="O231" s="295">
        <f>mamiabc!O39</f>
        <v>7.8280000686645514E-3</v>
      </c>
      <c r="P231" s="295">
        <f>mamiabc!P39</f>
        <v>8.8159999847412102E-3</v>
      </c>
      <c r="Q231" s="295">
        <f>mamiabc!Q39</f>
        <v>9.2720003128051766E-3</v>
      </c>
      <c r="R231" s="295">
        <f>mamiabc!R39</f>
        <v>1.0031999588012696E-2</v>
      </c>
      <c r="S231" s="295">
        <f>mamiabc!S39</f>
        <v>1.0564000129699706E-2</v>
      </c>
      <c r="T231" s="295">
        <f>mamiabc!T39</f>
        <v>1.0184000015258789E-2</v>
      </c>
      <c r="U231" s="295">
        <f>mamiabc!U39</f>
        <v>9.4239997863769537E-3</v>
      </c>
      <c r="V231" s="295">
        <f>mamiabc!V39</f>
        <v>9.8800001144409184E-3</v>
      </c>
      <c r="W231" s="295">
        <f>mamiabc!W39</f>
        <v>9.4999999999999998E-3</v>
      </c>
      <c r="X231" s="295">
        <f>mamiabc!X39</f>
        <v>6.9000000953674317E-3</v>
      </c>
      <c r="Y231" s="295">
        <f>mamiabc!Y39</f>
        <v>6.199999809265137E-3</v>
      </c>
      <c r="Z231" s="295">
        <f>mamiabc!Z39</f>
        <v>6.5999999046325681E-3</v>
      </c>
      <c r="AA231" s="295">
        <f>mamiabc!AA39</f>
        <v>3.9000000953674317E-3</v>
      </c>
      <c r="AB231" s="295">
        <f>mamiabc!AB39</f>
        <v>3.5999999046325685E-3</v>
      </c>
      <c r="AC231" s="295">
        <f>mamiabc!AC39</f>
        <v>3.9000000953674317E-3</v>
      </c>
      <c r="AD231" s="295">
        <f>mamiabc!AD39</f>
        <v>4.3000001907348637E-3</v>
      </c>
      <c r="AE231" s="295">
        <f>mamiabc!AE39</f>
        <v>3.7999999523162841E-3</v>
      </c>
      <c r="AF231" s="295">
        <f>mamiabc!AF39</f>
        <v>7.7922000885009765E-3</v>
      </c>
      <c r="AG231" s="295">
        <f>mamiabc!AG39</f>
        <v>7.3260002136230472E-3</v>
      </c>
      <c r="AH231" s="295">
        <f>mamiabc!AH39</f>
        <v>6.8597998619079588E-3</v>
      </c>
      <c r="AI231" s="295">
        <f>mamiabc!AI39</f>
        <v>6.3935999870300296E-3</v>
      </c>
      <c r="AJ231" s="295">
        <f>mamiabc!AJ39</f>
        <v>9.9233999252319339E-3</v>
      </c>
      <c r="AK231" s="295">
        <f>mamiabc!AK39</f>
        <v>1.3519800186157227E-2</v>
      </c>
      <c r="AL231" s="295">
        <f>mamiabc!AL39</f>
        <v>1.0722599983215331E-2</v>
      </c>
      <c r="AM231" s="295">
        <f>mamiabc!AM39</f>
        <v>1.3600000381469727E-2</v>
      </c>
      <c r="AN231" s="295">
        <f>mamiabc!AN39</f>
        <v>1.4899999618530273E-2</v>
      </c>
      <c r="AO231" s="295">
        <f>mamiabc!AO39</f>
        <v>1.3899999618530274E-2</v>
      </c>
      <c r="AP231" s="295">
        <f>mamiabc!AP39</f>
        <v>0</v>
      </c>
      <c r="AQ231" s="295">
        <f>mamiabc!AQ39</f>
        <v>0</v>
      </c>
      <c r="AR231" s="295">
        <f>mamiabc!AR39</f>
        <v>0</v>
      </c>
      <c r="AS231" s="295">
        <f>mamiabc!AS39</f>
        <v>0</v>
      </c>
      <c r="AT231" s="295">
        <f>mamiabc!AT39</f>
        <v>0</v>
      </c>
      <c r="AU231" s="295">
        <f>mamiabc!AU39</f>
        <v>0</v>
      </c>
      <c r="AV231" s="74">
        <f>DataInput!AV522</f>
        <v>1.2</v>
      </c>
      <c r="AW231" s="74">
        <f>DataInput!AW522</f>
        <v>1.2</v>
      </c>
      <c r="AX231" s="74">
        <f>DataInput!AX522</f>
        <v>1.9</v>
      </c>
      <c r="AY231" s="74">
        <f>DataInput!AY522</f>
        <v>26.1</v>
      </c>
      <c r="AZ231" s="74">
        <f>DataInput!AZ522</f>
        <v>42.7</v>
      </c>
      <c r="BA231" s="74">
        <f>DataInput!BA522/1000</f>
        <v>17.098213999999999</v>
      </c>
      <c r="BB231" s="74">
        <f>DataInput!BB522/1000</f>
        <v>20.828744999999998</v>
      </c>
      <c r="BC231" s="74">
        <f>DataInput!BC522/1000</f>
        <v>32.589075000000001</v>
      </c>
      <c r="BD231" s="74">
        <f>DataInput!BD522</f>
        <v>33.446477999999999</v>
      </c>
      <c r="BE231" s="94">
        <f t="shared" ref="BE231:BL231" si="733">BD231*(1+BE302/100)</f>
        <v>36.623893410000001</v>
      </c>
      <c r="BF231" s="94">
        <f t="shared" si="733"/>
        <v>40.725769471920003</v>
      </c>
      <c r="BG231" s="94">
        <f>BF231*(1+BG302/100)</f>
        <v>43.342921183466288</v>
      </c>
      <c r="BH231" s="94">
        <f>BG231*(1+BH302/100)</f>
        <v>49.715565232737355</v>
      </c>
      <c r="BI231" s="94">
        <f t="shared" si="733"/>
        <v>49.619084202479932</v>
      </c>
      <c r="BJ231" s="94">
        <f t="shared" si="733"/>
        <v>53.065024058226925</v>
      </c>
      <c r="BK231" s="94">
        <f t="shared" si="733"/>
        <v>62.459701318977871</v>
      </c>
      <c r="BL231" s="94">
        <f t="shared" si="733"/>
        <v>65.591260405894843</v>
      </c>
      <c r="BM231" s="94">
        <f>BL231*(1+BM302/100)+finsim!BL195</f>
        <v>66.857765788895691</v>
      </c>
      <c r="BN231" s="94">
        <f>BM231*(1+BN302/100)+finsim!BM195</f>
        <v>69.110691869939743</v>
      </c>
      <c r="BO231" s="94">
        <f>BN231*(1+BO302/100)+finsim!BN195</f>
        <v>73.879329608965577</v>
      </c>
      <c r="BP231" s="94">
        <f ca="1">BO231*(1+BP302/100)+finsim!BO195</f>
        <v>100.7385353603192</v>
      </c>
      <c r="BQ231" s="94">
        <f ca="1">BP231*(1+BQ302/100)+finsim!BP195</f>
        <v>112.23786928569697</v>
      </c>
      <c r="BR231" s="94">
        <f ca="1">BQ231*(1+BR302/100)+finsim!BQ195</f>
        <v>118.1853337508922</v>
      </c>
      <c r="BS231" s="94">
        <f ca="1">BR231*(1+BS302/100)+finsim!BR195</f>
        <v>121.76507330968245</v>
      </c>
      <c r="BT231" s="94">
        <f ca="1">BS231*(1+BT302/100)+finsim!BS195</f>
        <v>125.95099750826645</v>
      </c>
      <c r="BU231" s="94">
        <f ca="1">BT231*(1+BU302/100)+finsim!BT195</f>
        <v>130.43892598908917</v>
      </c>
      <c r="BV231" s="94">
        <f ca="1">BU231*(1+BV302/100)+finsim!BU195</f>
        <v>135.12921801331882</v>
      </c>
      <c r="BW231" s="94">
        <f ca="1">BV231*(1+BW302/100)+finsim!BV195</f>
        <v>140.01188313067237</v>
      </c>
      <c r="BX231" s="94">
        <f ca="1">BW231*(1+BX302/100)+finsim!BW195</f>
        <v>145.04642885314567</v>
      </c>
      <c r="BY231" s="94">
        <f ca="1">BX231*(1+BY302/100)+finsim!BX195</f>
        <v>150.22815156873335</v>
      </c>
      <c r="BZ231" s="94">
        <f ca="1">BY231*(1+BZ302/100)+finsim!BY195</f>
        <v>155.56779326831992</v>
      </c>
      <c r="CA231" s="94">
        <f ca="1">BZ231*(1+CA302/100)+finsim!BZ195</f>
        <v>161.0907922416761</v>
      </c>
      <c r="CB231" s="94">
        <f ca="1">CA231*(1+CB302/100)+finsim!CA195</f>
        <v>166.81043292337267</v>
      </c>
      <c r="CC231" s="94">
        <f ca="1">CB231*(1+CC302/100)+finsim!CB195</f>
        <v>172.71807049150448</v>
      </c>
      <c r="CD231" s="94">
        <f ca="1">CC231*(1+CD302/100)+finsim!CC195</f>
        <v>178.81971495417409</v>
      </c>
      <c r="CE231" s="94"/>
      <c r="CF231" s="438"/>
      <c r="CG231" s="235">
        <f t="shared" si="732"/>
        <v>3.7987697807857046E-2</v>
      </c>
      <c r="CH231" s="235">
        <f t="shared" si="637"/>
        <v>0</v>
      </c>
      <c r="CI231" s="235" t="e">
        <f>BM231-#REF!</f>
        <v>#REF!</v>
      </c>
      <c r="CJ231" s="235">
        <f t="shared" si="711"/>
        <v>0</v>
      </c>
      <c r="CK231" s="235">
        <f t="shared" si="712"/>
        <v>0</v>
      </c>
      <c r="CL231" s="235">
        <f t="shared" ca="1" si="713"/>
        <v>0</v>
      </c>
      <c r="CM231" s="235">
        <f t="shared" ca="1" si="714"/>
        <v>0</v>
      </c>
      <c r="CN231" s="235">
        <f t="shared" ca="1" si="715"/>
        <v>0</v>
      </c>
      <c r="CO231" s="235">
        <f t="shared" ca="1" si="716"/>
        <v>0</v>
      </c>
      <c r="CP231" s="235">
        <f t="shared" ca="1" si="717"/>
        <v>0</v>
      </c>
      <c r="CQ231" s="235">
        <f t="shared" ca="1" si="718"/>
        <v>0</v>
      </c>
      <c r="CR231" s="235">
        <f t="shared" ca="1" si="719"/>
        <v>0</v>
      </c>
      <c r="CS231" s="235">
        <f t="shared" ca="1" si="720"/>
        <v>0</v>
      </c>
      <c r="CT231" s="235">
        <f t="shared" ca="1" si="721"/>
        <v>0</v>
      </c>
      <c r="CU231" s="235">
        <f t="shared" ca="1" si="722"/>
        <v>0</v>
      </c>
      <c r="CV231" s="235">
        <f t="shared" ca="1" si="723"/>
        <v>0</v>
      </c>
      <c r="CW231" s="235">
        <f t="shared" ca="1" si="724"/>
        <v>0</v>
      </c>
      <c r="CX231" s="235">
        <f t="shared" ca="1" si="725"/>
        <v>1.6484591469634324E-12</v>
      </c>
      <c r="CY231" s="235">
        <f t="shared" ca="1" si="726"/>
        <v>1.6001422409317456E-11</v>
      </c>
      <c r="CZ231" s="235">
        <f t="shared" ca="1" si="727"/>
        <v>1.2843770491599571E-10</v>
      </c>
      <c r="DA231" s="38"/>
      <c r="DB231" s="236">
        <v>40.022974875427998</v>
      </c>
      <c r="DC231" s="236">
        <v>41.022974875427998</v>
      </c>
      <c r="DD231" s="236">
        <v>43.648445267455394</v>
      </c>
      <c r="DE231" s="236">
        <v>50.021118276503877</v>
      </c>
      <c r="DF231" s="401">
        <v>49.971097158227373</v>
      </c>
      <c r="DG231" s="236">
        <v>62.421713621170014</v>
      </c>
      <c r="DH231" s="492">
        <v>65.591260405894843</v>
      </c>
      <c r="DI231" s="236">
        <v>69.110691869939743</v>
      </c>
      <c r="DJ231" s="236">
        <v>73.879329608965577</v>
      </c>
      <c r="DK231" s="236">
        <v>100.73853536031919</v>
      </c>
      <c r="DL231" s="236">
        <v>112.23786928569696</v>
      </c>
      <c r="DM231" s="236">
        <v>118.18533375089221</v>
      </c>
      <c r="DN231" s="236">
        <v>121.76507330968246</v>
      </c>
      <c r="DO231" s="236">
        <v>125.95099750826648</v>
      </c>
      <c r="DP231" s="236">
        <v>130.43892598908917</v>
      </c>
      <c r="DQ231" s="401">
        <v>135.12921801331882</v>
      </c>
      <c r="DR231" s="401">
        <v>140.01188313067237</v>
      </c>
      <c r="DS231" s="401">
        <v>145.04642885314567</v>
      </c>
      <c r="DT231" s="401">
        <v>150.22815156873335</v>
      </c>
      <c r="DU231" s="401">
        <v>155.56779326831986</v>
      </c>
      <c r="DV231" s="401">
        <v>161.09079224167593</v>
      </c>
      <c r="DW231" s="401">
        <v>166.81043292337102</v>
      </c>
      <c r="DX231" s="401">
        <v>172.71807049148848</v>
      </c>
      <c r="DY231" s="401">
        <v>178.81971495404565</v>
      </c>
      <c r="DZ231" s="401"/>
      <c r="EA231" s="989"/>
    </row>
    <row r="232" spans="1:131" s="76" customFormat="1">
      <c r="A232" s="76" t="s">
        <v>3911</v>
      </c>
      <c r="B232" s="80" t="s">
        <v>2810</v>
      </c>
      <c r="C232" s="51" t="s">
        <v>3791</v>
      </c>
      <c r="D232" s="207"/>
      <c r="E232" s="207"/>
      <c r="F232" s="295">
        <f>mamiabc!F40*Model!$AV$232/mamiabc!$AV$40</f>
        <v>5.073639160498339E-3</v>
      </c>
      <c r="G232" s="295">
        <f>mamiabc!G40*Model!$AV$232/mamiabc!$AV$40</f>
        <v>5.4639190959212876E-3</v>
      </c>
      <c r="H232" s="295">
        <f>mamiabc!H40*Model!$AV$232/mamiabc!$AV$40</f>
        <v>5.4326965447634729E-3</v>
      </c>
      <c r="I232" s="295">
        <f>mamiabc!I40*Model!$AV$232/mamiabc!$AV$40</f>
        <v>5.5263639190869553E-3</v>
      </c>
      <c r="J232" s="295">
        <f>mamiabc!J40*Model!$AV$232/mamiabc!$AV$40</f>
        <v>6.5567027103955733E-3</v>
      </c>
      <c r="K232" s="295">
        <f>mamiabc!K40*Model!$AV$232/mamiabc!$AV$40</f>
        <v>7.1187060258365914E-3</v>
      </c>
      <c r="L232" s="295">
        <f>mamiabc!L40*Model!$AV$232/mamiabc!$AV$40</f>
        <v>8.7110485978361667E-3</v>
      </c>
      <c r="M232" s="295">
        <f>mamiabc!M40*Model!$AV$232/mamiabc!$AV$40</f>
        <v>9.3667188223507288E-3</v>
      </c>
      <c r="N232" s="295">
        <f>mamiabc!N40*Model!$AV$232/mamiabc!$AV$40</f>
        <v>9.5540526404978201E-3</v>
      </c>
      <c r="O232" s="295">
        <f>mamiabc!O40*Model!$AV$232/mamiabc!$AV$40</f>
        <v>9.6477195495713632E-3</v>
      </c>
      <c r="P232" s="295">
        <f>mamiabc!P40*Model!$AV$232/mamiabc!$AV$40</f>
        <v>1.0865393089526946E-2</v>
      </c>
      <c r="Q232" s="295">
        <f>mamiabc!Q40*Model!$AV$232/mamiabc!$AV$40</f>
        <v>1.1427396404967967E-2</v>
      </c>
      <c r="R232" s="295">
        <f>mamiabc!R40*Model!$AV$232/mamiabc!$AV$40</f>
        <v>1.2364068287203038E-2</v>
      </c>
      <c r="S232" s="295">
        <f>mamiabc!S40*Model!$AV$232/mamiabc!$AV$40</f>
        <v>1.30197385117176E-2</v>
      </c>
      <c r="T232" s="295">
        <f>mamiabc!T40*Model!$AV$232/mamiabc!$AV$40</f>
        <v>1.2551403035850003E-2</v>
      </c>
      <c r="U232" s="295">
        <f>mamiabc!U40*Model!$AV$232/mamiabc!$AV$40</f>
        <v>1.1614731153614929E-2</v>
      </c>
      <c r="V232" s="295">
        <f>mamiabc!V40*Model!$AV$232/mamiabc!$AV$40</f>
        <v>1.2176733538556072E-2</v>
      </c>
      <c r="W232" s="295">
        <f>mamiabc!W40*Model!$AV$232/mamiabc!$AV$40</f>
        <v>1.1708398062688474E-2</v>
      </c>
      <c r="X232" s="295">
        <f>mamiabc!X40*Model!$AV$232/mamiabc!$AV$40</f>
        <v>9.1325501539170541E-3</v>
      </c>
      <c r="Y232" s="295">
        <f>mamiabc!Y40*Model!$AV$232/mamiabc!$AV$40</f>
        <v>5.4639190028712998E-3</v>
      </c>
      <c r="Z232" s="295">
        <f>mamiabc!Z40*Model!$AV$232/mamiabc!$AV$40</f>
        <v>6.6347590882901101E-3</v>
      </c>
      <c r="AA232" s="295">
        <f>mamiabc!AA40*Model!$AV$232/mamiabc!$AV$40</f>
        <v>5.8541990313442371E-3</v>
      </c>
      <c r="AB232" s="295">
        <f>mamiabc!AB40*Model!$AV$232/mamiabc!$AV$40</f>
        <v>6.2444790598171736E-3</v>
      </c>
      <c r="AC232" s="295">
        <f>mamiabc!AC40*Model!$AV$232/mamiabc!$AV$40</f>
        <v>8.5861587654048558E-3</v>
      </c>
      <c r="AD232" s="295">
        <f>mamiabc!AD40*Model!$AV$232/mamiabc!$AV$40</f>
        <v>1.405007730302622E-2</v>
      </c>
      <c r="AE232" s="295">
        <f>mamiabc!AE40*Model!$AV$232/mamiabc!$AV$40</f>
        <v>1.326951817658022E-2</v>
      </c>
      <c r="AF232" s="295">
        <f>mamiabc!AF40*Model!$AV$232/mamiabc!$AV$40</f>
        <v>1.52056967367143E-2</v>
      </c>
      <c r="AG232" s="295">
        <f>mamiabc!AG40*Model!$AV$232/mamiabc!$AV$40</f>
        <v>1.4295954451406571E-2</v>
      </c>
      <c r="AH232" s="295">
        <f>mamiabc!AH40*Model!$AV$232/mamiabc!$AV$40</f>
        <v>1.3386211235598968E-2</v>
      </c>
      <c r="AI232" s="295">
        <f>mamiabc!AI40*Model!$AV$232/mamiabc!$AV$40</f>
        <v>1.2476468950291243E-2</v>
      </c>
      <c r="AJ232" s="295">
        <f>mamiabc!AJ40*Model!$AV$232/mamiabc!$AV$40</f>
        <v>1.9364519409978086E-2</v>
      </c>
      <c r="AK232" s="295">
        <f>mamiabc!AK40*Model!$AV$232/mamiabc!$AV$40</f>
        <v>2.6382533717923092E-2</v>
      </c>
      <c r="AL232" s="295">
        <f>mamiabc!AL40*Model!$AV$232/mamiabc!$AV$40</f>
        <v>2.0924078145076973E-2</v>
      </c>
      <c r="AM232" s="295">
        <f>mamiabc!AM40*Model!$AV$232/mamiabc!$AV$40</f>
        <v>2.653903635316044E-2</v>
      </c>
      <c r="AN232" s="295">
        <f>mamiabc!AN40*Model!$AV$232/mamiabc!$AV$40</f>
        <v>2.8880715593498186E-2</v>
      </c>
      <c r="AO232" s="295">
        <f>mamiabc!AO40*Model!$AV$232/mamiabc!$AV$40</f>
        <v>2.692931591638344E-2</v>
      </c>
      <c r="AP232" s="295">
        <f>mamiabc!AP40*Model!$AV$232/mamiabc!$AV$40</f>
        <v>4.6833592250753897E-2</v>
      </c>
      <c r="AQ232" s="295">
        <f>mamiabc!AQ40*Model!$AV$232/mamiabc!$AV$40</f>
        <v>5.8541990313442371E-2</v>
      </c>
      <c r="AR232" s="295">
        <f>mamiabc!AR40*Model!$AV$232/mamiabc!$AV$40</f>
        <v>2.3416796125376949E-2</v>
      </c>
      <c r="AS232" s="295">
        <f>mamiabc!AS40*Model!$AV$232/mamiabc!$AV$40</f>
        <v>4.2930792896524406E-2</v>
      </c>
      <c r="AT232" s="295">
        <f>mamiabc!AT40*Model!$AV$232/mamiabc!$AV$40</f>
        <v>0.4566275244448505</v>
      </c>
      <c r="AU232" s="295">
        <f>mamiabc!AU40*Model!$AV$232/mamiabc!$AV$40</f>
        <v>4.1330645161290311</v>
      </c>
      <c r="AV232" s="74">
        <f>DataInput!AV523</f>
        <v>4.0999999999999996</v>
      </c>
      <c r="AW232" s="74">
        <f>DataInput!AW523</f>
        <v>4.2</v>
      </c>
      <c r="AX232" s="74">
        <f>DataInput!AX523</f>
        <v>1.1000000000000001</v>
      </c>
      <c r="AY232" s="74">
        <f>DataInput!AY523</f>
        <v>1.4</v>
      </c>
      <c r="AZ232" s="74">
        <f>DataInput!AZ523</f>
        <v>2.2999999999999998</v>
      </c>
      <c r="BA232" s="74">
        <f>DataInput!BA523/1000</f>
        <v>18.337024</v>
      </c>
      <c r="BB232" s="74">
        <f>DataInput!BB523/1000</f>
        <v>41.075758</v>
      </c>
      <c r="BC232" s="74">
        <f>DataInput!BC523/1000</f>
        <v>34.229790000000008</v>
      </c>
      <c r="BD232" s="74">
        <f>DataInput!BD523</f>
        <v>47.226765999999998</v>
      </c>
      <c r="BE232" s="94">
        <f t="shared" ref="BE232:BL232" si="734">BD232*(1+BE302/100)</f>
        <v>51.713308769999998</v>
      </c>
      <c r="BF232" s="94">
        <f t="shared" si="734"/>
        <v>57.505199352240005</v>
      </c>
      <c r="BG232" s="94">
        <f t="shared" si="734"/>
        <v>61.200644100344597</v>
      </c>
      <c r="BH232" s="94">
        <f t="shared" si="734"/>
        <v>70.19888210065713</v>
      </c>
      <c r="BI232" s="94">
        <f t="shared" si="734"/>
        <v>70.062649907856255</v>
      </c>
      <c r="BJ232" s="94">
        <f t="shared" si="734"/>
        <v>74.928351917420215</v>
      </c>
      <c r="BK232" s="94">
        <f t="shared" si="734"/>
        <v>88.193731448233777</v>
      </c>
      <c r="BL232" s="94">
        <f t="shared" si="734"/>
        <v>92.615524625171616</v>
      </c>
      <c r="BM232" s="94">
        <f>BL232*(1+BM302/100)+finsim!BL196</f>
        <v>94.403843065179601</v>
      </c>
      <c r="BN232" s="94">
        <f>BM232*(1+BN302/100)+finsim!BM196</f>
        <v>97.58499753067413</v>
      </c>
      <c r="BO232" s="94">
        <f>BN232*(1+BO302/100)+finsim!BN196</f>
        <v>104.31836236029064</v>
      </c>
      <c r="BP232" s="94">
        <f ca="1">BO232*(1+BP302/100)+finsim!BO196</f>
        <v>142.24383316666467</v>
      </c>
      <c r="BQ232" s="94">
        <f ca="1">BP232*(1+BQ302/100)+finsim!BP196</f>
        <v>158.48100924390894</v>
      </c>
      <c r="BR232" s="94">
        <f ca="1">BQ232*(1+BR302/100)+finsim!BQ196</f>
        <v>166.87888936124418</v>
      </c>
      <c r="BS232" s="94">
        <f ca="1">BR232*(1+BS302/100)+finsim!BR196</f>
        <v>171.93351790790103</v>
      </c>
      <c r="BT232" s="94">
        <f ca="1">BS232*(1+BT302/100)+finsim!BS196</f>
        <v>177.84408531114943</v>
      </c>
      <c r="BU232" s="94">
        <f ca="1">BT232*(1+BU302/100)+finsim!BT196</f>
        <v>184.18108582249025</v>
      </c>
      <c r="BV232" s="94">
        <f ca="1">BU232*(1+BV302/100)+finsim!BU196</f>
        <v>190.80382570858407</v>
      </c>
      <c r="BW232" s="94">
        <f ca="1">BV232*(1+BW302/100)+finsim!BV196</f>
        <v>197.69819835235299</v>
      </c>
      <c r="BX232" s="94">
        <f ca="1">BW232*(1+BX302/100)+finsim!BW196</f>
        <v>204.80702795024209</v>
      </c>
      <c r="BY232" s="94">
        <f ca="1">BX232*(1+BY302/100)+finsim!BX196</f>
        <v>212.12367295441695</v>
      </c>
      <c r="BZ232" s="94">
        <f ca="1">BY232*(1+BZ302/100)+finsim!BY196</f>
        <v>219.66330116490346</v>
      </c>
      <c r="CA232" s="94">
        <f ca="1">BZ232*(1+CA302/100)+finsim!BZ196</f>
        <v>227.46183170473884</v>
      </c>
      <c r="CB232" s="94">
        <f ca="1">CA232*(1+CB302/100)+finsim!CA196</f>
        <v>235.53802233020812</v>
      </c>
      <c r="CC232" s="94">
        <f ca="1">CB232*(1+CC302/100)+finsim!CB196</f>
        <v>243.87966646514425</v>
      </c>
      <c r="CD232" s="94">
        <f ca="1">CC232*(1+CD302/100)+finsim!CC196</f>
        <v>252.49525030191458</v>
      </c>
      <c r="CE232" s="94"/>
      <c r="CF232" s="438"/>
      <c r="CG232" s="235">
        <f t="shared" si="732"/>
        <v>5.3639014405362673E-2</v>
      </c>
      <c r="CH232" s="235">
        <f t="shared" si="637"/>
        <v>0</v>
      </c>
      <c r="CI232" s="235" t="e">
        <f>BM232-#REF!</f>
        <v>#REF!</v>
      </c>
      <c r="CJ232" s="235">
        <f t="shared" si="711"/>
        <v>0</v>
      </c>
      <c r="CK232" s="235">
        <f t="shared" si="712"/>
        <v>0</v>
      </c>
      <c r="CL232" s="235">
        <f t="shared" ca="1" si="713"/>
        <v>0</v>
      </c>
      <c r="CM232" s="235">
        <f t="shared" ca="1" si="714"/>
        <v>0</v>
      </c>
      <c r="CN232" s="235">
        <f t="shared" ca="1" si="715"/>
        <v>0</v>
      </c>
      <c r="CO232" s="235">
        <f t="shared" ca="1" si="716"/>
        <v>0</v>
      </c>
      <c r="CP232" s="235">
        <f t="shared" ca="1" si="717"/>
        <v>0</v>
      </c>
      <c r="CQ232" s="235">
        <f t="shared" ca="1" si="718"/>
        <v>0</v>
      </c>
      <c r="CR232" s="235">
        <f t="shared" ca="1" si="719"/>
        <v>0</v>
      </c>
      <c r="CS232" s="235">
        <f t="shared" ca="1" si="720"/>
        <v>0</v>
      </c>
      <c r="CT232" s="235">
        <f t="shared" ca="1" si="721"/>
        <v>0</v>
      </c>
      <c r="CU232" s="235">
        <f t="shared" ca="1" si="722"/>
        <v>0</v>
      </c>
      <c r="CV232" s="235">
        <f t="shared" ca="1" si="723"/>
        <v>0</v>
      </c>
      <c r="CW232" s="235">
        <f t="shared" ca="1" si="724"/>
        <v>2.2737367544323206E-13</v>
      </c>
      <c r="CX232" s="235">
        <f t="shared" ca="1" si="725"/>
        <v>2.3305801732931286E-12</v>
      </c>
      <c r="CY232" s="235">
        <f t="shared" ca="1" si="726"/>
        <v>2.2595258997171186E-11</v>
      </c>
      <c r="CZ232" s="235">
        <f t="shared" ca="1" si="727"/>
        <v>1.8135892787540797E-10</v>
      </c>
      <c r="DA232" s="38"/>
      <c r="DB232" s="236">
        <v>56.924856394915999</v>
      </c>
      <c r="DC232" s="236">
        <v>57.924856394915999</v>
      </c>
      <c r="DD232" s="236">
        <v>61.632047204190627</v>
      </c>
      <c r="DE232" s="236">
        <v>70.630326096002449</v>
      </c>
      <c r="DF232" s="401">
        <v>70.55969576990644</v>
      </c>
      <c r="DG232" s="236">
        <v>88.140092433828414</v>
      </c>
      <c r="DH232" s="492">
        <v>92.615524625171616</v>
      </c>
      <c r="DI232" s="236">
        <v>97.58499753067413</v>
      </c>
      <c r="DJ232" s="236">
        <v>104.31836236029064</v>
      </c>
      <c r="DK232" s="236">
        <v>142.24383316666464</v>
      </c>
      <c r="DL232" s="236">
        <v>158.48100924390891</v>
      </c>
      <c r="DM232" s="236">
        <v>166.87888936124418</v>
      </c>
      <c r="DN232" s="236">
        <v>171.93351790790103</v>
      </c>
      <c r="DO232" s="236">
        <v>177.84408531114943</v>
      </c>
      <c r="DP232" s="236">
        <v>184.18108582249022</v>
      </c>
      <c r="DQ232" s="401">
        <v>190.80382570858404</v>
      </c>
      <c r="DR232" s="401">
        <v>197.69819835235296</v>
      </c>
      <c r="DS232" s="401">
        <v>204.80702795024206</v>
      </c>
      <c r="DT232" s="401">
        <v>212.12367295441692</v>
      </c>
      <c r="DU232" s="401">
        <v>219.66330116490337</v>
      </c>
      <c r="DV232" s="401">
        <v>227.46183170473861</v>
      </c>
      <c r="DW232" s="401">
        <v>235.53802233020579</v>
      </c>
      <c r="DX232" s="401">
        <v>243.87966646512166</v>
      </c>
      <c r="DY232" s="401">
        <v>252.49525030173322</v>
      </c>
      <c r="DZ232" s="401"/>
      <c r="EA232" s="989"/>
    </row>
    <row r="233" spans="1:131" s="76" customFormat="1">
      <c r="A233" s="76" t="s">
        <v>3912</v>
      </c>
      <c r="B233" s="80" t="s">
        <v>1972</v>
      </c>
      <c r="C233" s="51" t="s">
        <v>3792</v>
      </c>
      <c r="D233" s="207"/>
      <c r="E233" s="207"/>
      <c r="F233" s="295">
        <f>mamiabc!F41*Model!$AV$233/mamiabc!$AV$41</f>
        <v>0</v>
      </c>
      <c r="G233" s="295">
        <f>mamiabc!G41*Model!$AV$233/mamiabc!$AV$41</f>
        <v>0</v>
      </c>
      <c r="H233" s="295">
        <f>mamiabc!H41*Model!$AV$233/mamiabc!$AV$41</f>
        <v>0</v>
      </c>
      <c r="I233" s="295">
        <f>mamiabc!I41*Model!$AV$233/mamiabc!$AV$41</f>
        <v>0</v>
      </c>
      <c r="J233" s="295">
        <f>mamiabc!J41*Model!$AV$233/mamiabc!$AV$41</f>
        <v>0</v>
      </c>
      <c r="K233" s="295">
        <f>mamiabc!K41*Model!$AV$233/mamiabc!$AV$41</f>
        <v>0</v>
      </c>
      <c r="L233" s="295">
        <f>mamiabc!L41*Model!$AV$233/mamiabc!$AV$41</f>
        <v>0</v>
      </c>
      <c r="M233" s="295">
        <f>mamiabc!M41*Model!$AV$233/mamiabc!$AV$41</f>
        <v>0</v>
      </c>
      <c r="N233" s="295">
        <f>mamiabc!N41*Model!$AV$233/mamiabc!$AV$41</f>
        <v>0</v>
      </c>
      <c r="O233" s="295">
        <f>mamiabc!O41*Model!$AV$233/mamiabc!$AV$41</f>
        <v>0</v>
      </c>
      <c r="P233" s="295">
        <f>mamiabc!P41*Model!$AV$233/mamiabc!$AV$41</f>
        <v>0</v>
      </c>
      <c r="Q233" s="295">
        <f>mamiabc!Q41*Model!$AV$233/mamiabc!$AV$41</f>
        <v>0</v>
      </c>
      <c r="R233" s="295">
        <f>mamiabc!R41*Model!$AV$233/mamiabc!$AV$41</f>
        <v>0</v>
      </c>
      <c r="S233" s="295">
        <f>mamiabc!S41*Model!$AV$233/mamiabc!$AV$41</f>
        <v>0</v>
      </c>
      <c r="T233" s="295">
        <f>mamiabc!T41*Model!$AV$233/mamiabc!$AV$41</f>
        <v>0</v>
      </c>
      <c r="U233" s="295">
        <f>mamiabc!U41*Model!$AV$233/mamiabc!$AV$41</f>
        <v>0</v>
      </c>
      <c r="V233" s="295">
        <f>mamiabc!V41*Model!$AV$233/mamiabc!$AV$41</f>
        <v>0</v>
      </c>
      <c r="W233" s="295">
        <f>mamiabc!W41*Model!$AV$233/mamiabc!$AV$41</f>
        <v>0</v>
      </c>
      <c r="X233" s="295">
        <f>mamiabc!X41*Model!$AV$233/mamiabc!$AV$41</f>
        <v>0</v>
      </c>
      <c r="Y233" s="295">
        <f>mamiabc!Y41*Model!$AV$233/mamiabc!$AV$41</f>
        <v>0</v>
      </c>
      <c r="Z233" s="295">
        <f>mamiabc!Z41*Model!$AV$233/mamiabc!$AV$41</f>
        <v>0</v>
      </c>
      <c r="AA233" s="295">
        <f>mamiabc!AA41*Model!$AV$233/mamiabc!$AV$41</f>
        <v>0</v>
      </c>
      <c r="AB233" s="295">
        <f>mamiabc!AB41*Model!$AV$233/mamiabc!$AV$41</f>
        <v>0</v>
      </c>
      <c r="AC233" s="295">
        <f>mamiabc!AC41*Model!$AV$233/mamiabc!$AV$41</f>
        <v>0</v>
      </c>
      <c r="AD233" s="295">
        <f>mamiabc!AD41*Model!$AV$233/mamiabc!$AV$41</f>
        <v>0</v>
      </c>
      <c r="AE233" s="295">
        <f>mamiabc!AE41*Model!$AV$233/mamiabc!$AV$41</f>
        <v>0</v>
      </c>
      <c r="AF233" s="295">
        <f>mamiabc!AF41*Model!$AV$233/mamiabc!$AV$41</f>
        <v>0</v>
      </c>
      <c r="AG233" s="295">
        <f>mamiabc!AG41*Model!$AV$233/mamiabc!$AV$41</f>
        <v>0</v>
      </c>
      <c r="AH233" s="295">
        <f>mamiabc!AH41*Model!$AV$233/mamiabc!$AV$41</f>
        <v>0</v>
      </c>
      <c r="AI233" s="295">
        <f>mamiabc!AI41*Model!$AV$233/mamiabc!$AV$41</f>
        <v>0</v>
      </c>
      <c r="AJ233" s="295">
        <f>mamiabc!AJ41*Model!$AV$233/mamiabc!$AV$41</f>
        <v>0</v>
      </c>
      <c r="AK233" s="295">
        <f>mamiabc!AK41*Model!$AV$233/mamiabc!$AV$41</f>
        <v>0</v>
      </c>
      <c r="AL233" s="295">
        <f>mamiabc!AL41*Model!$AV$233/mamiabc!$AV$41</f>
        <v>0</v>
      </c>
      <c r="AM233" s="295">
        <f>mamiabc!AM41*Model!$AV$233/mamiabc!$AV$41</f>
        <v>0</v>
      </c>
      <c r="AN233" s="295">
        <f>mamiabc!AN41*Model!$AV$233/mamiabc!$AV$41</f>
        <v>0</v>
      </c>
      <c r="AO233" s="295">
        <f>mamiabc!AO41*Model!$AV$233/mamiabc!$AV$41</f>
        <v>0</v>
      </c>
      <c r="AP233" s="295">
        <f>mamiabc!AP41*Model!$AV$233/mamiabc!$AV$41</f>
        <v>0</v>
      </c>
      <c r="AQ233" s="295">
        <f>mamiabc!AQ41*Model!$AV$233/mamiabc!$AV$41</f>
        <v>0</v>
      </c>
      <c r="AR233" s="295">
        <f>mamiabc!AR41*Model!$AV$233/mamiabc!$AV$41</f>
        <v>0</v>
      </c>
      <c r="AS233" s="295">
        <f>mamiabc!AS41*Model!$AV$233/mamiabc!$AV$41</f>
        <v>0</v>
      </c>
      <c r="AT233" s="295">
        <f>mamiabc!AT41*Model!$AV$233/mamiabc!$AV$41</f>
        <v>0</v>
      </c>
      <c r="AU233" s="295">
        <f>mamiabc!AU41*Model!$AV$233/mamiabc!$AV$41</f>
        <v>0</v>
      </c>
      <c r="AV233" s="74">
        <f>DataInput!AV524</f>
        <v>0</v>
      </c>
      <c r="AW233" s="74">
        <f>DataInput!AW524</f>
        <v>2.1</v>
      </c>
      <c r="AX233" s="74">
        <f>DataInput!AX524</f>
        <v>13.8</v>
      </c>
      <c r="AY233" s="74">
        <f>DataInput!AY524</f>
        <v>47.6</v>
      </c>
      <c r="AZ233" s="74">
        <f>DataInput!AZ524</f>
        <v>5</v>
      </c>
      <c r="BA233" s="76">
        <f t="shared" ref="BA233:BG233" si="735">+BA230-BA231-BA232-BA234</f>
        <v>29.670672999999923</v>
      </c>
      <c r="BB233" s="76">
        <f t="shared" si="735"/>
        <v>30.754492000000024</v>
      </c>
      <c r="BC233" s="76">
        <f t="shared" si="735"/>
        <v>38.618714999999995</v>
      </c>
      <c r="BD233" s="76">
        <f t="shared" si="735"/>
        <v>72.963740999999914</v>
      </c>
      <c r="BE233" s="76">
        <f t="shared" si="735"/>
        <v>135.10609181999999</v>
      </c>
      <c r="BF233" s="76">
        <f t="shared" si="735"/>
        <v>224.90144917584001</v>
      </c>
      <c r="BG233" s="76">
        <f t="shared" si="735"/>
        <v>264.92344571618935</v>
      </c>
      <c r="BH233" s="76">
        <f t="shared" ref="BH233:BM233" si="736">+BH230-BH231-BH232-BH234</f>
        <v>160.16497466660553</v>
      </c>
      <c r="BI233" s="76">
        <f t="shared" si="736"/>
        <v>408.3830768896637</v>
      </c>
      <c r="BJ233" s="76">
        <f t="shared" si="736"/>
        <v>209.39415102435279</v>
      </c>
      <c r="BK233" s="76">
        <f t="shared" si="736"/>
        <v>337.66749923278837</v>
      </c>
      <c r="BL233" s="76">
        <f t="shared" si="736"/>
        <v>548.41070418819004</v>
      </c>
      <c r="BM233" s="76">
        <f t="shared" si="736"/>
        <v>430.31589988663029</v>
      </c>
      <c r="BN233" s="76">
        <f>+BN230-BN231-BN232-BN234</f>
        <v>361.85852761608629</v>
      </c>
      <c r="BO233" s="76">
        <f>+BO230-BO231-BO232-BO234</f>
        <v>93.252973752986918</v>
      </c>
      <c r="BP233" s="284">
        <f>BO233*(1+BO302/100)+SIM!X73+DataInput!BP826+finsim!BO197+SIM!X80</f>
        <v>99.687428941943011</v>
      </c>
      <c r="BQ233" s="284">
        <f ca="1">BP233*(1+BP302/100)+SIM!Y73+DataInput!BQ826+finsim!BP197+SIM!Y80</f>
        <v>135.92930036859119</v>
      </c>
      <c r="BR233" s="284">
        <f ca="1">BQ233*(1+BQ302/100)+SIM!Z73+DataInput!BR826+finsim!BQ197+SIM!Z80</f>
        <v>151.44567063931785</v>
      </c>
      <c r="BS233" s="284">
        <f ca="1">BR233*(1+BR302/100)+SIM!AA73+DataInput!BS826+finsim!BR197+SIM!AA80</f>
        <v>159.47074943195122</v>
      </c>
      <c r="BT233" s="284">
        <f ca="1">BS233*(1+BS302/100)+SIM!AB73+DataInput!BT826+finsim!BS197+SIM!AB80</f>
        <v>164.30099132486438</v>
      </c>
      <c r="BU233" s="284">
        <f ca="1">BT233*(1+BT302/100)+SIM!AC73+DataInput!BU826+finsim!BT197+SIM!AC80</f>
        <v>169.94917496853492</v>
      </c>
      <c r="BV233" s="284">
        <f ca="1">BU233*(1+BU302/100)+SIM!AD73+DataInput!BV826+finsim!BU197+SIM!AD80</f>
        <v>176.00486136818847</v>
      </c>
      <c r="BW233" s="284">
        <f ca="1">BV233*(1+BV302/100)+SIM!AE73+DataInput!BW826+finsim!BV197+SIM!AE80</f>
        <v>182.33360251076664</v>
      </c>
      <c r="BX233" s="284">
        <f ca="1">BW233*(1+BW302/100)+SIM!AF73+DataInput!BX826+finsim!BW197+SIM!AF80</f>
        <v>188.92191800455558</v>
      </c>
      <c r="BY233" s="284">
        <f ca="1">BX233*(1+BX302/100)+SIM!AG73+DataInput!BY826+finsim!BX197+SIM!AG80</f>
        <v>195.71517021218136</v>
      </c>
      <c r="BZ233" s="284">
        <f ca="1">BY233*(1+BY302/100)+SIM!AH73+DataInput!BZ826+finsim!BY197+SIM!AH80</f>
        <v>202.70701241948143</v>
      </c>
      <c r="CA233" s="284">
        <f ca="1">BZ233*(1+BZ302/100)+SIM!AI73+DataInput!CA826+finsim!BZ197+SIM!AI80</f>
        <v>209.91193909275179</v>
      </c>
      <c r="CB233" s="284">
        <f ca="1">CA233*(1+CA302/100)+SIM!AJ73+DataInput!CB826+finsim!CA197+SIM!AJ80</f>
        <v>217.36427482206861</v>
      </c>
      <c r="CC233" s="284">
        <f ca="1">CB233*(1+CB302/100)+SIM!AK73+DataInput!CC826+finsim!CB197+SIM!AK80</f>
        <v>225.08194466352424</v>
      </c>
      <c r="CD233" s="284">
        <f ca="1">CC233*(1+CC302/100)+SIM!AL73+DataInput!CD826+finsim!CC197+SIM!AL80</f>
        <v>233.05328391910442</v>
      </c>
      <c r="CE233" s="94"/>
      <c r="CF233" s="438"/>
      <c r="CG233" s="235">
        <f t="shared" si="732"/>
        <v>-9.162671221315577E-2</v>
      </c>
      <c r="CH233" s="235">
        <f t="shared" si="637"/>
        <v>0</v>
      </c>
      <c r="CI233" s="235" t="e">
        <f>BM233-#REF!</f>
        <v>#REF!</v>
      </c>
      <c r="CJ233" s="235">
        <f t="shared" si="711"/>
        <v>0</v>
      </c>
      <c r="CK233" s="235">
        <f t="shared" si="712"/>
        <v>0</v>
      </c>
      <c r="CL233" s="235">
        <f t="shared" si="713"/>
        <v>0</v>
      </c>
      <c r="CM233" s="235">
        <f t="shared" ca="1" si="714"/>
        <v>0</v>
      </c>
      <c r="CN233" s="235">
        <f t="shared" ca="1" si="715"/>
        <v>0</v>
      </c>
      <c r="CO233" s="235">
        <f t="shared" ca="1" si="716"/>
        <v>0</v>
      </c>
      <c r="CP233" s="235">
        <f t="shared" ca="1" si="717"/>
        <v>0</v>
      </c>
      <c r="CQ233" s="235">
        <f t="shared" ca="1" si="718"/>
        <v>0</v>
      </c>
      <c r="CR233" s="235">
        <f t="shared" ca="1" si="719"/>
        <v>0</v>
      </c>
      <c r="CS233" s="235">
        <f t="shared" ca="1" si="720"/>
        <v>0</v>
      </c>
      <c r="CT233" s="235">
        <f t="shared" ca="1" si="721"/>
        <v>0</v>
      </c>
      <c r="CU233" s="235">
        <f t="shared" ca="1" si="722"/>
        <v>0</v>
      </c>
      <c r="CV233" s="235">
        <f t="shared" ca="1" si="723"/>
        <v>0</v>
      </c>
      <c r="CW233" s="235">
        <f t="shared" ca="1" si="724"/>
        <v>0</v>
      </c>
      <c r="CX233" s="235">
        <f t="shared" ca="1" si="725"/>
        <v>0</v>
      </c>
      <c r="CY233" s="235">
        <f t="shared" ca="1" si="726"/>
        <v>2.1884716261411086E-12</v>
      </c>
      <c r="CZ233" s="235">
        <f t="shared" ca="1" si="727"/>
        <v>2.1572077457676642E-11</v>
      </c>
      <c r="DA233" s="38"/>
      <c r="DB233" s="236">
        <v>185.126212729656</v>
      </c>
      <c r="DC233" s="236">
        <v>186.12621272965589</v>
      </c>
      <c r="DD233" s="236">
        <v>231.49646752835397</v>
      </c>
      <c r="DE233" s="236">
        <v>128.30618062749363</v>
      </c>
      <c r="DF233" s="401">
        <v>407.53401807186606</v>
      </c>
      <c r="DG233" s="236">
        <v>337.75912594500153</v>
      </c>
      <c r="DH233" s="492">
        <v>548.41070418819004</v>
      </c>
      <c r="DI233" s="236">
        <v>361.85852761608629</v>
      </c>
      <c r="DJ233" s="236">
        <v>93.252973752986918</v>
      </c>
      <c r="DK233" s="236">
        <v>99.687428941943011</v>
      </c>
      <c r="DL233" s="236">
        <v>135.92930036859116</v>
      </c>
      <c r="DM233" s="236">
        <v>151.44567063931783</v>
      </c>
      <c r="DN233" s="236">
        <v>159.47074943195122</v>
      </c>
      <c r="DO233" s="236">
        <v>164.30099132486438</v>
      </c>
      <c r="DP233" s="236">
        <v>169.94917496853492</v>
      </c>
      <c r="DQ233" s="401">
        <v>176.00486136818844</v>
      </c>
      <c r="DR233" s="401">
        <v>182.33360251076661</v>
      </c>
      <c r="DS233" s="401">
        <v>188.92191800455555</v>
      </c>
      <c r="DT233" s="401">
        <v>195.71517021218133</v>
      </c>
      <c r="DU233" s="401">
        <v>202.7070124194814</v>
      </c>
      <c r="DV233" s="401">
        <v>209.91193909275174</v>
      </c>
      <c r="DW233" s="401">
        <v>217.36427482206841</v>
      </c>
      <c r="DX233" s="401">
        <v>225.08194466352205</v>
      </c>
      <c r="DY233" s="401">
        <v>233.05328391908284</v>
      </c>
      <c r="DZ233" s="401"/>
      <c r="EA233" s="989"/>
    </row>
    <row r="234" spans="1:131" s="76" customFormat="1">
      <c r="A234" s="76" t="s">
        <v>3913</v>
      </c>
      <c r="B234" s="80" t="s">
        <v>1245</v>
      </c>
      <c r="C234" s="140" t="s">
        <v>677</v>
      </c>
      <c r="D234" s="207"/>
      <c r="E234" s="207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  <c r="AA234" s="207"/>
      <c r="AB234" s="207"/>
      <c r="AC234" s="207"/>
      <c r="AD234" s="207"/>
      <c r="AE234" s="207"/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309"/>
      <c r="AU234" s="51"/>
      <c r="AV234" s="74">
        <f>DataInput!AV525</f>
        <v>0.2</v>
      </c>
      <c r="AW234" s="74">
        <f>DataInput!AW525</f>
        <v>5.4</v>
      </c>
      <c r="AX234" s="74">
        <f>DataInput!AX525</f>
        <v>9.1999999999999993</v>
      </c>
      <c r="AY234" s="74">
        <f>DataInput!AY525</f>
        <v>14.1</v>
      </c>
      <c r="AZ234" s="74">
        <f>DataInput!AZ525</f>
        <v>16.8</v>
      </c>
      <c r="BA234" s="74">
        <f>DataInput!BA525/1000</f>
        <v>8.1858500000000003</v>
      </c>
      <c r="BB234" s="74">
        <f>DataInput!BB525/1000</f>
        <v>22.239180000000001</v>
      </c>
      <c r="BC234" s="74">
        <f>DataInput!BC525/1000</f>
        <v>34.914121000000009</v>
      </c>
      <c r="BD234" s="74">
        <f>DataInput!BD525</f>
        <v>40.259819</v>
      </c>
      <c r="BE234" s="74">
        <f>DataInput!BE525</f>
        <v>45.288703999999996</v>
      </c>
      <c r="BF234" s="74">
        <f>DataInput!BF525</f>
        <v>49.667581999999996</v>
      </c>
      <c r="BG234" s="74">
        <f>DataInput!BG525</f>
        <v>54.112560999999999</v>
      </c>
      <c r="BH234" s="74">
        <f>DataInput!BH525</f>
        <v>147.900398</v>
      </c>
      <c r="BI234" s="74">
        <f>DataInput!BI525</f>
        <v>229.63092700000001</v>
      </c>
      <c r="BJ234" s="74">
        <f>DataInput!BJ525</f>
        <v>241.11247299999999</v>
      </c>
      <c r="BK234" s="74">
        <f>DataInput!BK525</f>
        <v>266</v>
      </c>
      <c r="BL234" s="74">
        <f>DataInput!BL525</f>
        <v>298.78251078074356</v>
      </c>
      <c r="BM234" s="74">
        <f>DataInput!BM525</f>
        <v>235.02247125929458</v>
      </c>
      <c r="BN234" s="74">
        <f>DataInput!BN525</f>
        <v>363.2457719832999</v>
      </c>
      <c r="BO234" s="74">
        <f>DataInput!BO525</f>
        <v>400.64896727775692</v>
      </c>
      <c r="BP234" s="94">
        <f ca="1">BO234*(BP294+BP242)/(BO294+BO242)+finsim!BO198</f>
        <v>462.4597510884023</v>
      </c>
      <c r="BQ234" s="94">
        <f ca="1">BP234*(BQ294+BQ242)/(BP294+BP242)+finsim!BP198</f>
        <v>582.72343248295954</v>
      </c>
      <c r="BR234" s="94">
        <f ca="1">BQ234*(BR294+BR242)/(BQ294+BQ242)+finsim!BQ198</f>
        <v>666.02595665412298</v>
      </c>
      <c r="BS234" s="94">
        <f ca="1">BR234*(BS294+BS242)/(BR294+BR242)+finsim!BR198</f>
        <v>701.34112585039486</v>
      </c>
      <c r="BT234" s="94">
        <f ca="1">BS234*(BT294+BT242)/(BS294+BS242)+finsim!BS198</f>
        <v>722.18585373393569</v>
      </c>
      <c r="BU234" s="94">
        <f ca="1">BT234*(BU294+BU242)/(BT294+BT242)+finsim!BT198</f>
        <v>747.8661872361663</v>
      </c>
      <c r="BV234" s="94">
        <f ca="1">BU234*(BV294+BV242)/(BU294+BU242)+finsim!BU198</f>
        <v>778.20574385768896</v>
      </c>
      <c r="BW234" s="94">
        <f ca="1">BV234*(BW294+BW242)/(BV294+BV242)+finsim!BV198</f>
        <v>809.61990235145527</v>
      </c>
      <c r="BX234" s="94">
        <f ca="1">BW234*(BX294+BX242)/(BW294+BW242)+finsim!BW198</f>
        <v>841.93423816772815</v>
      </c>
      <c r="BY234" s="94">
        <f ca="1">BX234*(BY294+BY242)/(BX294+BX242)+finsim!BX198</f>
        <v>875.15081235162859</v>
      </c>
      <c r="BZ234" s="94">
        <f ca="1">BY234*(BZ294+BZ242)/(BY294+BY242)+finsim!BY198</f>
        <v>910.0153163151731</v>
      </c>
      <c r="CA234" s="94">
        <f ca="1">BZ234*(CA294+CA242)/(BZ294+BZ242)+finsim!BZ198</f>
        <v>947.19965859070578</v>
      </c>
      <c r="CB234" s="94">
        <f ca="1">CA234*(CB294+CB242)/(CA294+CA242)+finsim!CA198</f>
        <v>985.6630875318624</v>
      </c>
      <c r="CC234" s="94">
        <f ca="1">CB234*(CC294+CC242)/(CB294+CB242)+finsim!CB198</f>
        <v>1025.7452236515678</v>
      </c>
      <c r="CD234" s="94">
        <f ca="1">CC234*(CD294+CD242)/(CC294+CC242)+finsim!CC198</f>
        <v>1067.619003869469</v>
      </c>
      <c r="CE234" s="94"/>
      <c r="CF234" s="438"/>
      <c r="CG234" s="235">
        <f t="shared" si="732"/>
        <v>0</v>
      </c>
      <c r="CH234" s="235">
        <f t="shared" si="637"/>
        <v>0</v>
      </c>
      <c r="CI234" s="235" t="e">
        <f>BM234-#REF!</f>
        <v>#REF!</v>
      </c>
      <c r="CJ234" s="235">
        <f t="shared" si="711"/>
        <v>0</v>
      </c>
      <c r="CK234" s="235">
        <f t="shared" si="712"/>
        <v>0</v>
      </c>
      <c r="CL234" s="235">
        <f t="shared" ca="1" si="713"/>
        <v>0</v>
      </c>
      <c r="CM234" s="235">
        <f t="shared" ca="1" si="714"/>
        <v>0</v>
      </c>
      <c r="CN234" s="235">
        <f t="shared" ca="1" si="715"/>
        <v>0</v>
      </c>
      <c r="CO234" s="235">
        <f t="shared" ca="1" si="716"/>
        <v>0</v>
      </c>
      <c r="CP234" s="235">
        <f t="shared" ca="1" si="717"/>
        <v>-1.1368683772161603E-12</v>
      </c>
      <c r="CQ234" s="235">
        <f t="shared" ca="1" si="718"/>
        <v>-1.8189894035458565E-12</v>
      </c>
      <c r="CR234" s="235">
        <f t="shared" ca="1" si="719"/>
        <v>-2.6147972675971687E-12</v>
      </c>
      <c r="CS234" s="235">
        <f t="shared" ca="1" si="720"/>
        <v>-3.2969182939268649E-12</v>
      </c>
      <c r="CT234" s="235">
        <f t="shared" ca="1" si="721"/>
        <v>-3.751665644813329E-12</v>
      </c>
      <c r="CU234" s="235">
        <f t="shared" ca="1" si="722"/>
        <v>-4.8885340220294893E-12</v>
      </c>
      <c r="CV234" s="235">
        <f t="shared" ca="1" si="723"/>
        <v>-5.9117155615240335E-12</v>
      </c>
      <c r="CW234" s="235">
        <f t="shared" ca="1" si="724"/>
        <v>-9.0949470177292824E-12</v>
      </c>
      <c r="CX234" s="235">
        <f t="shared" ca="1" si="725"/>
        <v>-2.921751729445532E-11</v>
      </c>
      <c r="CY234" s="235">
        <f t="shared" ca="1" si="726"/>
        <v>-1.964508555829525E-10</v>
      </c>
      <c r="CZ234" s="235">
        <f t="shared" ca="1" si="727"/>
        <v>-1.4747456589248031E-9</v>
      </c>
      <c r="DA234" s="38"/>
      <c r="DB234" s="236">
        <v>48.667582000000003</v>
      </c>
      <c r="DC234" s="236">
        <v>49.667581999999996</v>
      </c>
      <c r="DD234" s="236">
        <v>54.112560999999999</v>
      </c>
      <c r="DE234" s="236">
        <v>147.900398</v>
      </c>
      <c r="DF234" s="401">
        <v>229.63092700000001</v>
      </c>
      <c r="DG234" s="236">
        <v>266</v>
      </c>
      <c r="DH234" s="492">
        <v>298.78251078074356</v>
      </c>
      <c r="DI234" s="236">
        <v>363.2457719832999</v>
      </c>
      <c r="DJ234" s="236">
        <v>400.64896727775692</v>
      </c>
      <c r="DK234" s="236">
        <v>462.4597510884023</v>
      </c>
      <c r="DL234" s="236">
        <v>582.72343248295977</v>
      </c>
      <c r="DM234" s="236">
        <v>666.02595665412343</v>
      </c>
      <c r="DN234" s="236">
        <v>701.34112585039566</v>
      </c>
      <c r="DO234" s="236">
        <v>722.18585373393682</v>
      </c>
      <c r="DP234" s="236">
        <v>747.86618723616812</v>
      </c>
      <c r="DQ234" s="401">
        <v>778.20574385769157</v>
      </c>
      <c r="DR234" s="401">
        <v>809.61990235145856</v>
      </c>
      <c r="DS234" s="401">
        <v>841.93423816773191</v>
      </c>
      <c r="DT234" s="401">
        <v>875.15081235163348</v>
      </c>
      <c r="DU234" s="401">
        <v>910.01531631517901</v>
      </c>
      <c r="DV234" s="401">
        <v>947.19965859071488</v>
      </c>
      <c r="DW234" s="401">
        <v>985.66308753189162</v>
      </c>
      <c r="DX234" s="401">
        <v>1025.7452236517643</v>
      </c>
      <c r="DY234" s="401">
        <v>1067.6190038709437</v>
      </c>
      <c r="DZ234" s="401"/>
      <c r="EA234" s="989"/>
    </row>
    <row r="235" spans="1:131" s="19" customFormat="1">
      <c r="A235" s="19" t="str">
        <f>DataInput!A267</f>
        <v>Current Revenue</v>
      </c>
      <c r="B235" s="132" t="s">
        <v>2436</v>
      </c>
      <c r="C235" s="63"/>
      <c r="D235" s="206"/>
      <c r="E235" s="206"/>
      <c r="F235" s="80">
        <f t="shared" ref="F235:AU235" si="737">+F218+F220+F223+F230</f>
        <v>2.5549357787214094E-2</v>
      </c>
      <c r="G235" s="80">
        <f t="shared" si="737"/>
        <v>2.6525178673812856E-2</v>
      </c>
      <c r="H235" s="80">
        <f t="shared" si="737"/>
        <v>2.8093486257131359E-2</v>
      </c>
      <c r="I235" s="80">
        <f t="shared" si="737"/>
        <v>3.2599227268304984E-2</v>
      </c>
      <c r="J235" s="80">
        <f t="shared" si="737"/>
        <v>3.4483671235725148E-2</v>
      </c>
      <c r="K235" s="80">
        <f t="shared" si="737"/>
        <v>3.74651847395015E-2</v>
      </c>
      <c r="L235" s="80">
        <f t="shared" si="737"/>
        <v>4.4249526508507303E-2</v>
      </c>
      <c r="M235" s="80">
        <f t="shared" si="737"/>
        <v>4.539179438917882E-2</v>
      </c>
      <c r="N235" s="80">
        <f t="shared" si="737"/>
        <v>4.6721796548927677E-2</v>
      </c>
      <c r="O235" s="80">
        <f t="shared" si="737"/>
        <v>4.8582409683574607E-2</v>
      </c>
      <c r="P235" s="80">
        <f t="shared" si="737"/>
        <v>5.506050736692597E-2</v>
      </c>
      <c r="Q235" s="80">
        <f t="shared" si="737"/>
        <v>6.125984979626968E-2</v>
      </c>
      <c r="R235" s="80">
        <f t="shared" si="737"/>
        <v>7.1672819580306607E-2</v>
      </c>
      <c r="S235" s="80">
        <f t="shared" si="737"/>
        <v>7.8232636286971774E-2</v>
      </c>
      <c r="T235" s="80">
        <f t="shared" si="737"/>
        <v>7.8230120870162428E-2</v>
      </c>
      <c r="U235" s="80">
        <f t="shared" si="737"/>
        <v>8.3305320559662888E-2</v>
      </c>
      <c r="V235" s="80">
        <f t="shared" si="737"/>
        <v>8.9695609072552085E-2</v>
      </c>
      <c r="W235" s="80">
        <f t="shared" si="737"/>
        <v>9.4809949192782128E-2</v>
      </c>
      <c r="X235" s="80">
        <f t="shared" si="737"/>
        <v>9.9501652355641942E-2</v>
      </c>
      <c r="Y235" s="80">
        <f t="shared" si="737"/>
        <v>9.6081915918923386E-2</v>
      </c>
      <c r="Z235" s="80">
        <f t="shared" si="737"/>
        <v>0.11140198636407339</v>
      </c>
      <c r="AA235" s="80">
        <f t="shared" si="737"/>
        <v>0.10161645641396466</v>
      </c>
      <c r="AB235" s="80">
        <f t="shared" si="737"/>
        <v>0.13190894587232196</v>
      </c>
      <c r="AC235" s="80">
        <f t="shared" si="737"/>
        <v>0.17020206184187822</v>
      </c>
      <c r="AD235" s="80">
        <f t="shared" si="737"/>
        <v>0.19336234620739365</v>
      </c>
      <c r="AE235" s="80">
        <f t="shared" si="737"/>
        <v>0.19059899968785871</v>
      </c>
      <c r="AF235" s="80">
        <f t="shared" si="737"/>
        <v>0.20703110583273646</v>
      </c>
      <c r="AG235" s="80">
        <f t="shared" si="737"/>
        <v>0.22475890342350849</v>
      </c>
      <c r="AH235" s="80">
        <f t="shared" si="737"/>
        <v>0.22468669345574416</v>
      </c>
      <c r="AI235" s="80">
        <f t="shared" si="737"/>
        <v>0.20081448704403196</v>
      </c>
      <c r="AJ235" s="80">
        <f t="shared" si="737"/>
        <v>0.21223607108936274</v>
      </c>
      <c r="AK235" s="80">
        <f t="shared" si="737"/>
        <v>0.19965421949640996</v>
      </c>
      <c r="AL235" s="80">
        <f t="shared" si="737"/>
        <v>0.18170341573171286</v>
      </c>
      <c r="AM235" s="80">
        <f t="shared" si="737"/>
        <v>0.18080504778677897</v>
      </c>
      <c r="AN235" s="80">
        <f t="shared" si="737"/>
        <v>0.24352013016769847</v>
      </c>
      <c r="AO235" s="80">
        <f t="shared" si="737"/>
        <v>0.27661034546723889</v>
      </c>
      <c r="AP235" s="80">
        <f t="shared" si="737"/>
        <v>0.30503119464301187</v>
      </c>
      <c r="AQ235" s="80">
        <f t="shared" si="737"/>
        <v>0.3275987736821841</v>
      </c>
      <c r="AR235" s="80">
        <f t="shared" si="737"/>
        <v>0.30243494012441763</v>
      </c>
      <c r="AS235" s="80">
        <f t="shared" si="737"/>
        <v>0.29286296265896317</v>
      </c>
      <c r="AT235" s="80">
        <f t="shared" si="737"/>
        <v>50.616873533345746</v>
      </c>
      <c r="AU235" s="80">
        <f t="shared" si="737"/>
        <v>31.030299115120656</v>
      </c>
      <c r="AV235" s="80">
        <f t="shared" ref="AV235:BE235" si="738">+AV218+AV220+AV223+AV230</f>
        <v>69.662562774999998</v>
      </c>
      <c r="AW235" s="80">
        <f t="shared" si="738"/>
        <v>76.724484537999999</v>
      </c>
      <c r="AX235" s="80">
        <f t="shared" si="738"/>
        <v>125.565897855</v>
      </c>
      <c r="AY235" s="80">
        <f t="shared" si="738"/>
        <v>234.31029999999998</v>
      </c>
      <c r="AZ235" s="80">
        <f t="shared" si="738"/>
        <v>303.81400000000002</v>
      </c>
      <c r="BA235" s="80">
        <f t="shared" si="738"/>
        <v>567.12711699999988</v>
      </c>
      <c r="BB235" s="80">
        <f t="shared" si="738"/>
        <v>657.67028800000014</v>
      </c>
      <c r="BC235" s="80">
        <f t="shared" si="738"/>
        <v>874.96989000000008</v>
      </c>
      <c r="BD235" s="80">
        <f t="shared" si="738"/>
        <v>1079.615877</v>
      </c>
      <c r="BE235" s="80">
        <f t="shared" si="738"/>
        <v>1315.005572</v>
      </c>
      <c r="BF235" s="80">
        <f t="shared" ref="BF235:BK235" si="739">+BF218+BF220+BF223+BF230</f>
        <v>1580.2662520000001</v>
      </c>
      <c r="BG235" s="80">
        <f t="shared" si="739"/>
        <v>1944.729789</v>
      </c>
      <c r="BH235" s="80">
        <f t="shared" si="739"/>
        <v>2111.1309249999945</v>
      </c>
      <c r="BI235" s="80">
        <f t="shared" si="739"/>
        <v>2590.5868919999994</v>
      </c>
      <c r="BJ235" s="80">
        <f t="shared" si="739"/>
        <v>2457.009454</v>
      </c>
      <c r="BK235" s="80">
        <f t="shared" si="739"/>
        <v>3422.1011149999999</v>
      </c>
      <c r="BL235" s="80">
        <f t="shared" ref="BL235:BS235" si="740">+BL218+BL220+BL223+BL230</f>
        <v>4024.5</v>
      </c>
      <c r="BM235" s="80">
        <f t="shared" si="740"/>
        <v>3960.2999264017817</v>
      </c>
      <c r="BN235" s="80">
        <f t="shared" si="740"/>
        <v>3750.9002089999999</v>
      </c>
      <c r="BO235" s="80">
        <f t="shared" si="740"/>
        <v>3345.6999959999994</v>
      </c>
      <c r="BP235" s="80">
        <f t="shared" ca="1" si="740"/>
        <v>4432.6454289669546</v>
      </c>
      <c r="BQ235" s="80">
        <f t="shared" ca="1" si="740"/>
        <v>5429.9047528450656</v>
      </c>
      <c r="BR235" s="80">
        <f t="shared" ca="1" si="740"/>
        <v>5957.8805692071728</v>
      </c>
      <c r="BS235" s="80">
        <f t="shared" ca="1" si="740"/>
        <v>6171.4535375336955</v>
      </c>
      <c r="BT235" s="80">
        <f ca="1">+BT218+BT220+BT223+BT230</f>
        <v>6364.0375967289037</v>
      </c>
      <c r="BU235" s="80">
        <f ca="1">+BU218+BU220+BU223+BU230</f>
        <v>6635.3873259441789</v>
      </c>
      <c r="BV235" s="80">
        <f ca="1">+BV218+BV220+BV223+BV230</f>
        <v>6928.5087994449505</v>
      </c>
      <c r="BW235" s="80">
        <f t="shared" ref="BW235:BX235" ca="1" si="741">+BW218+BW220+BW223+BW230</f>
        <v>7236.300071175363</v>
      </c>
      <c r="BX235" s="80">
        <f t="shared" ca="1" si="741"/>
        <v>7560.191860658223</v>
      </c>
      <c r="BY235" s="80">
        <f t="shared" ref="BY235:CD235" ca="1" si="742">+BY218+BY220+BY223+BY230</f>
        <v>7901.1231283885045</v>
      </c>
      <c r="BZ235" s="80">
        <f t="shared" ca="1" si="742"/>
        <v>8295.4177144644691</v>
      </c>
      <c r="CA235" s="80">
        <f t="shared" ca="1" si="742"/>
        <v>8722.4003342131909</v>
      </c>
      <c r="CB235" s="80">
        <f t="shared" ca="1" si="742"/>
        <v>9174.3123576419785</v>
      </c>
      <c r="CC235" s="80">
        <f t="shared" ca="1" si="742"/>
        <v>9654.7256011710961</v>
      </c>
      <c r="CD235" s="80">
        <f t="shared" ca="1" si="742"/>
        <v>10166.324309185058</v>
      </c>
      <c r="CE235" s="80"/>
      <c r="CF235" s="435"/>
      <c r="CG235" s="235">
        <f t="shared" si="732"/>
        <v>0</v>
      </c>
      <c r="CH235" s="235">
        <f t="shared" ref="CH235:CH240" si="743">BL235-DH235</f>
        <v>0</v>
      </c>
      <c r="CI235" s="235" t="e">
        <f>BM235-#REF!</f>
        <v>#REF!</v>
      </c>
      <c r="CJ235" s="235">
        <f t="shared" si="711"/>
        <v>0</v>
      </c>
      <c r="CK235" s="235">
        <f t="shared" si="712"/>
        <v>0</v>
      </c>
      <c r="CL235" s="235">
        <f t="shared" ca="1" si="713"/>
        <v>0</v>
      </c>
      <c r="CM235" s="235">
        <f t="shared" ca="1" si="714"/>
        <v>0</v>
      </c>
      <c r="CN235" s="235">
        <f t="shared" ca="1" si="715"/>
        <v>0</v>
      </c>
      <c r="CO235" s="235">
        <f t="shared" ca="1" si="716"/>
        <v>0</v>
      </c>
      <c r="CP235" s="235">
        <f t="shared" ca="1" si="717"/>
        <v>0</v>
      </c>
      <c r="CQ235" s="235">
        <f t="shared" ca="1" si="718"/>
        <v>0</v>
      </c>
      <c r="CR235" s="235">
        <f t="shared" ca="1" si="719"/>
        <v>0</v>
      </c>
      <c r="CS235" s="235">
        <f t="shared" ca="1" si="720"/>
        <v>0</v>
      </c>
      <c r="CT235" s="235">
        <f t="shared" ca="1" si="721"/>
        <v>0</v>
      </c>
      <c r="CU235" s="235">
        <f t="shared" ca="1" si="722"/>
        <v>7.2759576141834259E-12</v>
      </c>
      <c r="CV235" s="235">
        <f t="shared" ca="1" si="723"/>
        <v>0</v>
      </c>
      <c r="CW235" s="235">
        <f t="shared" ca="1" si="724"/>
        <v>0</v>
      </c>
      <c r="CX235" s="235">
        <f t="shared" ca="1" si="725"/>
        <v>-2.4010660126805305E-10</v>
      </c>
      <c r="CY235" s="235">
        <f t="shared" ca="1" si="726"/>
        <v>-2.5120243662968278E-9</v>
      </c>
      <c r="CZ235" s="235">
        <f t="shared" ca="1" si="727"/>
        <v>-1.9910658011212945E-8</v>
      </c>
      <c r="DA235" s="38"/>
      <c r="DB235" s="236">
        <v>1579.2691560000001</v>
      </c>
      <c r="DC235" s="236">
        <v>1580.2691559999998</v>
      </c>
      <c r="DD235" s="236">
        <v>1944.7077210000002</v>
      </c>
      <c r="DE235" s="236">
        <v>2479.5896940000002</v>
      </c>
      <c r="DF235" s="401">
        <v>2590.57211637</v>
      </c>
      <c r="DG235" s="236">
        <v>3422.1011149999999</v>
      </c>
      <c r="DH235" s="492">
        <v>4024.5</v>
      </c>
      <c r="DI235" s="236">
        <v>3750.9002089999999</v>
      </c>
      <c r="DJ235" s="236">
        <v>3345.6999959999994</v>
      </c>
      <c r="DK235" s="236">
        <v>4432.6454289669555</v>
      </c>
      <c r="DL235" s="236">
        <v>5429.9047528450665</v>
      </c>
      <c r="DM235" s="236">
        <v>5957.8805692071737</v>
      </c>
      <c r="DN235" s="236">
        <v>6171.4535375336982</v>
      </c>
      <c r="DO235" s="236">
        <v>6364.0375967289074</v>
      </c>
      <c r="DP235" s="236">
        <v>6635.3873259441789</v>
      </c>
      <c r="DQ235" s="1084">
        <v>6928.5087994449459</v>
      </c>
      <c r="DR235" s="1084">
        <v>7236.3000711753566</v>
      </c>
      <c r="DS235" s="1084">
        <v>7560.1918606582176</v>
      </c>
      <c r="DT235" s="1084">
        <v>7901.1231283884972</v>
      </c>
      <c r="DU235" s="1084">
        <v>8295.41771446446</v>
      </c>
      <c r="DV235" s="1084">
        <v>8722.4003342131964</v>
      </c>
      <c r="DW235" s="1084">
        <v>9174.3123576422186</v>
      </c>
      <c r="DX235" s="1084">
        <v>9654.7256011736081</v>
      </c>
      <c r="DY235" s="1084">
        <v>10166.324309204969</v>
      </c>
      <c r="DZ235" s="1084"/>
      <c r="EA235" s="988"/>
    </row>
    <row r="236" spans="1:131" s="158" customFormat="1">
      <c r="A236" s="158" t="str">
        <f>DataInput!A273</f>
        <v>Capital Revenue</v>
      </c>
      <c r="B236" s="98" t="s">
        <v>3945</v>
      </c>
      <c r="C236" s="157" t="s">
        <v>1397</v>
      </c>
      <c r="D236" s="215"/>
      <c r="E236" s="215"/>
      <c r="F236" s="158">
        <f t="shared" ref="F236:AU236" si="744">F199</f>
        <v>0</v>
      </c>
      <c r="G236" s="158">
        <f t="shared" si="744"/>
        <v>0</v>
      </c>
      <c r="H236" s="158">
        <f t="shared" si="744"/>
        <v>0</v>
      </c>
      <c r="I236" s="158">
        <f t="shared" si="744"/>
        <v>0</v>
      </c>
      <c r="J236" s="158">
        <f t="shared" si="744"/>
        <v>0</v>
      </c>
      <c r="K236" s="158">
        <f t="shared" si="744"/>
        <v>0</v>
      </c>
      <c r="L236" s="158">
        <f t="shared" si="744"/>
        <v>0</v>
      </c>
      <c r="M236" s="158">
        <f t="shared" si="744"/>
        <v>0</v>
      </c>
      <c r="N236" s="158">
        <f t="shared" si="744"/>
        <v>0</v>
      </c>
      <c r="O236" s="158">
        <f t="shared" si="744"/>
        <v>0</v>
      </c>
      <c r="P236" s="158">
        <f t="shared" si="744"/>
        <v>0</v>
      </c>
      <c r="Q236" s="158">
        <f t="shared" si="744"/>
        <v>0</v>
      </c>
      <c r="R236" s="158">
        <f t="shared" si="744"/>
        <v>0</v>
      </c>
      <c r="S236" s="158">
        <f t="shared" si="744"/>
        <v>0</v>
      </c>
      <c r="T236" s="158">
        <f t="shared" si="744"/>
        <v>0</v>
      </c>
      <c r="U236" s="158">
        <f t="shared" si="744"/>
        <v>0</v>
      </c>
      <c r="V236" s="158">
        <f t="shared" si="744"/>
        <v>0</v>
      </c>
      <c r="W236" s="158">
        <f t="shared" si="744"/>
        <v>0</v>
      </c>
      <c r="X236" s="158">
        <f t="shared" si="744"/>
        <v>0</v>
      </c>
      <c r="Y236" s="158">
        <f t="shared" si="744"/>
        <v>0</v>
      </c>
      <c r="Z236" s="158">
        <f t="shared" si="744"/>
        <v>0</v>
      </c>
      <c r="AA236" s="158">
        <f t="shared" si="744"/>
        <v>0</v>
      </c>
      <c r="AB236" s="158">
        <f t="shared" si="744"/>
        <v>0</v>
      </c>
      <c r="AC236" s="158">
        <f t="shared" si="744"/>
        <v>0</v>
      </c>
      <c r="AD236" s="158">
        <f t="shared" si="744"/>
        <v>0</v>
      </c>
      <c r="AE236" s="158">
        <f t="shared" si="744"/>
        <v>0</v>
      </c>
      <c r="AF236" s="158">
        <f t="shared" si="744"/>
        <v>0</v>
      </c>
      <c r="AG236" s="158">
        <f t="shared" si="744"/>
        <v>0</v>
      </c>
      <c r="AH236" s="158">
        <f t="shared" si="744"/>
        <v>0</v>
      </c>
      <c r="AI236" s="158">
        <f t="shared" si="744"/>
        <v>0</v>
      </c>
      <c r="AJ236" s="158">
        <f t="shared" si="744"/>
        <v>0</v>
      </c>
      <c r="AK236" s="158">
        <f t="shared" si="744"/>
        <v>0</v>
      </c>
      <c r="AL236" s="158">
        <f t="shared" si="744"/>
        <v>0</v>
      </c>
      <c r="AM236" s="158">
        <f t="shared" si="744"/>
        <v>0</v>
      </c>
      <c r="AN236" s="158">
        <f t="shared" si="744"/>
        <v>0</v>
      </c>
      <c r="AO236" s="158">
        <f t="shared" si="744"/>
        <v>0</v>
      </c>
      <c r="AP236" s="158">
        <f t="shared" si="744"/>
        <v>0</v>
      </c>
      <c r="AQ236" s="158">
        <f t="shared" si="744"/>
        <v>0</v>
      </c>
      <c r="AR236" s="158">
        <f t="shared" si="744"/>
        <v>0</v>
      </c>
      <c r="AS236" s="158">
        <f t="shared" si="744"/>
        <v>0</v>
      </c>
      <c r="AT236" s="158">
        <f t="shared" si="744"/>
        <v>0</v>
      </c>
      <c r="AU236" s="158">
        <f t="shared" si="744"/>
        <v>0</v>
      </c>
      <c r="AV236" s="158">
        <f t="shared" ref="AV236:BD236" si="745">AV199</f>
        <v>16.67848</v>
      </c>
      <c r="AW236" s="158">
        <f t="shared" si="745"/>
        <v>5.8546000000000005</v>
      </c>
      <c r="AX236" s="158">
        <f t="shared" si="745"/>
        <v>2.6465999999999998</v>
      </c>
      <c r="AY236" s="158">
        <f t="shared" si="745"/>
        <v>3.0096849999999997</v>
      </c>
      <c r="AZ236" s="158">
        <f t="shared" si="745"/>
        <v>3.0505129999999996</v>
      </c>
      <c r="BA236" s="158">
        <f t="shared" si="745"/>
        <v>3.2677500000000004</v>
      </c>
      <c r="BB236" s="158">
        <f t="shared" si="745"/>
        <v>13.728975500000002</v>
      </c>
      <c r="BC236" s="158">
        <f t="shared" si="745"/>
        <v>23.429969999999997</v>
      </c>
      <c r="BD236" s="158">
        <f t="shared" si="745"/>
        <v>51.672599999999996</v>
      </c>
      <c r="BE236" s="158">
        <f t="shared" ref="BE236:BJ236" si="746">BE199</f>
        <v>39.585000000000001</v>
      </c>
      <c r="BF236" s="158">
        <f t="shared" si="746"/>
        <v>52.930250000000008</v>
      </c>
      <c r="BG236" s="158">
        <f t="shared" si="746"/>
        <v>22.234500000000001</v>
      </c>
      <c r="BH236" s="158">
        <f t="shared" si="746"/>
        <v>87.5655</v>
      </c>
      <c r="BI236" s="158">
        <f t="shared" si="746"/>
        <v>249.09000000000003</v>
      </c>
      <c r="BJ236" s="158">
        <f t="shared" si="746"/>
        <v>164.39499999999998</v>
      </c>
      <c r="BK236" s="158">
        <f t="shared" ref="BK236:BS236" si="747">BK199</f>
        <v>113.75</v>
      </c>
      <c r="BL236" s="158">
        <f t="shared" si="747"/>
        <v>-23.45</v>
      </c>
      <c r="BM236" s="158">
        <f t="shared" si="747"/>
        <v>0.33500000000000002</v>
      </c>
      <c r="BN236" s="158">
        <f t="shared" si="747"/>
        <v>-1.675</v>
      </c>
      <c r="BO236" s="158">
        <f t="shared" si="747"/>
        <v>0</v>
      </c>
      <c r="BP236" s="158">
        <f t="shared" ca="1" si="747"/>
        <v>2.5248789412131099E-8</v>
      </c>
      <c r="BQ236" s="158">
        <f t="shared" ca="1" si="747"/>
        <v>3.4781160706169486E-8</v>
      </c>
      <c r="BR236" s="158">
        <f t="shared" ca="1" si="747"/>
        <v>4.0856582117238359E-8</v>
      </c>
      <c r="BS236" s="158">
        <f t="shared" ca="1" si="747"/>
        <v>4.5338475624855551E-8</v>
      </c>
      <c r="BT236" s="158">
        <f ca="1">BT199</f>
        <v>5.1415358803628242E-8</v>
      </c>
      <c r="BU236" s="158">
        <f ca="1">BU199</f>
        <v>5.7859137807646507E-8</v>
      </c>
      <c r="BV236" s="158">
        <f ca="1">BV199</f>
        <v>6.4599346534250354E-8</v>
      </c>
      <c r="BW236" s="158">
        <f t="shared" ref="BW236:BX236" ca="1" si="748">BW199</f>
        <v>7.1647413239842669E-8</v>
      </c>
      <c r="BX236" s="158">
        <f t="shared" ca="1" si="748"/>
        <v>7.8985718183418578E-8</v>
      </c>
      <c r="BY236" s="158">
        <f t="shared" ref="BY236:CD236" ca="1" si="749">BY199</f>
        <v>8.6621754684944829E-8</v>
      </c>
      <c r="BZ236" s="158">
        <f t="shared" ca="1" si="749"/>
        <v>9.4569793040226464E-8</v>
      </c>
      <c r="CA236" s="158">
        <f t="shared" ca="1" si="749"/>
        <v>1.0285893224971069E-7</v>
      </c>
      <c r="CB236" s="158">
        <f t="shared" ca="1" si="749"/>
        <v>1.1151104372670924E-7</v>
      </c>
      <c r="CC236" s="158">
        <f t="shared" ca="1" si="749"/>
        <v>1.2052626849180056E-7</v>
      </c>
      <c r="CD236" s="158">
        <f t="shared" ca="1" si="749"/>
        <v>1.2992018622811111E-7</v>
      </c>
      <c r="CF236" s="435"/>
      <c r="CG236" s="235">
        <f t="shared" si="732"/>
        <v>0</v>
      </c>
      <c r="CH236" s="235">
        <f t="shared" si="743"/>
        <v>0</v>
      </c>
      <c r="CI236" s="235" t="e">
        <f>BM236-#REF!</f>
        <v>#REF!</v>
      </c>
      <c r="CJ236" s="235">
        <f t="shared" si="711"/>
        <v>0</v>
      </c>
      <c r="CK236" s="235">
        <f t="shared" si="712"/>
        <v>0</v>
      </c>
      <c r="CL236" s="235">
        <f t="shared" ca="1" si="713"/>
        <v>0</v>
      </c>
      <c r="CM236" s="235">
        <f t="shared" ca="1" si="714"/>
        <v>0</v>
      </c>
      <c r="CN236" s="235">
        <f t="shared" ca="1" si="715"/>
        <v>0</v>
      </c>
      <c r="CO236" s="235">
        <f t="shared" ca="1" si="716"/>
        <v>0</v>
      </c>
      <c r="CP236" s="235">
        <f t="shared" ca="1" si="717"/>
        <v>0</v>
      </c>
      <c r="CQ236" s="235">
        <f t="shared" ca="1" si="718"/>
        <v>0</v>
      </c>
      <c r="CR236" s="235">
        <f t="shared" ca="1" si="719"/>
        <v>0</v>
      </c>
      <c r="CS236" s="235">
        <f t="shared" ca="1" si="720"/>
        <v>0</v>
      </c>
      <c r="CT236" s="235">
        <f t="shared" ca="1" si="721"/>
        <v>0</v>
      </c>
      <c r="CU236" s="235">
        <f t="shared" ca="1" si="722"/>
        <v>0</v>
      </c>
      <c r="CV236" s="235">
        <f t="shared" ca="1" si="723"/>
        <v>0</v>
      </c>
      <c r="CW236" s="235">
        <f t="shared" ca="1" si="724"/>
        <v>1.0587911840678754E-22</v>
      </c>
      <c r="CX236" s="235">
        <f t="shared" ca="1" si="725"/>
        <v>8.9997250645769411E-22</v>
      </c>
      <c r="CY236" s="235">
        <f t="shared" ca="1" si="726"/>
        <v>6.485096002415737E-21</v>
      </c>
      <c r="CZ236" s="235">
        <f t="shared" ca="1" si="727"/>
        <v>3.4569532159816133E-20</v>
      </c>
      <c r="DA236" s="38"/>
      <c r="DB236" s="236">
        <v>51.930250000000001</v>
      </c>
      <c r="DC236" s="236">
        <v>52.930250000000008</v>
      </c>
      <c r="DD236" s="236">
        <v>22.234500000000001</v>
      </c>
      <c r="DE236" s="236">
        <v>87.5655</v>
      </c>
      <c r="DF236" s="401">
        <v>251.94</v>
      </c>
      <c r="DG236" s="236">
        <v>113.75</v>
      </c>
      <c r="DH236" s="492">
        <v>-23.45</v>
      </c>
      <c r="DI236" s="236">
        <v>-1.675</v>
      </c>
      <c r="DJ236" s="236">
        <v>0</v>
      </c>
      <c r="DK236" s="236">
        <v>2.5248789412131099E-8</v>
      </c>
      <c r="DL236" s="236">
        <v>3.4781160706169486E-8</v>
      </c>
      <c r="DM236" s="236">
        <v>4.0856582117238359E-8</v>
      </c>
      <c r="DN236" s="236">
        <v>4.5338475624855551E-8</v>
      </c>
      <c r="DO236" s="236">
        <v>5.1415358803628242E-8</v>
      </c>
      <c r="DP236" s="236">
        <v>5.785913780764648E-8</v>
      </c>
      <c r="DQ236" s="401">
        <v>6.4599346534250328E-8</v>
      </c>
      <c r="DR236" s="401">
        <v>7.1647413239842589E-8</v>
      </c>
      <c r="DS236" s="401">
        <v>7.8985718183418499E-8</v>
      </c>
      <c r="DT236" s="401">
        <v>8.6621754684944776E-8</v>
      </c>
      <c r="DU236" s="401">
        <v>9.4569793040226411E-8</v>
      </c>
      <c r="DV236" s="401">
        <v>1.0285893224971058E-7</v>
      </c>
      <c r="DW236" s="401">
        <v>1.1151104372670834E-7</v>
      </c>
      <c r="DX236" s="401">
        <v>1.2052626849179408E-7</v>
      </c>
      <c r="DY236" s="401">
        <v>1.2992018622807654E-7</v>
      </c>
      <c r="DZ236" s="401"/>
      <c r="EA236" s="989"/>
    </row>
    <row r="237" spans="1:131" s="76" customFormat="1">
      <c r="A237" s="19" t="str">
        <f>DataInput!A274</f>
        <v>Grants</v>
      </c>
      <c r="B237" s="80" t="s">
        <v>141</v>
      </c>
      <c r="C237" s="51" t="s">
        <v>2464</v>
      </c>
      <c r="D237" s="207"/>
      <c r="E237" s="207"/>
      <c r="F237" s="76">
        <f t="shared" ref="F237:AU237" si="750">F244+F257</f>
        <v>0</v>
      </c>
      <c r="G237" s="76">
        <f t="shared" si="750"/>
        <v>0</v>
      </c>
      <c r="H237" s="76">
        <f t="shared" si="750"/>
        <v>0</v>
      </c>
      <c r="I237" s="76">
        <f t="shared" si="750"/>
        <v>0</v>
      </c>
      <c r="J237" s="76">
        <f t="shared" si="750"/>
        <v>0</v>
      </c>
      <c r="K237" s="76">
        <f t="shared" si="750"/>
        <v>0</v>
      </c>
      <c r="L237" s="76">
        <f t="shared" si="750"/>
        <v>0</v>
      </c>
      <c r="M237" s="76">
        <f t="shared" si="750"/>
        <v>0</v>
      </c>
      <c r="N237" s="76">
        <f t="shared" si="750"/>
        <v>0</v>
      </c>
      <c r="O237" s="76">
        <f t="shared" si="750"/>
        <v>0</v>
      </c>
      <c r="P237" s="76">
        <f t="shared" si="750"/>
        <v>0</v>
      </c>
      <c r="Q237" s="76">
        <f t="shared" si="750"/>
        <v>0</v>
      </c>
      <c r="R237" s="76">
        <f t="shared" si="750"/>
        <v>0</v>
      </c>
      <c r="S237" s="76">
        <f t="shared" si="750"/>
        <v>0</v>
      </c>
      <c r="T237" s="76">
        <f t="shared" si="750"/>
        <v>0</v>
      </c>
      <c r="U237" s="76">
        <f t="shared" si="750"/>
        <v>0</v>
      </c>
      <c r="V237" s="76">
        <f t="shared" si="750"/>
        <v>0</v>
      </c>
      <c r="W237" s="76">
        <f t="shared" si="750"/>
        <v>0</v>
      </c>
      <c r="X237" s="76">
        <f t="shared" si="750"/>
        <v>0</v>
      </c>
      <c r="Y237" s="76">
        <f t="shared" si="750"/>
        <v>0</v>
      </c>
      <c r="Z237" s="76">
        <f t="shared" si="750"/>
        <v>0</v>
      </c>
      <c r="AA237" s="76">
        <f t="shared" si="750"/>
        <v>0</v>
      </c>
      <c r="AB237" s="76">
        <f t="shared" si="750"/>
        <v>0</v>
      </c>
      <c r="AC237" s="76">
        <f t="shared" si="750"/>
        <v>0</v>
      </c>
      <c r="AD237" s="76">
        <f t="shared" si="750"/>
        <v>0</v>
      </c>
      <c r="AE237" s="76">
        <f t="shared" si="750"/>
        <v>0</v>
      </c>
      <c r="AF237" s="76">
        <f t="shared" si="750"/>
        <v>0</v>
      </c>
      <c r="AG237" s="76">
        <f t="shared" si="750"/>
        <v>0</v>
      </c>
      <c r="AH237" s="76">
        <f t="shared" si="750"/>
        <v>0</v>
      </c>
      <c r="AI237" s="76">
        <f t="shared" si="750"/>
        <v>0</v>
      </c>
      <c r="AJ237" s="76">
        <f t="shared" si="750"/>
        <v>0</v>
      </c>
      <c r="AK237" s="76">
        <f t="shared" si="750"/>
        <v>0</v>
      </c>
      <c r="AL237" s="76">
        <f t="shared" si="750"/>
        <v>0</v>
      </c>
      <c r="AM237" s="76">
        <f t="shared" si="750"/>
        <v>0</v>
      </c>
      <c r="AN237" s="76">
        <f t="shared" si="750"/>
        <v>0</v>
      </c>
      <c r="AO237" s="76">
        <f t="shared" si="750"/>
        <v>0</v>
      </c>
      <c r="AP237" s="76">
        <f t="shared" si="750"/>
        <v>0</v>
      </c>
      <c r="AQ237" s="76">
        <f t="shared" si="750"/>
        <v>0</v>
      </c>
      <c r="AR237" s="76">
        <f t="shared" si="750"/>
        <v>0</v>
      </c>
      <c r="AS237" s="76">
        <f t="shared" si="750"/>
        <v>0</v>
      </c>
      <c r="AT237" s="76">
        <f t="shared" si="750"/>
        <v>184</v>
      </c>
      <c r="AU237" s="76">
        <f t="shared" si="750"/>
        <v>0</v>
      </c>
      <c r="AV237" s="76">
        <f t="shared" ref="AV237:BH237" si="751">AV244+AV257</f>
        <v>21.804707049999998</v>
      </c>
      <c r="AW237" s="76">
        <f t="shared" si="751"/>
        <v>9.2480624999999996</v>
      </c>
      <c r="AX237" s="76">
        <f t="shared" si="751"/>
        <v>13.89866</v>
      </c>
      <c r="AY237" s="76">
        <f t="shared" si="751"/>
        <v>12.00176387</v>
      </c>
      <c r="AZ237" s="76">
        <f t="shared" si="751"/>
        <v>52.625328179999997</v>
      </c>
      <c r="BA237" s="76">
        <f t="shared" si="751"/>
        <v>27.4</v>
      </c>
      <c r="BB237" s="76">
        <f t="shared" si="751"/>
        <v>29.998000000000001</v>
      </c>
      <c r="BC237" s="76">
        <f t="shared" si="751"/>
        <v>45.859171000000003</v>
      </c>
      <c r="BD237" s="76">
        <f t="shared" si="751"/>
        <v>58.167188000000003</v>
      </c>
      <c r="BE237" s="76">
        <f t="shared" si="751"/>
        <v>86.042665580000005</v>
      </c>
      <c r="BF237" s="28">
        <f t="shared" si="751"/>
        <v>159.73000018149997</v>
      </c>
      <c r="BG237" s="947">
        <f>BG244+BG257+DataInput!BG292</f>
        <v>423.2</v>
      </c>
      <c r="BH237" s="28">
        <f t="shared" si="751"/>
        <v>243.58499699999999</v>
      </c>
      <c r="BI237" s="948">
        <f>DataInput!BI274</f>
        <v>354.07048700000001</v>
      </c>
      <c r="BJ237" s="948">
        <f>DataInput!BJ274</f>
        <v>149.1</v>
      </c>
      <c r="BK237" s="948">
        <f>DataInput!BK274</f>
        <v>115.4</v>
      </c>
      <c r="BL237" s="948">
        <f>DataInput!BL274</f>
        <v>0</v>
      </c>
      <c r="BM237" s="948">
        <f>DataInput!BM274</f>
        <v>9.9999999999999995E-8</v>
      </c>
      <c r="BN237" s="948">
        <f>DataInput!BN274</f>
        <v>9.9999999999999995E-8</v>
      </c>
      <c r="BO237" s="948">
        <f>DataInput!BO274</f>
        <v>9.9999999999999995E-8</v>
      </c>
      <c r="BP237" s="370">
        <f ca="1">BO237*(1+BP303/100)+SIM!X49+finsim!BO201</f>
        <v>1.2524878941213109E-7</v>
      </c>
      <c r="BQ237" s="370">
        <f ca="1">BP237*(1+BQ303/100)+SIM!Y49+finsim!BP201</f>
        <v>1.3478116070616948E-7</v>
      </c>
      <c r="BR237" s="370">
        <f ca="1">BQ237*(1+BR303/100)+SIM!Z49+finsim!BQ201</f>
        <v>1.4085658211723835E-7</v>
      </c>
      <c r="BS237" s="370">
        <f ca="1">BR237*(1+BS303/100)+SIM!AA49+finsim!BR201</f>
        <v>1.4533847562485555E-7</v>
      </c>
      <c r="BT237" s="370">
        <f ca="1">BS237*(1+BT303/100)+SIM!AB49+finsim!BS201</f>
        <v>1.5141535880362826E-7</v>
      </c>
      <c r="BU237" s="370">
        <f ca="1">BT237*(1+BU303/100)+SIM!AC49+finsim!BT201</f>
        <v>1.5785913780764653E-7</v>
      </c>
      <c r="BV237" s="370">
        <f ca="1">BU237*(1+BV303/100)+SIM!AD49+finsim!BU201</f>
        <v>1.6459934653425038E-7</v>
      </c>
      <c r="BW237" s="370">
        <f ca="1">BV237*(1+BW303/100)+SIM!AE49+finsim!BV201</f>
        <v>1.7164741323984269E-7</v>
      </c>
      <c r="BX237" s="370">
        <f ca="1">BW237*(1+BX303/100)+SIM!AF49+finsim!BW201</f>
        <v>1.789857181834186E-7</v>
      </c>
      <c r="BY237" s="370">
        <f ca="1">BX237*(1+BY303/100)+SIM!AG49+finsim!BX201</f>
        <v>1.8662175468494493E-7</v>
      </c>
      <c r="BZ237" s="370">
        <f ca="1">BY237*(1+BZ303/100)+SIM!AH49+finsim!BY201</f>
        <v>1.9456979304022664E-7</v>
      </c>
      <c r="CA237" s="370">
        <f ca="1">BZ237*(1+CA303/100)+SIM!AI49+finsim!BZ201</f>
        <v>2.0285893224971089E-7</v>
      </c>
      <c r="CB237" s="370">
        <f ca="1">CA237*(1+CB303/100)+SIM!AJ49+finsim!CA201</f>
        <v>2.1151104372670953E-7</v>
      </c>
      <c r="CC237" s="370">
        <f ca="1">CB237*(1+CC303/100)+SIM!AK49+finsim!CB201</f>
        <v>2.2052626849180103E-7</v>
      </c>
      <c r="CD237" s="370">
        <f ca="1">CC237*(1+CD303/100)+SIM!AL49+finsim!CC201</f>
        <v>2.2992018622811179E-7</v>
      </c>
      <c r="CE237" s="370"/>
      <c r="CF237" s="438"/>
      <c r="CG237" s="235">
        <f t="shared" si="732"/>
        <v>0</v>
      </c>
      <c r="CH237" s="235">
        <f t="shared" si="743"/>
        <v>0</v>
      </c>
      <c r="CI237" s="235" t="e">
        <f>BM237-#REF!</f>
        <v>#REF!</v>
      </c>
      <c r="CJ237" s="235">
        <f t="shared" si="711"/>
        <v>0</v>
      </c>
      <c r="CK237" s="235">
        <f t="shared" si="712"/>
        <v>0</v>
      </c>
      <c r="CL237" s="235">
        <f t="shared" ca="1" si="713"/>
        <v>0</v>
      </c>
      <c r="CM237" s="235">
        <f t="shared" ca="1" si="714"/>
        <v>0</v>
      </c>
      <c r="CN237" s="235">
        <f t="shared" ca="1" si="715"/>
        <v>0</v>
      </c>
      <c r="CO237" s="235">
        <f t="shared" ca="1" si="716"/>
        <v>0</v>
      </c>
      <c r="CP237" s="235">
        <f t="shared" ca="1" si="717"/>
        <v>0</v>
      </c>
      <c r="CQ237" s="235">
        <f t="shared" ca="1" si="718"/>
        <v>0</v>
      </c>
      <c r="CR237" s="235">
        <f t="shared" ca="1" si="719"/>
        <v>0</v>
      </c>
      <c r="CS237" s="235">
        <f t="shared" ca="1" si="720"/>
        <v>0</v>
      </c>
      <c r="CT237" s="235">
        <f t="shared" ca="1" si="721"/>
        <v>0</v>
      </c>
      <c r="CU237" s="235">
        <f t="shared" ca="1" si="722"/>
        <v>0</v>
      </c>
      <c r="CV237" s="235">
        <f t="shared" ca="1" si="723"/>
        <v>0</v>
      </c>
      <c r="CW237" s="235">
        <f t="shared" ca="1" si="724"/>
        <v>0</v>
      </c>
      <c r="CX237" s="235">
        <f t="shared" ca="1" si="725"/>
        <v>1.6411263353052069E-21</v>
      </c>
      <c r="CY237" s="235">
        <f t="shared" ca="1" si="726"/>
        <v>1.5140713932170619E-20</v>
      </c>
      <c r="CZ237" s="235">
        <f t="shared" ca="1" si="727"/>
        <v>1.1974928291807671E-19</v>
      </c>
      <c r="DA237" s="38"/>
      <c r="DB237" s="236">
        <v>158.7300001815</v>
      </c>
      <c r="DC237" s="236">
        <v>159.73000018149997</v>
      </c>
      <c r="DD237" s="236">
        <v>370.70384799999999</v>
      </c>
      <c r="DE237" s="236">
        <v>243.58499699999999</v>
      </c>
      <c r="DF237" s="401">
        <v>354.07048700000001</v>
      </c>
      <c r="DG237" s="236">
        <v>115.4</v>
      </c>
      <c r="DH237" s="492">
        <v>0</v>
      </c>
      <c r="DI237" s="236">
        <v>9.9999999999999995E-8</v>
      </c>
      <c r="DJ237" s="236">
        <v>9.9999999999999995E-8</v>
      </c>
      <c r="DK237" s="236">
        <v>1.2524878941213109E-7</v>
      </c>
      <c r="DL237" s="236">
        <v>1.3478116070616948E-7</v>
      </c>
      <c r="DM237" s="236">
        <v>1.4085658211723835E-7</v>
      </c>
      <c r="DN237" s="236">
        <v>1.4533847562485555E-7</v>
      </c>
      <c r="DO237" s="236">
        <v>1.5141535880362824E-7</v>
      </c>
      <c r="DP237" s="236">
        <v>1.578591378076465E-7</v>
      </c>
      <c r="DQ237" s="401">
        <v>1.6459934653425035E-7</v>
      </c>
      <c r="DR237" s="401">
        <v>1.7164741323984266E-7</v>
      </c>
      <c r="DS237" s="401">
        <v>1.7898571818341857E-7</v>
      </c>
      <c r="DT237" s="401">
        <v>1.8662175468494485E-7</v>
      </c>
      <c r="DU237" s="401">
        <v>1.9456979304022654E-7</v>
      </c>
      <c r="DV237" s="401">
        <v>2.0285893224971071E-7</v>
      </c>
      <c r="DW237" s="401">
        <v>2.1151104372670788E-7</v>
      </c>
      <c r="DX237" s="401">
        <v>2.2052626849178589E-7</v>
      </c>
      <c r="DY237" s="401">
        <v>2.2992018622799204E-7</v>
      </c>
      <c r="DZ237" s="401"/>
      <c r="EA237" s="989"/>
    </row>
    <row r="238" spans="1:131" s="158" customFormat="1">
      <c r="A238" s="158" t="str">
        <f>A195</f>
        <v>Other transfers from abroad to the government</v>
      </c>
      <c r="B238" s="98" t="s">
        <v>3381</v>
      </c>
      <c r="C238" s="160" t="s">
        <v>364</v>
      </c>
      <c r="D238" s="215"/>
      <c r="E238" s="215"/>
      <c r="F238" s="158">
        <f t="shared" ref="F238:AU238" si="752">F195</f>
        <v>0</v>
      </c>
      <c r="G238" s="158">
        <f t="shared" si="752"/>
        <v>0</v>
      </c>
      <c r="H238" s="158">
        <f t="shared" si="752"/>
        <v>0</v>
      </c>
      <c r="I238" s="158">
        <f t="shared" si="752"/>
        <v>0</v>
      </c>
      <c r="J238" s="158">
        <f t="shared" si="752"/>
        <v>0</v>
      </c>
      <c r="K238" s="158">
        <f t="shared" si="752"/>
        <v>0</v>
      </c>
      <c r="L238" s="158">
        <f t="shared" si="752"/>
        <v>0</v>
      </c>
      <c r="M238" s="158">
        <f t="shared" si="752"/>
        <v>0</v>
      </c>
      <c r="N238" s="158">
        <f t="shared" si="752"/>
        <v>0</v>
      </c>
      <c r="O238" s="158">
        <f t="shared" si="752"/>
        <v>0</v>
      </c>
      <c r="P238" s="158">
        <f t="shared" si="752"/>
        <v>0</v>
      </c>
      <c r="Q238" s="158">
        <f t="shared" si="752"/>
        <v>0</v>
      </c>
      <c r="R238" s="158">
        <f t="shared" si="752"/>
        <v>0</v>
      </c>
      <c r="S238" s="158">
        <f t="shared" si="752"/>
        <v>0</v>
      </c>
      <c r="T238" s="158">
        <f t="shared" si="752"/>
        <v>0</v>
      </c>
      <c r="U238" s="158">
        <f t="shared" si="752"/>
        <v>0</v>
      </c>
      <c r="V238" s="158">
        <f t="shared" si="752"/>
        <v>0</v>
      </c>
      <c r="W238" s="158">
        <f t="shared" si="752"/>
        <v>0</v>
      </c>
      <c r="X238" s="158">
        <f t="shared" si="752"/>
        <v>0</v>
      </c>
      <c r="Y238" s="158">
        <f t="shared" si="752"/>
        <v>0</v>
      </c>
      <c r="Z238" s="158">
        <f t="shared" si="752"/>
        <v>0</v>
      </c>
      <c r="AA238" s="158">
        <f t="shared" si="752"/>
        <v>0</v>
      </c>
      <c r="AB238" s="158">
        <f t="shared" si="752"/>
        <v>0</v>
      </c>
      <c r="AC238" s="158">
        <f t="shared" si="752"/>
        <v>0</v>
      </c>
      <c r="AD238" s="158">
        <f t="shared" si="752"/>
        <v>0</v>
      </c>
      <c r="AE238" s="158">
        <f t="shared" si="752"/>
        <v>0</v>
      </c>
      <c r="AF238" s="158">
        <f t="shared" si="752"/>
        <v>0</v>
      </c>
      <c r="AG238" s="158">
        <f t="shared" si="752"/>
        <v>0</v>
      </c>
      <c r="AH238" s="158">
        <f t="shared" si="752"/>
        <v>0</v>
      </c>
      <c r="AI238" s="158">
        <f t="shared" si="752"/>
        <v>0</v>
      </c>
      <c r="AJ238" s="158">
        <f t="shared" si="752"/>
        <v>0</v>
      </c>
      <c r="AK238" s="158">
        <f t="shared" si="752"/>
        <v>0</v>
      </c>
      <c r="AL238" s="158">
        <f t="shared" si="752"/>
        <v>0</v>
      </c>
      <c r="AM238" s="158">
        <f t="shared" si="752"/>
        <v>0</v>
      </c>
      <c r="AN238" s="158">
        <f t="shared" si="752"/>
        <v>0</v>
      </c>
      <c r="AO238" s="158">
        <f t="shared" si="752"/>
        <v>0</v>
      </c>
      <c r="AP238" s="158">
        <f t="shared" si="752"/>
        <v>0</v>
      </c>
      <c r="AQ238" s="158">
        <f t="shared" si="752"/>
        <v>0</v>
      </c>
      <c r="AR238" s="158">
        <f t="shared" si="752"/>
        <v>0</v>
      </c>
      <c r="AS238" s="158">
        <f t="shared" si="752"/>
        <v>0</v>
      </c>
      <c r="AT238" s="158">
        <f t="shared" si="752"/>
        <v>0</v>
      </c>
      <c r="AU238" s="158">
        <f t="shared" si="752"/>
        <v>0</v>
      </c>
      <c r="AV238" s="158">
        <f t="shared" ref="AV238:BD238" si="753">AV195</f>
        <v>0</v>
      </c>
      <c r="AW238" s="158">
        <f t="shared" si="753"/>
        <v>4.0100000000000004E-2</v>
      </c>
      <c r="AX238" s="158">
        <f t="shared" si="753"/>
        <v>0</v>
      </c>
      <c r="AY238" s="158">
        <f t="shared" si="753"/>
        <v>0.171982</v>
      </c>
      <c r="AZ238" s="158">
        <f t="shared" si="753"/>
        <v>0</v>
      </c>
      <c r="BA238" s="158">
        <f t="shared" si="753"/>
        <v>0.43570000000000003</v>
      </c>
      <c r="BB238" s="158">
        <f t="shared" si="753"/>
        <v>0</v>
      </c>
      <c r="BC238" s="158">
        <f t="shared" si="753"/>
        <v>9.6323209999999992</v>
      </c>
      <c r="BD238" s="158">
        <f t="shared" si="753"/>
        <v>19.4114</v>
      </c>
      <c r="BE238" s="158">
        <f t="shared" ref="BE238:BK238" si="754">BE195</f>
        <v>4.0949999999999998</v>
      </c>
      <c r="BF238" s="158">
        <f t="shared" si="754"/>
        <v>0.27425000000000005</v>
      </c>
      <c r="BG238" s="158">
        <f t="shared" si="754"/>
        <v>0</v>
      </c>
      <c r="BH238" s="158">
        <f t="shared" si="754"/>
        <v>0</v>
      </c>
      <c r="BI238" s="158">
        <f t="shared" si="754"/>
        <v>0</v>
      </c>
      <c r="BJ238" s="158">
        <f t="shared" si="754"/>
        <v>0</v>
      </c>
      <c r="BK238" s="158">
        <f t="shared" si="754"/>
        <v>0</v>
      </c>
      <c r="BL238" s="158">
        <f t="shared" ref="BL238:BS238" si="755">BL195</f>
        <v>0</v>
      </c>
      <c r="BM238" s="158">
        <f t="shared" si="755"/>
        <v>0</v>
      </c>
      <c r="BN238" s="158">
        <f t="shared" si="755"/>
        <v>0</v>
      </c>
      <c r="BO238" s="158">
        <f t="shared" si="755"/>
        <v>0</v>
      </c>
      <c r="BP238" s="158">
        <f t="shared" si="755"/>
        <v>0</v>
      </c>
      <c r="BQ238" s="158">
        <f t="shared" si="755"/>
        <v>0</v>
      </c>
      <c r="BR238" s="158">
        <f t="shared" si="755"/>
        <v>0</v>
      </c>
      <c r="BS238" s="158">
        <f t="shared" si="755"/>
        <v>0</v>
      </c>
      <c r="BT238" s="158">
        <f>BT195</f>
        <v>0</v>
      </c>
      <c r="BU238" s="158">
        <f>BU195</f>
        <v>0</v>
      </c>
      <c r="BV238" s="158">
        <f>BV195</f>
        <v>0</v>
      </c>
      <c r="BW238" s="158">
        <f t="shared" ref="BW238:BX238" si="756">BW195</f>
        <v>0</v>
      </c>
      <c r="BX238" s="158">
        <f t="shared" si="756"/>
        <v>0</v>
      </c>
      <c r="BY238" s="158">
        <f t="shared" ref="BY238:CD238" si="757">BY195</f>
        <v>0</v>
      </c>
      <c r="BZ238" s="158">
        <f t="shared" si="757"/>
        <v>0</v>
      </c>
      <c r="CA238" s="158">
        <f t="shared" si="757"/>
        <v>0</v>
      </c>
      <c r="CB238" s="158">
        <f t="shared" si="757"/>
        <v>0</v>
      </c>
      <c r="CC238" s="158">
        <f t="shared" si="757"/>
        <v>0</v>
      </c>
      <c r="CD238" s="158">
        <f t="shared" si="757"/>
        <v>0</v>
      </c>
      <c r="CF238" s="435"/>
      <c r="CG238" s="235">
        <f t="shared" si="732"/>
        <v>0</v>
      </c>
      <c r="CH238" s="235">
        <f t="shared" si="743"/>
        <v>0</v>
      </c>
      <c r="CI238" s="235" t="e">
        <f>BM238-#REF!</f>
        <v>#REF!</v>
      </c>
      <c r="CJ238" s="235">
        <f t="shared" si="711"/>
        <v>0</v>
      </c>
      <c r="CK238" s="235">
        <f t="shared" si="712"/>
        <v>0</v>
      </c>
      <c r="CL238" s="235">
        <f t="shared" si="713"/>
        <v>0</v>
      </c>
      <c r="CM238" s="235">
        <f t="shared" si="714"/>
        <v>0</v>
      </c>
      <c r="CN238" s="235">
        <f t="shared" si="715"/>
        <v>0</v>
      </c>
      <c r="CO238" s="235">
        <f t="shared" si="716"/>
        <v>0</v>
      </c>
      <c r="CP238" s="235">
        <f t="shared" si="717"/>
        <v>0</v>
      </c>
      <c r="CQ238" s="235">
        <f t="shared" si="718"/>
        <v>0</v>
      </c>
      <c r="CR238" s="235">
        <f t="shared" si="719"/>
        <v>0</v>
      </c>
      <c r="CS238" s="235">
        <f t="shared" si="720"/>
        <v>0</v>
      </c>
      <c r="CT238" s="235">
        <f t="shared" si="721"/>
        <v>0</v>
      </c>
      <c r="CU238" s="235">
        <f t="shared" si="722"/>
        <v>0</v>
      </c>
      <c r="CV238" s="235">
        <f t="shared" si="723"/>
        <v>0</v>
      </c>
      <c r="CW238" s="235">
        <f t="shared" si="724"/>
        <v>0</v>
      </c>
      <c r="CX238" s="235">
        <f t="shared" si="725"/>
        <v>0</v>
      </c>
      <c r="CY238" s="235">
        <f t="shared" si="726"/>
        <v>0</v>
      </c>
      <c r="CZ238" s="235">
        <f t="shared" si="727"/>
        <v>0</v>
      </c>
      <c r="DA238" s="38"/>
      <c r="DB238" s="236">
        <v>-0.72575000000000001</v>
      </c>
      <c r="DC238" s="236">
        <v>0.27425000000000005</v>
      </c>
      <c r="DD238" s="236">
        <v>1.0980000000000001</v>
      </c>
      <c r="DE238" s="236">
        <v>0.27450000000000002</v>
      </c>
      <c r="DF238" s="401">
        <v>0</v>
      </c>
      <c r="DG238" s="236">
        <v>0</v>
      </c>
      <c r="DH238" s="492">
        <v>0</v>
      </c>
      <c r="DI238" s="236">
        <v>0</v>
      </c>
      <c r="DJ238" s="236">
        <v>0</v>
      </c>
      <c r="DK238" s="236">
        <v>0</v>
      </c>
      <c r="DL238" s="236">
        <v>0</v>
      </c>
      <c r="DM238" s="236">
        <v>0</v>
      </c>
      <c r="DN238" s="236">
        <v>0</v>
      </c>
      <c r="DO238" s="236">
        <v>0</v>
      </c>
      <c r="DP238" s="236">
        <v>0</v>
      </c>
      <c r="DQ238" s="401">
        <v>0</v>
      </c>
      <c r="DR238" s="401">
        <v>0</v>
      </c>
      <c r="DS238" s="401">
        <v>0</v>
      </c>
      <c r="DT238" s="401">
        <v>0</v>
      </c>
      <c r="DU238" s="401">
        <v>0</v>
      </c>
      <c r="DV238" s="401">
        <v>0</v>
      </c>
      <c r="DW238" s="401">
        <v>0</v>
      </c>
      <c r="DX238" s="401">
        <v>0</v>
      </c>
      <c r="DY238" s="401">
        <v>0</v>
      </c>
      <c r="DZ238" s="401"/>
      <c r="EA238" s="989"/>
    </row>
    <row r="239" spans="1:131">
      <c r="A239" s="8" t="s">
        <v>3914</v>
      </c>
      <c r="B239" s="104" t="s">
        <v>945</v>
      </c>
      <c r="BF239" s="333">
        <f>DataInput!BH291-Model!BH237</f>
        <v>0</v>
      </c>
      <c r="BG239" s="333">
        <f>DataInput!BI291-Model!BI237</f>
        <v>-139.30000000000001</v>
      </c>
      <c r="BH239" s="331">
        <f>DataInput!BH272-Model!BH230</f>
        <v>0</v>
      </c>
      <c r="BI239" s="331">
        <f>DataInput!BI272-Model!BI230</f>
        <v>0</v>
      </c>
      <c r="BJ239" s="275"/>
      <c r="BK239" s="314"/>
      <c r="BL239" s="314"/>
      <c r="BM239" s="1025">
        <f>DataInput!BM279</f>
        <v>4728.3999999999996</v>
      </c>
      <c r="BN239" s="1025">
        <f>DataInput!BN279</f>
        <v>4564.5</v>
      </c>
      <c r="BO239" s="1025">
        <f>DataInput!BO279</f>
        <v>4718.5999999999995</v>
      </c>
      <c r="BP239" s="1025">
        <f>DataInput!BP279</f>
        <v>4751.8</v>
      </c>
      <c r="BQ239" s="1025">
        <f>DataInput!BQ279</f>
        <v>5411.1</v>
      </c>
      <c r="BR239" s="1025">
        <f>DataInput!BR279</f>
        <v>5814.1</v>
      </c>
      <c r="BS239" s="1025">
        <f>DataInput!BS279</f>
        <v>6191.5</v>
      </c>
      <c r="BT239" s="1025">
        <f>DataInput!BT279</f>
        <v>6191.5</v>
      </c>
      <c r="BU239" s="1025">
        <f>DataInput!BU279</f>
        <v>6191.5</v>
      </c>
      <c r="BV239" s="1025">
        <f>DataInput!BV279</f>
        <v>6191.5</v>
      </c>
      <c r="BW239" s="1025">
        <f>DataInput!BW279</f>
        <v>6191.5</v>
      </c>
      <c r="BX239" s="1025">
        <f>DataInput!BX279</f>
        <v>6191.5</v>
      </c>
      <c r="BY239" s="1025">
        <f>DataInput!BY279</f>
        <v>6191.5</v>
      </c>
      <c r="BZ239" s="1025">
        <f>DataInput!BZ279</f>
        <v>6191.5</v>
      </c>
      <c r="CA239" s="1025">
        <f>DataInput!CA279</f>
        <v>6191.5</v>
      </c>
      <c r="CB239" s="1025">
        <f>DataInput!CB279</f>
        <v>6191.5</v>
      </c>
      <c r="CC239" s="1025">
        <f>DataInput!CC279</f>
        <v>6191.5</v>
      </c>
      <c r="CD239" s="1025">
        <f>DataInput!CD279</f>
        <v>6191.5</v>
      </c>
      <c r="CE239" s="314"/>
      <c r="CF239" s="435"/>
      <c r="CG239" s="235">
        <f t="shared" si="732"/>
        <v>0</v>
      </c>
      <c r="CH239" s="235">
        <f t="shared" si="743"/>
        <v>0</v>
      </c>
      <c r="CI239" s="235" t="e">
        <f>BM239-#REF!</f>
        <v>#REF!</v>
      </c>
      <c r="CJ239" s="235">
        <f t="shared" si="711"/>
        <v>0</v>
      </c>
      <c r="CK239" s="235">
        <f t="shared" si="712"/>
        <v>0</v>
      </c>
      <c r="CL239" s="235">
        <f t="shared" si="713"/>
        <v>0</v>
      </c>
      <c r="CM239" s="235">
        <f t="shared" si="714"/>
        <v>0</v>
      </c>
      <c r="CN239" s="235">
        <f t="shared" si="715"/>
        <v>0</v>
      </c>
      <c r="CO239" s="235">
        <f t="shared" si="716"/>
        <v>0</v>
      </c>
      <c r="CP239" s="235">
        <f t="shared" si="717"/>
        <v>0</v>
      </c>
      <c r="CQ239" s="235">
        <f t="shared" si="718"/>
        <v>0</v>
      </c>
      <c r="CR239" s="235">
        <f t="shared" si="719"/>
        <v>0</v>
      </c>
      <c r="CS239" s="235">
        <f t="shared" si="720"/>
        <v>0</v>
      </c>
      <c r="CT239" s="235">
        <f t="shared" si="721"/>
        <v>0</v>
      </c>
      <c r="CU239" s="235">
        <f t="shared" si="722"/>
        <v>0</v>
      </c>
      <c r="CV239" s="235">
        <f t="shared" si="723"/>
        <v>0</v>
      </c>
      <c r="CW239" s="235">
        <f t="shared" si="724"/>
        <v>0</v>
      </c>
      <c r="CX239" s="235">
        <f t="shared" si="725"/>
        <v>0</v>
      </c>
      <c r="CY239" s="235">
        <f t="shared" si="726"/>
        <v>0</v>
      </c>
      <c r="CZ239" s="235">
        <f t="shared" si="727"/>
        <v>0</v>
      </c>
      <c r="DB239" s="236">
        <v>-1</v>
      </c>
      <c r="DC239" s="236">
        <v>0</v>
      </c>
      <c r="DD239" s="236">
        <v>-139.30000000000001</v>
      </c>
      <c r="DE239" s="236">
        <v>-30.665207000000009</v>
      </c>
      <c r="DF239" s="400">
        <v>0</v>
      </c>
      <c r="DI239" s="236">
        <v>4564.5</v>
      </c>
      <c r="DJ239" s="236">
        <v>4718.5999999999995</v>
      </c>
      <c r="DK239" s="236">
        <v>4751.8</v>
      </c>
      <c r="DL239" s="236">
        <v>5411.1</v>
      </c>
      <c r="DM239" s="236">
        <v>5814.1</v>
      </c>
      <c r="DN239" s="236">
        <v>6191.5</v>
      </c>
      <c r="DO239" s="236">
        <v>6191.5</v>
      </c>
      <c r="DP239" s="236">
        <v>6191.5</v>
      </c>
      <c r="DQ239" s="258">
        <v>6191.5</v>
      </c>
      <c r="DR239" s="258">
        <v>6191.5</v>
      </c>
      <c r="DS239" s="258">
        <v>6191.5</v>
      </c>
      <c r="DT239" s="258">
        <v>6191.5</v>
      </c>
      <c r="DU239" s="258">
        <v>6191.5</v>
      </c>
      <c r="DV239" s="258">
        <v>6191.5</v>
      </c>
      <c r="DW239" s="258">
        <v>6191.5</v>
      </c>
      <c r="DX239" s="258">
        <v>6191.5</v>
      </c>
      <c r="DY239" s="258">
        <v>6191.5</v>
      </c>
    </row>
    <row r="240" spans="1:131" s="19" customFormat="1">
      <c r="A240" s="19" t="str">
        <f>DataInput!A279</f>
        <v>Expenditure and net lending</v>
      </c>
      <c r="B240" s="19" t="s">
        <v>545</v>
      </c>
      <c r="C240" s="104"/>
      <c r="D240" s="222"/>
      <c r="E240" s="222"/>
      <c r="F240" s="87">
        <f t="shared" ref="F240:AZ240" si="758">F242+F245+F247+F249+F252+F244+F256+F259</f>
        <v>1.94025818274489E-2</v>
      </c>
      <c r="G240" s="87">
        <f t="shared" si="758"/>
        <v>2.2181207884904942E-2</v>
      </c>
      <c r="H240" s="87">
        <f t="shared" si="758"/>
        <v>2.4673058380539407E-2</v>
      </c>
      <c r="I240" s="87">
        <f t="shared" si="758"/>
        <v>3.1375085619339514E-2</v>
      </c>
      <c r="J240" s="87">
        <f t="shared" si="758"/>
        <v>3.4624154270830002E-2</v>
      </c>
      <c r="K240" s="87">
        <f t="shared" si="758"/>
        <v>3.869350824517797E-2</v>
      </c>
      <c r="L240" s="87">
        <f t="shared" si="758"/>
        <v>4.724241529453771E-2</v>
      </c>
      <c r="M240" s="87">
        <f t="shared" si="758"/>
        <v>5.4167263245215654E-2</v>
      </c>
      <c r="N240" s="87">
        <f t="shared" si="758"/>
        <v>5.5034155089244002E-2</v>
      </c>
      <c r="O240" s="87">
        <f t="shared" si="758"/>
        <v>5.4962929947297713E-2</v>
      </c>
      <c r="P240" s="87">
        <f t="shared" si="758"/>
        <v>6.0406422623602421E-2</v>
      </c>
      <c r="Q240" s="87">
        <f t="shared" si="758"/>
        <v>6.7105994275824504E-2</v>
      </c>
      <c r="R240" s="87">
        <f t="shared" si="758"/>
        <v>7.7360526315387063E-2</v>
      </c>
      <c r="S240" s="87">
        <f t="shared" si="758"/>
        <v>7.9805434685982946E-2</v>
      </c>
      <c r="T240" s="87">
        <f t="shared" si="758"/>
        <v>8.2823491699371948E-2</v>
      </c>
      <c r="U240" s="87">
        <f t="shared" si="758"/>
        <v>9.7695598293028665E-2</v>
      </c>
      <c r="V240" s="87">
        <f t="shared" si="758"/>
        <v>0.11387105213428309</v>
      </c>
      <c r="W240" s="87">
        <f t="shared" si="758"/>
        <v>0.11271621521486022</v>
      </c>
      <c r="X240" s="87">
        <f t="shared" si="758"/>
        <v>0.13829053636474697</v>
      </c>
      <c r="Y240" s="87">
        <f t="shared" si="758"/>
        <v>0.14773733188072408</v>
      </c>
      <c r="Z240" s="87">
        <f t="shared" si="758"/>
        <v>0.17324665399741909</v>
      </c>
      <c r="AA240" s="87">
        <f t="shared" si="758"/>
        <v>0.2237453174065894</v>
      </c>
      <c r="AB240" s="87">
        <f t="shared" si="758"/>
        <v>0.27904982459185235</v>
      </c>
      <c r="AC240" s="87">
        <f t="shared" si="758"/>
        <v>0.33647329329670589</v>
      </c>
      <c r="AD240" s="87">
        <f t="shared" si="758"/>
        <v>0.35757897915222892</v>
      </c>
      <c r="AE240" s="87">
        <f t="shared" si="758"/>
        <v>0.35787729411874669</v>
      </c>
      <c r="AF240" s="87">
        <f t="shared" si="758"/>
        <v>0.363291091659042</v>
      </c>
      <c r="AG240" s="87">
        <f t="shared" si="758"/>
        <v>0.44417588065173741</v>
      </c>
      <c r="AH240" s="87">
        <f t="shared" si="758"/>
        <v>0.53750547452591702</v>
      </c>
      <c r="AI240" s="87">
        <f t="shared" si="758"/>
        <v>0.54925788474822324</v>
      </c>
      <c r="AJ240" s="87">
        <f t="shared" si="758"/>
        <v>0.53523410977665253</v>
      </c>
      <c r="AK240" s="87">
        <f t="shared" si="758"/>
        <v>0.51636689759870313</v>
      </c>
      <c r="AL240" s="87">
        <f t="shared" si="758"/>
        <v>0.56457684069933334</v>
      </c>
      <c r="AM240" s="87">
        <f t="shared" si="758"/>
        <v>0.62468278809948352</v>
      </c>
      <c r="AN240" s="87">
        <f t="shared" si="758"/>
        <v>0.67870450663738047</v>
      </c>
      <c r="AO240" s="87">
        <f t="shared" si="758"/>
        <v>0.76381217246594491</v>
      </c>
      <c r="AP240" s="87">
        <f t="shared" si="758"/>
        <v>0.72884661421717389</v>
      </c>
      <c r="AQ240" s="87">
        <f t="shared" si="758"/>
        <v>0.91448448343799604</v>
      </c>
      <c r="AR240" s="87">
        <f t="shared" si="758"/>
        <v>1.1230736844882243</v>
      </c>
      <c r="AS240" s="87">
        <f t="shared" si="758"/>
        <v>1.6436460975840206</v>
      </c>
      <c r="AT240" s="87">
        <f t="shared" si="758"/>
        <v>355.49850304086624</v>
      </c>
      <c r="AU240" s="87">
        <f t="shared" si="758"/>
        <v>44.98391569581915</v>
      </c>
      <c r="AV240" s="87">
        <f t="shared" si="758"/>
        <v>140.75830852499999</v>
      </c>
      <c r="AW240" s="87">
        <f t="shared" si="758"/>
        <v>124.280635</v>
      </c>
      <c r="AX240" s="87">
        <f t="shared" si="758"/>
        <v>210.60747600000002</v>
      </c>
      <c r="AY240" s="87">
        <f t="shared" si="758"/>
        <v>318.93222699</v>
      </c>
      <c r="AZ240" s="87">
        <f t="shared" si="758"/>
        <v>455.86927539999994</v>
      </c>
      <c r="BA240" s="87">
        <f t="shared" ref="BA240:BH240" si="759">BA242+BA245+BA247+BA249+BA252+BA244+BA256+BA259</f>
        <v>588.61154999999997</v>
      </c>
      <c r="BB240" s="87">
        <f t="shared" si="759"/>
        <v>800.47383200000013</v>
      </c>
      <c r="BC240" s="87">
        <f t="shared" si="759"/>
        <v>897.26675699999998</v>
      </c>
      <c r="BD240" s="87">
        <f t="shared" si="759"/>
        <v>1171.1278050000001</v>
      </c>
      <c r="BE240" s="87">
        <f t="shared" si="759"/>
        <v>1432.54068594</v>
      </c>
      <c r="BF240" s="87">
        <f t="shared" si="759"/>
        <v>1772.4441111815004</v>
      </c>
      <c r="BG240" s="323">
        <f t="shared" si="759"/>
        <v>2018.213939</v>
      </c>
      <c r="BH240" s="87">
        <f t="shared" si="759"/>
        <v>2209.7775859999997</v>
      </c>
      <c r="BI240" s="87">
        <f t="shared" ref="BI240:BN240" si="760">BI242+BI245+BI247+BI249+BI252+BI244+BI256+BI259</f>
        <v>2859.505705</v>
      </c>
      <c r="BJ240" s="87">
        <f t="shared" si="760"/>
        <v>2955.3999999999996</v>
      </c>
      <c r="BK240" s="87">
        <f t="shared" si="760"/>
        <v>3551.0736030000007</v>
      </c>
      <c r="BL240" s="87">
        <f t="shared" si="760"/>
        <v>4410.5999999999995</v>
      </c>
      <c r="BM240" s="87">
        <f t="shared" si="760"/>
        <v>4728.3999999999996</v>
      </c>
      <c r="BN240" s="87">
        <f t="shared" si="760"/>
        <v>4564.5</v>
      </c>
      <c r="BO240" s="87">
        <f t="shared" ref="BO240:BU240" si="761">BO242+BO245+BO247+BO249+BO252+BO244+BO256+BO259</f>
        <v>4718.5999999999995</v>
      </c>
      <c r="BP240" s="87">
        <f t="shared" ca="1" si="761"/>
        <v>6286.2782520604333</v>
      </c>
      <c r="BQ240" s="87">
        <f t="shared" ca="1" si="761"/>
        <v>7432.5831090085267</v>
      </c>
      <c r="BR240" s="87">
        <f t="shared" ca="1" si="761"/>
        <v>8167.1186612542188</v>
      </c>
      <c r="BS240" s="87">
        <f t="shared" ca="1" si="761"/>
        <v>8730.8912301544296</v>
      </c>
      <c r="BT240" s="87">
        <f t="shared" ca="1" si="761"/>
        <v>9383.5770071650313</v>
      </c>
      <c r="BU240" s="87">
        <f t="shared" ca="1" si="761"/>
        <v>10131.688047007754</v>
      </c>
      <c r="BV240" s="87">
        <f ca="1">BV242+BV245+BV247+BV249+BV252+BV244+BV256+BV259</f>
        <v>10966.600432723719</v>
      </c>
      <c r="BW240" s="87">
        <f t="shared" ref="BW240:BX240" ca="1" si="762">BW242+BW245+BW247+BW249+BW252+BW244+BW256+BW259</f>
        <v>11875.388877209463</v>
      </c>
      <c r="BX240" s="87">
        <f t="shared" ca="1" si="762"/>
        <v>12882.851520253796</v>
      </c>
      <c r="BY240" s="87">
        <f t="shared" ref="BY240:CD240" ca="1" si="763">BY242+BY245+BY247+BY249+BY252+BY244+BY256+BY259</f>
        <v>13998.82048016738</v>
      </c>
      <c r="BZ240" s="87">
        <f t="shared" ca="1" si="763"/>
        <v>15237.296172846618</v>
      </c>
      <c r="CA240" s="87">
        <f t="shared" ca="1" si="763"/>
        <v>16610.165802407457</v>
      </c>
      <c r="CB240" s="87">
        <f t="shared" ca="1" si="763"/>
        <v>18108.582500647677</v>
      </c>
      <c r="CC240" s="87">
        <f t="shared" ca="1" si="763"/>
        <v>19767.336292945478</v>
      </c>
      <c r="CD240" s="87">
        <f t="shared" ca="1" si="763"/>
        <v>21604.72871820649</v>
      </c>
      <c r="CE240" s="87"/>
      <c r="CF240" s="435"/>
      <c r="CG240" s="235">
        <f t="shared" si="732"/>
        <v>0</v>
      </c>
      <c r="CH240" s="235">
        <f t="shared" si="743"/>
        <v>0</v>
      </c>
      <c r="CI240" s="235" t="e">
        <f>BM240-#REF!</f>
        <v>#REF!</v>
      </c>
      <c r="CJ240" s="235">
        <f t="shared" si="711"/>
        <v>0</v>
      </c>
      <c r="CK240" s="235">
        <f t="shared" si="712"/>
        <v>0</v>
      </c>
      <c r="CL240" s="235">
        <f t="shared" ca="1" si="713"/>
        <v>0</v>
      </c>
      <c r="CM240" s="235">
        <f t="shared" ca="1" si="714"/>
        <v>0</v>
      </c>
      <c r="CN240" s="235">
        <f t="shared" ca="1" si="715"/>
        <v>0</v>
      </c>
      <c r="CO240" s="235">
        <f t="shared" ca="1" si="716"/>
        <v>0</v>
      </c>
      <c r="CP240" s="235">
        <f t="shared" ca="1" si="717"/>
        <v>0</v>
      </c>
      <c r="CQ240" s="235">
        <f t="shared" ca="1" si="718"/>
        <v>0</v>
      </c>
      <c r="CR240" s="235">
        <f t="shared" ca="1" si="719"/>
        <v>0</v>
      </c>
      <c r="CS240" s="235">
        <f t="shared" ca="1" si="720"/>
        <v>0</v>
      </c>
      <c r="CT240" s="235">
        <f t="shared" ca="1" si="721"/>
        <v>0</v>
      </c>
      <c r="CU240" s="235">
        <f t="shared" ca="1" si="722"/>
        <v>0</v>
      </c>
      <c r="CV240" s="235">
        <f t="shared" ca="1" si="723"/>
        <v>0</v>
      </c>
      <c r="CW240" s="235">
        <f t="shared" ca="1" si="724"/>
        <v>0</v>
      </c>
      <c r="CX240" s="235">
        <f t="shared" ca="1" si="725"/>
        <v>-2.9103830456733704E-11</v>
      </c>
      <c r="CY240" s="235">
        <f t="shared" ca="1" si="726"/>
        <v>-4.0017766878008842E-10</v>
      </c>
      <c r="CZ240" s="235">
        <f t="shared" ca="1" si="727"/>
        <v>-3.8380676414817572E-9</v>
      </c>
      <c r="DA240" s="38"/>
      <c r="DB240" s="236">
        <v>1764.6992891815</v>
      </c>
      <c r="DC240" s="236">
        <v>1765.6992891814998</v>
      </c>
      <c r="DD240" s="236">
        <v>2223.8506520000005</v>
      </c>
      <c r="DE240" s="236">
        <v>2209.8182040000002</v>
      </c>
      <c r="DF240" s="401">
        <v>2927.0650559999999</v>
      </c>
      <c r="DG240" s="236">
        <v>3551.0736030000007</v>
      </c>
      <c r="DH240" s="492">
        <v>4410.5999999999995</v>
      </c>
      <c r="DI240" s="236">
        <v>4564.5</v>
      </c>
      <c r="DJ240" s="236">
        <v>4718.5999999999995</v>
      </c>
      <c r="DK240" s="236">
        <v>6286.2782520604333</v>
      </c>
      <c r="DL240" s="236">
        <v>7432.5831090085276</v>
      </c>
      <c r="DM240" s="236">
        <v>8167.1186612542197</v>
      </c>
      <c r="DN240" s="236">
        <v>8730.8912301544296</v>
      </c>
      <c r="DO240" s="236">
        <v>9383.5770071650313</v>
      </c>
      <c r="DP240" s="236">
        <v>10131.688047007754</v>
      </c>
      <c r="DQ240" s="1084">
        <v>10966.600432723721</v>
      </c>
      <c r="DR240" s="1084">
        <v>11875.388877209461</v>
      </c>
      <c r="DS240" s="1084">
        <v>12882.851520253793</v>
      </c>
      <c r="DT240" s="1084">
        <v>13998.820480167378</v>
      </c>
      <c r="DU240" s="1084">
        <v>15237.296172846611</v>
      </c>
      <c r="DV240" s="1084">
        <v>16610.165802407457</v>
      </c>
      <c r="DW240" s="1084">
        <v>18108.582500647706</v>
      </c>
      <c r="DX240" s="1084">
        <v>19767.336292945878</v>
      </c>
      <c r="DY240" s="1084">
        <v>21604.728718210328</v>
      </c>
      <c r="DZ240" s="1084"/>
      <c r="EA240" s="988"/>
    </row>
    <row r="241" spans="1:131" s="19" customFormat="1">
      <c r="A241" s="19" t="str">
        <f>DataInput!A282</f>
        <v>Wages and salaries Government</v>
      </c>
      <c r="B241" s="133" t="s">
        <v>3794</v>
      </c>
      <c r="D241" s="206"/>
      <c r="E241" s="206"/>
      <c r="F241" s="206"/>
      <c r="G241" s="206"/>
      <c r="H241" s="206"/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/>
      <c r="AH241" s="206"/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63"/>
      <c r="AV241" s="76"/>
      <c r="AW241" s="76"/>
      <c r="AX241" s="107"/>
      <c r="AY241" s="88"/>
      <c r="AZ241" s="76"/>
      <c r="BA241" s="80"/>
      <c r="BB241" s="80"/>
      <c r="BC241" s="80"/>
      <c r="BD241" s="80"/>
      <c r="BE241" s="80"/>
      <c r="BF241" s="80"/>
      <c r="BG241" s="80"/>
      <c r="BH241" s="335">
        <f>(771.674814-BH242)/BH242*100</f>
        <v>1.7307994013482981</v>
      </c>
      <c r="BI241" s="339"/>
      <c r="BJ241" s="343"/>
      <c r="BK241" s="80"/>
      <c r="BL241" s="80"/>
      <c r="BM241" s="80"/>
      <c r="BN241" s="80"/>
      <c r="BO241" s="80"/>
      <c r="BP241" s="80"/>
      <c r="BQ241" s="80"/>
      <c r="BR241" s="80"/>
      <c r="BS241" s="80"/>
      <c r="BT241" s="80"/>
      <c r="BU241" s="80"/>
      <c r="BV241" s="80"/>
      <c r="BW241" s="80"/>
      <c r="BX241" s="80"/>
      <c r="BY241" s="80"/>
      <c r="BZ241" s="80"/>
      <c r="CA241" s="80"/>
      <c r="CB241" s="80"/>
      <c r="CC241" s="80"/>
      <c r="CD241" s="80"/>
      <c r="CE241" s="80"/>
      <c r="CF241" s="435"/>
      <c r="CG241" s="235"/>
      <c r="CH241" s="235"/>
      <c r="CI241" s="235"/>
      <c r="CJ241" s="235"/>
      <c r="CK241" s="235"/>
      <c r="CL241" s="235"/>
      <c r="CM241" s="235"/>
      <c r="CN241" s="235"/>
      <c r="CO241" s="235"/>
      <c r="CP241" s="235"/>
      <c r="CQ241" s="235"/>
      <c r="CR241" s="235"/>
      <c r="CS241" s="235"/>
      <c r="CT241" s="235"/>
      <c r="CU241" s="235"/>
      <c r="CV241" s="235"/>
      <c r="CW241" s="235"/>
      <c r="CX241" s="235"/>
      <c r="CY241" s="235"/>
      <c r="CZ241" s="235"/>
      <c r="DA241" s="38"/>
      <c r="DB241" s="236"/>
      <c r="DC241" s="236"/>
      <c r="DD241" s="236"/>
      <c r="DE241" s="236">
        <v>1.7307994013482981</v>
      </c>
      <c r="DF241" s="404"/>
      <c r="DG241" s="236"/>
      <c r="DH241" s="492"/>
      <c r="DI241" s="236"/>
      <c r="DJ241" s="236"/>
      <c r="DK241" s="236"/>
      <c r="DL241" s="236"/>
      <c r="DM241" s="236"/>
      <c r="DN241" s="236"/>
      <c r="DO241" s="236"/>
      <c r="DP241" s="236"/>
      <c r="DQ241" s="1084"/>
      <c r="DR241" s="1084"/>
      <c r="DS241" s="1084"/>
      <c r="DT241" s="1084"/>
      <c r="DU241" s="1084"/>
      <c r="DV241" s="1084"/>
      <c r="DW241" s="1084"/>
      <c r="DX241" s="1084"/>
      <c r="DY241" s="1084"/>
      <c r="DZ241" s="1084"/>
      <c r="EA241" s="988"/>
    </row>
    <row r="242" spans="1:131" s="76" customFormat="1">
      <c r="A242" s="19" t="str">
        <f>DataInput!A282</f>
        <v>Wages and salaries Government</v>
      </c>
      <c r="B242" s="80" t="s">
        <v>580</v>
      </c>
      <c r="C242" s="51" t="s">
        <v>3795</v>
      </c>
      <c r="D242" s="207"/>
      <c r="E242" s="207"/>
      <c r="F242" s="295">
        <f>mamiabc!F56*Model!$AV242/mamiabc!$AV56</f>
        <v>1.1498834224862036E-2</v>
      </c>
      <c r="G242" s="295">
        <f>mamiabc!G56*Model!$AV242/mamiabc!$AV56</f>
        <v>1.3258859871524592E-2</v>
      </c>
      <c r="H242" s="295">
        <f>mamiabc!H56*Model!$AV242/mamiabc!$AV56</f>
        <v>1.4661013502419794E-2</v>
      </c>
      <c r="I242" s="295">
        <f>mamiabc!I56*Model!$AV242/mamiabc!$AV56</f>
        <v>1.9548018003226392E-2</v>
      </c>
      <c r="J242" s="295">
        <f>mamiabc!J56*Model!$AV242/mamiabc!$AV56</f>
        <v>2.0427679462388201E-2</v>
      </c>
      <c r="K242" s="295">
        <f>mamiabc!K56*Model!$AV242/mamiabc!$AV56</f>
        <v>2.2773440369501893E-2</v>
      </c>
      <c r="L242" s="295">
        <f>mamiabc!L56*Model!$AV242/mamiabc!$AV56</f>
        <v>2.5607904076584007E-2</v>
      </c>
      <c r="M242" s="295">
        <f>mamiabc!M56*Model!$AV242/mamiabc!$AV56</f>
        <v>3.4111290721853663E-2</v>
      </c>
      <c r="N242" s="295">
        <f>mamiabc!N56*Model!$AV242/mamiabc!$AV56</f>
        <v>3.508869184581382E-2</v>
      </c>
      <c r="O242" s="295">
        <f>mamiabc!O56*Model!$AV242/mamiabc!$AV56</f>
        <v>3.606609296977397E-2</v>
      </c>
      <c r="P242" s="295">
        <f>mamiabc!P56*Model!$AV242/mamiabc!$AV56</f>
        <v>4.1246317583969787E-2</v>
      </c>
      <c r="Q242" s="295">
        <f>mamiabc!Q56*Model!$AV242/mamiabc!$AV56</f>
        <v>4.4569479615043629E-2</v>
      </c>
      <c r="R242" s="295">
        <f>mamiabc!R56*Model!$AV242/mamiabc!$AV56</f>
        <v>5.2975131071491627E-2</v>
      </c>
      <c r="S242" s="295">
        <f>mamiabc!S56*Model!$AV242/mamiabc!$AV56</f>
        <v>5.6005071870182097E-2</v>
      </c>
      <c r="T242" s="295">
        <f>mamiabc!T56*Model!$AV242/mamiabc!$AV56</f>
        <v>5.8839533339275864E-2</v>
      </c>
      <c r="U242" s="295">
        <f>mamiabc!U56*Model!$AV242/mamiabc!$AV56</f>
        <v>6.8906765811260789E-2</v>
      </c>
      <c r="V242" s="295">
        <f>mamiabc!V56*Model!$AV242/mamiabc!$AV56</f>
        <v>8.0831054152402645E-2</v>
      </c>
      <c r="W242" s="295">
        <f>mamiabc!W56*Model!$AV242/mamiabc!$AV56</f>
        <v>8.2394897741129569E-2</v>
      </c>
      <c r="X242" s="295">
        <f>mamiabc!X56*Model!$AV242/mamiabc!$AV56</f>
        <v>9.4905628547038184E-2</v>
      </c>
      <c r="Y242" s="295">
        <f>mamiabc!Y56*Model!$AV242/mamiabc!$AV56</f>
        <v>9.7251389454151876E-2</v>
      </c>
      <c r="Z242" s="295">
        <f>mamiabc!Z56*Model!$AV242/mamiabc!$AV56</f>
        <v>0.11044630015163727</v>
      </c>
      <c r="AA242" s="295">
        <f>mamiabc!AA56*Model!$AV242/mamiabc!$AV56</f>
        <v>0.13886602173128501</v>
      </c>
      <c r="AB242" s="295">
        <f>mamiabc!AB56*Model!$AV242/mamiabc!$AV56</f>
        <v>0.16641629379256903</v>
      </c>
      <c r="AC242" s="295">
        <f>mamiabc!AC56*Model!$AV242/mamiabc!$AV56</f>
        <v>0.21385484312840525</v>
      </c>
      <c r="AD242" s="295">
        <f>mamiabc!AD56*Model!$AV242/mamiabc!$AV56</f>
        <v>0.24750654280262482</v>
      </c>
      <c r="AE242" s="295">
        <f>mamiabc!AE56*Model!$AV242/mamiabc!$AV56</f>
        <v>0.25996751865174561</v>
      </c>
      <c r="AF242" s="295">
        <f>mamiabc!AF56*Model!$AV242/mamiabc!$AV56</f>
        <v>0.26500120202738831</v>
      </c>
      <c r="AG242" s="295">
        <f>mamiabc!AG56*Model!$AV242/mamiabc!$AV56</f>
        <v>0.32395031622777248</v>
      </c>
      <c r="AH242" s="295">
        <f>mamiabc!AH56*Model!$AV242/mamiabc!$AV56</f>
        <v>0.40630778585189414</v>
      </c>
      <c r="AI242" s="295">
        <f>mamiabc!AI56*Model!$AV242/mamiabc!$AV56</f>
        <v>0.43869226491204788</v>
      </c>
      <c r="AJ242" s="295">
        <f>mamiabc!AJ56*Model!$AV242/mamiabc!$AV56</f>
        <v>0.43891520435858355</v>
      </c>
      <c r="AK242" s="295">
        <f>mamiabc!AK56*Model!$AV242/mamiabc!$AV56</f>
        <v>0.45036708021688809</v>
      </c>
      <c r="AL242" s="295">
        <f>mamiabc!AL56*Model!$AV242/mamiabc!$AV56</f>
        <v>0.47954833551711656</v>
      </c>
      <c r="AM242" s="295">
        <f>mamiabc!AM56*Model!$AV242/mamiabc!$AV56</f>
        <v>0.55147470262093423</v>
      </c>
      <c r="AN242" s="295">
        <f>mamiabc!AN56*Model!$AV242/mamiabc!$AV56</f>
        <v>0.613662275469678</v>
      </c>
      <c r="AO242" s="295">
        <f>mamiabc!AO56*Model!$AV242/mamiabc!$AV56</f>
        <v>0.66059629271401277</v>
      </c>
      <c r="AP242" s="295">
        <f>mamiabc!AP56*Model!$AV242/mamiabc!$AV56</f>
        <v>0.61846127873291123</v>
      </c>
      <c r="AQ242" s="295">
        <f>mamiabc!AQ56*Model!$AV242/mamiabc!$AV56</f>
        <v>0.79493318357161025</v>
      </c>
      <c r="AR242" s="295">
        <f>mamiabc!AR56*Model!$AV242/mamiabc!$AV56</f>
        <v>0.98945121804075586</v>
      </c>
      <c r="AS242" s="295">
        <f>mamiabc!AS56*Model!$AV242/mamiabc!$AV56</f>
        <v>1.1714965374272197</v>
      </c>
      <c r="AT242" s="295">
        <f>mamiabc!AT56*Model!$AV242/mamiabc!$AV56</f>
        <v>4.0131400784940938</v>
      </c>
      <c r="AU242" s="295">
        <f>mamiabc!AU56*Model!$AV242/mamiabc!$AV56</f>
        <v>15.407956787638373</v>
      </c>
      <c r="AV242" s="74">
        <f>DataInput!AV282</f>
        <v>30.048999999999999</v>
      </c>
      <c r="AW242" s="74">
        <f>DataInput!AW282</f>
        <v>40.424999999999997</v>
      </c>
      <c r="AX242" s="74">
        <f>DataInput!AX282</f>
        <v>79.650000000000006</v>
      </c>
      <c r="AY242" s="74">
        <f>DataInput!AY282</f>
        <v>112.08199999999999</v>
      </c>
      <c r="AZ242" s="74">
        <f>DataInput!AZ282</f>
        <v>178.589</v>
      </c>
      <c r="BA242" s="74">
        <f>DataInput!BA282/1000</f>
        <v>219.3126</v>
      </c>
      <c r="BB242" s="74">
        <f>DataInput!BB282/1000</f>
        <v>387.80136300000004</v>
      </c>
      <c r="BC242" s="74">
        <f>DataInput!BC282/1000</f>
        <v>431.54552899999999</v>
      </c>
      <c r="BD242" s="74">
        <f>DataInput!BD282</f>
        <v>465.17921699999999</v>
      </c>
      <c r="BE242" s="74">
        <f>DataInput!BE282</f>
        <v>501.62598700000001</v>
      </c>
      <c r="BF242" s="74">
        <f>DataInput!BF282</f>
        <v>603.03160000000003</v>
      </c>
      <c r="BG242" s="74">
        <f>DataInput!BG282</f>
        <v>692.43164899999999</v>
      </c>
      <c r="BH242" s="74">
        <f>DataInput!BH282</f>
        <v>758.54590599999995</v>
      </c>
      <c r="BI242" s="74">
        <f>DataInput!BI282</f>
        <v>967.63051199999995</v>
      </c>
      <c r="BJ242" s="74">
        <f>DataInput!BJ282</f>
        <v>1075.3</v>
      </c>
      <c r="BK242" s="74">
        <f>DataInput!BK282</f>
        <v>1208.7736030000001</v>
      </c>
      <c r="BL242" s="74">
        <f>DataInput!BL282</f>
        <v>1315.6</v>
      </c>
      <c r="BM242" s="74">
        <f>DataInput!BM282</f>
        <v>1565.9</v>
      </c>
      <c r="BN242" s="74">
        <f>DataInput!BN282</f>
        <v>1510.8</v>
      </c>
      <c r="BO242" s="74">
        <f>DataInput!BO282</f>
        <v>1704</v>
      </c>
      <c r="BP242" s="1116">
        <f ca="1">(BO242*BP371/BO371)*(1+SIM!X50/100)*(1+BP310/100)+SIM!X51+DataInput!BP822+finsim!BO206</f>
        <v>2061.2001648316841</v>
      </c>
      <c r="BQ242" s="1116">
        <f ca="1">(BP242*BQ371/BP371)*(1+SIM!Y50/100)*(1+BQ310/100)+SIM!Y51+DataInput!BQ822+finsim!BP206</f>
        <v>2561.9492955218598</v>
      </c>
      <c r="BR242" s="1116">
        <f ca="1">(BQ242*BR371/BQ371)*(1+SIM!Z50/100)*(1+BR310/100)+SIM!Z51+DataInput!BR822+finsim!BQ206</f>
        <v>2806.6754091390808</v>
      </c>
      <c r="BS242" s="1116">
        <f ca="1">(BR242*BS371/BR371)*(1+SIM!AA50/100)*(1+BS310/100)+SIM!AA51+DataInput!BS822+finsim!BR206</f>
        <v>2937.0183150225839</v>
      </c>
      <c r="BT242" s="1116">
        <f ca="1">(BS242*BT371/BS371)*(1+SIM!AB50/100)*(1+BT310/100)+SIM!AB51+DataInput!BT822+finsim!BS206</f>
        <v>3080.1273490847684</v>
      </c>
      <c r="BU242" s="1116">
        <f ca="1">(BT242*BU371/BT371)*(1+SIM!AC50/100)*(1+BU310/100)+SIM!AC51+DataInput!BU822+finsim!BT206</f>
        <v>3237.975001870358</v>
      </c>
      <c r="BV242" s="1116">
        <f ca="1">(BU242*BV371/BU371)*(1+SIM!AD50/100)*(1+BV310/100)+SIM!AD51+DataInput!BV822+finsim!BU206</f>
        <v>3407.1247020420683</v>
      </c>
      <c r="BW242" s="1116">
        <f ca="1">(BV242*BW371/BV371)*(1+SIM!AE50/100)*(1+BW310/100)+SIM!AE51+DataInput!BW822+finsim!BV206</f>
        <v>3578.0320540949815</v>
      </c>
      <c r="BX242" s="1116">
        <f ca="1">(BW242*BX371/BW371)*(1+SIM!AF50/100)*(1+BX310/100)+SIM!AF51+DataInput!BX822+finsim!BW206</f>
        <v>3756.1148543986965</v>
      </c>
      <c r="BY242" s="1116">
        <f ca="1">(BX242*BY371/BX371)*(1+SIM!AG50/100)*(1+BY310/100)+SIM!AG51+DataInput!BY822+finsim!BX206</f>
        <v>3940.961968843952</v>
      </c>
      <c r="BZ242" s="1116">
        <f ca="1">(BY242*BZ371/BY371)*(1+SIM!AH50/100)*(1+BZ310/100)+SIM!AH51+DataInput!BZ822+finsim!BY206</f>
        <v>4133.387841286717</v>
      </c>
      <c r="CA242" s="1116">
        <f ca="1">(BZ242*CA371/BZ371)*(1+SIM!AI50/100)*(1+CA310/100)+SIM!AI51+DataInput!CA822+finsim!BZ206</f>
        <v>4334.6400070200107</v>
      </c>
      <c r="CB242" s="1116">
        <f ca="1">(CA242*CB371/CA371)*(1+SIM!AJ50/100)*(1+CB310/100)+SIM!AJ51+DataInput!CB822+finsim!CA206</f>
        <v>4536.1845172684052</v>
      </c>
      <c r="CC242" s="1116">
        <f ca="1">(CB242*CC371/CB371)*(1+SIM!AK50/100)*(1+CC310/100)+SIM!AK51+DataInput!CC822+finsim!CB206</f>
        <v>4746.2628729140515</v>
      </c>
      <c r="CD242" s="1116">
        <f ca="1">(CC242*CD371/CC371)*(1+SIM!AL50/100)*(1+CD310/100)+SIM!AL51+DataInput!CD822+finsim!CC206</f>
        <v>4965.1900331678917</v>
      </c>
      <c r="CE242" s="94"/>
      <c r="CF242" s="438"/>
      <c r="CG242" s="235">
        <f>BK242-DG242</f>
        <v>0</v>
      </c>
      <c r="CH242" s="235">
        <f>BL242-DH242</f>
        <v>0</v>
      </c>
      <c r="CI242" s="235" t="e">
        <f>BM242-#REF!</f>
        <v>#REF!</v>
      </c>
      <c r="CJ242" s="235">
        <f t="shared" ref="CJ242:CZ242" si="764">BN242-DI242</f>
        <v>0</v>
      </c>
      <c r="CK242" s="235">
        <f t="shared" si="764"/>
        <v>0</v>
      </c>
      <c r="CL242" s="235">
        <f t="shared" ca="1" si="764"/>
        <v>0</v>
      </c>
      <c r="CM242" s="235">
        <f t="shared" ca="1" si="764"/>
        <v>0</v>
      </c>
      <c r="CN242" s="235">
        <f t="shared" ca="1" si="764"/>
        <v>0</v>
      </c>
      <c r="CO242" s="235">
        <f t="shared" ca="1" si="764"/>
        <v>0</v>
      </c>
      <c r="CP242" s="235">
        <f t="shared" ca="1" si="764"/>
        <v>0</v>
      </c>
      <c r="CQ242" s="235">
        <f t="shared" ca="1" si="764"/>
        <v>0</v>
      </c>
      <c r="CR242" s="235">
        <f t="shared" ca="1" si="764"/>
        <v>0</v>
      </c>
      <c r="CS242" s="235">
        <f t="shared" ca="1" si="764"/>
        <v>0</v>
      </c>
      <c r="CT242" s="235">
        <f t="shared" ca="1" si="764"/>
        <v>0</v>
      </c>
      <c r="CU242" s="235">
        <f t="shared" ca="1" si="764"/>
        <v>0</v>
      </c>
      <c r="CV242" s="235">
        <f t="shared" ca="1" si="764"/>
        <v>0</v>
      </c>
      <c r="CW242" s="235">
        <f t="shared" ca="1" si="764"/>
        <v>0</v>
      </c>
      <c r="CX242" s="235">
        <f t="shared" ca="1" si="764"/>
        <v>0</v>
      </c>
      <c r="CY242" s="235">
        <f t="shared" ca="1" si="764"/>
        <v>-6.5483618527650833E-11</v>
      </c>
      <c r="CZ242" s="235">
        <f t="shared" ca="1" si="764"/>
        <v>-7.6033757068216801E-10</v>
      </c>
      <c r="DA242" s="38"/>
      <c r="DB242" s="236">
        <v>602.03160000000003</v>
      </c>
      <c r="DC242" s="236">
        <v>603.03160000000003</v>
      </c>
      <c r="DD242" s="236">
        <v>692.43164899999999</v>
      </c>
      <c r="DE242" s="236">
        <v>758.54590599999995</v>
      </c>
      <c r="DF242" s="401">
        <v>967.63051199999995</v>
      </c>
      <c r="DG242" s="236">
        <v>1208.7736030000001</v>
      </c>
      <c r="DH242" s="492">
        <v>1315.6</v>
      </c>
      <c r="DI242" s="236">
        <v>1510.8</v>
      </c>
      <c r="DJ242" s="236">
        <v>1704</v>
      </c>
      <c r="DK242" s="236">
        <v>2061.2001648316837</v>
      </c>
      <c r="DL242" s="236">
        <v>2561.9492955218589</v>
      </c>
      <c r="DM242" s="236">
        <v>2806.6754091390799</v>
      </c>
      <c r="DN242" s="236">
        <v>2937.018315022583</v>
      </c>
      <c r="DO242" s="236">
        <v>3080.1273490847693</v>
      </c>
      <c r="DP242" s="236">
        <v>3237.9750018703608</v>
      </c>
      <c r="DQ242" s="401">
        <v>3407.1247020420706</v>
      </c>
      <c r="DR242" s="401">
        <v>3578.0320540949829</v>
      </c>
      <c r="DS242" s="401">
        <v>3756.1148543986974</v>
      </c>
      <c r="DT242" s="401">
        <v>3940.9619688439525</v>
      </c>
      <c r="DU242" s="401">
        <v>4133.387841286718</v>
      </c>
      <c r="DV242" s="401">
        <v>4334.6400070200116</v>
      </c>
      <c r="DW242" s="401">
        <v>4536.1845172684107</v>
      </c>
      <c r="DX242" s="401">
        <v>4746.262872914117</v>
      </c>
      <c r="DY242" s="401">
        <v>4965.190033168652</v>
      </c>
      <c r="DZ242" s="401"/>
      <c r="EA242" s="989"/>
    </row>
    <row r="243" spans="1:131" s="19" customFormat="1">
      <c r="A243" s="19" t="str">
        <f>DataInput!A283</f>
        <v>Goods and services from grants (current)</v>
      </c>
      <c r="B243" s="133" t="s">
        <v>946</v>
      </c>
      <c r="D243" s="206"/>
      <c r="E243" s="206"/>
      <c r="F243" s="206"/>
      <c r="G243" s="206"/>
      <c r="H243" s="206"/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63"/>
      <c r="AV243" s="76"/>
      <c r="AW243" s="76"/>
      <c r="AX243" s="76"/>
      <c r="AY243" s="76"/>
      <c r="AZ243" s="76"/>
      <c r="BA243" s="80"/>
      <c r="BB243" s="80"/>
      <c r="BC243" s="80"/>
      <c r="BD243" s="80"/>
      <c r="BE243" s="80"/>
      <c r="BF243" s="80"/>
      <c r="BG243" s="80"/>
      <c r="BH243" s="332"/>
      <c r="BI243" s="332"/>
      <c r="BJ243" s="343"/>
      <c r="BK243" s="318"/>
      <c r="BL243" s="318"/>
      <c r="BM243" s="80"/>
      <c r="BN243" s="80"/>
      <c r="BO243" s="80"/>
      <c r="BP243" s="80"/>
      <c r="BQ243" s="80"/>
      <c r="BR243" s="80"/>
      <c r="BS243" s="80"/>
      <c r="BT243" s="80"/>
      <c r="BU243" s="80"/>
      <c r="BV243" s="80"/>
      <c r="BW243" s="80"/>
      <c r="BX243" s="80"/>
      <c r="BY243" s="80"/>
      <c r="BZ243" s="80"/>
      <c r="CA243" s="80"/>
      <c r="CB243" s="80"/>
      <c r="CC243" s="80"/>
      <c r="CD243" s="80"/>
      <c r="CE243" s="80"/>
      <c r="CF243" s="435"/>
      <c r="CG243" s="235"/>
      <c r="CH243" s="235"/>
      <c r="CI243" s="235"/>
      <c r="CJ243" s="235"/>
      <c r="CK243" s="235"/>
      <c r="CL243" s="235"/>
      <c r="CM243" s="235"/>
      <c r="CN243" s="235"/>
      <c r="CO243" s="235"/>
      <c r="CP243" s="235"/>
      <c r="CQ243" s="235"/>
      <c r="CR243" s="235"/>
      <c r="CS243" s="235"/>
      <c r="CT243" s="235"/>
      <c r="CU243" s="235"/>
      <c r="CV243" s="235"/>
      <c r="CW243" s="235"/>
      <c r="CX243" s="235"/>
      <c r="CY243" s="235"/>
      <c r="CZ243" s="235"/>
      <c r="DA243" s="38"/>
      <c r="DB243" s="236"/>
      <c r="DC243" s="236"/>
      <c r="DD243" s="236"/>
      <c r="DE243" s="236"/>
      <c r="DF243" s="400"/>
      <c r="DG243" s="236"/>
      <c r="DH243" s="492"/>
      <c r="DI243" s="236"/>
      <c r="DJ243" s="236"/>
      <c r="DK243" s="236"/>
      <c r="DL243" s="236"/>
      <c r="DM243" s="236"/>
      <c r="DN243" s="236"/>
      <c r="DO243" s="236"/>
      <c r="DP243" s="236"/>
      <c r="DQ243" s="1084"/>
      <c r="DR243" s="1084"/>
      <c r="DS243" s="1084"/>
      <c r="DT243" s="1084"/>
      <c r="DU243" s="1084"/>
      <c r="DV243" s="1084"/>
      <c r="DW243" s="1084"/>
      <c r="DX243" s="1084"/>
      <c r="DY243" s="1084"/>
      <c r="DZ243" s="1084"/>
      <c r="EA243" s="988"/>
    </row>
    <row r="244" spans="1:131" s="76" customFormat="1">
      <c r="A244" s="19" t="str">
        <f>DataInput!A283</f>
        <v>Goods and services from grants (current)</v>
      </c>
      <c r="B244" s="80" t="s">
        <v>2536</v>
      </c>
      <c r="C244" s="51" t="s">
        <v>3772</v>
      </c>
      <c r="D244" s="207"/>
      <c r="E244" s="207"/>
      <c r="F244" s="207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07"/>
      <c r="S244" s="207"/>
      <c r="T244" s="207"/>
      <c r="U244" s="207"/>
      <c r="V244" s="207"/>
      <c r="W244" s="207"/>
      <c r="X244" s="207"/>
      <c r="Y244" s="207"/>
      <c r="Z244" s="207"/>
      <c r="AA244" s="207"/>
      <c r="AB244" s="207"/>
      <c r="AC244" s="207"/>
      <c r="AD244" s="207"/>
      <c r="AE244" s="207"/>
      <c r="AF244" s="207"/>
      <c r="AG244" s="207"/>
      <c r="AH244" s="207"/>
      <c r="AI244" s="207"/>
      <c r="AJ244" s="207"/>
      <c r="AK244" s="207"/>
      <c r="AL244" s="207"/>
      <c r="AM244" s="207"/>
      <c r="AN244" s="207"/>
      <c r="AO244" s="207"/>
      <c r="AP244" s="207"/>
      <c r="AQ244" s="207"/>
      <c r="AR244" s="207"/>
      <c r="AS244" s="207"/>
      <c r="AT244" s="309">
        <v>131</v>
      </c>
      <c r="AU244" s="51"/>
      <c r="AV244" s="49">
        <f>DataInput!AV243*DataInput!AV764+DataInput!AV244*DataInput!AV764+DataInput!AV245*DataInput!AV764</f>
        <v>6.6188708250000001</v>
      </c>
      <c r="AW244" s="49">
        <f>DataInput!AW243*DataInput!AW764+DataInput!AW244*DataInput!AW764+DataInput!AW245*DataInput!AW764</f>
        <v>3.3433375000000005</v>
      </c>
      <c r="AX244" s="49">
        <f>DataInput!AX243*DataInput!AX764+DataInput!AX244*DataInput!AX764+DataInput!AX245*DataInput!AX764</f>
        <v>5.9596620000000007</v>
      </c>
      <c r="AY244" s="49">
        <f>DataInput!AY243*DataInput!AY764+DataInput!AY244*DataInput!AY764+DataInput!AY245*DataInput!AY764</f>
        <v>4.7037076999999998</v>
      </c>
      <c r="AZ244" s="49">
        <f>DataInput!AZ243*DataInput!AZ764+DataInput!AZ244*DataInput!AZ764+DataInput!AZ245*DataInput!AZ764</f>
        <v>35.728138779999995</v>
      </c>
      <c r="BA244" s="261">
        <v>0</v>
      </c>
      <c r="BB244" s="261">
        <v>0</v>
      </c>
      <c r="BC244" s="261">
        <v>0</v>
      </c>
      <c r="BD244" s="261">
        <v>0</v>
      </c>
      <c r="BE244" s="261">
        <v>0</v>
      </c>
      <c r="BF244" s="261">
        <v>0</v>
      </c>
      <c r="BG244" s="261">
        <v>0</v>
      </c>
      <c r="BH244" s="261">
        <v>0</v>
      </c>
      <c r="BI244" s="261">
        <v>0</v>
      </c>
      <c r="BJ244" s="261">
        <f t="shared" ref="BJ244:BO244" si="765">BI244</f>
        <v>0</v>
      </c>
      <c r="BK244" s="261">
        <f t="shared" si="765"/>
        <v>0</v>
      </c>
      <c r="BL244" s="261">
        <f t="shared" si="765"/>
        <v>0</v>
      </c>
      <c r="BM244" s="261">
        <f t="shared" si="765"/>
        <v>0</v>
      </c>
      <c r="BN244" s="261">
        <f t="shared" si="765"/>
        <v>0</v>
      </c>
      <c r="BO244" s="261">
        <f t="shared" si="765"/>
        <v>0</v>
      </c>
      <c r="BP244" s="94">
        <f ca="1">(BO244*BP237/BO237)+finsim!BO208</f>
        <v>0</v>
      </c>
      <c r="BQ244" s="94">
        <f ca="1">(BP244*BQ237/BP237)+finsim!BP208</f>
        <v>0</v>
      </c>
      <c r="BR244" s="94">
        <f ca="1">(BQ244*BR237/BQ237)+finsim!BQ208</f>
        <v>0</v>
      </c>
      <c r="BS244" s="94">
        <f ca="1">(BR244*BS237/BR237)+finsim!BR208</f>
        <v>0</v>
      </c>
      <c r="BT244" s="94">
        <f ca="1">(BS244*BT237/BS237)+finsim!BS208</f>
        <v>0</v>
      </c>
      <c r="BU244" s="94">
        <f ca="1">(BT244*BU237/BT237)+finsim!BT208</f>
        <v>0</v>
      </c>
      <c r="BV244" s="94">
        <f ca="1">(BU244*BV237/BU237)+finsim!BU208</f>
        <v>0</v>
      </c>
      <c r="BW244" s="94">
        <f ca="1">(BV244*BW237/BV237)+finsim!BV208</f>
        <v>0</v>
      </c>
      <c r="BX244" s="94">
        <f ca="1">(BW244*BX237/BW237)+finsim!BW208</f>
        <v>0</v>
      </c>
      <c r="BY244" s="94">
        <f ca="1">(BX244*BY237/BX237)+finsim!BX208</f>
        <v>0</v>
      </c>
      <c r="BZ244" s="94">
        <f ca="1">(BY244*BZ237/BY237)+finsim!BY208</f>
        <v>0</v>
      </c>
      <c r="CA244" s="94">
        <f ca="1">(BZ244*CA237/BZ237)+finsim!BZ208</f>
        <v>0</v>
      </c>
      <c r="CB244" s="94">
        <f ca="1">(CA244*CB237/CA237)+finsim!CA208</f>
        <v>0</v>
      </c>
      <c r="CC244" s="94">
        <f ca="1">(CB244*CC237/CB237)+finsim!CB208</f>
        <v>0</v>
      </c>
      <c r="CD244" s="94">
        <f ca="1">(CC244*CD237/CC237)+finsim!CC208</f>
        <v>0</v>
      </c>
      <c r="CE244" s="94"/>
      <c r="CF244" s="438"/>
      <c r="CG244" s="235">
        <f t="shared" ref="CG244:CG276" si="766">BK244-DG244</f>
        <v>0</v>
      </c>
      <c r="CH244" s="235">
        <f t="shared" ref="CH244:CH276" si="767">BL244-DH244</f>
        <v>0</v>
      </c>
      <c r="CI244" s="235" t="e">
        <f>BM244-#REF!</f>
        <v>#REF!</v>
      </c>
      <c r="CJ244" s="235">
        <f t="shared" ref="CJ244:CJ264" si="768">BN244-DI244</f>
        <v>0</v>
      </c>
      <c r="CK244" s="235">
        <f t="shared" ref="CK244:CK264" si="769">BO244-DJ244</f>
        <v>0</v>
      </c>
      <c r="CL244" s="235">
        <f t="shared" ref="CL244:CL264" ca="1" si="770">BP244-DK244</f>
        <v>0</v>
      </c>
      <c r="CM244" s="235">
        <f t="shared" ref="CM244:CM264" ca="1" si="771">BQ244-DL244</f>
        <v>0</v>
      </c>
      <c r="CN244" s="235">
        <f t="shared" ref="CN244:CN264" ca="1" si="772">BR244-DM244</f>
        <v>0</v>
      </c>
      <c r="CO244" s="235">
        <f t="shared" ref="CO244:CO264" ca="1" si="773">BS244-DN244</f>
        <v>0</v>
      </c>
      <c r="CP244" s="235">
        <f t="shared" ref="CP244:CP264" ca="1" si="774">BT244-DO244</f>
        <v>0</v>
      </c>
      <c r="CQ244" s="235">
        <f t="shared" ref="CQ244:CQ264" ca="1" si="775">BU244-DP244</f>
        <v>0</v>
      </c>
      <c r="CR244" s="235">
        <f t="shared" ref="CR244:CR264" ca="1" si="776">BV244-DQ244</f>
        <v>0</v>
      </c>
      <c r="CS244" s="235">
        <f t="shared" ref="CS244:CS264" ca="1" si="777">BW244-DR244</f>
        <v>0</v>
      </c>
      <c r="CT244" s="235">
        <f t="shared" ref="CT244:CT264" ca="1" si="778">BX244-DS244</f>
        <v>0</v>
      </c>
      <c r="CU244" s="235">
        <f t="shared" ref="CU244:CU264" ca="1" si="779">BY244-DT244</f>
        <v>0</v>
      </c>
      <c r="CV244" s="235">
        <f t="shared" ref="CV244:CV264" ca="1" si="780">BZ244-DU244</f>
        <v>0</v>
      </c>
      <c r="CW244" s="235">
        <f t="shared" ref="CW244:CW264" ca="1" si="781">CA244-DV244</f>
        <v>0</v>
      </c>
      <c r="CX244" s="235">
        <f t="shared" ref="CX244:CX264" ca="1" si="782">CB244-DW244</f>
        <v>0</v>
      </c>
      <c r="CY244" s="235">
        <f t="shared" ref="CY244:CY264" ca="1" si="783">CC244-DX244</f>
        <v>0</v>
      </c>
      <c r="CZ244" s="235">
        <f t="shared" ref="CZ244:CZ264" ca="1" si="784">CD244-DY244</f>
        <v>0</v>
      </c>
      <c r="DA244" s="38"/>
      <c r="DB244" s="236">
        <v>-1</v>
      </c>
      <c r="DC244" s="236">
        <v>0</v>
      </c>
      <c r="DD244" s="236">
        <v>0</v>
      </c>
      <c r="DE244" s="236">
        <v>0</v>
      </c>
      <c r="DF244" s="401">
        <v>0</v>
      </c>
      <c r="DG244" s="236">
        <v>0</v>
      </c>
      <c r="DH244" s="492">
        <v>0</v>
      </c>
      <c r="DI244" s="236">
        <v>0</v>
      </c>
      <c r="DJ244" s="236">
        <v>0</v>
      </c>
      <c r="DK244" s="236">
        <v>0</v>
      </c>
      <c r="DL244" s="236">
        <v>0</v>
      </c>
      <c r="DM244" s="236">
        <v>0</v>
      </c>
      <c r="DN244" s="236">
        <v>0</v>
      </c>
      <c r="DO244" s="236">
        <v>0</v>
      </c>
      <c r="DP244" s="236">
        <v>0</v>
      </c>
      <c r="DQ244" s="401">
        <v>0</v>
      </c>
      <c r="DR244" s="401">
        <v>0</v>
      </c>
      <c r="DS244" s="401">
        <v>0</v>
      </c>
      <c r="DT244" s="401">
        <v>0</v>
      </c>
      <c r="DU244" s="401">
        <v>0</v>
      </c>
      <c r="DV244" s="401">
        <v>0</v>
      </c>
      <c r="DW244" s="401">
        <v>0</v>
      </c>
      <c r="DX244" s="401">
        <v>0</v>
      </c>
      <c r="DY244" s="401">
        <v>0</v>
      </c>
      <c r="DZ244" s="401"/>
      <c r="EA244" s="989"/>
    </row>
    <row r="245" spans="1:131" s="76" customFormat="1">
      <c r="A245" s="19" t="str">
        <f>DataInput!A283</f>
        <v>Goods and services from grants (current)</v>
      </c>
      <c r="B245" s="80" t="s">
        <v>1926</v>
      </c>
      <c r="C245" s="51" t="s">
        <v>809</v>
      </c>
      <c r="D245" s="207"/>
      <c r="E245" s="207"/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207"/>
      <c r="V245" s="207"/>
      <c r="W245" s="207"/>
      <c r="X245" s="207"/>
      <c r="Y245" s="207"/>
      <c r="Z245" s="207"/>
      <c r="AA245" s="207"/>
      <c r="AB245" s="207"/>
      <c r="AC245" s="207"/>
      <c r="AD245" s="207"/>
      <c r="AE245" s="207"/>
      <c r="AF245" s="207"/>
      <c r="AG245" s="207"/>
      <c r="AH245" s="207"/>
      <c r="AI245" s="207"/>
      <c r="AJ245" s="207"/>
      <c r="AK245" s="207"/>
      <c r="AL245" s="207"/>
      <c r="AM245" s="207"/>
      <c r="AN245" s="207"/>
      <c r="AO245" s="207"/>
      <c r="AP245" s="207"/>
      <c r="AQ245" s="207"/>
      <c r="AR245" s="207"/>
      <c r="AS245" s="207"/>
      <c r="AT245" s="309">
        <v>131</v>
      </c>
      <c r="AU245" s="51"/>
      <c r="AV245" s="74">
        <f>DataInput!AV283</f>
        <v>22.678999999999998</v>
      </c>
      <c r="AW245" s="74">
        <f>DataInput!AW283</f>
        <v>35.524000000000001</v>
      </c>
      <c r="AX245" s="74">
        <f>DataInput!AX283</f>
        <v>52.554000000000002</v>
      </c>
      <c r="AY245" s="74">
        <f>DataInput!AY283</f>
        <v>104.47799999999999</v>
      </c>
      <c r="AZ245" s="74">
        <f>DataInput!AZ283</f>
        <v>79.057000000000002</v>
      </c>
      <c r="BA245" s="74">
        <f>DataInput!BA283/1000</f>
        <v>130.05692200000001</v>
      </c>
      <c r="BB245" s="74">
        <f>DataInput!BB283/1000</f>
        <v>112.91986900000001</v>
      </c>
      <c r="BC245" s="74">
        <f>DataInput!BC283/1000</f>
        <v>102.153913</v>
      </c>
      <c r="BD245" s="74">
        <f>DataInput!BD283</f>
        <v>219.34438800000001</v>
      </c>
      <c r="BE245" s="74">
        <f>DataInput!BE283</f>
        <v>304.638216</v>
      </c>
      <c r="BF245" s="74">
        <f>DataInput!BF283</f>
        <v>416.7</v>
      </c>
      <c r="BG245" s="74">
        <f>DataInput!BG283</f>
        <v>480.76554299999998</v>
      </c>
      <c r="BH245" s="74">
        <f>DataInput!BH283</f>
        <v>488.00600400000002</v>
      </c>
      <c r="BI245" s="74">
        <f>DataInput!BI283</f>
        <v>652.25011700000005</v>
      </c>
      <c r="BJ245" s="74">
        <f>DataInput!BJ283</f>
        <v>688.6</v>
      </c>
      <c r="BK245" s="74">
        <f>DataInput!BK283</f>
        <v>733.9</v>
      </c>
      <c r="BL245" s="74">
        <f>DataInput!BL283</f>
        <v>1246.4000000000001</v>
      </c>
      <c r="BM245" s="74">
        <f>DataInput!BM283</f>
        <v>1135.7</v>
      </c>
      <c r="BN245" s="74">
        <f>DataInput!BN283</f>
        <v>1024.3</v>
      </c>
      <c r="BO245" s="74">
        <f>DataInput!BO283</f>
        <v>1129.4000000000001</v>
      </c>
      <c r="BP245" s="94">
        <f ca="1">(BO245)*(1+BP302/100)*BP372/BO372+SIM!X53+finsim!BO209</f>
        <v>1563.5222813735579</v>
      </c>
      <c r="BQ245" s="94">
        <f ca="1">(BP245)*(1+BQ302/100)*BQ372/BP372+SIM!Y53+finsim!BP209</f>
        <v>1769.0917494503831</v>
      </c>
      <c r="BR245" s="94">
        <f ca="1">(BQ245)*(1+BR302/100)*BR372/BQ372+SIM!Z53+finsim!BQ209</f>
        <v>1888.6671368185289</v>
      </c>
      <c r="BS245" s="94">
        <f ca="1">(BR245)*(1+BS302/100)*BS372/BR372+SIM!AA53+finsim!BR209</f>
        <v>1973.0812996620969</v>
      </c>
      <c r="BT245" s="94">
        <f ca="1">(BS245)*(1+BT302/100)*BT372/BS372+SIM!AB53+finsim!BS209</f>
        <v>2069.6849525885655</v>
      </c>
      <c r="BU245" s="94">
        <f ca="1">(BT245)*(1+BU302/100)*BU372/BT372+SIM!AC53+finsim!BT209</f>
        <v>2173.9055492215766</v>
      </c>
      <c r="BV245" s="94">
        <f ca="1">(BU245)*(1+BV302/100)*BV372/BU372+SIM!AD53+finsim!BU209</f>
        <v>2284.3595132338751</v>
      </c>
      <c r="BW245" s="94">
        <f ca="1">(BV245)*(1+BW302/100)*BW372/BV372+SIM!AE53+finsim!BV209</f>
        <v>2395.5178197952746</v>
      </c>
      <c r="BX245" s="94">
        <f ca="1">(BW245)*(1+BX302/100)*BX372/BW372+SIM!AF53+finsim!BW209</f>
        <v>2511.9379789640998</v>
      </c>
      <c r="BY245" s="94">
        <f ca="1">(BX245)*(1+BY302/100)*BY372/BX372+SIM!AG53+finsim!BX209</f>
        <v>2633.7165234940189</v>
      </c>
      <c r="BZ245" s="94">
        <f ca="1">(BY245)*(1+BZ302/100)*BZ372/BY372+SIM!AH53+finsim!BY209</f>
        <v>2761.2271180445518</v>
      </c>
      <c r="CA245" s="94">
        <f ca="1">(BZ245)*(1+CA302/100)*CA372/BZ372+SIM!AI53+finsim!BZ209</f>
        <v>2895.1243663728746</v>
      </c>
      <c r="CB245" s="94">
        <f ca="1">(CA245)*(1+CB302/100)*CB372/CA372+SIM!AJ53+finsim!CA209</f>
        <v>3029.786697897845</v>
      </c>
      <c r="CC245" s="94">
        <f ca="1">(CB245)*(1+CC302/100)*CC372/CB372+SIM!AK53+finsim!CB209</f>
        <v>3170.7638355356066</v>
      </c>
      <c r="CD245" s="94">
        <f ca="1">(CC245)*(1+CD302/100)*CD372/CC372+SIM!AL53+finsim!CC209</f>
        <v>3318.3644857735517</v>
      </c>
      <c r="CE245" s="94"/>
      <c r="CF245" s="438"/>
      <c r="CG245" s="235">
        <f t="shared" si="766"/>
        <v>0</v>
      </c>
      <c r="CH245" s="235">
        <f t="shared" si="767"/>
        <v>0</v>
      </c>
      <c r="CI245" s="235" t="e">
        <f>BM245-#REF!</f>
        <v>#REF!</v>
      </c>
      <c r="CJ245" s="235">
        <f t="shared" si="768"/>
        <v>0</v>
      </c>
      <c r="CK245" s="235">
        <f t="shared" si="769"/>
        <v>0</v>
      </c>
      <c r="CL245" s="235">
        <f t="shared" ca="1" si="770"/>
        <v>0</v>
      </c>
      <c r="CM245" s="235">
        <f t="shared" ca="1" si="771"/>
        <v>0</v>
      </c>
      <c r="CN245" s="235">
        <f t="shared" ca="1" si="772"/>
        <v>0</v>
      </c>
      <c r="CO245" s="235">
        <f t="shared" ca="1" si="773"/>
        <v>0</v>
      </c>
      <c r="CP245" s="235">
        <f t="shared" ca="1" si="774"/>
        <v>0</v>
      </c>
      <c r="CQ245" s="235">
        <f t="shared" ca="1" si="775"/>
        <v>0</v>
      </c>
      <c r="CR245" s="235">
        <f t="shared" ca="1" si="776"/>
        <v>0</v>
      </c>
      <c r="CS245" s="235">
        <f t="shared" ca="1" si="777"/>
        <v>0</v>
      </c>
      <c r="CT245" s="235">
        <f t="shared" ca="1" si="778"/>
        <v>0</v>
      </c>
      <c r="CU245" s="235">
        <f t="shared" ca="1" si="779"/>
        <v>0</v>
      </c>
      <c r="CV245" s="235">
        <f t="shared" ca="1" si="780"/>
        <v>0</v>
      </c>
      <c r="CW245" s="235">
        <f t="shared" ca="1" si="781"/>
        <v>0</v>
      </c>
      <c r="CX245" s="235">
        <f t="shared" ca="1" si="782"/>
        <v>2.9558577807620168E-11</v>
      </c>
      <c r="CY245" s="235">
        <f t="shared" ca="1" si="783"/>
        <v>2.9331204132176936E-10</v>
      </c>
      <c r="CZ245" s="235">
        <f t="shared" ca="1" si="784"/>
        <v>2.382876118645072E-9</v>
      </c>
      <c r="DA245" s="38"/>
      <c r="DB245" s="236">
        <v>411.34504399999997</v>
      </c>
      <c r="DC245" s="236">
        <v>412.34504399999997</v>
      </c>
      <c r="DD245" s="236">
        <v>381.13493299999999</v>
      </c>
      <c r="DE245" s="236">
        <v>435.83193699999998</v>
      </c>
      <c r="DF245" s="401">
        <v>652.25011700000005</v>
      </c>
      <c r="DG245" s="236">
        <v>733.9</v>
      </c>
      <c r="DH245" s="492">
        <v>1246.4000000000001</v>
      </c>
      <c r="DI245" s="236">
        <v>1024.3</v>
      </c>
      <c r="DJ245" s="236">
        <v>1129.4000000000001</v>
      </c>
      <c r="DK245" s="236">
        <v>1563.5222813735577</v>
      </c>
      <c r="DL245" s="236">
        <v>1769.0917494503826</v>
      </c>
      <c r="DM245" s="236">
        <v>1888.6671368185289</v>
      </c>
      <c r="DN245" s="236">
        <v>1973.0812996620969</v>
      </c>
      <c r="DO245" s="236">
        <v>2069.6849525885655</v>
      </c>
      <c r="DP245" s="236">
        <v>2173.9055492215762</v>
      </c>
      <c r="DQ245" s="401">
        <v>2284.3595132338746</v>
      </c>
      <c r="DR245" s="401">
        <v>2395.5178197952741</v>
      </c>
      <c r="DS245" s="401">
        <v>2511.9379789640993</v>
      </c>
      <c r="DT245" s="401">
        <v>2633.7165234940185</v>
      </c>
      <c r="DU245" s="401">
        <v>2761.2271180445509</v>
      </c>
      <c r="DV245" s="401">
        <v>2895.1243663728719</v>
      </c>
      <c r="DW245" s="401">
        <v>3029.7866978978154</v>
      </c>
      <c r="DX245" s="401">
        <v>3170.7638355353133</v>
      </c>
      <c r="DY245" s="401">
        <v>3318.3644857711688</v>
      </c>
      <c r="DZ245" s="401"/>
      <c r="EA245" s="989"/>
    </row>
    <row r="246" spans="1:131" s="19" customFormat="1">
      <c r="A246" s="19" t="str">
        <f>DataInput!A284</f>
        <v>Subsidies on prices</v>
      </c>
      <c r="B246" s="133" t="s">
        <v>2123</v>
      </c>
      <c r="D246" s="206"/>
      <c r="E246" s="206"/>
      <c r="F246" s="277">
        <f t="shared" ref="F246:BF246" si="785">F247+F249</f>
        <v>6.9331600043332272E-3</v>
      </c>
      <c r="G246" s="277">
        <f t="shared" si="785"/>
        <v>8.0164662550102923E-3</v>
      </c>
      <c r="H246" s="277">
        <f t="shared" si="785"/>
        <v>7.8767521928157658E-3</v>
      </c>
      <c r="I246" s="277">
        <f t="shared" si="785"/>
        <v>8.9800105995274937E-3</v>
      </c>
      <c r="J246" s="277">
        <f t="shared" si="785"/>
        <v>1.1058241635796672E-2</v>
      </c>
      <c r="K246" s="277">
        <f t="shared" si="785"/>
        <v>1.1520070640176339E-2</v>
      </c>
      <c r="L246" s="277">
        <f t="shared" si="785"/>
        <v>1.5060760362501358E-2</v>
      </c>
      <c r="M246" s="277">
        <f t="shared" si="785"/>
        <v>1.4291044666454346E-2</v>
      </c>
      <c r="N246" s="277">
        <f t="shared" si="785"/>
        <v>1.5086416898059405E-2</v>
      </c>
      <c r="O246" s="277">
        <f t="shared" si="785"/>
        <v>1.4393672874929228E-2</v>
      </c>
      <c r="P246" s="277">
        <f t="shared" si="785"/>
        <v>1.4624587893679736E-2</v>
      </c>
      <c r="Q246" s="277">
        <f t="shared" si="785"/>
        <v>1.7313400878509536E-2</v>
      </c>
      <c r="R246" s="277">
        <f t="shared" si="785"/>
        <v>1.7313400878509536E-2</v>
      </c>
      <c r="S246" s="277">
        <f t="shared" si="785"/>
        <v>1.5859603881835941E-2</v>
      </c>
      <c r="T246" s="277">
        <f t="shared" si="785"/>
        <v>1.7842053204803913E-2</v>
      </c>
      <c r="U246" s="277">
        <f t="shared" si="785"/>
        <v>2.0881810279724699E-2</v>
      </c>
      <c r="V246" s="277">
        <f t="shared" si="785"/>
        <v>2.2732097554240428E-2</v>
      </c>
      <c r="W246" s="277">
        <f t="shared" si="785"/>
        <v>2.1013975427540989E-2</v>
      </c>
      <c r="X246" s="277">
        <f t="shared" si="785"/>
        <v>3.0115912942325376E-2</v>
      </c>
      <c r="Y246" s="277">
        <f t="shared" si="785"/>
        <v>3.7049074599652759E-2</v>
      </c>
      <c r="Z246" s="277">
        <f t="shared" si="785"/>
        <v>4.8748781280467994E-2</v>
      </c>
      <c r="AA246" s="277">
        <f t="shared" si="785"/>
        <v>6.109847419118071E-2</v>
      </c>
      <c r="AB246" s="277">
        <f t="shared" si="785"/>
        <v>7.3664825046040522E-2</v>
      </c>
      <c r="AC246" s="277">
        <f t="shared" si="785"/>
        <v>7.7998050048748782E-2</v>
      </c>
      <c r="AD246" s="277">
        <f t="shared" si="785"/>
        <v>6.4998375040623987E-2</v>
      </c>
      <c r="AE246" s="277">
        <f t="shared" si="785"/>
        <v>5.3948650457220845E-2</v>
      </c>
      <c r="AF246" s="277">
        <f t="shared" si="785"/>
        <v>5.6548587111839958E-2</v>
      </c>
      <c r="AG246" s="277">
        <f t="shared" si="785"/>
        <v>6.3048424615902349E-2</v>
      </c>
      <c r="AH246" s="277">
        <f t="shared" si="785"/>
        <v>7.1064888391421416E-2</v>
      </c>
      <c r="AI246" s="277">
        <f t="shared" si="785"/>
        <v>7.1064888391421416E-2</v>
      </c>
      <c r="AJ246" s="277">
        <f t="shared" si="785"/>
        <v>6.7381649618610623E-2</v>
      </c>
      <c r="AK246" s="277">
        <f t="shared" si="785"/>
        <v>4.5498862528436802E-2</v>
      </c>
      <c r="AL246" s="277">
        <f t="shared" si="785"/>
        <v>6.8248293792655193E-2</v>
      </c>
      <c r="AM246" s="277">
        <f t="shared" si="785"/>
        <v>5.416531253385333E-2</v>
      </c>
      <c r="AN246" s="277">
        <f t="shared" si="785"/>
        <v>4.9832087531145063E-2</v>
      </c>
      <c r="AO246" s="277">
        <f t="shared" si="785"/>
        <v>6.9331600043332262E-2</v>
      </c>
      <c r="AP246" s="277">
        <f t="shared" si="785"/>
        <v>7.2061531795038464E-2</v>
      </c>
      <c r="AQ246" s="277">
        <f t="shared" si="785"/>
        <v>7.1628209294767639E-2</v>
      </c>
      <c r="AR246" s="277">
        <f t="shared" si="785"/>
        <v>8.4671216552919523E-2</v>
      </c>
      <c r="AS246" s="277">
        <f t="shared" si="785"/>
        <v>0.32954176145596364</v>
      </c>
      <c r="AT246" s="277">
        <f t="shared" si="785"/>
        <v>34.082222944426391</v>
      </c>
      <c r="AU246" s="277">
        <f t="shared" si="785"/>
        <v>1.7135738273209837</v>
      </c>
      <c r="AV246" s="277">
        <f t="shared" si="785"/>
        <v>41.985901475000006</v>
      </c>
      <c r="AW246" s="277">
        <f t="shared" si="785"/>
        <v>24.292472500000002</v>
      </c>
      <c r="AX246" s="277">
        <f t="shared" si="785"/>
        <v>50.517516000000001</v>
      </c>
      <c r="AY246" s="277">
        <f t="shared" si="785"/>
        <v>45.149463119999993</v>
      </c>
      <c r="AZ246" s="277">
        <f t="shared" si="785"/>
        <v>76.36994722</v>
      </c>
      <c r="BA246" s="277">
        <f t="shared" si="785"/>
        <v>133.326944</v>
      </c>
      <c r="BB246" s="277">
        <f t="shared" si="785"/>
        <v>161.976078</v>
      </c>
      <c r="BC246" s="277">
        <f t="shared" si="785"/>
        <v>197.99120400000001</v>
      </c>
      <c r="BD246" s="277">
        <f t="shared" si="785"/>
        <v>260.59325200000001</v>
      </c>
      <c r="BE246" s="277">
        <f t="shared" si="785"/>
        <v>293.30445900000001</v>
      </c>
      <c r="BF246" s="277">
        <f t="shared" si="785"/>
        <v>338.6</v>
      </c>
      <c r="BG246" s="277">
        <f t="shared" ref="BG246:BM246" si="786">BG247+BG249</f>
        <v>391.74811</v>
      </c>
      <c r="BH246" s="277">
        <f t="shared" si="786"/>
        <v>435.58792999999997</v>
      </c>
      <c r="BI246" s="277">
        <f t="shared" si="786"/>
        <v>499.92507599999999</v>
      </c>
      <c r="BJ246" s="495">
        <f t="shared" si="786"/>
        <v>535.20000000000005</v>
      </c>
      <c r="BK246" s="277">
        <f t="shared" si="786"/>
        <v>771.7</v>
      </c>
      <c r="BL246" s="277">
        <f t="shared" si="786"/>
        <v>978.6</v>
      </c>
      <c r="BM246" s="277">
        <f t="shared" si="786"/>
        <v>1038.5999999999999</v>
      </c>
      <c r="BN246" s="277">
        <f t="shared" ref="BN246:BS246" si="787">BN247+BN249</f>
        <v>978</v>
      </c>
      <c r="BO246" s="277">
        <f t="shared" si="787"/>
        <v>1167.5</v>
      </c>
      <c r="BP246" s="277">
        <f t="shared" ca="1" si="787"/>
        <v>1616.2672777613147</v>
      </c>
      <c r="BQ246" s="277">
        <f t="shared" ca="1" si="787"/>
        <v>1828.7715756006039</v>
      </c>
      <c r="BR246" s="277">
        <f t="shared" ca="1" si="787"/>
        <v>1952.3808059461949</v>
      </c>
      <c r="BS246" s="277">
        <f t="shared" ca="1" si="787"/>
        <v>2039.6426574778625</v>
      </c>
      <c r="BT246" s="277">
        <f ca="1">BT247+BT249</f>
        <v>2139.5052082053739</v>
      </c>
      <c r="BU246" s="277">
        <f ca="1">BU247+BU249</f>
        <v>2247.2416581513985</v>
      </c>
      <c r="BV246" s="277">
        <f ca="1">BV247+BV249</f>
        <v>2361.4217564198225</v>
      </c>
      <c r="BW246" s="277">
        <f t="shared" ref="BW246:BX246" ca="1" si="788">BW247+BW249</f>
        <v>2476.3299580405355</v>
      </c>
      <c r="BX246" s="277">
        <f t="shared" ca="1" si="788"/>
        <v>2596.6775194267611</v>
      </c>
      <c r="BY246" s="277">
        <f t="shared" ref="BY246:CD246" ca="1" si="789">BY247+BY249</f>
        <v>2722.5642298382008</v>
      </c>
      <c r="BZ246" s="277">
        <f t="shared" ca="1" si="789"/>
        <v>2854.3763594094298</v>
      </c>
      <c r="CA246" s="277">
        <f t="shared" ca="1" si="789"/>
        <v>2992.7905947762747</v>
      </c>
      <c r="CB246" s="277">
        <f t="shared" ca="1" si="789"/>
        <v>3131.9957232120814</v>
      </c>
      <c r="CC246" s="277">
        <f t="shared" ca="1" si="789"/>
        <v>3277.7286860171835</v>
      </c>
      <c r="CD246" s="277">
        <f t="shared" ca="1" si="789"/>
        <v>3430.3086038078636</v>
      </c>
      <c r="CE246" s="277"/>
      <c r="CF246" s="435"/>
      <c r="CG246" s="235">
        <f t="shared" si="766"/>
        <v>0</v>
      </c>
      <c r="CH246" s="235">
        <f t="shared" si="767"/>
        <v>0</v>
      </c>
      <c r="CI246" s="235" t="e">
        <f>BM246-#REF!</f>
        <v>#REF!</v>
      </c>
      <c r="CJ246" s="235">
        <f t="shared" si="768"/>
        <v>0</v>
      </c>
      <c r="CK246" s="235">
        <f t="shared" si="769"/>
        <v>0</v>
      </c>
      <c r="CL246" s="235">
        <f t="shared" ca="1" si="770"/>
        <v>0</v>
      </c>
      <c r="CM246" s="235">
        <f t="shared" ca="1" si="771"/>
        <v>0</v>
      </c>
      <c r="CN246" s="235">
        <f t="shared" ca="1" si="772"/>
        <v>0</v>
      </c>
      <c r="CO246" s="235">
        <f t="shared" ca="1" si="773"/>
        <v>0</v>
      </c>
      <c r="CP246" s="235">
        <f t="shared" ca="1" si="774"/>
        <v>0</v>
      </c>
      <c r="CQ246" s="235">
        <f t="shared" ca="1" si="775"/>
        <v>0</v>
      </c>
      <c r="CR246" s="235">
        <f t="shared" ca="1" si="776"/>
        <v>0</v>
      </c>
      <c r="CS246" s="235">
        <f t="shared" ca="1" si="777"/>
        <v>0</v>
      </c>
      <c r="CT246" s="235">
        <f t="shared" ca="1" si="778"/>
        <v>0</v>
      </c>
      <c r="CU246" s="235">
        <f t="shared" ca="1" si="779"/>
        <v>0</v>
      </c>
      <c r="CV246" s="235">
        <f t="shared" ca="1" si="780"/>
        <v>0</v>
      </c>
      <c r="CW246" s="235">
        <f t="shared" ca="1" si="781"/>
        <v>0</v>
      </c>
      <c r="CX246" s="235">
        <f t="shared" ca="1" si="782"/>
        <v>1.4551915228366852E-11</v>
      </c>
      <c r="CY246" s="235">
        <f t="shared" ca="1" si="783"/>
        <v>1.064108801074326E-10</v>
      </c>
      <c r="CZ246" s="235">
        <f t="shared" ca="1" si="784"/>
        <v>5.0340531743131578E-10</v>
      </c>
      <c r="DA246" s="38"/>
      <c r="DB246" s="236"/>
      <c r="DC246" s="236"/>
      <c r="DD246" s="236">
        <v>486.11144000000002</v>
      </c>
      <c r="DE246" s="236">
        <v>487.76199700000001</v>
      </c>
      <c r="DF246" s="236">
        <v>499.92507599999999</v>
      </c>
      <c r="DG246" s="236">
        <v>771.7</v>
      </c>
      <c r="DH246" s="492">
        <v>978.6</v>
      </c>
      <c r="DI246" s="236">
        <v>978</v>
      </c>
      <c r="DJ246" s="236">
        <v>1167.5</v>
      </c>
      <c r="DK246" s="236">
        <v>1616.2672777613143</v>
      </c>
      <c r="DL246" s="236">
        <v>1828.7715756006035</v>
      </c>
      <c r="DM246" s="236">
        <v>1952.380805946194</v>
      </c>
      <c r="DN246" s="236">
        <v>2039.6426574778618</v>
      </c>
      <c r="DO246" s="236">
        <v>2139.5052082053739</v>
      </c>
      <c r="DP246" s="236">
        <v>2247.241658151398</v>
      </c>
      <c r="DQ246" s="1084">
        <v>2361.4217564198225</v>
      </c>
      <c r="DR246" s="1084">
        <v>2476.3299580405351</v>
      </c>
      <c r="DS246" s="1084">
        <v>2596.6775194267611</v>
      </c>
      <c r="DT246" s="1084">
        <v>2722.5642298381999</v>
      </c>
      <c r="DU246" s="1084">
        <v>2854.3763594094289</v>
      </c>
      <c r="DV246" s="1084">
        <v>2992.7905947762729</v>
      </c>
      <c r="DW246" s="1084">
        <v>3131.9957232120669</v>
      </c>
      <c r="DX246" s="1084">
        <v>3277.7286860170771</v>
      </c>
      <c r="DY246" s="1084">
        <v>3430.3086038073602</v>
      </c>
      <c r="DZ246" s="1084"/>
      <c r="EA246" s="988"/>
    </row>
    <row r="247" spans="1:131" s="76" customFormat="1">
      <c r="A247" s="19" t="str">
        <f>DataInput!A284</f>
        <v>Subsidies on prices</v>
      </c>
      <c r="B247" s="80" t="s">
        <v>3843</v>
      </c>
      <c r="C247" s="51" t="s">
        <v>1962</v>
      </c>
      <c r="D247" s="207"/>
      <c r="E247" s="207"/>
      <c r="F247" s="295">
        <f>mamiabc!F59*Model!$AV$247/mamiabc!$AV$59</f>
        <v>6.9331600043332272E-3</v>
      </c>
      <c r="G247" s="295">
        <f>mamiabc!G59*Model!$AV$247/mamiabc!$AV$59</f>
        <v>8.0164662550102923E-3</v>
      </c>
      <c r="H247" s="295">
        <f>mamiabc!H59*Model!$AV$247/mamiabc!$AV$59</f>
        <v>7.8767521928157658E-3</v>
      </c>
      <c r="I247" s="295">
        <f>mamiabc!I59*Model!$AV$247/mamiabc!$AV$59</f>
        <v>8.9800105995274937E-3</v>
      </c>
      <c r="J247" s="295">
        <f>mamiabc!J59*Model!$AV$247/mamiabc!$AV$59</f>
        <v>1.1058241635796672E-2</v>
      </c>
      <c r="K247" s="295">
        <f>mamiabc!K59*Model!$AV$247/mamiabc!$AV$59</f>
        <v>1.1520070640176339E-2</v>
      </c>
      <c r="L247" s="295">
        <f>mamiabc!L59*Model!$AV$247/mamiabc!$AV$59</f>
        <v>1.5060760362501358E-2</v>
      </c>
      <c r="M247" s="295">
        <f>mamiabc!M59*Model!$AV$247/mamiabc!$AV$59</f>
        <v>1.4291044666454346E-2</v>
      </c>
      <c r="N247" s="295">
        <f>mamiabc!N59*Model!$AV$247/mamiabc!$AV$59</f>
        <v>1.5086416898059405E-2</v>
      </c>
      <c r="O247" s="295">
        <f>mamiabc!O59*Model!$AV$247/mamiabc!$AV$59</f>
        <v>1.4393672874929228E-2</v>
      </c>
      <c r="P247" s="295">
        <f>mamiabc!P59*Model!$AV$247/mamiabc!$AV$59</f>
        <v>1.4624587893679736E-2</v>
      </c>
      <c r="Q247" s="295">
        <f>mamiabc!Q59*Model!$AV$247/mamiabc!$AV$59</f>
        <v>1.7313400878509536E-2</v>
      </c>
      <c r="R247" s="295">
        <f>mamiabc!R59*Model!$AV$247/mamiabc!$AV$59</f>
        <v>1.7313400878509536E-2</v>
      </c>
      <c r="S247" s="295">
        <f>mamiabc!S59*Model!$AV$247/mamiabc!$AV$59</f>
        <v>1.5859603881835941E-2</v>
      </c>
      <c r="T247" s="295">
        <f>mamiabc!T59*Model!$AV$247/mamiabc!$AV$59</f>
        <v>1.7842053204803913E-2</v>
      </c>
      <c r="U247" s="295">
        <f>mamiabc!U59*Model!$AV$247/mamiabc!$AV$59</f>
        <v>2.0881810279724699E-2</v>
      </c>
      <c r="V247" s="295">
        <f>mamiabc!V59*Model!$AV$247/mamiabc!$AV$59</f>
        <v>2.2732097554240428E-2</v>
      </c>
      <c r="W247" s="295">
        <f>mamiabc!W59*Model!$AV$247/mamiabc!$AV$59</f>
        <v>2.1013975427540989E-2</v>
      </c>
      <c r="X247" s="295">
        <f>mamiabc!X59*Model!$AV$247/mamiabc!$AV$59</f>
        <v>3.0115912942325376E-2</v>
      </c>
      <c r="Y247" s="295">
        <f>mamiabc!Y59*Model!$AV$247/mamiabc!$AV$59</f>
        <v>3.7049074599652759E-2</v>
      </c>
      <c r="Z247" s="295">
        <f>mamiabc!Z59*Model!$AV$247/mamiabc!$AV$59</f>
        <v>4.8748781280467994E-2</v>
      </c>
      <c r="AA247" s="295">
        <f>mamiabc!AA59*Model!$AV$247/mamiabc!$AV$59</f>
        <v>6.109847419118071E-2</v>
      </c>
      <c r="AB247" s="295">
        <f>mamiabc!AB59*Model!$AV$247/mamiabc!$AV$59</f>
        <v>7.3664825046040522E-2</v>
      </c>
      <c r="AC247" s="295">
        <f>mamiabc!AC59*Model!$AV$247/mamiabc!$AV$59</f>
        <v>7.7998050048748782E-2</v>
      </c>
      <c r="AD247" s="295">
        <f>mamiabc!AD59*Model!$AV$247/mamiabc!$AV$59</f>
        <v>6.4998375040623987E-2</v>
      </c>
      <c r="AE247" s="295">
        <f>mamiabc!AE59*Model!$AV$247/mamiabc!$AV$59</f>
        <v>5.3948650457220845E-2</v>
      </c>
      <c r="AF247" s="295">
        <f>mamiabc!AF59*Model!$AV$247/mamiabc!$AV$59</f>
        <v>5.6548587111839958E-2</v>
      </c>
      <c r="AG247" s="295">
        <f>mamiabc!AG59*Model!$AV$247/mamiabc!$AV$59</f>
        <v>6.3048424615902349E-2</v>
      </c>
      <c r="AH247" s="295">
        <f>mamiabc!AH59*Model!$AV$247/mamiabc!$AV$59</f>
        <v>7.1064888391421416E-2</v>
      </c>
      <c r="AI247" s="295">
        <f>mamiabc!AI59*Model!$AV$247/mamiabc!$AV$59</f>
        <v>7.1064888391421416E-2</v>
      </c>
      <c r="AJ247" s="295">
        <f>mamiabc!AJ59*Model!$AV$247/mamiabc!$AV$59</f>
        <v>6.7381649618610623E-2</v>
      </c>
      <c r="AK247" s="295">
        <f>mamiabc!AK59*Model!$AV$247/mamiabc!$AV$59</f>
        <v>4.5498862528436802E-2</v>
      </c>
      <c r="AL247" s="295">
        <f>mamiabc!AL59*Model!$AV$247/mamiabc!$AV$59</f>
        <v>6.8248293792655193E-2</v>
      </c>
      <c r="AM247" s="295">
        <f>mamiabc!AM59*Model!$AV$247/mamiabc!$AV$59</f>
        <v>5.416531253385333E-2</v>
      </c>
      <c r="AN247" s="295">
        <f>mamiabc!AN59*Model!$AV$247/mamiabc!$AV$59</f>
        <v>4.9832087531145063E-2</v>
      </c>
      <c r="AO247" s="295">
        <f>mamiabc!AO59*Model!$AV$247/mamiabc!$AV$59</f>
        <v>6.9331600043332262E-2</v>
      </c>
      <c r="AP247" s="295">
        <f>mamiabc!AP59*Model!$AV$247/mamiabc!$AV$59</f>
        <v>7.2061531795038464E-2</v>
      </c>
      <c r="AQ247" s="295">
        <f>mamiabc!AQ59*Model!$AV$247/mamiabc!$AV$59</f>
        <v>7.1628209294767639E-2</v>
      </c>
      <c r="AR247" s="295">
        <f>mamiabc!AR59*Model!$AV$247/mamiabc!$AV$59</f>
        <v>8.4671216552919523E-2</v>
      </c>
      <c r="AS247" s="295">
        <f>mamiabc!AS59*Model!$AV$247/mamiabc!$AV$59</f>
        <v>0.32954176145596364</v>
      </c>
      <c r="AT247" s="295">
        <f>mamiabc!AT59*Model!$AV$247/mamiabc!$AV$59</f>
        <v>1.0822229444263896</v>
      </c>
      <c r="AU247" s="295">
        <f>mamiabc!AU59*Model!$AV$247/mamiabc!$AV$59</f>
        <v>1.7135738273209837</v>
      </c>
      <c r="AV247" s="74">
        <f>DataInput!AV333</f>
        <v>10.8</v>
      </c>
      <c r="AW247" s="74">
        <f>DataInput!AW333</f>
        <v>10.5</v>
      </c>
      <c r="AX247" s="74">
        <f>DataInput!AX333</f>
        <v>25.9</v>
      </c>
      <c r="AY247" s="74">
        <f>DataInput!AY333</f>
        <v>25.9</v>
      </c>
      <c r="AZ247" s="74">
        <f>DataInput!AZ333</f>
        <v>25.9</v>
      </c>
      <c r="BA247" s="74">
        <f>DataInput!BA333/1000</f>
        <v>70.001656319999995</v>
      </c>
      <c r="BB247" s="74">
        <f>DataInput!BB333/1000</f>
        <v>85.728712340000016</v>
      </c>
      <c r="BC247" s="74">
        <f>DataInput!BC333/1000</f>
        <v>104.75587912</v>
      </c>
      <c r="BD247" s="74">
        <f>DataInput!BD333</f>
        <v>137.99663656000001</v>
      </c>
      <c r="BE247" s="74">
        <f>DataInput!BE333</f>
        <v>155.37488626999999</v>
      </c>
      <c r="BF247" s="74">
        <f>DataInput!BF333</f>
        <v>179.45800000000003</v>
      </c>
      <c r="BG247" s="74">
        <f>DataInput!BG333</f>
        <v>207.62649830000001</v>
      </c>
      <c r="BH247" s="74">
        <f>DataInput!BH333</f>
        <v>230.86160290000001</v>
      </c>
      <c r="BI247" s="74">
        <f>DataInput!BI333</f>
        <v>264.96029027999998</v>
      </c>
      <c r="BJ247" s="74">
        <f>DataInput!BJ333</f>
        <v>283.65600000000006</v>
      </c>
      <c r="BK247" s="74">
        <f>DataInput!BK333</f>
        <v>409.00100000000003</v>
      </c>
      <c r="BL247" s="74">
        <f>DataInput!BL333</f>
        <v>518.65800000000002</v>
      </c>
      <c r="BM247" s="74">
        <f>DataInput!BM333</f>
        <v>550.45799999999997</v>
      </c>
      <c r="BN247" s="74">
        <f>DataInput!BN333</f>
        <v>518.34</v>
      </c>
      <c r="BO247" s="74">
        <f>DataInput!BO333</f>
        <v>618.77499999999998</v>
      </c>
      <c r="BP247" s="22">
        <f ca="1">BO247*(1+BP302/100)*BP372/BO372+SIM!X69+finsim!BO211</f>
        <v>856.62165721349675</v>
      </c>
      <c r="BQ247" s="22">
        <f ca="1">BP247*(1+BQ302/100)*BQ372/BP372+SIM!Y69+finsim!BP211</f>
        <v>969.24893506832007</v>
      </c>
      <c r="BR247" s="22">
        <f ca="1">BQ247*(1+BR302/100)*BR372/BQ372+SIM!Z69+finsim!BQ211</f>
        <v>1034.7618271514832</v>
      </c>
      <c r="BS247" s="22">
        <f ca="1">BR247*(1+BS302/100)*BS372/BR372+SIM!AA69+finsim!BR211</f>
        <v>1081.0106084632671</v>
      </c>
      <c r="BT247" s="22">
        <f ca="1">BS247*(1+BT302/100)*BT372/BS372+SIM!AB69+finsim!BS211</f>
        <v>1133.9377603488485</v>
      </c>
      <c r="BU247" s="22">
        <f ca="1">BT247*(1+BU302/100)*BU372/BT372+SIM!AC69+finsim!BT211</f>
        <v>1191.0380788202417</v>
      </c>
      <c r="BV247" s="22">
        <f ca="1">BU247*(1+BV302/100)*BV372/BU372+SIM!AD69+finsim!BU211</f>
        <v>1251.5535309025065</v>
      </c>
      <c r="BW247" s="22">
        <f ca="1">BV247*(1+BW302/100)*BW372/BV372+SIM!AE69+finsim!BV211</f>
        <v>1312.4548777614846</v>
      </c>
      <c r="BX247" s="22">
        <f ca="1">BW247*(1+BX302/100)*BX372/BW372+SIM!AF69+finsim!BW211</f>
        <v>1376.2390852961844</v>
      </c>
      <c r="BY247" s="22">
        <f ca="1">BX247*(1+BY302/100)*BY372/BX372+SIM!AG69+finsim!BX211</f>
        <v>1442.9590418142477</v>
      </c>
      <c r="BZ247" s="22">
        <f ca="1">BY247*(1+BZ302/100)*BZ372/BY372+SIM!AH69+finsim!BY211</f>
        <v>1512.8194704869995</v>
      </c>
      <c r="CA247" s="22">
        <f ca="1">BZ247*(1+CA302/100)*CA372/BZ372+SIM!AI69+finsim!BZ211</f>
        <v>1586.1790152314286</v>
      </c>
      <c r="CB247" s="22">
        <f ca="1">CA247*(1+CB302/100)*CB372/CA372+SIM!AJ69+finsim!CA211</f>
        <v>1659.9577333024076</v>
      </c>
      <c r="CC247" s="22">
        <f ca="1">CB247*(1+CC302/100)*CC372/CB372+SIM!AK69+finsim!CB211</f>
        <v>1737.196203589114</v>
      </c>
      <c r="CD247" s="22">
        <f ca="1">CC247*(1+CD302/100)*CD372/CC372+SIM!AL69+finsim!CC211</f>
        <v>1818.0635600181777</v>
      </c>
      <c r="CE247" s="22"/>
      <c r="CF247" s="438"/>
      <c r="CG247" s="235">
        <f t="shared" si="766"/>
        <v>0</v>
      </c>
      <c r="CH247" s="235">
        <f t="shared" si="767"/>
        <v>0</v>
      </c>
      <c r="CI247" s="235" t="e">
        <f>BM247-#REF!</f>
        <v>#REF!</v>
      </c>
      <c r="CJ247" s="235">
        <f t="shared" si="768"/>
        <v>0</v>
      </c>
      <c r="CK247" s="235">
        <f t="shared" si="769"/>
        <v>0</v>
      </c>
      <c r="CL247" s="235">
        <f t="shared" ca="1" si="770"/>
        <v>0</v>
      </c>
      <c r="CM247" s="235">
        <f t="shared" ca="1" si="771"/>
        <v>0</v>
      </c>
      <c r="CN247" s="235">
        <f t="shared" ca="1" si="772"/>
        <v>0</v>
      </c>
      <c r="CO247" s="235">
        <f t="shared" ca="1" si="773"/>
        <v>0</v>
      </c>
      <c r="CP247" s="235">
        <f t="shared" ca="1" si="774"/>
        <v>0</v>
      </c>
      <c r="CQ247" s="235">
        <f t="shared" ca="1" si="775"/>
        <v>0</v>
      </c>
      <c r="CR247" s="235">
        <f t="shared" ca="1" si="776"/>
        <v>0</v>
      </c>
      <c r="CS247" s="235">
        <f t="shared" ca="1" si="777"/>
        <v>0</v>
      </c>
      <c r="CT247" s="235">
        <f t="shared" ca="1" si="778"/>
        <v>0</v>
      </c>
      <c r="CU247" s="235">
        <f t="shared" ca="1" si="779"/>
        <v>0</v>
      </c>
      <c r="CV247" s="235">
        <f t="shared" ca="1" si="780"/>
        <v>0</v>
      </c>
      <c r="CW247" s="235">
        <f t="shared" ca="1" si="781"/>
        <v>2.0463630789890885E-12</v>
      </c>
      <c r="CX247" s="235">
        <f t="shared" ca="1" si="782"/>
        <v>1.6825651982799172E-11</v>
      </c>
      <c r="CY247" s="235">
        <f t="shared" ca="1" si="783"/>
        <v>1.6120793588925153E-10</v>
      </c>
      <c r="CZ247" s="235">
        <f t="shared" ca="1" si="784"/>
        <v>1.3062617654213682E-9</v>
      </c>
      <c r="DA247" s="38"/>
      <c r="DB247" s="236">
        <v>180.54677623000001</v>
      </c>
      <c r="DC247" s="236">
        <v>181.54677623000001</v>
      </c>
      <c r="DD247" s="236">
        <v>257.63906320000001</v>
      </c>
      <c r="DE247" s="236">
        <v>258.51385841000001</v>
      </c>
      <c r="DF247" s="401">
        <v>264.96029027999998</v>
      </c>
      <c r="DG247" s="236">
        <v>409.00100000000003</v>
      </c>
      <c r="DH247" s="492">
        <v>518.65800000000002</v>
      </c>
      <c r="DI247" s="236">
        <v>518.34</v>
      </c>
      <c r="DJ247" s="236">
        <v>618.77499999999998</v>
      </c>
      <c r="DK247" s="236">
        <v>856.62165721349652</v>
      </c>
      <c r="DL247" s="236">
        <v>969.24893506831972</v>
      </c>
      <c r="DM247" s="236">
        <v>1034.761827151483</v>
      </c>
      <c r="DN247" s="236">
        <v>1081.0106084632669</v>
      </c>
      <c r="DO247" s="236">
        <v>1133.9377603488483</v>
      </c>
      <c r="DP247" s="236">
        <v>1191.0380788202415</v>
      </c>
      <c r="DQ247" s="401">
        <v>1251.5535309025063</v>
      </c>
      <c r="DR247" s="401">
        <v>1312.4548777614843</v>
      </c>
      <c r="DS247" s="401">
        <v>1376.2390852961842</v>
      </c>
      <c r="DT247" s="401">
        <v>1442.9590418142475</v>
      </c>
      <c r="DU247" s="401">
        <v>1512.8194704869989</v>
      </c>
      <c r="DV247" s="401">
        <v>1586.1790152314265</v>
      </c>
      <c r="DW247" s="401">
        <v>1659.9577333023908</v>
      </c>
      <c r="DX247" s="401">
        <v>1737.1962035889528</v>
      </c>
      <c r="DY247" s="401">
        <v>1818.0635600168714</v>
      </c>
      <c r="DZ247" s="401"/>
      <c r="EA247" s="989"/>
    </row>
    <row r="248" spans="1:131" s="19" customFormat="1">
      <c r="A248" s="133" t="s">
        <v>3917</v>
      </c>
      <c r="B248" s="133" t="s">
        <v>2062</v>
      </c>
      <c r="D248" s="206"/>
      <c r="E248" s="206"/>
      <c r="F248" s="206"/>
      <c r="G248" s="206"/>
      <c r="H248" s="206"/>
      <c r="I248" s="206"/>
      <c r="J248" s="206"/>
      <c r="K248" s="206"/>
      <c r="L248" s="206"/>
      <c r="M248" s="206"/>
      <c r="N248" s="206"/>
      <c r="O248" s="206"/>
      <c r="P248" s="206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63"/>
      <c r="AV248" s="76"/>
      <c r="AW248" s="76"/>
      <c r="AX248" s="76"/>
      <c r="AY248" s="76"/>
      <c r="AZ248" s="76"/>
      <c r="BA248" s="80"/>
      <c r="BB248" s="80"/>
      <c r="BC248" s="80"/>
      <c r="BD248" s="80"/>
      <c r="BE248" s="80"/>
      <c r="BF248" s="80"/>
      <c r="BG248" s="80"/>
      <c r="BH248" s="332">
        <f>DataInput!BH334-Model!BH249</f>
        <v>0</v>
      </c>
      <c r="BI248" s="332">
        <f>DataInput!BI334-Model!BI249</f>
        <v>0</v>
      </c>
      <c r="BJ248" s="496">
        <f>DataInput!BJ334-Model!BJ249</f>
        <v>0</v>
      </c>
      <c r="BK248" s="332">
        <f>DataInput!BK334-Model!BK249</f>
        <v>0</v>
      </c>
      <c r="BL248" s="332">
        <f>DataInput!BL334-Model!BL249</f>
        <v>0</v>
      </c>
      <c r="BM248" s="80"/>
      <c r="BN248" s="80"/>
      <c r="BO248" s="80"/>
      <c r="BP248" s="80"/>
      <c r="BQ248" s="80"/>
      <c r="BR248" s="80"/>
      <c r="BS248" s="80"/>
      <c r="BT248" s="80"/>
      <c r="BU248" s="80"/>
      <c r="BV248" s="80"/>
      <c r="BW248" s="80"/>
      <c r="BX248" s="80"/>
      <c r="BY248" s="80"/>
      <c r="BZ248" s="80"/>
      <c r="CA248" s="80"/>
      <c r="CB248" s="80"/>
      <c r="CC248" s="80"/>
      <c r="CD248" s="80"/>
      <c r="CE248" s="80"/>
      <c r="CF248" s="435"/>
      <c r="CG248" s="235">
        <f t="shared" si="766"/>
        <v>0</v>
      </c>
      <c r="CH248" s="235">
        <f t="shared" si="767"/>
        <v>0</v>
      </c>
      <c r="CI248" s="235" t="e">
        <f>BM248-#REF!</f>
        <v>#REF!</v>
      </c>
      <c r="CJ248" s="235">
        <f t="shared" si="768"/>
        <v>0</v>
      </c>
      <c r="CK248" s="235">
        <f t="shared" si="769"/>
        <v>0</v>
      </c>
      <c r="CL248" s="235">
        <f t="shared" si="770"/>
        <v>0</v>
      </c>
      <c r="CM248" s="235">
        <f t="shared" si="771"/>
        <v>0</v>
      </c>
      <c r="CN248" s="235">
        <f t="shared" si="772"/>
        <v>0</v>
      </c>
      <c r="CO248" s="235">
        <f t="shared" si="773"/>
        <v>0</v>
      </c>
      <c r="CP248" s="235">
        <f t="shared" si="774"/>
        <v>0</v>
      </c>
      <c r="CQ248" s="235">
        <f t="shared" si="775"/>
        <v>0</v>
      </c>
      <c r="CR248" s="235">
        <f t="shared" si="776"/>
        <v>0</v>
      </c>
      <c r="CS248" s="235">
        <f t="shared" si="777"/>
        <v>0</v>
      </c>
      <c r="CT248" s="235">
        <f t="shared" si="778"/>
        <v>0</v>
      </c>
      <c r="CU248" s="235">
        <f t="shared" si="779"/>
        <v>0</v>
      </c>
      <c r="CV248" s="235">
        <f t="shared" si="780"/>
        <v>0</v>
      </c>
      <c r="CW248" s="235">
        <f t="shared" si="781"/>
        <v>0</v>
      </c>
      <c r="CX248" s="235">
        <f t="shared" si="782"/>
        <v>0</v>
      </c>
      <c r="CY248" s="235">
        <f t="shared" si="783"/>
        <v>0</v>
      </c>
      <c r="CZ248" s="235">
        <f t="shared" si="784"/>
        <v>0</v>
      </c>
      <c r="DA248" s="38"/>
      <c r="DB248" s="236"/>
      <c r="DC248" s="236"/>
      <c r="DD248" s="236"/>
      <c r="DE248" s="236">
        <v>0</v>
      </c>
      <c r="DF248" s="400">
        <v>0</v>
      </c>
      <c r="DG248" s="236">
        <v>0</v>
      </c>
      <c r="DH248" s="492">
        <v>0</v>
      </c>
      <c r="DI248" s="236"/>
      <c r="DJ248" s="236"/>
      <c r="DK248" s="236"/>
      <c r="DL248" s="236"/>
      <c r="DM248" s="236"/>
      <c r="DN248" s="236"/>
      <c r="DO248" s="236"/>
      <c r="DP248" s="236"/>
      <c r="DQ248" s="1084"/>
      <c r="DR248" s="1084"/>
      <c r="DS248" s="1084"/>
      <c r="DT248" s="1084"/>
      <c r="DU248" s="1084"/>
      <c r="DV248" s="1084"/>
      <c r="DW248" s="1084"/>
      <c r="DX248" s="1084"/>
      <c r="DY248" s="1084"/>
      <c r="DZ248" s="1084"/>
      <c r="EA248" s="988"/>
    </row>
    <row r="249" spans="1:131" s="76" customFormat="1">
      <c r="A249" s="76" t="s">
        <v>3913</v>
      </c>
      <c r="B249" s="80" t="s">
        <v>678</v>
      </c>
      <c r="C249" s="51" t="s">
        <v>679</v>
      </c>
      <c r="D249" s="207"/>
      <c r="E249" s="207"/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07"/>
      <c r="S249" s="207"/>
      <c r="T249" s="207"/>
      <c r="U249" s="207"/>
      <c r="V249" s="207"/>
      <c r="W249" s="207"/>
      <c r="X249" s="207"/>
      <c r="Y249" s="207"/>
      <c r="Z249" s="207"/>
      <c r="AA249" s="207"/>
      <c r="AB249" s="207"/>
      <c r="AC249" s="207"/>
      <c r="AD249" s="207"/>
      <c r="AE249" s="207"/>
      <c r="AF249" s="207"/>
      <c r="AG249" s="207"/>
      <c r="AH249" s="207"/>
      <c r="AI249" s="207"/>
      <c r="AJ249" s="207"/>
      <c r="AK249" s="207"/>
      <c r="AL249" s="207"/>
      <c r="AM249" s="207"/>
      <c r="AN249" s="207"/>
      <c r="AO249" s="207"/>
      <c r="AP249" s="207"/>
      <c r="AQ249" s="207"/>
      <c r="AR249" s="207"/>
      <c r="AS249" s="207"/>
      <c r="AT249" s="309">
        <v>33</v>
      </c>
      <c r="AU249" s="51"/>
      <c r="AV249" s="27">
        <f>DataInput!AV249*DataInput!AV764+DataInput!AV250+DataInput!AV334</f>
        <v>31.185901475000001</v>
      </c>
      <c r="AW249" s="27">
        <f>DataInput!AW249*DataInput!AW764+DataInput!AW250+DataInput!AW334</f>
        <v>13.792472500000001</v>
      </c>
      <c r="AX249" s="27">
        <f>DataInput!AX249*DataInput!AX764+DataInput!AX250+DataInput!AX334</f>
        <v>24.617516000000002</v>
      </c>
      <c r="AY249" s="27">
        <f>DataInput!AY249*DataInput!AY764+DataInput!AY250+DataInput!AY334</f>
        <v>19.249463119999998</v>
      </c>
      <c r="AZ249" s="27">
        <f>DataInput!AZ249*DataInput!AZ764+DataInput!AZ250+DataInput!AZ334</f>
        <v>50.469947220000002</v>
      </c>
      <c r="BA249" s="79">
        <f>DataInput!BA284/1000-Model!BA247</f>
        <v>63.325287680000002</v>
      </c>
      <c r="BB249" s="79">
        <f>DataInput!BB284/1000-Model!BB247</f>
        <v>76.247365659999986</v>
      </c>
      <c r="BC249" s="79">
        <f>DataInput!BC284/1000-Model!BC247</f>
        <v>93.235324880000007</v>
      </c>
      <c r="BD249" s="27">
        <f>DataInput!BD284-Model!BD247</f>
        <v>122.59661543999999</v>
      </c>
      <c r="BE249" s="27">
        <f>DataInput!BE284-Model!BE247</f>
        <v>137.92957273000002</v>
      </c>
      <c r="BF249" s="27">
        <f>DataInput!BF284-Model!BF247</f>
        <v>159.142</v>
      </c>
      <c r="BG249" s="27">
        <f>DataInput!BG284-Model!BG247</f>
        <v>184.12161169999999</v>
      </c>
      <c r="BH249" s="27">
        <f>DataInput!BH284-Model!BH247</f>
        <v>204.72632709999996</v>
      </c>
      <c r="BI249" s="27">
        <f>DataInput!BI284-Model!BI247</f>
        <v>234.96478572000001</v>
      </c>
      <c r="BJ249" s="27">
        <f>DataInput!BJ284-Model!BJ247</f>
        <v>251.54399999999998</v>
      </c>
      <c r="BK249" s="27">
        <f>DataInput!BK284-Model!BK247</f>
        <v>362.69900000000001</v>
      </c>
      <c r="BL249" s="27">
        <f>DataInput!BL284-Model!BL247</f>
        <v>459.94200000000001</v>
      </c>
      <c r="BM249" s="27">
        <f>DataInput!BM284-Model!BM247</f>
        <v>488.14199999999994</v>
      </c>
      <c r="BN249" s="27">
        <f>DataInput!BN284-Model!BN247</f>
        <v>459.65999999999997</v>
      </c>
      <c r="BO249" s="27">
        <f>DataInput!BO284-Model!BO247</f>
        <v>548.72500000000002</v>
      </c>
      <c r="BP249" s="94">
        <f ca="1">BO249*(1+BP302/100)*BP372/BO372+SIM!X54+finsim!BO213</f>
        <v>759.64562054781788</v>
      </c>
      <c r="BQ249" s="94">
        <f ca="1">BP249*(1+BQ302/100)*BQ372/BP372+SIM!Y54+finsim!BP213</f>
        <v>859.52264053228384</v>
      </c>
      <c r="BR249" s="94">
        <f ca="1">BQ249*(1+BR302/100)*BR372/BQ372+SIM!Z54+finsim!BQ213</f>
        <v>917.61897879471155</v>
      </c>
      <c r="BS249" s="94">
        <f ca="1">BR249*(1+BS302/100)*BS372/BR372+SIM!AA54+finsim!BR213</f>
        <v>958.6320490145954</v>
      </c>
      <c r="BT249" s="94">
        <f ca="1">BS249*(1+BT302/100)*BT372/BS372+SIM!AB54+finsim!BS213</f>
        <v>1005.567447856526</v>
      </c>
      <c r="BU249" s="94">
        <f ca="1">BT249*(1+BU302/100)*BU372/BT372+SIM!AC54+finsim!BT213</f>
        <v>1056.2035793311577</v>
      </c>
      <c r="BV249" s="94">
        <f ca="1">BU249*(1+BV302/100)*BV372/BU372+SIM!AD54+finsim!BU213</f>
        <v>1109.8682255173169</v>
      </c>
      <c r="BW249" s="94">
        <f ca="1">BV249*(1+BW302/100)*BW372/BV372+SIM!AE54+finsim!BV213</f>
        <v>1163.8750802790523</v>
      </c>
      <c r="BX249" s="94">
        <f ca="1">BW249*(1+BX302/100)*BX372/BW372+SIM!AF54+finsim!BW213</f>
        <v>1220.4384341305786</v>
      </c>
      <c r="BY249" s="94">
        <f ca="1">BX249*(1+BY302/100)*BY372/BX372+SIM!AG54+finsim!BX213</f>
        <v>1279.6051880239554</v>
      </c>
      <c r="BZ249" s="94">
        <f ca="1">BY249*(1+BZ302/100)*BZ372/BY372+SIM!AH54+finsim!BY213</f>
        <v>1341.5568889224335</v>
      </c>
      <c r="CA249" s="94">
        <f ca="1">BZ249*(1+CA302/100)*CA372/BZ372+SIM!AI54+finsim!BZ213</f>
        <v>1406.6115795448516</v>
      </c>
      <c r="CB249" s="94">
        <f ca="1">CA249*(1+CB302/100)*CB372/CA372+SIM!AJ54+finsim!CA213</f>
        <v>1472.037989909682</v>
      </c>
      <c r="CC249" s="94">
        <f ca="1">CB249*(1+CC302/100)*CC372/CB372+SIM!AK54+finsim!CB213</f>
        <v>1540.5324824280819</v>
      </c>
      <c r="CD249" s="94">
        <f ca="1">CC249*(1+CD302/100)*CD372/CC372+SIM!AL54+finsim!CC213</f>
        <v>1612.2450437897044</v>
      </c>
      <c r="CE249" s="94"/>
      <c r="CF249" s="438"/>
      <c r="CG249" s="235">
        <f t="shared" si="766"/>
        <v>0</v>
      </c>
      <c r="CH249" s="235">
        <f t="shared" si="767"/>
        <v>0</v>
      </c>
      <c r="CI249" s="235" t="e">
        <f>BM249-#REF!</f>
        <v>#REF!</v>
      </c>
      <c r="CJ249" s="235">
        <f t="shared" si="768"/>
        <v>0</v>
      </c>
      <c r="CK249" s="235">
        <f t="shared" si="769"/>
        <v>0</v>
      </c>
      <c r="CL249" s="235">
        <f t="shared" ca="1" si="770"/>
        <v>0</v>
      </c>
      <c r="CM249" s="235">
        <f t="shared" ca="1" si="771"/>
        <v>0</v>
      </c>
      <c r="CN249" s="235">
        <f t="shared" ca="1" si="772"/>
        <v>0</v>
      </c>
      <c r="CO249" s="235">
        <f t="shared" ca="1" si="773"/>
        <v>0</v>
      </c>
      <c r="CP249" s="235">
        <f t="shared" ca="1" si="774"/>
        <v>0</v>
      </c>
      <c r="CQ249" s="235">
        <f t="shared" ca="1" si="775"/>
        <v>0</v>
      </c>
      <c r="CR249" s="235">
        <f t="shared" ca="1" si="776"/>
        <v>0</v>
      </c>
      <c r="CS249" s="235">
        <f t="shared" ca="1" si="777"/>
        <v>0</v>
      </c>
      <c r="CT249" s="235">
        <f t="shared" ca="1" si="778"/>
        <v>0</v>
      </c>
      <c r="CU249" s="235">
        <f t="shared" ca="1" si="779"/>
        <v>0</v>
      </c>
      <c r="CV249" s="235">
        <f t="shared" ca="1" si="780"/>
        <v>0</v>
      </c>
      <c r="CW249" s="235">
        <f t="shared" ca="1" si="781"/>
        <v>0</v>
      </c>
      <c r="CX249" s="235">
        <f t="shared" ca="1" si="782"/>
        <v>1.432454155292362E-11</v>
      </c>
      <c r="CY249" s="235">
        <f t="shared" ca="1" si="783"/>
        <v>1.4233592082746327E-10</v>
      </c>
      <c r="CZ249" s="235">
        <f t="shared" ca="1" si="784"/>
        <v>1.1577867553569376E-9</v>
      </c>
      <c r="DA249" s="38"/>
      <c r="DB249" s="236">
        <v>160.34781477000001</v>
      </c>
      <c r="DC249" s="236">
        <v>161.34781476999999</v>
      </c>
      <c r="DD249" s="236">
        <v>228.47237680000001</v>
      </c>
      <c r="DE249" s="236">
        <v>229.24813859</v>
      </c>
      <c r="DF249" s="401">
        <v>234.96478572000001</v>
      </c>
      <c r="DG249" s="236">
        <v>362.69900000000001</v>
      </c>
      <c r="DH249" s="492">
        <v>459.94200000000001</v>
      </c>
      <c r="DI249" s="236">
        <v>459.65999999999997</v>
      </c>
      <c r="DJ249" s="236">
        <v>548.72500000000002</v>
      </c>
      <c r="DK249" s="236">
        <v>759.64562054781777</v>
      </c>
      <c r="DL249" s="236">
        <v>859.52264053228373</v>
      </c>
      <c r="DM249" s="236">
        <v>917.61897879471178</v>
      </c>
      <c r="DN249" s="236">
        <v>958.63204901459551</v>
      </c>
      <c r="DO249" s="236">
        <v>1005.5674478565261</v>
      </c>
      <c r="DP249" s="236">
        <v>1056.2035793311577</v>
      </c>
      <c r="DQ249" s="401">
        <v>1109.8682255173169</v>
      </c>
      <c r="DR249" s="401">
        <v>1163.8750802790523</v>
      </c>
      <c r="DS249" s="401">
        <v>1220.4384341305786</v>
      </c>
      <c r="DT249" s="401">
        <v>1279.6051880239554</v>
      </c>
      <c r="DU249" s="401">
        <v>1341.5568889224332</v>
      </c>
      <c r="DV249" s="401">
        <v>1406.6115795448504</v>
      </c>
      <c r="DW249" s="401">
        <v>1472.0379899096677</v>
      </c>
      <c r="DX249" s="401">
        <v>1540.5324824279396</v>
      </c>
      <c r="DY249" s="401">
        <v>1612.2450437885466</v>
      </c>
      <c r="DZ249" s="401"/>
      <c r="EA249" s="989"/>
    </row>
    <row r="250" spans="1:131" s="158" customFormat="1">
      <c r="A250" s="76" t="s">
        <v>3919</v>
      </c>
      <c r="B250" s="98" t="s">
        <v>1427</v>
      </c>
      <c r="C250" s="157" t="s">
        <v>3377</v>
      </c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157"/>
      <c r="AV250" s="158">
        <f t="shared" ref="AV250:BD250" si="790">AV196</f>
        <v>0.64148000000000005</v>
      </c>
      <c r="AW250" s="158">
        <f t="shared" si="790"/>
        <v>0.60150000000000003</v>
      </c>
      <c r="AX250" s="158">
        <f t="shared" si="790"/>
        <v>0.60150000000000003</v>
      </c>
      <c r="AY250" s="158">
        <f t="shared" si="790"/>
        <v>1.0318919999999998</v>
      </c>
      <c r="AZ250" s="158">
        <f t="shared" si="790"/>
        <v>1.061048</v>
      </c>
      <c r="BA250" s="158">
        <f t="shared" si="790"/>
        <v>1.7428000000000001</v>
      </c>
      <c r="BB250" s="158">
        <f t="shared" si="790"/>
        <v>1.1634725000000001</v>
      </c>
      <c r="BC250" s="158">
        <f t="shared" si="790"/>
        <v>15.099313999999998</v>
      </c>
      <c r="BD250" s="158">
        <f t="shared" si="790"/>
        <v>23.5124</v>
      </c>
      <c r="BE250" s="158">
        <f t="shared" ref="BE250:BJ250" si="791">BE196</f>
        <v>14.468999999999999</v>
      </c>
      <c r="BF250" s="158">
        <f t="shared" si="791"/>
        <v>4.1137500000000005</v>
      </c>
      <c r="BG250" s="158">
        <f t="shared" si="791"/>
        <v>0</v>
      </c>
      <c r="BH250" s="158">
        <f t="shared" si="791"/>
        <v>0</v>
      </c>
      <c r="BI250" s="158">
        <f t="shared" si="791"/>
        <v>0</v>
      </c>
      <c r="BJ250" s="158">
        <f t="shared" si="791"/>
        <v>0</v>
      </c>
      <c r="BK250" s="158">
        <f t="shared" ref="BK250:BS250" si="792">BK196</f>
        <v>0</v>
      </c>
      <c r="BL250" s="158">
        <f t="shared" si="792"/>
        <v>0</v>
      </c>
      <c r="BM250" s="158">
        <f t="shared" si="792"/>
        <v>0</v>
      </c>
      <c r="BN250" s="158">
        <f t="shared" si="792"/>
        <v>0</v>
      </c>
      <c r="BO250" s="158">
        <f t="shared" si="792"/>
        <v>0</v>
      </c>
      <c r="BP250" s="158">
        <f t="shared" ca="1" si="792"/>
        <v>0</v>
      </c>
      <c r="BQ250" s="158">
        <f t="shared" ca="1" si="792"/>
        <v>0</v>
      </c>
      <c r="BR250" s="158">
        <f t="shared" ca="1" si="792"/>
        <v>0</v>
      </c>
      <c r="BS250" s="158">
        <f t="shared" ca="1" si="792"/>
        <v>0</v>
      </c>
      <c r="BT250" s="158">
        <f ca="1">BT196</f>
        <v>0</v>
      </c>
      <c r="BU250" s="158">
        <f ca="1">BU196</f>
        <v>0</v>
      </c>
      <c r="BV250" s="158">
        <f ca="1">BV196</f>
        <v>0</v>
      </c>
      <c r="BW250" s="158">
        <f t="shared" ref="BW250:BX250" ca="1" si="793">BW196</f>
        <v>0</v>
      </c>
      <c r="BX250" s="158">
        <f t="shared" ca="1" si="793"/>
        <v>0</v>
      </c>
      <c r="BY250" s="158">
        <f t="shared" ref="BY250:CD250" ca="1" si="794">BY196</f>
        <v>0</v>
      </c>
      <c r="BZ250" s="158">
        <f t="shared" ca="1" si="794"/>
        <v>0</v>
      </c>
      <c r="CA250" s="158">
        <f t="shared" ca="1" si="794"/>
        <v>0</v>
      </c>
      <c r="CB250" s="158">
        <f t="shared" ca="1" si="794"/>
        <v>0</v>
      </c>
      <c r="CC250" s="158">
        <f t="shared" ca="1" si="794"/>
        <v>0</v>
      </c>
      <c r="CD250" s="158">
        <f t="shared" ca="1" si="794"/>
        <v>0</v>
      </c>
      <c r="CF250" s="435"/>
      <c r="CG250" s="235">
        <f t="shared" si="766"/>
        <v>0</v>
      </c>
      <c r="CH250" s="235">
        <f t="shared" si="767"/>
        <v>0</v>
      </c>
      <c r="CI250" s="235" t="e">
        <f>BM250-#REF!</f>
        <v>#REF!</v>
      </c>
      <c r="CJ250" s="235">
        <f t="shared" si="768"/>
        <v>0</v>
      </c>
      <c r="CK250" s="235">
        <f t="shared" si="769"/>
        <v>0</v>
      </c>
      <c r="CL250" s="235">
        <f t="shared" ca="1" si="770"/>
        <v>0</v>
      </c>
      <c r="CM250" s="235">
        <f t="shared" ca="1" si="771"/>
        <v>0</v>
      </c>
      <c r="CN250" s="235">
        <f t="shared" ca="1" si="772"/>
        <v>0</v>
      </c>
      <c r="CO250" s="235">
        <f t="shared" ca="1" si="773"/>
        <v>0</v>
      </c>
      <c r="CP250" s="235">
        <f t="shared" ca="1" si="774"/>
        <v>0</v>
      </c>
      <c r="CQ250" s="235">
        <f t="shared" ca="1" si="775"/>
        <v>0</v>
      </c>
      <c r="CR250" s="235">
        <f t="shared" ca="1" si="776"/>
        <v>0</v>
      </c>
      <c r="CS250" s="235">
        <f t="shared" ca="1" si="777"/>
        <v>0</v>
      </c>
      <c r="CT250" s="235">
        <f t="shared" ca="1" si="778"/>
        <v>0</v>
      </c>
      <c r="CU250" s="235">
        <f t="shared" ca="1" si="779"/>
        <v>0</v>
      </c>
      <c r="CV250" s="235">
        <f t="shared" ca="1" si="780"/>
        <v>0</v>
      </c>
      <c r="CW250" s="235">
        <f t="shared" ca="1" si="781"/>
        <v>0</v>
      </c>
      <c r="CX250" s="235">
        <f t="shared" ca="1" si="782"/>
        <v>0</v>
      </c>
      <c r="CY250" s="235">
        <f t="shared" ca="1" si="783"/>
        <v>0</v>
      </c>
      <c r="CZ250" s="235">
        <f t="shared" ca="1" si="784"/>
        <v>0</v>
      </c>
      <c r="DA250" s="38"/>
      <c r="DB250" s="236">
        <v>3.11375</v>
      </c>
      <c r="DC250" s="236">
        <v>4.1137499999999996</v>
      </c>
      <c r="DD250" s="236">
        <v>5.49</v>
      </c>
      <c r="DE250" s="236">
        <v>4.3920000000000003</v>
      </c>
      <c r="DF250" s="401">
        <v>0</v>
      </c>
      <c r="DG250" s="236">
        <v>0</v>
      </c>
      <c r="DH250" s="492">
        <v>0</v>
      </c>
      <c r="DI250" s="236">
        <v>0</v>
      </c>
      <c r="DJ250" s="236">
        <v>0</v>
      </c>
      <c r="DK250" s="236">
        <v>0</v>
      </c>
      <c r="DL250" s="236">
        <v>0</v>
      </c>
      <c r="DM250" s="236">
        <v>0</v>
      </c>
      <c r="DN250" s="236">
        <v>0</v>
      </c>
      <c r="DO250" s="236">
        <v>0</v>
      </c>
      <c r="DP250" s="236">
        <v>0</v>
      </c>
      <c r="DQ250" s="401">
        <v>0</v>
      </c>
      <c r="DR250" s="401">
        <v>0</v>
      </c>
      <c r="DS250" s="401">
        <v>0</v>
      </c>
      <c r="DT250" s="401">
        <v>0</v>
      </c>
      <c r="DU250" s="401">
        <v>0</v>
      </c>
      <c r="DV250" s="401">
        <v>0</v>
      </c>
      <c r="DW250" s="401">
        <v>0</v>
      </c>
      <c r="DX250" s="401">
        <v>0</v>
      </c>
      <c r="DY250" s="401">
        <v>0</v>
      </c>
      <c r="DZ250" s="401"/>
      <c r="EA250" s="989"/>
    </row>
    <row r="251" spans="1:131" s="19" customFormat="1">
      <c r="A251" s="19" t="str">
        <f>DataInput!A285</f>
        <v>Interest from government to enerprises</v>
      </c>
      <c r="B251" s="133" t="s">
        <v>3379</v>
      </c>
      <c r="D251" s="206"/>
      <c r="E251" s="206"/>
      <c r="F251" s="206"/>
      <c r="G251" s="206"/>
      <c r="H251" s="206"/>
      <c r="I251" s="206"/>
      <c r="J251" s="206"/>
      <c r="K251" s="206"/>
      <c r="L251" s="206"/>
      <c r="M251" s="206"/>
      <c r="N251" s="206"/>
      <c r="O251" s="206"/>
      <c r="P251" s="206"/>
      <c r="Q251" s="206"/>
      <c r="R251" s="206"/>
      <c r="S251" s="206"/>
      <c r="T251" s="206"/>
      <c r="U251" s="206"/>
      <c r="V251" s="206"/>
      <c r="W251" s="206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63"/>
      <c r="AV251" s="76"/>
      <c r="AW251" s="76"/>
      <c r="AX251" s="76"/>
      <c r="AY251" s="76"/>
      <c r="AZ251" s="76"/>
      <c r="BA251" s="80"/>
      <c r="BB251" s="80"/>
      <c r="BC251" s="80"/>
      <c r="BD251" s="80"/>
      <c r="BE251" s="80"/>
      <c r="BF251" s="80"/>
      <c r="BG251" s="80"/>
      <c r="BH251" s="332">
        <f>DataInput!BH285-Model!BH252</f>
        <v>0</v>
      </c>
      <c r="BI251" s="332">
        <f>DataInput!BI285-Model!BI252</f>
        <v>0</v>
      </c>
      <c r="BJ251" s="80"/>
      <c r="BK251" s="80"/>
      <c r="BL251" s="80"/>
      <c r="BM251" s="80"/>
      <c r="BN251" s="80"/>
      <c r="BO251" s="80"/>
      <c r="BP251" s="80"/>
      <c r="BQ251" s="80"/>
      <c r="BR251" s="80"/>
      <c r="BS251" s="80"/>
      <c r="BT251" s="80"/>
      <c r="BU251" s="80"/>
      <c r="BV251" s="80"/>
      <c r="BW251" s="80"/>
      <c r="BX251" s="80"/>
      <c r="BY251" s="80"/>
      <c r="BZ251" s="80"/>
      <c r="CA251" s="80"/>
      <c r="CB251" s="80"/>
      <c r="CC251" s="80"/>
      <c r="CD251" s="80"/>
      <c r="CE251" s="80"/>
      <c r="CF251" s="435"/>
      <c r="CG251" s="235">
        <f t="shared" si="766"/>
        <v>0</v>
      </c>
      <c r="CH251" s="235">
        <f t="shared" si="767"/>
        <v>0</v>
      </c>
      <c r="CI251" s="235" t="e">
        <f>BM251-#REF!</f>
        <v>#REF!</v>
      </c>
      <c r="CJ251" s="235">
        <f t="shared" si="768"/>
        <v>0</v>
      </c>
      <c r="CK251" s="235">
        <f t="shared" si="769"/>
        <v>0</v>
      </c>
      <c r="CL251" s="235">
        <f t="shared" si="770"/>
        <v>0</v>
      </c>
      <c r="CM251" s="235">
        <f t="shared" si="771"/>
        <v>0</v>
      </c>
      <c r="CN251" s="235">
        <f t="shared" si="772"/>
        <v>0</v>
      </c>
      <c r="CO251" s="235">
        <f t="shared" si="773"/>
        <v>0</v>
      </c>
      <c r="CP251" s="235">
        <f t="shared" si="774"/>
        <v>0</v>
      </c>
      <c r="CQ251" s="235">
        <f t="shared" si="775"/>
        <v>0</v>
      </c>
      <c r="CR251" s="235">
        <f t="shared" si="776"/>
        <v>0</v>
      </c>
      <c r="CS251" s="235">
        <f t="shared" si="777"/>
        <v>0</v>
      </c>
      <c r="CT251" s="235">
        <f t="shared" si="778"/>
        <v>0</v>
      </c>
      <c r="CU251" s="235">
        <f t="shared" si="779"/>
        <v>0</v>
      </c>
      <c r="CV251" s="235">
        <f t="shared" si="780"/>
        <v>0</v>
      </c>
      <c r="CW251" s="235">
        <f t="shared" si="781"/>
        <v>0</v>
      </c>
      <c r="CX251" s="235">
        <f t="shared" si="782"/>
        <v>0</v>
      </c>
      <c r="CY251" s="235">
        <f t="shared" si="783"/>
        <v>0</v>
      </c>
      <c r="CZ251" s="235">
        <f t="shared" si="784"/>
        <v>0</v>
      </c>
      <c r="DA251" s="38"/>
      <c r="DB251" s="236"/>
      <c r="DC251" s="236"/>
      <c r="DD251" s="236"/>
      <c r="DE251" s="236">
        <v>0</v>
      </c>
      <c r="DF251" s="400">
        <v>0</v>
      </c>
      <c r="DG251" s="236"/>
      <c r="DH251" s="492"/>
      <c r="DI251" s="236"/>
      <c r="DJ251" s="236"/>
      <c r="DK251" s="236"/>
      <c r="DL251" s="236"/>
      <c r="DM251" s="236"/>
      <c r="DN251" s="236"/>
      <c r="DO251" s="236"/>
      <c r="DP251" s="236"/>
      <c r="DQ251" s="1084"/>
      <c r="DR251" s="1084"/>
      <c r="DS251" s="1084"/>
      <c r="DT251" s="1084"/>
      <c r="DU251" s="1084"/>
      <c r="DV251" s="1084"/>
      <c r="DW251" s="1084"/>
      <c r="DX251" s="1084"/>
      <c r="DY251" s="1084"/>
      <c r="DZ251" s="1084"/>
      <c r="EA251" s="988"/>
    </row>
    <row r="252" spans="1:131" s="76" customFormat="1">
      <c r="A252" s="19" t="str">
        <f>DataInput!A285</f>
        <v>Interest from government to enerprises</v>
      </c>
      <c r="B252" s="80" t="s">
        <v>1720</v>
      </c>
      <c r="C252" s="51" t="s">
        <v>3328</v>
      </c>
      <c r="D252" s="207"/>
      <c r="E252" s="207"/>
      <c r="F252" s="295">
        <f>mamiabc!F57*Model!$AV252/mamiabc!$AV57</f>
        <v>0</v>
      </c>
      <c r="G252" s="295">
        <f>mamiabc!G57*Model!$AV252/mamiabc!$AV57</f>
        <v>0</v>
      </c>
      <c r="H252" s="295">
        <f>mamiabc!H57*Model!$AV252/mamiabc!$AV57</f>
        <v>0</v>
      </c>
      <c r="I252" s="295">
        <f>mamiabc!I57*Model!$AV252/mamiabc!$AV57</f>
        <v>0</v>
      </c>
      <c r="J252" s="295">
        <f>mamiabc!J57*Model!$AV252/mamiabc!$AV57</f>
        <v>0</v>
      </c>
      <c r="K252" s="295">
        <f>mamiabc!K57*Model!$AV252/mamiabc!$AV57</f>
        <v>0</v>
      </c>
      <c r="L252" s="295">
        <f>mamiabc!L57*Model!$AV252/mamiabc!$AV57</f>
        <v>6.1083541026013853E-6</v>
      </c>
      <c r="M252" s="295">
        <f>mamiabc!M57*Model!$AV252/mamiabc!$AV57</f>
        <v>6.1083541026013853E-6</v>
      </c>
      <c r="N252" s="295">
        <f>mamiabc!N57*Model!$AV252/mamiabc!$AV57</f>
        <v>6.1083541026013853E-6</v>
      </c>
      <c r="O252" s="295">
        <f>mamiabc!O57*Model!$AV252/mamiabc!$AV57</f>
        <v>6.1083541026013853E-6</v>
      </c>
      <c r="P252" s="295">
        <f>mamiabc!P57*Model!$AV252/mamiabc!$AV57</f>
        <v>6.1083541026013853E-6</v>
      </c>
      <c r="Q252" s="295">
        <f>mamiabc!Q57*Model!$AV252/mamiabc!$AV57</f>
        <v>1.4293548226898814E-5</v>
      </c>
      <c r="R252" s="295">
        <f>mamiabc!R57*Model!$AV252/mamiabc!$AV57</f>
        <v>1.9058064909342203E-5</v>
      </c>
      <c r="S252" s="295">
        <f>mamiabc!S57*Model!$AV252/mamiabc!$AV57</f>
        <v>1.4293548226898814E-5</v>
      </c>
      <c r="T252" s="295">
        <f>mamiabc!T57*Model!$AV252/mamiabc!$AV57</f>
        <v>5.9556453069248301E-5</v>
      </c>
      <c r="U252" s="295">
        <f>mamiabc!U57*Model!$AV252/mamiabc!$AV57</f>
        <v>4.5262903021918134E-5</v>
      </c>
      <c r="V252" s="295">
        <f>mamiabc!V57*Model!$AV252/mamiabc!$AV57</f>
        <v>1.1673064597684355E-4</v>
      </c>
      <c r="W252" s="295">
        <f>mamiabc!W57*Model!$AV252/mamiabc!$AV57</f>
        <v>1.191129061384966E-4</v>
      </c>
      <c r="X252" s="295">
        <f>mamiabc!X57*Model!$AV252/mamiabc!$AV57</f>
        <v>3.6650125525823991E-5</v>
      </c>
      <c r="Y252" s="295">
        <f>mamiabc!Y57*Model!$AV252/mamiabc!$AV57</f>
        <v>4.2758477352886182E-5</v>
      </c>
      <c r="Z252" s="295">
        <f>mamiabc!Z57*Model!$AV252/mamiabc!$AV57</f>
        <v>4.2758477352886182E-5</v>
      </c>
      <c r="AA252" s="295">
        <f>mamiabc!AA57*Model!$AV252/mamiabc!$AV57</f>
        <v>3.054177005789909E-5</v>
      </c>
      <c r="AB252" s="295">
        <f>mamiabc!AB57*Model!$AV252/mamiabc!$AV57</f>
        <v>6.1083540115798181E-5</v>
      </c>
      <c r="AC252" s="295">
        <f>mamiabc!AC57*Model!$AV252/mamiabc!$AV57</f>
        <v>6.7191895583723068E-5</v>
      </c>
      <c r="AD252" s="295">
        <f>mamiabc!AD57*Model!$AV252/mamiabc!$AV57</f>
        <v>5.497518464787328E-5</v>
      </c>
      <c r="AE252" s="295">
        <f>mamiabc!AE57*Model!$AV252/mamiabc!$AV57</f>
        <v>5.497518464787328E-5</v>
      </c>
      <c r="AF252" s="295">
        <f>mamiabc!AF57*Model!$AV252/mamiabc!$AV57</f>
        <v>1.7103390941154473E-4</v>
      </c>
      <c r="AG252" s="295">
        <f>mamiabc!AG57*Model!$AV252/mamiabc!$AV57</f>
        <v>3.8482631438028922E-4</v>
      </c>
      <c r="AH252" s="295">
        <f>mamiabc!AH57*Model!$AV252/mamiabc!$AV57</f>
        <v>2.9930935239279142E-4</v>
      </c>
      <c r="AI252" s="295">
        <f>mamiabc!AI57*Model!$AV252/mamiabc!$AV57</f>
        <v>8.551695616211744E-4</v>
      </c>
      <c r="AJ252" s="295">
        <f>mamiabc!AJ57*Model!$AV252/mamiabc!$AV57</f>
        <v>1.404921422663358E-3</v>
      </c>
      <c r="AK252" s="295">
        <f>mamiabc!AK57*Model!$AV252/mamiabc!$AV57</f>
        <v>2.4189080953795224E-3</v>
      </c>
      <c r="AL252" s="295">
        <f>mamiabc!AL57*Model!$AV252/mamiabc!$AV57</f>
        <v>3.5672788359686985E-3</v>
      </c>
      <c r="AM252" s="295">
        <f>mamiabc!AM57*Model!$AV252/mamiabc!$AV57</f>
        <v>5.1310173697270475E-3</v>
      </c>
      <c r="AN252" s="295">
        <f>mamiabc!AN57*Model!$AV252/mamiabc!$AV57</f>
        <v>6.4748552522746064E-3</v>
      </c>
      <c r="AO252" s="295">
        <f>mamiabc!AO57*Model!$AV252/mamiabc!$AV57</f>
        <v>8.0019437551695615E-3</v>
      </c>
      <c r="AP252" s="295">
        <f>mamiabc!AP57*Model!$AV252/mamiabc!$AV57</f>
        <v>7.9573530318620671E-3</v>
      </c>
      <c r="AQ252" s="295">
        <f>mamiabc!AQ57*Model!$AV252/mamiabc!$AV57</f>
        <v>9.8889978880523349E-3</v>
      </c>
      <c r="AR252" s="295">
        <f>mamiabc!AR57*Model!$AV252/mamiabc!$AV57</f>
        <v>1.1243921702395202E-2</v>
      </c>
      <c r="AS252" s="295">
        <f>mamiabc!AS57*Model!$AV252/mamiabc!$AV57</f>
        <v>1.3377295285359801E-2</v>
      </c>
      <c r="AT252" s="295">
        <f>mamiabc!AT57*Model!$AV252/mamiabc!$AV57</f>
        <v>8.0569189412737788E-2</v>
      </c>
      <c r="AU252" s="295">
        <f>mamiabc!AU57*Model!$AV252/mamiabc!$AV57</f>
        <v>0.1202124069478908</v>
      </c>
      <c r="AV252" s="74">
        <f>DataInput!AV338</f>
        <v>0.1477</v>
      </c>
      <c r="AW252" s="74">
        <f>DataInput!AW338</f>
        <v>0.1351</v>
      </c>
      <c r="AX252" s="74">
        <f>DataInput!AX338</f>
        <v>0.12429999999999999</v>
      </c>
      <c r="AY252" s="74">
        <f>DataInput!AY338</f>
        <v>1.9</v>
      </c>
      <c r="AZ252" s="74">
        <f>DataInput!AZ338</f>
        <v>1.2</v>
      </c>
      <c r="BA252" s="75">
        <f>DataInput!BA285/1000</f>
        <v>33.084108999999998</v>
      </c>
      <c r="BB252" s="75">
        <f>DataInput!BB285/1000</f>
        <v>59.691717999999995</v>
      </c>
      <c r="BC252" s="75">
        <f>DataInput!BC285/1000</f>
        <v>65.984521000000001</v>
      </c>
      <c r="BD252" s="74">
        <f>DataInput!BD285</f>
        <v>68.199097999999992</v>
      </c>
      <c r="BE252" s="74">
        <f>DataInput!BE285</f>
        <v>94.246509360000005</v>
      </c>
      <c r="BF252" s="74">
        <f>DataInput!BF285</f>
        <v>108.4</v>
      </c>
      <c r="BG252" s="74">
        <f>DataInput!BG285</f>
        <v>97.2</v>
      </c>
      <c r="BH252" s="74">
        <f>DataInput!BH285</f>
        <v>61.6</v>
      </c>
      <c r="BI252" s="74">
        <f>DataInput!BI285</f>
        <v>133.30000000000001</v>
      </c>
      <c r="BJ252" s="74">
        <f>DataInput!BJ285</f>
        <v>103.6</v>
      </c>
      <c r="BK252" s="74">
        <f>DataInput!BK285</f>
        <v>139.80000000000001</v>
      </c>
      <c r="BL252" s="74">
        <f>DataInput!BL285</f>
        <v>140.6</v>
      </c>
      <c r="BM252" s="74">
        <f>DataInput!BM285</f>
        <v>232.2</v>
      </c>
      <c r="BN252" s="74">
        <f>DataInput!BN285</f>
        <v>158.4</v>
      </c>
      <c r="BO252" s="74">
        <f>DataInput!BO285</f>
        <v>280.8</v>
      </c>
      <c r="BP252" s="102">
        <f>BO252*(BO277*BP364/100)/(BN277*BO364/100)+SIM!X70+finsim!BO216</f>
        <v>489.71801634472513</v>
      </c>
      <c r="BQ252" s="102">
        <f ca="1">BP252*(BP277*BQ364/100)/(BO277*BP364/100)+SIM!Y70+finsim!BP216</f>
        <v>665.61861008501046</v>
      </c>
      <c r="BR252" s="102">
        <f ca="1">BQ252*(BQ277*BR364/100)/(BP277*BQ364/100)+SIM!Z70+finsim!BQ216</f>
        <v>876.07658679541123</v>
      </c>
      <c r="BS252" s="102">
        <f ca="1">BR252*(BR277*BS364/100)/(BQ277*BR364/100)+SIM!AA70+finsim!BR216</f>
        <v>1108.0792365022844</v>
      </c>
      <c r="BT252" s="102">
        <f ca="1">BS252*(BS277*BT364/100)/(BR277*BS364/100)+SIM!AB70+finsim!BS216</f>
        <v>1383.1609882088374</v>
      </c>
      <c r="BU252" s="102">
        <f ca="1">BT252*(BT277*BU364/100)/(BS277*BT364/100)+SIM!AC70+finsim!BT216</f>
        <v>1720.6653083665958</v>
      </c>
      <c r="BV252" s="102">
        <f ca="1">BU252*(BU277*BV364/100)/(BT277*BU364/100)+SIM!AD70+finsim!BU216</f>
        <v>2118.4502711658492</v>
      </c>
      <c r="BW252" s="102">
        <f ca="1">BV252*(BV277*BW364/100)/(BU277*BV364/100)+SIM!AE70+finsim!BV216</f>
        <v>2586.1863256690963</v>
      </c>
      <c r="BX252" s="102">
        <f ca="1">BW252*(BW277*BX364/100)/(BV277*BW364/100)+SIM!AF70+finsim!BW216</f>
        <v>3132.2359443764958</v>
      </c>
      <c r="BY252" s="102">
        <f ca="1">BX252*(BX277*BY364/100)/(BW277*BX364/100)+SIM!AG70+finsim!BX216</f>
        <v>3766.5227069825505</v>
      </c>
      <c r="BZ252" s="102">
        <f ca="1">BY252*(BY277*BZ364/100)/(BX277*BY364/100)+SIM!AH70+finsim!BY216</f>
        <v>4501.3096034939454</v>
      </c>
      <c r="CA252" s="102">
        <f ca="1">BZ252*(BZ277*CA364/100)/(BY277*BZ364/100)+SIM!AI70+finsim!BZ216</f>
        <v>5345.6585054730394</v>
      </c>
      <c r="CB252" s="102">
        <f ca="1">CA252*(CA277*CB364/100)/(BZ277*CA364/100)+SIM!AJ70+finsim!CA216</f>
        <v>6312.6743157267701</v>
      </c>
      <c r="CC252" s="102">
        <f ca="1">CB252*(CB277*CC364/100)/(CA277*CB364/100)+SIM!AK70+finsim!CB216</f>
        <v>7415.5534695710194</v>
      </c>
      <c r="CD252" s="102">
        <f ca="1">CC252*(CC277*CD364/100)/(CB277*CC364/100)+SIM!AL70+finsim!CC216</f>
        <v>8671.474558880911</v>
      </c>
      <c r="CE252" s="102"/>
      <c r="CF252" s="438"/>
      <c r="CG252" s="235">
        <f t="shared" si="766"/>
        <v>0</v>
      </c>
      <c r="CH252" s="235">
        <f t="shared" si="767"/>
        <v>0</v>
      </c>
      <c r="CI252" s="235" t="e">
        <f>BM252-#REF!</f>
        <v>#REF!</v>
      </c>
      <c r="CJ252" s="235">
        <f t="shared" si="768"/>
        <v>0</v>
      </c>
      <c r="CK252" s="235">
        <f t="shared" si="769"/>
        <v>0</v>
      </c>
      <c r="CL252" s="235">
        <f t="shared" si="770"/>
        <v>0</v>
      </c>
      <c r="CM252" s="235">
        <f t="shared" ca="1" si="771"/>
        <v>0</v>
      </c>
      <c r="CN252" s="235">
        <f t="shared" ca="1" si="772"/>
        <v>0</v>
      </c>
      <c r="CO252" s="235">
        <f t="shared" ca="1" si="773"/>
        <v>0</v>
      </c>
      <c r="CP252" s="235">
        <f t="shared" ca="1" si="774"/>
        <v>0</v>
      </c>
      <c r="CQ252" s="235">
        <f t="shared" ca="1" si="775"/>
        <v>0</v>
      </c>
      <c r="CR252" s="235">
        <f t="shared" ca="1" si="776"/>
        <v>0</v>
      </c>
      <c r="CS252" s="235">
        <f t="shared" ca="1" si="777"/>
        <v>0</v>
      </c>
      <c r="CT252" s="235">
        <f t="shared" ca="1" si="778"/>
        <v>0</v>
      </c>
      <c r="CU252" s="235">
        <f t="shared" ca="1" si="779"/>
        <v>0</v>
      </c>
      <c r="CV252" s="235">
        <f t="shared" ca="1" si="780"/>
        <v>0</v>
      </c>
      <c r="CW252" s="235">
        <f t="shared" ca="1" si="781"/>
        <v>0</v>
      </c>
      <c r="CX252" s="235">
        <f t="shared" ca="1" si="782"/>
        <v>0</v>
      </c>
      <c r="CY252" s="235">
        <f t="shared" ca="1" si="783"/>
        <v>-8.1854523159563541E-12</v>
      </c>
      <c r="CZ252" s="235">
        <f t="shared" ca="1" si="784"/>
        <v>-6.9121597334742546E-11</v>
      </c>
      <c r="DA252" s="38"/>
      <c r="DB252" s="236">
        <v>100.715543</v>
      </c>
      <c r="DC252" s="236">
        <v>101.715543</v>
      </c>
      <c r="DD252" s="236">
        <v>94.501230000000007</v>
      </c>
      <c r="DE252" s="236">
        <v>61.640618000000003</v>
      </c>
      <c r="DF252" s="401">
        <v>201.37370799999999</v>
      </c>
      <c r="DG252" s="236">
        <v>139.80000000000001</v>
      </c>
      <c r="DH252" s="492">
        <v>140.6</v>
      </c>
      <c r="DI252" s="236">
        <v>158.4</v>
      </c>
      <c r="DJ252" s="236">
        <v>280.8</v>
      </c>
      <c r="DK252" s="236">
        <v>489.71801634472513</v>
      </c>
      <c r="DL252" s="236">
        <v>665.61861008501069</v>
      </c>
      <c r="DM252" s="236">
        <v>876.07658679541123</v>
      </c>
      <c r="DN252" s="236">
        <v>1108.0792365022846</v>
      </c>
      <c r="DO252" s="236">
        <v>1383.1609882088376</v>
      </c>
      <c r="DP252" s="236">
        <v>1720.665308366596</v>
      </c>
      <c r="DQ252" s="401">
        <v>2118.4502711658492</v>
      </c>
      <c r="DR252" s="401">
        <v>2586.1863256690972</v>
      </c>
      <c r="DS252" s="401">
        <v>3132.2359443764963</v>
      </c>
      <c r="DT252" s="401">
        <v>3766.522706982551</v>
      </c>
      <c r="DU252" s="401">
        <v>4501.3096034939454</v>
      </c>
      <c r="DV252" s="401">
        <v>5345.6585054730413</v>
      </c>
      <c r="DW252" s="401">
        <v>6312.6743157267729</v>
      </c>
      <c r="DX252" s="401">
        <v>7415.5534695710276</v>
      </c>
      <c r="DY252" s="401">
        <v>8671.4745588809801</v>
      </c>
      <c r="DZ252" s="401"/>
      <c r="EA252" s="989"/>
    </row>
    <row r="253" spans="1:131">
      <c r="B253" s="3" t="s">
        <v>2219</v>
      </c>
      <c r="BF253" s="15" t="s">
        <v>2219</v>
      </c>
      <c r="BH253" s="331">
        <f>110-BH257</f>
        <v>-133.58499699999999</v>
      </c>
      <c r="BI253" s="331"/>
      <c r="BJ253" s="497"/>
      <c r="CF253" s="435"/>
      <c r="CG253" s="235">
        <f t="shared" si="766"/>
        <v>0</v>
      </c>
      <c r="CH253" s="235">
        <f t="shared" si="767"/>
        <v>0</v>
      </c>
      <c r="CI253" s="235" t="e">
        <f>BM253-#REF!</f>
        <v>#REF!</v>
      </c>
      <c r="CJ253" s="235">
        <f t="shared" si="768"/>
        <v>0</v>
      </c>
      <c r="CK253" s="235">
        <f t="shared" si="769"/>
        <v>0</v>
      </c>
      <c r="CL253" s="235">
        <f t="shared" si="770"/>
        <v>0</v>
      </c>
      <c r="CM253" s="235">
        <f t="shared" si="771"/>
        <v>0</v>
      </c>
      <c r="CN253" s="235">
        <f t="shared" si="772"/>
        <v>0</v>
      </c>
      <c r="CO253" s="235">
        <f t="shared" si="773"/>
        <v>0</v>
      </c>
      <c r="CP253" s="235">
        <f t="shared" si="774"/>
        <v>0</v>
      </c>
      <c r="CQ253" s="235">
        <f t="shared" si="775"/>
        <v>0</v>
      </c>
      <c r="CR253" s="235">
        <f t="shared" si="776"/>
        <v>0</v>
      </c>
      <c r="CS253" s="235">
        <f t="shared" si="777"/>
        <v>0</v>
      </c>
      <c r="CT253" s="235">
        <f t="shared" si="778"/>
        <v>0</v>
      </c>
      <c r="CU253" s="235">
        <f t="shared" si="779"/>
        <v>0</v>
      </c>
      <c r="CV253" s="235">
        <f t="shared" si="780"/>
        <v>0</v>
      </c>
      <c r="CW253" s="235">
        <f t="shared" si="781"/>
        <v>0</v>
      </c>
      <c r="CX253" s="235">
        <f t="shared" si="782"/>
        <v>0</v>
      </c>
      <c r="CY253" s="235">
        <f t="shared" si="783"/>
        <v>0</v>
      </c>
      <c r="CZ253" s="235">
        <f t="shared" si="784"/>
        <v>0</v>
      </c>
      <c r="DB253" s="236" t="s">
        <v>2219</v>
      </c>
      <c r="DC253" s="236" t="s">
        <v>2219</v>
      </c>
      <c r="DE253" s="236">
        <v>-133.58499699999999</v>
      </c>
      <c r="DF253" s="400"/>
    </row>
    <row r="254" spans="1:131" s="19" customFormat="1">
      <c r="A254" s="153" t="s">
        <v>3920</v>
      </c>
      <c r="B254" s="133" t="s">
        <v>3494</v>
      </c>
      <c r="D254" s="206"/>
      <c r="E254" s="206"/>
      <c r="F254" s="206"/>
      <c r="G254" s="206"/>
      <c r="H254" s="206"/>
      <c r="I254" s="206"/>
      <c r="J254" s="206"/>
      <c r="K254" s="206"/>
      <c r="L254" s="206"/>
      <c r="M254" s="206"/>
      <c r="N254" s="206"/>
      <c r="O254" s="206"/>
      <c r="P254" s="206"/>
      <c r="Q254" s="206"/>
      <c r="R254" s="206"/>
      <c r="S254" s="206"/>
      <c r="T254" s="206"/>
      <c r="U254" s="206"/>
      <c r="V254" s="206"/>
      <c r="W254" s="206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/>
      <c r="AH254" s="206"/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63"/>
      <c r="AV254" s="76"/>
      <c r="AW254" s="76"/>
      <c r="AX254" s="76"/>
      <c r="AY254" s="76"/>
      <c r="AZ254" s="76"/>
      <c r="BA254" s="80"/>
      <c r="BB254" s="80"/>
      <c r="BC254" s="80"/>
      <c r="BD254" s="80"/>
      <c r="BE254" s="80"/>
      <c r="BF254" s="80"/>
      <c r="BG254" s="34"/>
      <c r="BH254" s="332">
        <f>DataInput!BH290-Model!BH258</f>
        <v>0</v>
      </c>
      <c r="BI254" s="257"/>
      <c r="BJ254" s="495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80"/>
      <c r="CB254" s="80"/>
      <c r="CC254" s="80"/>
      <c r="CD254" s="80"/>
      <c r="CE254" s="80"/>
      <c r="CF254" s="435"/>
      <c r="CG254" s="235">
        <f t="shared" si="766"/>
        <v>0</v>
      </c>
      <c r="CH254" s="235">
        <f t="shared" si="767"/>
        <v>0</v>
      </c>
      <c r="CI254" s="235" t="e">
        <f>BM254-#REF!</f>
        <v>#REF!</v>
      </c>
      <c r="CJ254" s="235">
        <f t="shared" si="768"/>
        <v>0</v>
      </c>
      <c r="CK254" s="235">
        <f t="shared" si="769"/>
        <v>0</v>
      </c>
      <c r="CL254" s="235">
        <f t="shared" si="770"/>
        <v>0</v>
      </c>
      <c r="CM254" s="235">
        <f t="shared" si="771"/>
        <v>0</v>
      </c>
      <c r="CN254" s="235">
        <f t="shared" si="772"/>
        <v>0</v>
      </c>
      <c r="CO254" s="235">
        <f t="shared" si="773"/>
        <v>0</v>
      </c>
      <c r="CP254" s="235">
        <f t="shared" si="774"/>
        <v>0</v>
      </c>
      <c r="CQ254" s="235">
        <f t="shared" si="775"/>
        <v>0</v>
      </c>
      <c r="CR254" s="235">
        <f t="shared" si="776"/>
        <v>0</v>
      </c>
      <c r="CS254" s="235">
        <f t="shared" si="777"/>
        <v>0</v>
      </c>
      <c r="CT254" s="235">
        <f t="shared" si="778"/>
        <v>0</v>
      </c>
      <c r="CU254" s="235">
        <f t="shared" si="779"/>
        <v>0</v>
      </c>
      <c r="CV254" s="235">
        <f t="shared" si="780"/>
        <v>0</v>
      </c>
      <c r="CW254" s="235">
        <f t="shared" si="781"/>
        <v>0</v>
      </c>
      <c r="CX254" s="235">
        <f t="shared" si="782"/>
        <v>0</v>
      </c>
      <c r="CY254" s="235">
        <f t="shared" si="783"/>
        <v>0</v>
      </c>
      <c r="CZ254" s="235">
        <f t="shared" si="784"/>
        <v>0</v>
      </c>
      <c r="DA254" s="38"/>
      <c r="DB254" s="236"/>
      <c r="DC254" s="236"/>
      <c r="DD254" s="236"/>
      <c r="DE254" s="236">
        <v>0</v>
      </c>
      <c r="DF254" s="400"/>
      <c r="DG254" s="236"/>
      <c r="DH254" s="492"/>
      <c r="DI254" s="236"/>
      <c r="DJ254" s="236"/>
      <c r="DK254" s="236"/>
      <c r="DL254" s="236"/>
      <c r="DM254" s="236"/>
      <c r="DN254" s="236"/>
      <c r="DO254" s="236"/>
      <c r="DP254" s="236"/>
      <c r="DQ254" s="1084"/>
      <c r="DR254" s="1084"/>
      <c r="DS254" s="1084"/>
      <c r="DT254" s="1084"/>
      <c r="DU254" s="1084"/>
      <c r="DV254" s="1084"/>
      <c r="DW254" s="1084"/>
      <c r="DX254" s="1084"/>
      <c r="DY254" s="1084"/>
      <c r="DZ254" s="1084"/>
      <c r="EA254" s="988"/>
    </row>
    <row r="255" spans="1:131" s="76" customFormat="1">
      <c r="A255" s="76" t="s">
        <v>3886</v>
      </c>
      <c r="B255" s="80" t="s">
        <v>2050</v>
      </c>
      <c r="C255" s="51" t="s">
        <v>2584</v>
      </c>
      <c r="D255" s="207"/>
      <c r="E255" s="207"/>
      <c r="F255" s="295">
        <f>mamiabc!F55</f>
        <v>0</v>
      </c>
      <c r="G255" s="295">
        <f>mamiabc!G55</f>
        <v>0</v>
      </c>
      <c r="H255" s="295">
        <f>mamiabc!H55</f>
        <v>0</v>
      </c>
      <c r="I255" s="295">
        <f>mamiabc!I55</f>
        <v>0</v>
      </c>
      <c r="J255" s="295">
        <f>mamiabc!J55</f>
        <v>0</v>
      </c>
      <c r="K255" s="295">
        <f>mamiabc!K55</f>
        <v>0</v>
      </c>
      <c r="L255" s="295">
        <f>mamiabc!L55</f>
        <v>0</v>
      </c>
      <c r="M255" s="295">
        <f>mamiabc!M55</f>
        <v>0</v>
      </c>
      <c r="N255" s="295">
        <f>mamiabc!N55</f>
        <v>0</v>
      </c>
      <c r="O255" s="295">
        <f>mamiabc!O55</f>
        <v>0</v>
      </c>
      <c r="P255" s="295">
        <f>mamiabc!P55</f>
        <v>0</v>
      </c>
      <c r="Q255" s="295">
        <f>mamiabc!Q55</f>
        <v>0</v>
      </c>
      <c r="R255" s="295">
        <f>mamiabc!R55</f>
        <v>0</v>
      </c>
      <c r="S255" s="295">
        <f>mamiabc!S55</f>
        <v>0</v>
      </c>
      <c r="T255" s="295">
        <f>mamiabc!T55</f>
        <v>0</v>
      </c>
      <c r="U255" s="295">
        <f>mamiabc!U55</f>
        <v>0</v>
      </c>
      <c r="V255" s="295">
        <f>mamiabc!V55</f>
        <v>0</v>
      </c>
      <c r="W255" s="295">
        <f>mamiabc!W55</f>
        <v>0</v>
      </c>
      <c r="X255" s="295">
        <f>mamiabc!X55</f>
        <v>0</v>
      </c>
      <c r="Y255" s="295">
        <f>mamiabc!Y55</f>
        <v>0</v>
      </c>
      <c r="Z255" s="295">
        <f>mamiabc!Z55</f>
        <v>0</v>
      </c>
      <c r="AA255" s="295">
        <f>mamiabc!AA55</f>
        <v>0</v>
      </c>
      <c r="AB255" s="295">
        <f>mamiabc!AB55</f>
        <v>0</v>
      </c>
      <c r="AC255" s="295">
        <f>mamiabc!AC55</f>
        <v>0</v>
      </c>
      <c r="AD255" s="295">
        <f>mamiabc!AD55</f>
        <v>0</v>
      </c>
      <c r="AE255" s="295">
        <f>mamiabc!AE55</f>
        <v>0</v>
      </c>
      <c r="AF255" s="295">
        <f>mamiabc!AF55</f>
        <v>0</v>
      </c>
      <c r="AG255" s="295">
        <f>mamiabc!AG55</f>
        <v>0</v>
      </c>
      <c r="AH255" s="295">
        <f>mamiabc!AH55</f>
        <v>0</v>
      </c>
      <c r="AI255" s="295">
        <f>mamiabc!AI55</f>
        <v>0</v>
      </c>
      <c r="AJ255" s="295">
        <f>mamiabc!AJ55</f>
        <v>0</v>
      </c>
      <c r="AK255" s="295">
        <f>mamiabc!AK55</f>
        <v>0</v>
      </c>
      <c r="AL255" s="295">
        <f>mamiabc!AL55</f>
        <v>0</v>
      </c>
      <c r="AM255" s="295">
        <f>mamiabc!AM55</f>
        <v>0</v>
      </c>
      <c r="AN255" s="295">
        <f>mamiabc!AN55</f>
        <v>0</v>
      </c>
      <c r="AO255" s="295">
        <f>mamiabc!AO55</f>
        <v>0</v>
      </c>
      <c r="AP255" s="295">
        <f>mamiabc!AP55</f>
        <v>0</v>
      </c>
      <c r="AQ255" s="295">
        <f>mamiabc!AQ55</f>
        <v>0</v>
      </c>
      <c r="AR255" s="295">
        <f>mamiabc!AR55</f>
        <v>0</v>
      </c>
      <c r="AS255" s="295">
        <f>mamiabc!AS55</f>
        <v>0</v>
      </c>
      <c r="AT255" s="295">
        <f>mamiabc!AT55</f>
        <v>0</v>
      </c>
      <c r="AU255" s="295">
        <f>mamiabc!AU55</f>
        <v>0</v>
      </c>
      <c r="AV255" s="74">
        <f>DataInput!AV252</f>
        <v>0</v>
      </c>
      <c r="AW255" s="86">
        <f t="shared" ref="AW255:BI255" si="795">AV255</f>
        <v>0</v>
      </c>
      <c r="AX255" s="86">
        <f t="shared" si="795"/>
        <v>0</v>
      </c>
      <c r="AY255" s="86">
        <f t="shared" si="795"/>
        <v>0</v>
      </c>
      <c r="AZ255" s="86">
        <f t="shared" si="795"/>
        <v>0</v>
      </c>
      <c r="BA255" s="94">
        <f t="shared" si="795"/>
        <v>0</v>
      </c>
      <c r="BB255" s="94">
        <f t="shared" si="795"/>
        <v>0</v>
      </c>
      <c r="BC255" s="94">
        <f t="shared" si="795"/>
        <v>0</v>
      </c>
      <c r="BD255" s="94">
        <f t="shared" si="795"/>
        <v>0</v>
      </c>
      <c r="BE255" s="94">
        <f t="shared" si="795"/>
        <v>0</v>
      </c>
      <c r="BF255" s="94">
        <f t="shared" si="795"/>
        <v>0</v>
      </c>
      <c r="BG255" s="94">
        <f t="shared" si="795"/>
        <v>0</v>
      </c>
      <c r="BH255" s="94">
        <f t="shared" si="795"/>
        <v>0</v>
      </c>
      <c r="BI255" s="94">
        <f t="shared" si="795"/>
        <v>0</v>
      </c>
      <c r="BJ255" s="94">
        <f>BI255</f>
        <v>0</v>
      </c>
      <c r="BK255" s="94">
        <f>BJ255+finsim!BJ219</f>
        <v>0</v>
      </c>
      <c r="BL255" s="94">
        <f>BK255+finsim!BK219</f>
        <v>0</v>
      </c>
      <c r="BM255" s="94">
        <f>BL255+finsim!BL219</f>
        <v>0</v>
      </c>
      <c r="BN255" s="94">
        <f>BM255+finsim!BM219</f>
        <v>0</v>
      </c>
      <c r="BO255" s="94">
        <f>BN255+finsim!BN219</f>
        <v>0</v>
      </c>
      <c r="BP255" s="94">
        <f>BO255+finsim!BO219</f>
        <v>0</v>
      </c>
      <c r="BQ255" s="94">
        <f>BP255+finsim!BP219</f>
        <v>0</v>
      </c>
      <c r="BR255" s="94">
        <f>BQ255+finsim!BQ219</f>
        <v>0</v>
      </c>
      <c r="BS255" s="94">
        <f>BR255+finsim!BR219</f>
        <v>0</v>
      </c>
      <c r="BT255" s="94">
        <f>BS255+finsim!BS219</f>
        <v>0</v>
      </c>
      <c r="BU255" s="94">
        <f>BT255+finsim!BT219</f>
        <v>0</v>
      </c>
      <c r="BV255" s="94">
        <f>BU255+finsim!BU219</f>
        <v>0</v>
      </c>
      <c r="BW255" s="94">
        <f>BV255+finsim!BV219</f>
        <v>0</v>
      </c>
      <c r="BX255" s="94">
        <f>BW255+finsim!BW219</f>
        <v>0</v>
      </c>
      <c r="BY255" s="94">
        <f>BX255+finsim!BX219</f>
        <v>0</v>
      </c>
      <c r="BZ255" s="94">
        <f>BY255+finsim!BY219</f>
        <v>0</v>
      </c>
      <c r="CA255" s="94">
        <f>BZ255+finsim!BZ219</f>
        <v>0</v>
      </c>
      <c r="CB255" s="94">
        <f>CA255+finsim!CA219</f>
        <v>0</v>
      </c>
      <c r="CC255" s="94">
        <f>CB255+finsim!CB219</f>
        <v>0</v>
      </c>
      <c r="CD255" s="94">
        <f>CC255+finsim!CC219</f>
        <v>0</v>
      </c>
      <c r="CE255" s="94"/>
      <c r="CF255" s="438"/>
      <c r="CG255" s="235">
        <f t="shared" si="766"/>
        <v>0</v>
      </c>
      <c r="CH255" s="235">
        <f t="shared" si="767"/>
        <v>0</v>
      </c>
      <c r="CI255" s="235" t="e">
        <f>BM255-#REF!</f>
        <v>#REF!</v>
      </c>
      <c r="CJ255" s="235">
        <f t="shared" si="768"/>
        <v>0</v>
      </c>
      <c r="CK255" s="235">
        <f t="shared" si="769"/>
        <v>0</v>
      </c>
      <c r="CL255" s="235">
        <f t="shared" si="770"/>
        <v>0</v>
      </c>
      <c r="CM255" s="235">
        <f t="shared" si="771"/>
        <v>0</v>
      </c>
      <c r="CN255" s="235">
        <f t="shared" si="772"/>
        <v>0</v>
      </c>
      <c r="CO255" s="235">
        <f t="shared" si="773"/>
        <v>0</v>
      </c>
      <c r="CP255" s="235">
        <f t="shared" si="774"/>
        <v>0</v>
      </c>
      <c r="CQ255" s="235">
        <f t="shared" si="775"/>
        <v>0</v>
      </c>
      <c r="CR255" s="235">
        <f t="shared" si="776"/>
        <v>0</v>
      </c>
      <c r="CS255" s="235">
        <f t="shared" si="777"/>
        <v>0</v>
      </c>
      <c r="CT255" s="235">
        <f t="shared" si="778"/>
        <v>0</v>
      </c>
      <c r="CU255" s="235">
        <f t="shared" si="779"/>
        <v>0</v>
      </c>
      <c r="CV255" s="235">
        <f t="shared" si="780"/>
        <v>0</v>
      </c>
      <c r="CW255" s="235">
        <f t="shared" si="781"/>
        <v>0</v>
      </c>
      <c r="CX255" s="235">
        <f t="shared" si="782"/>
        <v>0</v>
      </c>
      <c r="CY255" s="235">
        <f t="shared" si="783"/>
        <v>0</v>
      </c>
      <c r="CZ255" s="235">
        <f t="shared" si="784"/>
        <v>0</v>
      </c>
      <c r="DA255" s="38"/>
      <c r="DB255" s="236">
        <v>-1</v>
      </c>
      <c r="DC255" s="236">
        <v>0</v>
      </c>
      <c r="DD255" s="236">
        <v>0</v>
      </c>
      <c r="DE255" s="236">
        <v>0</v>
      </c>
      <c r="DF255" s="401">
        <v>0</v>
      </c>
      <c r="DG255" s="236">
        <v>0</v>
      </c>
      <c r="DH255" s="492">
        <v>0</v>
      </c>
      <c r="DI255" s="236">
        <v>0</v>
      </c>
      <c r="DJ255" s="236">
        <v>0</v>
      </c>
      <c r="DK255" s="236">
        <v>0</v>
      </c>
      <c r="DL255" s="236">
        <v>0</v>
      </c>
      <c r="DM255" s="236">
        <v>0</v>
      </c>
      <c r="DN255" s="236">
        <v>0</v>
      </c>
      <c r="DO255" s="236">
        <v>0</v>
      </c>
      <c r="DP255" s="236">
        <v>0</v>
      </c>
      <c r="DQ255" s="401">
        <v>0</v>
      </c>
      <c r="DR255" s="401">
        <v>0</v>
      </c>
      <c r="DS255" s="401">
        <v>0</v>
      </c>
      <c r="DT255" s="401">
        <v>0</v>
      </c>
      <c r="DU255" s="401">
        <v>0</v>
      </c>
      <c r="DV255" s="401">
        <v>0</v>
      </c>
      <c r="DW255" s="401">
        <v>0</v>
      </c>
      <c r="DX255" s="401">
        <v>0</v>
      </c>
      <c r="DY255" s="401">
        <v>0</v>
      </c>
      <c r="DZ255" s="401"/>
      <c r="EA255" s="989"/>
    </row>
    <row r="256" spans="1:131" s="76" customFormat="1">
      <c r="A256" s="76" t="str">
        <f>DataInput!A288</f>
        <v>Gros investments of government</v>
      </c>
      <c r="B256" s="80" t="s">
        <v>3433</v>
      </c>
      <c r="C256" s="51" t="s">
        <v>2585</v>
      </c>
      <c r="D256" s="207"/>
      <c r="E256" s="207"/>
      <c r="F256" s="76">
        <f t="shared" ref="F256:AU256" si="796">F257+F258</f>
        <v>9.705875982536354E-4</v>
      </c>
      <c r="G256" s="76">
        <f t="shared" si="796"/>
        <v>9.0588175837005966E-4</v>
      </c>
      <c r="H256" s="76">
        <f t="shared" si="796"/>
        <v>2.1352926853038493E-3</v>
      </c>
      <c r="I256" s="76">
        <f t="shared" si="796"/>
        <v>2.8470570165856279E-3</v>
      </c>
      <c r="J256" s="76">
        <f t="shared" si="796"/>
        <v>3.1382331726451237E-3</v>
      </c>
      <c r="K256" s="76">
        <f t="shared" si="796"/>
        <v>4.3999972354997422E-3</v>
      </c>
      <c r="L256" s="76">
        <f t="shared" si="796"/>
        <v>6.5676425013497432E-3</v>
      </c>
      <c r="M256" s="76">
        <f t="shared" si="796"/>
        <v>5.7588195028050451E-3</v>
      </c>
      <c r="N256" s="76">
        <f t="shared" si="796"/>
        <v>4.8529379912681768E-3</v>
      </c>
      <c r="O256" s="76">
        <f t="shared" si="796"/>
        <v>4.4970557484919158E-3</v>
      </c>
      <c r="P256" s="76">
        <f t="shared" si="796"/>
        <v>4.5294087918502984E-3</v>
      </c>
      <c r="Q256" s="76">
        <f t="shared" si="796"/>
        <v>5.2088202340444395E-3</v>
      </c>
      <c r="R256" s="76">
        <f t="shared" si="796"/>
        <v>7.0529363004765595E-3</v>
      </c>
      <c r="S256" s="76">
        <f t="shared" si="796"/>
        <v>7.9264653857380237E-3</v>
      </c>
      <c r="T256" s="76">
        <f t="shared" si="796"/>
        <v>6.0823487022229243E-3</v>
      </c>
      <c r="U256" s="76">
        <f t="shared" si="796"/>
        <v>7.8617592990212568E-3</v>
      </c>
      <c r="V256" s="76">
        <f t="shared" si="796"/>
        <v>1.0191169781663172E-2</v>
      </c>
      <c r="W256" s="76">
        <f t="shared" si="796"/>
        <v>9.1882291400511538E-3</v>
      </c>
      <c r="X256" s="76">
        <f t="shared" si="796"/>
        <v>1.323234474985761E-2</v>
      </c>
      <c r="Y256" s="76">
        <f t="shared" si="796"/>
        <v>1.3394109349566551E-2</v>
      </c>
      <c r="Z256" s="76">
        <f t="shared" si="796"/>
        <v>1.4008814087960947E-2</v>
      </c>
      <c r="AA256" s="76">
        <f t="shared" si="796"/>
        <v>2.3750279714065771E-2</v>
      </c>
      <c r="AB256" s="76">
        <f t="shared" si="796"/>
        <v>3.8907622213126998E-2</v>
      </c>
      <c r="AC256" s="76">
        <f t="shared" si="796"/>
        <v>4.4553208223968126E-2</v>
      </c>
      <c r="AD256" s="76">
        <f t="shared" si="796"/>
        <v>4.5019086124332267E-2</v>
      </c>
      <c r="AE256" s="76">
        <f t="shared" si="796"/>
        <v>4.3906149825132364E-2</v>
      </c>
      <c r="AF256" s="76">
        <f t="shared" si="796"/>
        <v>4.1570268610402174E-2</v>
      </c>
      <c r="AG256" s="76">
        <f t="shared" si="796"/>
        <v>5.6792313493682314E-2</v>
      </c>
      <c r="AH256" s="76">
        <f t="shared" si="796"/>
        <v>5.9833490930208649E-2</v>
      </c>
      <c r="AI256" s="76">
        <f t="shared" si="796"/>
        <v>3.8645561883132819E-2</v>
      </c>
      <c r="AJ256" s="76">
        <f t="shared" si="796"/>
        <v>2.753233437679508E-2</v>
      </c>
      <c r="AK256" s="76">
        <f t="shared" si="796"/>
        <v>1.8082046757998675E-2</v>
      </c>
      <c r="AL256" s="76">
        <f t="shared" si="796"/>
        <v>1.3212932553592795E-2</v>
      </c>
      <c r="AM256" s="76">
        <f t="shared" si="796"/>
        <v>1.3911755574968774E-2</v>
      </c>
      <c r="AN256" s="76">
        <f t="shared" si="796"/>
        <v>8.7352883842827193E-3</v>
      </c>
      <c r="AO256" s="76">
        <f t="shared" si="796"/>
        <v>2.5882335953430282E-2</v>
      </c>
      <c r="AP256" s="76">
        <f t="shared" si="796"/>
        <v>3.0366450657362071E-2</v>
      </c>
      <c r="AQ256" s="76">
        <f t="shared" si="796"/>
        <v>3.8034092683565793E-2</v>
      </c>
      <c r="AR256" s="76">
        <f t="shared" si="796"/>
        <v>3.7707328192153736E-2</v>
      </c>
      <c r="AS256" s="76">
        <f t="shared" si="796"/>
        <v>0.1292305034154774</v>
      </c>
      <c r="AT256" s="76">
        <f t="shared" si="796"/>
        <v>55.322570828533031</v>
      </c>
      <c r="AU256" s="76">
        <f t="shared" si="796"/>
        <v>27.742172673911899</v>
      </c>
      <c r="AV256" s="76">
        <f t="shared" ref="AV256:BH256" si="797">AV257+AV258</f>
        <v>30.869836225</v>
      </c>
      <c r="AW256" s="76">
        <f t="shared" si="797"/>
        <v>19.556725</v>
      </c>
      <c r="AX256" s="76">
        <f t="shared" si="797"/>
        <v>21.801997999999998</v>
      </c>
      <c r="AY256" s="76">
        <f t="shared" si="797"/>
        <v>50.61905617</v>
      </c>
      <c r="AZ256" s="76">
        <f t="shared" si="797"/>
        <v>84.657189400000007</v>
      </c>
      <c r="BA256" s="76">
        <f t="shared" si="797"/>
        <v>60.467446000000002</v>
      </c>
      <c r="BB256" s="76">
        <f t="shared" si="797"/>
        <v>73.879303999999991</v>
      </c>
      <c r="BC256" s="76">
        <f t="shared" si="797"/>
        <v>89.43517700000001</v>
      </c>
      <c r="BD256" s="76">
        <f t="shared" si="797"/>
        <v>155.37659099999999</v>
      </c>
      <c r="BE256" s="76">
        <f t="shared" si="797"/>
        <v>238.72551458000001</v>
      </c>
      <c r="BF256" s="76">
        <f t="shared" si="797"/>
        <v>305.71251118149996</v>
      </c>
      <c r="BG256" s="76">
        <f t="shared" si="797"/>
        <v>354.95531900000003</v>
      </c>
      <c r="BH256" s="76">
        <f t="shared" si="797"/>
        <v>466.03774599999997</v>
      </c>
      <c r="BI256" s="76">
        <f t="shared" ref="BI256:BN256" si="798">BI257+BI258</f>
        <v>606.4</v>
      </c>
      <c r="BJ256" s="76">
        <f t="shared" si="798"/>
        <v>552.70000000000005</v>
      </c>
      <c r="BK256" s="76">
        <f t="shared" si="798"/>
        <v>696.9</v>
      </c>
      <c r="BL256" s="76">
        <f t="shared" si="798"/>
        <v>729.4</v>
      </c>
      <c r="BM256" s="76">
        <f t="shared" si="798"/>
        <v>756</v>
      </c>
      <c r="BN256" s="76">
        <f t="shared" si="798"/>
        <v>893</v>
      </c>
      <c r="BO256" s="76">
        <f t="shared" ref="BO256:BU256" si="799">BO257+BO258</f>
        <v>436.9</v>
      </c>
      <c r="BP256" s="76">
        <f t="shared" ca="1" si="799"/>
        <v>555.57051174915171</v>
      </c>
      <c r="BQ256" s="76">
        <f t="shared" ca="1" si="799"/>
        <v>607.15187835067104</v>
      </c>
      <c r="BR256" s="76">
        <f t="shared" ca="1" si="799"/>
        <v>643.31872255500548</v>
      </c>
      <c r="BS256" s="76">
        <f t="shared" ca="1" si="799"/>
        <v>673.06972148960313</v>
      </c>
      <c r="BT256" s="76">
        <f t="shared" ca="1" si="799"/>
        <v>711.09850907748557</v>
      </c>
      <c r="BU256" s="76">
        <f t="shared" ca="1" si="799"/>
        <v>751.90052939782265</v>
      </c>
      <c r="BV256" s="76">
        <f ca="1">BV257+BV258</f>
        <v>795.24418986210424</v>
      </c>
      <c r="BW256" s="76">
        <f t="shared" ref="BW256:BX256" ca="1" si="800">BW257+BW258</f>
        <v>839.32271960957223</v>
      </c>
      <c r="BX256" s="76">
        <f t="shared" ca="1" si="800"/>
        <v>885.88522308773736</v>
      </c>
      <c r="BY256" s="76">
        <f t="shared" ref="BY256:CD256" ca="1" si="801">BY257+BY258</f>
        <v>935.05505100865037</v>
      </c>
      <c r="BZ256" s="76">
        <f t="shared" ca="1" si="801"/>
        <v>986.99525061195936</v>
      </c>
      <c r="CA256" s="76">
        <f t="shared" ca="1" si="801"/>
        <v>1041.9523287652376</v>
      </c>
      <c r="CB256" s="76">
        <f t="shared" ca="1" si="801"/>
        <v>1097.9412465425428</v>
      </c>
      <c r="CC256" s="76">
        <f t="shared" ca="1" si="801"/>
        <v>1157.0274289075646</v>
      </c>
      <c r="CD256" s="76">
        <f t="shared" ca="1" si="801"/>
        <v>1219.3910365761903</v>
      </c>
      <c r="CF256" s="435"/>
      <c r="CG256" s="235">
        <f t="shared" si="766"/>
        <v>0</v>
      </c>
      <c r="CH256" s="235">
        <f t="shared" si="767"/>
        <v>0</v>
      </c>
      <c r="CI256" s="235" t="e">
        <f>BM256-#REF!</f>
        <v>#REF!</v>
      </c>
      <c r="CJ256" s="235">
        <f t="shared" si="768"/>
        <v>0</v>
      </c>
      <c r="CK256" s="235">
        <f t="shared" si="769"/>
        <v>0</v>
      </c>
      <c r="CL256" s="235">
        <f t="shared" ca="1" si="770"/>
        <v>0</v>
      </c>
      <c r="CM256" s="235">
        <f t="shared" ca="1" si="771"/>
        <v>0</v>
      </c>
      <c r="CN256" s="235">
        <f t="shared" ca="1" si="772"/>
        <v>0</v>
      </c>
      <c r="CO256" s="235">
        <f t="shared" ca="1" si="773"/>
        <v>0</v>
      </c>
      <c r="CP256" s="235">
        <f t="shared" ca="1" si="774"/>
        <v>0</v>
      </c>
      <c r="CQ256" s="235">
        <f t="shared" ca="1" si="775"/>
        <v>0</v>
      </c>
      <c r="CR256" s="235">
        <f t="shared" ca="1" si="776"/>
        <v>0</v>
      </c>
      <c r="CS256" s="235">
        <f t="shared" ca="1" si="777"/>
        <v>0</v>
      </c>
      <c r="CT256" s="235">
        <f t="shared" ca="1" si="778"/>
        <v>0</v>
      </c>
      <c r="CU256" s="235">
        <f t="shared" ca="1" si="779"/>
        <v>0</v>
      </c>
      <c r="CV256" s="235">
        <f t="shared" ca="1" si="780"/>
        <v>0</v>
      </c>
      <c r="CW256" s="235">
        <f t="shared" ca="1" si="781"/>
        <v>0</v>
      </c>
      <c r="CX256" s="235">
        <f t="shared" ca="1" si="782"/>
        <v>4.5474735088646412E-12</v>
      </c>
      <c r="CY256" s="235">
        <f t="shared" ca="1" si="783"/>
        <v>3.3651303965598345E-11</v>
      </c>
      <c r="CZ256" s="235">
        <f t="shared" ca="1" si="784"/>
        <v>1.8258106138091534E-10</v>
      </c>
      <c r="DA256" s="38"/>
      <c r="DB256" s="236">
        <v>304.71251118150002</v>
      </c>
      <c r="DC256" s="236">
        <v>305.71251118149996</v>
      </c>
      <c r="DD256" s="236">
        <v>568.55808200000001</v>
      </c>
      <c r="DE256" s="236">
        <v>466.03774599999997</v>
      </c>
      <c r="DF256" s="401">
        <v>605.88564300000007</v>
      </c>
      <c r="DG256" s="236">
        <v>696.9</v>
      </c>
      <c r="DH256" s="492">
        <v>729.4</v>
      </c>
      <c r="DI256" s="236">
        <v>893</v>
      </c>
      <c r="DJ256" s="236">
        <v>436.9</v>
      </c>
      <c r="DK256" s="236">
        <v>555.57051174915171</v>
      </c>
      <c r="DL256" s="236">
        <v>607.15187835067104</v>
      </c>
      <c r="DM256" s="236">
        <v>643.31872255500548</v>
      </c>
      <c r="DN256" s="236">
        <v>673.06972148960313</v>
      </c>
      <c r="DO256" s="236">
        <v>711.09850907748557</v>
      </c>
      <c r="DP256" s="236">
        <v>751.90052939782231</v>
      </c>
      <c r="DQ256" s="401">
        <v>795.24418986210389</v>
      </c>
      <c r="DR256" s="401">
        <v>839.32271960957178</v>
      </c>
      <c r="DS256" s="401">
        <v>885.88522308773679</v>
      </c>
      <c r="DT256" s="401">
        <v>935.0550510086498</v>
      </c>
      <c r="DU256" s="401">
        <v>986.99525061195891</v>
      </c>
      <c r="DV256" s="401">
        <v>1041.9523287652369</v>
      </c>
      <c r="DW256" s="401">
        <v>1097.9412465425382</v>
      </c>
      <c r="DX256" s="401">
        <v>1157.027428907531</v>
      </c>
      <c r="DY256" s="401">
        <v>1219.3910365760078</v>
      </c>
      <c r="DZ256" s="401"/>
      <c r="EA256" s="989"/>
    </row>
    <row r="257" spans="1:131" s="76" customFormat="1">
      <c r="A257" s="76" t="str">
        <f>DataInput!A291</f>
        <v>Grants</v>
      </c>
      <c r="B257" s="80" t="s">
        <v>3832</v>
      </c>
      <c r="C257" s="51" t="s">
        <v>3495</v>
      </c>
      <c r="D257" s="207"/>
      <c r="E257" s="207"/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207"/>
      <c r="S257" s="207"/>
      <c r="T257" s="207"/>
      <c r="U257" s="207"/>
      <c r="V257" s="207"/>
      <c r="W257" s="207"/>
      <c r="X257" s="207"/>
      <c r="Y257" s="207"/>
      <c r="Z257" s="207"/>
      <c r="AA257" s="207"/>
      <c r="AB257" s="207"/>
      <c r="AC257" s="207"/>
      <c r="AD257" s="207"/>
      <c r="AE257" s="207"/>
      <c r="AF257" s="207"/>
      <c r="AG257" s="207"/>
      <c r="AH257" s="207"/>
      <c r="AI257" s="207"/>
      <c r="AJ257" s="207"/>
      <c r="AK257" s="207"/>
      <c r="AL257" s="207"/>
      <c r="AM257" s="207"/>
      <c r="AN257" s="207"/>
      <c r="AO257" s="207"/>
      <c r="AP257" s="207"/>
      <c r="AQ257" s="207"/>
      <c r="AR257" s="207"/>
      <c r="AS257" s="207"/>
      <c r="AT257" s="309">
        <v>53</v>
      </c>
      <c r="AU257" s="51"/>
      <c r="AV257" s="74">
        <f>DataInput!AV254*DataInput!AV764</f>
        <v>15.185836224999999</v>
      </c>
      <c r="AW257" s="74">
        <f>DataInput!AW254*DataInput!AW764</f>
        <v>5.904725</v>
      </c>
      <c r="AX257" s="74">
        <f>DataInput!AX254*DataInput!AX764</f>
        <v>7.9389979999999998</v>
      </c>
      <c r="AY257" s="74">
        <f>DataInput!AY254*DataInput!AY764</f>
        <v>7.2980561699999997</v>
      </c>
      <c r="AZ257" s="74">
        <f>DataInput!AZ254*DataInput!AZ764</f>
        <v>16.897189399999998</v>
      </c>
      <c r="BA257" s="79">
        <f>DataInput!BA291/1000-Model!BA244</f>
        <v>27.4</v>
      </c>
      <c r="BB257" s="79">
        <f>DataInput!BB291/1000-Model!BB244</f>
        <v>29.998000000000001</v>
      </c>
      <c r="BC257" s="79">
        <f>DataInput!BC291/1000-Model!BC244</f>
        <v>45.859171000000003</v>
      </c>
      <c r="BD257" s="27">
        <f>DataInput!BD291-Model!BD244</f>
        <v>58.167188000000003</v>
      </c>
      <c r="BE257" s="27">
        <f>DataInput!BE291-Model!BE244</f>
        <v>86.042665580000005</v>
      </c>
      <c r="BF257" s="27">
        <f>DataInput!BF291-Model!BF244</f>
        <v>159.73000018149997</v>
      </c>
      <c r="BG257" s="27">
        <f>DataInput!BG291-Model!BG244</f>
        <v>157.10108500000001</v>
      </c>
      <c r="BH257" s="27">
        <f>DataInput!BH291-Model!BH244</f>
        <v>243.58499699999999</v>
      </c>
      <c r="BI257" s="27">
        <f>DataInput!BI291-Model!BI244</f>
        <v>214.770487</v>
      </c>
      <c r="BJ257" s="498">
        <f>DataInput!BJ291-Model!BJ244</f>
        <v>0</v>
      </c>
      <c r="BK257" s="380">
        <f>DataInput!BK291-Model!BK244</f>
        <v>0</v>
      </c>
      <c r="BL257" s="380">
        <f>DataInput!BL291-Model!BL244</f>
        <v>0</v>
      </c>
      <c r="BM257" s="884">
        <f>DataInput!BM291-Model!BM244</f>
        <v>0</v>
      </c>
      <c r="BN257" s="884">
        <f>DataInput!BN291-Model!BN244</f>
        <v>0</v>
      </c>
      <c r="BO257" s="884">
        <f>DataInput!BO291-Model!BO244</f>
        <v>0</v>
      </c>
      <c r="BP257" s="885">
        <f ca="1">BO257*(BP237/BO237)+SIM!X74+finsim!BO221</f>
        <v>0</v>
      </c>
      <c r="BQ257" s="885">
        <f ca="1">BP257*(BQ237/BP237)+SIM!Y74+finsim!BP221</f>
        <v>0</v>
      </c>
      <c r="BR257" s="885">
        <f ca="1">BQ257*(BR237/BQ237)+SIM!Z74+finsim!BQ221</f>
        <v>0</v>
      </c>
      <c r="BS257" s="885">
        <f ca="1">BR257*(BS237/BR237)+SIM!AA74+finsim!BR221</f>
        <v>0</v>
      </c>
      <c r="BT257" s="885">
        <f ca="1">BS257*(BT237/BS237)+SIM!AB74+finsim!BS221</f>
        <v>0</v>
      </c>
      <c r="BU257" s="885">
        <f ca="1">BT257*(BU237/BT237)+SIM!AC74+finsim!BT221</f>
        <v>0</v>
      </c>
      <c r="BV257" s="885">
        <f ca="1">BU257*(BV237/BU237)+SIM!AD74+finsim!BU221</f>
        <v>0</v>
      </c>
      <c r="BW257" s="885">
        <f ca="1">BV257*(BW237/BV237)+SIM!AE74+finsim!BV221</f>
        <v>0</v>
      </c>
      <c r="BX257" s="885">
        <f ca="1">BW257*(BX237/BW237)+SIM!AF74+finsim!BW221</f>
        <v>0</v>
      </c>
      <c r="BY257" s="885">
        <f ca="1">BX257*(BY237/BX237)+SIM!AG74+finsim!BX221</f>
        <v>0</v>
      </c>
      <c r="BZ257" s="885">
        <f ca="1">BY257*(BZ237/BY237)+SIM!AH74+finsim!BY221</f>
        <v>0</v>
      </c>
      <c r="CA257" s="885">
        <f ca="1">BZ257*(CA237/BZ237)+SIM!AI74+finsim!BZ221</f>
        <v>0</v>
      </c>
      <c r="CB257" s="885">
        <f ca="1">CA257*(CB237/CA237)+SIM!AJ74+finsim!CA221</f>
        <v>0</v>
      </c>
      <c r="CC257" s="885">
        <f ca="1">CB257*(CC237/CB237)+SIM!AK74+finsim!CB221</f>
        <v>0</v>
      </c>
      <c r="CD257" s="885">
        <f ca="1">CC257*(CD237/CC237)+SIM!AL74+finsim!CC221</f>
        <v>0</v>
      </c>
      <c r="CE257" s="885"/>
      <c r="CF257" s="438"/>
      <c r="CG257" s="235">
        <f t="shared" si="766"/>
        <v>0</v>
      </c>
      <c r="CH257" s="235">
        <f t="shared" si="767"/>
        <v>0</v>
      </c>
      <c r="CI257" s="235" t="e">
        <f>BM257-#REF!</f>
        <v>#REF!</v>
      </c>
      <c r="CJ257" s="235">
        <f t="shared" si="768"/>
        <v>0</v>
      </c>
      <c r="CK257" s="235">
        <f t="shared" si="769"/>
        <v>0</v>
      </c>
      <c r="CL257" s="235">
        <f t="shared" ca="1" si="770"/>
        <v>0</v>
      </c>
      <c r="CM257" s="235">
        <f t="shared" ca="1" si="771"/>
        <v>0</v>
      </c>
      <c r="CN257" s="235">
        <f t="shared" ca="1" si="772"/>
        <v>0</v>
      </c>
      <c r="CO257" s="235">
        <f t="shared" ca="1" si="773"/>
        <v>0</v>
      </c>
      <c r="CP257" s="235">
        <f t="shared" ca="1" si="774"/>
        <v>0</v>
      </c>
      <c r="CQ257" s="235">
        <f t="shared" ca="1" si="775"/>
        <v>0</v>
      </c>
      <c r="CR257" s="235">
        <f t="shared" ca="1" si="776"/>
        <v>0</v>
      </c>
      <c r="CS257" s="235">
        <f t="shared" ca="1" si="777"/>
        <v>0</v>
      </c>
      <c r="CT257" s="235">
        <f t="shared" ca="1" si="778"/>
        <v>0</v>
      </c>
      <c r="CU257" s="235">
        <f t="shared" ca="1" si="779"/>
        <v>0</v>
      </c>
      <c r="CV257" s="235">
        <f t="shared" ca="1" si="780"/>
        <v>0</v>
      </c>
      <c r="CW257" s="235">
        <f t="shared" ca="1" si="781"/>
        <v>0</v>
      </c>
      <c r="CX257" s="235">
        <f t="shared" ca="1" si="782"/>
        <v>0</v>
      </c>
      <c r="CY257" s="235">
        <f t="shared" ca="1" si="783"/>
        <v>0</v>
      </c>
      <c r="CZ257" s="235">
        <f t="shared" ca="1" si="784"/>
        <v>0</v>
      </c>
      <c r="DA257" s="38"/>
      <c r="DB257" s="236">
        <v>158.7300001815</v>
      </c>
      <c r="DC257" s="236">
        <v>159.73000018149997</v>
      </c>
      <c r="DD257" s="236">
        <v>370.70384799999999</v>
      </c>
      <c r="DE257" s="236">
        <v>243.58499699999999</v>
      </c>
      <c r="DF257" s="401">
        <v>214.770487</v>
      </c>
      <c r="DG257" s="236">
        <v>0</v>
      </c>
      <c r="DH257" s="492">
        <v>0</v>
      </c>
      <c r="DI257" s="236">
        <v>0</v>
      </c>
      <c r="DJ257" s="236">
        <v>0</v>
      </c>
      <c r="DK257" s="236">
        <v>0</v>
      </c>
      <c r="DL257" s="236">
        <v>0</v>
      </c>
      <c r="DM257" s="236">
        <v>0</v>
      </c>
      <c r="DN257" s="236">
        <v>0</v>
      </c>
      <c r="DO257" s="236">
        <v>0</v>
      </c>
      <c r="DP257" s="236">
        <v>0</v>
      </c>
      <c r="DQ257" s="401">
        <v>0</v>
      </c>
      <c r="DR257" s="401">
        <v>0</v>
      </c>
      <c r="DS257" s="401">
        <v>0</v>
      </c>
      <c r="DT257" s="401">
        <v>0</v>
      </c>
      <c r="DU257" s="401">
        <v>0</v>
      </c>
      <c r="DV257" s="401">
        <v>0</v>
      </c>
      <c r="DW257" s="401">
        <v>0</v>
      </c>
      <c r="DX257" s="401">
        <v>0</v>
      </c>
      <c r="DY257" s="401">
        <v>0</v>
      </c>
      <c r="DZ257" s="401"/>
      <c r="EA257" s="989"/>
    </row>
    <row r="258" spans="1:131" s="76" customFormat="1">
      <c r="A258" s="76" t="str">
        <f>DataInput!A290</f>
        <v>Gross investments of governmenet</v>
      </c>
      <c r="B258" s="80" t="s">
        <v>3682</v>
      </c>
      <c r="C258" s="51" t="s">
        <v>4474</v>
      </c>
      <c r="D258" s="207"/>
      <c r="E258" s="207"/>
      <c r="F258" s="295">
        <f>mamiabc!F53*Model!$AV$258/mamiabc!$AV$53</f>
        <v>9.705875982536354E-4</v>
      </c>
      <c r="G258" s="295">
        <f>mamiabc!G53*Model!$AV$258/mamiabc!$AV$53</f>
        <v>9.0588175837005966E-4</v>
      </c>
      <c r="H258" s="295">
        <f>mamiabc!H53*Model!$AV$258/mamiabc!$AV$53</f>
        <v>2.1352926853038493E-3</v>
      </c>
      <c r="I258" s="295">
        <f>mamiabc!I53*Model!$AV$258/mamiabc!$AV$53</f>
        <v>2.8470570165856279E-3</v>
      </c>
      <c r="J258" s="295">
        <f>mamiabc!J53*Model!$AV$258/mamiabc!$AV$53</f>
        <v>3.1382331726451237E-3</v>
      </c>
      <c r="K258" s="295">
        <f>mamiabc!K53*Model!$AV$258/mamiabc!$AV$53</f>
        <v>4.3999972354997422E-3</v>
      </c>
      <c r="L258" s="295">
        <f>mamiabc!L53*Model!$AV$258/mamiabc!$AV$53</f>
        <v>6.5676425013497432E-3</v>
      </c>
      <c r="M258" s="295">
        <f>mamiabc!M53*Model!$AV$258/mamiabc!$AV$53</f>
        <v>5.7588195028050451E-3</v>
      </c>
      <c r="N258" s="295">
        <f>mamiabc!N53*Model!$AV$258/mamiabc!$AV$53</f>
        <v>4.8529379912681768E-3</v>
      </c>
      <c r="O258" s="295">
        <f>mamiabc!O53*Model!$AV$258/mamiabc!$AV$53</f>
        <v>4.4970557484919158E-3</v>
      </c>
      <c r="P258" s="295">
        <f>mamiabc!P53*Model!$AV$258/mamiabc!$AV$53</f>
        <v>4.5294087918502984E-3</v>
      </c>
      <c r="Q258" s="295">
        <f>mamiabc!Q53*Model!$AV$258/mamiabc!$AV$53</f>
        <v>5.2088202340444395E-3</v>
      </c>
      <c r="R258" s="295">
        <f>mamiabc!R53*Model!$AV$258/mamiabc!$AV$53</f>
        <v>7.0529363004765595E-3</v>
      </c>
      <c r="S258" s="295">
        <f>mamiabc!S53*Model!$AV$258/mamiabc!$AV$53</f>
        <v>7.9264653857380237E-3</v>
      </c>
      <c r="T258" s="295">
        <f>mamiabc!T53*Model!$AV$258/mamiabc!$AV$53</f>
        <v>6.0823487022229243E-3</v>
      </c>
      <c r="U258" s="295">
        <f>mamiabc!U53*Model!$AV$258/mamiabc!$AV$53</f>
        <v>7.8617592990212568E-3</v>
      </c>
      <c r="V258" s="295">
        <f>mamiabc!V53*Model!$AV$258/mamiabc!$AV$53</f>
        <v>1.0191169781663172E-2</v>
      </c>
      <c r="W258" s="295">
        <f>mamiabc!W53*Model!$AV$258/mamiabc!$AV$53</f>
        <v>9.1882291400511538E-3</v>
      </c>
      <c r="X258" s="295">
        <f>mamiabc!X53*Model!$AV$258/mamiabc!$AV$53</f>
        <v>1.323234474985761E-2</v>
      </c>
      <c r="Y258" s="295">
        <f>mamiabc!Y53*Model!$AV$258/mamiabc!$AV$53</f>
        <v>1.3394109349566551E-2</v>
      </c>
      <c r="Z258" s="295">
        <f>mamiabc!Z53*Model!$AV$258/mamiabc!$AV$53</f>
        <v>1.4008814087960947E-2</v>
      </c>
      <c r="AA258" s="295">
        <f>mamiabc!AA53*Model!$AV$258/mamiabc!$AV$53</f>
        <v>2.3750279714065771E-2</v>
      </c>
      <c r="AB258" s="295">
        <f>mamiabc!AB53*Model!$AV$258/mamiabc!$AV$53</f>
        <v>3.8907622213126998E-2</v>
      </c>
      <c r="AC258" s="295">
        <f>mamiabc!AC53*Model!$AV$258/mamiabc!$AV$53</f>
        <v>4.4553208223968126E-2</v>
      </c>
      <c r="AD258" s="295">
        <f>mamiabc!AD53*Model!$AV$258/mamiabc!$AV$53</f>
        <v>4.5019086124332267E-2</v>
      </c>
      <c r="AE258" s="295">
        <f>mamiabc!AE53*Model!$AV$258/mamiabc!$AV$53</f>
        <v>4.3906149825132364E-2</v>
      </c>
      <c r="AF258" s="295">
        <f>mamiabc!AF53*Model!$AV$258/mamiabc!$AV$53</f>
        <v>4.1570268610402174E-2</v>
      </c>
      <c r="AG258" s="295">
        <f>mamiabc!AG53*Model!$AV$258/mamiabc!$AV$53</f>
        <v>5.6792313493682314E-2</v>
      </c>
      <c r="AH258" s="295">
        <f>mamiabc!AH53*Model!$AV$258/mamiabc!$AV$53</f>
        <v>5.9833490930208649E-2</v>
      </c>
      <c r="AI258" s="295">
        <f>mamiabc!AI53*Model!$AV$258/mamiabc!$AV$53</f>
        <v>3.8645561883132819E-2</v>
      </c>
      <c r="AJ258" s="295">
        <f>mamiabc!AJ53*Model!$AV$258/mamiabc!$AV$53</f>
        <v>2.753233437679508E-2</v>
      </c>
      <c r="AK258" s="295">
        <f>mamiabc!AK53*Model!$AV$258/mamiabc!$AV$53</f>
        <v>1.8082046757998675E-2</v>
      </c>
      <c r="AL258" s="295">
        <f>mamiabc!AL53*Model!$AV$258/mamiabc!$AV$53</f>
        <v>1.3212932553592795E-2</v>
      </c>
      <c r="AM258" s="295">
        <f>mamiabc!AM53*Model!$AV$258/mamiabc!$AV$53</f>
        <v>1.3911755574968774E-2</v>
      </c>
      <c r="AN258" s="295">
        <f>mamiabc!AN53*Model!$AV$258/mamiabc!$AV$53</f>
        <v>8.7352883842827193E-3</v>
      </c>
      <c r="AO258" s="295">
        <f>mamiabc!AO53*Model!$AV$258/mamiabc!$AV$53</f>
        <v>2.5882335953430282E-2</v>
      </c>
      <c r="AP258" s="295">
        <f>mamiabc!AP53*Model!$AV$258/mamiabc!$AV$53</f>
        <v>3.0366450657362071E-2</v>
      </c>
      <c r="AQ258" s="295">
        <f>mamiabc!AQ53*Model!$AV$258/mamiabc!$AV$53</f>
        <v>3.8034092683565793E-2</v>
      </c>
      <c r="AR258" s="295">
        <f>mamiabc!AR53*Model!$AV$258/mamiabc!$AV$53</f>
        <v>3.7707328192153736E-2</v>
      </c>
      <c r="AS258" s="295">
        <f>mamiabc!AS53*Model!$AV$258/mamiabc!$AV$53</f>
        <v>0.1292305034154774</v>
      </c>
      <c r="AT258" s="295">
        <f>mamiabc!AT53*Model!$AV$258/mamiabc!$AV$53</f>
        <v>2.3225708285330309</v>
      </c>
      <c r="AU258" s="295">
        <f>mamiabc!AU53*Model!$AV$258/mamiabc!$AV$53</f>
        <v>27.742172673911899</v>
      </c>
      <c r="AV258" s="74">
        <f>DataInput!AV290</f>
        <v>15.683999999999999</v>
      </c>
      <c r="AW258" s="74">
        <f>DataInput!AW290</f>
        <v>13.651999999999999</v>
      </c>
      <c r="AX258" s="74">
        <f>DataInput!AX290</f>
        <v>13.863</v>
      </c>
      <c r="AY258" s="74">
        <f>DataInput!AY290</f>
        <v>43.320999999999998</v>
      </c>
      <c r="AZ258" s="74">
        <f>DataInput!AZ290</f>
        <v>67.760000000000005</v>
      </c>
      <c r="BA258" s="75">
        <f>DataInput!BA290/1000</f>
        <v>33.067446000000004</v>
      </c>
      <c r="BB258" s="75">
        <f>DataInput!BB290/1000</f>
        <v>43.881303999999993</v>
      </c>
      <c r="BC258" s="75">
        <f>DataInput!BC290/1000</f>
        <v>43.576006</v>
      </c>
      <c r="BD258" s="74">
        <f>DataInput!BD290</f>
        <v>97.209402999999995</v>
      </c>
      <c r="BE258" s="74">
        <f>DataInput!BE290</f>
        <v>152.682849</v>
      </c>
      <c r="BF258" s="74">
        <f>DataInput!BF290</f>
        <v>145.98251099999999</v>
      </c>
      <c r="BG258" s="74">
        <f>DataInput!BG290</f>
        <v>197.85423399999999</v>
      </c>
      <c r="BH258" s="74">
        <f>DataInput!BH290</f>
        <v>222.45274900000001</v>
      </c>
      <c r="BI258" s="74">
        <f>DataInput!BI290</f>
        <v>391.62951299999997</v>
      </c>
      <c r="BJ258" s="74">
        <f>DataInput!BJ290</f>
        <v>552.70000000000005</v>
      </c>
      <c r="BK258" s="74">
        <f>DataInput!BK290</f>
        <v>696.9</v>
      </c>
      <c r="BL258" s="74">
        <f>DataInput!BL290</f>
        <v>729.4</v>
      </c>
      <c r="BM258" s="74">
        <f>DataInput!BM290</f>
        <v>756</v>
      </c>
      <c r="BN258" s="74">
        <f>DataInput!BN290</f>
        <v>893</v>
      </c>
      <c r="BO258" s="74">
        <f>DataInput!BO290</f>
        <v>436.9</v>
      </c>
      <c r="BP258" s="102">
        <f ca="1">BO258*(1+BP303/100)*BP372/BO372+SIM!X44+finsim!BO222</f>
        <v>555.57051174915171</v>
      </c>
      <c r="BQ258" s="102">
        <f ca="1">BP258*(1+BQ303/100)*BQ372/BP372+SIM!Y44+finsim!BP222</f>
        <v>607.15187835067104</v>
      </c>
      <c r="BR258" s="102">
        <f ca="1">BQ258*(1+BR303/100)*BR372/BQ372+SIM!Z44+finsim!BQ222</f>
        <v>643.31872255500548</v>
      </c>
      <c r="BS258" s="102">
        <f ca="1">BR258*(1+BS303/100)*BS372/BR372+SIM!AA44+finsim!BR222</f>
        <v>673.06972148960313</v>
      </c>
      <c r="BT258" s="102">
        <f ca="1">BS258*(1+BT303/100)*BT372/BS372+SIM!AB44+finsim!BS222</f>
        <v>711.09850907748569</v>
      </c>
      <c r="BU258" s="102">
        <f ca="1">BT258*(1+BU303/100)*BU372/BT372+SIM!AC44+finsim!BT222</f>
        <v>751.90052939782277</v>
      </c>
      <c r="BV258" s="102">
        <f ca="1">BU258*(1+BV303/100)*BV372/BU372+SIM!AD44+finsim!BU222</f>
        <v>795.24418986210435</v>
      </c>
      <c r="BW258" s="102">
        <f ca="1">BV258*(1+BW303/100)*BW372/BV372+SIM!AE44+finsim!BV222</f>
        <v>839.32271960957246</v>
      </c>
      <c r="BX258" s="102">
        <f ca="1">BW258*(1+BX303/100)*BX372/BW372+SIM!AF44+finsim!BW222</f>
        <v>885.8852230877377</v>
      </c>
      <c r="BY258" s="102">
        <f ca="1">BX258*(1+BY303/100)*BY372/BX372+SIM!AG44+finsim!BX222</f>
        <v>935.05505100865093</v>
      </c>
      <c r="BZ258" s="102">
        <f ca="1">BY258*(1+BZ303/100)*BZ372/BY372+SIM!AH44+finsim!BY222</f>
        <v>986.9952506119605</v>
      </c>
      <c r="CA258" s="102">
        <f ca="1">BZ258*(1+CA303/100)*CA372/BZ372+SIM!AI44+finsim!BZ222</f>
        <v>1041.9523287652391</v>
      </c>
      <c r="CB258" s="102">
        <f ca="1">CA258*(1+CB303/100)*CB372/CA372+SIM!AJ44+finsim!CA222</f>
        <v>1097.9412465425451</v>
      </c>
      <c r="CC258" s="102">
        <f ca="1">CB258*(1+CC303/100)*CC372/CB372+SIM!AK44+finsim!CB222</f>
        <v>1157.0274289075683</v>
      </c>
      <c r="CD258" s="102">
        <f ca="1">CC258*(1+CD303/100)*CD372/CC372+SIM!AL44+finsim!CC222</f>
        <v>1219.3910365761951</v>
      </c>
      <c r="CE258" s="102"/>
      <c r="CF258" s="438"/>
      <c r="CG258" s="235">
        <f t="shared" si="766"/>
        <v>0</v>
      </c>
      <c r="CH258" s="235">
        <f t="shared" si="767"/>
        <v>0</v>
      </c>
      <c r="CI258" s="235" t="e">
        <f>BM258-#REF!</f>
        <v>#REF!</v>
      </c>
      <c r="CJ258" s="235">
        <f t="shared" si="768"/>
        <v>0</v>
      </c>
      <c r="CK258" s="235">
        <f t="shared" si="769"/>
        <v>0</v>
      </c>
      <c r="CL258" s="235">
        <f t="shared" ca="1" si="770"/>
        <v>0</v>
      </c>
      <c r="CM258" s="235">
        <f t="shared" ca="1" si="771"/>
        <v>0</v>
      </c>
      <c r="CN258" s="235">
        <f t="shared" ca="1" si="772"/>
        <v>0</v>
      </c>
      <c r="CO258" s="235">
        <f t="shared" ca="1" si="773"/>
        <v>0</v>
      </c>
      <c r="CP258" s="235">
        <f t="shared" ca="1" si="774"/>
        <v>0</v>
      </c>
      <c r="CQ258" s="235">
        <f t="shared" ca="1" si="775"/>
        <v>0</v>
      </c>
      <c r="CR258" s="235">
        <f t="shared" ca="1" si="776"/>
        <v>0</v>
      </c>
      <c r="CS258" s="235">
        <f t="shared" ca="1" si="777"/>
        <v>0</v>
      </c>
      <c r="CT258" s="235">
        <f t="shared" ca="1" si="778"/>
        <v>0</v>
      </c>
      <c r="CU258" s="235">
        <f t="shared" ca="1" si="779"/>
        <v>0</v>
      </c>
      <c r="CV258" s="235">
        <f t="shared" ca="1" si="780"/>
        <v>9.0949470177292824E-13</v>
      </c>
      <c r="CW258" s="235">
        <f t="shared" ca="1" si="781"/>
        <v>0</v>
      </c>
      <c r="CX258" s="235">
        <f t="shared" ca="1" si="782"/>
        <v>9.0949470177292824E-12</v>
      </c>
      <c r="CY258" s="235">
        <f t="shared" ca="1" si="783"/>
        <v>8.0262907431460917E-11</v>
      </c>
      <c r="CZ258" s="235">
        <f t="shared" ca="1" si="784"/>
        <v>6.3596417021472007E-10</v>
      </c>
      <c r="DA258" s="38"/>
      <c r="DB258" s="236">
        <v>144.98251099999999</v>
      </c>
      <c r="DC258" s="236">
        <v>145.98251099999999</v>
      </c>
      <c r="DD258" s="236">
        <v>197.85423399999999</v>
      </c>
      <c r="DE258" s="236">
        <v>222.45274900000001</v>
      </c>
      <c r="DF258" s="401">
        <v>391.11515600000001</v>
      </c>
      <c r="DG258" s="236">
        <v>696.9</v>
      </c>
      <c r="DH258" s="492">
        <v>729.4</v>
      </c>
      <c r="DI258" s="236">
        <v>893</v>
      </c>
      <c r="DJ258" s="236">
        <v>436.9</v>
      </c>
      <c r="DK258" s="236">
        <v>555.57051174915171</v>
      </c>
      <c r="DL258" s="236">
        <v>607.15187835067104</v>
      </c>
      <c r="DM258" s="236">
        <v>643.31872255500548</v>
      </c>
      <c r="DN258" s="236">
        <v>673.06972148960313</v>
      </c>
      <c r="DO258" s="236">
        <v>711.09850907748557</v>
      </c>
      <c r="DP258" s="236">
        <v>751.90052939782265</v>
      </c>
      <c r="DQ258" s="401">
        <v>795.24418986210424</v>
      </c>
      <c r="DR258" s="401">
        <v>839.32271960957223</v>
      </c>
      <c r="DS258" s="401">
        <v>885.88522308773736</v>
      </c>
      <c r="DT258" s="401">
        <v>935.05505100865037</v>
      </c>
      <c r="DU258" s="401">
        <v>986.99525061195959</v>
      </c>
      <c r="DV258" s="401">
        <v>1041.9523287652376</v>
      </c>
      <c r="DW258" s="401">
        <v>1097.941246542536</v>
      </c>
      <c r="DX258" s="401">
        <v>1157.027428907488</v>
      </c>
      <c r="DY258" s="401">
        <v>1219.3910365755592</v>
      </c>
      <c r="DZ258" s="401"/>
      <c r="EA258" s="989"/>
    </row>
    <row r="259" spans="1:131" s="88" customFormat="1">
      <c r="B259" s="51" t="s">
        <v>3280</v>
      </c>
      <c r="C259" s="51" t="s">
        <v>168</v>
      </c>
      <c r="D259" s="207"/>
      <c r="E259" s="207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  <c r="AB259" s="207"/>
      <c r="AC259" s="207"/>
      <c r="AD259" s="207"/>
      <c r="AE259" s="207"/>
      <c r="AF259" s="207"/>
      <c r="AG259" s="207"/>
      <c r="AH259" s="207"/>
      <c r="AI259" s="207"/>
      <c r="AJ259" s="207"/>
      <c r="AK259" s="207"/>
      <c r="AL259" s="207"/>
      <c r="AM259" s="207"/>
      <c r="AN259" s="207"/>
      <c r="AO259" s="207"/>
      <c r="AP259" s="207"/>
      <c r="AQ259" s="207"/>
      <c r="AR259" s="207"/>
      <c r="AS259" s="207"/>
      <c r="AT259" s="309"/>
      <c r="AU259" s="51"/>
      <c r="AV259" s="74">
        <f>DataInput!AV287</f>
        <v>8.4079999999999995</v>
      </c>
      <c r="AW259" s="74">
        <f>DataInput!AW287</f>
        <v>1.004</v>
      </c>
      <c r="AX259" s="74">
        <f>DataInput!AX287</f>
        <v>0</v>
      </c>
      <c r="AY259" s="74">
        <f>DataInput!AY287</f>
        <v>0</v>
      </c>
      <c r="AZ259" s="74">
        <f>DataInput!AZ287</f>
        <v>0.26800000000000002</v>
      </c>
      <c r="BA259" s="75">
        <f>DataInput!BA287/1000</f>
        <v>12.363529</v>
      </c>
      <c r="BB259" s="75">
        <f>DataInput!BB287/1000</f>
        <v>4.2054999999999998</v>
      </c>
      <c r="BC259" s="75">
        <f>DataInput!BC287/1000</f>
        <v>10.156413000000001</v>
      </c>
      <c r="BD259" s="74">
        <f>DataInput!BD287</f>
        <v>2.4352589999999998</v>
      </c>
      <c r="BE259" s="74">
        <f>DataInput!BE287</f>
        <v>0</v>
      </c>
      <c r="BF259" s="74">
        <f>DataInput!BF287</f>
        <v>0</v>
      </c>
      <c r="BG259" s="74">
        <f>DataInput!BG287</f>
        <v>1.113318</v>
      </c>
      <c r="BH259" s="74">
        <f>DataInput!BH287</f>
        <v>0</v>
      </c>
      <c r="BI259" s="74">
        <f>DataInput!BI287</f>
        <v>0</v>
      </c>
      <c r="BJ259" s="74">
        <f>DataInput!BJ287</f>
        <v>0</v>
      </c>
      <c r="BK259" s="74">
        <f>DataInput!BK287</f>
        <v>0</v>
      </c>
      <c r="BL259" s="74">
        <f>DataInput!BL287</f>
        <v>0</v>
      </c>
      <c r="BM259" s="74">
        <f>DataInput!BM287</f>
        <v>0</v>
      </c>
      <c r="BN259" s="74">
        <f>DataInput!BN287</f>
        <v>0</v>
      </c>
      <c r="BO259" s="74">
        <f>DataInput!BO287</f>
        <v>0</v>
      </c>
      <c r="BP259" s="281">
        <f>BO259+SIM!X75+finsim!BO223</f>
        <v>0</v>
      </c>
      <c r="BQ259" s="281">
        <f>BP259+SIM!Y75+finsim!BP223</f>
        <v>0</v>
      </c>
      <c r="BR259" s="281">
        <f>BQ259+SIM!Z75+finsim!BQ223</f>
        <v>0</v>
      </c>
      <c r="BS259" s="281">
        <f>BR259+SIM!AA75+finsim!BR223</f>
        <v>0</v>
      </c>
      <c r="BT259" s="281">
        <f>BS259+SIM!AB75+finsim!BS223</f>
        <v>0</v>
      </c>
      <c r="BU259" s="281">
        <f>BT259+SIM!AC75+finsim!BT223</f>
        <v>0</v>
      </c>
      <c r="BV259" s="281">
        <f>BU259+SIM!AD75+finsim!BU223</f>
        <v>0</v>
      </c>
      <c r="BW259" s="281">
        <f>BV259+SIM!AE75+finsim!BV223</f>
        <v>0</v>
      </c>
      <c r="BX259" s="281">
        <f>BW259+SIM!AF75+finsim!BW223</f>
        <v>0</v>
      </c>
      <c r="BY259" s="281">
        <f>BX259+SIM!AG75+finsim!BX223</f>
        <v>0</v>
      </c>
      <c r="BZ259" s="281">
        <f>BY259+SIM!AH75+finsim!BY223</f>
        <v>0</v>
      </c>
      <c r="CA259" s="281">
        <f>BZ259+SIM!AI75+finsim!BZ223</f>
        <v>0</v>
      </c>
      <c r="CB259" s="281">
        <f>CA259+SIM!AJ75+finsim!CA223</f>
        <v>0</v>
      </c>
      <c r="CC259" s="281">
        <f>CB259+SIM!AK75+finsim!CB223</f>
        <v>0</v>
      </c>
      <c r="CD259" s="281">
        <f>CC259+SIM!AL75+finsim!CC223</f>
        <v>0</v>
      </c>
      <c r="CE259" s="281"/>
      <c r="CF259" s="442"/>
      <c r="CG259" s="235">
        <f t="shared" si="766"/>
        <v>0</v>
      </c>
      <c r="CH259" s="235">
        <f t="shared" si="767"/>
        <v>0</v>
      </c>
      <c r="CI259" s="235" t="e">
        <f>BM259-#REF!</f>
        <v>#REF!</v>
      </c>
      <c r="CJ259" s="235">
        <f t="shared" si="768"/>
        <v>0</v>
      </c>
      <c r="CK259" s="235">
        <f t="shared" si="769"/>
        <v>0</v>
      </c>
      <c r="CL259" s="235">
        <f t="shared" si="770"/>
        <v>0</v>
      </c>
      <c r="CM259" s="235">
        <f t="shared" si="771"/>
        <v>0</v>
      </c>
      <c r="CN259" s="235">
        <f t="shared" si="772"/>
        <v>0</v>
      </c>
      <c r="CO259" s="235">
        <f t="shared" si="773"/>
        <v>0</v>
      </c>
      <c r="CP259" s="235">
        <f t="shared" si="774"/>
        <v>0</v>
      </c>
      <c r="CQ259" s="235">
        <f t="shared" si="775"/>
        <v>0</v>
      </c>
      <c r="CR259" s="235">
        <f t="shared" si="776"/>
        <v>0</v>
      </c>
      <c r="CS259" s="235">
        <f t="shared" si="777"/>
        <v>0</v>
      </c>
      <c r="CT259" s="235">
        <f t="shared" si="778"/>
        <v>0</v>
      </c>
      <c r="CU259" s="235">
        <f t="shared" si="779"/>
        <v>0</v>
      </c>
      <c r="CV259" s="235">
        <f t="shared" si="780"/>
        <v>0</v>
      </c>
      <c r="CW259" s="235">
        <f t="shared" si="781"/>
        <v>0</v>
      </c>
      <c r="CX259" s="235">
        <f t="shared" si="782"/>
        <v>0</v>
      </c>
      <c r="CY259" s="235">
        <f t="shared" si="783"/>
        <v>0</v>
      </c>
      <c r="CZ259" s="235">
        <f t="shared" si="784"/>
        <v>0</v>
      </c>
      <c r="DA259" s="38"/>
      <c r="DB259" s="236">
        <v>-1</v>
      </c>
      <c r="DC259" s="236">
        <v>0</v>
      </c>
      <c r="DD259" s="236">
        <v>1.113318</v>
      </c>
      <c r="DE259" s="236">
        <v>0</v>
      </c>
      <c r="DF259" s="401">
        <v>0</v>
      </c>
      <c r="DG259" s="236">
        <v>0</v>
      </c>
      <c r="DH259" s="492">
        <v>0</v>
      </c>
      <c r="DI259" s="236">
        <v>0</v>
      </c>
      <c r="DJ259" s="236">
        <v>0</v>
      </c>
      <c r="DK259" s="236">
        <v>0</v>
      </c>
      <c r="DL259" s="1085">
        <v>0</v>
      </c>
      <c r="DM259" s="1085">
        <v>0</v>
      </c>
      <c r="DN259" s="1085">
        <v>0</v>
      </c>
      <c r="DO259" s="1085">
        <v>0</v>
      </c>
      <c r="DP259" s="1085">
        <v>0</v>
      </c>
      <c r="DQ259" s="1086">
        <v>0</v>
      </c>
      <c r="DR259" s="1086">
        <v>0</v>
      </c>
      <c r="DS259" s="1086">
        <v>0</v>
      </c>
      <c r="DT259" s="1086">
        <v>0</v>
      </c>
      <c r="DU259" s="1086">
        <v>0</v>
      </c>
      <c r="DV259" s="1086">
        <v>0</v>
      </c>
      <c r="DW259" s="1086">
        <v>0</v>
      </c>
      <c r="DX259" s="1086">
        <v>0</v>
      </c>
      <c r="DY259" s="1086">
        <v>0</v>
      </c>
      <c r="DZ259" s="1086"/>
      <c r="EA259" s="992"/>
    </row>
    <row r="260" spans="1:131" s="88" customFormat="1">
      <c r="A260" s="88" t="s">
        <v>3233</v>
      </c>
      <c r="B260" s="76" t="s">
        <v>76</v>
      </c>
      <c r="C260" s="51"/>
      <c r="D260" s="207"/>
      <c r="E260" s="207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51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>
        <f>DataInput!BE818</f>
        <v>620</v>
      </c>
      <c r="BF260" s="86">
        <f>BE260*(1+BF307/100)</f>
        <v>654.91962008374503</v>
      </c>
      <c r="BG260" s="86">
        <f>BF260*(1+BG307/100)</f>
        <v>704.02071685574333</v>
      </c>
      <c r="BH260" s="86">
        <f>BG260*(1+BH307/100)</f>
        <v>774.7199342539277</v>
      </c>
      <c r="BI260" s="86">
        <f>BH260*(1+BI307/100)</f>
        <v>827.59562812732429</v>
      </c>
      <c r="BJ260" s="86">
        <f>BI260*(1+BJ307/100)</f>
        <v>910.50038315551762</v>
      </c>
      <c r="BK260" s="86">
        <f>BJ260*(1+BK307/100)+finsim!BJ224</f>
        <v>997.52033780792215</v>
      </c>
      <c r="BL260" s="86">
        <f>BK260*(1+BL307/100)+finsim!BK224</f>
        <v>1058.1388814131728</v>
      </c>
      <c r="BM260" s="86">
        <f>BL260*(1+BM307/100)+finsim!BL224</f>
        <v>1089.8830478555681</v>
      </c>
      <c r="BN260" s="86">
        <f>BM260*(1+BN307/100)+finsim!BM224</f>
        <v>1122.5795392912351</v>
      </c>
      <c r="BO260" s="86">
        <f>BN260*(1+BO307/100)+finsim!BN224</f>
        <v>1156.2569254699722</v>
      </c>
      <c r="BP260" s="86">
        <f>BO260*(1+BP307/100)+finsim!BO224</f>
        <v>1484.3232561145121</v>
      </c>
      <c r="BQ260" s="86">
        <f>BP260*(1+BQ307/100)+finsim!BP224</f>
        <v>1528.8529537979475</v>
      </c>
      <c r="BR260" s="86">
        <f>BQ260*(1+BR307/100)+finsim!BQ224</f>
        <v>1574.7185424118859</v>
      </c>
      <c r="BS260" s="86">
        <f>BR260*(1+BS307/100)+finsim!BR224</f>
        <v>1621.9600986842424</v>
      </c>
      <c r="BT260" s="86">
        <f>BS260*(1+BT307/100)+finsim!BS224</f>
        <v>1670.6189016447697</v>
      </c>
      <c r="BU260" s="86">
        <f>BT260*(1+BU307/100)+finsim!BT224</f>
        <v>1720.7374686941127</v>
      </c>
      <c r="BV260" s="86">
        <f>BU260*(1+BV307/100)+finsim!BU224</f>
        <v>1772.3595927549361</v>
      </c>
      <c r="BW260" s="86">
        <f>BV260*(1+BW307/100)+finsim!BV224</f>
        <v>1825.5303805375843</v>
      </c>
      <c r="BX260" s="86">
        <f>BW260*(1+BX307/100)+finsim!BW224</f>
        <v>1880.2962919537119</v>
      </c>
      <c r="BY260" s="86">
        <f>BX260*(1+BY307/100)+finsim!BX224</f>
        <v>1936.7051807123235</v>
      </c>
      <c r="BZ260" s="86">
        <f>BY260*(1+BZ307/100)+finsim!BY224</f>
        <v>1994.8063361336933</v>
      </c>
      <c r="CA260" s="86">
        <f>BZ260*(1+CA307/100)+finsim!BZ224</f>
        <v>2054.6505262177043</v>
      </c>
      <c r="CB260" s="86">
        <f>CA260*(1+CB307/100)+finsim!CA224</f>
        <v>2116.2900420042356</v>
      </c>
      <c r="CC260" s="86">
        <f>CB260*(1+CC307/100)+finsim!CB224</f>
        <v>2179.7787432643627</v>
      </c>
      <c r="CD260" s="86">
        <f>CC260*(1+CD307/100)+finsim!CC224</f>
        <v>2245.1721055622938</v>
      </c>
      <c r="CE260" s="86"/>
      <c r="CF260" s="442"/>
      <c r="CG260" s="235">
        <f t="shared" si="766"/>
        <v>0</v>
      </c>
      <c r="CH260" s="235">
        <f t="shared" si="767"/>
        <v>0</v>
      </c>
      <c r="CI260" s="235" t="e">
        <f>BM260-#REF!</f>
        <v>#REF!</v>
      </c>
      <c r="CJ260" s="235">
        <f t="shared" si="768"/>
        <v>0</v>
      </c>
      <c r="CK260" s="235">
        <f t="shared" si="769"/>
        <v>0</v>
      </c>
      <c r="CL260" s="235">
        <f t="shared" si="770"/>
        <v>0</v>
      </c>
      <c r="CM260" s="235">
        <f t="shared" si="771"/>
        <v>0</v>
      </c>
      <c r="CN260" s="235">
        <f t="shared" si="772"/>
        <v>0</v>
      </c>
      <c r="CO260" s="235">
        <f t="shared" si="773"/>
        <v>0</v>
      </c>
      <c r="CP260" s="235">
        <f t="shared" si="774"/>
        <v>0</v>
      </c>
      <c r="CQ260" s="235">
        <f t="shared" si="775"/>
        <v>0</v>
      </c>
      <c r="CR260" s="235">
        <f t="shared" si="776"/>
        <v>0</v>
      </c>
      <c r="CS260" s="235">
        <f t="shared" si="777"/>
        <v>0</v>
      </c>
      <c r="CT260" s="235">
        <f t="shared" si="778"/>
        <v>0</v>
      </c>
      <c r="CU260" s="235">
        <f t="shared" si="779"/>
        <v>0</v>
      </c>
      <c r="CV260" s="235">
        <f t="shared" si="780"/>
        <v>0</v>
      </c>
      <c r="CW260" s="235">
        <f t="shared" si="781"/>
        <v>0</v>
      </c>
      <c r="CX260" s="235">
        <f t="shared" si="782"/>
        <v>0</v>
      </c>
      <c r="CY260" s="235">
        <f t="shared" si="783"/>
        <v>0</v>
      </c>
      <c r="CZ260" s="235">
        <f t="shared" si="784"/>
        <v>0</v>
      </c>
      <c r="DA260" s="38"/>
      <c r="DB260" s="236">
        <v>653.91962008374503</v>
      </c>
      <c r="DC260" s="236">
        <v>654.91962008374503</v>
      </c>
      <c r="DD260" s="236">
        <v>704.02071685574333</v>
      </c>
      <c r="DE260" s="236">
        <v>774.41764970396821</v>
      </c>
      <c r="DF260" s="401">
        <v>827.59562812732429</v>
      </c>
      <c r="DG260" s="236">
        <v>997.52033780792215</v>
      </c>
      <c r="DH260" s="492">
        <v>1058.1388814131728</v>
      </c>
      <c r="DI260" s="236">
        <v>1122.5795392912351</v>
      </c>
      <c r="DJ260" s="236">
        <v>1156.2569254699722</v>
      </c>
      <c r="DK260" s="236">
        <v>1484.3232561145121</v>
      </c>
      <c r="DL260" s="1085">
        <v>1528.8529537979475</v>
      </c>
      <c r="DM260" s="1085">
        <v>1574.7185424118859</v>
      </c>
      <c r="DN260" s="1085">
        <v>1621.9600986842424</v>
      </c>
      <c r="DO260" s="1085">
        <v>1670.6189016447697</v>
      </c>
      <c r="DP260" s="1085">
        <v>1720.7374686941127</v>
      </c>
      <c r="DQ260" s="1086">
        <v>1772.3595927549361</v>
      </c>
      <c r="DR260" s="1086">
        <v>1825.5303805375843</v>
      </c>
      <c r="DS260" s="1086">
        <v>1880.2962919537119</v>
      </c>
      <c r="DT260" s="1086">
        <v>1936.7051807123235</v>
      </c>
      <c r="DU260" s="1086">
        <v>1994.8063361336933</v>
      </c>
      <c r="DV260" s="1086">
        <v>2054.6505262177043</v>
      </c>
      <c r="DW260" s="1086">
        <v>2116.2900420042356</v>
      </c>
      <c r="DX260" s="1086">
        <v>2179.7787432643627</v>
      </c>
      <c r="DY260" s="1086">
        <v>2245.1721055622938</v>
      </c>
      <c r="DZ260" s="1086"/>
      <c r="EA260" s="992"/>
    </row>
    <row r="261" spans="1:131" s="88" customFormat="1">
      <c r="A261" s="88" t="s">
        <v>3614</v>
      </c>
      <c r="B261" s="51" t="s">
        <v>2914</v>
      </c>
      <c r="C261" s="351" t="s">
        <v>3727</v>
      </c>
      <c r="D261" s="207"/>
      <c r="E261" s="207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7"/>
      <c r="AT261" s="207"/>
      <c r="AU261" s="51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86">
        <f>0*IF(BF56&gt;BF260,0.5*0.32*(BF56-BF260)*BF13/1000,0)</f>
        <v>0</v>
      </c>
      <c r="BH261" s="86">
        <f>0*IF(BG56&gt;BG260,0.5*0.32*(BG56-BG260)*BG13/1000,0)</f>
        <v>0</v>
      </c>
      <c r="BI261" s="86">
        <f>0*IF(BH56&gt;BH260,0.5*0.32*(BH56-BH260)*BH13/1000,0)</f>
        <v>0</v>
      </c>
      <c r="BJ261" s="86">
        <f>0*IF(BI56&gt;BI260,0.5*0.32*(BI56-BI260)*BI13/1000,0)</f>
        <v>0</v>
      </c>
      <c r="BK261" s="86">
        <f>0*IF(BJ56&gt;BJ260,0.5*0.32*(BJ56-BJ260)*BJ13/1000,0)+finsim!BJ225</f>
        <v>0</v>
      </c>
      <c r="BL261" s="86">
        <f>0*IF(BK56&gt;BK260,0.5*0.32*(BK56-BK260)*BK13/1000,0)+finsim!BK225</f>
        <v>0</v>
      </c>
      <c r="BM261" s="86">
        <f>0*IF(BL56&gt;BL260,0.5*0.32*(BL56-BL260)*BL13/1000,0)+finsim!BL225</f>
        <v>0</v>
      </c>
      <c r="BN261" s="86">
        <f>0*IF(BM56&gt;BM260,0.5*0.32*(BM56-BM260)*BM13/1000,0)+finsim!BM225</f>
        <v>0</v>
      </c>
      <c r="BO261" s="86">
        <f>0*IF(BN56&gt;BN260,0.5*0.32*(BN56-BN260)*BN13/1000,0)+finsim!BN225</f>
        <v>0</v>
      </c>
      <c r="BP261" s="86">
        <f>0*IF(BO56&gt;BO260,0.5*0.32*(BO56-BO260)*BO13/1000,0)+finsim!BO225</f>
        <v>0</v>
      </c>
      <c r="BQ261" s="86">
        <f>0*IF(BP56&gt;BP260,0.5*0.32*(BP56-BP260)*BP13/1000,0)+finsim!BP225</f>
        <v>0</v>
      </c>
      <c r="BR261" s="86">
        <f>0*IF(BQ56&gt;BQ260,0.5*0.32*(BQ56-BQ260)*BQ13/1000,0)+finsim!BQ225</f>
        <v>0</v>
      </c>
      <c r="BS261" s="86">
        <f>0*IF(BR56&gt;BR260,0.5*0.32*(BR56-BR260)*BR13/1000,0)+finsim!BR225</f>
        <v>0</v>
      </c>
      <c r="BT261" s="86">
        <f>0*IF(BS56&gt;BS260,0.5*0.32*(BS56-BS260)*BS13/1000,0)+finsim!BS225</f>
        <v>0</v>
      </c>
      <c r="BU261" s="86">
        <f>0*IF(BT56&gt;BT260,0.5*0.32*(BT56-BT260)*BT13/1000,0)+finsim!BT225</f>
        <v>0</v>
      </c>
      <c r="BV261" s="86">
        <f>0*IF(BU56&gt;BU260,0.5*0.32*(BU56-BU260)*BU13/1000,0)+finsim!BU225</f>
        <v>0</v>
      </c>
      <c r="BW261" s="86">
        <f>0*IF(BV56&gt;BV260,0.5*0.32*(BV56-BV260)*BV13/1000,0)+finsim!BV225</f>
        <v>0</v>
      </c>
      <c r="BX261" s="86">
        <f>0*IF(BW56&gt;BW260,0.5*0.32*(BW56-BW260)*BW13/1000,0)+finsim!BW225</f>
        <v>0</v>
      </c>
      <c r="BY261" s="86">
        <f>0*IF(BX56&gt;BX260,0.5*0.32*(BX56-BX260)*BX13/1000,0)+finsim!BX225</f>
        <v>0</v>
      </c>
      <c r="BZ261" s="86">
        <f>0*IF(BY56&gt;BY260,0.5*0.32*(BY56-BY260)*BY13/1000,0)+finsim!BY225</f>
        <v>0</v>
      </c>
      <c r="CA261" s="86">
        <f>0*IF(BZ56&gt;BZ260,0.5*0.32*(BZ56-BZ260)*BZ13/1000,0)+finsim!BZ225</f>
        <v>0</v>
      </c>
      <c r="CB261" s="86">
        <f>0*IF(CA56&gt;CA260,0.5*0.32*(CA56-CA260)*CA13/1000,0)+finsim!CA225</f>
        <v>0</v>
      </c>
      <c r="CC261" s="86">
        <f>0*IF(CB56&gt;CB260,0.5*0.32*(CB56-CB260)*CB13/1000,0)+finsim!CB225</f>
        <v>0</v>
      </c>
      <c r="CD261" s="86">
        <f>0*IF(CC56&gt;CC260,0.5*0.32*(CC56-CC260)*CC13/1000,0)+finsim!CC225</f>
        <v>0</v>
      </c>
      <c r="CE261" s="86"/>
      <c r="CF261" s="442"/>
      <c r="CG261" s="235">
        <f t="shared" si="766"/>
        <v>0</v>
      </c>
      <c r="CH261" s="235">
        <f t="shared" si="767"/>
        <v>0</v>
      </c>
      <c r="CI261" s="235" t="e">
        <f>BM261-#REF!</f>
        <v>#REF!</v>
      </c>
      <c r="CJ261" s="235">
        <f t="shared" si="768"/>
        <v>0</v>
      </c>
      <c r="CK261" s="235">
        <f t="shared" si="769"/>
        <v>0</v>
      </c>
      <c r="CL261" s="235">
        <f t="shared" si="770"/>
        <v>0</v>
      </c>
      <c r="CM261" s="235">
        <f t="shared" si="771"/>
        <v>0</v>
      </c>
      <c r="CN261" s="235">
        <f t="shared" si="772"/>
        <v>0</v>
      </c>
      <c r="CO261" s="235">
        <f t="shared" si="773"/>
        <v>0</v>
      </c>
      <c r="CP261" s="235">
        <f t="shared" si="774"/>
        <v>0</v>
      </c>
      <c r="CQ261" s="235">
        <f t="shared" si="775"/>
        <v>0</v>
      </c>
      <c r="CR261" s="235">
        <f t="shared" si="776"/>
        <v>0</v>
      </c>
      <c r="CS261" s="235">
        <f t="shared" si="777"/>
        <v>0</v>
      </c>
      <c r="CT261" s="235">
        <f t="shared" si="778"/>
        <v>0</v>
      </c>
      <c r="CU261" s="235">
        <f t="shared" si="779"/>
        <v>0</v>
      </c>
      <c r="CV261" s="235">
        <f t="shared" si="780"/>
        <v>0</v>
      </c>
      <c r="CW261" s="235">
        <f t="shared" si="781"/>
        <v>0</v>
      </c>
      <c r="CX261" s="235">
        <f t="shared" si="782"/>
        <v>0</v>
      </c>
      <c r="CY261" s="235">
        <f t="shared" si="783"/>
        <v>0</v>
      </c>
      <c r="CZ261" s="235">
        <f t="shared" si="784"/>
        <v>0</v>
      </c>
      <c r="DA261" s="38"/>
      <c r="DB261" s="236"/>
      <c r="DC261" s="236"/>
      <c r="DD261" s="236">
        <v>0</v>
      </c>
      <c r="DE261" s="236">
        <v>0</v>
      </c>
      <c r="DF261" s="401">
        <v>0</v>
      </c>
      <c r="DG261" s="236">
        <v>0</v>
      </c>
      <c r="DH261" s="492">
        <v>0</v>
      </c>
      <c r="DI261" s="236">
        <v>0</v>
      </c>
      <c r="DJ261" s="236">
        <v>0</v>
      </c>
      <c r="DK261" s="236">
        <v>0</v>
      </c>
      <c r="DL261" s="1085">
        <v>0</v>
      </c>
      <c r="DM261" s="1085">
        <v>0</v>
      </c>
      <c r="DN261" s="1085">
        <v>0</v>
      </c>
      <c r="DO261" s="1085">
        <v>0</v>
      </c>
      <c r="DP261" s="1085">
        <v>0</v>
      </c>
      <c r="DQ261" s="1086">
        <v>0</v>
      </c>
      <c r="DR261" s="1086">
        <v>0</v>
      </c>
      <c r="DS261" s="1086">
        <v>0</v>
      </c>
      <c r="DT261" s="1086">
        <v>0</v>
      </c>
      <c r="DU261" s="1086">
        <v>0</v>
      </c>
      <c r="DV261" s="1086">
        <v>0</v>
      </c>
      <c r="DW261" s="1086">
        <v>0</v>
      </c>
      <c r="DX261" s="1086">
        <v>0</v>
      </c>
      <c r="DY261" s="1086">
        <v>0</v>
      </c>
      <c r="DZ261" s="1086"/>
      <c r="EA261" s="992"/>
    </row>
    <row r="262" spans="1:131" s="88" customFormat="1">
      <c r="A262" s="88" t="s">
        <v>2852</v>
      </c>
      <c r="B262" s="51" t="s">
        <v>1355</v>
      </c>
      <c r="C262" s="51"/>
      <c r="D262" s="207"/>
      <c r="E262" s="207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7"/>
      <c r="AT262" s="207"/>
      <c r="AU262" s="51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>
        <f t="shared" ref="BG262:BL262" si="802">BF262+BG261</f>
        <v>0</v>
      </c>
      <c r="BH262" s="76">
        <f t="shared" si="802"/>
        <v>0</v>
      </c>
      <c r="BI262" s="76">
        <f t="shared" si="802"/>
        <v>0</v>
      </c>
      <c r="BJ262" s="76">
        <f t="shared" si="802"/>
        <v>0</v>
      </c>
      <c r="BK262" s="76">
        <f t="shared" si="802"/>
        <v>0</v>
      </c>
      <c r="BL262" s="76">
        <f t="shared" si="802"/>
        <v>0</v>
      </c>
      <c r="BM262" s="76">
        <f t="shared" ref="BM262:BU262" si="803">BL262+BM261</f>
        <v>0</v>
      </c>
      <c r="BN262" s="76">
        <f t="shared" si="803"/>
        <v>0</v>
      </c>
      <c r="BO262" s="76">
        <f t="shared" si="803"/>
        <v>0</v>
      </c>
      <c r="BP262" s="76">
        <f t="shared" si="803"/>
        <v>0</v>
      </c>
      <c r="BQ262" s="76">
        <f t="shared" si="803"/>
        <v>0</v>
      </c>
      <c r="BR262" s="76">
        <f t="shared" si="803"/>
        <v>0</v>
      </c>
      <c r="BS262" s="76">
        <f t="shared" si="803"/>
        <v>0</v>
      </c>
      <c r="BT262" s="76">
        <f t="shared" si="803"/>
        <v>0</v>
      </c>
      <c r="BU262" s="76">
        <f t="shared" si="803"/>
        <v>0</v>
      </c>
      <c r="BV262" s="76">
        <f t="shared" ref="BV262:BX262" si="804">BU262+BV261</f>
        <v>0</v>
      </c>
      <c r="BW262" s="76">
        <f t="shared" si="804"/>
        <v>0</v>
      </c>
      <c r="BX262" s="76">
        <f t="shared" si="804"/>
        <v>0</v>
      </c>
      <c r="BY262" s="76">
        <f t="shared" ref="BY262" si="805">BX262+BY261</f>
        <v>0</v>
      </c>
      <c r="BZ262" s="76">
        <f t="shared" ref="BZ262" si="806">BY262+BZ261</f>
        <v>0</v>
      </c>
      <c r="CA262" s="76">
        <f t="shared" ref="CA262" si="807">BZ262+CA261</f>
        <v>0</v>
      </c>
      <c r="CB262" s="76">
        <f t="shared" ref="CB262" si="808">CA262+CB261</f>
        <v>0</v>
      </c>
      <c r="CC262" s="76">
        <f t="shared" ref="CC262" si="809">CB262+CC261</f>
        <v>0</v>
      </c>
      <c r="CD262" s="76">
        <f t="shared" ref="CD262" si="810">CC262+CD261</f>
        <v>0</v>
      </c>
      <c r="CE262" s="76"/>
      <c r="CF262" s="435"/>
      <c r="CG262" s="235">
        <f t="shared" si="766"/>
        <v>0</v>
      </c>
      <c r="CH262" s="235">
        <f t="shared" si="767"/>
        <v>0</v>
      </c>
      <c r="CI262" s="235" t="e">
        <f>BM262-#REF!</f>
        <v>#REF!</v>
      </c>
      <c r="CJ262" s="235">
        <f t="shared" si="768"/>
        <v>0</v>
      </c>
      <c r="CK262" s="235">
        <f t="shared" si="769"/>
        <v>0</v>
      </c>
      <c r="CL262" s="235">
        <f t="shared" si="770"/>
        <v>0</v>
      </c>
      <c r="CM262" s="235">
        <f t="shared" si="771"/>
        <v>0</v>
      </c>
      <c r="CN262" s="235">
        <f t="shared" si="772"/>
        <v>0</v>
      </c>
      <c r="CO262" s="235">
        <f t="shared" si="773"/>
        <v>0</v>
      </c>
      <c r="CP262" s="235">
        <f t="shared" si="774"/>
        <v>0</v>
      </c>
      <c r="CQ262" s="235">
        <f t="shared" si="775"/>
        <v>0</v>
      </c>
      <c r="CR262" s="235">
        <f t="shared" si="776"/>
        <v>0</v>
      </c>
      <c r="CS262" s="235">
        <f t="shared" si="777"/>
        <v>0</v>
      </c>
      <c r="CT262" s="235">
        <f t="shared" si="778"/>
        <v>0</v>
      </c>
      <c r="CU262" s="235">
        <f t="shared" si="779"/>
        <v>0</v>
      </c>
      <c r="CV262" s="235">
        <f t="shared" si="780"/>
        <v>0</v>
      </c>
      <c r="CW262" s="235">
        <f t="shared" si="781"/>
        <v>0</v>
      </c>
      <c r="CX262" s="235">
        <f t="shared" si="782"/>
        <v>0</v>
      </c>
      <c r="CY262" s="235">
        <f t="shared" si="783"/>
        <v>0</v>
      </c>
      <c r="CZ262" s="235">
        <f t="shared" si="784"/>
        <v>0</v>
      </c>
      <c r="DA262" s="38"/>
      <c r="DB262" s="236"/>
      <c r="DC262" s="236"/>
      <c r="DD262" s="236">
        <v>0</v>
      </c>
      <c r="DE262" s="236">
        <v>0</v>
      </c>
      <c r="DF262" s="401">
        <v>0</v>
      </c>
      <c r="DG262" s="236">
        <v>0</v>
      </c>
      <c r="DH262" s="492">
        <v>0</v>
      </c>
      <c r="DI262" s="236">
        <v>0</v>
      </c>
      <c r="DJ262" s="236">
        <v>0</v>
      </c>
      <c r="DK262" s="236">
        <v>0</v>
      </c>
      <c r="DL262" s="1085">
        <v>0</v>
      </c>
      <c r="DM262" s="1085">
        <v>0</v>
      </c>
      <c r="DN262" s="1085">
        <v>0</v>
      </c>
      <c r="DO262" s="1085">
        <v>0</v>
      </c>
      <c r="DP262" s="1085">
        <v>0</v>
      </c>
      <c r="DQ262" s="1086">
        <v>0</v>
      </c>
      <c r="DR262" s="1086">
        <v>0</v>
      </c>
      <c r="DS262" s="1086">
        <v>0</v>
      </c>
      <c r="DT262" s="1086">
        <v>0</v>
      </c>
      <c r="DU262" s="1086">
        <v>0</v>
      </c>
      <c r="DV262" s="1086">
        <v>0</v>
      </c>
      <c r="DW262" s="1086">
        <v>0</v>
      </c>
      <c r="DX262" s="1086">
        <v>0</v>
      </c>
      <c r="DY262" s="1086">
        <v>0</v>
      </c>
      <c r="DZ262" s="1086"/>
      <c r="EA262" s="992"/>
    </row>
    <row r="263" spans="1:131" s="19" customFormat="1">
      <c r="A263" s="133" t="s">
        <v>2851</v>
      </c>
      <c r="B263" s="133" t="s">
        <v>2586</v>
      </c>
      <c r="D263" s="206"/>
      <c r="E263" s="206"/>
      <c r="F263" s="206"/>
      <c r="G263" s="206"/>
      <c r="H263" s="206"/>
      <c r="I263" s="206"/>
      <c r="J263" s="206"/>
      <c r="K263" s="206"/>
      <c r="L263" s="206"/>
      <c r="M263" s="206"/>
      <c r="N263" s="206"/>
      <c r="O263" s="206"/>
      <c r="P263" s="206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  <c r="AA263" s="206"/>
      <c r="AB263" s="206"/>
      <c r="AC263" s="206"/>
      <c r="AD263" s="206"/>
      <c r="AE263" s="206"/>
      <c r="AF263" s="206"/>
      <c r="AG263" s="206"/>
      <c r="AH263" s="206"/>
      <c r="AI263" s="206"/>
      <c r="AJ263" s="206"/>
      <c r="AK263" s="206"/>
      <c r="AL263" s="206"/>
      <c r="AM263" s="206"/>
      <c r="AN263" s="206"/>
      <c r="AO263" s="206"/>
      <c r="AP263" s="206"/>
      <c r="AQ263" s="206"/>
      <c r="AR263" s="206"/>
      <c r="AS263" s="206"/>
      <c r="AT263" s="206"/>
      <c r="AU263" s="63"/>
      <c r="AV263" s="76"/>
      <c r="AW263" s="76"/>
      <c r="AX263" s="76"/>
      <c r="AY263" s="76"/>
      <c r="AZ263" s="76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80"/>
      <c r="BL263" s="80"/>
      <c r="BM263" s="80"/>
      <c r="BN263" s="80"/>
      <c r="BO263" s="80"/>
      <c r="BP263" s="80"/>
      <c r="BQ263" s="80"/>
      <c r="BR263" s="80"/>
      <c r="BS263" s="80"/>
      <c r="BT263" s="80"/>
      <c r="BU263" s="80"/>
      <c r="BV263" s="80"/>
      <c r="BW263" s="80"/>
      <c r="BX263" s="80"/>
      <c r="BY263" s="80"/>
      <c r="BZ263" s="80"/>
      <c r="CA263" s="80"/>
      <c r="CB263" s="80"/>
      <c r="CC263" s="80"/>
      <c r="CD263" s="80"/>
      <c r="CE263" s="80"/>
      <c r="CF263" s="435"/>
      <c r="CG263" s="235">
        <f t="shared" si="766"/>
        <v>0</v>
      </c>
      <c r="CH263" s="235">
        <f t="shared" si="767"/>
        <v>0</v>
      </c>
      <c r="CI263" s="235" t="e">
        <f>BM263-#REF!</f>
        <v>#REF!</v>
      </c>
      <c r="CJ263" s="235">
        <f t="shared" si="768"/>
        <v>0</v>
      </c>
      <c r="CK263" s="235">
        <f t="shared" si="769"/>
        <v>0</v>
      </c>
      <c r="CL263" s="235">
        <f t="shared" si="770"/>
        <v>0</v>
      </c>
      <c r="CM263" s="235">
        <f t="shared" si="771"/>
        <v>0</v>
      </c>
      <c r="CN263" s="235">
        <f t="shared" si="772"/>
        <v>0</v>
      </c>
      <c r="CO263" s="235">
        <f t="shared" si="773"/>
        <v>0</v>
      </c>
      <c r="CP263" s="235">
        <f t="shared" si="774"/>
        <v>0</v>
      </c>
      <c r="CQ263" s="235">
        <f t="shared" si="775"/>
        <v>0</v>
      </c>
      <c r="CR263" s="235">
        <f t="shared" si="776"/>
        <v>0</v>
      </c>
      <c r="CS263" s="235">
        <f t="shared" si="777"/>
        <v>0</v>
      </c>
      <c r="CT263" s="235">
        <f t="shared" si="778"/>
        <v>0</v>
      </c>
      <c r="CU263" s="235">
        <f t="shared" si="779"/>
        <v>0</v>
      </c>
      <c r="CV263" s="235">
        <f t="shared" si="780"/>
        <v>0</v>
      </c>
      <c r="CW263" s="235">
        <f t="shared" si="781"/>
        <v>0</v>
      </c>
      <c r="CX263" s="235">
        <f t="shared" si="782"/>
        <v>0</v>
      </c>
      <c r="CY263" s="235">
        <f t="shared" si="783"/>
        <v>0</v>
      </c>
      <c r="CZ263" s="235">
        <f t="shared" si="784"/>
        <v>0</v>
      </c>
      <c r="DA263" s="38"/>
      <c r="DB263" s="236"/>
      <c r="DC263" s="236"/>
      <c r="DD263" s="236"/>
      <c r="DE263" s="236"/>
      <c r="DF263" s="401"/>
      <c r="DG263" s="236"/>
      <c r="DH263" s="492"/>
      <c r="DI263" s="236"/>
      <c r="DJ263" s="236"/>
      <c r="DK263" s="236"/>
      <c r="DL263" s="236"/>
      <c r="DM263" s="236"/>
      <c r="DN263" s="236"/>
      <c r="DO263" s="236"/>
      <c r="DP263" s="236"/>
      <c r="DQ263" s="1084"/>
      <c r="DR263" s="1084"/>
      <c r="DS263" s="1084"/>
      <c r="DT263" s="1084"/>
      <c r="DU263" s="1084"/>
      <c r="DV263" s="1084"/>
      <c r="DW263" s="1084"/>
      <c r="DX263" s="1084"/>
      <c r="DY263" s="1084"/>
      <c r="DZ263" s="1084"/>
      <c r="EA263" s="988"/>
    </row>
    <row r="264" spans="1:131" s="76" customFormat="1">
      <c r="A264" s="256" t="s">
        <v>3615</v>
      </c>
      <c r="B264" s="80" t="s">
        <v>4246</v>
      </c>
      <c r="C264" s="51" t="s">
        <v>2587</v>
      </c>
      <c r="D264" s="207"/>
      <c r="E264" s="207"/>
      <c r="F264" s="80">
        <f t="shared" ref="F264:BQ264" si="811">(F218+F220+F223+F230)-(F242+F244+F245+F247+F249+F252)-F259-F256</f>
        <v>6.1467759597651954E-3</v>
      </c>
      <c r="G264" s="80">
        <f t="shared" si="811"/>
        <v>4.3439707889079129E-3</v>
      </c>
      <c r="H264" s="80">
        <f t="shared" si="811"/>
        <v>3.4204278765919516E-3</v>
      </c>
      <c r="I264" s="80">
        <f t="shared" si="811"/>
        <v>1.2241416489654705E-3</v>
      </c>
      <c r="J264" s="80">
        <f t="shared" si="811"/>
        <v>-1.4048303510485246E-4</v>
      </c>
      <c r="K264" s="80">
        <f t="shared" si="811"/>
        <v>-1.2283235056764711E-3</v>
      </c>
      <c r="L264" s="80">
        <f t="shared" si="811"/>
        <v>-2.9928887860304048E-3</v>
      </c>
      <c r="M264" s="80">
        <f t="shared" si="811"/>
        <v>-8.7754688560368332E-3</v>
      </c>
      <c r="N264" s="80">
        <f t="shared" si="811"/>
        <v>-8.3123585403163218E-3</v>
      </c>
      <c r="O264" s="80">
        <f t="shared" si="811"/>
        <v>-6.3805202637231082E-3</v>
      </c>
      <c r="P264" s="80">
        <f t="shared" si="811"/>
        <v>-5.3459152566764498E-3</v>
      </c>
      <c r="Q264" s="80">
        <f t="shared" si="811"/>
        <v>-5.846144479554824E-3</v>
      </c>
      <c r="R264" s="80">
        <f t="shared" si="811"/>
        <v>-5.687706735080459E-3</v>
      </c>
      <c r="S264" s="80">
        <f t="shared" si="811"/>
        <v>-1.5727983990111768E-3</v>
      </c>
      <c r="T264" s="80">
        <f t="shared" si="811"/>
        <v>-4.5933708292095242E-3</v>
      </c>
      <c r="U264" s="80">
        <f t="shared" si="811"/>
        <v>-1.4390277733365773E-2</v>
      </c>
      <c r="V264" s="80">
        <f t="shared" si="811"/>
        <v>-2.4175443061730993E-2</v>
      </c>
      <c r="W264" s="80">
        <f t="shared" si="811"/>
        <v>-1.790626602207809E-2</v>
      </c>
      <c r="X264" s="80">
        <f t="shared" si="811"/>
        <v>-3.8788884009105046E-2</v>
      </c>
      <c r="Y264" s="80">
        <f t="shared" si="811"/>
        <v>-5.1655415961800684E-2</v>
      </c>
      <c r="Z264" s="80">
        <f t="shared" si="811"/>
        <v>-6.1844667633345694E-2</v>
      </c>
      <c r="AA264" s="80">
        <f t="shared" si="811"/>
        <v>-0.12212886099262474</v>
      </c>
      <c r="AB264" s="80">
        <f t="shared" si="811"/>
        <v>-0.14714087871953038</v>
      </c>
      <c r="AC264" s="80">
        <f t="shared" si="811"/>
        <v>-0.16627123145482767</v>
      </c>
      <c r="AD264" s="80">
        <f t="shared" si="811"/>
        <v>-0.16421663294483529</v>
      </c>
      <c r="AE264" s="80">
        <f t="shared" si="811"/>
        <v>-0.16727829443088799</v>
      </c>
      <c r="AF264" s="80">
        <f t="shared" si="811"/>
        <v>-0.15625998582630551</v>
      </c>
      <c r="AG264" s="80">
        <f t="shared" si="811"/>
        <v>-0.21941697722822895</v>
      </c>
      <c r="AH264" s="80">
        <f t="shared" si="811"/>
        <v>-0.3128187810701728</v>
      </c>
      <c r="AI264" s="80">
        <f t="shared" si="811"/>
        <v>-0.3484433977041913</v>
      </c>
      <c r="AJ264" s="80">
        <f t="shared" si="811"/>
        <v>-0.32299803868728988</v>
      </c>
      <c r="AK264" s="80">
        <f t="shared" si="811"/>
        <v>-0.31671267810229314</v>
      </c>
      <c r="AL264" s="80">
        <f t="shared" si="811"/>
        <v>-0.38287342496762045</v>
      </c>
      <c r="AM264" s="80">
        <f t="shared" si="811"/>
        <v>-0.44387774031270449</v>
      </c>
      <c r="AN264" s="80">
        <f t="shared" si="811"/>
        <v>-0.435184376469682</v>
      </c>
      <c r="AO264" s="80">
        <f t="shared" si="811"/>
        <v>-0.48720182699870601</v>
      </c>
      <c r="AP264" s="80">
        <f t="shared" si="811"/>
        <v>-0.42381541957416202</v>
      </c>
      <c r="AQ264" s="80">
        <f t="shared" si="811"/>
        <v>-0.586885709755812</v>
      </c>
      <c r="AR264" s="80">
        <f t="shared" si="811"/>
        <v>-0.82063874436380657</v>
      </c>
      <c r="AS264" s="80">
        <f t="shared" si="811"/>
        <v>-1.3507831349250574</v>
      </c>
      <c r="AT264" s="80">
        <f t="shared" si="811"/>
        <v>-304.88162950752053</v>
      </c>
      <c r="AU264" s="80">
        <f t="shared" si="811"/>
        <v>-13.95361658069849</v>
      </c>
      <c r="AV264" s="80">
        <f t="shared" si="811"/>
        <v>-71.095745749999992</v>
      </c>
      <c r="AW264" s="80">
        <f t="shared" si="811"/>
        <v>-47.556150462000005</v>
      </c>
      <c r="AX264" s="80">
        <f t="shared" si="811"/>
        <v>-85.041578144999988</v>
      </c>
      <c r="AY264" s="80">
        <f t="shared" si="811"/>
        <v>-84.621926989999992</v>
      </c>
      <c r="AZ264" s="80">
        <f t="shared" si="811"/>
        <v>-152.05527539999997</v>
      </c>
      <c r="BA264" s="80">
        <f t="shared" si="811"/>
        <v>-21.484433000000116</v>
      </c>
      <c r="BB264" s="80">
        <f t="shared" si="811"/>
        <v>-142.8035439999999</v>
      </c>
      <c r="BC264" s="80">
        <f t="shared" si="811"/>
        <v>-22.296866999999921</v>
      </c>
      <c r="BD264" s="80">
        <f t="shared" si="811"/>
        <v>-91.511928000000069</v>
      </c>
      <c r="BE264" s="80">
        <f t="shared" si="811"/>
        <v>-117.53511394</v>
      </c>
      <c r="BF264" s="80">
        <f t="shared" si="811"/>
        <v>-192.17785918150014</v>
      </c>
      <c r="BG264" s="80">
        <f t="shared" si="811"/>
        <v>-73.48415000000017</v>
      </c>
      <c r="BH264" s="80">
        <f t="shared" si="811"/>
        <v>-98.646661000005224</v>
      </c>
      <c r="BI264" s="80">
        <f t="shared" si="811"/>
        <v>-268.91881300000057</v>
      </c>
      <c r="BJ264" s="80">
        <f t="shared" si="811"/>
        <v>-498.39054599999986</v>
      </c>
      <c r="BK264" s="80">
        <f t="shared" si="811"/>
        <v>-128.97248800000068</v>
      </c>
      <c r="BL264" s="80">
        <f t="shared" si="811"/>
        <v>-386.0999999999998</v>
      </c>
      <c r="BM264" s="80">
        <f t="shared" si="811"/>
        <v>-768.10007359821839</v>
      </c>
      <c r="BN264" s="80">
        <f t="shared" si="811"/>
        <v>-813.5997910000001</v>
      </c>
      <c r="BO264" s="80">
        <f>(BO218+BO220+BO223+BO230)-(BO242+BO244+BO245+BO247+BO249+BO252)-BO259-BO256</f>
        <v>-1372.9000040000005</v>
      </c>
      <c r="BP264" s="80">
        <f t="shared" ca="1" si="811"/>
        <v>-1853.6328230934787</v>
      </c>
      <c r="BQ264" s="80">
        <f t="shared" ca="1" si="811"/>
        <v>-2002.6783561634631</v>
      </c>
      <c r="BR264" s="80">
        <f ca="1">(BR218+BR220+BR223+BR230)-(BR242+BR244+BR245+BR247+BR249+BR252)-BR259-BR256</f>
        <v>-2209.2380920470487</v>
      </c>
      <c r="BS264" s="80">
        <f ca="1">(BS218+BS220+BS223+BS230)-(BS242+BS244+BS245+BS247+BS249+BS252)-BS259-BS256</f>
        <v>-2559.4376926207356</v>
      </c>
      <c r="BT264" s="80">
        <f ca="1">(BT218+BT220+BT223+BT230)-(BT242+BT244+BT245+BT247+BT249+BT252)-BT259-BT256</f>
        <v>-3019.5394104361267</v>
      </c>
      <c r="BU264" s="80">
        <f ca="1">(BU218+BU220+BU223+BU230)-(BU242+BU244+BU245+BU247+BU249+BU252)-BU259-BU256</f>
        <v>-3496.3007210635733</v>
      </c>
      <c r="BV264" s="80">
        <f ca="1">(BV218+BV220+BV223+BV230)-(BV242+BV244+BV245+BV247+BV249+BV252)-BV259-BV256</f>
        <v>-4038.0916332787688</v>
      </c>
      <c r="BW264" s="80">
        <f t="shared" ref="BW264:BX264" ca="1" si="812">(BW218+BW220+BW223+BW230)-(BW242+BW244+BW245+BW247+BW249+BW252)-BW259-BW256</f>
        <v>-4639.0888060340985</v>
      </c>
      <c r="BX264" s="80">
        <f t="shared" ca="1" si="812"/>
        <v>-5322.6596595955707</v>
      </c>
      <c r="BY264" s="80">
        <f t="shared" ref="BY264:CD264" ca="1" si="813">(BY218+BY220+BY223+BY230)-(BY242+BY244+BY245+BY247+BY249+BY252)-BY259-BY256</f>
        <v>-6097.6973517788701</v>
      </c>
      <c r="BZ264" s="80">
        <f t="shared" ca="1" si="813"/>
        <v>-6941.878458382138</v>
      </c>
      <c r="CA264" s="80">
        <f t="shared" ca="1" si="813"/>
        <v>-7887.7654681942513</v>
      </c>
      <c r="CB264" s="80">
        <f t="shared" ca="1" si="813"/>
        <v>-8934.270143005675</v>
      </c>
      <c r="CC264" s="80">
        <f t="shared" ca="1" si="813"/>
        <v>-10112.610691774342</v>
      </c>
      <c r="CD264" s="80">
        <f t="shared" ca="1" si="813"/>
        <v>-11438.404409021368</v>
      </c>
      <c r="CE264" s="80"/>
      <c r="CF264" s="435"/>
      <c r="CG264" s="235">
        <f t="shared" si="766"/>
        <v>0</v>
      </c>
      <c r="CH264" s="235">
        <f t="shared" si="767"/>
        <v>0</v>
      </c>
      <c r="CI264" s="235" t="e">
        <f>BM264-#REF!</f>
        <v>#REF!</v>
      </c>
      <c r="CJ264" s="235">
        <f t="shared" si="768"/>
        <v>0</v>
      </c>
      <c r="CK264" s="235">
        <f t="shared" si="769"/>
        <v>0</v>
      </c>
      <c r="CL264" s="235">
        <f t="shared" ca="1" si="770"/>
        <v>0</v>
      </c>
      <c r="CM264" s="235">
        <f t="shared" ca="1" si="771"/>
        <v>-2.7284841053187847E-12</v>
      </c>
      <c r="CN264" s="235">
        <f t="shared" ca="1" si="772"/>
        <v>0</v>
      </c>
      <c r="CO264" s="235">
        <f t="shared" ca="1" si="773"/>
        <v>-3.637978807091713E-12</v>
      </c>
      <c r="CP264" s="235">
        <f t="shared" ca="1" si="774"/>
        <v>0</v>
      </c>
      <c r="CQ264" s="235">
        <f t="shared" ca="1" si="775"/>
        <v>3.637978807091713E-12</v>
      </c>
      <c r="CR264" s="235">
        <f t="shared" ca="1" si="776"/>
        <v>5.9117155615240335E-12</v>
      </c>
      <c r="CS264" s="235">
        <f t="shared" ca="1" si="777"/>
        <v>7.2759576141834259E-12</v>
      </c>
      <c r="CT264" s="235">
        <f t="shared" ca="1" si="778"/>
        <v>0</v>
      </c>
      <c r="CU264" s="235">
        <f t="shared" ca="1" si="779"/>
        <v>0</v>
      </c>
      <c r="CV264" s="235">
        <f t="shared" ca="1" si="780"/>
        <v>0</v>
      </c>
      <c r="CW264" s="235">
        <f t="shared" ca="1" si="781"/>
        <v>-9.0949470177292824E-12</v>
      </c>
      <c r="CX264" s="235">
        <f t="shared" ca="1" si="782"/>
        <v>-3.0013325158506632E-10</v>
      </c>
      <c r="CY264" s="235">
        <f t="shared" ca="1" si="783"/>
        <v>-3.0686351237818599E-9</v>
      </c>
      <c r="CZ264" s="235">
        <f t="shared" ca="1" si="784"/>
        <v>-2.4108885554596782E-8</v>
      </c>
      <c r="DA264" s="38"/>
      <c r="DB264" s="236">
        <v>-186.4301331815</v>
      </c>
      <c r="DC264" s="236">
        <v>-185.43013318150008</v>
      </c>
      <c r="DD264" s="236">
        <v>-279.14293099999992</v>
      </c>
      <c r="DE264" s="236">
        <v>269.77149000000031</v>
      </c>
      <c r="DF264" s="401">
        <v>-336.49293962999991</v>
      </c>
      <c r="DG264" s="236">
        <v>-128.97248800000068</v>
      </c>
      <c r="DH264" s="492">
        <v>-386.0999999999998</v>
      </c>
      <c r="DI264" s="236">
        <v>-813.5997910000001</v>
      </c>
      <c r="DJ264" s="236">
        <v>-1372.9000040000005</v>
      </c>
      <c r="DK264" s="236">
        <v>-1853.6328230934778</v>
      </c>
      <c r="DL264" s="236">
        <v>-2002.6783561634604</v>
      </c>
      <c r="DM264" s="236">
        <v>-2209.2380920470459</v>
      </c>
      <c r="DN264" s="236">
        <v>-2559.4376926207319</v>
      </c>
      <c r="DO264" s="236">
        <v>-3019.5394104361249</v>
      </c>
      <c r="DP264" s="236">
        <v>-3496.3007210635769</v>
      </c>
      <c r="DQ264" s="401">
        <v>-4038.0916332787747</v>
      </c>
      <c r="DR264" s="401">
        <v>-4639.0888060341058</v>
      </c>
      <c r="DS264" s="401">
        <v>-5322.6596595955752</v>
      </c>
      <c r="DT264" s="401">
        <v>-6097.6973517788765</v>
      </c>
      <c r="DU264" s="401">
        <v>-6941.8784583821434</v>
      </c>
      <c r="DV264" s="401">
        <v>-7887.7654681942422</v>
      </c>
      <c r="DW264" s="401">
        <v>-8934.2701430053748</v>
      </c>
      <c r="DX264" s="401">
        <v>-10112.610691771273</v>
      </c>
      <c r="DY264" s="401">
        <v>-11438.404408997259</v>
      </c>
      <c r="DZ264" s="401"/>
      <c r="EA264" s="989"/>
    </row>
    <row r="265" spans="1:131" s="76" customFormat="1">
      <c r="A265" s="256"/>
      <c r="B265" s="80" t="s">
        <v>4064</v>
      </c>
      <c r="C265" s="51"/>
      <c r="D265" s="207"/>
      <c r="E265" s="207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  <c r="BI265" s="80"/>
      <c r="BJ265" s="80"/>
      <c r="BK265" s="80"/>
      <c r="BL265" s="80"/>
      <c r="BM265" s="80"/>
      <c r="BN265" s="999">
        <f>DataInput!BN289</f>
        <v>0</v>
      </c>
      <c r="BO265" s="999">
        <f>DataInput!BO289</f>
        <v>0</v>
      </c>
      <c r="BP265" s="999">
        <f>DataInput!BP289</f>
        <v>0</v>
      </c>
      <c r="BQ265" s="999">
        <f>DataInput!BQ289</f>
        <v>0</v>
      </c>
      <c r="BR265" s="999">
        <f>DataInput!BR289</f>
        <v>0</v>
      </c>
      <c r="BS265" s="999">
        <f>DataInput!BS289</f>
        <v>0</v>
      </c>
      <c r="BT265" s="999">
        <f>DataInput!BT289</f>
        <v>0</v>
      </c>
      <c r="BU265" s="999">
        <f>DataInput!BU289</f>
        <v>0</v>
      </c>
      <c r="BV265" s="999">
        <f>DataInput!BV289</f>
        <v>0</v>
      </c>
      <c r="BW265" s="999">
        <f>DataInput!BW289</f>
        <v>0</v>
      </c>
      <c r="BX265" s="999">
        <f>DataInput!BX289</f>
        <v>0</v>
      </c>
      <c r="BY265" s="999">
        <f>DataInput!BY289</f>
        <v>0</v>
      </c>
      <c r="BZ265" s="999">
        <f>DataInput!BZ289</f>
        <v>0</v>
      </c>
      <c r="CA265" s="999">
        <f>DataInput!CA289</f>
        <v>0</v>
      </c>
      <c r="CB265" s="999">
        <f>DataInput!CB289</f>
        <v>0</v>
      </c>
      <c r="CC265" s="999">
        <f>DataInput!CC289</f>
        <v>0</v>
      </c>
      <c r="CD265" s="999">
        <f>DataInput!CD289</f>
        <v>0</v>
      </c>
      <c r="CE265" s="80"/>
      <c r="CF265" s="435"/>
      <c r="CG265" s="235"/>
      <c r="CH265" s="235"/>
      <c r="CI265" s="235"/>
      <c r="CJ265" s="235"/>
      <c r="CK265" s="235"/>
      <c r="CL265" s="235"/>
      <c r="CM265" s="235"/>
      <c r="CN265" s="235"/>
      <c r="CO265" s="235"/>
      <c r="CP265" s="235"/>
      <c r="CQ265" s="235"/>
      <c r="CR265" s="235"/>
      <c r="CS265" s="235"/>
      <c r="CT265" s="235"/>
      <c r="CU265" s="235"/>
      <c r="CV265" s="235"/>
      <c r="CW265" s="235"/>
      <c r="CX265" s="235"/>
      <c r="CY265" s="235"/>
      <c r="CZ265" s="235"/>
      <c r="DA265" s="38"/>
      <c r="DB265" s="236"/>
      <c r="DC265" s="236"/>
      <c r="DD265" s="236"/>
      <c r="DE265" s="236"/>
      <c r="DF265" s="401"/>
      <c r="DG265" s="236"/>
      <c r="DH265" s="492"/>
      <c r="DI265" s="236">
        <v>0</v>
      </c>
      <c r="DJ265" s="236">
        <v>0</v>
      </c>
      <c r="DK265" s="236">
        <v>0</v>
      </c>
      <c r="DL265" s="236">
        <v>0</v>
      </c>
      <c r="DM265" s="236">
        <v>0</v>
      </c>
      <c r="DN265" s="236">
        <v>0</v>
      </c>
      <c r="DO265" s="236">
        <v>0</v>
      </c>
      <c r="DP265" s="236">
        <v>0</v>
      </c>
      <c r="DQ265" s="401">
        <v>0</v>
      </c>
      <c r="DR265" s="401">
        <v>0</v>
      </c>
      <c r="DS265" s="401">
        <v>0</v>
      </c>
      <c r="DT265" s="401">
        <v>0</v>
      </c>
      <c r="DU265" s="401">
        <v>0</v>
      </c>
      <c r="DV265" s="401">
        <v>0</v>
      </c>
      <c r="DW265" s="401">
        <v>0</v>
      </c>
      <c r="DX265" s="401">
        <v>0</v>
      </c>
      <c r="DY265" s="401">
        <v>0</v>
      </c>
      <c r="DZ265" s="401"/>
      <c r="EA265" s="989"/>
    </row>
    <row r="266" spans="1:131" s="76" customFormat="1">
      <c r="A266" s="76" t="str">
        <f>DataInput!A295</f>
        <v>Overall balance</v>
      </c>
      <c r="B266" s="80" t="s">
        <v>4247</v>
      </c>
      <c r="C266" s="351" t="s">
        <v>3739</v>
      </c>
      <c r="D266" s="207"/>
      <c r="E266" s="207"/>
      <c r="F266" s="80">
        <f>(F218+F220+F223+F230)-(F242+F244+F245+F247+F249+F252)-F256+F237-F259-DataInput!F289</f>
        <v>6.1467759597651954E-3</v>
      </c>
      <c r="G266" s="80">
        <f>(G218+G220+G223+G230)-(G242+G244+G245+G247+G249+G252)-G256+G237-G259-DataInput!G289</f>
        <v>4.3439707889079129E-3</v>
      </c>
      <c r="H266" s="80">
        <f>(H218+H220+H223+H230)-(H242+H244+H245+H247+H249+H252)-H256+H237-H259-DataInput!H289</f>
        <v>3.4204278765919516E-3</v>
      </c>
      <c r="I266" s="80">
        <f>(I218+I220+I223+I230)-(I242+I244+I245+I247+I249+I252)-I256+I237-I259-DataInput!I289</f>
        <v>1.2241416489654705E-3</v>
      </c>
      <c r="J266" s="80">
        <f>(J218+J220+J223+J230)-(J242+J244+J245+J247+J249+J252)-J256+J237-J259-DataInput!J289</f>
        <v>-1.4048303510485246E-4</v>
      </c>
      <c r="K266" s="80">
        <f>(K218+K220+K223+K230)-(K242+K244+K245+K247+K249+K252)-K256+K237-K259-DataInput!K289</f>
        <v>-1.2283235056764711E-3</v>
      </c>
      <c r="L266" s="80">
        <f>(L218+L220+L223+L230)-(L242+L244+L245+L247+L249+L252)-L256+L237-L259-DataInput!L289</f>
        <v>-2.9928887860304048E-3</v>
      </c>
      <c r="M266" s="80">
        <f>(M218+M220+M223+M230)-(M242+M244+M245+M247+M249+M252)-M256+M237-M259-DataInput!M289</f>
        <v>-8.7754688560368332E-3</v>
      </c>
      <c r="N266" s="80">
        <f>(N218+N220+N223+N230)-(N242+N244+N245+N247+N249+N252)-N256+N237-N259-DataInput!N289</f>
        <v>-8.3123585403163218E-3</v>
      </c>
      <c r="O266" s="80">
        <f>(O218+O220+O223+O230)-(O242+O244+O245+O247+O249+O252)-O256+O237-O259-DataInput!O289</f>
        <v>-6.3805202637231082E-3</v>
      </c>
      <c r="P266" s="80">
        <f>(P218+P220+P223+P230)-(P242+P244+P245+P247+P249+P252)-P256+P237-P259-DataInput!P289</f>
        <v>-5.3459152566764498E-3</v>
      </c>
      <c r="Q266" s="80">
        <f>(Q218+Q220+Q223+Q230)-(Q242+Q244+Q245+Q247+Q249+Q252)-Q256+Q237-Q259-DataInput!Q289</f>
        <v>-5.846144479554824E-3</v>
      </c>
      <c r="R266" s="80">
        <f>(R218+R220+R223+R230)-(R242+R244+R245+R247+R249+R252)-R256+R237-R259-DataInput!R289</f>
        <v>-5.687706735080459E-3</v>
      </c>
      <c r="S266" s="80">
        <f>(S218+S220+S223+S230)-(S242+S244+S245+S247+S249+S252)-S256+S237-S259-DataInput!S289</f>
        <v>-1.5727983990111768E-3</v>
      </c>
      <c r="T266" s="80">
        <f>(T218+T220+T223+T230)-(T242+T244+T245+T247+T249+T252)-T256+T237-T259-DataInput!T289</f>
        <v>-4.5933708292095242E-3</v>
      </c>
      <c r="U266" s="80">
        <f>(U218+U220+U223+U230)-(U242+U244+U245+U247+U249+U252)-U256+U237-U259-DataInput!U289</f>
        <v>-1.4390277733365773E-2</v>
      </c>
      <c r="V266" s="80">
        <f>(V218+V220+V223+V230)-(V242+V244+V245+V247+V249+V252)-V256+V237-V259-DataInput!V289</f>
        <v>-2.4175443061730993E-2</v>
      </c>
      <c r="W266" s="80">
        <f>(W218+W220+W223+W230)-(W242+W244+W245+W247+W249+W252)-W256+W237-W259-DataInput!W289</f>
        <v>-1.790626602207809E-2</v>
      </c>
      <c r="X266" s="80">
        <f>(X218+X220+X223+X230)-(X242+X244+X245+X247+X249+X252)-X256+X237-X259-DataInput!X289</f>
        <v>-3.8788884009105046E-2</v>
      </c>
      <c r="Y266" s="80">
        <f>(Y218+Y220+Y223+Y230)-(Y242+Y244+Y245+Y247+Y249+Y252)-Y256+Y237-Y259-DataInput!Y289</f>
        <v>-5.1655415961800684E-2</v>
      </c>
      <c r="Z266" s="80">
        <f>(Z218+Z220+Z223+Z230)-(Z242+Z244+Z245+Z247+Z249+Z252)-Z256+Z237-Z259-DataInput!Z289</f>
        <v>-6.1844667633345694E-2</v>
      </c>
      <c r="AA266" s="80">
        <f>(AA218+AA220+AA223+AA230)-(AA242+AA244+AA245+AA247+AA249+AA252)-AA256+AA237-AA259-DataInput!AA289</f>
        <v>-0.12212886099262474</v>
      </c>
      <c r="AB266" s="80">
        <f>(AB218+AB220+AB223+AB230)-(AB242+AB244+AB245+AB247+AB249+AB252)-AB256+AB237-AB259-DataInput!AB289</f>
        <v>-0.14714087871953038</v>
      </c>
      <c r="AC266" s="80">
        <f>(AC218+AC220+AC223+AC230)-(AC242+AC244+AC245+AC247+AC249+AC252)-AC256+AC237-AC259-DataInput!AC289</f>
        <v>-0.16627123145482767</v>
      </c>
      <c r="AD266" s="80">
        <f>(AD218+AD220+AD223+AD230)-(AD242+AD244+AD245+AD247+AD249+AD252)-AD256+AD237-AD259-DataInput!AD289</f>
        <v>-0.16421663294483529</v>
      </c>
      <c r="AE266" s="80">
        <f>(AE218+AE220+AE223+AE230)-(AE242+AE244+AE245+AE247+AE249+AE252)-AE256+AE237-AE259-DataInput!AE289</f>
        <v>-0.16727829443088799</v>
      </c>
      <c r="AF266" s="80">
        <f>(AF218+AF220+AF223+AF230)-(AF242+AF244+AF245+AF247+AF249+AF252)-AF256+AF237-AF259-DataInput!AF289</f>
        <v>-0.15625998582630551</v>
      </c>
      <c r="AG266" s="80">
        <f>(AG218+AG220+AG223+AG230)-(AG242+AG244+AG245+AG247+AG249+AG252)-AG256+AG237-AG259-DataInput!AG289</f>
        <v>-0.21941697722822895</v>
      </c>
      <c r="AH266" s="80">
        <f>(AH218+AH220+AH223+AH230)-(AH242+AH244+AH245+AH247+AH249+AH252)-AH256+AH237-AH259-DataInput!AH289</f>
        <v>-0.3128187810701728</v>
      </c>
      <c r="AI266" s="80">
        <f>(AI218+AI220+AI223+AI230)-(AI242+AI244+AI245+AI247+AI249+AI252)-AI256+AI237-AI259-DataInput!AI289</f>
        <v>-0.3484433977041913</v>
      </c>
      <c r="AJ266" s="80">
        <f>(AJ218+AJ220+AJ223+AJ230)-(AJ242+AJ244+AJ245+AJ247+AJ249+AJ252)-AJ256+AJ237-AJ259-DataInput!AJ289</f>
        <v>-0.32299803868728988</v>
      </c>
      <c r="AK266" s="80">
        <f>(AK218+AK220+AK223+AK230)-(AK242+AK244+AK245+AK247+AK249+AK252)-AK256+AK237-AK259-DataInput!AK289</f>
        <v>-0.31671267810229314</v>
      </c>
      <c r="AL266" s="80">
        <f>(AL218+AL220+AL223+AL230)-(AL242+AL244+AL245+AL247+AL249+AL252)-AL256+AL237-AL259-DataInput!AL289</f>
        <v>-0.38287342496762045</v>
      </c>
      <c r="AM266" s="80">
        <f>(AM218+AM220+AM223+AM230)-(AM242+AM244+AM245+AM247+AM249+AM252)-AM256+AM237-AM259-DataInput!AM289</f>
        <v>-0.44387774031270449</v>
      </c>
      <c r="AN266" s="80">
        <f>(AN218+AN220+AN223+AN230)-(AN242+AN244+AN245+AN247+AN249+AN252)-AN256+AN237-AN259-DataInput!AN289</f>
        <v>-0.435184376469682</v>
      </c>
      <c r="AO266" s="80">
        <f>(AO218+AO220+AO223+AO230)-(AO242+AO244+AO245+AO247+AO249+AO252)-AO256+AO237-AO259-DataInput!AO289</f>
        <v>-0.48720182699870601</v>
      </c>
      <c r="AP266" s="80">
        <f>(AP218+AP220+AP223+AP230)-(AP242+AP244+AP245+AP247+AP249+AP252)-AP256+AP237-AP259-DataInput!AP289</f>
        <v>-0.42381541957416202</v>
      </c>
      <c r="AQ266" s="80">
        <f>(AQ218+AQ220+AQ223+AQ230)-(AQ242+AQ244+AQ245+AQ247+AQ249+AQ252)-AQ256+AQ237-AQ259-DataInput!AQ289</f>
        <v>-0.586885709755812</v>
      </c>
      <c r="AR266" s="80">
        <f>(AR218+AR220+AR223+AR230)-(AR242+AR244+AR245+AR247+AR249+AR252)-AR256+AR237-AR259-DataInput!AR289</f>
        <v>-0.82063874436380657</v>
      </c>
      <c r="AS266" s="80">
        <f>(AS218+AS220+AS223+AS230)-(AS242+AS244+AS245+AS247+AS249+AS252)-AS256+AS237-AS259-DataInput!AS289</f>
        <v>-1.3507831349250574</v>
      </c>
      <c r="AT266" s="80">
        <f>(AT218+AT220+AT223+AT230)-(AT242+AT244+AT245+AT247+AT249+AT252)-AT256+AT237-AT259-DataInput!AT289</f>
        <v>-120.88162950752053</v>
      </c>
      <c r="AU266" s="80">
        <f>(AU218+AU220+AU223+AU230)-(AU242+AU244+AU245+AU247+AU249+AU252)-AU256+AU237-AU259-DataInput!AU289</f>
        <v>-13.95361658069849</v>
      </c>
      <c r="AV266" s="80">
        <f>(AV218+AV220+AV223+AV230)-(AV242+AV244+AV245+AV247+AV249+AV252)-AV256+AV237-AV259-DataInput!AV289</f>
        <v>-49.291038699999994</v>
      </c>
      <c r="AW266" s="80">
        <f>(AW218+AW220+AW223+AW230)-(AW242+AW244+AW245+AW247+AW249+AW252)-AW256+AW237-AW259-DataInput!AW289</f>
        <v>-38.308087961999995</v>
      </c>
      <c r="AX266" s="80">
        <f>(AX218+AX220+AX223+AX230)-(AX242+AX244+AX245+AX247+AX249+AX252)-AX256+AX237-AX259-DataInput!AX289</f>
        <v>-71.142918144999982</v>
      </c>
      <c r="AY266" s="80">
        <f>(AY218+AY220+AY223+AY230)-(AY242+AY244+AY245+AY247+AY249+AY252)-AY256+AY237-AY259-DataInput!AY289</f>
        <v>-72.620163119999987</v>
      </c>
      <c r="AZ266" s="80">
        <f>(AZ218+AZ220+AZ223+AZ230)-(AZ242+AZ244+AZ245+AZ247+AZ249+AZ252)-AZ256+AZ237-AZ259-DataInput!AZ289</f>
        <v>-99.429947219999946</v>
      </c>
      <c r="BA266" s="80">
        <f>(BA218+BA220+BA223+BA230)-(BA242+BA244+BA245+BA247+BA249+BA252)-BA256+BA237-BA259-DataInput!BA289</f>
        <v>5.9155669999998821</v>
      </c>
      <c r="BB266" s="80">
        <f>(BB218+BB220+BB223+BB230)-(BB242+BB244+BB245+BB247+BB249+BB252)-BB256+BB237-BB259-DataInput!BB289</f>
        <v>-112.8055439999999</v>
      </c>
      <c r="BC266" s="80">
        <f>(BC218+BC220+BC223+BC230)-(BC242+BC244+BC245+BC247+BC249+BC252)-BC256+BC237-BC259-DataInput!BC289</f>
        <v>23.562304000000083</v>
      </c>
      <c r="BD266" s="80">
        <f>(BD218+BD220+BD223+BD230)-(BD242+BD244+BD245+BD247+BD249+BD252)-BD256+BD237-BD259-DataInput!BD289</f>
        <v>-33.344740000000066</v>
      </c>
      <c r="BE266" s="80">
        <f>(BE218+BE220+BE223+BE230)-(BE242+BE244+BE245+BE247+BE249+BE252)-BE256+BE237-BE259-DataInput!BE289</f>
        <v>-31.492448359999997</v>
      </c>
      <c r="BF266" s="80">
        <f>(BF218+BF220+BF223+BF230)-(BF242+BF244+BF245+BF247+BF249+BF252)-BF256+BF237-BF259-DataInput!BF289+DataInput!BF286</f>
        <v>85.15214099999983</v>
      </c>
      <c r="BG266" s="80">
        <f>(BG218+BG220+BG223+BG230)-(BG242+BG244+BG245+BG247+BG249+BG252)-BG256+BG237-BG259-DataInput!BG289+DataInput!BG286</f>
        <v>458.21584999999982</v>
      </c>
      <c r="BH266" s="80">
        <f>(BH218+BH220+BH223+BH230)-(BH242+BH244+BH245+BH247+BH249+BH252)-BH256+BH237-BH259-DataInput!BH289+DataInput!BH286</f>
        <v>156.33833599999477</v>
      </c>
      <c r="BI266" s="80">
        <f>(BI218+BI220+BI223+BI230)-(BI242+BI244+BI245+BI247+BI249+BI252)-BI256+BI237-BI259-DataInput!BI289+DataInput!BI286</f>
        <v>-222.44832600000058</v>
      </c>
      <c r="BJ266" s="80">
        <f>(BJ218+BJ220+BJ223+BJ230)-(BJ242+BJ244+BJ245+BJ247+BJ249+BJ252)-BJ256+BJ237-BJ259-DataInput!BJ289+DataInput!BJ286</f>
        <v>-305.89054599999986</v>
      </c>
      <c r="BK266" s="80">
        <f>(BK218+BK220+BK223+BK230)-(BK242+BK244+BK245+BK247+BK249+BK252)-BK256+BK237-BK259-DataInput!BK289+DataInput!BK286</f>
        <v>-284.67248800000073</v>
      </c>
      <c r="BL266" s="80">
        <f>(BL218+BL220+BL223+BL230)-(BL242+BL244+BL245+BL247+BL249+BL252)-BL256+BL237-BL259-DataInput!BL289+DataInput!BL286</f>
        <v>-445.0999999999998</v>
      </c>
      <c r="BM266" s="80">
        <f>(BM218+BM220+BM223+BM230)-(BM242+BM244+BM245+BM247+BM249+BM252)-BM256+BM237-BM259-DataInput!BM289+DataInput!BM286</f>
        <v>-1027.2000734982184</v>
      </c>
      <c r="BN266" s="30">
        <f>(BN218+BN220+BN223+BN230)-(BN242+BN244+BN245+BN247+BN249+BN252)-BN256+BN237-BN259-DataInput!BN289+DataInput!BN286</f>
        <v>-961.09979090000013</v>
      </c>
      <c r="BO266" s="80">
        <f t="shared" ref="BO266:BU266" si="814">(BO218+BO220+BO223+BO230)-(BO242+BO244+BO245+BO247+BO249+BO252)-BO256+BO237-BO259-BO265</f>
        <v>-1372.9000039000005</v>
      </c>
      <c r="BP266" s="80">
        <f t="shared" ca="1" si="814"/>
        <v>-1853.6328229682299</v>
      </c>
      <c r="BQ266" s="80">
        <f t="shared" ca="1" si="814"/>
        <v>-2002.6783560286819</v>
      </c>
      <c r="BR266" s="80">
        <f t="shared" ca="1" si="814"/>
        <v>-2209.238091906192</v>
      </c>
      <c r="BS266" s="80">
        <f t="shared" ca="1" si="814"/>
        <v>-2559.4376924753969</v>
      </c>
      <c r="BT266" s="80">
        <f t="shared" ca="1" si="814"/>
        <v>-3019.5394102847113</v>
      </c>
      <c r="BU266" s="80">
        <f t="shared" ca="1" si="814"/>
        <v>-3496.3007209057141</v>
      </c>
      <c r="BV266" s="80">
        <f ca="1">(BV218+BV220+BV223+BV230)-(BV242+BV244+BV245+BV247+BV249+BV252)-BV256+BV237-BV259-BV265</f>
        <v>-4038.0916331141693</v>
      </c>
      <c r="BW266" s="80">
        <f t="shared" ref="BW266:BX266" ca="1" si="815">(BW218+BW220+BW223+BW230)-(BW242+BW244+BW245+BW247+BW249+BW252)-BW256+BW237-BW259-BW265</f>
        <v>-4639.0888058624514</v>
      </c>
      <c r="BX266" s="80">
        <f t="shared" ca="1" si="815"/>
        <v>-5322.6596594165849</v>
      </c>
      <c r="BY266" s="80">
        <f t="shared" ref="BY266:CD266" ca="1" si="816">(BY218+BY220+BY223+BY230)-(BY242+BY244+BY245+BY247+BY249+BY252)-BY256+BY237-BY259-BY265</f>
        <v>-6097.6973515922482</v>
      </c>
      <c r="BZ266" s="80">
        <f t="shared" ca="1" si="816"/>
        <v>-6941.878458187568</v>
      </c>
      <c r="CA266" s="80">
        <f t="shared" ca="1" si="816"/>
        <v>-7887.7654679913921</v>
      </c>
      <c r="CB266" s="80">
        <f t="shared" ca="1" si="816"/>
        <v>-8934.2701427941647</v>
      </c>
      <c r="CC266" s="80">
        <f t="shared" ca="1" si="816"/>
        <v>-10112.610691553815</v>
      </c>
      <c r="CD266" s="80">
        <f t="shared" ca="1" si="816"/>
        <v>-11438.404408791448</v>
      </c>
      <c r="CE266" s="80"/>
      <c r="CF266" s="435"/>
      <c r="CG266" s="235">
        <f t="shared" si="766"/>
        <v>-1.2000000000000455</v>
      </c>
      <c r="CH266" s="235">
        <f t="shared" si="767"/>
        <v>0</v>
      </c>
      <c r="CI266" s="235" t="e">
        <f>BM266-#REF!</f>
        <v>#REF!</v>
      </c>
      <c r="CJ266" s="235">
        <f t="shared" ref="CJ266:CJ297" si="817">BN266-DI266</f>
        <v>0</v>
      </c>
      <c r="CK266" s="235">
        <f t="shared" ref="CK266:CK297" si="818">BO266-DJ266</f>
        <v>0</v>
      </c>
      <c r="CL266" s="235">
        <f t="shared" ref="CL266:CL297" ca="1" si="819">BP266-DK266</f>
        <v>0</v>
      </c>
      <c r="CM266" s="235">
        <f t="shared" ref="CM266:CM297" ca="1" si="820">BQ266-DL266</f>
        <v>-2.7284841053187847E-12</v>
      </c>
      <c r="CN266" s="235">
        <f t="shared" ref="CN266:CN297" ca="1" si="821">BR266-DM266</f>
        <v>0</v>
      </c>
      <c r="CO266" s="235">
        <f t="shared" ref="CO266:CO297" ca="1" si="822">BS266-DN266</f>
        <v>-3.637978807091713E-12</v>
      </c>
      <c r="CP266" s="235">
        <f t="shared" ref="CP266:CP297" ca="1" si="823">BT266-DO266</f>
        <v>0</v>
      </c>
      <c r="CQ266" s="235">
        <f t="shared" ref="CQ266:CQ297" ca="1" si="824">BU266-DP266</f>
        <v>3.637978807091713E-12</v>
      </c>
      <c r="CR266" s="235">
        <f t="shared" ref="CR266:CR297" ca="1" si="825">BV266-DQ266</f>
        <v>5.9117155615240335E-12</v>
      </c>
      <c r="CS266" s="235">
        <f t="shared" ref="CS266:CS297" ca="1" si="826">BW266-DR266</f>
        <v>7.2759576141834259E-12</v>
      </c>
      <c r="CT266" s="235">
        <f t="shared" ref="CT266:CT297" ca="1" si="827">BX266-DS266</f>
        <v>0</v>
      </c>
      <c r="CU266" s="235">
        <f t="shared" ref="CU266:CU297" ca="1" si="828">BY266-DT266</f>
        <v>0</v>
      </c>
      <c r="CV266" s="235">
        <f t="shared" ref="CV266:CV297" ca="1" si="829">BZ266-DU266</f>
        <v>0</v>
      </c>
      <c r="CW266" s="235">
        <f t="shared" ref="CW266:CW297" ca="1" si="830">CA266-DV266</f>
        <v>-9.0949470177292824E-12</v>
      </c>
      <c r="CX266" s="235">
        <f t="shared" ref="CX266:CX297" ca="1" si="831">CB266-DW266</f>
        <v>-3.0013325158506632E-10</v>
      </c>
      <c r="CY266" s="235">
        <f t="shared" ref="CY266:CY297" ca="1" si="832">CC266-DX266</f>
        <v>-3.0686351237818599E-9</v>
      </c>
      <c r="CZ266" s="235">
        <f t="shared" ref="CZ266:CZ297" ca="1" si="833">CD266-DY266</f>
        <v>-2.4108885554596782E-8</v>
      </c>
      <c r="DA266" s="38"/>
      <c r="DB266" s="236">
        <v>-26.7001330000001</v>
      </c>
      <c r="DC266" s="236">
        <v>-25.700133000000108</v>
      </c>
      <c r="DD266" s="236">
        <v>91.56091700000006</v>
      </c>
      <c r="DE266" s="236">
        <v>513.35648700000024</v>
      </c>
      <c r="DF266" s="401">
        <v>17.577547370000104</v>
      </c>
      <c r="DG266" s="236">
        <v>-283.47248800000068</v>
      </c>
      <c r="DH266" s="492">
        <v>-445.0999999999998</v>
      </c>
      <c r="DI266" s="236">
        <v>-961.09979090000013</v>
      </c>
      <c r="DJ266" s="236">
        <v>-1372.9000039000005</v>
      </c>
      <c r="DK266" s="236">
        <v>-1853.632822968229</v>
      </c>
      <c r="DL266" s="236">
        <v>-2002.6783560286792</v>
      </c>
      <c r="DM266" s="236">
        <v>-2209.2380919061893</v>
      </c>
      <c r="DN266" s="236">
        <v>-2559.4376924753933</v>
      </c>
      <c r="DO266" s="236">
        <v>-3019.5394102847094</v>
      </c>
      <c r="DP266" s="236">
        <v>-3496.3007209057178</v>
      </c>
      <c r="DQ266" s="401">
        <v>-4038.0916331141752</v>
      </c>
      <c r="DR266" s="401">
        <v>-4639.0888058624587</v>
      </c>
      <c r="DS266" s="401">
        <v>-5322.6596594165894</v>
      </c>
      <c r="DT266" s="401">
        <v>-6097.6973515922546</v>
      </c>
      <c r="DU266" s="401">
        <v>-6941.8784581875734</v>
      </c>
      <c r="DV266" s="401">
        <v>-7887.765467991383</v>
      </c>
      <c r="DW266" s="401">
        <v>-8934.2701427938646</v>
      </c>
      <c r="DX266" s="401">
        <v>-10112.610691550746</v>
      </c>
      <c r="DY266" s="401">
        <v>-11438.404408767339</v>
      </c>
      <c r="DZ266" s="401"/>
      <c r="EA266" s="989"/>
    </row>
    <row r="267" spans="1:131" s="76" customFormat="1">
      <c r="A267" s="3" t="s">
        <v>2849</v>
      </c>
      <c r="B267" s="80" t="s">
        <v>1758</v>
      </c>
      <c r="C267" s="51"/>
      <c r="D267" s="207"/>
      <c r="E267" s="207"/>
      <c r="F267" s="80">
        <f t="shared" ref="F267:AU267" si="834">(F280-E280-F281)+F266</f>
        <v>6.1467759597651954E-3</v>
      </c>
      <c r="G267" s="80">
        <f t="shared" si="834"/>
        <v>4.3439707889079129E-3</v>
      </c>
      <c r="H267" s="80">
        <f t="shared" si="834"/>
        <v>3.4204278765919516E-3</v>
      </c>
      <c r="I267" s="80">
        <f t="shared" si="834"/>
        <v>1.2241416489654705E-3</v>
      </c>
      <c r="J267" s="80">
        <f t="shared" si="834"/>
        <v>-1.4048303510485246E-4</v>
      </c>
      <c r="K267" s="80">
        <f t="shared" si="834"/>
        <v>-1.2283235056764711E-3</v>
      </c>
      <c r="L267" s="80">
        <f t="shared" si="834"/>
        <v>-2.9928887860304048E-3</v>
      </c>
      <c r="M267" s="80">
        <f t="shared" si="834"/>
        <v>-8.7754688560368332E-3</v>
      </c>
      <c r="N267" s="80">
        <f t="shared" si="834"/>
        <v>-8.3123585403163218E-3</v>
      </c>
      <c r="O267" s="80">
        <f t="shared" si="834"/>
        <v>-6.3805202637231082E-3</v>
      </c>
      <c r="P267" s="80">
        <f t="shared" si="834"/>
        <v>-5.3459152566764498E-3</v>
      </c>
      <c r="Q267" s="80">
        <f t="shared" si="834"/>
        <v>-5.846144479554824E-3</v>
      </c>
      <c r="R267" s="80">
        <f t="shared" si="834"/>
        <v>-5.687706735080459E-3</v>
      </c>
      <c r="S267" s="80">
        <f t="shared" si="834"/>
        <v>-1.5727983990111768E-3</v>
      </c>
      <c r="T267" s="80">
        <f t="shared" si="834"/>
        <v>-4.5933708292095242E-3</v>
      </c>
      <c r="U267" s="80">
        <f t="shared" si="834"/>
        <v>-1.4390277733365773E-2</v>
      </c>
      <c r="V267" s="80">
        <f t="shared" si="834"/>
        <v>-2.4175443061730993E-2</v>
      </c>
      <c r="W267" s="80">
        <f t="shared" si="834"/>
        <v>-1.790626602207809E-2</v>
      </c>
      <c r="X267" s="80">
        <f t="shared" si="834"/>
        <v>-3.8788884009105046E-2</v>
      </c>
      <c r="Y267" s="80">
        <f t="shared" si="834"/>
        <v>-5.1655415961800684E-2</v>
      </c>
      <c r="Z267" s="80">
        <f t="shared" si="834"/>
        <v>-6.1844667633345694E-2</v>
      </c>
      <c r="AA267" s="80">
        <f t="shared" si="834"/>
        <v>-0.12212886099262474</v>
      </c>
      <c r="AB267" s="80">
        <f t="shared" si="834"/>
        <v>-0.14714087871953038</v>
      </c>
      <c r="AC267" s="80">
        <f t="shared" si="834"/>
        <v>-0.16627123145482767</v>
      </c>
      <c r="AD267" s="80">
        <f t="shared" si="834"/>
        <v>-0.16421663294483529</v>
      </c>
      <c r="AE267" s="80">
        <f t="shared" si="834"/>
        <v>-0.16727829443088799</v>
      </c>
      <c r="AF267" s="80">
        <f t="shared" si="834"/>
        <v>-0.15625998582630551</v>
      </c>
      <c r="AG267" s="80">
        <f t="shared" si="834"/>
        <v>-0.21941697722822895</v>
      </c>
      <c r="AH267" s="80">
        <f t="shared" si="834"/>
        <v>-0.3128187810701728</v>
      </c>
      <c r="AI267" s="80">
        <f t="shared" si="834"/>
        <v>-0.3484433977041913</v>
      </c>
      <c r="AJ267" s="80">
        <f t="shared" si="834"/>
        <v>-0.32299803868728988</v>
      </c>
      <c r="AK267" s="80">
        <f t="shared" si="834"/>
        <v>-0.31671267810229314</v>
      </c>
      <c r="AL267" s="80">
        <f t="shared" si="834"/>
        <v>-0.38287342496762045</v>
      </c>
      <c r="AM267" s="80">
        <f t="shared" si="834"/>
        <v>-0.44387774031270449</v>
      </c>
      <c r="AN267" s="80">
        <f t="shared" si="834"/>
        <v>-0.435184376469682</v>
      </c>
      <c r="AO267" s="80">
        <f t="shared" si="834"/>
        <v>3.8707313593220465</v>
      </c>
      <c r="AP267" s="80">
        <f t="shared" si="834"/>
        <v>9.7533812766138817E-2</v>
      </c>
      <c r="AQ267" s="80">
        <f t="shared" si="834"/>
        <v>0.36940368502932497</v>
      </c>
      <c r="AR267" s="80">
        <f t="shared" si="834"/>
        <v>-0.25990361320819544</v>
      </c>
      <c r="AS267" s="80">
        <f t="shared" si="834"/>
        <v>1.0009121426082157</v>
      </c>
      <c r="AT267" s="80">
        <f t="shared" si="834"/>
        <v>-121.64182772575286</v>
      </c>
      <c r="AU267" s="80">
        <f t="shared" si="834"/>
        <v>52.105884393130381</v>
      </c>
      <c r="AV267" s="80">
        <f t="shared" ref="AV267:BH267" si="835">(AV280-AU280-AV281)+AV266</f>
        <v>-48.622771177695491</v>
      </c>
      <c r="AW267" s="80">
        <f t="shared" si="835"/>
        <v>-28.064987962</v>
      </c>
      <c r="AX267" s="80">
        <f t="shared" si="835"/>
        <v>-41.666618144999987</v>
      </c>
      <c r="AY267" s="80">
        <f t="shared" si="835"/>
        <v>-9.6173651200000023</v>
      </c>
      <c r="AZ267" s="80">
        <f t="shared" si="835"/>
        <v>273.05145882000022</v>
      </c>
      <c r="BA267" s="80">
        <f t="shared" si="835"/>
        <v>79.081050499999762</v>
      </c>
      <c r="BB267" s="80">
        <f t="shared" si="835"/>
        <v>51.282071415760285</v>
      </c>
      <c r="BC267" s="80">
        <f t="shared" si="835"/>
        <v>141.19785082534025</v>
      </c>
      <c r="BD267" s="80">
        <f t="shared" si="835"/>
        <v>385.73855127389976</v>
      </c>
      <c r="BE267" s="80">
        <f t="shared" si="835"/>
        <v>21.182431639999585</v>
      </c>
      <c r="BF267" s="80">
        <f t="shared" si="835"/>
        <v>35.285623500000085</v>
      </c>
      <c r="BG267" s="80">
        <f t="shared" si="835"/>
        <v>212.48497000000017</v>
      </c>
      <c r="BH267" s="80">
        <f t="shared" si="835"/>
        <v>994.99139599999444</v>
      </c>
      <c r="BI267" s="80">
        <f t="shared" ref="BI267:BQ267" si="836">(BI280-BH280-BI281)+BI266</f>
        <v>14.931823999999835</v>
      </c>
      <c r="BJ267" s="80">
        <f t="shared" si="836"/>
        <v>55.18980399999964</v>
      </c>
      <c r="BK267" s="80">
        <f t="shared" si="836"/>
        <v>-78.982988000000915</v>
      </c>
      <c r="BL267" s="80">
        <f t="shared" si="836"/>
        <v>160.76500000000033</v>
      </c>
      <c r="BM267" s="80">
        <f t="shared" si="836"/>
        <v>533.08992650178152</v>
      </c>
      <c r="BN267" s="80">
        <f t="shared" si="836"/>
        <v>-1208.1997909000006</v>
      </c>
      <c r="BO267" s="80">
        <f t="shared" si="836"/>
        <v>459.20999610000013</v>
      </c>
      <c r="BP267" s="80">
        <f t="shared" ca="1" si="836"/>
        <v>-1.8189894035458565E-12</v>
      </c>
      <c r="BQ267" s="80">
        <f t="shared" ca="1" si="836"/>
        <v>0</v>
      </c>
      <c r="BR267" s="80">
        <f t="shared" ref="BR267:BX267" ca="1" si="837">(BR280-BQ280-BR281)+BR266</f>
        <v>0</v>
      </c>
      <c r="BS267" s="80">
        <f t="shared" ca="1" si="837"/>
        <v>0</v>
      </c>
      <c r="BT267" s="80">
        <f t="shared" ca="1" si="837"/>
        <v>0</v>
      </c>
      <c r="BU267" s="80">
        <f t="shared" ca="1" si="837"/>
        <v>-3.637978807091713E-12</v>
      </c>
      <c r="BV267" s="80">
        <f t="shared" ca="1" si="837"/>
        <v>0</v>
      </c>
      <c r="BW267" s="80">
        <f t="shared" ca="1" si="837"/>
        <v>0</v>
      </c>
      <c r="BX267" s="80">
        <f t="shared" ca="1" si="837"/>
        <v>-1.0004441719502211E-11</v>
      </c>
      <c r="BY267" s="80">
        <f t="shared" ref="BY267" ca="1" si="838">(BY280-BX280-BY281)+BY266</f>
        <v>0</v>
      </c>
      <c r="BZ267" s="80">
        <f t="shared" ref="BZ267" ca="1" si="839">(BZ280-BY280-BZ281)+BZ266</f>
        <v>-1.6370904631912708E-11</v>
      </c>
      <c r="CA267" s="80">
        <f t="shared" ref="CA267" ca="1" si="840">(CA280-BZ280-CA281)+CA266</f>
        <v>-2.3646862246096134E-11</v>
      </c>
      <c r="CB267" s="80">
        <f t="shared" ref="CB267" ca="1" si="841">(CB280-CA280-CB281)+CB266</f>
        <v>-2.9103830456733704E-11</v>
      </c>
      <c r="CC267" s="80">
        <f t="shared" ref="CC267" ca="1" si="842">(CC280-CB280-CC281)+CC266</f>
        <v>-1.8189894035458565E-11</v>
      </c>
      <c r="CD267" s="80">
        <f t="shared" ref="CD267" ca="1" si="843">(CD280-CC280-CD281)+CD266</f>
        <v>-2.5465851649641991E-11</v>
      </c>
      <c r="CE267" s="80"/>
      <c r="CF267" s="435"/>
      <c r="CG267" s="235">
        <f t="shared" si="766"/>
        <v>-1.2000000000000455</v>
      </c>
      <c r="CH267" s="235">
        <f t="shared" si="767"/>
        <v>0</v>
      </c>
      <c r="CI267" s="235" t="e">
        <f>BM267-#REF!</f>
        <v>#REF!</v>
      </c>
      <c r="CJ267" s="235">
        <f t="shared" si="817"/>
        <v>0</v>
      </c>
      <c r="CK267" s="235">
        <f t="shared" si="818"/>
        <v>0</v>
      </c>
      <c r="CL267" s="235">
        <f t="shared" ca="1" si="819"/>
        <v>-1.8189894035458565E-12</v>
      </c>
      <c r="CM267" s="235">
        <f t="shared" ca="1" si="820"/>
        <v>-2.9558577807620168E-12</v>
      </c>
      <c r="CN267" s="235">
        <f t="shared" ca="1" si="821"/>
        <v>0</v>
      </c>
      <c r="CO267" s="235">
        <f t="shared" ca="1" si="822"/>
        <v>0</v>
      </c>
      <c r="CP267" s="235">
        <f t="shared" ca="1" si="823"/>
        <v>-3.637978807091713E-12</v>
      </c>
      <c r="CQ267" s="235">
        <f t="shared" ca="1" si="824"/>
        <v>-3.637978807091713E-12</v>
      </c>
      <c r="CR267" s="235">
        <f t="shared" ca="1" si="825"/>
        <v>4.5474735088646412E-12</v>
      </c>
      <c r="CS267" s="235">
        <f t="shared" ca="1" si="826"/>
        <v>0</v>
      </c>
      <c r="CT267" s="235">
        <f t="shared" ca="1" si="827"/>
        <v>4.5474735088646412E-12</v>
      </c>
      <c r="CU267" s="235">
        <f t="shared" ca="1" si="828"/>
        <v>1.0913936421275139E-11</v>
      </c>
      <c r="CV267" s="235">
        <f t="shared" ca="1" si="829"/>
        <v>-9.0949470177292824E-12</v>
      </c>
      <c r="CW267" s="235">
        <f t="shared" ca="1" si="830"/>
        <v>-2.3646862246096134E-11</v>
      </c>
      <c r="CX267" s="235">
        <f t="shared" ca="1" si="831"/>
        <v>-3.4378899727016687E-10</v>
      </c>
      <c r="CY267" s="235">
        <f t="shared" ca="1" si="832"/>
        <v>-3.5342964110895991E-9</v>
      </c>
      <c r="CZ267" s="235">
        <f t="shared" ca="1" si="833"/>
        <v>-2.9973307391628623E-8</v>
      </c>
      <c r="DA267" s="38"/>
      <c r="DB267" s="236">
        <v>-74.649725499999903</v>
      </c>
      <c r="DC267" s="236">
        <v>-73.64972549999986</v>
      </c>
      <c r="DD267" s="236">
        <v>-160.41611799999953</v>
      </c>
      <c r="DE267" s="236">
        <v>1357.3422519999999</v>
      </c>
      <c r="DF267" s="401">
        <v>254.2320473700002</v>
      </c>
      <c r="DG267" s="236">
        <v>-77.78298800000087</v>
      </c>
      <c r="DH267" s="492">
        <v>160.76500000000033</v>
      </c>
      <c r="DI267" s="236">
        <v>-1208.1997909000006</v>
      </c>
      <c r="DJ267" s="236">
        <v>459.20999610000013</v>
      </c>
      <c r="DK267" s="236">
        <v>0</v>
      </c>
      <c r="DL267" s="236">
        <v>2.9558577807620168E-12</v>
      </c>
      <c r="DM267" s="236">
        <v>0</v>
      </c>
      <c r="DN267" s="236">
        <v>0</v>
      </c>
      <c r="DO267" s="236">
        <v>3.637978807091713E-12</v>
      </c>
      <c r="DP267" s="236">
        <v>0</v>
      </c>
      <c r="DQ267" s="401">
        <v>-4.5474735088646412E-12</v>
      </c>
      <c r="DR267" s="401">
        <v>0</v>
      </c>
      <c r="DS267" s="401">
        <v>-1.4551915228366852E-11</v>
      </c>
      <c r="DT267" s="401">
        <v>-1.0913936421275139E-11</v>
      </c>
      <c r="DU267" s="401">
        <v>-7.2759576141834259E-12</v>
      </c>
      <c r="DV267" s="401">
        <v>0</v>
      </c>
      <c r="DW267" s="401">
        <v>3.1468516681343317E-10</v>
      </c>
      <c r="DX267" s="401">
        <v>3.5161065170541406E-9</v>
      </c>
      <c r="DY267" s="401">
        <v>2.9947841539978981E-8</v>
      </c>
      <c r="DZ267" s="401"/>
      <c r="EA267" s="989"/>
    </row>
    <row r="268" spans="1:131" s="19" customFormat="1">
      <c r="A268" s="104" t="s">
        <v>2850</v>
      </c>
      <c r="B268" s="104" t="s">
        <v>3498</v>
      </c>
      <c r="D268" s="222"/>
      <c r="E268" s="222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/>
      <c r="AG268" s="222"/>
      <c r="AH268" s="222"/>
      <c r="AI268" s="222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22"/>
      <c r="AT268" s="222"/>
      <c r="AU268" s="104"/>
      <c r="AV268" s="90"/>
      <c r="AW268" s="90"/>
      <c r="AX268" s="90"/>
      <c r="AY268" s="90"/>
      <c r="AZ268" s="90"/>
      <c r="BA268" s="91"/>
      <c r="BB268" s="91"/>
      <c r="BC268" s="91"/>
      <c r="BD268" s="91"/>
      <c r="BE268" s="91"/>
      <c r="BF268" s="91"/>
      <c r="BG268" s="91"/>
      <c r="BH268" s="91"/>
      <c r="BI268" s="91"/>
      <c r="BJ268" s="91"/>
      <c r="BK268" s="91"/>
      <c r="BL268" s="91"/>
      <c r="BM268" s="91"/>
      <c r="BN268" s="91"/>
      <c r="BO268" s="91"/>
      <c r="BP268" s="91"/>
      <c r="BQ268" s="91"/>
      <c r="BR268" s="91"/>
      <c r="BS268" s="91"/>
      <c r="BT268" s="91"/>
      <c r="BU268" s="91"/>
      <c r="BV268" s="91"/>
      <c r="BW268" s="91"/>
      <c r="BX268" s="91"/>
      <c r="BY268" s="91"/>
      <c r="BZ268" s="91"/>
      <c r="CA268" s="91"/>
      <c r="CB268" s="91"/>
      <c r="CC268" s="91"/>
      <c r="CD268" s="91"/>
      <c r="CE268" s="91"/>
      <c r="CF268" s="435"/>
      <c r="CG268" s="235">
        <f t="shared" si="766"/>
        <v>0</v>
      </c>
      <c r="CH268" s="235">
        <f t="shared" si="767"/>
        <v>0</v>
      </c>
      <c r="CI268" s="235" t="e">
        <f>BM268-#REF!</f>
        <v>#REF!</v>
      </c>
      <c r="CJ268" s="235">
        <f t="shared" si="817"/>
        <v>0</v>
      </c>
      <c r="CK268" s="235">
        <f t="shared" si="818"/>
        <v>0</v>
      </c>
      <c r="CL268" s="235">
        <f t="shared" si="819"/>
        <v>0</v>
      </c>
      <c r="CM268" s="235">
        <f t="shared" si="820"/>
        <v>0</v>
      </c>
      <c r="CN268" s="235">
        <f t="shared" si="821"/>
        <v>0</v>
      </c>
      <c r="CO268" s="235">
        <f t="shared" si="822"/>
        <v>0</v>
      </c>
      <c r="CP268" s="235">
        <f t="shared" si="823"/>
        <v>0</v>
      </c>
      <c r="CQ268" s="235">
        <f t="shared" si="824"/>
        <v>0</v>
      </c>
      <c r="CR268" s="235">
        <f t="shared" si="825"/>
        <v>0</v>
      </c>
      <c r="CS268" s="235">
        <f t="shared" si="826"/>
        <v>0</v>
      </c>
      <c r="CT268" s="235">
        <f t="shared" si="827"/>
        <v>0</v>
      </c>
      <c r="CU268" s="235">
        <f t="shared" si="828"/>
        <v>0</v>
      </c>
      <c r="CV268" s="235">
        <f t="shared" si="829"/>
        <v>0</v>
      </c>
      <c r="CW268" s="235">
        <f t="shared" si="830"/>
        <v>0</v>
      </c>
      <c r="CX268" s="235">
        <f t="shared" si="831"/>
        <v>0</v>
      </c>
      <c r="CY268" s="235">
        <f t="shared" si="832"/>
        <v>0</v>
      </c>
      <c r="CZ268" s="235">
        <f t="shared" si="833"/>
        <v>0</v>
      </c>
      <c r="DA268" s="38"/>
      <c r="DB268" s="236"/>
      <c r="DC268" s="236"/>
      <c r="DD268" s="236"/>
      <c r="DE268" s="236"/>
      <c r="DF268" s="401"/>
      <c r="DG268" s="236"/>
      <c r="DH268" s="492"/>
      <c r="DI268" s="236"/>
      <c r="DJ268" s="236"/>
      <c r="DK268" s="236"/>
      <c r="DL268" s="236"/>
      <c r="DM268" s="236"/>
      <c r="DN268" s="236"/>
      <c r="DO268" s="236"/>
      <c r="DP268" s="236"/>
      <c r="DQ268" s="1084"/>
      <c r="DR268" s="1084"/>
      <c r="DS268" s="1084"/>
      <c r="DT268" s="1084"/>
      <c r="DU268" s="1084"/>
      <c r="DV268" s="1084"/>
      <c r="DW268" s="1084"/>
      <c r="DX268" s="1084"/>
      <c r="DY268" s="1084"/>
      <c r="DZ268" s="1084"/>
      <c r="EA268" s="988"/>
    </row>
    <row r="269" spans="1:131" s="158" customFormat="1">
      <c r="A269" s="158" t="s">
        <v>3616</v>
      </c>
      <c r="B269" s="98" t="s">
        <v>564</v>
      </c>
      <c r="C269" s="157" t="s">
        <v>3499</v>
      </c>
      <c r="D269" s="215"/>
      <c r="E269" s="215"/>
      <c r="F269" s="98">
        <f t="shared" ref="F269:AU269" si="844">F202</f>
        <v>2E-3</v>
      </c>
      <c r="G269" s="98">
        <f t="shared" si="844"/>
        <v>1.6000000000000001E-3</v>
      </c>
      <c r="H269" s="98">
        <f t="shared" si="844"/>
        <v>2.299999952316284E-3</v>
      </c>
      <c r="I269" s="98">
        <f t="shared" si="844"/>
        <v>3.5999999046325685E-3</v>
      </c>
      <c r="J269" s="98">
        <f t="shared" si="844"/>
        <v>4.6999998092651365E-3</v>
      </c>
      <c r="K269" s="98">
        <f t="shared" si="844"/>
        <v>4.6999998092651365E-3</v>
      </c>
      <c r="L269" s="98">
        <f t="shared" si="844"/>
        <v>6.4000000953674313E-3</v>
      </c>
      <c r="M269" s="98">
        <f t="shared" si="844"/>
        <v>8.199999809265137E-3</v>
      </c>
      <c r="N269" s="98">
        <f t="shared" si="844"/>
        <v>7.4000000953674313E-3</v>
      </c>
      <c r="O269" s="98">
        <f t="shared" si="844"/>
        <v>1.1800000190734863E-2</v>
      </c>
      <c r="P269" s="98">
        <f t="shared" si="844"/>
        <v>1.5399999618530273E-2</v>
      </c>
      <c r="Q269" s="98">
        <f t="shared" si="844"/>
        <v>1.6600000381469728E-2</v>
      </c>
      <c r="R269" s="98">
        <f t="shared" si="844"/>
        <v>6.0000000000000001E-3</v>
      </c>
      <c r="S269" s="98">
        <f t="shared" si="844"/>
        <v>4.4000000953674312E-3</v>
      </c>
      <c r="T269" s="98">
        <f t="shared" si="844"/>
        <v>6.8000001907348633E-3</v>
      </c>
      <c r="U269" s="98">
        <f t="shared" si="844"/>
        <v>6.9000000953674317E-3</v>
      </c>
      <c r="V269" s="98">
        <f t="shared" si="844"/>
        <v>1.5399999618530273E-2</v>
      </c>
      <c r="W269" s="98">
        <f t="shared" si="844"/>
        <v>7.199999809265137E-3</v>
      </c>
      <c r="X269" s="98">
        <f t="shared" si="844"/>
        <v>3.2900001525878908E-2</v>
      </c>
      <c r="Y269" s="98">
        <f t="shared" si="844"/>
        <v>1.2300000190734864E-2</v>
      </c>
      <c r="Z269" s="98">
        <f t="shared" si="844"/>
        <v>1.8100000381469725E-2</v>
      </c>
      <c r="AA269" s="98">
        <f t="shared" si="844"/>
        <v>1.7100000381469728E-2</v>
      </c>
      <c r="AB269" s="98">
        <f t="shared" si="844"/>
        <v>0</v>
      </c>
      <c r="AC269" s="98">
        <f t="shared" si="844"/>
        <v>0</v>
      </c>
      <c r="AD269" s="98">
        <f t="shared" si="844"/>
        <v>0.04</v>
      </c>
      <c r="AE269" s="98">
        <f t="shared" si="844"/>
        <v>0</v>
      </c>
      <c r="AF269" s="98">
        <f t="shared" si="844"/>
        <v>0</v>
      </c>
      <c r="AG269" s="98">
        <f t="shared" si="844"/>
        <v>0</v>
      </c>
      <c r="AH269" s="98">
        <f t="shared" si="844"/>
        <v>0</v>
      </c>
      <c r="AI269" s="98">
        <f t="shared" si="844"/>
        <v>0</v>
      </c>
      <c r="AJ269" s="98">
        <f t="shared" si="844"/>
        <v>0</v>
      </c>
      <c r="AK269" s="98">
        <f t="shared" si="844"/>
        <v>0</v>
      </c>
      <c r="AL269" s="98">
        <f t="shared" si="844"/>
        <v>0</v>
      </c>
      <c r="AM269" s="98">
        <f t="shared" si="844"/>
        <v>8.199999809265137E-3</v>
      </c>
      <c r="AN269" s="98">
        <f t="shared" si="844"/>
        <v>1.9E-2</v>
      </c>
      <c r="AO269" s="98">
        <f t="shared" si="844"/>
        <v>4.2999999999999997E-2</v>
      </c>
      <c r="AP269" s="98">
        <f t="shared" si="844"/>
        <v>0</v>
      </c>
      <c r="AQ269" s="98">
        <f t="shared" si="844"/>
        <v>0</v>
      </c>
      <c r="AR269" s="98">
        <f t="shared" si="844"/>
        <v>0</v>
      </c>
      <c r="AS269" s="98">
        <f t="shared" si="844"/>
        <v>0</v>
      </c>
      <c r="AT269" s="98">
        <f t="shared" si="844"/>
        <v>0</v>
      </c>
      <c r="AU269" s="98">
        <f t="shared" si="844"/>
        <v>0</v>
      </c>
      <c r="AV269" s="98">
        <f t="shared" ref="AV269:BI269" si="845">AV202</f>
        <v>-6.0138749999999996</v>
      </c>
      <c r="AW269" s="98">
        <f t="shared" si="845"/>
        <v>0.5213000000000001</v>
      </c>
      <c r="AX269" s="98">
        <f t="shared" si="845"/>
        <v>7.739300000000001</v>
      </c>
      <c r="AY269" s="98">
        <f t="shared" si="845"/>
        <v>13.844551000000001</v>
      </c>
      <c r="AZ269" s="98">
        <f t="shared" si="845"/>
        <v>-28.383033999999995</v>
      </c>
      <c r="BA269" s="98">
        <f t="shared" si="845"/>
        <v>110.44995000000002</v>
      </c>
      <c r="BB269" s="98">
        <f t="shared" si="845"/>
        <v>-71.669906000000012</v>
      </c>
      <c r="BC269" s="98">
        <f t="shared" si="845"/>
        <v>-61.959253999999994</v>
      </c>
      <c r="BD269" s="98">
        <f t="shared" si="845"/>
        <v>-50.032200000000003</v>
      </c>
      <c r="BE269" s="158">
        <f t="shared" si="845"/>
        <v>-39.311999999999998</v>
      </c>
      <c r="BF269" s="158">
        <f t="shared" si="845"/>
        <v>-78.984000000000009</v>
      </c>
      <c r="BG269" s="158">
        <f t="shared" si="845"/>
        <v>-269.28449999999998</v>
      </c>
      <c r="BH269" s="158">
        <f t="shared" si="845"/>
        <v>33.488999999999997</v>
      </c>
      <c r="BI269" s="158">
        <f t="shared" si="845"/>
        <v>-16.815000000000001</v>
      </c>
      <c r="BJ269" s="158">
        <f t="shared" ref="BJ269:BQ269" si="846">BJ202</f>
        <v>202.52</v>
      </c>
      <c r="BK269" s="158">
        <f t="shared" si="846"/>
        <v>392.27500000000003</v>
      </c>
      <c r="BL269" s="158">
        <f t="shared" si="846"/>
        <v>346.39000000000004</v>
      </c>
      <c r="BM269" s="158">
        <f t="shared" si="846"/>
        <v>552.41500000000008</v>
      </c>
      <c r="BN269" s="158">
        <f t="shared" si="846"/>
        <v>266.995</v>
      </c>
      <c r="BO269" s="158">
        <f t="shared" si="846"/>
        <v>371.62666666666667</v>
      </c>
      <c r="BP269" s="158">
        <f t="shared" si="846"/>
        <v>504.56046300000014</v>
      </c>
      <c r="BQ269" s="158">
        <f t="shared" si="846"/>
        <v>388.56760587370002</v>
      </c>
      <c r="BR269" s="158">
        <f>BR202</f>
        <v>429.89013461017066</v>
      </c>
      <c r="BS269" s="158">
        <f>BS202</f>
        <v>449.69388736416772</v>
      </c>
      <c r="BT269" s="158">
        <f>BT202</f>
        <v>431.04473830554832</v>
      </c>
      <c r="BU269" s="158">
        <f>BU202</f>
        <v>445.48271561913344</v>
      </c>
      <c r="BV269" s="158">
        <f>BV202</f>
        <v>450.78263390408</v>
      </c>
      <c r="BW269" s="158">
        <f t="shared" ref="BW269:BX269" si="847">BW202</f>
        <v>451.1526988529962</v>
      </c>
      <c r="BX269" s="158">
        <f t="shared" si="847"/>
        <v>457.98739464307369</v>
      </c>
      <c r="BY269" s="158">
        <f t="shared" ref="BY269:CD269" si="848">BY202</f>
        <v>462.23773504331098</v>
      </c>
      <c r="BZ269" s="158">
        <f t="shared" si="848"/>
        <v>466.13132392053564</v>
      </c>
      <c r="CA269" s="158">
        <f t="shared" si="848"/>
        <v>471.2225585809922</v>
      </c>
      <c r="CB269" s="158">
        <f t="shared" si="848"/>
        <v>475.72119080349074</v>
      </c>
      <c r="CC269" s="158">
        <f t="shared" si="848"/>
        <v>480.30421741637588</v>
      </c>
      <c r="CD269" s="158">
        <f t="shared" si="848"/>
        <v>485.12158391561201</v>
      </c>
      <c r="CF269" s="435"/>
      <c r="CG269" s="235">
        <f t="shared" si="766"/>
        <v>0</v>
      </c>
      <c r="CH269" s="235">
        <f t="shared" si="767"/>
        <v>0</v>
      </c>
      <c r="CI269" s="235" t="e">
        <f>BM269-#REF!</f>
        <v>#REF!</v>
      </c>
      <c r="CJ269" s="235">
        <f t="shared" si="817"/>
        <v>0</v>
      </c>
      <c r="CK269" s="235">
        <f t="shared" si="818"/>
        <v>0</v>
      </c>
      <c r="CL269" s="235">
        <f t="shared" si="819"/>
        <v>0</v>
      </c>
      <c r="CM269" s="235">
        <f t="shared" si="820"/>
        <v>0</v>
      </c>
      <c r="CN269" s="235">
        <f t="shared" si="821"/>
        <v>0</v>
      </c>
      <c r="CO269" s="235">
        <f t="shared" si="822"/>
        <v>0</v>
      </c>
      <c r="CP269" s="235">
        <f t="shared" si="823"/>
        <v>0</v>
      </c>
      <c r="CQ269" s="235">
        <f t="shared" si="824"/>
        <v>0</v>
      </c>
      <c r="CR269" s="235">
        <f t="shared" si="825"/>
        <v>0</v>
      </c>
      <c r="CS269" s="235">
        <f t="shared" si="826"/>
        <v>0</v>
      </c>
      <c r="CT269" s="235">
        <f t="shared" si="827"/>
        <v>0</v>
      </c>
      <c r="CU269" s="235">
        <f t="shared" si="828"/>
        <v>0</v>
      </c>
      <c r="CV269" s="235">
        <f t="shared" si="829"/>
        <v>0</v>
      </c>
      <c r="CW269" s="235">
        <f t="shared" si="830"/>
        <v>0</v>
      </c>
      <c r="CX269" s="235">
        <f t="shared" si="831"/>
        <v>0</v>
      </c>
      <c r="CY269" s="235">
        <f t="shared" si="832"/>
        <v>0</v>
      </c>
      <c r="CZ269" s="235">
        <f t="shared" si="833"/>
        <v>0</v>
      </c>
      <c r="DA269" s="38"/>
      <c r="DB269" s="236">
        <v>-71.207999999999998</v>
      </c>
      <c r="DC269" s="236">
        <v>-70.208000000000013</v>
      </c>
      <c r="DD269" s="236">
        <v>-45.567000000000007</v>
      </c>
      <c r="DE269" s="236">
        <v>-7.6859999999999999</v>
      </c>
      <c r="DF269" s="401">
        <v>-264.76499999999999</v>
      </c>
      <c r="DG269" s="236">
        <v>392.27500000000003</v>
      </c>
      <c r="DH269" s="492">
        <v>346.39000000000004</v>
      </c>
      <c r="DI269" s="236">
        <v>266.995</v>
      </c>
      <c r="DJ269" s="236">
        <v>371.62666666666667</v>
      </c>
      <c r="DK269" s="236">
        <v>504.56046300000014</v>
      </c>
      <c r="DL269" s="236">
        <v>388.56760587370002</v>
      </c>
      <c r="DM269" s="236">
        <v>429.89013461017066</v>
      </c>
      <c r="DN269" s="236">
        <v>449.69388736416772</v>
      </c>
      <c r="DO269" s="236">
        <v>431.04473830554832</v>
      </c>
      <c r="DP269" s="236">
        <v>445.48271561913344</v>
      </c>
      <c r="DQ269" s="401">
        <v>450.78263390408</v>
      </c>
      <c r="DR269" s="401">
        <v>451.1526988529962</v>
      </c>
      <c r="DS269" s="401">
        <v>457.98739464307369</v>
      </c>
      <c r="DT269" s="401">
        <v>462.23773504331098</v>
      </c>
      <c r="DU269" s="401">
        <v>466.13132392053564</v>
      </c>
      <c r="DV269" s="401">
        <v>471.2225585809922</v>
      </c>
      <c r="DW269" s="401">
        <v>475.72119080349074</v>
      </c>
      <c r="DX269" s="401">
        <v>480.30421741637588</v>
      </c>
      <c r="DY269" s="401">
        <v>485.12158391561201</v>
      </c>
      <c r="DZ269" s="401"/>
      <c r="EA269" s="989"/>
    </row>
    <row r="270" spans="1:131" s="158" customFormat="1">
      <c r="A270" s="158" t="s">
        <v>3617</v>
      </c>
      <c r="B270" s="98" t="s">
        <v>4307</v>
      </c>
      <c r="C270" s="160" t="s">
        <v>509</v>
      </c>
      <c r="D270" s="215"/>
      <c r="E270" s="215"/>
      <c r="F270" s="98">
        <f t="shared" ref="F270:AU270" si="849">F201</f>
        <v>0</v>
      </c>
      <c r="G270" s="98">
        <f t="shared" si="849"/>
        <v>0</v>
      </c>
      <c r="H270" s="98">
        <f t="shared" si="849"/>
        <v>0</v>
      </c>
      <c r="I270" s="98">
        <f t="shared" si="849"/>
        <v>0</v>
      </c>
      <c r="J270" s="98">
        <f t="shared" si="849"/>
        <v>0</v>
      </c>
      <c r="K270" s="98">
        <f t="shared" si="849"/>
        <v>0</v>
      </c>
      <c r="L270" s="98">
        <f t="shared" si="849"/>
        <v>0</v>
      </c>
      <c r="M270" s="98">
        <f t="shared" si="849"/>
        <v>0</v>
      </c>
      <c r="N270" s="98">
        <f t="shared" si="849"/>
        <v>0</v>
      </c>
      <c r="O270" s="98">
        <f t="shared" si="849"/>
        <v>0</v>
      </c>
      <c r="P270" s="98">
        <f t="shared" si="849"/>
        <v>0</v>
      </c>
      <c r="Q270" s="98">
        <f t="shared" si="849"/>
        <v>0</v>
      </c>
      <c r="R270" s="98">
        <f t="shared" si="849"/>
        <v>0</v>
      </c>
      <c r="S270" s="98">
        <f t="shared" si="849"/>
        <v>0</v>
      </c>
      <c r="T270" s="98">
        <f t="shared" si="849"/>
        <v>0</v>
      </c>
      <c r="U270" s="98">
        <f t="shared" si="849"/>
        <v>0</v>
      </c>
      <c r="V270" s="98">
        <f t="shared" si="849"/>
        <v>0</v>
      </c>
      <c r="W270" s="98">
        <f t="shared" si="849"/>
        <v>0</v>
      </c>
      <c r="X270" s="98">
        <f t="shared" si="849"/>
        <v>0</v>
      </c>
      <c r="Y270" s="98">
        <f t="shared" si="849"/>
        <v>0</v>
      </c>
      <c r="Z270" s="98">
        <f t="shared" si="849"/>
        <v>0</v>
      </c>
      <c r="AA270" s="98">
        <f t="shared" si="849"/>
        <v>0</v>
      </c>
      <c r="AB270" s="98">
        <f t="shared" si="849"/>
        <v>0</v>
      </c>
      <c r="AC270" s="98">
        <f t="shared" si="849"/>
        <v>0</v>
      </c>
      <c r="AD270" s="98">
        <f t="shared" si="849"/>
        <v>0</v>
      </c>
      <c r="AE270" s="98">
        <f t="shared" si="849"/>
        <v>0</v>
      </c>
      <c r="AF270" s="98">
        <f t="shared" si="849"/>
        <v>0</v>
      </c>
      <c r="AG270" s="98">
        <f t="shared" si="849"/>
        <v>0</v>
      </c>
      <c r="AH270" s="98">
        <f t="shared" si="849"/>
        <v>0</v>
      </c>
      <c r="AI270" s="98">
        <f t="shared" si="849"/>
        <v>0</v>
      </c>
      <c r="AJ270" s="98">
        <f t="shared" si="849"/>
        <v>0</v>
      </c>
      <c r="AK270" s="98">
        <f t="shared" si="849"/>
        <v>0</v>
      </c>
      <c r="AL270" s="98">
        <f t="shared" si="849"/>
        <v>0</v>
      </c>
      <c r="AM270" s="98">
        <f t="shared" si="849"/>
        <v>0</v>
      </c>
      <c r="AN270" s="98">
        <f t="shared" si="849"/>
        <v>0</v>
      </c>
      <c r="AO270" s="98">
        <f t="shared" si="849"/>
        <v>0</v>
      </c>
      <c r="AP270" s="98">
        <f t="shared" si="849"/>
        <v>0</v>
      </c>
      <c r="AQ270" s="98">
        <f t="shared" si="849"/>
        <v>0</v>
      </c>
      <c r="AR270" s="98">
        <f t="shared" si="849"/>
        <v>0</v>
      </c>
      <c r="AS270" s="98">
        <f t="shared" si="849"/>
        <v>0</v>
      </c>
      <c r="AT270" s="98">
        <f t="shared" si="849"/>
        <v>0</v>
      </c>
      <c r="AU270" s="98">
        <f t="shared" si="849"/>
        <v>0</v>
      </c>
      <c r="AV270" s="98">
        <f t="shared" ref="AV270:BI270" si="850">AV201</f>
        <v>0</v>
      </c>
      <c r="AW270" s="98">
        <f t="shared" si="850"/>
        <v>0</v>
      </c>
      <c r="AX270" s="98">
        <f t="shared" si="850"/>
        <v>0</v>
      </c>
      <c r="AY270" s="98">
        <f t="shared" si="850"/>
        <v>0</v>
      </c>
      <c r="AZ270" s="98">
        <f t="shared" si="850"/>
        <v>0</v>
      </c>
      <c r="BA270" s="98">
        <f t="shared" si="850"/>
        <v>0</v>
      </c>
      <c r="BB270" s="98">
        <f t="shared" si="850"/>
        <v>0</v>
      </c>
      <c r="BC270" s="98">
        <f t="shared" si="850"/>
        <v>0</v>
      </c>
      <c r="BD270" s="98">
        <f t="shared" si="850"/>
        <v>0</v>
      </c>
      <c r="BE270" s="158">
        <f t="shared" si="850"/>
        <v>0</v>
      </c>
      <c r="BF270" s="158">
        <f t="shared" si="850"/>
        <v>0</v>
      </c>
      <c r="BG270" s="158">
        <f t="shared" si="850"/>
        <v>0</v>
      </c>
      <c r="BH270" s="158">
        <f t="shared" si="850"/>
        <v>0</v>
      </c>
      <c r="BI270" s="158">
        <f t="shared" si="850"/>
        <v>0</v>
      </c>
      <c r="BJ270" s="158">
        <f t="shared" ref="BJ270:BQ270" si="851">BJ201</f>
        <v>0</v>
      </c>
      <c r="BK270" s="158">
        <f t="shared" si="851"/>
        <v>0</v>
      </c>
      <c r="BL270" s="158">
        <f t="shared" si="851"/>
        <v>0</v>
      </c>
      <c r="BM270" s="158">
        <f t="shared" si="851"/>
        <v>0</v>
      </c>
      <c r="BN270" s="158">
        <f t="shared" si="851"/>
        <v>0</v>
      </c>
      <c r="BO270" s="158">
        <f t="shared" si="851"/>
        <v>0</v>
      </c>
      <c r="BP270" s="158">
        <f t="shared" si="851"/>
        <v>0</v>
      </c>
      <c r="BQ270" s="158">
        <f t="shared" si="851"/>
        <v>0</v>
      </c>
      <c r="BR270" s="158">
        <f>BR201</f>
        <v>0</v>
      </c>
      <c r="BS270" s="158">
        <f>BS201</f>
        <v>0</v>
      </c>
      <c r="BT270" s="158">
        <f>BT201</f>
        <v>0</v>
      </c>
      <c r="BU270" s="158">
        <f>BU201</f>
        <v>0</v>
      </c>
      <c r="BV270" s="158">
        <f>BV201</f>
        <v>0</v>
      </c>
      <c r="BW270" s="158">
        <f t="shared" ref="BW270:BX270" si="852">BW201</f>
        <v>0</v>
      </c>
      <c r="BX270" s="158">
        <f t="shared" si="852"/>
        <v>0</v>
      </c>
      <c r="BY270" s="158">
        <f t="shared" ref="BY270:CD270" si="853">BY201</f>
        <v>0</v>
      </c>
      <c r="BZ270" s="158">
        <f t="shared" si="853"/>
        <v>0</v>
      </c>
      <c r="CA270" s="158">
        <f t="shared" si="853"/>
        <v>0</v>
      </c>
      <c r="CB270" s="158">
        <f t="shared" si="853"/>
        <v>0</v>
      </c>
      <c r="CC270" s="158">
        <f t="shared" si="853"/>
        <v>0</v>
      </c>
      <c r="CD270" s="158">
        <f t="shared" si="853"/>
        <v>0</v>
      </c>
      <c r="CF270" s="435"/>
      <c r="CG270" s="235">
        <f t="shared" si="766"/>
        <v>0</v>
      </c>
      <c r="CH270" s="235">
        <f t="shared" si="767"/>
        <v>0</v>
      </c>
      <c r="CI270" s="235" t="e">
        <f>BM270-#REF!</f>
        <v>#REF!</v>
      </c>
      <c r="CJ270" s="235">
        <f t="shared" si="817"/>
        <v>0</v>
      </c>
      <c r="CK270" s="235">
        <f t="shared" si="818"/>
        <v>0</v>
      </c>
      <c r="CL270" s="235">
        <f t="shared" si="819"/>
        <v>0</v>
      </c>
      <c r="CM270" s="235">
        <f t="shared" si="820"/>
        <v>0</v>
      </c>
      <c r="CN270" s="235">
        <f t="shared" si="821"/>
        <v>0</v>
      </c>
      <c r="CO270" s="235">
        <f t="shared" si="822"/>
        <v>0</v>
      </c>
      <c r="CP270" s="235">
        <f t="shared" si="823"/>
        <v>0</v>
      </c>
      <c r="CQ270" s="235">
        <f t="shared" si="824"/>
        <v>0</v>
      </c>
      <c r="CR270" s="235">
        <f t="shared" si="825"/>
        <v>0</v>
      </c>
      <c r="CS270" s="235">
        <f t="shared" si="826"/>
        <v>0</v>
      </c>
      <c r="CT270" s="235">
        <f t="shared" si="827"/>
        <v>0</v>
      </c>
      <c r="CU270" s="235">
        <f t="shared" si="828"/>
        <v>0</v>
      </c>
      <c r="CV270" s="235">
        <f t="shared" si="829"/>
        <v>0</v>
      </c>
      <c r="CW270" s="235">
        <f t="shared" si="830"/>
        <v>0</v>
      </c>
      <c r="CX270" s="235">
        <f t="shared" si="831"/>
        <v>0</v>
      </c>
      <c r="CY270" s="235">
        <f t="shared" si="832"/>
        <v>0</v>
      </c>
      <c r="CZ270" s="235">
        <f t="shared" si="833"/>
        <v>0</v>
      </c>
      <c r="DA270" s="38"/>
      <c r="DB270" s="236">
        <v>-1</v>
      </c>
      <c r="DC270" s="236">
        <v>0</v>
      </c>
      <c r="DD270" s="236">
        <v>0</v>
      </c>
      <c r="DE270" s="236">
        <v>0</v>
      </c>
      <c r="DF270" s="401">
        <v>0</v>
      </c>
      <c r="DG270" s="236">
        <v>0</v>
      </c>
      <c r="DH270" s="492">
        <v>0</v>
      </c>
      <c r="DI270" s="236">
        <v>0</v>
      </c>
      <c r="DJ270" s="236">
        <v>0</v>
      </c>
      <c r="DK270" s="236">
        <v>0</v>
      </c>
      <c r="DL270" s="236">
        <v>0</v>
      </c>
      <c r="DM270" s="236">
        <v>0</v>
      </c>
      <c r="DN270" s="236">
        <v>0</v>
      </c>
      <c r="DO270" s="236">
        <v>0</v>
      </c>
      <c r="DP270" s="236">
        <v>0</v>
      </c>
      <c r="DQ270" s="401">
        <v>0</v>
      </c>
      <c r="DR270" s="401">
        <v>0</v>
      </c>
      <c r="DS270" s="401">
        <v>0</v>
      </c>
      <c r="DT270" s="401">
        <v>0</v>
      </c>
      <c r="DU270" s="401">
        <v>0</v>
      </c>
      <c r="DV270" s="401">
        <v>0</v>
      </c>
      <c r="DW270" s="401">
        <v>0</v>
      </c>
      <c r="DX270" s="401">
        <v>0</v>
      </c>
      <c r="DY270" s="401">
        <v>0</v>
      </c>
      <c r="DZ270" s="401"/>
      <c r="EA270" s="989"/>
    </row>
    <row r="271" spans="1:131" s="76" customFormat="1">
      <c r="A271" s="976" t="s">
        <v>3887</v>
      </c>
      <c r="B271" s="80" t="s">
        <v>3712</v>
      </c>
      <c r="C271" s="106" t="s">
        <v>510</v>
      </c>
      <c r="D271" s="207"/>
      <c r="E271" s="207"/>
      <c r="F271" s="295">
        <f>mamiabc!F76*Model!$AV$271/mamiabc!$AV$76</f>
        <v>0</v>
      </c>
      <c r="G271" s="295">
        <f>mamiabc!G76*Model!$AV$271/mamiabc!$AV$76</f>
        <v>0</v>
      </c>
      <c r="H271" s="295">
        <f>mamiabc!H76*Model!$AV$271/mamiabc!$AV$76</f>
        <v>0</v>
      </c>
      <c r="I271" s="295">
        <f>mamiabc!I76*Model!$AV$271/mamiabc!$AV$76</f>
        <v>0</v>
      </c>
      <c r="J271" s="295">
        <f>mamiabc!J76*Model!$AV$271/mamiabc!$AV$76</f>
        <v>2.104673974826961E-3</v>
      </c>
      <c r="K271" s="295">
        <f>mamiabc!K76*Model!$AV$271/mamiabc!$AV$76</f>
        <v>-5.2616848586621882E-3</v>
      </c>
      <c r="L271" s="295">
        <f>mamiabc!L76*Model!$AV$271/mamiabc!$AV$76</f>
        <v>-7.3663586766787208E-3</v>
      </c>
      <c r="M271" s="295">
        <f>mamiabc!M76*Model!$AV$271/mamiabc!$AV$76</f>
        <v>-1.2101874924026347E-2</v>
      </c>
      <c r="N271" s="295">
        <f>mamiabc!N76*Model!$AV$271/mamiabc!$AV$76</f>
        <v>-7.8925272879932836E-3</v>
      </c>
      <c r="O271" s="295">
        <f>mamiabc!O76*Model!$AV$271/mamiabc!$AV$76</f>
        <v>5.2616849370674024E-4</v>
      </c>
      <c r="P271" s="295">
        <f>mamiabc!P76*Model!$AV$271/mamiabc!$AV$76</f>
        <v>5.2616849370674024E-4</v>
      </c>
      <c r="Q271" s="295">
        <f>mamiabc!Q76*Model!$AV$271/mamiabc!$AV$76</f>
        <v>5.2616849370674024E-4</v>
      </c>
      <c r="R271" s="295">
        <f>mamiabc!R76*Model!$AV$271/mamiabc!$AV$76</f>
        <v>-7.8925272879932836E-3</v>
      </c>
      <c r="S271" s="295">
        <f>mamiabc!S76*Model!$AV$271/mamiabc!$AV$76</f>
        <v>-2.104673974826961E-3</v>
      </c>
      <c r="T271" s="295">
        <f>mamiabc!T76*Model!$AV$271/mamiabc!$AV$76</f>
        <v>-1.1049537701397225E-2</v>
      </c>
      <c r="U271" s="295">
        <f>mamiabc!U76*Model!$AV$271/mamiabc!$AV$76</f>
        <v>-2.104673974826961E-3</v>
      </c>
      <c r="V271" s="295">
        <f>mamiabc!V76*Model!$AV$271/mamiabc!$AV$76</f>
        <v>5.2616848586621882E-3</v>
      </c>
      <c r="W271" s="295">
        <f>mamiabc!W76*Model!$AV$271/mamiabc!$AV$76</f>
        <v>-1.6837391798615688E-2</v>
      </c>
      <c r="X271" s="295">
        <f>mamiabc!X76*Model!$AV$271/mamiabc!$AV$76</f>
        <v>-1.6311222560059412E-2</v>
      </c>
      <c r="Y271" s="295">
        <f>mamiabc!Y76*Model!$AV$271/mamiabc!$AV$76</f>
        <v>-9.4710324946952543E-3</v>
      </c>
      <c r="Z271" s="295">
        <f>mamiabc!Z76*Model!$AV$271/mamiabc!$AV$76</f>
        <v>-2.104673974826961E-3</v>
      </c>
      <c r="AA271" s="295">
        <f>mamiabc!AA76*Model!$AV$271/mamiabc!$AV$76</f>
        <v>-7.3663586766787208E-3</v>
      </c>
      <c r="AB271" s="295">
        <f>mamiabc!AB76*Model!$AV$271/mamiabc!$AV$76</f>
        <v>1.0523369874134805E-3</v>
      </c>
      <c r="AC271" s="295">
        <f>mamiabc!AC76*Model!$AV$271/mamiabc!$AV$76</f>
        <v>-2.1046739434648753E-2</v>
      </c>
      <c r="AD271" s="295">
        <f>mamiabc!AD76*Model!$AV$271/mamiabc!$AV$76</f>
        <v>1.9994402212019629E-2</v>
      </c>
      <c r="AE271" s="295">
        <f>mamiabc!AE76*Model!$AV$271/mamiabc!$AV$76</f>
        <v>-4.2093479496539219E-3</v>
      </c>
      <c r="AF271" s="295">
        <f>mamiabc!AF76*Model!$AV$271/mamiabc!$AV$76</f>
        <v>-2.104673974826961E-3</v>
      </c>
      <c r="AG271" s="295">
        <f>mamiabc!AG76*Model!$AV$271/mamiabc!$AV$76</f>
        <v>2.6308424293310941E-3</v>
      </c>
      <c r="AH271" s="295">
        <f>mamiabc!AH76*Model!$AV$271/mamiabc!$AV$76</f>
        <v>2.6308424293310945E-2</v>
      </c>
      <c r="AI271" s="295">
        <f>mamiabc!AI76*Model!$AV$271/mamiabc!$AV$76</f>
        <v>3.7884129978781017E-2</v>
      </c>
      <c r="AJ271" s="295">
        <f>mamiabc!AJ76*Model!$AV$271/mamiabc!$AV$76</f>
        <v>-5.2616849370674024E-4</v>
      </c>
      <c r="AK271" s="295">
        <f>mamiabc!AK76*Model!$AV$271/mamiabc!$AV$76</f>
        <v>5.419535504780728E-2</v>
      </c>
      <c r="AL271" s="295">
        <f>mamiabc!AL76*Model!$AV$271/mamiabc!$AV$76</f>
        <v>1.3154212146655473E-2</v>
      </c>
      <c r="AM271" s="295">
        <f>mamiabc!AM76*Model!$AV$271/mamiabc!$AV$76</f>
        <v>0.13154212146655472</v>
      </c>
      <c r="AN271" s="295">
        <f>mamiabc!AN76*Model!$AV$271/mamiabc!$AV$76</f>
        <v>-1.5785054575986567E-2</v>
      </c>
      <c r="AO271" s="295">
        <f>mamiabc!AO76*Model!$AV$271/mamiabc!$AV$76</f>
        <v>-1.2628044162582622E-2</v>
      </c>
      <c r="AP271" s="295">
        <f>mamiabc!AP76*Model!$AV$271/mamiabc!$AV$76</f>
        <v>-2.4340554477319043</v>
      </c>
      <c r="AQ271" s="295">
        <f>mamiabc!AQ76*Model!$AV$271/mamiabc!$AV$76</f>
        <v>6.3140218303946269E-2</v>
      </c>
      <c r="AR271" s="295">
        <f>mamiabc!AR76*Model!$AV$271/mamiabc!$AV$76</f>
        <v>-4.2093478869297506E-2</v>
      </c>
      <c r="AS271" s="295">
        <f>mamiabc!AS76*Model!$AV$271/mamiabc!$AV$76</f>
        <v>-1.0891687657430729</v>
      </c>
      <c r="AT271" s="295">
        <f>mamiabc!AT76*Model!$AV$271/mamiabc!$AV$76</f>
        <v>-2.4993003078645395</v>
      </c>
      <c r="AU271" s="295">
        <f>mamiabc!AU76*Model!$AV$271/mamiabc!$AV$76</f>
        <v>15.048418695773858</v>
      </c>
      <c r="AV271" s="74">
        <f>DataInput!AV625</f>
        <v>3.76</v>
      </c>
      <c r="AW271" s="74">
        <f>DataInput!AW625</f>
        <v>9.0106000000000002</v>
      </c>
      <c r="AX271" s="74">
        <f>DataInput!AX625</f>
        <v>6.9164000000000003</v>
      </c>
      <c r="AY271" s="74">
        <f>DataInput!AY625</f>
        <v>13.32</v>
      </c>
      <c r="AZ271" s="74">
        <f>DataInput!AZ625</f>
        <v>38.160899999999998</v>
      </c>
      <c r="BA271" s="74">
        <f>DataInput!BA625</f>
        <v>39.521840499999989</v>
      </c>
      <c r="BB271" s="74">
        <f>DataInput!BB625</f>
        <v>-16.697645999999978</v>
      </c>
      <c r="BC271" s="74">
        <f>DataInput!BC625</f>
        <v>35.891169000000012</v>
      </c>
      <c r="BD271" s="74">
        <f>DataInput!BD625</f>
        <v>75.895839999999993</v>
      </c>
      <c r="BE271" s="74">
        <f>DataInput!BE625</f>
        <v>62.241099999999975</v>
      </c>
      <c r="BF271" s="74">
        <f>DataInput!BF625</f>
        <v>48.43765324675325</v>
      </c>
      <c r="BG271" s="74">
        <f>DataInput!BG625</f>
        <v>-48.587753246753238</v>
      </c>
      <c r="BH271" s="74">
        <f>DataInput!BH625</f>
        <v>-43.811000000000014</v>
      </c>
      <c r="BI271" s="74">
        <f>DataInput!BI625</f>
        <v>28.143000000000001</v>
      </c>
      <c r="BJ271" s="74">
        <f>DataInput!BJ625</f>
        <v>152.51900000000001</v>
      </c>
      <c r="BK271" s="74">
        <f>DataInput!BK625</f>
        <v>81.494999999999976</v>
      </c>
      <c r="BL271" s="74">
        <f>DataInput!BL625</f>
        <v>127.70000000000002</v>
      </c>
      <c r="BM271" s="74">
        <f>DataInput!BM625</f>
        <v>76.300000000000011</v>
      </c>
      <c r="BN271" s="74">
        <f>DataInput!BN625</f>
        <v>295.7</v>
      </c>
      <c r="BO271" s="74">
        <f>DataInput!BO625</f>
        <v>-41.400000000000063</v>
      </c>
      <c r="BP271" s="86">
        <f>BO271+finsim!BO234</f>
        <v>-41.400000000000063</v>
      </c>
      <c r="BQ271" s="86">
        <f>BP271+finsim!BP234</f>
        <v>-41.400000000000063</v>
      </c>
      <c r="BR271" s="86">
        <f>BQ271+finsim!BQ234</f>
        <v>-41.400000000000063</v>
      </c>
      <c r="BS271" s="86">
        <f>BR271+finsim!BR234</f>
        <v>-41.400000000000063</v>
      </c>
      <c r="BT271" s="86">
        <f>BS271+finsim!BS234</f>
        <v>-41.400000000000063</v>
      </c>
      <c r="BU271" s="86">
        <f>BT271+finsim!BT234</f>
        <v>-41.400000000000063</v>
      </c>
      <c r="BV271" s="86">
        <f>BU271+finsim!BU234</f>
        <v>-41.400000000000063</v>
      </c>
      <c r="BW271" s="86">
        <f>BV271+finsim!BV234</f>
        <v>-41.400000000000063</v>
      </c>
      <c r="BX271" s="86">
        <f>BW271+finsim!BW234</f>
        <v>-41.400000000000063</v>
      </c>
      <c r="BY271" s="86">
        <f>BX271+finsim!BX234</f>
        <v>-41.400000000000063</v>
      </c>
      <c r="BZ271" s="86">
        <f>BY271+finsim!BY234</f>
        <v>-41.400000000000063</v>
      </c>
      <c r="CA271" s="86">
        <f>BZ271+finsim!BZ234</f>
        <v>-41.400000000000063</v>
      </c>
      <c r="CB271" s="86">
        <f>CA271+finsim!CA234</f>
        <v>-41.400000000000063</v>
      </c>
      <c r="CC271" s="86">
        <f>CB271+finsim!CB234</f>
        <v>-41.400000000000063</v>
      </c>
      <c r="CD271" s="86">
        <f>CC271+finsim!CC234</f>
        <v>-41.400000000000063</v>
      </c>
      <c r="CE271" s="86"/>
      <c r="CF271" s="438"/>
      <c r="CG271" s="235">
        <f t="shared" si="766"/>
        <v>0</v>
      </c>
      <c r="CH271" s="235">
        <f t="shared" si="767"/>
        <v>0</v>
      </c>
      <c r="CI271" s="235" t="e">
        <f>BM271-#REF!</f>
        <v>#REF!</v>
      </c>
      <c r="CJ271" s="235">
        <f t="shared" si="817"/>
        <v>0</v>
      </c>
      <c r="CK271" s="235">
        <f t="shared" si="818"/>
        <v>0</v>
      </c>
      <c r="CL271" s="235">
        <f t="shared" si="819"/>
        <v>0</v>
      </c>
      <c r="CM271" s="235">
        <f t="shared" si="820"/>
        <v>0</v>
      </c>
      <c r="CN271" s="235">
        <f t="shared" si="821"/>
        <v>0</v>
      </c>
      <c r="CO271" s="235">
        <f t="shared" si="822"/>
        <v>0</v>
      </c>
      <c r="CP271" s="235">
        <f t="shared" si="823"/>
        <v>0</v>
      </c>
      <c r="CQ271" s="235">
        <f t="shared" si="824"/>
        <v>0</v>
      </c>
      <c r="CR271" s="235">
        <f t="shared" si="825"/>
        <v>0</v>
      </c>
      <c r="CS271" s="235">
        <f t="shared" si="826"/>
        <v>0</v>
      </c>
      <c r="CT271" s="235">
        <f t="shared" si="827"/>
        <v>0</v>
      </c>
      <c r="CU271" s="235">
        <f t="shared" si="828"/>
        <v>0</v>
      </c>
      <c r="CV271" s="235">
        <f t="shared" si="829"/>
        <v>0</v>
      </c>
      <c r="CW271" s="235">
        <f t="shared" si="830"/>
        <v>0</v>
      </c>
      <c r="CX271" s="235">
        <f t="shared" si="831"/>
        <v>0</v>
      </c>
      <c r="CY271" s="235">
        <f t="shared" si="832"/>
        <v>0</v>
      </c>
      <c r="CZ271" s="235">
        <f t="shared" si="833"/>
        <v>0</v>
      </c>
      <c r="DA271" s="38"/>
      <c r="DB271" s="236">
        <v>47.4466532467533</v>
      </c>
      <c r="DC271" s="236">
        <v>48.44665324675325</v>
      </c>
      <c r="DD271" s="236">
        <v>-47.621753246753229</v>
      </c>
      <c r="DE271" s="236">
        <v>-44.295000000000002</v>
      </c>
      <c r="DF271" s="401">
        <v>27.543000000000006</v>
      </c>
      <c r="DG271" s="236">
        <v>81.494999999999976</v>
      </c>
      <c r="DH271" s="492">
        <v>127.70000000000002</v>
      </c>
      <c r="DI271" s="236">
        <v>295.7</v>
      </c>
      <c r="DJ271" s="236">
        <v>-41.400000000000063</v>
      </c>
      <c r="DK271" s="236">
        <v>-41.400000000000063</v>
      </c>
      <c r="DL271" s="236">
        <v>-41.400000000000063</v>
      </c>
      <c r="DM271" s="236">
        <v>-41.400000000000063</v>
      </c>
      <c r="DN271" s="236">
        <v>-41.400000000000063</v>
      </c>
      <c r="DO271" s="236">
        <v>-41.400000000000063</v>
      </c>
      <c r="DP271" s="236">
        <v>-41.400000000000063</v>
      </c>
      <c r="DQ271" s="401">
        <v>-41.400000000000063</v>
      </c>
      <c r="DR271" s="401">
        <v>-41.400000000000063</v>
      </c>
      <c r="DS271" s="401">
        <v>-41.400000000000063</v>
      </c>
      <c r="DT271" s="401">
        <v>-41.400000000000063</v>
      </c>
      <c r="DU271" s="401">
        <v>-41.400000000000063</v>
      </c>
      <c r="DV271" s="401">
        <v>-41.400000000000063</v>
      </c>
      <c r="DW271" s="401">
        <v>-41.400000000000063</v>
      </c>
      <c r="DX271" s="401">
        <v>-41.400000000000063</v>
      </c>
      <c r="DY271" s="401">
        <v>-41.400000000000063</v>
      </c>
      <c r="DZ271" s="401"/>
      <c r="EA271" s="989"/>
    </row>
    <row r="272" spans="1:131">
      <c r="CF272" s="435"/>
      <c r="CG272" s="235">
        <f t="shared" si="766"/>
        <v>0</v>
      </c>
      <c r="CH272" s="235">
        <f t="shared" si="767"/>
        <v>0</v>
      </c>
      <c r="CI272" s="235" t="e">
        <f>BM272-#REF!</f>
        <v>#REF!</v>
      </c>
      <c r="CJ272" s="235">
        <f t="shared" si="817"/>
        <v>0</v>
      </c>
      <c r="CK272" s="235">
        <f t="shared" si="818"/>
        <v>0</v>
      </c>
      <c r="CL272" s="235">
        <f t="shared" si="819"/>
        <v>0</v>
      </c>
      <c r="CM272" s="235">
        <f t="shared" si="820"/>
        <v>0</v>
      </c>
      <c r="CN272" s="235">
        <f t="shared" si="821"/>
        <v>0</v>
      </c>
      <c r="CO272" s="235">
        <f t="shared" si="822"/>
        <v>0</v>
      </c>
      <c r="CP272" s="235">
        <f t="shared" si="823"/>
        <v>0</v>
      </c>
      <c r="CQ272" s="235">
        <f t="shared" si="824"/>
        <v>0</v>
      </c>
      <c r="CR272" s="235">
        <f t="shared" si="825"/>
        <v>0</v>
      </c>
      <c r="CS272" s="235">
        <f t="shared" si="826"/>
        <v>0</v>
      </c>
      <c r="CT272" s="235">
        <f t="shared" si="827"/>
        <v>0</v>
      </c>
      <c r="CU272" s="235">
        <f t="shared" si="828"/>
        <v>0</v>
      </c>
      <c r="CV272" s="235">
        <f t="shared" si="829"/>
        <v>0</v>
      </c>
      <c r="CW272" s="235">
        <f t="shared" si="830"/>
        <v>0</v>
      </c>
      <c r="CX272" s="235">
        <f t="shared" si="831"/>
        <v>0</v>
      </c>
      <c r="CY272" s="235">
        <f t="shared" si="832"/>
        <v>0</v>
      </c>
      <c r="CZ272" s="235">
        <f t="shared" si="833"/>
        <v>0</v>
      </c>
      <c r="DF272" s="258"/>
    </row>
    <row r="273" spans="1:131" s="76" customFormat="1">
      <c r="A273" s="76" t="s">
        <v>3234</v>
      </c>
      <c r="B273" s="80" t="s">
        <v>2077</v>
      </c>
      <c r="C273" s="87" t="s">
        <v>2479</v>
      </c>
      <c r="D273" s="207"/>
      <c r="E273" s="207"/>
      <c r="F273" s="80">
        <f t="shared" ref="F273:AU273" si="854">-F266-F269-F270-F271</f>
        <v>-8.1467759597651963E-3</v>
      </c>
      <c r="G273" s="80">
        <f t="shared" si="854"/>
        <v>-5.9439707889079128E-3</v>
      </c>
      <c r="H273" s="80">
        <f t="shared" si="854"/>
        <v>-5.7204278289082356E-3</v>
      </c>
      <c r="I273" s="80">
        <f t="shared" si="854"/>
        <v>-4.8241415535980395E-3</v>
      </c>
      <c r="J273" s="80">
        <f t="shared" si="854"/>
        <v>-6.664190748987245E-3</v>
      </c>
      <c r="K273" s="80">
        <f t="shared" si="854"/>
        <v>1.7900085550735228E-3</v>
      </c>
      <c r="L273" s="80">
        <f t="shared" si="854"/>
        <v>3.9592473673416943E-3</v>
      </c>
      <c r="M273" s="80">
        <f t="shared" si="854"/>
        <v>1.2677343970798043E-2</v>
      </c>
      <c r="N273" s="80">
        <f t="shared" si="854"/>
        <v>8.8048857329421741E-3</v>
      </c>
      <c r="O273" s="80">
        <f t="shared" si="854"/>
        <v>-5.9456484207184952E-3</v>
      </c>
      <c r="P273" s="80">
        <f t="shared" si="854"/>
        <v>-1.0580252855560563E-2</v>
      </c>
      <c r="Q273" s="80">
        <f t="shared" si="854"/>
        <v>-1.1280024395621644E-2</v>
      </c>
      <c r="R273" s="80">
        <f t="shared" si="854"/>
        <v>7.5802340230737425E-3</v>
      </c>
      <c r="S273" s="80">
        <f t="shared" si="854"/>
        <v>-7.225277215292935E-4</v>
      </c>
      <c r="T273" s="80">
        <f t="shared" si="854"/>
        <v>8.8429083398718859E-3</v>
      </c>
      <c r="U273" s="80">
        <f t="shared" si="854"/>
        <v>9.5949516128253018E-3</v>
      </c>
      <c r="V273" s="80">
        <f t="shared" si="854"/>
        <v>3.5137585845385318E-3</v>
      </c>
      <c r="W273" s="80">
        <f t="shared" si="854"/>
        <v>2.7543658011428641E-2</v>
      </c>
      <c r="X273" s="80">
        <f t="shared" si="854"/>
        <v>2.220010504328555E-2</v>
      </c>
      <c r="Y273" s="80">
        <f t="shared" si="854"/>
        <v>4.8826448265761074E-2</v>
      </c>
      <c r="Z273" s="80">
        <f t="shared" si="854"/>
        <v>4.5849341226702929E-2</v>
      </c>
      <c r="AA273" s="80">
        <f t="shared" si="854"/>
        <v>0.11239521928783373</v>
      </c>
      <c r="AB273" s="80">
        <f t="shared" si="854"/>
        <v>0.14608854173211691</v>
      </c>
      <c r="AC273" s="80">
        <f t="shared" si="854"/>
        <v>0.18731797088947641</v>
      </c>
      <c r="AD273" s="80">
        <f t="shared" si="854"/>
        <v>0.10422223073281565</v>
      </c>
      <c r="AE273" s="80">
        <f t="shared" si="854"/>
        <v>0.1714876423805419</v>
      </c>
      <c r="AF273" s="80">
        <f t="shared" si="854"/>
        <v>0.15836465980113248</v>
      </c>
      <c r="AG273" s="80">
        <f t="shared" si="854"/>
        <v>0.21678613479889786</v>
      </c>
      <c r="AH273" s="80">
        <f t="shared" si="854"/>
        <v>0.28651035677686187</v>
      </c>
      <c r="AI273" s="80">
        <f t="shared" si="854"/>
        <v>0.31055926772541032</v>
      </c>
      <c r="AJ273" s="80">
        <f t="shared" si="854"/>
        <v>0.32352420718099661</v>
      </c>
      <c r="AK273" s="80">
        <f t="shared" si="854"/>
        <v>0.26251732305448588</v>
      </c>
      <c r="AL273" s="80">
        <f t="shared" si="854"/>
        <v>0.36971921282096498</v>
      </c>
      <c r="AM273" s="80">
        <f t="shared" si="854"/>
        <v>0.30413561903688469</v>
      </c>
      <c r="AN273" s="80">
        <f t="shared" si="854"/>
        <v>0.43196943104566854</v>
      </c>
      <c r="AO273" s="80">
        <f t="shared" si="854"/>
        <v>0.45682987116128865</v>
      </c>
      <c r="AP273" s="80">
        <f t="shared" si="854"/>
        <v>2.8578708673060662</v>
      </c>
      <c r="AQ273" s="80">
        <f t="shared" si="854"/>
        <v>0.52374549145186577</v>
      </c>
      <c r="AR273" s="80">
        <f t="shared" si="854"/>
        <v>0.86273222323310406</v>
      </c>
      <c r="AS273" s="80">
        <f t="shared" si="854"/>
        <v>2.4399519006681301</v>
      </c>
      <c r="AT273" s="80">
        <f t="shared" si="854"/>
        <v>123.38092981538507</v>
      </c>
      <c r="AU273" s="80">
        <f t="shared" si="854"/>
        <v>-1.0948021150753675</v>
      </c>
      <c r="AV273" s="80">
        <f t="shared" ref="AV273:BH273" si="855">-AV266-AV269-AV270-AV271</f>
        <v>51.544913699999995</v>
      </c>
      <c r="AW273" s="80">
        <f t="shared" si="855"/>
        <v>28.776187961999991</v>
      </c>
      <c r="AX273" s="80">
        <f t="shared" si="855"/>
        <v>56.487218144999979</v>
      </c>
      <c r="AY273" s="80">
        <f t="shared" si="855"/>
        <v>45.455612119999984</v>
      </c>
      <c r="AZ273" s="80">
        <f t="shared" si="855"/>
        <v>89.652081219999943</v>
      </c>
      <c r="BA273" s="80">
        <f t="shared" si="855"/>
        <v>-155.88735749999989</v>
      </c>
      <c r="BB273" s="80">
        <f t="shared" si="855"/>
        <v>201.17309599999987</v>
      </c>
      <c r="BC273" s="80">
        <f t="shared" si="855"/>
        <v>2.5057809999998994</v>
      </c>
      <c r="BD273" s="80">
        <f t="shared" si="855"/>
        <v>7.4811000000000831</v>
      </c>
      <c r="BE273" s="80">
        <f t="shared" si="855"/>
        <v>8.5633483600000204</v>
      </c>
      <c r="BF273" s="80">
        <f t="shared" si="855"/>
        <v>-54.605794246753071</v>
      </c>
      <c r="BG273" s="80">
        <f t="shared" si="855"/>
        <v>-140.3435967532466</v>
      </c>
      <c r="BH273" s="80">
        <f t="shared" si="855"/>
        <v>-146.01633599999477</v>
      </c>
      <c r="BI273" s="80">
        <f t="shared" ref="BI273:BQ273" si="856">-BI266-BI269-BI270-BI271</f>
        <v>211.12032600000057</v>
      </c>
      <c r="BJ273" s="80">
        <f t="shared" si="856"/>
        <v>-49.148454000000157</v>
      </c>
      <c r="BK273" s="80">
        <f t="shared" si="856"/>
        <v>-189.09751199999928</v>
      </c>
      <c r="BL273" s="80">
        <f t="shared" si="856"/>
        <v>-28.990000000000265</v>
      </c>
      <c r="BM273" s="80">
        <f t="shared" si="856"/>
        <v>398.48507349821836</v>
      </c>
      <c r="BN273" s="80">
        <f t="shared" si="856"/>
        <v>398.40479090000014</v>
      </c>
      <c r="BO273" s="80">
        <f t="shared" si="856"/>
        <v>1042.6733372333338</v>
      </c>
      <c r="BP273" s="80">
        <f t="shared" ca="1" si="856"/>
        <v>1390.4723599682297</v>
      </c>
      <c r="BQ273" s="80">
        <f t="shared" ca="1" si="856"/>
        <v>1655.5107501549819</v>
      </c>
      <c r="BR273" s="80">
        <f ca="1">-BR266-BR269-BR270-BR271</f>
        <v>1820.7479572960215</v>
      </c>
      <c r="BS273" s="80">
        <f ca="1">-BS266-BS269-BS270-BS271</f>
        <v>2151.1438051112295</v>
      </c>
      <c r="BT273" s="80">
        <f ca="1">-BT266-BT269-BT270-BT271</f>
        <v>2629.8946719791629</v>
      </c>
      <c r="BU273" s="80">
        <f ca="1">-BU266-BU269-BU270-BU271</f>
        <v>3092.2180052865806</v>
      </c>
      <c r="BV273" s="80">
        <f ca="1">-BV266-BV269-BV270-BV271</f>
        <v>3628.7089992100896</v>
      </c>
      <c r="BW273" s="80">
        <f t="shared" ref="BW273:BX273" ca="1" si="857">-BW266-BW269-BW270-BW271</f>
        <v>4229.3361070094552</v>
      </c>
      <c r="BX273" s="80">
        <f t="shared" ca="1" si="857"/>
        <v>4906.0722647735111</v>
      </c>
      <c r="BY273" s="80">
        <f t="shared" ref="BY273:CD273" ca="1" si="858">-BY266-BY269-BY270-BY271</f>
        <v>5676.8596165489371</v>
      </c>
      <c r="BZ273" s="80">
        <f t="shared" ca="1" si="858"/>
        <v>6517.147134267032</v>
      </c>
      <c r="CA273" s="80">
        <f t="shared" ca="1" si="858"/>
        <v>7457.9429094103998</v>
      </c>
      <c r="CB273" s="80">
        <f t="shared" ca="1" si="858"/>
        <v>8499.9489519906729</v>
      </c>
      <c r="CC273" s="80">
        <f t="shared" ca="1" si="858"/>
        <v>9673.7064741374379</v>
      </c>
      <c r="CD273" s="80">
        <f t="shared" ca="1" si="858"/>
        <v>10994.682824875836</v>
      </c>
      <c r="CE273" s="80"/>
      <c r="CF273" s="435"/>
      <c r="CG273" s="235">
        <f t="shared" si="766"/>
        <v>1.2000000000000455</v>
      </c>
      <c r="CH273" s="235">
        <f t="shared" si="767"/>
        <v>0</v>
      </c>
      <c r="CI273" s="235" t="e">
        <f>BM273-#REF!</f>
        <v>#REF!</v>
      </c>
      <c r="CJ273" s="235">
        <f t="shared" si="817"/>
        <v>0</v>
      </c>
      <c r="CK273" s="235">
        <f t="shared" si="818"/>
        <v>0</v>
      </c>
      <c r="CL273" s="235">
        <f t="shared" ca="1" si="819"/>
        <v>0</v>
      </c>
      <c r="CM273" s="235">
        <f t="shared" ca="1" si="820"/>
        <v>2.7284841053187847E-12</v>
      </c>
      <c r="CN273" s="235">
        <f t="shared" ca="1" si="821"/>
        <v>2.7284841053187847E-12</v>
      </c>
      <c r="CO273" s="235">
        <f t="shared" ca="1" si="822"/>
        <v>3.637978807091713E-12</v>
      </c>
      <c r="CP273" s="235">
        <f t="shared" ca="1" si="823"/>
        <v>0</v>
      </c>
      <c r="CQ273" s="235">
        <f t="shared" ca="1" si="824"/>
        <v>-3.637978807091713E-12</v>
      </c>
      <c r="CR273" s="235">
        <f t="shared" ca="1" si="825"/>
        <v>-5.9117155615240335E-12</v>
      </c>
      <c r="CS273" s="235">
        <f t="shared" ca="1" si="826"/>
        <v>-7.2759576141834259E-12</v>
      </c>
      <c r="CT273" s="235">
        <f t="shared" ca="1" si="827"/>
        <v>0</v>
      </c>
      <c r="CU273" s="235">
        <f t="shared" ca="1" si="828"/>
        <v>0</v>
      </c>
      <c r="CV273" s="235">
        <f t="shared" ca="1" si="829"/>
        <v>0</v>
      </c>
      <c r="CW273" s="235">
        <f t="shared" ca="1" si="830"/>
        <v>9.0949470177292824E-12</v>
      </c>
      <c r="CX273" s="235">
        <f t="shared" ca="1" si="831"/>
        <v>3.0013325158506632E-10</v>
      </c>
      <c r="CY273" s="235">
        <f t="shared" ca="1" si="832"/>
        <v>3.0686351237818599E-9</v>
      </c>
      <c r="CZ273" s="235">
        <f t="shared" ca="1" si="833"/>
        <v>2.4108885554596782E-8</v>
      </c>
      <c r="DA273" s="38"/>
      <c r="DB273" s="236">
        <v>46.461479753246898</v>
      </c>
      <c r="DC273" s="236">
        <v>47.46147975324687</v>
      </c>
      <c r="DD273" s="236">
        <v>1.6278362467531764</v>
      </c>
      <c r="DE273" s="236">
        <v>-461.37548700000025</v>
      </c>
      <c r="DF273" s="401">
        <v>219.64445262999993</v>
      </c>
      <c r="DG273" s="236">
        <v>-190.29751199999933</v>
      </c>
      <c r="DH273" s="492">
        <v>-28.990000000000265</v>
      </c>
      <c r="DI273" s="236">
        <v>398.40479090000014</v>
      </c>
      <c r="DJ273" s="236">
        <v>1042.6733372333338</v>
      </c>
      <c r="DK273" s="236">
        <v>1390.4723599682288</v>
      </c>
      <c r="DL273" s="236">
        <v>1655.5107501549792</v>
      </c>
      <c r="DM273" s="236">
        <v>1820.7479572960187</v>
      </c>
      <c r="DN273" s="236">
        <v>2151.1438051112259</v>
      </c>
      <c r="DO273" s="236">
        <v>2629.8946719791611</v>
      </c>
      <c r="DP273" s="236">
        <v>3092.2180052865842</v>
      </c>
      <c r="DQ273" s="401">
        <v>3628.7089992100955</v>
      </c>
      <c r="DR273" s="401">
        <v>4229.3361070094625</v>
      </c>
      <c r="DS273" s="401">
        <v>4906.0722647735156</v>
      </c>
      <c r="DT273" s="401">
        <v>5676.8596165489434</v>
      </c>
      <c r="DU273" s="401">
        <v>6517.1471342670375</v>
      </c>
      <c r="DV273" s="401">
        <v>7457.9429094103907</v>
      </c>
      <c r="DW273" s="401">
        <v>8499.9489519903727</v>
      </c>
      <c r="DX273" s="401">
        <v>9673.7064741343693</v>
      </c>
      <c r="DY273" s="401">
        <v>10994.682824851727</v>
      </c>
      <c r="DZ273" s="401"/>
      <c r="EA273" s="989"/>
    </row>
    <row r="274" spans="1:131" s="76" customFormat="1">
      <c r="B274" s="80" t="s">
        <v>1903</v>
      </c>
      <c r="C274" s="51" t="s">
        <v>1902</v>
      </c>
      <c r="D274" s="207"/>
      <c r="E274" s="207"/>
      <c r="F274" s="80">
        <f t="shared" ref="F274:AU274" si="859">F347-F273</f>
        <v>8.1467759597651963E-3</v>
      </c>
      <c r="G274" s="80">
        <f t="shared" si="859"/>
        <v>5.9439707889079128E-3</v>
      </c>
      <c r="H274" s="80">
        <f t="shared" si="859"/>
        <v>5.7204278289082356E-3</v>
      </c>
      <c r="I274" s="80">
        <f t="shared" si="859"/>
        <v>4.8241415535980395E-3</v>
      </c>
      <c r="J274" s="80">
        <f t="shared" si="859"/>
        <v>6.664190748987245E-3</v>
      </c>
      <c r="K274" s="80">
        <f t="shared" si="859"/>
        <v>-1.7900085550735228E-3</v>
      </c>
      <c r="L274" s="80">
        <f t="shared" si="859"/>
        <v>-3.9592473673416943E-3</v>
      </c>
      <c r="M274" s="80">
        <f t="shared" si="859"/>
        <v>-1.2677343970798043E-2</v>
      </c>
      <c r="N274" s="80">
        <f t="shared" si="859"/>
        <v>-8.8048857329421741E-3</v>
      </c>
      <c r="O274" s="80">
        <f t="shared" si="859"/>
        <v>5.9456484207184952E-3</v>
      </c>
      <c r="P274" s="80">
        <f t="shared" si="859"/>
        <v>1.0580252855560563E-2</v>
      </c>
      <c r="Q274" s="80">
        <f t="shared" si="859"/>
        <v>1.1280024395621644E-2</v>
      </c>
      <c r="R274" s="80">
        <f t="shared" si="859"/>
        <v>-7.5802340230737425E-3</v>
      </c>
      <c r="S274" s="80">
        <f t="shared" si="859"/>
        <v>7.225277215292935E-4</v>
      </c>
      <c r="T274" s="80">
        <f t="shared" si="859"/>
        <v>-8.8429083398718859E-3</v>
      </c>
      <c r="U274" s="80">
        <f t="shared" si="859"/>
        <v>-9.5949516128253018E-3</v>
      </c>
      <c r="V274" s="80">
        <f t="shared" si="859"/>
        <v>-3.5137585845385318E-3</v>
      </c>
      <c r="W274" s="80">
        <f t="shared" si="859"/>
        <v>-2.7543658011428641E-2</v>
      </c>
      <c r="X274" s="80">
        <f t="shared" si="859"/>
        <v>-2.220010504328555E-2</v>
      </c>
      <c r="Y274" s="80">
        <f t="shared" si="859"/>
        <v>-4.8826448265761074E-2</v>
      </c>
      <c r="Z274" s="80">
        <f t="shared" si="859"/>
        <v>-4.5849341226702929E-2</v>
      </c>
      <c r="AA274" s="80">
        <f t="shared" si="859"/>
        <v>-0.11239521928783373</v>
      </c>
      <c r="AB274" s="80">
        <f t="shared" si="859"/>
        <v>-0.14608854173211691</v>
      </c>
      <c r="AC274" s="80">
        <f t="shared" si="859"/>
        <v>-0.18731797088947641</v>
      </c>
      <c r="AD274" s="80">
        <f t="shared" si="859"/>
        <v>-0.10422223073281565</v>
      </c>
      <c r="AE274" s="80">
        <f t="shared" si="859"/>
        <v>-0.1714876423805419</v>
      </c>
      <c r="AF274" s="80">
        <f t="shared" si="859"/>
        <v>-0.15836465980113248</v>
      </c>
      <c r="AG274" s="80">
        <f t="shared" si="859"/>
        <v>-0.21678613479889786</v>
      </c>
      <c r="AH274" s="80">
        <f t="shared" si="859"/>
        <v>-0.28651035677686187</v>
      </c>
      <c r="AI274" s="80">
        <f t="shared" si="859"/>
        <v>-0.31055926772541032</v>
      </c>
      <c r="AJ274" s="80">
        <f t="shared" si="859"/>
        <v>-0.32352420718099661</v>
      </c>
      <c r="AK274" s="80">
        <f t="shared" si="859"/>
        <v>-0.26251732305448588</v>
      </c>
      <c r="AL274" s="80">
        <f t="shared" si="859"/>
        <v>-0.36971921282096498</v>
      </c>
      <c r="AM274" s="80">
        <f t="shared" si="859"/>
        <v>-0.30413561903688469</v>
      </c>
      <c r="AN274" s="80">
        <f t="shared" si="859"/>
        <v>-0.43196943104566854</v>
      </c>
      <c r="AO274" s="80">
        <f t="shared" si="859"/>
        <v>-0.45682987116128865</v>
      </c>
      <c r="AP274" s="80">
        <f t="shared" si="859"/>
        <v>-2.8578708673060662</v>
      </c>
      <c r="AQ274" s="80">
        <f t="shared" si="859"/>
        <v>-0.52374549145186577</v>
      </c>
      <c r="AR274" s="80">
        <f t="shared" si="859"/>
        <v>-0.86273222323310406</v>
      </c>
      <c r="AS274" s="80">
        <f t="shared" si="859"/>
        <v>-2.4399519006681301</v>
      </c>
      <c r="AT274" s="80">
        <f t="shared" si="859"/>
        <v>-123.38092981538507</v>
      </c>
      <c r="AU274" s="80">
        <f t="shared" si="859"/>
        <v>1.0948021150753675</v>
      </c>
      <c r="AV274" s="80">
        <f t="shared" ref="AV274:BE274" si="860">AV347-AV273</f>
        <v>-51.544913699999995</v>
      </c>
      <c r="AW274" s="80">
        <f t="shared" si="860"/>
        <v>-28.776187961999991</v>
      </c>
      <c r="AX274" s="80">
        <f t="shared" si="860"/>
        <v>-56.487218144999979</v>
      </c>
      <c r="AY274" s="80">
        <f t="shared" si="860"/>
        <v>-45.455612119999984</v>
      </c>
      <c r="AZ274" s="80">
        <f t="shared" si="860"/>
        <v>-89.652081219999943</v>
      </c>
      <c r="BA274" s="80">
        <f t="shared" si="860"/>
        <v>-6.2126425000001007</v>
      </c>
      <c r="BB274" s="80">
        <f t="shared" si="860"/>
        <v>42.826904000000127</v>
      </c>
      <c r="BC274" s="80">
        <f t="shared" si="860"/>
        <v>18.394219000000099</v>
      </c>
      <c r="BD274" s="80">
        <f t="shared" si="860"/>
        <v>95.818899999999914</v>
      </c>
      <c r="BE274" s="80">
        <f t="shared" si="860"/>
        <v>16.836651639999978</v>
      </c>
      <c r="BF274" s="80">
        <f t="shared" ref="BF274:BO274" si="861">BF347-BF273</f>
        <v>22.905794246753072</v>
      </c>
      <c r="BG274" s="80">
        <f t="shared" si="861"/>
        <v>-50.956403246753382</v>
      </c>
      <c r="BH274" s="80">
        <f t="shared" si="861"/>
        <v>-66.183664000005223</v>
      </c>
      <c r="BI274" s="80">
        <f t="shared" si="861"/>
        <v>-22.320326000000563</v>
      </c>
      <c r="BJ274" s="80">
        <f t="shared" si="861"/>
        <v>124.84845400000016</v>
      </c>
      <c r="BK274" s="80">
        <f t="shared" si="861"/>
        <v>-65.502488000000739</v>
      </c>
      <c r="BL274" s="80">
        <f t="shared" si="861"/>
        <v>82.790000000000276</v>
      </c>
      <c r="BM274" s="80">
        <f t="shared" si="861"/>
        <v>136.41492650178162</v>
      </c>
      <c r="BN274" s="80">
        <f t="shared" si="861"/>
        <v>367.59520909999986</v>
      </c>
      <c r="BO274" s="80">
        <f t="shared" si="861"/>
        <v>-69.273337233333677</v>
      </c>
      <c r="BP274" s="154">
        <f t="shared" ref="BP274:BU274" si="862">BO274</f>
        <v>-69.273337233333677</v>
      </c>
      <c r="BQ274" s="154">
        <f t="shared" si="862"/>
        <v>-69.273337233333677</v>
      </c>
      <c r="BR274" s="154">
        <f t="shared" si="862"/>
        <v>-69.273337233333677</v>
      </c>
      <c r="BS274" s="154">
        <f t="shared" si="862"/>
        <v>-69.273337233333677</v>
      </c>
      <c r="BT274" s="154">
        <f t="shared" si="862"/>
        <v>-69.273337233333677</v>
      </c>
      <c r="BU274" s="154">
        <f t="shared" si="862"/>
        <v>-69.273337233333677</v>
      </c>
      <c r="BV274" s="154">
        <f t="shared" ref="BV274:BX274" si="863">BU274</f>
        <v>-69.273337233333677</v>
      </c>
      <c r="BW274" s="154">
        <f t="shared" si="863"/>
        <v>-69.273337233333677</v>
      </c>
      <c r="BX274" s="154">
        <f t="shared" si="863"/>
        <v>-69.273337233333677</v>
      </c>
      <c r="BY274" s="154">
        <f t="shared" ref="BY274" si="864">BX274</f>
        <v>-69.273337233333677</v>
      </c>
      <c r="BZ274" s="154">
        <f t="shared" ref="BZ274" si="865">BY274</f>
        <v>-69.273337233333677</v>
      </c>
      <c r="CA274" s="154">
        <f t="shared" ref="CA274" si="866">BZ274</f>
        <v>-69.273337233333677</v>
      </c>
      <c r="CB274" s="154">
        <f t="shared" ref="CB274" si="867">CA274</f>
        <v>-69.273337233333677</v>
      </c>
      <c r="CC274" s="154">
        <f t="shared" ref="CC274" si="868">CB274</f>
        <v>-69.273337233333677</v>
      </c>
      <c r="CD274" s="154">
        <f t="shared" ref="CD274" si="869">CC274</f>
        <v>-69.273337233333677</v>
      </c>
      <c r="CE274" s="154"/>
      <c r="CF274" s="435"/>
      <c r="CG274" s="235">
        <f t="shared" si="766"/>
        <v>-1.2000000000000455</v>
      </c>
      <c r="CH274" s="235">
        <f t="shared" si="767"/>
        <v>0</v>
      </c>
      <c r="CI274" s="235" t="e">
        <f>BM274-#REF!</f>
        <v>#REF!</v>
      </c>
      <c r="CJ274" s="235">
        <f t="shared" si="817"/>
        <v>0</v>
      </c>
      <c r="CK274" s="235">
        <f t="shared" si="818"/>
        <v>0</v>
      </c>
      <c r="CL274" s="235">
        <f t="shared" si="819"/>
        <v>0</v>
      </c>
      <c r="CM274" s="235">
        <f t="shared" si="820"/>
        <v>0</v>
      </c>
      <c r="CN274" s="235">
        <f t="shared" si="821"/>
        <v>0</v>
      </c>
      <c r="CO274" s="235">
        <f t="shared" si="822"/>
        <v>0</v>
      </c>
      <c r="CP274" s="235">
        <f t="shared" si="823"/>
        <v>0</v>
      </c>
      <c r="CQ274" s="235">
        <f t="shared" si="824"/>
        <v>0</v>
      </c>
      <c r="CR274" s="235">
        <f t="shared" si="825"/>
        <v>0</v>
      </c>
      <c r="CS274" s="235">
        <f t="shared" si="826"/>
        <v>0</v>
      </c>
      <c r="CT274" s="235">
        <f t="shared" si="827"/>
        <v>0</v>
      </c>
      <c r="CU274" s="235">
        <f t="shared" si="828"/>
        <v>0</v>
      </c>
      <c r="CV274" s="235">
        <f t="shared" si="829"/>
        <v>0</v>
      </c>
      <c r="CW274" s="235">
        <f t="shared" si="830"/>
        <v>0</v>
      </c>
      <c r="CX274" s="235">
        <f t="shared" si="831"/>
        <v>0</v>
      </c>
      <c r="CY274" s="235">
        <f t="shared" si="832"/>
        <v>0</v>
      </c>
      <c r="CZ274" s="235">
        <f t="shared" si="833"/>
        <v>0</v>
      </c>
      <c r="DA274" s="38"/>
      <c r="DB274" s="236">
        <v>-80.161479753246894</v>
      </c>
      <c r="DC274" s="236">
        <v>-79.161479753246866</v>
      </c>
      <c r="DD274" s="236">
        <v>-116.02783624675318</v>
      </c>
      <c r="DE274" s="236">
        <v>0</v>
      </c>
      <c r="DF274" s="401">
        <v>2.0555473700000562</v>
      </c>
      <c r="DG274" s="236">
        <v>-64.302488000000693</v>
      </c>
      <c r="DH274" s="492">
        <v>82.790000000000276</v>
      </c>
      <c r="DI274" s="236">
        <v>367.59520909999986</v>
      </c>
      <c r="DJ274" s="236">
        <v>-69.273337233333677</v>
      </c>
      <c r="DK274" s="236">
        <v>-69.273337233333677</v>
      </c>
      <c r="DL274" s="236">
        <v>-69.273337233333677</v>
      </c>
      <c r="DM274" s="236">
        <v>-69.273337233333677</v>
      </c>
      <c r="DN274" s="236">
        <v>-69.273337233333677</v>
      </c>
      <c r="DO274" s="236">
        <v>-69.273337233333677</v>
      </c>
      <c r="DP274" s="236">
        <v>-69.273337233333677</v>
      </c>
      <c r="DQ274" s="401">
        <v>-69.273337233333677</v>
      </c>
      <c r="DR274" s="401">
        <v>-69.273337233333677</v>
      </c>
      <c r="DS274" s="401">
        <v>-69.273337233333677</v>
      </c>
      <c r="DT274" s="401">
        <v>-69.273337233333677</v>
      </c>
      <c r="DU274" s="401">
        <v>-69.273337233333677</v>
      </c>
      <c r="DV274" s="401">
        <v>-69.273337233333677</v>
      </c>
      <c r="DW274" s="401">
        <v>-69.273337233333677</v>
      </c>
      <c r="DX274" s="401">
        <v>-69.273337233333677</v>
      </c>
      <c r="DY274" s="401">
        <v>-69.273337233333677</v>
      </c>
      <c r="DZ274" s="401"/>
      <c r="EA274" s="989"/>
    </row>
    <row r="275" spans="1:131" s="19" customFormat="1">
      <c r="A275" s="19" t="s">
        <v>2846</v>
      </c>
      <c r="B275" s="104" t="s">
        <v>1890</v>
      </c>
      <c r="D275" s="208"/>
      <c r="E275" s="208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42"/>
      <c r="AV275" s="90"/>
      <c r="AW275" s="90"/>
      <c r="AX275" s="90"/>
      <c r="AY275" s="90"/>
      <c r="AZ275" s="90"/>
      <c r="BA275" s="91"/>
      <c r="BB275" s="91"/>
      <c r="BC275" s="91"/>
      <c r="BD275" s="91"/>
      <c r="BE275" s="91"/>
      <c r="BF275" s="91"/>
      <c r="BG275" s="91"/>
      <c r="BH275" s="91"/>
      <c r="BI275" s="91"/>
      <c r="BJ275" s="91"/>
      <c r="BK275" s="91"/>
      <c r="BL275" s="91"/>
      <c r="BM275" s="91"/>
      <c r="BN275" s="91"/>
      <c r="BO275" s="91"/>
      <c r="BP275" s="91"/>
      <c r="BQ275" s="91"/>
      <c r="BR275" s="91"/>
      <c r="BS275" s="91"/>
      <c r="BT275" s="91"/>
      <c r="BU275" s="91"/>
      <c r="BV275" s="91"/>
      <c r="BW275" s="91"/>
      <c r="BX275" s="91"/>
      <c r="BY275" s="91"/>
      <c r="BZ275" s="91"/>
      <c r="CA275" s="91"/>
      <c r="CB275" s="91"/>
      <c r="CC275" s="91"/>
      <c r="CD275" s="91"/>
      <c r="CE275" s="91"/>
      <c r="CF275" s="435"/>
      <c r="CG275" s="235">
        <f t="shared" si="766"/>
        <v>0</v>
      </c>
      <c r="CH275" s="235">
        <f t="shared" si="767"/>
        <v>0</v>
      </c>
      <c r="CI275" s="235" t="e">
        <f>BM275-#REF!</f>
        <v>#REF!</v>
      </c>
      <c r="CJ275" s="235">
        <f t="shared" si="817"/>
        <v>0</v>
      </c>
      <c r="CK275" s="235">
        <f t="shared" si="818"/>
        <v>0</v>
      </c>
      <c r="CL275" s="235">
        <f t="shared" si="819"/>
        <v>0</v>
      </c>
      <c r="CM275" s="235">
        <f t="shared" si="820"/>
        <v>0</v>
      </c>
      <c r="CN275" s="235">
        <f t="shared" si="821"/>
        <v>0</v>
      </c>
      <c r="CO275" s="235">
        <f t="shared" si="822"/>
        <v>0</v>
      </c>
      <c r="CP275" s="235">
        <f t="shared" si="823"/>
        <v>0</v>
      </c>
      <c r="CQ275" s="235">
        <f t="shared" si="824"/>
        <v>0</v>
      </c>
      <c r="CR275" s="235">
        <f t="shared" si="825"/>
        <v>0</v>
      </c>
      <c r="CS275" s="235">
        <f t="shared" si="826"/>
        <v>0</v>
      </c>
      <c r="CT275" s="235">
        <f t="shared" si="827"/>
        <v>0</v>
      </c>
      <c r="CU275" s="235">
        <f t="shared" si="828"/>
        <v>0</v>
      </c>
      <c r="CV275" s="235">
        <f t="shared" si="829"/>
        <v>0</v>
      </c>
      <c r="CW275" s="235">
        <f t="shared" si="830"/>
        <v>0</v>
      </c>
      <c r="CX275" s="235">
        <f t="shared" si="831"/>
        <v>0</v>
      </c>
      <c r="CY275" s="235">
        <f t="shared" si="832"/>
        <v>0</v>
      </c>
      <c r="CZ275" s="235">
        <f t="shared" si="833"/>
        <v>0</v>
      </c>
      <c r="DA275" s="38"/>
      <c r="DB275" s="236"/>
      <c r="DC275" s="236"/>
      <c r="DD275" s="236"/>
      <c r="DE275" s="236"/>
      <c r="DF275" s="401"/>
      <c r="DG275" s="236"/>
      <c r="DH275" s="492"/>
      <c r="DI275" s="236"/>
      <c r="DJ275" s="236"/>
      <c r="DK275" s="236"/>
      <c r="DL275" s="236"/>
      <c r="DM275" s="236"/>
      <c r="DN275" s="236"/>
      <c r="DO275" s="236"/>
      <c r="DP275" s="236"/>
      <c r="DQ275" s="1084"/>
      <c r="DR275" s="1084"/>
      <c r="DS275" s="1084"/>
      <c r="DT275" s="1084"/>
      <c r="DU275" s="1084"/>
      <c r="DV275" s="1084"/>
      <c r="DW275" s="1084"/>
      <c r="DX275" s="1084"/>
      <c r="DY275" s="1084"/>
      <c r="DZ275" s="1084"/>
      <c r="EA275" s="988"/>
    </row>
    <row r="276" spans="1:131" s="88" customFormat="1">
      <c r="A276" s="88" t="s">
        <v>3637</v>
      </c>
      <c r="B276" s="80" t="s">
        <v>159</v>
      </c>
      <c r="C276" s="106" t="s">
        <v>2480</v>
      </c>
      <c r="D276" s="223"/>
      <c r="E276" s="223"/>
      <c r="F276" s="295">
        <f>mamiabc!F147*Model!$AV276/mamiabc!$AV147</f>
        <v>0</v>
      </c>
      <c r="G276" s="295">
        <f>mamiabc!G147*Model!$AV276/mamiabc!$AV147</f>
        <v>0</v>
      </c>
      <c r="H276" s="295">
        <f>mamiabc!H147*Model!$AV276/mamiabc!$AV147</f>
        <v>0</v>
      </c>
      <c r="I276" s="295">
        <f>mamiabc!I147*Model!$AV276/mamiabc!$AV147</f>
        <v>0</v>
      </c>
      <c r="J276" s="295">
        <f>mamiabc!J147*Model!$AV276/mamiabc!$AV147</f>
        <v>0</v>
      </c>
      <c r="K276" s="295">
        <f>mamiabc!K147*Model!$AV276/mamiabc!$AV147</f>
        <v>0</v>
      </c>
      <c r="L276" s="295">
        <f>mamiabc!L147*Model!$AV276/mamiabc!$AV147</f>
        <v>0</v>
      </c>
      <c r="M276" s="295">
        <f>mamiabc!M147*Model!$AV276/mamiabc!$AV147</f>
        <v>0</v>
      </c>
      <c r="N276" s="295">
        <f>mamiabc!N147*Model!$AV276/mamiabc!$AV147</f>
        <v>0</v>
      </c>
      <c r="O276" s="295">
        <f>mamiabc!O147*Model!$AV276/mamiabc!$AV147</f>
        <v>0</v>
      </c>
      <c r="P276" s="295">
        <f>mamiabc!P147*Model!$AV276/mamiabc!$AV147</f>
        <v>0</v>
      </c>
      <c r="Q276" s="295">
        <f>mamiabc!Q147*Model!$AV276/mamiabc!$AV147</f>
        <v>0</v>
      </c>
      <c r="R276" s="295">
        <f>mamiabc!R147*Model!$AV276/mamiabc!$AV147</f>
        <v>0</v>
      </c>
      <c r="S276" s="295">
        <f>mamiabc!S147*Model!$AV276/mamiabc!$AV147</f>
        <v>0</v>
      </c>
      <c r="T276" s="295">
        <f>mamiabc!T147*Model!$AV276/mamiabc!$AV147</f>
        <v>0</v>
      </c>
      <c r="U276" s="295">
        <f>mamiabc!U147*Model!$AV276/mamiabc!$AV147</f>
        <v>0</v>
      </c>
      <c r="V276" s="295">
        <f>mamiabc!V147*Model!$AV276/mamiabc!$AV147</f>
        <v>0</v>
      </c>
      <c r="W276" s="295">
        <f>mamiabc!W147*Model!$AV276/mamiabc!$AV147</f>
        <v>0</v>
      </c>
      <c r="X276" s="295">
        <f>mamiabc!X147*Model!$AV276/mamiabc!$AV147</f>
        <v>0</v>
      </c>
      <c r="Y276" s="295">
        <f>mamiabc!Y147*Model!$AV276/mamiabc!$AV147</f>
        <v>0</v>
      </c>
      <c r="Z276" s="295">
        <f>mamiabc!Z147*Model!$AV276/mamiabc!$AV147</f>
        <v>0</v>
      </c>
      <c r="AA276" s="295">
        <f>mamiabc!AA147*Model!$AV276/mamiabc!$AV147</f>
        <v>0</v>
      </c>
      <c r="AB276" s="295">
        <f>mamiabc!AB147*Model!$AV276/mamiabc!$AV147</f>
        <v>0</v>
      </c>
      <c r="AC276" s="295">
        <f>mamiabc!AC147*Model!$AV276/mamiabc!$AV147</f>
        <v>0</v>
      </c>
      <c r="AD276" s="295">
        <f>mamiabc!AD147*Model!$AV276/mamiabc!$AV147</f>
        <v>0</v>
      </c>
      <c r="AE276" s="295">
        <f>mamiabc!AE147*Model!$AV276/mamiabc!$AV147</f>
        <v>0</v>
      </c>
      <c r="AF276" s="295">
        <f>mamiabc!AF147*Model!$AV276/mamiabc!$AV147</f>
        <v>0</v>
      </c>
      <c r="AG276" s="295">
        <f>mamiabc!AG147*Model!$AV276/mamiabc!$AV147</f>
        <v>0</v>
      </c>
      <c r="AH276" s="295">
        <f>mamiabc!AH147*Model!$AV276/mamiabc!$AV147</f>
        <v>0</v>
      </c>
      <c r="AI276" s="295">
        <f>mamiabc!AI147*Model!$AV276/mamiabc!$AV147</f>
        <v>0</v>
      </c>
      <c r="AJ276" s="295">
        <f>mamiabc!AJ147*Model!$AV276/mamiabc!$AV147</f>
        <v>0</v>
      </c>
      <c r="AK276" s="295">
        <f>mamiabc!AK147*Model!$AV276/mamiabc!$AV147</f>
        <v>0</v>
      </c>
      <c r="AL276" s="295">
        <f>mamiabc!AL147*Model!$AV276/mamiabc!$AV147</f>
        <v>0</v>
      </c>
      <c r="AM276" s="295">
        <f>mamiabc!AM147*Model!$AV276/mamiabc!$AV147</f>
        <v>0</v>
      </c>
      <c r="AN276" s="295">
        <f>mamiabc!AN147*Model!$AV276/mamiabc!$AV147</f>
        <v>0</v>
      </c>
      <c r="AO276" s="295">
        <f>mamiabc!AO147*Model!$AV276/mamiabc!$AV147</f>
        <v>0.15064969628738203</v>
      </c>
      <c r="AP276" s="295">
        <f>mamiabc!AP147*Model!$AV276/mamiabc!$AV147</f>
        <v>0.18408470377502711</v>
      </c>
      <c r="AQ276" s="295">
        <f>mamiabc!AQ147*Model!$AV276/mamiabc!$AV147</f>
        <v>0.18408470377502711</v>
      </c>
      <c r="AR276" s="295">
        <f>mamiabc!AR147*Model!$AV276/mamiabc!$AV147</f>
        <v>0.18408470377502711</v>
      </c>
      <c r="AS276" s="295">
        <f>mamiabc!AS147*Model!$AV276/mamiabc!$AV147</f>
        <v>0.14767128428448678</v>
      </c>
      <c r="AT276" s="295">
        <f>mamiabc!AT147*Model!$AV276/mamiabc!$AV147</f>
        <v>0.15180262145054599</v>
      </c>
      <c r="AU276" s="295">
        <f>mamiabc!AU147*Model!$AV276/mamiabc!$AV147</f>
        <v>67.638636393154655</v>
      </c>
      <c r="AV276" s="27">
        <f>DataInput!AV589*AV363</f>
        <v>58.254402499999998</v>
      </c>
      <c r="AW276" s="27">
        <f>DataInput!AW589*AW363</f>
        <v>59.508400000000009</v>
      </c>
      <c r="AX276" s="27">
        <f>DataInput!AX589*AX363</f>
        <v>82.084699999999998</v>
      </c>
      <c r="AY276" s="27">
        <f>DataInput!AY589*AY363</f>
        <v>225.72637499999999</v>
      </c>
      <c r="AZ276" s="27">
        <f>DataInput!AZ589*AZ363</f>
        <v>469.75778104</v>
      </c>
      <c r="BA276" s="27">
        <f>DataInput!BA589*BA363</f>
        <v>951.8193275000001</v>
      </c>
      <c r="BB276" s="27">
        <f>DataInput!BB589*BB363</f>
        <v>1004.4211553600001</v>
      </c>
      <c r="BC276" s="27">
        <f>DataInput!BC589*BC363</f>
        <v>1189.1985406699998</v>
      </c>
      <c r="BD276" s="27">
        <f>DataInput!BD589*BD363</f>
        <v>1427.090586</v>
      </c>
      <c r="BE276" s="27">
        <f>+DataInput!BE589*Model!BE363</f>
        <v>1347.0775499999997</v>
      </c>
      <c r="BF276" s="27">
        <f>+DataInput!BF589*Model!BF363</f>
        <v>1364.6789699999999</v>
      </c>
      <c r="BG276" s="27">
        <f>+DataInput!BG589*Model!BG363</f>
        <v>1209.3921</v>
      </c>
      <c r="BH276" s="27">
        <f>+DataInput!BH589*Model!BH363</f>
        <v>1766.0451599999999</v>
      </c>
      <c r="BI276" s="27">
        <f>+DataInput!BI589*Model!BI363</f>
        <v>1840.3789500000003</v>
      </c>
      <c r="BJ276" s="27">
        <f>+DataInput!BJ589*Model!BJ363</f>
        <v>1976.8086999999998</v>
      </c>
      <c r="BK276" s="27">
        <f>+DataInput!BK589*Model!BK363</f>
        <v>2277.9249999999997</v>
      </c>
      <c r="BL276" s="27">
        <f>+DataInput!BL589*Model!BL363</f>
        <v>2716.18</v>
      </c>
      <c r="BM276" s="932">
        <f>+DataInput!BM589*Model!BM363</f>
        <v>3297.07</v>
      </c>
      <c r="BN276" s="932">
        <f>+DataInput!BN589*Model!BN363</f>
        <v>3645.4700000000003</v>
      </c>
      <c r="BO276" s="932">
        <f>+DataInput!BO589*Model!BO363</f>
        <v>3875.2799999999997</v>
      </c>
      <c r="BP276" s="86">
        <f>BO276+BP281+BP269+BP270+finsim!BO239</f>
        <v>5363.1204629999993</v>
      </c>
      <c r="BQ276" s="86">
        <f>BP276+BQ281+BQ269+BQ270+finsim!BP239</f>
        <v>5751.6880688736992</v>
      </c>
      <c r="BR276" s="86">
        <f>BQ276+BR281+BR269+BR270+finsim!BQ239</f>
        <v>6181.5782034838703</v>
      </c>
      <c r="BS276" s="86">
        <f>BR276+BS281+BS269+BS270+finsim!BR239</f>
        <v>6631.2720908480378</v>
      </c>
      <c r="BT276" s="86">
        <f>BS276+BT281+BT269+BT270+finsim!BS239</f>
        <v>7062.3168291535858</v>
      </c>
      <c r="BU276" s="86">
        <f>BT276+BU281+BU269+BU270+finsim!BT239</f>
        <v>7507.7995447727189</v>
      </c>
      <c r="BV276" s="86">
        <f>BU276+BV281+BV269+BV270+finsim!BU239</f>
        <v>7958.5821786767992</v>
      </c>
      <c r="BW276" s="86">
        <f>BV276+BW281+BW269+BW270+finsim!BV239</f>
        <v>8409.734877529796</v>
      </c>
      <c r="BX276" s="86">
        <f>BW276+BX281+BX269+BX270+finsim!BW239</f>
        <v>8867.7222721728704</v>
      </c>
      <c r="BY276" s="86">
        <f>BX276+BY281+BY269+BY270+finsim!BX239</f>
        <v>9329.9600072161811</v>
      </c>
      <c r="BZ276" s="86">
        <f>BY276+BZ281+BZ269+BZ270+finsim!BY239</f>
        <v>9796.0913311367167</v>
      </c>
      <c r="CA276" s="86">
        <f>BZ276+CA281+CA269+CA270+finsim!BZ239</f>
        <v>10267.313889717709</v>
      </c>
      <c r="CB276" s="86">
        <f>CA276+CB281+CB269+CB270+finsim!CA239</f>
        <v>10743.0350805212</v>
      </c>
      <c r="CC276" s="86">
        <f>CB276+CC281+CC269+CC270+finsim!CB239</f>
        <v>11223.339297937577</v>
      </c>
      <c r="CD276" s="86">
        <f>CC276+CD281+CD269+CD270+finsim!CC239</f>
        <v>11708.460881853189</v>
      </c>
      <c r="CE276" s="86"/>
      <c r="CF276" s="442"/>
      <c r="CG276" s="235">
        <f t="shared" si="766"/>
        <v>0</v>
      </c>
      <c r="CH276" s="235">
        <f t="shared" si="767"/>
        <v>0</v>
      </c>
      <c r="CI276" s="235" t="e">
        <f>BM276-#REF!</f>
        <v>#REF!</v>
      </c>
      <c r="CJ276" s="235">
        <f t="shared" si="817"/>
        <v>0</v>
      </c>
      <c r="CK276" s="235">
        <f t="shared" si="818"/>
        <v>0</v>
      </c>
      <c r="CL276" s="235">
        <f t="shared" si="819"/>
        <v>0</v>
      </c>
      <c r="CM276" s="235">
        <f t="shared" si="820"/>
        <v>0</v>
      </c>
      <c r="CN276" s="235">
        <f t="shared" si="821"/>
        <v>0</v>
      </c>
      <c r="CO276" s="235">
        <f t="shared" si="822"/>
        <v>0</v>
      </c>
      <c r="CP276" s="235">
        <f t="shared" si="823"/>
        <v>0</v>
      </c>
      <c r="CQ276" s="235">
        <f t="shared" si="824"/>
        <v>0</v>
      </c>
      <c r="CR276" s="235">
        <f t="shared" si="825"/>
        <v>0</v>
      </c>
      <c r="CS276" s="235">
        <f t="shared" si="826"/>
        <v>0</v>
      </c>
      <c r="CT276" s="235">
        <f t="shared" si="827"/>
        <v>0</v>
      </c>
      <c r="CU276" s="235">
        <f t="shared" si="828"/>
        <v>0</v>
      </c>
      <c r="CV276" s="235">
        <f t="shared" si="829"/>
        <v>0</v>
      </c>
      <c r="CW276" s="235">
        <f t="shared" si="830"/>
        <v>0</v>
      </c>
      <c r="CX276" s="235">
        <f t="shared" si="831"/>
        <v>0</v>
      </c>
      <c r="CY276" s="235">
        <f t="shared" si="832"/>
        <v>0</v>
      </c>
      <c r="CZ276" s="235">
        <f t="shared" si="833"/>
        <v>0</v>
      </c>
      <c r="DA276" s="38"/>
      <c r="DB276" s="236">
        <v>1365.351895</v>
      </c>
      <c r="DC276" s="236">
        <v>1366.351895</v>
      </c>
      <c r="DD276" s="236">
        <v>1203.8773950000002</v>
      </c>
      <c r="DE276" s="236">
        <v>1766.0451599999999</v>
      </c>
      <c r="DF276" s="401">
        <v>1840.3533000000002</v>
      </c>
      <c r="DG276" s="236">
        <v>2277.9249999999997</v>
      </c>
      <c r="DH276" s="492">
        <v>2716.18</v>
      </c>
      <c r="DI276" s="236">
        <v>3645.4700000000003</v>
      </c>
      <c r="DJ276" s="236">
        <v>3875.2799999999997</v>
      </c>
      <c r="DK276" s="236">
        <v>5363.1204629999993</v>
      </c>
      <c r="DL276" s="1085">
        <v>5751.6880688736992</v>
      </c>
      <c r="DM276" s="1085">
        <v>6181.5782034838703</v>
      </c>
      <c r="DN276" s="1085">
        <v>6631.2720908480378</v>
      </c>
      <c r="DO276" s="1085">
        <v>7062.3168291535858</v>
      </c>
      <c r="DP276" s="1085">
        <v>7507.7995447727189</v>
      </c>
      <c r="DQ276" s="1086">
        <v>7958.5821786767992</v>
      </c>
      <c r="DR276" s="1086">
        <v>8409.734877529796</v>
      </c>
      <c r="DS276" s="1086">
        <v>8867.7222721728704</v>
      </c>
      <c r="DT276" s="1086">
        <v>9329.9600072161811</v>
      </c>
      <c r="DU276" s="1086">
        <v>9796.0913311367167</v>
      </c>
      <c r="DV276" s="1086">
        <v>10267.313889717709</v>
      </c>
      <c r="DW276" s="1086">
        <v>10743.0350805212</v>
      </c>
      <c r="DX276" s="1086">
        <v>11223.339297937577</v>
      </c>
      <c r="DY276" s="1086">
        <v>11708.460881853189</v>
      </c>
      <c r="DZ276" s="1086"/>
      <c r="EA276" s="992"/>
    </row>
    <row r="277" spans="1:131" s="76" customFormat="1">
      <c r="A277" s="88" t="s">
        <v>3638</v>
      </c>
      <c r="B277" s="80" t="s">
        <v>158</v>
      </c>
      <c r="C277" s="51" t="s">
        <v>2481</v>
      </c>
      <c r="D277" s="207"/>
      <c r="E277" s="207"/>
      <c r="F277" s="295">
        <f>mamiabc!F146*Model!$AV277/mamiabc!$AV146</f>
        <v>0</v>
      </c>
      <c r="G277" s="295">
        <f>mamiabc!G146*Model!$AV277/mamiabc!$AV146</f>
        <v>0</v>
      </c>
      <c r="H277" s="295">
        <f>mamiabc!H146*Model!$AV277/mamiabc!$AV146</f>
        <v>0</v>
      </c>
      <c r="I277" s="295">
        <f>mamiabc!I146*Model!$AV277/mamiabc!$AV146</f>
        <v>0</v>
      </c>
      <c r="J277" s="295">
        <f>mamiabc!J146*Model!$AV277/mamiabc!$AV146</f>
        <v>0</v>
      </c>
      <c r="K277" s="295">
        <f>mamiabc!K146*Model!$AV277/mamiabc!$AV146</f>
        <v>0</v>
      </c>
      <c r="L277" s="295">
        <f>mamiabc!L146*Model!$AV277/mamiabc!$AV146</f>
        <v>0</v>
      </c>
      <c r="M277" s="295">
        <f>mamiabc!M146*Model!$AV277/mamiabc!$AV146</f>
        <v>0</v>
      </c>
      <c r="N277" s="295">
        <f>mamiabc!N146*Model!$AV277/mamiabc!$AV146</f>
        <v>0</v>
      </c>
      <c r="O277" s="295">
        <f>mamiabc!O146*Model!$AV277/mamiabc!$AV146</f>
        <v>0</v>
      </c>
      <c r="P277" s="295">
        <f>mamiabc!P146*Model!$AV277/mamiabc!$AV146</f>
        <v>0</v>
      </c>
      <c r="Q277" s="295">
        <f>mamiabc!Q146*Model!$AV277/mamiabc!$AV146</f>
        <v>0</v>
      </c>
      <c r="R277" s="295">
        <f>mamiabc!R146*Model!$AV277/mamiabc!$AV146</f>
        <v>0</v>
      </c>
      <c r="S277" s="295">
        <f>mamiabc!S146*Model!$AV277/mamiabc!$AV146</f>
        <v>0</v>
      </c>
      <c r="T277" s="295">
        <f>mamiabc!T146*Model!$AV277/mamiabc!$AV146</f>
        <v>0</v>
      </c>
      <c r="U277" s="295">
        <f>mamiabc!U146*Model!$AV277/mamiabc!$AV146</f>
        <v>0</v>
      </c>
      <c r="V277" s="295">
        <f>mamiabc!V146*Model!$AV277/mamiabc!$AV146</f>
        <v>0</v>
      </c>
      <c r="W277" s="295">
        <f>mamiabc!W146*Model!$AV277/mamiabc!$AV146</f>
        <v>0</v>
      </c>
      <c r="X277" s="295">
        <f>mamiabc!X146*Model!$AV277/mamiabc!$AV146</f>
        <v>0</v>
      </c>
      <c r="Y277" s="295">
        <f>mamiabc!Y146*Model!$AV277/mamiabc!$AV146</f>
        <v>0</v>
      </c>
      <c r="Z277" s="295">
        <f>mamiabc!Z146*Model!$AV277/mamiabc!$AV146</f>
        <v>0</v>
      </c>
      <c r="AA277" s="295">
        <f>mamiabc!AA146*Model!$AV277/mamiabc!$AV146</f>
        <v>0</v>
      </c>
      <c r="AB277" s="295">
        <f>mamiabc!AB146*Model!$AV277/mamiabc!$AV146</f>
        <v>0</v>
      </c>
      <c r="AC277" s="295">
        <f>mamiabc!AC146*Model!$AV277/mamiabc!$AV146</f>
        <v>0</v>
      </c>
      <c r="AD277" s="295">
        <f>mamiabc!AD146*Model!$AV277/mamiabc!$AV146</f>
        <v>0</v>
      </c>
      <c r="AE277" s="295">
        <f>mamiabc!AE146*Model!$AV277/mamiabc!$AV146</f>
        <v>0</v>
      </c>
      <c r="AF277" s="295">
        <f>mamiabc!AF146*Model!$AV277/mamiabc!$AV146</f>
        <v>0</v>
      </c>
      <c r="AG277" s="295">
        <f>mamiabc!AG146*Model!$AV277/mamiabc!$AV146</f>
        <v>0</v>
      </c>
      <c r="AH277" s="295">
        <f>mamiabc!AH146*Model!$AV277/mamiabc!$AV146</f>
        <v>0</v>
      </c>
      <c r="AI277" s="295">
        <f>mamiabc!AI146*Model!$AV277/mamiabc!$AV146</f>
        <v>0</v>
      </c>
      <c r="AJ277" s="295">
        <f>mamiabc!AJ146*Model!$AV277/mamiabc!$AV146</f>
        <v>0</v>
      </c>
      <c r="AK277" s="295">
        <f>mamiabc!AK146*Model!$AV277/mamiabc!$AV146</f>
        <v>0</v>
      </c>
      <c r="AL277" s="295">
        <f>mamiabc!AL146*Model!$AV277/mamiabc!$AV146</f>
        <v>0</v>
      </c>
      <c r="AM277" s="295">
        <f>mamiabc!AM146*Model!$AV277/mamiabc!$AV146</f>
        <v>0</v>
      </c>
      <c r="AN277" s="295">
        <f>mamiabc!AN146*Model!$AV277/mamiabc!$AV146</f>
        <v>0</v>
      </c>
      <c r="AO277" s="295">
        <f>mamiabc!AO146*Model!$AV277/mamiabc!$AV146</f>
        <v>4.2072834900333707</v>
      </c>
      <c r="AP277" s="295">
        <f>mamiabc!AP146*Model!$AV277/mamiabc!$AV146</f>
        <v>4.7132549154161261</v>
      </c>
      <c r="AQ277" s="295">
        <f>mamiabc!AQ146*Model!$AV277/mamiabc!$AV146</f>
        <v>5.6809721272882419</v>
      </c>
      <c r="AR277" s="295">
        <f>mamiabc!AR146*Model!$AV277/mamiabc!$AV146</f>
        <v>6.29773270895799</v>
      </c>
      <c r="AS277" s="295">
        <f>mamiabc!AS146*Model!$AV277/mamiabc!$AV146</f>
        <v>8.9575683050904562</v>
      </c>
      <c r="AT277" s="295">
        <f>mamiabc!AT146*Model!$AV277/mamiabc!$AV146</f>
        <v>8.9080955429033448</v>
      </c>
      <c r="AU277" s="295">
        <f>mamiabc!AU146*Model!$AV277/mamiabc!$AV146</f>
        <v>7.7162517265775019</v>
      </c>
      <c r="AV277" s="268">
        <f>DataInput!AV596</f>
        <v>8.9</v>
      </c>
      <c r="AW277" s="268">
        <f>DataInput!AW596</f>
        <v>17.899999999999999</v>
      </c>
      <c r="AX277" s="268">
        <f>DataInput!AX596</f>
        <v>24.8</v>
      </c>
      <c r="AY277" s="268">
        <f>DataInput!AY596</f>
        <v>38.1</v>
      </c>
      <c r="AZ277" s="268">
        <f>DataInput!AZ596</f>
        <v>288.98</v>
      </c>
      <c r="BA277" s="268">
        <f>DataInput!BA596</f>
        <v>181.916</v>
      </c>
      <c r="BB277" s="268">
        <f>DataInput!BB596</f>
        <v>358.25963473076001</v>
      </c>
      <c r="BC277" s="268">
        <f>DataInput!BC596</f>
        <v>410.41882872610006</v>
      </c>
      <c r="BD277" s="268">
        <f>DataInput!BD596</f>
        <v>651.29999999999995</v>
      </c>
      <c r="BE277" s="268">
        <f>DataInput!BE596</f>
        <v>781.9</v>
      </c>
      <c r="BF277" s="268">
        <f>DataInput!BF596</f>
        <v>720.6</v>
      </c>
      <c r="BG277" s="268">
        <f>DataInput!BG596</f>
        <v>631.4</v>
      </c>
      <c r="BH277" s="268">
        <f>DataInput!BH596</f>
        <v>913.4</v>
      </c>
      <c r="BI277" s="268">
        <f>DataInput!BI596</f>
        <v>1144</v>
      </c>
      <c r="BJ277" s="268">
        <f>DataInput!BJ596</f>
        <v>1497.8</v>
      </c>
      <c r="BK277" s="268">
        <f>DataInput!BK596</f>
        <v>1532</v>
      </c>
      <c r="BL277" s="268">
        <f>DataInput!BL596</f>
        <v>1769.7</v>
      </c>
      <c r="BM277" s="933">
        <f>DataInput!BM596</f>
        <v>2749.1</v>
      </c>
      <c r="BN277" s="933">
        <f>DataInput!BN596</f>
        <v>2153.6</v>
      </c>
      <c r="BO277" s="933">
        <f>DataInput!BO596</f>
        <v>3755.9</v>
      </c>
      <c r="BP277" s="267">
        <f ca="1">BO277-BP266-BP269-BP270+finsim!BO240</f>
        <v>5104.9723599682302</v>
      </c>
      <c r="BQ277" s="267">
        <f ca="1">BP277-BQ266-BQ269-BQ270+finsim!BP240</f>
        <v>6719.0831101232125</v>
      </c>
      <c r="BR277" s="267">
        <f ca="1">BQ277-BR266-BR269-BR270+finsim!BQ240</f>
        <v>8498.4310674192348</v>
      </c>
      <c r="BS277" s="267">
        <f ca="1">BR277-BS266-BS269-BS270+finsim!BR240</f>
        <v>10608.174872530462</v>
      </c>
      <c r="BT277" s="267">
        <f ca="1">BS277-BT266-BT269-BT270+finsim!BS240</f>
        <v>13196.669544509625</v>
      </c>
      <c r="BU277" s="267">
        <f ca="1">BT277-BU266-BU269-BU270+finsim!BT240</f>
        <v>16247.487549796204</v>
      </c>
      <c r="BV277" s="267">
        <f ca="1">BU277-BV266-BV269-BV270+finsim!BU240</f>
        <v>19834.796549006292</v>
      </c>
      <c r="BW277" s="267">
        <f ca="1">BV277-BW266-BW269-BW270+finsim!BV240</f>
        <v>24022.732656015749</v>
      </c>
      <c r="BX277" s="267">
        <f ca="1">BW277-BX266-BX269-BX270+finsim!BW240</f>
        <v>28887.40492078926</v>
      </c>
      <c r="BY277" s="267">
        <f ca="1">BX277-BY266-BY269-BY270+finsim!BX240</f>
        <v>34522.864537338202</v>
      </c>
      <c r="BZ277" s="267">
        <f ca="1">BY277-BZ266-BZ269-BZ270+finsim!BY240</f>
        <v>40998.611671605235</v>
      </c>
      <c r="CA277" s="267">
        <f ca="1">BZ277-CA266-CA269-CA270+finsim!BZ240</f>
        <v>48415.154581015631</v>
      </c>
      <c r="CB277" s="267">
        <f ca="1">CA277-CB266-CB269-CB270+finsim!CA240</f>
        <v>56873.703533006308</v>
      </c>
      <c r="CC277" s="267">
        <f ca="1">CB277-CC266-CC269-CC270+finsim!CB240</f>
        <v>66506.010007143748</v>
      </c>
      <c r="CD277" s="267">
        <f ca="1">CC277-CD266-CD269-CD270+finsim!CC240</f>
        <v>77459.292832019593</v>
      </c>
      <c r="CE277" s="267"/>
      <c r="CF277" s="438"/>
      <c r="CG277" s="235">
        <f t="shared" ref="CG277:CG308" si="870">BK277-DG277</f>
        <v>0</v>
      </c>
      <c r="CH277" s="235">
        <f t="shared" ref="CH277:CH308" si="871">BL277-DH277</f>
        <v>0</v>
      </c>
      <c r="CI277" s="235" t="e">
        <f>BM277-#REF!</f>
        <v>#REF!</v>
      </c>
      <c r="CJ277" s="235">
        <f t="shared" si="817"/>
        <v>0</v>
      </c>
      <c r="CK277" s="235">
        <f t="shared" si="818"/>
        <v>0</v>
      </c>
      <c r="CL277" s="235">
        <f t="shared" ca="1" si="819"/>
        <v>0</v>
      </c>
      <c r="CM277" s="235">
        <f t="shared" ca="1" si="820"/>
        <v>0</v>
      </c>
      <c r="CN277" s="235">
        <f t="shared" ca="1" si="821"/>
        <v>0</v>
      </c>
      <c r="CO277" s="235">
        <f t="shared" ca="1" si="822"/>
        <v>0</v>
      </c>
      <c r="CP277" s="235">
        <f t="shared" ca="1" si="823"/>
        <v>0</v>
      </c>
      <c r="CQ277" s="235">
        <f t="shared" ca="1" si="824"/>
        <v>0</v>
      </c>
      <c r="CR277" s="235">
        <f t="shared" ca="1" si="825"/>
        <v>0</v>
      </c>
      <c r="CS277" s="235">
        <f t="shared" ca="1" si="826"/>
        <v>0</v>
      </c>
      <c r="CT277" s="235">
        <f t="shared" ca="1" si="827"/>
        <v>0</v>
      </c>
      <c r="CU277" s="235">
        <f t="shared" ca="1" si="828"/>
        <v>0</v>
      </c>
      <c r="CV277" s="235">
        <f t="shared" ca="1" si="829"/>
        <v>0</v>
      </c>
      <c r="CW277" s="235">
        <f t="shared" ca="1" si="830"/>
        <v>0</v>
      </c>
      <c r="CX277" s="235">
        <f t="shared" ca="1" si="831"/>
        <v>2.8376234695315361E-10</v>
      </c>
      <c r="CY277" s="235">
        <f t="shared" ca="1" si="832"/>
        <v>3.3469405025243759E-9</v>
      </c>
      <c r="CZ277" s="235">
        <f t="shared" ca="1" si="833"/>
        <v>2.7459464035928249E-8</v>
      </c>
      <c r="DA277" s="38"/>
      <c r="DB277" s="236">
        <v>720.03399999999999</v>
      </c>
      <c r="DC277" s="236">
        <v>721.03399999999999</v>
      </c>
      <c r="DD277" s="236">
        <v>632.77700000000004</v>
      </c>
      <c r="DE277" s="236">
        <v>914.59500000000003</v>
      </c>
      <c r="DF277" s="401">
        <v>1144.5999999999999</v>
      </c>
      <c r="DG277" s="236">
        <v>1532</v>
      </c>
      <c r="DH277" s="492">
        <v>1769.7</v>
      </c>
      <c r="DI277" s="236">
        <v>2153.6</v>
      </c>
      <c r="DJ277" s="236">
        <v>3755.9</v>
      </c>
      <c r="DK277" s="236">
        <v>5104.9723599682293</v>
      </c>
      <c r="DL277" s="236">
        <v>6719.0831101232088</v>
      </c>
      <c r="DM277" s="236">
        <v>8498.4310674192275</v>
      </c>
      <c r="DN277" s="236">
        <v>10608.174872530451</v>
      </c>
      <c r="DO277" s="236">
        <v>13196.669544509612</v>
      </c>
      <c r="DP277" s="236">
        <v>16247.487549796197</v>
      </c>
      <c r="DQ277" s="401">
        <v>19834.796549006292</v>
      </c>
      <c r="DR277" s="401">
        <v>24022.732656015756</v>
      </c>
      <c r="DS277" s="401">
        <v>28887.404920789271</v>
      </c>
      <c r="DT277" s="401">
        <v>34522.864537338217</v>
      </c>
      <c r="DU277" s="401">
        <v>40998.611671605257</v>
      </c>
      <c r="DV277" s="401">
        <v>48415.154581015646</v>
      </c>
      <c r="DW277" s="401">
        <v>56873.703533006024</v>
      </c>
      <c r="DX277" s="401">
        <v>66506.010007140401</v>
      </c>
      <c r="DY277" s="401">
        <v>77459.292831992134</v>
      </c>
      <c r="DZ277" s="401"/>
      <c r="EA277" s="989"/>
    </row>
    <row r="278" spans="1:131" s="88" customFormat="1">
      <c r="A278" s="88" t="s">
        <v>3639</v>
      </c>
      <c r="B278" s="80" t="s">
        <v>58</v>
      </c>
      <c r="C278" s="106" t="s">
        <v>2482</v>
      </c>
      <c r="D278" s="223"/>
      <c r="E278" s="223"/>
      <c r="F278" s="80">
        <f t="shared" ref="F278:AU278" si="872">F277-F279</f>
        <v>0</v>
      </c>
      <c r="G278" s="80">
        <f t="shared" si="872"/>
        <v>0</v>
      </c>
      <c r="H278" s="80">
        <f t="shared" si="872"/>
        <v>0</v>
      </c>
      <c r="I278" s="80">
        <f t="shared" si="872"/>
        <v>0</v>
      </c>
      <c r="J278" s="80">
        <f t="shared" si="872"/>
        <v>0</v>
      </c>
      <c r="K278" s="80">
        <f t="shared" si="872"/>
        <v>0</v>
      </c>
      <c r="L278" s="80">
        <f t="shared" si="872"/>
        <v>0</v>
      </c>
      <c r="M278" s="80">
        <f t="shared" si="872"/>
        <v>0</v>
      </c>
      <c r="N278" s="80">
        <f t="shared" si="872"/>
        <v>0</v>
      </c>
      <c r="O278" s="80">
        <f t="shared" si="872"/>
        <v>0</v>
      </c>
      <c r="P278" s="80">
        <f t="shared" si="872"/>
        <v>0</v>
      </c>
      <c r="Q278" s="80">
        <f t="shared" si="872"/>
        <v>0</v>
      </c>
      <c r="R278" s="80">
        <f t="shared" si="872"/>
        <v>0</v>
      </c>
      <c r="S278" s="80">
        <f t="shared" si="872"/>
        <v>0</v>
      </c>
      <c r="T278" s="80">
        <f t="shared" si="872"/>
        <v>0</v>
      </c>
      <c r="U278" s="80">
        <f t="shared" si="872"/>
        <v>0</v>
      </c>
      <c r="V278" s="80">
        <f t="shared" si="872"/>
        <v>0</v>
      </c>
      <c r="W278" s="80">
        <f t="shared" si="872"/>
        <v>0</v>
      </c>
      <c r="X278" s="80">
        <f t="shared" si="872"/>
        <v>0</v>
      </c>
      <c r="Y278" s="80">
        <f t="shared" si="872"/>
        <v>0</v>
      </c>
      <c r="Z278" s="80">
        <f t="shared" si="872"/>
        <v>0</v>
      </c>
      <c r="AA278" s="80">
        <f t="shared" si="872"/>
        <v>0</v>
      </c>
      <c r="AB278" s="80">
        <f t="shared" si="872"/>
        <v>0</v>
      </c>
      <c r="AC278" s="80">
        <f t="shared" si="872"/>
        <v>0</v>
      </c>
      <c r="AD278" s="80">
        <f t="shared" si="872"/>
        <v>0</v>
      </c>
      <c r="AE278" s="80">
        <f t="shared" si="872"/>
        <v>0</v>
      </c>
      <c r="AF278" s="80">
        <f t="shared" si="872"/>
        <v>0</v>
      </c>
      <c r="AG278" s="80">
        <f t="shared" si="872"/>
        <v>0</v>
      </c>
      <c r="AH278" s="80">
        <f t="shared" si="872"/>
        <v>0</v>
      </c>
      <c r="AI278" s="80">
        <f t="shared" si="872"/>
        <v>0</v>
      </c>
      <c r="AJ278" s="80">
        <f t="shared" si="872"/>
        <v>0</v>
      </c>
      <c r="AK278" s="80">
        <f t="shared" si="872"/>
        <v>0</v>
      </c>
      <c r="AL278" s="80">
        <f t="shared" si="872"/>
        <v>0</v>
      </c>
      <c r="AM278" s="80">
        <f t="shared" si="872"/>
        <v>0</v>
      </c>
      <c r="AN278" s="80">
        <f t="shared" si="872"/>
        <v>0</v>
      </c>
      <c r="AO278" s="80">
        <f t="shared" si="872"/>
        <v>4.2072834900333707</v>
      </c>
      <c r="AP278" s="80">
        <f t="shared" si="872"/>
        <v>4.7132549154161261</v>
      </c>
      <c r="AQ278" s="80">
        <f t="shared" si="872"/>
        <v>5.6809721272882419</v>
      </c>
      <c r="AR278" s="80">
        <f t="shared" si="872"/>
        <v>6.29773270895799</v>
      </c>
      <c r="AS278" s="80">
        <f t="shared" si="872"/>
        <v>8.9575683050904562</v>
      </c>
      <c r="AT278" s="80">
        <f t="shared" si="872"/>
        <v>8.9080955429033448</v>
      </c>
      <c r="AU278" s="80">
        <f t="shared" si="872"/>
        <v>7.7162517265775019</v>
      </c>
      <c r="AV278" s="80">
        <f t="shared" ref="AV278:BE278" si="873">AV277-AV279</f>
        <v>4.4000000000000004</v>
      </c>
      <c r="AW278" s="80">
        <f t="shared" si="873"/>
        <v>13.799999999999999</v>
      </c>
      <c r="AX278" s="80">
        <f t="shared" si="873"/>
        <v>21</v>
      </c>
      <c r="AY278" s="80">
        <f t="shared" si="873"/>
        <v>38.1</v>
      </c>
      <c r="AZ278" s="80">
        <f t="shared" si="873"/>
        <v>285.94285767589002</v>
      </c>
      <c r="BA278" s="80">
        <f t="shared" si="873"/>
        <v>179.42099999999999</v>
      </c>
      <c r="BB278" s="80">
        <f t="shared" si="873"/>
        <v>194.46783694924002</v>
      </c>
      <c r="BC278" s="80">
        <f t="shared" si="873"/>
        <v>252.07282872610006</v>
      </c>
      <c r="BD278" s="80">
        <f t="shared" si="873"/>
        <v>498.51</v>
      </c>
      <c r="BE278" s="80">
        <f t="shared" si="873"/>
        <v>634.66599999999994</v>
      </c>
      <c r="BF278" s="109">
        <f t="shared" ref="BF278:BQ278" si="874">+BF277-BF279</f>
        <v>578.92200000000003</v>
      </c>
      <c r="BG278" s="109">
        <f t="shared" si="874"/>
        <v>495.27799999999996</v>
      </c>
      <c r="BH278" s="109">
        <f t="shared" si="874"/>
        <v>782.83399999999995</v>
      </c>
      <c r="BI278" s="109">
        <f t="shared" si="874"/>
        <v>1018.99</v>
      </c>
      <c r="BJ278" s="109">
        <f t="shared" si="874"/>
        <v>1378.346</v>
      </c>
      <c r="BK278" s="109">
        <f t="shared" si="874"/>
        <v>1418.1020000000001</v>
      </c>
      <c r="BL278" s="109">
        <f t="shared" si="874"/>
        <v>1661.4</v>
      </c>
      <c r="BM278" s="934">
        <f>+BM277-BM279</f>
        <v>2646.2999999999997</v>
      </c>
      <c r="BN278" s="934">
        <f>+BN277-BN279</f>
        <v>2056.4</v>
      </c>
      <c r="BO278" s="934">
        <f>+BO277-BO279</f>
        <v>1257.5999999999999</v>
      </c>
      <c r="BP278" s="109">
        <f t="shared" ca="1" si="874"/>
        <v>2612.2283599682301</v>
      </c>
      <c r="BQ278" s="109">
        <f t="shared" ca="1" si="874"/>
        <v>4231.8951101232124</v>
      </c>
      <c r="BR278" s="109">
        <f ca="1">+BR277-BR279</f>
        <v>6016.7990674192351</v>
      </c>
      <c r="BS278" s="109">
        <f ca="1">+BS277-BS279</f>
        <v>8132.0988725304624</v>
      </c>
      <c r="BT278" s="109">
        <f ca="1">+BT277-BT279</f>
        <v>10726.149544509624</v>
      </c>
      <c r="BU278" s="109">
        <f ca="1">+BU277-BU279</f>
        <v>13782.523549796204</v>
      </c>
      <c r="BV278" s="109">
        <f ca="1">+BV277-BV279</f>
        <v>17375.388549006293</v>
      </c>
      <c r="BW278" s="109">
        <f t="shared" ref="BW278:BX278" ca="1" si="875">+BW277-BW279</f>
        <v>21568.88065601575</v>
      </c>
      <c r="BX278" s="109">
        <f t="shared" ca="1" si="875"/>
        <v>26439.108920789262</v>
      </c>
      <c r="BY278" s="109">
        <f t="shared" ref="BY278:CD278" ca="1" si="876">+BY277-BY279</f>
        <v>32080.124537338204</v>
      </c>
      <c r="BZ278" s="109">
        <f t="shared" ca="1" si="876"/>
        <v>38561.427671605234</v>
      </c>
      <c r="CA278" s="109">
        <f t="shared" ca="1" si="876"/>
        <v>45983.526581015634</v>
      </c>
      <c r="CB278" s="109">
        <f t="shared" ca="1" si="876"/>
        <v>54447.631533006308</v>
      </c>
      <c r="CC278" s="109">
        <f t="shared" ca="1" si="876"/>
        <v>64085.494007143745</v>
      </c>
      <c r="CD278" s="109">
        <f t="shared" ca="1" si="876"/>
        <v>75044.332832019587</v>
      </c>
      <c r="CE278" s="109"/>
      <c r="CF278" s="435"/>
      <c r="CG278" s="235">
        <f t="shared" si="870"/>
        <v>0</v>
      </c>
      <c r="CH278" s="235">
        <f t="shared" si="871"/>
        <v>0</v>
      </c>
      <c r="CI278" s="235" t="e">
        <f>BM278-#REF!</f>
        <v>#REF!</v>
      </c>
      <c r="CJ278" s="235">
        <f t="shared" si="817"/>
        <v>0</v>
      </c>
      <c r="CK278" s="235">
        <f t="shared" si="818"/>
        <v>0</v>
      </c>
      <c r="CL278" s="235">
        <f t="shared" ca="1" si="819"/>
        <v>0</v>
      </c>
      <c r="CM278" s="235">
        <f t="shared" ca="1" si="820"/>
        <v>0</v>
      </c>
      <c r="CN278" s="235">
        <f t="shared" ca="1" si="821"/>
        <v>7.2759576141834259E-12</v>
      </c>
      <c r="CO278" s="235">
        <f t="shared" ca="1" si="822"/>
        <v>1.0913936421275139E-11</v>
      </c>
      <c r="CP278" s="235">
        <f t="shared" ca="1" si="823"/>
        <v>0</v>
      </c>
      <c r="CQ278" s="235">
        <f t="shared" ca="1" si="824"/>
        <v>0</v>
      </c>
      <c r="CR278" s="235">
        <f t="shared" ca="1" si="825"/>
        <v>0</v>
      </c>
      <c r="CS278" s="235">
        <f t="shared" ca="1" si="826"/>
        <v>0</v>
      </c>
      <c r="CT278" s="235">
        <f t="shared" ca="1" si="827"/>
        <v>0</v>
      </c>
      <c r="CU278" s="235">
        <f t="shared" ca="1" si="828"/>
        <v>0</v>
      </c>
      <c r="CV278" s="235">
        <f t="shared" ca="1" si="829"/>
        <v>0</v>
      </c>
      <c r="CW278" s="235">
        <f t="shared" ca="1" si="830"/>
        <v>0</v>
      </c>
      <c r="CX278" s="235">
        <f t="shared" ca="1" si="831"/>
        <v>2.8376234695315361E-10</v>
      </c>
      <c r="CY278" s="235">
        <f t="shared" ca="1" si="832"/>
        <v>3.3469405025243759E-9</v>
      </c>
      <c r="CZ278" s="235">
        <f t="shared" ca="1" si="833"/>
        <v>2.7459464035928249E-8</v>
      </c>
      <c r="DA278" s="38"/>
      <c r="DB278" s="236">
        <v>578.35599999999999</v>
      </c>
      <c r="DC278" s="236">
        <v>579.35599999999999</v>
      </c>
      <c r="DD278" s="236">
        <v>496.65499999999997</v>
      </c>
      <c r="DE278" s="236">
        <v>784.029</v>
      </c>
      <c r="DF278" s="401">
        <v>1019.59</v>
      </c>
      <c r="DG278" s="236">
        <v>1418.1020000000001</v>
      </c>
      <c r="DH278" s="492">
        <v>1661.4</v>
      </c>
      <c r="DI278" s="236">
        <v>2056.4</v>
      </c>
      <c r="DJ278" s="236">
        <v>1257.5999999999999</v>
      </c>
      <c r="DK278" s="236">
        <v>2612.2283599682291</v>
      </c>
      <c r="DL278" s="1085">
        <v>4231.8951101232087</v>
      </c>
      <c r="DM278" s="1085">
        <v>6016.7990674192279</v>
      </c>
      <c r="DN278" s="1085">
        <v>8132.0988725304514</v>
      </c>
      <c r="DO278" s="1085">
        <v>10726.149544509612</v>
      </c>
      <c r="DP278" s="1085">
        <v>13782.523549796197</v>
      </c>
      <c r="DQ278" s="1086">
        <v>17375.388549006293</v>
      </c>
      <c r="DR278" s="1086">
        <v>21568.880656015757</v>
      </c>
      <c r="DS278" s="1086">
        <v>26439.108920789273</v>
      </c>
      <c r="DT278" s="1086">
        <v>32080.124537338219</v>
      </c>
      <c r="DU278" s="1086">
        <v>38561.427671605255</v>
      </c>
      <c r="DV278" s="1086">
        <v>45983.526581015649</v>
      </c>
      <c r="DW278" s="1086">
        <v>54447.631533006024</v>
      </c>
      <c r="DX278" s="1086">
        <v>64085.494007140398</v>
      </c>
      <c r="DY278" s="1086">
        <v>75044.332831992127</v>
      </c>
      <c r="DZ278" s="1086"/>
      <c r="EA278" s="992"/>
    </row>
    <row r="279" spans="1:131" s="76" customFormat="1">
      <c r="A279" s="976" t="s">
        <v>3642</v>
      </c>
      <c r="B279" s="80" t="s">
        <v>563</v>
      </c>
      <c r="C279" s="51" t="s">
        <v>2483</v>
      </c>
      <c r="D279" s="207"/>
      <c r="E279" s="207"/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07"/>
      <c r="V279" s="207"/>
      <c r="W279" s="207"/>
      <c r="X279" s="207"/>
      <c r="Y279" s="207"/>
      <c r="Z279" s="207"/>
      <c r="AA279" s="207"/>
      <c r="AB279" s="207"/>
      <c r="AC279" s="207"/>
      <c r="AD279" s="207"/>
      <c r="AE279" s="207"/>
      <c r="AF279" s="207"/>
      <c r="AG279" s="207"/>
      <c r="AH279" s="207"/>
      <c r="AI279" s="207"/>
      <c r="AJ279" s="207"/>
      <c r="AK279" s="207"/>
      <c r="AL279" s="207"/>
      <c r="AM279" s="207"/>
      <c r="AN279" s="207"/>
      <c r="AO279" s="207"/>
      <c r="AP279" s="207"/>
      <c r="AQ279" s="207"/>
      <c r="AR279" s="207"/>
      <c r="AS279" s="207"/>
      <c r="AT279" s="309"/>
      <c r="AU279" s="51"/>
      <c r="AV279" s="27">
        <f>DataInput!AV604</f>
        <v>4.5</v>
      </c>
      <c r="AW279" s="27">
        <f>DataInput!AW604</f>
        <v>4.0999999999999996</v>
      </c>
      <c r="AX279" s="27">
        <f>DataInput!AX604</f>
        <v>3.8</v>
      </c>
      <c r="AY279" s="27">
        <f>DataInput!AY604</f>
        <v>0</v>
      </c>
      <c r="AZ279" s="27">
        <f>DataInput!AZ604</f>
        <v>3.03714232411</v>
      </c>
      <c r="BA279" s="27">
        <f>DataInput!BA604</f>
        <v>2.4950000000000001</v>
      </c>
      <c r="BB279" s="27">
        <f>DataInput!BB604</f>
        <v>163.79179778151999</v>
      </c>
      <c r="BC279" s="27">
        <f>DataInput!BC604</f>
        <v>158.346</v>
      </c>
      <c r="BD279" s="27">
        <f>DataInput!BD604</f>
        <v>152.79</v>
      </c>
      <c r="BE279" s="27">
        <f>DataInput!BE604</f>
        <v>147.23400000000001</v>
      </c>
      <c r="BF279" s="27">
        <f>DataInput!BF604</f>
        <v>141.678</v>
      </c>
      <c r="BG279" s="27">
        <f>DataInput!BG604</f>
        <v>136.12200000000001</v>
      </c>
      <c r="BH279" s="27">
        <f>DataInput!BH604</f>
        <v>130.566</v>
      </c>
      <c r="BI279" s="27">
        <f>DataInput!BI604</f>
        <v>125.01</v>
      </c>
      <c r="BJ279" s="27">
        <f>DataInput!BJ604</f>
        <v>119.45399999999999</v>
      </c>
      <c r="BK279" s="27">
        <f>DataInput!BK604</f>
        <v>113.898</v>
      </c>
      <c r="BL279" s="27">
        <f>DataInput!BL604</f>
        <v>108.3</v>
      </c>
      <c r="BM279" s="932">
        <f>DataInput!BM604</f>
        <v>102.8</v>
      </c>
      <c r="BN279" s="932">
        <f>DataInput!BN604</f>
        <v>97.2</v>
      </c>
      <c r="BO279" s="932">
        <f>DataInput!BO604</f>
        <v>2498.3000000000002</v>
      </c>
      <c r="BP279" s="102">
        <f>BO279-12*0.463+finsim!BO242</f>
        <v>2492.7440000000001</v>
      </c>
      <c r="BQ279" s="102">
        <f>BP279-12*0.463+finsim!BP242</f>
        <v>2487.1880000000001</v>
      </c>
      <c r="BR279" s="102">
        <f>BQ279-12*0.463+finsim!BQ242</f>
        <v>2481.6320000000001</v>
      </c>
      <c r="BS279" s="102">
        <f>BR279-12*0.463+finsim!BR242</f>
        <v>2476.076</v>
      </c>
      <c r="BT279" s="102">
        <f>BS279-12*0.463+finsim!BS242</f>
        <v>2470.52</v>
      </c>
      <c r="BU279" s="102">
        <f>BT279-12*0.463+finsim!BT242</f>
        <v>2464.9639999999999</v>
      </c>
      <c r="BV279" s="102">
        <f>BU279-12*0.463+finsim!BU242</f>
        <v>2459.4079999999999</v>
      </c>
      <c r="BW279" s="102">
        <f>BV279-12*0.463+finsim!BV242</f>
        <v>2453.8519999999999</v>
      </c>
      <c r="BX279" s="102">
        <f>BW279-12*0.463+finsim!BW242</f>
        <v>2448.2959999999998</v>
      </c>
      <c r="BY279" s="102">
        <f>BX279-12*0.463+finsim!BX242</f>
        <v>2442.7399999999998</v>
      </c>
      <c r="BZ279" s="102">
        <f>BY279-12*0.463+finsim!BY242</f>
        <v>2437.1839999999997</v>
      </c>
      <c r="CA279" s="102">
        <f>BZ279-12*0.463+finsim!BZ242</f>
        <v>2431.6279999999997</v>
      </c>
      <c r="CB279" s="102">
        <f>CA279-12*0.463+finsim!CA242</f>
        <v>2426.0719999999997</v>
      </c>
      <c r="CC279" s="102">
        <f>CB279-12*0.463+finsim!CB242</f>
        <v>2420.5159999999996</v>
      </c>
      <c r="CD279" s="102">
        <f>CC279-12*0.463+finsim!CC242</f>
        <v>2414.9599999999996</v>
      </c>
      <c r="CE279" s="102"/>
      <c r="CF279" s="438"/>
      <c r="CG279" s="235">
        <f t="shared" si="870"/>
        <v>0</v>
      </c>
      <c r="CH279" s="235">
        <f t="shared" si="871"/>
        <v>0</v>
      </c>
      <c r="CI279" s="235" t="e">
        <f>BM279-#REF!</f>
        <v>#REF!</v>
      </c>
      <c r="CJ279" s="235">
        <f t="shared" si="817"/>
        <v>0</v>
      </c>
      <c r="CK279" s="235">
        <f t="shared" si="818"/>
        <v>0</v>
      </c>
      <c r="CL279" s="235">
        <f t="shared" si="819"/>
        <v>0</v>
      </c>
      <c r="CM279" s="235">
        <f t="shared" si="820"/>
        <v>0</v>
      </c>
      <c r="CN279" s="235">
        <f t="shared" si="821"/>
        <v>0</v>
      </c>
      <c r="CO279" s="235">
        <f t="shared" si="822"/>
        <v>0</v>
      </c>
      <c r="CP279" s="235">
        <f t="shared" si="823"/>
        <v>0</v>
      </c>
      <c r="CQ279" s="235">
        <f t="shared" si="824"/>
        <v>0</v>
      </c>
      <c r="CR279" s="235">
        <f t="shared" si="825"/>
        <v>0</v>
      </c>
      <c r="CS279" s="235">
        <f t="shared" si="826"/>
        <v>0</v>
      </c>
      <c r="CT279" s="235">
        <f t="shared" si="827"/>
        <v>0</v>
      </c>
      <c r="CU279" s="235">
        <f t="shared" si="828"/>
        <v>0</v>
      </c>
      <c r="CV279" s="235">
        <f t="shared" si="829"/>
        <v>0</v>
      </c>
      <c r="CW279" s="235">
        <f t="shared" si="830"/>
        <v>0</v>
      </c>
      <c r="CX279" s="235">
        <f t="shared" si="831"/>
        <v>0</v>
      </c>
      <c r="CY279" s="235">
        <f t="shared" si="832"/>
        <v>0</v>
      </c>
      <c r="CZ279" s="235">
        <f t="shared" si="833"/>
        <v>0</v>
      </c>
      <c r="DA279" s="38"/>
      <c r="DB279" s="236">
        <v>140.678</v>
      </c>
      <c r="DC279" s="236">
        <v>141.678</v>
      </c>
      <c r="DD279" s="236">
        <v>136.12200000000001</v>
      </c>
      <c r="DE279" s="236">
        <v>130.566</v>
      </c>
      <c r="DF279" s="401">
        <v>125.01</v>
      </c>
      <c r="DG279" s="236">
        <v>113.898</v>
      </c>
      <c r="DH279" s="492">
        <v>108.3</v>
      </c>
      <c r="DI279" s="236">
        <v>97.2</v>
      </c>
      <c r="DJ279" s="236">
        <v>2498.3000000000002</v>
      </c>
      <c r="DK279" s="236">
        <v>2492.7440000000001</v>
      </c>
      <c r="DL279" s="236">
        <v>2487.1880000000001</v>
      </c>
      <c r="DM279" s="236">
        <v>2481.6320000000001</v>
      </c>
      <c r="DN279" s="236">
        <v>2476.076</v>
      </c>
      <c r="DO279" s="236">
        <v>2470.52</v>
      </c>
      <c r="DP279" s="236">
        <v>2464.9639999999999</v>
      </c>
      <c r="DQ279" s="401">
        <v>2459.4079999999999</v>
      </c>
      <c r="DR279" s="401">
        <v>2453.8519999999999</v>
      </c>
      <c r="DS279" s="401">
        <v>2448.2959999999998</v>
      </c>
      <c r="DT279" s="401">
        <v>2442.7399999999998</v>
      </c>
      <c r="DU279" s="401">
        <v>2437.1839999999997</v>
      </c>
      <c r="DV279" s="401">
        <v>2431.6279999999997</v>
      </c>
      <c r="DW279" s="401">
        <v>2426.0719999999997</v>
      </c>
      <c r="DX279" s="401">
        <v>2420.5159999999996</v>
      </c>
      <c r="DY279" s="401">
        <v>2414.9599999999996</v>
      </c>
      <c r="DZ279" s="401"/>
      <c r="EA279" s="989"/>
    </row>
    <row r="280" spans="1:131" s="76" customFormat="1">
      <c r="A280" s="76" t="s">
        <v>3640</v>
      </c>
      <c r="B280" s="80" t="s">
        <v>3034</v>
      </c>
      <c r="C280" s="51"/>
      <c r="D280" s="207"/>
      <c r="E280" s="207"/>
      <c r="F280" s="80">
        <f t="shared" ref="F280:AS280" si="877">+F276+F277</f>
        <v>0</v>
      </c>
      <c r="G280" s="80">
        <f t="shared" si="877"/>
        <v>0</v>
      </c>
      <c r="H280" s="80">
        <f t="shared" si="877"/>
        <v>0</v>
      </c>
      <c r="I280" s="80">
        <f t="shared" si="877"/>
        <v>0</v>
      </c>
      <c r="J280" s="80">
        <f t="shared" si="877"/>
        <v>0</v>
      </c>
      <c r="K280" s="80">
        <f t="shared" si="877"/>
        <v>0</v>
      </c>
      <c r="L280" s="80">
        <f t="shared" si="877"/>
        <v>0</v>
      </c>
      <c r="M280" s="80">
        <f t="shared" si="877"/>
        <v>0</v>
      </c>
      <c r="N280" s="80">
        <f t="shared" si="877"/>
        <v>0</v>
      </c>
      <c r="O280" s="80">
        <f t="shared" si="877"/>
        <v>0</v>
      </c>
      <c r="P280" s="80">
        <f t="shared" si="877"/>
        <v>0</v>
      </c>
      <c r="Q280" s="80">
        <f t="shared" si="877"/>
        <v>0</v>
      </c>
      <c r="R280" s="80">
        <f t="shared" si="877"/>
        <v>0</v>
      </c>
      <c r="S280" s="80">
        <f t="shared" si="877"/>
        <v>0</v>
      </c>
      <c r="T280" s="80">
        <f t="shared" si="877"/>
        <v>0</v>
      </c>
      <c r="U280" s="80">
        <f t="shared" si="877"/>
        <v>0</v>
      </c>
      <c r="V280" s="80">
        <f t="shared" si="877"/>
        <v>0</v>
      </c>
      <c r="W280" s="80">
        <f t="shared" si="877"/>
        <v>0</v>
      </c>
      <c r="X280" s="80">
        <f t="shared" si="877"/>
        <v>0</v>
      </c>
      <c r="Y280" s="80">
        <f t="shared" si="877"/>
        <v>0</v>
      </c>
      <c r="Z280" s="80">
        <f t="shared" si="877"/>
        <v>0</v>
      </c>
      <c r="AA280" s="80">
        <f t="shared" si="877"/>
        <v>0</v>
      </c>
      <c r="AB280" s="80">
        <f t="shared" si="877"/>
        <v>0</v>
      </c>
      <c r="AC280" s="80">
        <f t="shared" si="877"/>
        <v>0</v>
      </c>
      <c r="AD280" s="80">
        <f t="shared" si="877"/>
        <v>0</v>
      </c>
      <c r="AE280" s="80">
        <f t="shared" si="877"/>
        <v>0</v>
      </c>
      <c r="AF280" s="80">
        <f t="shared" si="877"/>
        <v>0</v>
      </c>
      <c r="AG280" s="80">
        <f t="shared" si="877"/>
        <v>0</v>
      </c>
      <c r="AH280" s="80">
        <f t="shared" si="877"/>
        <v>0</v>
      </c>
      <c r="AI280" s="80">
        <f t="shared" si="877"/>
        <v>0</v>
      </c>
      <c r="AJ280" s="80">
        <f t="shared" si="877"/>
        <v>0</v>
      </c>
      <c r="AK280" s="80">
        <f t="shared" si="877"/>
        <v>0</v>
      </c>
      <c r="AL280" s="80">
        <f t="shared" si="877"/>
        <v>0</v>
      </c>
      <c r="AM280" s="80">
        <f t="shared" si="877"/>
        <v>0</v>
      </c>
      <c r="AN280" s="80">
        <f t="shared" si="877"/>
        <v>0</v>
      </c>
      <c r="AO280" s="80">
        <f t="shared" si="877"/>
        <v>4.3579331863207527</v>
      </c>
      <c r="AP280" s="80">
        <f t="shared" si="877"/>
        <v>4.8973396191911531</v>
      </c>
      <c r="AQ280" s="80">
        <f t="shared" si="877"/>
        <v>5.8650568310632689</v>
      </c>
      <c r="AR280" s="80">
        <f t="shared" si="877"/>
        <v>6.481817412733017</v>
      </c>
      <c r="AS280" s="80">
        <f t="shared" si="877"/>
        <v>9.1052395893749427</v>
      </c>
      <c r="AT280" s="80">
        <f>+AT276+AT277</f>
        <v>9.0598981643538909</v>
      </c>
      <c r="AU280" s="80">
        <f>+AU276+AU277</f>
        <v>75.354888119732152</v>
      </c>
      <c r="AV280" s="80">
        <f>+AV276+AV277</f>
        <v>67.154402500000003</v>
      </c>
      <c r="AW280" s="80">
        <f t="shared" ref="AW280:BH280" si="878">+AW276+AW277</f>
        <v>77.4084</v>
      </c>
      <c r="AX280" s="80">
        <f t="shared" si="878"/>
        <v>106.8847</v>
      </c>
      <c r="AY280" s="80">
        <f t="shared" si="878"/>
        <v>263.82637499999998</v>
      </c>
      <c r="AZ280" s="80">
        <f t="shared" si="878"/>
        <v>758.73778104000007</v>
      </c>
      <c r="BA280" s="80">
        <f t="shared" si="878"/>
        <v>1133.7353275</v>
      </c>
      <c r="BB280" s="80">
        <f t="shared" si="878"/>
        <v>1362.6807900907602</v>
      </c>
      <c r="BC280" s="80">
        <f t="shared" si="878"/>
        <v>1599.6173693961</v>
      </c>
      <c r="BD280" s="80">
        <f t="shared" si="878"/>
        <v>2078.390586</v>
      </c>
      <c r="BE280" s="80">
        <f t="shared" si="878"/>
        <v>2128.9775499999996</v>
      </c>
      <c r="BF280" s="80">
        <f t="shared" si="878"/>
        <v>2085.2789699999998</v>
      </c>
      <c r="BG280" s="80">
        <f t="shared" si="878"/>
        <v>1840.7921000000001</v>
      </c>
      <c r="BH280" s="80">
        <f t="shared" si="878"/>
        <v>2679.4451599999998</v>
      </c>
      <c r="BI280" s="80">
        <f t="shared" ref="BI280:BQ280" si="879">+BI276+BI277</f>
        <v>2984.3789500000003</v>
      </c>
      <c r="BJ280" s="80">
        <f t="shared" si="879"/>
        <v>3474.6086999999998</v>
      </c>
      <c r="BK280" s="80">
        <f t="shared" si="879"/>
        <v>3809.9249999999997</v>
      </c>
      <c r="BL280" s="80">
        <f t="shared" si="879"/>
        <v>4485.88</v>
      </c>
      <c r="BM280" s="30">
        <f t="shared" si="879"/>
        <v>6046.17</v>
      </c>
      <c r="BN280" s="30">
        <f>+BN276+BN277</f>
        <v>5799.07</v>
      </c>
      <c r="BO280" s="80">
        <f t="shared" si="879"/>
        <v>7631.18</v>
      </c>
      <c r="BP280" s="80">
        <f t="shared" ca="1" si="879"/>
        <v>10468.092822968229</v>
      </c>
      <c r="BQ280" s="80">
        <f t="shared" ca="1" si="879"/>
        <v>12470.771178996911</v>
      </c>
      <c r="BR280" s="80">
        <f ca="1">+BR276+BR277</f>
        <v>14680.009270903105</v>
      </c>
      <c r="BS280" s="80">
        <f ca="1">+BS276+BS277</f>
        <v>17239.446963378501</v>
      </c>
      <c r="BT280" s="80">
        <f ca="1">+BT276+BT277</f>
        <v>20258.986373663211</v>
      </c>
      <c r="BU280" s="80">
        <f ca="1">+BU276+BU277</f>
        <v>23755.287094568921</v>
      </c>
      <c r="BV280" s="80">
        <f ca="1">+BV276+BV277</f>
        <v>27793.378727683092</v>
      </c>
      <c r="BW280" s="80">
        <f t="shared" ref="BW280:BX280" ca="1" si="880">+BW276+BW277</f>
        <v>32432.467533545547</v>
      </c>
      <c r="BX280" s="80">
        <f t="shared" ca="1" si="880"/>
        <v>37755.127192962129</v>
      </c>
      <c r="BY280" s="80">
        <f t="shared" ref="BY280:CD280" ca="1" si="881">+BY276+BY277</f>
        <v>43852.824544554387</v>
      </c>
      <c r="BZ280" s="80">
        <f t="shared" ca="1" si="881"/>
        <v>50794.703002741953</v>
      </c>
      <c r="CA280" s="80">
        <f t="shared" ca="1" si="881"/>
        <v>58682.468470733336</v>
      </c>
      <c r="CB280" s="80">
        <f t="shared" ca="1" si="881"/>
        <v>67616.738613527501</v>
      </c>
      <c r="CC280" s="80">
        <f t="shared" ca="1" si="881"/>
        <v>77729.349305081327</v>
      </c>
      <c r="CD280" s="80">
        <f t="shared" ca="1" si="881"/>
        <v>89167.753713872778</v>
      </c>
      <c r="CE280" s="80"/>
      <c r="CF280" s="435"/>
      <c r="CG280" s="235">
        <f t="shared" si="870"/>
        <v>0</v>
      </c>
      <c r="CH280" s="235">
        <f t="shared" si="871"/>
        <v>0</v>
      </c>
      <c r="CI280" s="235" t="e">
        <f>BM280-#REF!</f>
        <v>#REF!</v>
      </c>
      <c r="CJ280" s="235">
        <f t="shared" si="817"/>
        <v>0</v>
      </c>
      <c r="CK280" s="235">
        <f t="shared" si="818"/>
        <v>0</v>
      </c>
      <c r="CL280" s="235">
        <f t="shared" ca="1" si="819"/>
        <v>0</v>
      </c>
      <c r="CM280" s="235">
        <f t="shared" ca="1" si="820"/>
        <v>0</v>
      </c>
      <c r="CN280" s="235">
        <f t="shared" ca="1" si="821"/>
        <v>0</v>
      </c>
      <c r="CO280" s="235">
        <f t="shared" ca="1" si="822"/>
        <v>0</v>
      </c>
      <c r="CP280" s="235">
        <f t="shared" ca="1" si="823"/>
        <v>0</v>
      </c>
      <c r="CQ280" s="235">
        <f t="shared" ca="1" si="824"/>
        <v>0</v>
      </c>
      <c r="CR280" s="235">
        <f t="shared" ca="1" si="825"/>
        <v>0</v>
      </c>
      <c r="CS280" s="235">
        <f t="shared" ca="1" si="826"/>
        <v>0</v>
      </c>
      <c r="CT280" s="235">
        <f t="shared" ca="1" si="827"/>
        <v>0</v>
      </c>
      <c r="CU280" s="235">
        <f t="shared" ca="1" si="828"/>
        <v>0</v>
      </c>
      <c r="CV280" s="235">
        <f t="shared" ca="1" si="829"/>
        <v>0</v>
      </c>
      <c r="CW280" s="235">
        <f t="shared" ca="1" si="830"/>
        <v>0</v>
      </c>
      <c r="CX280" s="235">
        <f t="shared" ca="1" si="831"/>
        <v>2.7648638933897018E-10</v>
      </c>
      <c r="CY280" s="235">
        <f t="shared" ca="1" si="832"/>
        <v>3.3469405025243759E-9</v>
      </c>
      <c r="CZ280" s="235">
        <f t="shared" ca="1" si="833"/>
        <v>2.7459464035928249E-8</v>
      </c>
      <c r="DA280" s="38"/>
      <c r="DB280" s="236">
        <v>2086.3858949999999</v>
      </c>
      <c r="DC280" s="236">
        <v>2087.3858949999999</v>
      </c>
      <c r="DD280" s="236">
        <v>1836.6543950000002</v>
      </c>
      <c r="DE280" s="236">
        <v>2680.6401599999999</v>
      </c>
      <c r="DF280" s="401">
        <v>2984.9533000000001</v>
      </c>
      <c r="DG280" s="236">
        <v>3809.9249999999997</v>
      </c>
      <c r="DH280" s="492">
        <v>4485.88</v>
      </c>
      <c r="DI280" s="236">
        <v>5799.07</v>
      </c>
      <c r="DJ280" s="236">
        <v>7631.18</v>
      </c>
      <c r="DK280" s="236">
        <v>10468.092822968229</v>
      </c>
      <c r="DL280" s="236">
        <v>12470.771178996907</v>
      </c>
      <c r="DM280" s="236">
        <v>14680.009270903098</v>
      </c>
      <c r="DN280" s="236">
        <v>17239.44696337849</v>
      </c>
      <c r="DO280" s="236">
        <v>20258.986373663196</v>
      </c>
      <c r="DP280" s="236">
        <v>23755.287094568914</v>
      </c>
      <c r="DQ280" s="401">
        <v>27793.378727683092</v>
      </c>
      <c r="DR280" s="401">
        <v>32432.467533545554</v>
      </c>
      <c r="DS280" s="401">
        <v>37755.127192962143</v>
      </c>
      <c r="DT280" s="401">
        <v>43852.824544554402</v>
      </c>
      <c r="DU280" s="401">
        <v>50794.703002741975</v>
      </c>
      <c r="DV280" s="401">
        <v>58682.468470733351</v>
      </c>
      <c r="DW280" s="401">
        <v>67616.738613527225</v>
      </c>
      <c r="DX280" s="401">
        <v>77729.34930507798</v>
      </c>
      <c r="DY280" s="401">
        <v>89167.753713845319</v>
      </c>
      <c r="DZ280" s="401"/>
      <c r="EA280" s="989"/>
    </row>
    <row r="281" spans="1:131" s="110" customFormat="1">
      <c r="A281" s="110" t="s">
        <v>3641</v>
      </c>
      <c r="B281" s="30" t="s">
        <v>3492</v>
      </c>
      <c r="C281" s="13" t="s">
        <v>3579</v>
      </c>
      <c r="D281" s="220"/>
      <c r="E281" s="220"/>
      <c r="F281" s="76"/>
      <c r="G281" s="76">
        <f t="shared" ref="G281:AV281" si="882">F276*(G363/F363-1)</f>
        <v>0</v>
      </c>
      <c r="H281" s="76">
        <f t="shared" si="882"/>
        <v>0</v>
      </c>
      <c r="I281" s="76">
        <f t="shared" si="882"/>
        <v>0</v>
      </c>
      <c r="J281" s="76">
        <f t="shared" si="882"/>
        <v>0</v>
      </c>
      <c r="K281" s="76">
        <f t="shared" si="882"/>
        <v>0</v>
      </c>
      <c r="L281" s="76">
        <f t="shared" si="882"/>
        <v>0</v>
      </c>
      <c r="M281" s="76">
        <f t="shared" si="882"/>
        <v>0</v>
      </c>
      <c r="N281" s="76">
        <f t="shared" si="882"/>
        <v>0</v>
      </c>
      <c r="O281" s="76">
        <f t="shared" si="882"/>
        <v>0</v>
      </c>
      <c r="P281" s="76">
        <f t="shared" si="882"/>
        <v>0</v>
      </c>
      <c r="Q281" s="76">
        <f t="shared" si="882"/>
        <v>0</v>
      </c>
      <c r="R281" s="76">
        <f t="shared" si="882"/>
        <v>0</v>
      </c>
      <c r="S281" s="76">
        <f t="shared" si="882"/>
        <v>0</v>
      </c>
      <c r="T281" s="76">
        <f t="shared" si="882"/>
        <v>0</v>
      </c>
      <c r="U281" s="76">
        <f t="shared" si="882"/>
        <v>0</v>
      </c>
      <c r="V281" s="76">
        <f t="shared" si="882"/>
        <v>0</v>
      </c>
      <c r="W281" s="76">
        <f t="shared" si="882"/>
        <v>0</v>
      </c>
      <c r="X281" s="76">
        <f t="shared" si="882"/>
        <v>0</v>
      </c>
      <c r="Y281" s="76">
        <f t="shared" si="882"/>
        <v>0</v>
      </c>
      <c r="Z281" s="76">
        <f t="shared" si="882"/>
        <v>0</v>
      </c>
      <c r="AA281" s="76">
        <f t="shared" si="882"/>
        <v>0</v>
      </c>
      <c r="AB281" s="76">
        <f t="shared" si="882"/>
        <v>0</v>
      </c>
      <c r="AC281" s="76">
        <f t="shared" si="882"/>
        <v>0</v>
      </c>
      <c r="AD281" s="76">
        <f t="shared" si="882"/>
        <v>0</v>
      </c>
      <c r="AE281" s="76">
        <f t="shared" si="882"/>
        <v>0</v>
      </c>
      <c r="AF281" s="76">
        <f t="shared" si="882"/>
        <v>0</v>
      </c>
      <c r="AG281" s="76">
        <f t="shared" si="882"/>
        <v>0</v>
      </c>
      <c r="AH281" s="76">
        <f t="shared" si="882"/>
        <v>0</v>
      </c>
      <c r="AI281" s="76">
        <f t="shared" si="882"/>
        <v>0</v>
      </c>
      <c r="AJ281" s="76">
        <f t="shared" si="882"/>
        <v>0</v>
      </c>
      <c r="AK281" s="76">
        <f t="shared" si="882"/>
        <v>0</v>
      </c>
      <c r="AL281" s="76">
        <f t="shared" si="882"/>
        <v>0</v>
      </c>
      <c r="AM281" s="76">
        <f t="shared" si="882"/>
        <v>0</v>
      </c>
      <c r="AN281" s="76">
        <f t="shared" si="882"/>
        <v>0</v>
      </c>
      <c r="AO281" s="76">
        <f t="shared" si="882"/>
        <v>0</v>
      </c>
      <c r="AP281" s="76">
        <f t="shared" si="882"/>
        <v>1.8057200530099609E-2</v>
      </c>
      <c r="AQ281" s="76">
        <f t="shared" si="882"/>
        <v>1.142781708697883E-2</v>
      </c>
      <c r="AR281" s="76">
        <f t="shared" si="882"/>
        <v>5.6025450514136987E-2</v>
      </c>
      <c r="AS281" s="76">
        <f t="shared" si="882"/>
        <v>0.27172689910865278</v>
      </c>
      <c r="AT281" s="76">
        <f t="shared" si="882"/>
        <v>0.71485679321128048</v>
      </c>
      <c r="AU281" s="76">
        <f t="shared" si="882"/>
        <v>0.23548898154938422</v>
      </c>
      <c r="AV281" s="76">
        <f t="shared" si="882"/>
        <v>-8.8687531420366525</v>
      </c>
      <c r="AW281" s="76">
        <f t="shared" ref="AW281:BI281" si="883">AV276*(AW363/AV363-1)</f>
        <v>1.0897500000002032E-2</v>
      </c>
      <c r="AX281" s="76">
        <f t="shared" si="883"/>
        <v>0</v>
      </c>
      <c r="AY281" s="76">
        <f t="shared" si="883"/>
        <v>93.938876999999991</v>
      </c>
      <c r="AZ281" s="76">
        <f t="shared" si="883"/>
        <v>122.42999999999996</v>
      </c>
      <c r="BA281" s="80">
        <f t="shared" si="883"/>
        <v>301.83206296000009</v>
      </c>
      <c r="BB281" s="80">
        <f t="shared" si="883"/>
        <v>64.857847174999975</v>
      </c>
      <c r="BC281" s="80">
        <f t="shared" si="883"/>
        <v>119.30103247999965</v>
      </c>
      <c r="BD281" s="80">
        <f t="shared" si="883"/>
        <v>59.689925330000136</v>
      </c>
      <c r="BE281" s="80">
        <f t="shared" si="883"/>
        <v>-2.0879159999999586</v>
      </c>
      <c r="BF281" s="80">
        <f t="shared" si="883"/>
        <v>6.1679374999999768</v>
      </c>
      <c r="BG281" s="80">
        <f t="shared" si="883"/>
        <v>1.2440099999999297</v>
      </c>
      <c r="BH281" s="80">
        <f t="shared" si="883"/>
        <v>0</v>
      </c>
      <c r="BI281" s="80">
        <f t="shared" si="883"/>
        <v>67.553640000000073</v>
      </c>
      <c r="BJ281" s="80">
        <f t="shared" ref="BJ281:BQ281" si="884">BI276*(BJ363/BI363-1)</f>
        <v>129.14940000000001</v>
      </c>
      <c r="BK281" s="80">
        <f t="shared" si="884"/>
        <v>129.62680000000015</v>
      </c>
      <c r="BL281" s="80">
        <f t="shared" si="884"/>
        <v>70.090000000000245</v>
      </c>
      <c r="BM281" s="30">
        <f t="shared" si="884"/>
        <v>0</v>
      </c>
      <c r="BN281" s="30">
        <f t="shared" si="884"/>
        <v>0</v>
      </c>
      <c r="BO281" s="80">
        <f t="shared" si="884"/>
        <v>0</v>
      </c>
      <c r="BP281" s="80">
        <f t="shared" si="884"/>
        <v>983.2800000000002</v>
      </c>
      <c r="BQ281" s="80">
        <f t="shared" si="884"/>
        <v>0</v>
      </c>
      <c r="BR281" s="80">
        <f t="shared" ref="BR281:BX281" si="885">BQ276*(BR363/BQ363-1)</f>
        <v>0</v>
      </c>
      <c r="BS281" s="80">
        <f t="shared" si="885"/>
        <v>0</v>
      </c>
      <c r="BT281" s="80">
        <f t="shared" si="885"/>
        <v>0</v>
      </c>
      <c r="BU281" s="80">
        <f t="shared" si="885"/>
        <v>0</v>
      </c>
      <c r="BV281" s="80">
        <f t="shared" si="885"/>
        <v>0</v>
      </c>
      <c r="BW281" s="80">
        <f t="shared" si="885"/>
        <v>0</v>
      </c>
      <c r="BX281" s="80">
        <f t="shared" si="885"/>
        <v>0</v>
      </c>
      <c r="BY281" s="80">
        <f t="shared" ref="BY281" si="886">BX276*(BY363/BX363-1)</f>
        <v>0</v>
      </c>
      <c r="BZ281" s="80">
        <f t="shared" ref="BZ281" si="887">BY276*(BZ363/BY363-1)</f>
        <v>0</v>
      </c>
      <c r="CA281" s="80">
        <f t="shared" ref="CA281" si="888">BZ276*(CA363/BZ363-1)</f>
        <v>0</v>
      </c>
      <c r="CB281" s="80">
        <f t="shared" ref="CB281" si="889">CA276*(CB363/CA363-1)</f>
        <v>0</v>
      </c>
      <c r="CC281" s="80">
        <f t="shared" ref="CC281" si="890">CB276*(CC363/CB363-1)</f>
        <v>0</v>
      </c>
      <c r="CD281" s="80">
        <f t="shared" ref="CD281" si="891">CC276*(CD363/CC363-1)</f>
        <v>0</v>
      </c>
      <c r="CE281" s="80"/>
      <c r="CF281" s="435"/>
      <c r="CG281" s="235">
        <f t="shared" si="870"/>
        <v>0</v>
      </c>
      <c r="CH281" s="235">
        <f t="shared" si="871"/>
        <v>0</v>
      </c>
      <c r="CI281" s="235" t="e">
        <f>BM281-#REF!</f>
        <v>#REF!</v>
      </c>
      <c r="CJ281" s="235">
        <f t="shared" si="817"/>
        <v>0</v>
      </c>
      <c r="CK281" s="235">
        <f t="shared" si="818"/>
        <v>0</v>
      </c>
      <c r="CL281" s="235">
        <f t="shared" si="819"/>
        <v>0</v>
      </c>
      <c r="CM281" s="235">
        <f t="shared" si="820"/>
        <v>0</v>
      </c>
      <c r="CN281" s="235">
        <f t="shared" si="821"/>
        <v>0</v>
      </c>
      <c r="CO281" s="235">
        <f t="shared" si="822"/>
        <v>0</v>
      </c>
      <c r="CP281" s="235">
        <f t="shared" si="823"/>
        <v>0</v>
      </c>
      <c r="CQ281" s="235">
        <f t="shared" si="824"/>
        <v>0</v>
      </c>
      <c r="CR281" s="235">
        <f t="shared" si="825"/>
        <v>0</v>
      </c>
      <c r="CS281" s="235">
        <f t="shared" si="826"/>
        <v>0</v>
      </c>
      <c r="CT281" s="235">
        <f t="shared" si="827"/>
        <v>0</v>
      </c>
      <c r="CU281" s="235">
        <f t="shared" si="828"/>
        <v>0</v>
      </c>
      <c r="CV281" s="235">
        <f t="shared" si="829"/>
        <v>0</v>
      </c>
      <c r="CW281" s="235">
        <f t="shared" si="830"/>
        <v>0</v>
      </c>
      <c r="CX281" s="235">
        <f t="shared" si="831"/>
        <v>0</v>
      </c>
      <c r="CY281" s="235">
        <f t="shared" si="832"/>
        <v>0</v>
      </c>
      <c r="CZ281" s="235">
        <f t="shared" si="833"/>
        <v>0</v>
      </c>
      <c r="DA281" s="38"/>
      <c r="DB281" s="236">
        <v>5.1679374999999803</v>
      </c>
      <c r="DC281" s="236">
        <v>6.1679374999999768</v>
      </c>
      <c r="DD281" s="236">
        <v>1.2455349999999297</v>
      </c>
      <c r="DE281" s="236">
        <v>0</v>
      </c>
      <c r="DF281" s="401">
        <v>67.553640000000073</v>
      </c>
      <c r="DG281" s="236">
        <v>129.62680000000015</v>
      </c>
      <c r="DH281" s="492">
        <v>70.090000000000245</v>
      </c>
      <c r="DI281" s="236">
        <v>0</v>
      </c>
      <c r="DJ281" s="236">
        <v>0</v>
      </c>
      <c r="DK281" s="236">
        <v>983.2800000000002</v>
      </c>
      <c r="DL281" s="1085">
        <v>0</v>
      </c>
      <c r="DM281" s="1085">
        <v>0</v>
      </c>
      <c r="DN281" s="1085">
        <v>0</v>
      </c>
      <c r="DO281" s="1085">
        <v>0</v>
      </c>
      <c r="DP281" s="1085">
        <v>0</v>
      </c>
      <c r="DQ281" s="1087">
        <v>0</v>
      </c>
      <c r="DR281" s="1087">
        <v>0</v>
      </c>
      <c r="DS281" s="1087">
        <v>0</v>
      </c>
      <c r="DT281" s="1087">
        <v>0</v>
      </c>
      <c r="DU281" s="1087">
        <v>0</v>
      </c>
      <c r="DV281" s="1087">
        <v>0</v>
      </c>
      <c r="DW281" s="1087">
        <v>0</v>
      </c>
      <c r="DX281" s="1087">
        <v>0</v>
      </c>
      <c r="DY281" s="1087">
        <v>0</v>
      </c>
      <c r="DZ281" s="1087"/>
      <c r="EA281" s="993"/>
    </row>
    <row r="282" spans="1:131">
      <c r="B282" s="3" t="s">
        <v>4245</v>
      </c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 t="s">
        <v>2219</v>
      </c>
      <c r="BG282" s="15"/>
      <c r="BH282" s="15"/>
      <c r="BI282" s="15"/>
      <c r="BJ282" s="15"/>
      <c r="BK282" s="15"/>
      <c r="BL282" s="15"/>
      <c r="BM282" s="15"/>
      <c r="BN282" s="15">
        <f t="shared" ref="BN282:BU282" si="892">BN265+BM282</f>
        <v>0</v>
      </c>
      <c r="BO282" s="15">
        <f t="shared" si="892"/>
        <v>0</v>
      </c>
      <c r="BP282" s="15">
        <f t="shared" si="892"/>
        <v>0</v>
      </c>
      <c r="BQ282" s="15">
        <f t="shared" si="892"/>
        <v>0</v>
      </c>
      <c r="BR282" s="15">
        <f t="shared" si="892"/>
        <v>0</v>
      </c>
      <c r="BS282" s="15">
        <f t="shared" si="892"/>
        <v>0</v>
      </c>
      <c r="BT282" s="15">
        <f t="shared" si="892"/>
        <v>0</v>
      </c>
      <c r="BU282" s="15">
        <f t="shared" si="892"/>
        <v>0</v>
      </c>
      <c r="BV282" s="15">
        <f t="shared" ref="BV282:BX282" si="893">BV265+BU282</f>
        <v>0</v>
      </c>
      <c r="BW282" s="15">
        <f t="shared" si="893"/>
        <v>0</v>
      </c>
      <c r="BX282" s="15">
        <f t="shared" si="893"/>
        <v>0</v>
      </c>
      <c r="BY282" s="15">
        <f t="shared" ref="BY282" si="894">BY265+BX282</f>
        <v>0</v>
      </c>
      <c r="BZ282" s="15">
        <f t="shared" ref="BZ282" si="895">BZ265+BY282</f>
        <v>0</v>
      </c>
      <c r="CA282" s="15">
        <f t="shared" ref="CA282" si="896">CA265+BZ282</f>
        <v>0</v>
      </c>
      <c r="CB282" s="15">
        <f t="shared" ref="CB282" si="897">CB265+CA282</f>
        <v>0</v>
      </c>
      <c r="CC282" s="15">
        <f t="shared" ref="CC282" si="898">CC265+CB282</f>
        <v>0</v>
      </c>
      <c r="CD282" s="15">
        <f t="shared" ref="CD282" si="899">CD265+CC282</f>
        <v>0</v>
      </c>
      <c r="CE282" s="15"/>
      <c r="CF282" s="435"/>
      <c r="CG282" s="235">
        <f t="shared" si="870"/>
        <v>0</v>
      </c>
      <c r="CH282" s="235">
        <f t="shared" si="871"/>
        <v>0</v>
      </c>
      <c r="CI282" s="235" t="e">
        <f>BM282-#REF!</f>
        <v>#REF!</v>
      </c>
      <c r="CJ282" s="235">
        <f t="shared" si="817"/>
        <v>0</v>
      </c>
      <c r="CK282" s="235">
        <f t="shared" si="818"/>
        <v>0</v>
      </c>
      <c r="CL282" s="235">
        <f t="shared" si="819"/>
        <v>0</v>
      </c>
      <c r="CM282" s="235">
        <f t="shared" si="820"/>
        <v>0</v>
      </c>
      <c r="CN282" s="235">
        <f t="shared" si="821"/>
        <v>0</v>
      </c>
      <c r="CO282" s="235">
        <f t="shared" si="822"/>
        <v>0</v>
      </c>
      <c r="CP282" s="235">
        <f t="shared" si="823"/>
        <v>0</v>
      </c>
      <c r="CQ282" s="235">
        <f t="shared" si="824"/>
        <v>0</v>
      </c>
      <c r="CR282" s="235">
        <f t="shared" si="825"/>
        <v>0</v>
      </c>
      <c r="CS282" s="235">
        <f t="shared" si="826"/>
        <v>0</v>
      </c>
      <c r="CT282" s="235">
        <f t="shared" si="827"/>
        <v>0</v>
      </c>
      <c r="CU282" s="235">
        <f t="shared" si="828"/>
        <v>0</v>
      </c>
      <c r="CV282" s="235">
        <f t="shared" si="829"/>
        <v>0</v>
      </c>
      <c r="CW282" s="235">
        <f t="shared" si="830"/>
        <v>0</v>
      </c>
      <c r="CX282" s="235">
        <f t="shared" si="831"/>
        <v>0</v>
      </c>
      <c r="CY282" s="235">
        <f t="shared" si="832"/>
        <v>0</v>
      </c>
      <c r="CZ282" s="235">
        <f t="shared" si="833"/>
        <v>0</v>
      </c>
      <c r="DB282" s="236" t="s">
        <v>2219</v>
      </c>
      <c r="DC282" s="236" t="s">
        <v>2219</v>
      </c>
      <c r="DF282" s="401"/>
      <c r="DI282" s="236">
        <v>0</v>
      </c>
      <c r="DJ282" s="236">
        <v>0</v>
      </c>
      <c r="DK282" s="236">
        <v>0</v>
      </c>
      <c r="DL282" s="236">
        <v>0</v>
      </c>
      <c r="DM282" s="236">
        <v>0</v>
      </c>
      <c r="DN282" s="236">
        <v>0</v>
      </c>
      <c r="DO282" s="236">
        <v>0</v>
      </c>
      <c r="DP282" s="236">
        <v>0</v>
      </c>
      <c r="DQ282" s="258">
        <v>0</v>
      </c>
      <c r="DR282" s="258">
        <v>0</v>
      </c>
      <c r="DS282" s="258">
        <v>0</v>
      </c>
      <c r="DT282" s="258">
        <v>0</v>
      </c>
      <c r="DU282" s="258">
        <v>0</v>
      </c>
      <c r="DV282" s="258">
        <v>0</v>
      </c>
      <c r="DW282" s="258">
        <v>0</v>
      </c>
      <c r="DX282" s="258">
        <v>0</v>
      </c>
      <c r="DY282" s="258">
        <v>0</v>
      </c>
    </row>
    <row r="283" spans="1:131" s="19" customFormat="1">
      <c r="A283" s="153" t="s">
        <v>3661</v>
      </c>
      <c r="B283" s="137" t="s">
        <v>196</v>
      </c>
      <c r="D283" s="224"/>
      <c r="E283" s="224"/>
      <c r="F283" s="224"/>
      <c r="G283" s="224"/>
      <c r="H283" s="224"/>
      <c r="I283" s="224"/>
      <c r="J283" s="224"/>
      <c r="K283" s="224"/>
      <c r="L283" s="224"/>
      <c r="M283" s="224"/>
      <c r="N283" s="224"/>
      <c r="O283" s="224"/>
      <c r="P283" s="224"/>
      <c r="Q283" s="224"/>
      <c r="R283" s="224"/>
      <c r="S283" s="224"/>
      <c r="T283" s="224"/>
      <c r="U283" s="224"/>
      <c r="V283" s="224"/>
      <c r="W283" s="224"/>
      <c r="X283" s="224"/>
      <c r="Y283" s="224"/>
      <c r="Z283" s="224"/>
      <c r="AA283" s="224"/>
      <c r="AB283" s="224"/>
      <c r="AC283" s="224"/>
      <c r="AD283" s="224"/>
      <c r="AE283" s="224"/>
      <c r="AF283" s="224"/>
      <c r="AG283" s="224"/>
      <c r="AH283" s="224"/>
      <c r="AI283" s="224"/>
      <c r="AJ283" s="224"/>
      <c r="AK283" s="224"/>
      <c r="AL283" s="224"/>
      <c r="AM283" s="224"/>
      <c r="AN283" s="224"/>
      <c r="AO283" s="224"/>
      <c r="AP283" s="224"/>
      <c r="AQ283" s="224"/>
      <c r="AR283" s="224"/>
      <c r="AS283" s="224"/>
      <c r="AT283" s="224"/>
      <c r="AU283" s="111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435"/>
      <c r="CG283" s="235">
        <f t="shared" si="870"/>
        <v>0</v>
      </c>
      <c r="CH283" s="235">
        <f t="shared" si="871"/>
        <v>0</v>
      </c>
      <c r="CI283" s="235" t="e">
        <f>BM283-#REF!</f>
        <v>#REF!</v>
      </c>
      <c r="CJ283" s="235">
        <f t="shared" si="817"/>
        <v>0</v>
      </c>
      <c r="CK283" s="235">
        <f t="shared" si="818"/>
        <v>0</v>
      </c>
      <c r="CL283" s="235">
        <f t="shared" si="819"/>
        <v>0</v>
      </c>
      <c r="CM283" s="235">
        <f t="shared" si="820"/>
        <v>0</v>
      </c>
      <c r="CN283" s="235">
        <f t="shared" si="821"/>
        <v>0</v>
      </c>
      <c r="CO283" s="235">
        <f t="shared" si="822"/>
        <v>0</v>
      </c>
      <c r="CP283" s="235">
        <f t="shared" si="823"/>
        <v>0</v>
      </c>
      <c r="CQ283" s="235">
        <f t="shared" si="824"/>
        <v>0</v>
      </c>
      <c r="CR283" s="235">
        <f t="shared" si="825"/>
        <v>0</v>
      </c>
      <c r="CS283" s="235">
        <f t="shared" si="826"/>
        <v>0</v>
      </c>
      <c r="CT283" s="235">
        <f t="shared" si="827"/>
        <v>0</v>
      </c>
      <c r="CU283" s="235">
        <f t="shared" si="828"/>
        <v>0</v>
      </c>
      <c r="CV283" s="235">
        <f t="shared" si="829"/>
        <v>0</v>
      </c>
      <c r="CW283" s="235">
        <f t="shared" si="830"/>
        <v>0</v>
      </c>
      <c r="CX283" s="235">
        <f t="shared" si="831"/>
        <v>0</v>
      </c>
      <c r="CY283" s="235">
        <f t="shared" si="832"/>
        <v>0</v>
      </c>
      <c r="CZ283" s="235">
        <f t="shared" si="833"/>
        <v>0</v>
      </c>
      <c r="DA283" s="38"/>
      <c r="DB283" s="236"/>
      <c r="DC283" s="236"/>
      <c r="DD283" s="236"/>
      <c r="DE283" s="236"/>
      <c r="DF283" s="258"/>
      <c r="DG283" s="236"/>
      <c r="DH283" s="492"/>
      <c r="DI283" s="236"/>
      <c r="DJ283" s="236"/>
      <c r="DK283" s="236"/>
      <c r="DL283" s="236"/>
      <c r="DM283" s="236"/>
      <c r="DN283" s="236"/>
      <c r="DO283" s="236"/>
      <c r="DP283" s="236"/>
      <c r="DQ283" s="1084"/>
      <c r="DR283" s="1084"/>
      <c r="DS283" s="1084"/>
      <c r="DT283" s="1084"/>
      <c r="DU283" s="1084"/>
      <c r="DV283" s="1084"/>
      <c r="DW283" s="1084"/>
      <c r="DX283" s="1084"/>
      <c r="DY283" s="1084"/>
      <c r="DZ283" s="1084"/>
      <c r="EA283" s="988"/>
    </row>
    <row r="284" spans="1:131" s="25" customFormat="1">
      <c r="A284" s="25" t="s">
        <v>3657</v>
      </c>
      <c r="B284" s="112" t="s">
        <v>2022</v>
      </c>
      <c r="C284" s="12" t="s">
        <v>2298</v>
      </c>
      <c r="D284" s="225"/>
      <c r="E284" s="225"/>
      <c r="F284" s="99">
        <f t="shared" ref="F284:BQ284" si="900">F218/(F335)*100</f>
        <v>0</v>
      </c>
      <c r="G284" s="99">
        <f t="shared" si="900"/>
        <v>0</v>
      </c>
      <c r="H284" s="99">
        <f t="shared" si="900"/>
        <v>0</v>
      </c>
      <c r="I284" s="99">
        <f t="shared" si="900"/>
        <v>0</v>
      </c>
      <c r="J284" s="99">
        <f t="shared" si="900"/>
        <v>0</v>
      </c>
      <c r="K284" s="99">
        <f t="shared" si="900"/>
        <v>0</v>
      </c>
      <c r="L284" s="99">
        <f t="shared" si="900"/>
        <v>0</v>
      </c>
      <c r="M284" s="99">
        <f t="shared" si="900"/>
        <v>0</v>
      </c>
      <c r="N284" s="99">
        <f t="shared" si="900"/>
        <v>0</v>
      </c>
      <c r="O284" s="99">
        <f t="shared" si="900"/>
        <v>0</v>
      </c>
      <c r="P284" s="99">
        <f t="shared" si="900"/>
        <v>0</v>
      </c>
      <c r="Q284" s="99">
        <f t="shared" si="900"/>
        <v>0</v>
      </c>
      <c r="R284" s="99">
        <f t="shared" si="900"/>
        <v>0</v>
      </c>
      <c r="S284" s="99">
        <f t="shared" si="900"/>
        <v>0</v>
      </c>
      <c r="T284" s="99">
        <f t="shared" si="900"/>
        <v>0</v>
      </c>
      <c r="U284" s="99">
        <f t="shared" si="900"/>
        <v>0</v>
      </c>
      <c r="V284" s="99">
        <f t="shared" si="900"/>
        <v>0</v>
      </c>
      <c r="W284" s="99">
        <f t="shared" si="900"/>
        <v>0</v>
      </c>
      <c r="X284" s="99">
        <f t="shared" si="900"/>
        <v>0</v>
      </c>
      <c r="Y284" s="99">
        <f t="shared" si="900"/>
        <v>0</v>
      </c>
      <c r="Z284" s="99">
        <f t="shared" si="900"/>
        <v>0</v>
      </c>
      <c r="AA284" s="99">
        <f t="shared" si="900"/>
        <v>0</v>
      </c>
      <c r="AB284" s="99">
        <f t="shared" si="900"/>
        <v>0</v>
      </c>
      <c r="AC284" s="99">
        <f t="shared" si="900"/>
        <v>0</v>
      </c>
      <c r="AD284" s="99">
        <f t="shared" si="900"/>
        <v>0</v>
      </c>
      <c r="AE284" s="99">
        <f t="shared" si="900"/>
        <v>0</v>
      </c>
      <c r="AF284" s="99">
        <f t="shared" si="900"/>
        <v>0</v>
      </c>
      <c r="AG284" s="99">
        <f t="shared" si="900"/>
        <v>0</v>
      </c>
      <c r="AH284" s="99">
        <f t="shared" si="900"/>
        <v>0</v>
      </c>
      <c r="AI284" s="99">
        <f t="shared" si="900"/>
        <v>0</v>
      </c>
      <c r="AJ284" s="99">
        <f t="shared" si="900"/>
        <v>0</v>
      </c>
      <c r="AK284" s="99">
        <f t="shared" si="900"/>
        <v>0</v>
      </c>
      <c r="AL284" s="99">
        <f t="shared" si="900"/>
        <v>0</v>
      </c>
      <c r="AM284" s="99">
        <f t="shared" si="900"/>
        <v>0</v>
      </c>
      <c r="AN284" s="99">
        <f t="shared" si="900"/>
        <v>0</v>
      </c>
      <c r="AO284" s="99">
        <f t="shared" si="900"/>
        <v>0</v>
      </c>
      <c r="AP284" s="99">
        <f t="shared" si="900"/>
        <v>0</v>
      </c>
      <c r="AQ284" s="99">
        <f t="shared" si="900"/>
        <v>0</v>
      </c>
      <c r="AR284" s="99">
        <f t="shared" si="900"/>
        <v>0</v>
      </c>
      <c r="AS284" s="99">
        <f t="shared" si="900"/>
        <v>0</v>
      </c>
      <c r="AT284" s="99">
        <f t="shared" si="900"/>
        <v>85.445856693443019</v>
      </c>
      <c r="AU284" s="99">
        <f t="shared" si="900"/>
        <v>0</v>
      </c>
      <c r="AV284" s="99">
        <f t="shared" si="900"/>
        <v>5.7616975085463187</v>
      </c>
      <c r="AW284" s="99">
        <f t="shared" si="900"/>
        <v>9.0170456272364827</v>
      </c>
      <c r="AX284" s="99">
        <f t="shared" si="900"/>
        <v>12.590337973275364</v>
      </c>
      <c r="AY284" s="99">
        <f t="shared" si="900"/>
        <v>9.0351929972687195</v>
      </c>
      <c r="AZ284" s="99">
        <f t="shared" si="900"/>
        <v>9.0247702014132312</v>
      </c>
      <c r="BA284" s="99">
        <f t="shared" si="900"/>
        <v>6.8018498065683994</v>
      </c>
      <c r="BB284" s="99">
        <f t="shared" si="900"/>
        <v>9.8551523276734656</v>
      </c>
      <c r="BC284" s="99">
        <f t="shared" ca="1" si="900"/>
        <v>11.983472266625531</v>
      </c>
      <c r="BD284" s="99">
        <f t="shared" ca="1" si="900"/>
        <v>9.7699340894988538</v>
      </c>
      <c r="BE284" s="99">
        <f t="shared" ca="1" si="900"/>
        <v>9.1140300626749333</v>
      </c>
      <c r="BF284" s="99">
        <f t="shared" ca="1" si="900"/>
        <v>10.057386880436995</v>
      </c>
      <c r="BG284" s="99">
        <f t="shared" ca="1" si="900"/>
        <v>10.097800590900926</v>
      </c>
      <c r="BH284" s="99">
        <f t="shared" ca="1" si="900"/>
        <v>10.13229746209098</v>
      </c>
      <c r="BI284" s="99">
        <f t="shared" ca="1" si="900"/>
        <v>8.8286570568005587</v>
      </c>
      <c r="BJ284" s="99">
        <f t="shared" ca="1" si="900"/>
        <v>10.501273694752468</v>
      </c>
      <c r="BK284" s="99">
        <f t="shared" ca="1" si="900"/>
        <v>10.936848273524376</v>
      </c>
      <c r="BL284" s="99">
        <f t="shared" ca="1" si="900"/>
        <v>10.602176040472878</v>
      </c>
      <c r="BM284" s="99">
        <f t="shared" ca="1" si="900"/>
        <v>9.6831290017798839</v>
      </c>
      <c r="BN284" s="99">
        <f t="shared" ca="1" si="900"/>
        <v>6.194070156595731</v>
      </c>
      <c r="BO284" s="99">
        <f t="shared" ca="1" si="900"/>
        <v>6.0365265168842743</v>
      </c>
      <c r="BP284" s="99">
        <f t="shared" ca="1" si="900"/>
        <v>5.8915736307476347</v>
      </c>
      <c r="BQ284" s="99">
        <f t="shared" ca="1" si="900"/>
        <v>6.0329398423392666</v>
      </c>
      <c r="BR284" s="99">
        <f ca="1">BR218/(BR335)*100</f>
        <v>6.1391873396860968</v>
      </c>
      <c r="BS284" s="99">
        <f ca="1">BS218/(BS335)*100</f>
        <v>6.1671353634627515</v>
      </c>
      <c r="BT284" s="99">
        <f ca="1">BT218/(BT335)*100</f>
        <v>6.1573879810950016</v>
      </c>
      <c r="BU284" s="99">
        <f ca="1">BU218/(BU335)*100</f>
        <v>6.1503218894773966</v>
      </c>
      <c r="BV284" s="99">
        <f ca="1">BV218/(BV335)*100</f>
        <v>6.149833804182804</v>
      </c>
      <c r="BW284" s="99">
        <f t="shared" ref="BW284:BX284" ca="1" si="901">BW218/(BW335)*100</f>
        <v>6.1508849416529561</v>
      </c>
      <c r="BX284" s="99">
        <f t="shared" ca="1" si="901"/>
        <v>6.152370857147706</v>
      </c>
      <c r="BY284" s="99">
        <f t="shared" ref="BY284:CD284" ca="1" si="902">BY218/(BY335)*100</f>
        <v>6.1545863065493176</v>
      </c>
      <c r="BZ284" s="99">
        <f t="shared" ca="1" si="902"/>
        <v>6.1576397152270967</v>
      </c>
      <c r="CA284" s="99">
        <f t="shared" ca="1" si="902"/>
        <v>6.1642586752960584</v>
      </c>
      <c r="CB284" s="99">
        <f t="shared" ca="1" si="902"/>
        <v>6.1735088463476453</v>
      </c>
      <c r="CC284" s="99">
        <f t="shared" ca="1" si="902"/>
        <v>6.1836709264794347</v>
      </c>
      <c r="CD284" s="99">
        <f t="shared" ca="1" si="902"/>
        <v>6.1950096104532459</v>
      </c>
      <c r="CE284" s="99"/>
      <c r="CF284" s="435"/>
      <c r="CG284" s="235">
        <f t="shared" ca="1" si="870"/>
        <v>6.3695880440004764</v>
      </c>
      <c r="CH284" s="235">
        <f t="shared" ca="1" si="871"/>
        <v>-6.1877692022171971E-3</v>
      </c>
      <c r="CI284" s="235" t="e">
        <f ca="1">BM284-#REF!</f>
        <v>#REF!</v>
      </c>
      <c r="CJ284" s="235">
        <f t="shared" ca="1" si="817"/>
        <v>0</v>
      </c>
      <c r="CK284" s="235">
        <f t="shared" ca="1" si="818"/>
        <v>0</v>
      </c>
      <c r="CL284" s="235">
        <f t="shared" ca="1" si="819"/>
        <v>0</v>
      </c>
      <c r="CM284" s="235">
        <f t="shared" ca="1" si="820"/>
        <v>0</v>
      </c>
      <c r="CN284" s="235">
        <f t="shared" ca="1" si="821"/>
        <v>0</v>
      </c>
      <c r="CO284" s="235">
        <f t="shared" ca="1" si="822"/>
        <v>0</v>
      </c>
      <c r="CP284" s="235">
        <f t="shared" ca="1" si="823"/>
        <v>0</v>
      </c>
      <c r="CQ284" s="235">
        <f t="shared" ca="1" si="824"/>
        <v>1.3322676295501878E-14</v>
      </c>
      <c r="CR284" s="235">
        <f t="shared" ca="1" si="825"/>
        <v>2.3980817331903381E-14</v>
      </c>
      <c r="CS284" s="235">
        <f t="shared" ca="1" si="826"/>
        <v>3.1974423109204508E-14</v>
      </c>
      <c r="CT284" s="235">
        <f t="shared" ca="1" si="827"/>
        <v>3.8191672047105385E-14</v>
      </c>
      <c r="CU284" s="235">
        <f t="shared" ca="1" si="828"/>
        <v>4.7073456244106637E-14</v>
      </c>
      <c r="CV284" s="235">
        <f t="shared" ca="1" si="829"/>
        <v>5.6843418860808015E-14</v>
      </c>
      <c r="CW284" s="235">
        <f t="shared" ca="1" si="830"/>
        <v>7.3718808835110394E-14</v>
      </c>
      <c r="CX284" s="235">
        <f t="shared" ca="1" si="831"/>
        <v>1.1812772982011666E-13</v>
      </c>
      <c r="CY284" s="235">
        <f t="shared" ca="1" si="832"/>
        <v>3.3129055054814671E-13</v>
      </c>
      <c r="CZ284" s="235">
        <f t="shared" ca="1" si="833"/>
        <v>1.9957369090661814E-12</v>
      </c>
      <c r="DA284" s="38"/>
      <c r="DB284" s="236">
        <v>3.9260231815514199</v>
      </c>
      <c r="DC284" s="236">
        <v>4.9260231815514244</v>
      </c>
      <c r="DD284" s="236">
        <v>4.854409931231257</v>
      </c>
      <c r="DE284" s="236">
        <v>4.5672510310237762</v>
      </c>
      <c r="DF284" s="259">
        <v>4.4344717458444416</v>
      </c>
      <c r="DG284" s="236">
        <v>4.5672602295238995</v>
      </c>
      <c r="DH284" s="492">
        <v>10.608363809675096</v>
      </c>
      <c r="DI284" s="236">
        <v>6.194070156595731</v>
      </c>
      <c r="DJ284" s="236">
        <v>6.0365265168842743</v>
      </c>
      <c r="DK284" s="236">
        <v>5.8915736307476338</v>
      </c>
      <c r="DL284" s="236">
        <v>6.0329398423392639</v>
      </c>
      <c r="DM284" s="236">
        <v>6.1391873396860932</v>
      </c>
      <c r="DN284" s="236">
        <v>6.167135363462747</v>
      </c>
      <c r="DO284" s="236">
        <v>6.157387981094999</v>
      </c>
      <c r="DP284" s="236">
        <v>6.1503218894773832</v>
      </c>
      <c r="DQ284" s="259">
        <v>6.14983380418278</v>
      </c>
      <c r="DR284" s="259">
        <v>6.1508849416529241</v>
      </c>
      <c r="DS284" s="259">
        <v>6.1523708571476678</v>
      </c>
      <c r="DT284" s="259">
        <v>6.1545863065492705</v>
      </c>
      <c r="DU284" s="259">
        <v>6.1576397152270399</v>
      </c>
      <c r="DV284" s="259">
        <v>6.1642586752959847</v>
      </c>
      <c r="DW284" s="259">
        <v>6.1735088463475272</v>
      </c>
      <c r="DX284" s="259">
        <v>6.1836709264791034</v>
      </c>
      <c r="DY284" s="259">
        <v>6.1950096104512502</v>
      </c>
      <c r="DZ284" s="259"/>
      <c r="EA284" s="508"/>
    </row>
    <row r="285" spans="1:131" s="25" customFormat="1">
      <c r="A285" s="25" t="s">
        <v>3659</v>
      </c>
      <c r="B285" s="162" t="s">
        <v>2765</v>
      </c>
      <c r="C285" s="12" t="s">
        <v>2766</v>
      </c>
      <c r="D285" s="225"/>
      <c r="E285" s="225"/>
      <c r="F285" s="99">
        <f t="shared" ref="F285:AP285" si="903">100*F219/(F242+F294)</f>
        <v>0</v>
      </c>
      <c r="G285" s="99">
        <f t="shared" si="903"/>
        <v>0</v>
      </c>
      <c r="H285" s="99">
        <f t="shared" si="903"/>
        <v>0</v>
      </c>
      <c r="I285" s="99">
        <f t="shared" si="903"/>
        <v>0</v>
      </c>
      <c r="J285" s="99">
        <f t="shared" si="903"/>
        <v>0</v>
      </c>
      <c r="K285" s="99">
        <f t="shared" si="903"/>
        <v>0</v>
      </c>
      <c r="L285" s="99">
        <f t="shared" si="903"/>
        <v>0</v>
      </c>
      <c r="M285" s="99">
        <f t="shared" si="903"/>
        <v>0</v>
      </c>
      <c r="N285" s="99">
        <f t="shared" si="903"/>
        <v>0</v>
      </c>
      <c r="O285" s="99">
        <f t="shared" si="903"/>
        <v>0</v>
      </c>
      <c r="P285" s="99">
        <f t="shared" si="903"/>
        <v>0</v>
      </c>
      <c r="Q285" s="99">
        <f t="shared" si="903"/>
        <v>0</v>
      </c>
      <c r="R285" s="99">
        <f t="shared" si="903"/>
        <v>0</v>
      </c>
      <c r="S285" s="99">
        <f t="shared" si="903"/>
        <v>0</v>
      </c>
      <c r="T285" s="99">
        <f t="shared" si="903"/>
        <v>0</v>
      </c>
      <c r="U285" s="99">
        <f t="shared" si="903"/>
        <v>0</v>
      </c>
      <c r="V285" s="99">
        <f t="shared" si="903"/>
        <v>0</v>
      </c>
      <c r="W285" s="99">
        <f t="shared" si="903"/>
        <v>0</v>
      </c>
      <c r="X285" s="99">
        <f t="shared" si="903"/>
        <v>0</v>
      </c>
      <c r="Y285" s="99">
        <f t="shared" si="903"/>
        <v>0</v>
      </c>
      <c r="Z285" s="99">
        <f t="shared" si="903"/>
        <v>0</v>
      </c>
      <c r="AA285" s="99">
        <f t="shared" si="903"/>
        <v>0</v>
      </c>
      <c r="AB285" s="99">
        <f t="shared" si="903"/>
        <v>0</v>
      </c>
      <c r="AC285" s="99">
        <f t="shared" si="903"/>
        <v>0</v>
      </c>
      <c r="AD285" s="99">
        <f t="shared" si="903"/>
        <v>0</v>
      </c>
      <c r="AE285" s="99">
        <f t="shared" si="903"/>
        <v>0</v>
      </c>
      <c r="AF285" s="99">
        <f t="shared" si="903"/>
        <v>0</v>
      </c>
      <c r="AG285" s="99">
        <f t="shared" si="903"/>
        <v>0</v>
      </c>
      <c r="AH285" s="99">
        <f t="shared" si="903"/>
        <v>0</v>
      </c>
      <c r="AI285" s="99">
        <f t="shared" si="903"/>
        <v>0</v>
      </c>
      <c r="AJ285" s="99">
        <f t="shared" si="903"/>
        <v>0</v>
      </c>
      <c r="AK285" s="99">
        <f t="shared" si="903"/>
        <v>0</v>
      </c>
      <c r="AL285" s="99">
        <f t="shared" si="903"/>
        <v>0</v>
      </c>
      <c r="AM285" s="99">
        <f t="shared" si="903"/>
        <v>0</v>
      </c>
      <c r="AN285" s="99">
        <f t="shared" si="903"/>
        <v>0</v>
      </c>
      <c r="AO285" s="99">
        <f t="shared" si="903"/>
        <v>0</v>
      </c>
      <c r="AP285" s="99">
        <f t="shared" si="903"/>
        <v>0</v>
      </c>
      <c r="AQ285" s="99">
        <f t="shared" ref="AQ285:AY285" si="904">100*AQ219/(AQ242+AQ294)</f>
        <v>0</v>
      </c>
      <c r="AR285" s="99">
        <f t="shared" si="904"/>
        <v>0</v>
      </c>
      <c r="AS285" s="99">
        <f t="shared" si="904"/>
        <v>0</v>
      </c>
      <c r="AT285" s="99">
        <f t="shared" si="904"/>
        <v>0</v>
      </c>
      <c r="AU285" s="99">
        <f t="shared" si="904"/>
        <v>0</v>
      </c>
      <c r="AV285" s="99">
        <f t="shared" si="904"/>
        <v>0</v>
      </c>
      <c r="AW285" s="99">
        <f t="shared" si="904"/>
        <v>0</v>
      </c>
      <c r="AX285" s="99">
        <f t="shared" si="904"/>
        <v>0</v>
      </c>
      <c r="AY285" s="99">
        <f t="shared" si="904"/>
        <v>0</v>
      </c>
      <c r="AZ285" s="99">
        <f>100*AZ219/(AZ242+AZ294)</f>
        <v>8.2860743513536352</v>
      </c>
      <c r="BA285" s="99">
        <f>100*BA219/(BA242+BA294)</f>
        <v>6.2718023172363955</v>
      </c>
      <c r="BB285" s="99">
        <f>100*BB219/(BB242+BB294)</f>
        <v>9.2288349971465635</v>
      </c>
      <c r="BC285" s="99">
        <f t="shared" ref="BC285:BQ285" ca="1" si="905">100*BC219/(BC242+BC294)</f>
        <v>11.285723318135769</v>
      </c>
      <c r="BD285" s="99">
        <f t="shared" ca="1" si="905"/>
        <v>9.2223245174317743</v>
      </c>
      <c r="BE285" s="99">
        <f t="shared" ca="1" si="905"/>
        <v>8.8308785337783977</v>
      </c>
      <c r="BF285" s="99">
        <f t="shared" ca="1" si="905"/>
        <v>9.4909855986926388</v>
      </c>
      <c r="BG285" s="99">
        <f t="shared" ca="1" si="905"/>
        <v>8.3844160317502237</v>
      </c>
      <c r="BH285" s="99">
        <f t="shared" ca="1" si="905"/>
        <v>6.2551207530291872</v>
      </c>
      <c r="BI285" s="99">
        <f t="shared" ca="1" si="905"/>
        <v>8.4307376777489296</v>
      </c>
      <c r="BJ285" s="99">
        <f t="shared" ca="1" si="905"/>
        <v>10.429620175006045</v>
      </c>
      <c r="BK285" s="99">
        <f t="shared" ref="BK285:BP285" ca="1" si="906">100*BK219/(BK242+BK294)</f>
        <v>9.1574464070787425</v>
      </c>
      <c r="BL285" s="99">
        <f t="shared" ca="1" si="906"/>
        <v>9.090204113382466</v>
      </c>
      <c r="BM285" s="99">
        <f t="shared" ca="1" si="906"/>
        <v>8.3559369905849028</v>
      </c>
      <c r="BN285" s="99">
        <f t="shared" ca="1" si="906"/>
        <v>5.683755812536706</v>
      </c>
      <c r="BO285" s="99">
        <f t="shared" ca="1" si="906"/>
        <v>5.5239555789705577</v>
      </c>
      <c r="BP285" s="99">
        <f t="shared" ca="1" si="906"/>
        <v>5.5239555789705559</v>
      </c>
      <c r="BQ285" s="99">
        <f t="shared" ca="1" si="905"/>
        <v>5.5239555789705559</v>
      </c>
      <c r="BR285" s="99">
        <f ca="1">100*BR219/(BR242+BR294)</f>
        <v>5.5239555789705559</v>
      </c>
      <c r="BS285" s="99">
        <f ca="1">100*BS219/(BS242+BS294)</f>
        <v>5.5239555789705568</v>
      </c>
      <c r="BT285" s="99">
        <f ca="1">100*BT219/(BT242+BT294)</f>
        <v>5.5239555789705586</v>
      </c>
      <c r="BU285" s="99">
        <f ca="1">100*BU219/(BU242+BU294)</f>
        <v>5.5239555789705586</v>
      </c>
      <c r="BV285" s="99">
        <f ca="1">100*BV219/(BV242+BV294)</f>
        <v>5.5239555789705586</v>
      </c>
      <c r="BW285" s="99">
        <f t="shared" ref="BW285:BX285" ca="1" si="907">100*BW219/(BW242+BW294)</f>
        <v>5.5239555789705586</v>
      </c>
      <c r="BX285" s="99">
        <f t="shared" ca="1" si="907"/>
        <v>5.5239555789705594</v>
      </c>
      <c r="BY285" s="99">
        <f t="shared" ref="BY285:CD285" ca="1" si="908">100*BY219/(BY242+BY294)</f>
        <v>5.5239555789705603</v>
      </c>
      <c r="BZ285" s="99">
        <f t="shared" ca="1" si="908"/>
        <v>5.523955578970563</v>
      </c>
      <c r="CA285" s="99">
        <f t="shared" ca="1" si="908"/>
        <v>5.5239555789705648</v>
      </c>
      <c r="CB285" s="99">
        <f t="shared" ca="1" si="908"/>
        <v>5.5239555789705683</v>
      </c>
      <c r="CC285" s="99">
        <f t="shared" ca="1" si="908"/>
        <v>5.5239555789705737</v>
      </c>
      <c r="CD285" s="99">
        <f t="shared" ca="1" si="908"/>
        <v>5.5239555789705825</v>
      </c>
      <c r="CE285" s="99"/>
      <c r="CF285" s="435"/>
      <c r="CG285" s="235">
        <f t="shared" ca="1" si="870"/>
        <v>-2.5160650374464808</v>
      </c>
      <c r="CH285" s="235">
        <f t="shared" ca="1" si="871"/>
        <v>-5.7514044832895905E-3</v>
      </c>
      <c r="CI285" s="235" t="e">
        <f ca="1">BM285-#REF!</f>
        <v>#REF!</v>
      </c>
      <c r="CJ285" s="235">
        <f t="shared" ca="1" si="817"/>
        <v>0</v>
      </c>
      <c r="CK285" s="235">
        <f t="shared" ca="1" si="818"/>
        <v>0</v>
      </c>
      <c r="CL285" s="235">
        <f t="shared" ca="1" si="819"/>
        <v>0</v>
      </c>
      <c r="CM285" s="235">
        <f t="shared" ca="1" si="820"/>
        <v>0</v>
      </c>
      <c r="CN285" s="235">
        <f t="shared" ca="1" si="821"/>
        <v>0</v>
      </c>
      <c r="CO285" s="235">
        <f t="shared" ca="1" si="822"/>
        <v>0</v>
      </c>
      <c r="CP285" s="235">
        <f t="shared" ca="1" si="823"/>
        <v>0</v>
      </c>
      <c r="CQ285" s="235">
        <f t="shared" ca="1" si="824"/>
        <v>0</v>
      </c>
      <c r="CR285" s="235">
        <f t="shared" ca="1" si="825"/>
        <v>0</v>
      </c>
      <c r="CS285" s="235">
        <f t="shared" ca="1" si="826"/>
        <v>0</v>
      </c>
      <c r="CT285" s="235">
        <f t="shared" ca="1" si="827"/>
        <v>0</v>
      </c>
      <c r="CU285" s="235">
        <f t="shared" ca="1" si="828"/>
        <v>0</v>
      </c>
      <c r="CV285" s="235">
        <f t="shared" ca="1" si="829"/>
        <v>0</v>
      </c>
      <c r="CW285" s="235">
        <f t="shared" ca="1" si="830"/>
        <v>0</v>
      </c>
      <c r="CX285" s="235">
        <f t="shared" ca="1" si="831"/>
        <v>0</v>
      </c>
      <c r="CY285" s="235">
        <f t="shared" ca="1" si="832"/>
        <v>-1.0480505352461478E-13</v>
      </c>
      <c r="CZ285" s="235">
        <f t="shared" ca="1" si="833"/>
        <v>-7.0876637892069994E-13</v>
      </c>
      <c r="DA285" s="38"/>
      <c r="DB285" s="236">
        <v>10.0198848820542</v>
      </c>
      <c r="DC285" s="236">
        <v>11.019884882054241</v>
      </c>
      <c r="DD285" s="236">
        <v>9.9161282938921644</v>
      </c>
      <c r="DE285" s="236">
        <v>7.44206312218114</v>
      </c>
      <c r="DF285" s="259">
        <v>9.5841558341211446</v>
      </c>
      <c r="DG285" s="236">
        <v>11.673511444525223</v>
      </c>
      <c r="DH285" s="492">
        <v>9.0959555178657556</v>
      </c>
      <c r="DI285" s="236">
        <v>5.683755812536706</v>
      </c>
      <c r="DJ285" s="236">
        <v>5.5239555789705577</v>
      </c>
      <c r="DK285" s="236">
        <v>5.5239555789705568</v>
      </c>
      <c r="DL285" s="236">
        <v>5.5239555789705586</v>
      </c>
      <c r="DM285" s="236">
        <v>5.5239555789705568</v>
      </c>
      <c r="DN285" s="236">
        <v>5.5239555789705577</v>
      </c>
      <c r="DO285" s="236">
        <v>5.5239555789705568</v>
      </c>
      <c r="DP285" s="236">
        <v>5.5239555789705577</v>
      </c>
      <c r="DQ285" s="259">
        <v>5.5239555789705568</v>
      </c>
      <c r="DR285" s="259">
        <v>5.5239555789705586</v>
      </c>
      <c r="DS285" s="259">
        <v>5.5239555789705577</v>
      </c>
      <c r="DT285" s="259">
        <v>5.5239555789705586</v>
      </c>
      <c r="DU285" s="259">
        <v>5.5239555789705594</v>
      </c>
      <c r="DV285" s="259">
        <v>5.5239555789705603</v>
      </c>
      <c r="DW285" s="259">
        <v>5.5239555789705745</v>
      </c>
      <c r="DX285" s="259">
        <v>5.5239555789706785</v>
      </c>
      <c r="DY285" s="259">
        <v>5.5239555789712913</v>
      </c>
      <c r="DZ285" s="259"/>
      <c r="EA285" s="508"/>
    </row>
    <row r="286" spans="1:131" s="25" customFormat="1">
      <c r="A286" s="25" t="s">
        <v>3658</v>
      </c>
      <c r="B286" s="99" t="s">
        <v>2362</v>
      </c>
      <c r="C286" s="12" t="s">
        <v>4415</v>
      </c>
      <c r="D286" s="225"/>
      <c r="E286" s="225"/>
      <c r="F286" s="25">
        <f t="shared" ref="F286:AQ286" si="909">100*(F223-F247-F228)/(F332+F298+F256+F293)</f>
        <v>1.9886836950697664</v>
      </c>
      <c r="G286" s="25">
        <f t="shared" si="909"/>
        <v>1.0056271469286095</v>
      </c>
      <c r="H286" s="25">
        <f t="shared" si="909"/>
        <v>1.752077517238245</v>
      </c>
      <c r="I286" s="25">
        <f t="shared" si="909"/>
        <v>3.1482029774249849</v>
      </c>
      <c r="J286" s="25">
        <f t="shared" si="909"/>
        <v>1.7675774264709052</v>
      </c>
      <c r="K286" s="25">
        <f t="shared" si="909"/>
        <v>1.982844757193265</v>
      </c>
      <c r="L286" s="25">
        <f t="shared" si="909"/>
        <v>1.906575801450241</v>
      </c>
      <c r="M286" s="25">
        <f t="shared" si="909"/>
        <v>2.4239300947063067</v>
      </c>
      <c r="N286" s="25">
        <f t="shared" si="909"/>
        <v>2.0921180554812158</v>
      </c>
      <c r="O286" s="25">
        <f t="shared" si="909"/>
        <v>2.9988555478306087</v>
      </c>
      <c r="P286" s="25">
        <f t="shared" si="909"/>
        <v>3.4346170897792931</v>
      </c>
      <c r="Q286" s="25">
        <f t="shared" si="909"/>
        <v>3.3228185347270234</v>
      </c>
      <c r="R286" s="25">
        <f t="shared" si="909"/>
        <v>4.0013952576807359</v>
      </c>
      <c r="S286" s="25">
        <f t="shared" si="909"/>
        <v>4.7664624541228733</v>
      </c>
      <c r="T286" s="25">
        <f t="shared" si="909"/>
        <v>4.5219960999259632</v>
      </c>
      <c r="U286" s="25">
        <f t="shared" si="909"/>
        <v>4.8298604760658002</v>
      </c>
      <c r="V286" s="25">
        <f t="shared" si="909"/>
        <v>5.1073031217958835</v>
      </c>
      <c r="W286" s="25">
        <f t="shared" si="909"/>
        <v>5.8611623029117208</v>
      </c>
      <c r="X286" s="25">
        <f t="shared" si="909"/>
        <v>4.4560522654261643</v>
      </c>
      <c r="Y286" s="25">
        <f t="shared" si="909"/>
        <v>3.4615824742515189</v>
      </c>
      <c r="Z286" s="25">
        <f t="shared" si="909"/>
        <v>3.2403782719432357</v>
      </c>
      <c r="AA286" s="25">
        <f t="shared" si="909"/>
        <v>1.357014749186136</v>
      </c>
      <c r="AB286" s="25">
        <f t="shared" si="909"/>
        <v>2.335322616189222</v>
      </c>
      <c r="AC286" s="25">
        <f t="shared" si="909"/>
        <v>3.4766844750952357</v>
      </c>
      <c r="AD286" s="25">
        <f t="shared" si="909"/>
        <v>4.8348485483947661</v>
      </c>
      <c r="AE286" s="25">
        <f t="shared" si="909"/>
        <v>5.6038634187848277</v>
      </c>
      <c r="AF286" s="25">
        <f t="shared" si="909"/>
        <v>5.8922215005319201</v>
      </c>
      <c r="AG286" s="25">
        <f t="shared" si="909"/>
        <v>5.75025507355413</v>
      </c>
      <c r="AH286" s="25">
        <f t="shared" si="909"/>
        <v>5.3499987121141599</v>
      </c>
      <c r="AI286" s="25">
        <f t="shared" si="909"/>
        <v>4.4975756550437884</v>
      </c>
      <c r="AJ286" s="25">
        <f t="shared" si="909"/>
        <v>5.2391957087634902</v>
      </c>
      <c r="AK286" s="25">
        <f t="shared" si="909"/>
        <v>5.2984310023711192</v>
      </c>
      <c r="AL286" s="25">
        <f t="shared" si="909"/>
        <v>3.5875855514455659</v>
      </c>
      <c r="AM286" s="25">
        <f t="shared" si="909"/>
        <v>2.9792980923557995</v>
      </c>
      <c r="AN286" s="25">
        <f t="shared" si="909"/>
        <v>3.8276274183903123</v>
      </c>
      <c r="AO286" s="25">
        <f t="shared" si="909"/>
        <v>3.062065793569853</v>
      </c>
      <c r="AP286" s="25">
        <f t="shared" si="909"/>
        <v>1.6218351922395695</v>
      </c>
      <c r="AQ286" s="25">
        <f t="shared" si="909"/>
        <v>1.4689287010758447</v>
      </c>
      <c r="AR286" s="25">
        <f>100*(AR223-AR247-AR228)/(AR332+AR298+AR256+AR293)</f>
        <v>1.3517186387961846</v>
      </c>
      <c r="AS286" s="25">
        <f>100*(AS223-AS247-AS228)/(AS332+AS298+AS256+AS293)</f>
        <v>-1.262059037040917</v>
      </c>
      <c r="AT286" s="25">
        <f>100*(AT223-AT247-AT228)/(AT332+AT298+AT256+AT293)</f>
        <v>3.4262369415415983</v>
      </c>
      <c r="AU286" s="25">
        <f t="shared" ref="AU286:BG286" si="910">100*(AU223-AU247-AU228)/(AU332+AU298+AU256+AU293)</f>
        <v>4.6044159666528284</v>
      </c>
      <c r="AV286" s="25">
        <f t="shared" si="910"/>
        <v>6.3984890384293154</v>
      </c>
      <c r="AW286" s="25">
        <f t="shared" si="910"/>
        <v>3.4892198066989795</v>
      </c>
      <c r="AX286" s="25">
        <f t="shared" si="910"/>
        <v>5.6695307405058815</v>
      </c>
      <c r="AY286" s="25">
        <f t="shared" si="910"/>
        <v>8.0387843587193846</v>
      </c>
      <c r="AZ286" s="25">
        <f t="shared" si="910"/>
        <v>7.3885926193730027</v>
      </c>
      <c r="BA286" s="99">
        <f t="shared" si="910"/>
        <v>10.294786687699972</v>
      </c>
      <c r="BB286" s="99">
        <f t="shared" si="910"/>
        <v>9.5320447269942079</v>
      </c>
      <c r="BC286" s="99">
        <f t="shared" si="910"/>
        <v>9.4265672934759195</v>
      </c>
      <c r="BD286" s="99">
        <f t="shared" si="910"/>
        <v>8.698642697499551</v>
      </c>
      <c r="BE286" s="99">
        <f t="shared" ca="1" si="910"/>
        <v>6.5657616705527477</v>
      </c>
      <c r="BF286" s="99">
        <f t="shared" ca="1" si="910"/>
        <v>7.1639856765627972</v>
      </c>
      <c r="BG286" s="99">
        <f t="shared" ca="1" si="910"/>
        <v>7.7398500456703063</v>
      </c>
      <c r="BH286" s="99">
        <f ca="1">100*(BH223-BH247-BH228)/(BH332+BH298+BH256+BH293)</f>
        <v>7.2293749534620533</v>
      </c>
      <c r="BI286" s="99">
        <f ca="1">100*(BI223-BI247-BI228)/(BI332+BI298+BI256+BI293)</f>
        <v>6.8186655854554683</v>
      </c>
      <c r="BJ286" s="99">
        <f ca="1">100*(BJ223-BJ247-BJ228)/(BJ332+BJ298+BJ256+BJ293)</f>
        <v>6.8168896625092028</v>
      </c>
      <c r="BK286" s="99">
        <f t="shared" ref="BK286:BP286" ca="1" si="911">100*(BK223-BK247-BK228)/(BK332+BK298+BK256+BK293)</f>
        <v>7.0616680635843387</v>
      </c>
      <c r="BL286" s="99">
        <f t="shared" ca="1" si="911"/>
        <v>6.0258261879547428</v>
      </c>
      <c r="BM286" s="99">
        <f t="shared" ca="1" si="911"/>
        <v>5.5677425638878359</v>
      </c>
      <c r="BN286" s="99">
        <f t="shared" ca="1" si="911"/>
        <v>5.2155148961131479</v>
      </c>
      <c r="BO286" s="99">
        <f t="shared" ca="1" si="911"/>
        <v>4.9448735673612765</v>
      </c>
      <c r="BP286" s="99">
        <f t="shared" ca="1" si="911"/>
        <v>4.4601911803802237</v>
      </c>
      <c r="BQ286" s="99">
        <f t="shared" ref="BQ286:BV286" ca="1" si="912">100*(BQ223-BQ247-BQ228)/(BQ332+BQ298+BQ256+BQ293)</f>
        <v>4.5665357358379985</v>
      </c>
      <c r="BR286" s="99">
        <f t="shared" ca="1" si="912"/>
        <v>4.6554958638208381</v>
      </c>
      <c r="BS286" s="99">
        <f t="shared" ca="1" si="912"/>
        <v>4.6681003209109235</v>
      </c>
      <c r="BT286" s="99">
        <f t="shared" ca="1" si="912"/>
        <v>4.6575038731134599</v>
      </c>
      <c r="BU286" s="99">
        <f t="shared" ca="1" si="912"/>
        <v>4.6819822202352706</v>
      </c>
      <c r="BV286" s="99">
        <f t="shared" ca="1" si="912"/>
        <v>4.7062464678534921</v>
      </c>
      <c r="BW286" s="99">
        <f t="shared" ref="BW286:BX286" ca="1" si="913">100*(BW223-BW247-BW228)/(BW332+BW298+BW256+BW293)</f>
        <v>4.7385584200981343</v>
      </c>
      <c r="BX286" s="99">
        <f t="shared" ca="1" si="913"/>
        <v>4.77248205100953</v>
      </c>
      <c r="BY286" s="99">
        <f t="shared" ref="BY286:CD286" ca="1" si="914">100*(BY223-BY247-BY228)/(BY332+BY298+BY256+BY293)</f>
        <v>4.8085977952734131</v>
      </c>
      <c r="BZ286" s="99">
        <f t="shared" ca="1" si="914"/>
        <v>4.8456191978807874</v>
      </c>
      <c r="CA286" s="99">
        <f t="shared" ca="1" si="914"/>
        <v>4.8882061105278991</v>
      </c>
      <c r="CB286" s="99">
        <f t="shared" ca="1" si="914"/>
        <v>4.9391175201124939</v>
      </c>
      <c r="CC286" s="99">
        <f t="shared" ca="1" si="914"/>
        <v>4.9920652133669847</v>
      </c>
      <c r="CD286" s="99">
        <f t="shared" ca="1" si="914"/>
        <v>5.0473479178885672</v>
      </c>
      <c r="CE286" s="99"/>
      <c r="CF286" s="435"/>
      <c r="CG286" s="235">
        <f t="shared" ca="1" si="870"/>
        <v>-1.9893242769436466</v>
      </c>
      <c r="CH286" s="235">
        <f t="shared" ca="1" si="871"/>
        <v>0.10412411821800749</v>
      </c>
      <c r="CI286" s="235" t="e">
        <f ca="1">BM286-#REF!</f>
        <v>#REF!</v>
      </c>
      <c r="CJ286" s="235">
        <f t="shared" ca="1" si="817"/>
        <v>0</v>
      </c>
      <c r="CK286" s="235">
        <f t="shared" ca="1" si="818"/>
        <v>0</v>
      </c>
      <c r="CL286" s="235">
        <f t="shared" ca="1" si="819"/>
        <v>0</v>
      </c>
      <c r="CM286" s="235">
        <f t="shared" ca="1" si="820"/>
        <v>0</v>
      </c>
      <c r="CN286" s="235">
        <f t="shared" ca="1" si="821"/>
        <v>0</v>
      </c>
      <c r="CO286" s="235">
        <f t="shared" ca="1" si="822"/>
        <v>0</v>
      </c>
      <c r="CP286" s="235">
        <f t="shared" ca="1" si="823"/>
        <v>0</v>
      </c>
      <c r="CQ286" s="235">
        <f t="shared" ca="1" si="824"/>
        <v>7.9936057773011271E-15</v>
      </c>
      <c r="CR286" s="235">
        <f t="shared" ca="1" si="825"/>
        <v>1.0658141036401503E-14</v>
      </c>
      <c r="CS286" s="235">
        <f t="shared" ca="1" si="826"/>
        <v>1.0658141036401503E-14</v>
      </c>
      <c r="CT286" s="235">
        <f t="shared" ca="1" si="827"/>
        <v>8.8817841970012523E-15</v>
      </c>
      <c r="CU286" s="235">
        <f t="shared" ca="1" si="828"/>
        <v>1.0658141036401503E-14</v>
      </c>
      <c r="CV286" s="235">
        <f t="shared" ca="1" si="829"/>
        <v>1.5099033134902129E-14</v>
      </c>
      <c r="CW286" s="235">
        <f t="shared" ca="1" si="830"/>
        <v>-1.7763568394002505E-14</v>
      </c>
      <c r="CX286" s="235">
        <f t="shared" ca="1" si="831"/>
        <v>-4.7783998979866737E-13</v>
      </c>
      <c r="CY286" s="235">
        <f t="shared" ca="1" si="832"/>
        <v>-4.5163872641751368E-12</v>
      </c>
      <c r="CZ286" s="235">
        <f t="shared" ca="1" si="833"/>
        <v>-3.1925573296121001E-11</v>
      </c>
      <c r="DA286" s="38"/>
      <c r="DB286" s="236">
        <v>8.3707208954667909</v>
      </c>
      <c r="DC286" s="236">
        <v>9.3707208954667944</v>
      </c>
      <c r="DD286" s="236">
        <v>9.0880375051081792</v>
      </c>
      <c r="DE286" s="236">
        <v>9.3721028707419833</v>
      </c>
      <c r="DF286" s="259">
        <v>8.7746522715973754</v>
      </c>
      <c r="DG286" s="236">
        <v>9.0509923405279853</v>
      </c>
      <c r="DH286" s="492">
        <v>5.9217020697367353</v>
      </c>
      <c r="DI286" s="236">
        <v>5.2155148961131479</v>
      </c>
      <c r="DJ286" s="236">
        <v>4.9448735673612765</v>
      </c>
      <c r="DK286" s="236">
        <v>4.4601911803802254</v>
      </c>
      <c r="DL286" s="236">
        <v>4.5665357358379994</v>
      </c>
      <c r="DM286" s="236">
        <v>4.6554958638208364</v>
      </c>
      <c r="DN286" s="236">
        <v>4.6681003209109244</v>
      </c>
      <c r="DO286" s="236">
        <v>4.6575038731134537</v>
      </c>
      <c r="DP286" s="236">
        <v>4.6819822202352626</v>
      </c>
      <c r="DQ286" s="259">
        <v>4.7062464678534814</v>
      </c>
      <c r="DR286" s="259">
        <v>4.7385584200981237</v>
      </c>
      <c r="DS286" s="259">
        <v>4.7724820510095212</v>
      </c>
      <c r="DT286" s="259">
        <v>4.8085977952734025</v>
      </c>
      <c r="DU286" s="259">
        <v>4.8456191978807723</v>
      </c>
      <c r="DV286" s="259">
        <v>4.8882061105279169</v>
      </c>
      <c r="DW286" s="259">
        <v>4.9391175201129718</v>
      </c>
      <c r="DX286" s="259">
        <v>4.9920652133715011</v>
      </c>
      <c r="DY286" s="259">
        <v>5.0473479179204928</v>
      </c>
      <c r="DZ286" s="259"/>
      <c r="EA286" s="508"/>
    </row>
    <row r="287" spans="1:131" s="25" customFormat="1">
      <c r="A287" s="25" t="s">
        <v>3660</v>
      </c>
      <c r="B287" s="99" t="s">
        <v>2797</v>
      </c>
      <c r="C287" s="12" t="s">
        <v>4651</v>
      </c>
      <c r="D287" s="225"/>
      <c r="E287" s="225"/>
      <c r="F287" s="99">
        <f t="shared" ref="F287:AY287" si="915">100*(F338-F339)/F338</f>
        <v>5.8559452051662646</v>
      </c>
      <c r="G287" s="99">
        <f t="shared" si="915"/>
        <v>6.2127205673344683</v>
      </c>
      <c r="H287" s="99">
        <f t="shared" si="915"/>
        <v>6.6302839252529413</v>
      </c>
      <c r="I287" s="99">
        <f t="shared" si="915"/>
        <v>6.9235375948706315</v>
      </c>
      <c r="J287" s="99">
        <f t="shared" si="915"/>
        <v>6.562184428681495</v>
      </c>
      <c r="K287" s="99">
        <f t="shared" si="915"/>
        <v>6.3374242512221954</v>
      </c>
      <c r="L287" s="99">
        <f t="shared" si="915"/>
        <v>5.8101854981631265</v>
      </c>
      <c r="M287" s="99">
        <f t="shared" si="915"/>
        <v>5.9149687058731235</v>
      </c>
      <c r="N287" s="99">
        <f t="shared" si="915"/>
        <v>6.1421707655956173</v>
      </c>
      <c r="O287" s="99">
        <f t="shared" si="915"/>
        <v>5.6960022317296248</v>
      </c>
      <c r="P287" s="99">
        <f t="shared" si="915"/>
        <v>5.9541739099275102</v>
      </c>
      <c r="Q287" s="99">
        <f t="shared" si="915"/>
        <v>5.6862475623867299</v>
      </c>
      <c r="R287" s="99">
        <f t="shared" si="915"/>
        <v>6.6705843975633536</v>
      </c>
      <c r="S287" s="99">
        <f t="shared" si="915"/>
        <v>6.1893657649851024</v>
      </c>
      <c r="T287" s="99">
        <f t="shared" si="915"/>
        <v>5.2406687179306344</v>
      </c>
      <c r="U287" s="99">
        <f t="shared" si="915"/>
        <v>6.1287665226355879</v>
      </c>
      <c r="V287" s="99">
        <f t="shared" si="915"/>
        <v>6.6521333283234503</v>
      </c>
      <c r="W287" s="99">
        <f t="shared" si="915"/>
        <v>6.890857397725302</v>
      </c>
      <c r="X287" s="99">
        <f t="shared" si="915"/>
        <v>8.6624648919839338</v>
      </c>
      <c r="Y287" s="99">
        <f t="shared" si="915"/>
        <v>6.7635516938588784</v>
      </c>
      <c r="Z287" s="99">
        <f t="shared" si="915"/>
        <v>5.1217524372096408</v>
      </c>
      <c r="AA287" s="99">
        <f t="shared" si="915"/>
        <v>2.8944690516757756</v>
      </c>
      <c r="AB287" s="99">
        <f t="shared" si="915"/>
        <v>4.5869110040431575</v>
      </c>
      <c r="AC287" s="99">
        <f t="shared" si="915"/>
        <v>4.9341481228332711</v>
      </c>
      <c r="AD287" s="99">
        <f t="shared" si="915"/>
        <v>5.5627132491537514</v>
      </c>
      <c r="AE287" s="99">
        <f t="shared" si="915"/>
        <v>4.9698808344302448</v>
      </c>
      <c r="AF287" s="99">
        <f t="shared" si="915"/>
        <v>5.2618276444970089</v>
      </c>
      <c r="AG287" s="99">
        <f t="shared" si="915"/>
        <v>4.7573315768461937</v>
      </c>
      <c r="AH287" s="99">
        <f t="shared" si="915"/>
        <v>5.1743192634396014</v>
      </c>
      <c r="AI287" s="99">
        <f t="shared" si="915"/>
        <v>6.1482333652082648</v>
      </c>
      <c r="AJ287" s="99">
        <f t="shared" si="915"/>
        <v>6.781936164731885</v>
      </c>
      <c r="AK287" s="99">
        <f t="shared" si="915"/>
        <v>7.1301249034963652</v>
      </c>
      <c r="AL287" s="99">
        <f t="shared" si="915"/>
        <v>3.6182553483382418</v>
      </c>
      <c r="AM287" s="99">
        <f t="shared" si="915"/>
        <v>3.3953536226355485</v>
      </c>
      <c r="AN287" s="99">
        <f t="shared" si="915"/>
        <v>5.0887924637187476</v>
      </c>
      <c r="AO287" s="99">
        <f t="shared" si="915"/>
        <v>4.9647982576438929</v>
      </c>
      <c r="AP287" s="99">
        <f t="shared" si="915"/>
        <v>4.9713047910577695</v>
      </c>
      <c r="AQ287" s="99">
        <f t="shared" si="915"/>
        <v>4.0852542645553411</v>
      </c>
      <c r="AR287" s="99">
        <f t="shared" si="915"/>
        <v>2.2493353673284227</v>
      </c>
      <c r="AS287" s="99">
        <f t="shared" si="915"/>
        <v>1.0669330566157587</v>
      </c>
      <c r="AT287" s="99">
        <f t="shared" si="915"/>
        <v>173.71757110041906</v>
      </c>
      <c r="AU287" s="99">
        <f t="shared" si="915"/>
        <v>9.1469322373490556</v>
      </c>
      <c r="AV287" s="99">
        <f t="shared" si="915"/>
        <v>26.966861324291362</v>
      </c>
      <c r="AW287" s="99">
        <f t="shared" si="915"/>
        <v>37.05911778366648</v>
      </c>
      <c r="AX287" s="99">
        <f t="shared" si="915"/>
        <v>50.877844280983737</v>
      </c>
      <c r="AY287" s="99">
        <f t="shared" si="915"/>
        <v>27.12151336469973</v>
      </c>
      <c r="AZ287" s="99">
        <f>100*(AZ338-AZ339)/AZ338</f>
        <v>12.923954228708338</v>
      </c>
      <c r="BA287" s="99">
        <f>100*(BA338-BA339)/BA338</f>
        <v>100.73931784141958</v>
      </c>
      <c r="BB287" s="99">
        <f>100*(BB338-BB339)/BB338</f>
        <v>102.0808501407522</v>
      </c>
      <c r="BC287" s="99">
        <f t="shared" ref="BC287:BQ287" ca="1" si="916">100*(BC338-BC339)/BC338</f>
        <v>101.84600745949818</v>
      </c>
      <c r="BD287" s="99">
        <f t="shared" ca="1" si="916"/>
        <v>10.037493619689302</v>
      </c>
      <c r="BE287" s="99">
        <f t="shared" ca="1" si="916"/>
        <v>9.2056753286551203</v>
      </c>
      <c r="BF287" s="99">
        <f t="shared" ca="1" si="916"/>
        <v>9.6056485109478054</v>
      </c>
      <c r="BG287" s="99">
        <f t="shared" ca="1" si="916"/>
        <v>11.159845633689024</v>
      </c>
      <c r="BH287" s="99">
        <f t="shared" ca="1" si="916"/>
        <v>13.79345557711863</v>
      </c>
      <c r="BI287" s="99">
        <f t="shared" ca="1" si="916"/>
        <v>14.51338750732798</v>
      </c>
      <c r="BJ287" s="99">
        <f t="shared" ca="1" si="916"/>
        <v>8.909163857969892</v>
      </c>
      <c r="BK287" s="99">
        <f t="shared" ref="BK287:BP287" ca="1" si="917">100*(BK338-BK339)/BK338</f>
        <v>12.783662517192331</v>
      </c>
      <c r="BL287" s="99">
        <f t="shared" ca="1" si="917"/>
        <v>15.19899337300895</v>
      </c>
      <c r="BM287" s="99">
        <f t="shared" ca="1" si="917"/>
        <v>15.589618393562173</v>
      </c>
      <c r="BN287" s="99">
        <f t="shared" ca="1" si="917"/>
        <v>13.742183972675402</v>
      </c>
      <c r="BO287" s="99">
        <f t="shared" ca="1" si="917"/>
        <v>10.052354134262645</v>
      </c>
      <c r="BP287" s="99">
        <f t="shared" ca="1" si="917"/>
        <v>9.9489953654321077</v>
      </c>
      <c r="BQ287" s="99">
        <f t="shared" ca="1" si="916"/>
        <v>9.9514244487701564</v>
      </c>
      <c r="BR287" s="99">
        <f ca="1">100*(BR338-BR339)/BR338</f>
        <v>10.014070019242039</v>
      </c>
      <c r="BS287" s="99">
        <f ca="1">100*(BS338-BS339)/BS338</f>
        <v>10.051575801536581</v>
      </c>
      <c r="BT287" s="99">
        <f ca="1">100*(BT338-BT339)/BT338</f>
        <v>10.062965761270888</v>
      </c>
      <c r="BU287" s="99">
        <f ca="1">100*(BU338-BU339)/BU338</f>
        <v>10.06932156648524</v>
      </c>
      <c r="BV287" s="99">
        <f ca="1">100*(BV338-BV339)/BV338</f>
        <v>10.080538671331142</v>
      </c>
      <c r="BW287" s="99">
        <f t="shared" ref="BW287:BX287" ca="1" si="918">100*(BW338-BW339)/BW338</f>
        <v>10.091633094343321</v>
      </c>
      <c r="BX287" s="99">
        <f t="shared" ca="1" si="918"/>
        <v>10.102385099289489</v>
      </c>
      <c r="BY287" s="99">
        <f t="shared" ref="BY287:CD287" ca="1" si="919">100*(BY338-BY339)/BY338</f>
        <v>10.1130648967327</v>
      </c>
      <c r="BZ287" s="99">
        <f t="shared" ca="1" si="919"/>
        <v>10.120393402630176</v>
      </c>
      <c r="CA287" s="99">
        <f t="shared" ca="1" si="919"/>
        <v>10.129016615230407</v>
      </c>
      <c r="CB287" s="99">
        <f t="shared" ca="1" si="919"/>
        <v>10.138386702922183</v>
      </c>
      <c r="CC287" s="99">
        <f t="shared" ca="1" si="919"/>
        <v>10.1478201809668</v>
      </c>
      <c r="CD287" s="99">
        <f t="shared" ca="1" si="919"/>
        <v>10.157507549792205</v>
      </c>
      <c r="CE287" s="99"/>
      <c r="CF287" s="435"/>
      <c r="CG287" s="235">
        <f t="shared" ca="1" si="870"/>
        <v>-11.83103076644162</v>
      </c>
      <c r="CH287" s="235">
        <f t="shared" ca="1" si="871"/>
        <v>-2.3742498263724663</v>
      </c>
      <c r="CI287" s="235" t="e">
        <f ca="1">BM287-#REF!</f>
        <v>#REF!</v>
      </c>
      <c r="CJ287" s="235">
        <f t="shared" ca="1" si="817"/>
        <v>0</v>
      </c>
      <c r="CK287" s="235">
        <f t="shared" ca="1" si="818"/>
        <v>0</v>
      </c>
      <c r="CL287" s="235">
        <f t="shared" ca="1" si="819"/>
        <v>0</v>
      </c>
      <c r="CM287" s="235">
        <f t="shared" ca="1" si="820"/>
        <v>0</v>
      </c>
      <c r="CN287" s="235">
        <f t="shared" ca="1" si="821"/>
        <v>0</v>
      </c>
      <c r="CO287" s="235">
        <f t="shared" ca="1" si="822"/>
        <v>2.1316282072803006E-14</v>
      </c>
      <c r="CP287" s="235">
        <f t="shared" ca="1" si="823"/>
        <v>4.0856207306205761E-14</v>
      </c>
      <c r="CQ287" s="235">
        <f t="shared" ca="1" si="824"/>
        <v>3.3750779948604759E-14</v>
      </c>
      <c r="CR287" s="235">
        <f t="shared" ca="1" si="825"/>
        <v>0</v>
      </c>
      <c r="CS287" s="235">
        <f t="shared" ca="1" si="826"/>
        <v>-1.7763568394002505E-14</v>
      </c>
      <c r="CT287" s="235">
        <f t="shared" ca="1" si="827"/>
        <v>0</v>
      </c>
      <c r="CU287" s="235">
        <f t="shared" ca="1" si="828"/>
        <v>0</v>
      </c>
      <c r="CV287" s="235">
        <f t="shared" ca="1" si="829"/>
        <v>3.907985046680551E-14</v>
      </c>
      <c r="CW287" s="235">
        <f t="shared" ca="1" si="830"/>
        <v>-3.5527136788005009E-14</v>
      </c>
      <c r="CX287" s="235">
        <f t="shared" ca="1" si="831"/>
        <v>-7.2475359047530219E-13</v>
      </c>
      <c r="CY287" s="235">
        <f t="shared" ca="1" si="832"/>
        <v>-5.8548721426632255E-12</v>
      </c>
      <c r="CZ287" s="235">
        <f t="shared" ca="1" si="833"/>
        <v>-2.8945734698027081E-11</v>
      </c>
      <c r="DA287" s="38"/>
      <c r="DB287" s="236">
        <v>18.7857391746793</v>
      </c>
      <c r="DC287" s="236">
        <v>19.785739174679282</v>
      </c>
      <c r="DD287" s="236">
        <v>23.183471816363816</v>
      </c>
      <c r="DE287" s="236">
        <v>48.915862833745607</v>
      </c>
      <c r="DF287" s="259">
        <v>57.360489970537913</v>
      </c>
      <c r="DG287" s="236">
        <v>24.614693283633951</v>
      </c>
      <c r="DH287" s="492">
        <v>17.573243199381416</v>
      </c>
      <c r="DI287" s="236">
        <v>13.742183972675402</v>
      </c>
      <c r="DJ287" s="236">
        <v>10.052354134262636</v>
      </c>
      <c r="DK287" s="236">
        <v>9.9489953654321059</v>
      </c>
      <c r="DL287" s="236">
        <v>9.9514244487701529</v>
      </c>
      <c r="DM287" s="236">
        <v>10.014070019242034</v>
      </c>
      <c r="DN287" s="236">
        <v>10.051575801536559</v>
      </c>
      <c r="DO287" s="236">
        <v>10.062965761270847</v>
      </c>
      <c r="DP287" s="236">
        <v>10.069321566485206</v>
      </c>
      <c r="DQ287" s="259">
        <v>10.080538671331142</v>
      </c>
      <c r="DR287" s="259">
        <v>10.091633094343338</v>
      </c>
      <c r="DS287" s="259">
        <v>10.102385099289489</v>
      </c>
      <c r="DT287" s="259">
        <v>10.113064896732698</v>
      </c>
      <c r="DU287" s="259">
        <v>10.120393402630137</v>
      </c>
      <c r="DV287" s="259">
        <v>10.129016615230443</v>
      </c>
      <c r="DW287" s="259">
        <v>10.138386702922908</v>
      </c>
      <c r="DX287" s="259">
        <v>10.147820180972655</v>
      </c>
      <c r="DY287" s="259">
        <v>10.157507549821151</v>
      </c>
      <c r="DZ287" s="259"/>
      <c r="EA287" s="508"/>
    </row>
    <row r="288" spans="1:131" s="76" customFormat="1">
      <c r="B288" s="80"/>
      <c r="C288" s="51"/>
      <c r="D288" s="207"/>
      <c r="E288" s="207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7"/>
      <c r="AC288" s="207"/>
      <c r="AD288" s="207"/>
      <c r="AE288" s="207"/>
      <c r="AF288" s="207"/>
      <c r="AG288" s="207"/>
      <c r="AH288" s="207"/>
      <c r="AI288" s="207"/>
      <c r="AJ288" s="207"/>
      <c r="AK288" s="207"/>
      <c r="AL288" s="207"/>
      <c r="AM288" s="207"/>
      <c r="AN288" s="207"/>
      <c r="AO288" s="207"/>
      <c r="AP288" s="207"/>
      <c r="AQ288" s="207"/>
      <c r="AR288" s="207"/>
      <c r="AS288" s="207"/>
      <c r="AT288" s="207"/>
      <c r="AU288" s="51"/>
      <c r="AV288" s="30"/>
      <c r="AW288" s="30"/>
      <c r="AX288" s="30"/>
      <c r="AY288" s="30"/>
      <c r="AZ288" s="30"/>
      <c r="BA288" s="30"/>
      <c r="BB288" s="30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435"/>
      <c r="CG288" s="235">
        <f t="shared" si="870"/>
        <v>0</v>
      </c>
      <c r="CH288" s="235">
        <f t="shared" si="871"/>
        <v>0</v>
      </c>
      <c r="CI288" s="235" t="e">
        <f>BM288-#REF!</f>
        <v>#REF!</v>
      </c>
      <c r="CJ288" s="235">
        <f t="shared" si="817"/>
        <v>0</v>
      </c>
      <c r="CK288" s="235">
        <f t="shared" si="818"/>
        <v>0</v>
      </c>
      <c r="CL288" s="235">
        <f t="shared" si="819"/>
        <v>0</v>
      </c>
      <c r="CM288" s="235">
        <f t="shared" si="820"/>
        <v>0</v>
      </c>
      <c r="CN288" s="235">
        <f t="shared" si="821"/>
        <v>0</v>
      </c>
      <c r="CO288" s="235">
        <f t="shared" si="822"/>
        <v>0</v>
      </c>
      <c r="CP288" s="235">
        <f t="shared" si="823"/>
        <v>0</v>
      </c>
      <c r="CQ288" s="235">
        <f t="shared" si="824"/>
        <v>0</v>
      </c>
      <c r="CR288" s="235">
        <f t="shared" si="825"/>
        <v>0</v>
      </c>
      <c r="CS288" s="235">
        <f t="shared" si="826"/>
        <v>0</v>
      </c>
      <c r="CT288" s="235">
        <f t="shared" si="827"/>
        <v>0</v>
      </c>
      <c r="CU288" s="235">
        <f t="shared" si="828"/>
        <v>0</v>
      </c>
      <c r="CV288" s="235">
        <f t="shared" si="829"/>
        <v>0</v>
      </c>
      <c r="CW288" s="235">
        <f t="shared" si="830"/>
        <v>0</v>
      </c>
      <c r="CX288" s="235">
        <f t="shared" si="831"/>
        <v>0</v>
      </c>
      <c r="CY288" s="235">
        <f t="shared" si="832"/>
        <v>0</v>
      </c>
      <c r="CZ288" s="235">
        <f t="shared" si="833"/>
        <v>0</v>
      </c>
      <c r="DA288" s="38"/>
      <c r="DB288" s="236"/>
      <c r="DC288" s="236"/>
      <c r="DD288" s="236"/>
      <c r="DE288" s="236"/>
      <c r="DF288" s="403"/>
      <c r="DG288" s="236"/>
      <c r="DH288" s="492"/>
      <c r="DI288" s="236"/>
      <c r="DJ288" s="236"/>
      <c r="DK288" s="236"/>
      <c r="DL288" s="236"/>
      <c r="DM288" s="236"/>
      <c r="DN288" s="236"/>
      <c r="DO288" s="236"/>
      <c r="DP288" s="236"/>
      <c r="DQ288" s="401"/>
      <c r="DR288" s="401"/>
      <c r="DS288" s="401"/>
      <c r="DT288" s="401"/>
      <c r="DU288" s="401"/>
      <c r="DV288" s="401"/>
      <c r="DW288" s="401"/>
      <c r="DX288" s="401"/>
      <c r="DY288" s="401"/>
      <c r="DZ288" s="401"/>
      <c r="EA288" s="989"/>
    </row>
    <row r="289" spans="1:131" s="14" customFormat="1">
      <c r="B289" s="146" t="s">
        <v>3879</v>
      </c>
      <c r="D289" s="226"/>
      <c r="E289" s="226"/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CF289" s="435"/>
      <c r="CG289" s="235">
        <f t="shared" si="870"/>
        <v>0</v>
      </c>
      <c r="CH289" s="235">
        <f t="shared" si="871"/>
        <v>0</v>
      </c>
      <c r="CI289" s="235" t="e">
        <f>BM289-#REF!</f>
        <v>#REF!</v>
      </c>
      <c r="CJ289" s="235">
        <f t="shared" si="817"/>
        <v>0</v>
      </c>
      <c r="CK289" s="235">
        <f t="shared" si="818"/>
        <v>0</v>
      </c>
      <c r="CL289" s="235">
        <f t="shared" si="819"/>
        <v>0</v>
      </c>
      <c r="CM289" s="235">
        <f t="shared" si="820"/>
        <v>0</v>
      </c>
      <c r="CN289" s="235">
        <f t="shared" si="821"/>
        <v>0</v>
      </c>
      <c r="CO289" s="235">
        <f t="shared" si="822"/>
        <v>0</v>
      </c>
      <c r="CP289" s="235">
        <f t="shared" si="823"/>
        <v>0</v>
      </c>
      <c r="CQ289" s="235">
        <f t="shared" si="824"/>
        <v>0</v>
      </c>
      <c r="CR289" s="235">
        <f t="shared" si="825"/>
        <v>0</v>
      </c>
      <c r="CS289" s="235">
        <f t="shared" si="826"/>
        <v>0</v>
      </c>
      <c r="CT289" s="235">
        <f t="shared" si="827"/>
        <v>0</v>
      </c>
      <c r="CU289" s="235">
        <f t="shared" si="828"/>
        <v>0</v>
      </c>
      <c r="CV289" s="235">
        <f t="shared" si="829"/>
        <v>0</v>
      </c>
      <c r="CW289" s="235">
        <f t="shared" si="830"/>
        <v>0</v>
      </c>
      <c r="CX289" s="235">
        <f t="shared" si="831"/>
        <v>0</v>
      </c>
      <c r="CY289" s="235">
        <f t="shared" si="832"/>
        <v>0</v>
      </c>
      <c r="CZ289" s="235">
        <f t="shared" si="833"/>
        <v>0</v>
      </c>
      <c r="DA289" s="38"/>
      <c r="DB289" s="236"/>
      <c r="DC289" s="236"/>
      <c r="DD289" s="236"/>
      <c r="DE289" s="236"/>
      <c r="DF289" s="258"/>
      <c r="DG289" s="236"/>
      <c r="DH289" s="492"/>
      <c r="DI289" s="236"/>
      <c r="DJ289" s="236"/>
      <c r="DK289" s="236"/>
      <c r="DL289" s="236"/>
      <c r="DM289" s="236"/>
      <c r="DN289" s="236"/>
      <c r="DO289" s="236"/>
      <c r="DP289" s="236"/>
      <c r="DQ289" s="258"/>
      <c r="DR289" s="258"/>
      <c r="DS289" s="258"/>
      <c r="DT289" s="258"/>
      <c r="DU289" s="258"/>
      <c r="DV289" s="258"/>
      <c r="DW289" s="258"/>
      <c r="DX289" s="258"/>
      <c r="DY289" s="258"/>
      <c r="DZ289" s="258"/>
      <c r="EA289" s="967"/>
    </row>
    <row r="290" spans="1:131">
      <c r="CF290" s="435"/>
      <c r="CG290" s="235">
        <f t="shared" si="870"/>
        <v>0</v>
      </c>
      <c r="CH290" s="235">
        <f t="shared" si="871"/>
        <v>0</v>
      </c>
      <c r="CI290" s="235" t="e">
        <f>BM290-#REF!</f>
        <v>#REF!</v>
      </c>
      <c r="CJ290" s="235">
        <f t="shared" si="817"/>
        <v>0</v>
      </c>
      <c r="CK290" s="235">
        <f t="shared" si="818"/>
        <v>0</v>
      </c>
      <c r="CL290" s="235">
        <f t="shared" si="819"/>
        <v>0</v>
      </c>
      <c r="CM290" s="235">
        <f t="shared" si="820"/>
        <v>0</v>
      </c>
      <c r="CN290" s="235">
        <f t="shared" si="821"/>
        <v>0</v>
      </c>
      <c r="CO290" s="235">
        <f t="shared" si="822"/>
        <v>0</v>
      </c>
      <c r="CP290" s="235">
        <f t="shared" si="823"/>
        <v>0</v>
      </c>
      <c r="CQ290" s="235">
        <f t="shared" si="824"/>
        <v>0</v>
      </c>
      <c r="CR290" s="235">
        <f t="shared" si="825"/>
        <v>0</v>
      </c>
      <c r="CS290" s="235">
        <f t="shared" si="826"/>
        <v>0</v>
      </c>
      <c r="CT290" s="235">
        <f t="shared" si="827"/>
        <v>0</v>
      </c>
      <c r="CU290" s="235">
        <f t="shared" si="828"/>
        <v>0</v>
      </c>
      <c r="CV290" s="235">
        <f t="shared" si="829"/>
        <v>0</v>
      </c>
      <c r="CW290" s="235">
        <f t="shared" si="830"/>
        <v>0</v>
      </c>
      <c r="CX290" s="235">
        <f t="shared" si="831"/>
        <v>0</v>
      </c>
      <c r="CY290" s="235">
        <f t="shared" si="832"/>
        <v>0</v>
      </c>
      <c r="CZ290" s="235">
        <f t="shared" si="833"/>
        <v>0</v>
      </c>
      <c r="DF290" s="258"/>
    </row>
    <row r="291" spans="1:131" s="19" customFormat="1">
      <c r="B291" s="42" t="s">
        <v>486</v>
      </c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/>
      <c r="AH291" s="208"/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42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  <c r="BF291" s="90"/>
      <c r="BG291" s="90"/>
      <c r="BH291" s="90"/>
      <c r="BI291" s="321"/>
      <c r="BJ291" s="90"/>
      <c r="BK291" s="90"/>
      <c r="BL291" s="90"/>
      <c r="BM291" s="90"/>
      <c r="BN291" s="90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0"/>
      <c r="BZ291" s="90"/>
      <c r="CA291" s="90"/>
      <c r="CB291" s="90"/>
      <c r="CC291" s="90"/>
      <c r="CD291" s="90"/>
      <c r="CE291" s="90"/>
      <c r="CF291" s="435"/>
      <c r="CG291" s="235">
        <f t="shared" si="870"/>
        <v>0</v>
      </c>
      <c r="CH291" s="235">
        <f t="shared" si="871"/>
        <v>0</v>
      </c>
      <c r="CI291" s="235" t="e">
        <f>BM291-#REF!</f>
        <v>#REF!</v>
      </c>
      <c r="CJ291" s="235">
        <f t="shared" si="817"/>
        <v>0</v>
      </c>
      <c r="CK291" s="235">
        <f t="shared" si="818"/>
        <v>0</v>
      </c>
      <c r="CL291" s="235">
        <f t="shared" si="819"/>
        <v>0</v>
      </c>
      <c r="CM291" s="235">
        <f t="shared" si="820"/>
        <v>0</v>
      </c>
      <c r="CN291" s="235">
        <f t="shared" si="821"/>
        <v>0</v>
      </c>
      <c r="CO291" s="235">
        <f t="shared" si="822"/>
        <v>0</v>
      </c>
      <c r="CP291" s="235">
        <f t="shared" si="823"/>
        <v>0</v>
      </c>
      <c r="CQ291" s="235">
        <f t="shared" si="824"/>
        <v>0</v>
      </c>
      <c r="CR291" s="235">
        <f t="shared" si="825"/>
        <v>0</v>
      </c>
      <c r="CS291" s="235">
        <f t="shared" si="826"/>
        <v>0</v>
      </c>
      <c r="CT291" s="235">
        <f t="shared" si="827"/>
        <v>0</v>
      </c>
      <c r="CU291" s="235">
        <f t="shared" si="828"/>
        <v>0</v>
      </c>
      <c r="CV291" s="235">
        <f t="shared" si="829"/>
        <v>0</v>
      </c>
      <c r="CW291" s="235">
        <f t="shared" si="830"/>
        <v>0</v>
      </c>
      <c r="CX291" s="235">
        <f t="shared" si="831"/>
        <v>0</v>
      </c>
      <c r="CY291" s="235">
        <f t="shared" si="832"/>
        <v>0</v>
      </c>
      <c r="CZ291" s="235">
        <f t="shared" si="833"/>
        <v>0</v>
      </c>
      <c r="DA291" s="38"/>
      <c r="DB291" s="236"/>
      <c r="DC291" s="236"/>
      <c r="DD291" s="236"/>
      <c r="DE291" s="236"/>
      <c r="DF291" s="400"/>
      <c r="DG291" s="236"/>
      <c r="DH291" s="492"/>
      <c r="DI291" s="236"/>
      <c r="DJ291" s="236"/>
      <c r="DK291" s="236"/>
      <c r="DL291" s="236"/>
      <c r="DM291" s="236"/>
      <c r="DN291" s="236"/>
      <c r="DO291" s="236"/>
      <c r="DP291" s="236"/>
      <c r="DQ291" s="1084"/>
      <c r="DR291" s="1084"/>
      <c r="DS291" s="1084"/>
      <c r="DT291" s="1084"/>
      <c r="DU291" s="1084"/>
      <c r="DV291" s="1084"/>
      <c r="DW291" s="1084"/>
      <c r="DX291" s="1084"/>
      <c r="DY291" s="1084"/>
      <c r="DZ291" s="1084"/>
      <c r="EA291" s="988"/>
    </row>
    <row r="292" spans="1:131" s="76" customFormat="1">
      <c r="A292" s="76" t="s">
        <v>4441</v>
      </c>
      <c r="B292" s="73" t="s">
        <v>1504</v>
      </c>
      <c r="C292" s="85" t="s">
        <v>4361</v>
      </c>
      <c r="D292" s="207"/>
      <c r="E292" s="207"/>
      <c r="F292" s="11">
        <f>mamiabc!F14*$AV292/mamiabc!$AV14</f>
        <v>0.124366511507621</v>
      </c>
      <c r="G292" s="11">
        <f>mamiabc!G14*$AV292/mamiabc!$AV14</f>
        <v>0.12859200363414255</v>
      </c>
      <c r="H292" s="11">
        <f>mamiabc!H14*$AV292/mamiabc!$AV14</f>
        <v>0.13877098538555338</v>
      </c>
      <c r="I292" s="11">
        <f>mamiabc!I14*$AV292/mamiabc!$AV14</f>
        <v>0.15769268215233856</v>
      </c>
      <c r="J292" s="11">
        <f>mamiabc!J14*$AV292/mamiabc!$AV14</f>
        <v>0.1679498034583434</v>
      </c>
      <c r="K292" s="11">
        <f>mamiabc!K14*$AV292/mamiabc!$AV14</f>
        <v>0.18502943267382441</v>
      </c>
      <c r="L292" s="11">
        <f>mamiabc!L14*$AV292/mamiabc!$AV14</f>
        <v>0.19995365021076664</v>
      </c>
      <c r="M292" s="11">
        <f>mamiabc!M14*$AV292/mamiabc!$AV14</f>
        <v>0.20182231842443069</v>
      </c>
      <c r="N292" s="11">
        <f>mamiabc!N14*$AV292/mamiabc!$AV14</f>
        <v>0.21320112858431103</v>
      </c>
      <c r="O292" s="11">
        <f>mamiabc!O14*$AV292/mamiabc!$AV14</f>
        <v>0.22887138448152169</v>
      </c>
      <c r="P292" s="11">
        <f>mamiabc!P14*$AV292/mamiabc!$AV14</f>
        <v>0.2501561837190735</v>
      </c>
      <c r="Q292" s="11">
        <f>mamiabc!Q14*$AV292/mamiabc!$AV14</f>
        <v>0.28917098224783133</v>
      </c>
      <c r="R292" s="11">
        <f>mamiabc!R14*$AV292/mamiabc!$AV14</f>
        <v>0.36854173015841007</v>
      </c>
      <c r="S292" s="11">
        <f>mamiabc!S14*$AV292/mamiabc!$AV14</f>
        <v>0.43291878340081252</v>
      </c>
      <c r="T292" s="11">
        <f>mamiabc!T14*$AV292/mamiabc!$AV14</f>
        <v>0.47675542030381302</v>
      </c>
      <c r="U292" s="11">
        <f>mamiabc!U14*$AV292/mamiabc!$AV14</f>
        <v>0.49068468768150353</v>
      </c>
      <c r="V292" s="11">
        <f>mamiabc!V14*$AV292/mamiabc!$AV14</f>
        <v>0.50855283964299369</v>
      </c>
      <c r="W292" s="11">
        <f>mamiabc!W14*$AV292/mamiabc!$AV14</f>
        <v>0.5576518943807306</v>
      </c>
      <c r="X292" s="11">
        <f>mamiabc!X14*$AV292/mamiabc!$AV14</f>
        <v>0.57900662382335943</v>
      </c>
      <c r="Y292" s="11">
        <f>mamiabc!Y14*$AV292/mamiabc!$AV14</f>
        <v>0.63256761947073514</v>
      </c>
      <c r="Z292" s="11">
        <f>mamiabc!Z14*$AV292/mamiabc!$AV14</f>
        <v>0.77737636273079436</v>
      </c>
      <c r="AA292" s="11">
        <f>mamiabc!AA14*$AV292/mamiabc!$AV14</f>
        <v>0.92778105587771431</v>
      </c>
      <c r="AB292" s="11">
        <f>mamiabc!AB14*$AV292/mamiabc!$AV14</f>
        <v>0.99313911854573733</v>
      </c>
      <c r="AC292" s="11">
        <f>mamiabc!AC14*$AV292/mamiabc!$AV14</f>
        <v>1.2567526758090888</v>
      </c>
      <c r="AD292" s="11">
        <f>mamiabc!AD14*$AV292/mamiabc!$AV14</f>
        <v>1.4389970984217595</v>
      </c>
      <c r="AE292" s="11">
        <f>mamiabc!AE14*$AV292/mamiabc!$AV14</f>
        <v>1.5346073895132921</v>
      </c>
      <c r="AF292" s="11">
        <f>mamiabc!AF14*$AV292/mamiabc!$AV14</f>
        <v>1.5719858421543482</v>
      </c>
      <c r="AG292" s="11">
        <f>mamiabc!AG14*$AV292/mamiabc!$AV14</f>
        <v>1.7383560907886195</v>
      </c>
      <c r="AH292" s="11">
        <f>mamiabc!AH14*$AV292/mamiabc!$AV14</f>
        <v>1.7158924108374707</v>
      </c>
      <c r="AI292" s="11">
        <f>mamiabc!AI14*$AV292/mamiabc!$AV14</f>
        <v>1.6136468881668786</v>
      </c>
      <c r="AJ292" s="11">
        <f>mamiabc!AJ14*$AV292/mamiabc!$AV14</f>
        <v>1.5653849047800215</v>
      </c>
      <c r="AK292" s="11">
        <f>mamiabc!AK14*$AV292/mamiabc!$AV14</f>
        <v>1.5502189200700816</v>
      </c>
      <c r="AL292" s="11">
        <f>mamiabc!AL14*$AV292/mamiabc!$AV14</f>
        <v>1.5780043356775677</v>
      </c>
      <c r="AM292" s="11">
        <f>mamiabc!AM14*$AV292/mamiabc!$AV14</f>
        <v>1.7147503859384108</v>
      </c>
      <c r="AN292" s="11">
        <f>mamiabc!AN14*$AV292/mamiabc!$AV14</f>
        <v>2.0721470223362659</v>
      </c>
      <c r="AO292" s="11">
        <f>mamiabc!AO14*$AV292/mamiabc!$AV14</f>
        <v>2.5038895911887882</v>
      </c>
      <c r="AP292" s="11">
        <f>mamiabc!AP14*$AV292/mamiabc!$AV14</f>
        <v>3.4473848817960988</v>
      </c>
      <c r="AQ292" s="11">
        <f>mamiabc!AQ14*$AV292/mamiabc!$AV14</f>
        <v>4.0217206237823033</v>
      </c>
      <c r="AR292" s="11">
        <f>mamiabc!AR14*$AV292/mamiabc!$AV14</f>
        <v>5.2641637722165191</v>
      </c>
      <c r="AS292" s="11">
        <f>mamiabc!AS14*$AV292/mamiabc!$AV14</f>
        <v>12.888493302075142</v>
      </c>
      <c r="AT292" s="11">
        <f>mamiabc!AT14*$AV292/mamiabc!$AV14</f>
        <v>51.292049797701189</v>
      </c>
      <c r="AU292" s="11">
        <f>mamiabc!AU14*$AV292/mamiabc!$AV14</f>
        <v>250.08720187980026</v>
      </c>
      <c r="AV292" s="74">
        <f>DataInput!AV118-AV242</f>
        <v>317.93672837278626</v>
      </c>
      <c r="AW292" s="74">
        <f>DataInput!AW118-AW242</f>
        <v>353.38906831179173</v>
      </c>
      <c r="AX292" s="74">
        <f>DataInput!AX118-AX242</f>
        <v>399.99843336586969</v>
      </c>
      <c r="AY292" s="74">
        <f>DataInput!AY118-AY242</f>
        <v>780.10435835645842</v>
      </c>
      <c r="AZ292" s="74">
        <f>DataInput!AZ118-AZ242</f>
        <v>1301.83775148365</v>
      </c>
      <c r="BA292" s="74">
        <f>DataInput!BA118-BA242</f>
        <v>1913.0307396373362</v>
      </c>
      <c r="BB292" s="74">
        <f>DataInput!BB118-BB242</f>
        <v>2146.4436369999999</v>
      </c>
      <c r="BC292" s="74">
        <f>DataInput!BC118-BC242</f>
        <v>3127.3281310000002</v>
      </c>
      <c r="BD292" s="74">
        <f>DataInput!BD118-BD242</f>
        <v>3925.7327830000004</v>
      </c>
      <c r="BE292" s="74">
        <f ca="1">DataInput!BE118-BE242</f>
        <v>5551.9424749106365</v>
      </c>
      <c r="BF292" s="74">
        <f ca="1">DataInput!BF118-BF242</f>
        <v>6817.904314784073</v>
      </c>
      <c r="BG292" s="74">
        <f ca="1">DataInput!BG118-BG242</f>
        <v>7733.6247644294326</v>
      </c>
      <c r="BH292" s="74">
        <f ca="1">DataInput!BH118-BH242</f>
        <v>9099.4373974972805</v>
      </c>
      <c r="BI292" s="74">
        <f ca="1">DataInput!BI118-BI242</f>
        <v>8841.8409698933283</v>
      </c>
      <c r="BJ292" s="74">
        <f ca="1">DataInput!BJ118-BJ242</f>
        <v>11150.121392335059</v>
      </c>
      <c r="BK292" s="74">
        <f ca="1">DataInput!BK118-BK242</f>
        <v>14924.582178955594</v>
      </c>
      <c r="BL292" s="74">
        <f ca="1">DataInput!BL118-BL242</f>
        <v>16107.498603763883</v>
      </c>
      <c r="BM292" s="74">
        <f ca="1">DataInput!BM118-BM242</f>
        <v>15636.753420649618</v>
      </c>
      <c r="BN292" s="74">
        <f>DataInput!BN118-BN242</f>
        <v>15683.337</v>
      </c>
      <c r="BO292" s="80">
        <f t="shared" ref="BO292:BU292" ca="1" si="920">BO298+BO332+BO293+BO256+BO181-(BO182+BO183+BO184)</f>
        <v>15753.881129171294</v>
      </c>
      <c r="BP292" s="80">
        <f t="shared" ca="1" si="920"/>
        <v>19874.615218209587</v>
      </c>
      <c r="BQ292" s="80">
        <f t="shared" ca="1" si="920"/>
        <v>24601.750731278156</v>
      </c>
      <c r="BR292" s="80">
        <f t="shared" ca="1" si="920"/>
        <v>27053.15023893378</v>
      </c>
      <c r="BS292" s="80">
        <f t="shared" ca="1" si="920"/>
        <v>28058.400819857972</v>
      </c>
      <c r="BT292" s="80">
        <f t="shared" ca="1" si="920"/>
        <v>28867.564760749774</v>
      </c>
      <c r="BU292" s="80">
        <f t="shared" ca="1" si="920"/>
        <v>29980.798648227508</v>
      </c>
      <c r="BV292" s="80">
        <f ca="1">BV298+BV332+BV293+BV256+BV181-(BV182+BV183+BV184)</f>
        <v>31171.800626116394</v>
      </c>
      <c r="BW292" s="80">
        <f t="shared" ref="BW292:BX292" ca="1" si="921">BW298+BW332+BW293+BW256+BW181-(BW182+BW183+BW184)</f>
        <v>32405.949351762836</v>
      </c>
      <c r="BX292" s="80">
        <f t="shared" ca="1" si="921"/>
        <v>33685.49416756595</v>
      </c>
      <c r="BY292" s="80">
        <f t="shared" ref="BY292:CD292" ca="1" si="922">BY298+BY332+BY293+BY256+BY181-(BY182+BY183+BY184)</f>
        <v>35013.124351138693</v>
      </c>
      <c r="BZ292" s="80">
        <f t="shared" ca="1" si="922"/>
        <v>36729.446437715058</v>
      </c>
      <c r="CA292" s="80">
        <f t="shared" ca="1" si="922"/>
        <v>38580.236744603695</v>
      </c>
      <c r="CB292" s="80">
        <f t="shared" ca="1" si="922"/>
        <v>40535.449894570826</v>
      </c>
      <c r="CC292" s="80">
        <f t="shared" ca="1" si="922"/>
        <v>42606.377181928838</v>
      </c>
      <c r="CD292" s="80">
        <f t="shared" ca="1" si="922"/>
        <v>44804.135388110211</v>
      </c>
      <c r="CE292" s="80"/>
      <c r="CF292" s="435"/>
      <c r="CG292" s="235">
        <f t="shared" ca="1" si="870"/>
        <v>3432.9141957967913</v>
      </c>
      <c r="CH292" s="235">
        <f t="shared" ca="1" si="871"/>
        <v>-248.17719861434307</v>
      </c>
      <c r="CI292" s="235" t="e">
        <f ca="1">BM292-#REF!</f>
        <v>#REF!</v>
      </c>
      <c r="CJ292" s="235">
        <f t="shared" si="817"/>
        <v>0</v>
      </c>
      <c r="CK292" s="235">
        <f t="shared" ca="1" si="818"/>
        <v>0</v>
      </c>
      <c r="CL292" s="235">
        <f t="shared" ca="1" si="819"/>
        <v>0</v>
      </c>
      <c r="CM292" s="235">
        <f t="shared" ca="1" si="820"/>
        <v>0</v>
      </c>
      <c r="CN292" s="235">
        <f t="shared" ca="1" si="821"/>
        <v>0</v>
      </c>
      <c r="CO292" s="235">
        <f t="shared" ca="1" si="822"/>
        <v>0</v>
      </c>
      <c r="CP292" s="235">
        <f t="shared" ca="1" si="823"/>
        <v>-2.9103830456733704E-11</v>
      </c>
      <c r="CQ292" s="235">
        <f t="shared" ca="1" si="824"/>
        <v>-2.9103830456733704E-11</v>
      </c>
      <c r="CR292" s="235">
        <f t="shared" ca="1" si="825"/>
        <v>-5.4569682106375694E-11</v>
      </c>
      <c r="CS292" s="235">
        <f t="shared" ca="1" si="826"/>
        <v>-6.184563972055912E-11</v>
      </c>
      <c r="CT292" s="235">
        <f t="shared" ca="1" si="827"/>
        <v>-7.2759576141834259E-11</v>
      </c>
      <c r="CU292" s="235">
        <f t="shared" ca="1" si="828"/>
        <v>-7.2759576141834259E-11</v>
      </c>
      <c r="CV292" s="235">
        <f t="shared" ca="1" si="829"/>
        <v>-7.2759576141834259E-11</v>
      </c>
      <c r="CW292" s="235">
        <f t="shared" ca="1" si="830"/>
        <v>7.2759576141834259E-11</v>
      </c>
      <c r="CX292" s="235">
        <f t="shared" ca="1" si="831"/>
        <v>2.2337189875543118E-9</v>
      </c>
      <c r="CY292" s="235">
        <f t="shared" ca="1" si="832"/>
        <v>2.3203028831630945E-8</v>
      </c>
      <c r="CZ292" s="235">
        <f t="shared" ca="1" si="833"/>
        <v>1.8076389096677303E-7</v>
      </c>
      <c r="DA292" s="38"/>
      <c r="DB292" s="236">
        <v>5246.9283999999998</v>
      </c>
      <c r="DC292" s="236">
        <v>5247.9283999999998</v>
      </c>
      <c r="DD292" s="236">
        <v>5948.5313509999996</v>
      </c>
      <c r="DE292" s="236">
        <v>6980.241328492998</v>
      </c>
      <c r="DF292" s="401">
        <v>6874.3749257124273</v>
      </c>
      <c r="DG292" s="236">
        <v>11491.667983158803</v>
      </c>
      <c r="DH292" s="492">
        <v>16355.675802378226</v>
      </c>
      <c r="DI292" s="236">
        <v>15683.337</v>
      </c>
      <c r="DJ292" s="236">
        <v>15753.881129171297</v>
      </c>
      <c r="DK292" s="236">
        <v>19874.61521820959</v>
      </c>
      <c r="DL292" s="236">
        <v>24601.75073127816</v>
      </c>
      <c r="DM292" s="236">
        <v>27053.150238933791</v>
      </c>
      <c r="DN292" s="236">
        <v>28058.400819857976</v>
      </c>
      <c r="DO292" s="236">
        <v>28867.564760749803</v>
      </c>
      <c r="DP292" s="236">
        <v>29980.798648227537</v>
      </c>
      <c r="DQ292" s="401">
        <v>31171.800626116448</v>
      </c>
      <c r="DR292" s="401">
        <v>32405.949351762898</v>
      </c>
      <c r="DS292" s="401">
        <v>33685.494167566023</v>
      </c>
      <c r="DT292" s="401">
        <v>35013.124351138766</v>
      </c>
      <c r="DU292" s="401">
        <v>36729.446437715131</v>
      </c>
      <c r="DV292" s="401">
        <v>38580.236744603622</v>
      </c>
      <c r="DW292" s="401">
        <v>40535.449894568592</v>
      </c>
      <c r="DX292" s="401">
        <v>42606.377181905635</v>
      </c>
      <c r="DY292" s="401">
        <v>44804.135387929447</v>
      </c>
      <c r="DZ292" s="401"/>
      <c r="EA292" s="989"/>
    </row>
    <row r="293" spans="1:131" s="76" customFormat="1">
      <c r="A293" s="76" t="s">
        <v>4440</v>
      </c>
      <c r="B293" s="73" t="s">
        <v>4624</v>
      </c>
      <c r="C293" s="85" t="s">
        <v>4362</v>
      </c>
      <c r="D293" s="207"/>
      <c r="E293" s="207"/>
      <c r="F293" s="295">
        <f>mamiabc!F15</f>
        <v>2.3600000000000003E-2</v>
      </c>
      <c r="G293" s="295">
        <f>mamiabc!G15</f>
        <v>2.52E-2</v>
      </c>
      <c r="H293" s="295">
        <f>mamiabc!H15</f>
        <v>2.8200000762939454E-2</v>
      </c>
      <c r="I293" s="295">
        <f>mamiabc!I15</f>
        <v>3.8599998474121093E-2</v>
      </c>
      <c r="J293" s="295">
        <f>mamiabc!J15</f>
        <v>3.9700000762939454E-2</v>
      </c>
      <c r="K293" s="295">
        <f>mamiabc!K15</f>
        <v>4.1099998474121095E-2</v>
      </c>
      <c r="L293" s="295">
        <f>mamiabc!L15</f>
        <v>4.5599998474121092E-2</v>
      </c>
      <c r="M293" s="295">
        <f>mamiabc!M15</f>
        <v>4.9099998474121095E-2</v>
      </c>
      <c r="N293" s="295">
        <f>mamiabc!N15</f>
        <v>5.5700000762939454E-2</v>
      </c>
      <c r="O293" s="295">
        <f>mamiabc!O15</f>
        <v>6.3400001525878907E-2</v>
      </c>
      <c r="P293" s="295">
        <f>mamiabc!P15</f>
        <v>0.12059999847412109</v>
      </c>
      <c r="Q293" s="295">
        <f>mamiabc!Q15</f>
        <v>0.12730000305175782</v>
      </c>
      <c r="R293" s="295">
        <f>mamiabc!R15</f>
        <v>9.6000000000000002E-2</v>
      </c>
      <c r="S293" s="295">
        <f>mamiabc!S15</f>
        <v>7.7699996948242187E-2</v>
      </c>
      <c r="T293" s="295">
        <f>mamiabc!T15</f>
        <v>8.190000152587891E-2</v>
      </c>
      <c r="U293" s="295">
        <f>mamiabc!U15</f>
        <v>6.9099998474121099E-2</v>
      </c>
      <c r="V293" s="295">
        <f>mamiabc!V15</f>
        <v>6.9099998474121099E-2</v>
      </c>
      <c r="W293" s="295">
        <f>mamiabc!W15</f>
        <v>7.6999999999999999E-2</v>
      </c>
      <c r="X293" s="295">
        <f>mamiabc!X15</f>
        <v>0.09</v>
      </c>
      <c r="Y293" s="295">
        <f>mamiabc!Y15</f>
        <v>0.115</v>
      </c>
      <c r="Z293" s="295">
        <f>mamiabc!Z15</f>
        <v>0.20200000000000001</v>
      </c>
      <c r="AA293" s="295">
        <f>mamiabc!AA15</f>
        <v>0.27520001220703127</v>
      </c>
      <c r="AB293" s="295">
        <f>mamiabc!AB15</f>
        <v>0.16089999389648438</v>
      </c>
      <c r="AC293" s="295">
        <f>mamiabc!AC15</f>
        <v>0.23910000610351562</v>
      </c>
      <c r="AD293" s="295">
        <f>mamiabc!AD15</f>
        <v>0.21889999389648437</v>
      </c>
      <c r="AE293" s="295">
        <f>mamiabc!AE15</f>
        <v>0.19950000000000001</v>
      </c>
      <c r="AF293" s="295">
        <f>mamiabc!AF15</f>
        <v>0.29208999633789062</v>
      </c>
      <c r="AG293" s="295">
        <f>mamiabc!AG15</f>
        <v>0.37942999267578126</v>
      </c>
      <c r="AH293" s="295">
        <f>mamiabc!AH15</f>
        <v>0.32235998535156252</v>
      </c>
      <c r="AI293" s="295">
        <f>mamiabc!AI15</f>
        <v>0.15617999267578125</v>
      </c>
      <c r="AJ293" s="295">
        <f>mamiabc!AJ15</f>
        <v>0.11880999755859376</v>
      </c>
      <c r="AK293" s="295">
        <f>mamiabc!AK15</f>
        <v>0.14599999999999999</v>
      </c>
      <c r="AL293" s="295">
        <f>mamiabc!AL15</f>
        <v>0.17299999999999999</v>
      </c>
      <c r="AM293" s="295">
        <f>mamiabc!AM15</f>
        <v>0.17299999999999999</v>
      </c>
      <c r="AN293" s="295">
        <f>mamiabc!AN15</f>
        <v>0.22</v>
      </c>
      <c r="AO293" s="295">
        <f>mamiabc!AO15</f>
        <v>0.22260000610351563</v>
      </c>
      <c r="AP293" s="295">
        <f>mamiabc!AP15</f>
        <v>0.56641999999999992</v>
      </c>
      <c r="AQ293" s="295">
        <f>mamiabc!AQ15</f>
        <v>0.71115000000000006</v>
      </c>
      <c r="AR293" s="295">
        <f>mamiabc!AR15</f>
        <v>1.0469300000000001</v>
      </c>
      <c r="AS293" s="295">
        <f>mamiabc!AS15</f>
        <v>2.2277999999999998</v>
      </c>
      <c r="AT293" s="295">
        <f>mamiabc!AT15</f>
        <v>20.53877</v>
      </c>
      <c r="AU293" s="295">
        <f>mamiabc!AU15</f>
        <v>32.773789999999998</v>
      </c>
      <c r="AV293" s="74">
        <f>DataInput!AV124</f>
        <v>134.96355</v>
      </c>
      <c r="AW293" s="74">
        <f>DataInput!AW124</f>
        <v>103.71688</v>
      </c>
      <c r="AX293" s="74">
        <f>DataInput!AX124</f>
        <v>45.365000000000002</v>
      </c>
      <c r="AY293" s="74">
        <f>DataInput!AY124</f>
        <v>83.716999999999999</v>
      </c>
      <c r="AZ293" s="74">
        <f>DataInput!AZ124</f>
        <v>117.077</v>
      </c>
      <c r="BA293" s="74">
        <f>DataInput!BA124</f>
        <v>441.81900000000002</v>
      </c>
      <c r="BB293" s="74">
        <f>DataInput!BB124</f>
        <v>490.44200000000001</v>
      </c>
      <c r="BC293" s="151">
        <f>DataInput!BC134+DataInput!BC136</f>
        <v>987</v>
      </c>
      <c r="BD293" s="151">
        <f>DataInput!BD134+DataInput!BD136</f>
        <v>1000</v>
      </c>
      <c r="BE293" s="151">
        <f>DataInput!BE134+DataInput!BE136</f>
        <v>1977</v>
      </c>
      <c r="BF293" s="151">
        <f>DataInput!BF134+DataInput!BF136</f>
        <v>1496</v>
      </c>
      <c r="BG293" s="151">
        <f>DataInput!BG134+DataInput!BG136</f>
        <v>1806</v>
      </c>
      <c r="BH293" s="154">
        <f ca="1">(BG293-BG177)*(1+SIM!P45/100)*(1+(BG320+BH320)/200)*(1+BH303/100)+BH177+DataInput!BH819</f>
        <v>2321.2989344238954</v>
      </c>
      <c r="BI293" s="154">
        <f ca="1">(BH293-BH177)*(1+SIM!Q45/100)*(1+(BH320+BI320)/200)*(1+BI303/100)+BI177+DataInput!BI819</f>
        <v>2422.6503010563247</v>
      </c>
      <c r="BJ293" s="154">
        <f ca="1">(BI293-BI177)*(1+SIM!R45/100)*(1+(BI320+BJ320)/200)*(1+BJ303/100)+BJ177+DataInput!BJ819</f>
        <v>2704.5832595608395</v>
      </c>
      <c r="BK293" s="154">
        <f ca="1">(BJ293-BJ177)*(1+SIM!S45/100)*(1+(BJ320+BK320)/200)*(1+BK303/100)+BK177+DataInput!BK819+finsim!BJ256</f>
        <v>3666.4593618362187</v>
      </c>
      <c r="BL293" s="154">
        <f ca="1">(BK293-BK177)*(1+SIM!T45/100)*(1+(BK320+BL320)/200)*(1+BL303/100)+BL177+DataInput!BL819+finsim!BK256</f>
        <v>4825.7020589157928</v>
      </c>
      <c r="BM293" s="154">
        <f ca="1">(BL293-BL177)*(1+SIM!U45/100)*(1+(BL320+BM320)/200)*(1+BM303/100)+BM177+DataInput!BM819+finsim!BL256</f>
        <v>4367.77574250825</v>
      </c>
      <c r="BN293" s="154">
        <f ca="1">(BM293-BM177)*(1+SIM!V45/100)*(1+(BM320+BN320)/200)*(1+BN303/100)+BN177+DataInput!BN819+finsim!BM256</f>
        <v>5070.8612328339714</v>
      </c>
      <c r="BO293" s="154">
        <f ca="1">(BN293-BN177)*(1+SIM!W45/100)*(1+(BN320+BO320)/200)*(1+BO303/100)+BO177+DataInput!BO819+finsim!BN256</f>
        <v>6008.7851289831506</v>
      </c>
      <c r="BP293" s="154">
        <f ca="1">(BO293-BO177)*(1+SIM!X45/100)*(1+(BO320+BP320)/200)*(1+BP303/100)+BP177+DataInput!BP819+finsim!BO256</f>
        <v>7737.124055684696</v>
      </c>
      <c r="BQ293" s="154">
        <f ca="1">(BP293-BP177)*(1+SIM!Y45/100)*(1+(BP320+BQ320)/200)*(1+BQ303/100)+BQ177+DataInput!BQ819+finsim!BP256</f>
        <v>8338.2063380418931</v>
      </c>
      <c r="BR293" s="154">
        <f ca="1">(BQ293-BQ177)*(1+SIM!Z45/100)*(1+(BQ320+BR320)/200)*(1+BR303/100)+BR177+DataInput!BR819+finsim!BQ256</f>
        <v>8626.4576771822904</v>
      </c>
      <c r="BS293" s="154">
        <f ca="1">(BR293-BR177)*(1+SIM!AA45/100)*(1+(BR320+BS320)/200)*(1+BS303/100)+BS177+DataInput!BS819+finsim!BR256</f>
        <v>9049.9674310523351</v>
      </c>
      <c r="BT293" s="154">
        <f ca="1">(BS293-BS177)*(1+SIM!AB45/100)*(1+(BS320+BT320)/200)*(1+BT303/100)+BT177+DataInput!BT819+finsim!BS256</f>
        <v>9464.175848708448</v>
      </c>
      <c r="BU293" s="154">
        <f ca="1">(BT293-BT177)*(1+SIM!AC45/100)*(1+(BT320+BU320)/200)*(1+BU303/100)+BU177+DataInput!BU819+finsim!BT256</f>
        <v>10082.831402028298</v>
      </c>
      <c r="BV293" s="154">
        <f ca="1">(BU293-BU177)*(1+SIM!AD45/100)*(1+(BU320+BV320)/200)*(1+BV303/100)+BV177+DataInput!BV819+finsim!BU256</f>
        <v>10641.052296861149</v>
      </c>
      <c r="BW293" s="154">
        <f ca="1">(BV293-BV177)*(1+SIM!AE45/100)*(1+(BV320+BW320)/200)*(1+BW303/100)+BW177+DataInput!BW819+finsim!BV256</f>
        <v>11236.67726216717</v>
      </c>
      <c r="BX293" s="154">
        <f ca="1">(BW293-BW177)*(1+SIM!AF45/100)*(1+(BW320+BX320)/200)*(1+BX303/100)+BX177+DataInput!BX819+finsim!BW256</f>
        <v>11866.700644900786</v>
      </c>
      <c r="BY293" s="154">
        <f ca="1">(BX293-BX177)*(1+SIM!AG45/100)*(1+(BX320+BY320)/200)*(1+BY303/100)+BY177+DataInput!BY819+finsim!BX256</f>
        <v>12535.166505215138</v>
      </c>
      <c r="BZ293" s="154">
        <f ca="1">(BY293-BY177)*(1+SIM!AH45/100)*(1+(BY320+BZ320)/200)*(1+BZ303/100)+BZ177+DataInput!BZ819+finsim!BY256</f>
        <v>13255.361422941396</v>
      </c>
      <c r="CA293" s="154">
        <f ca="1">(BZ293-BZ177)*(1+SIM!AI45/100)*(1+(BZ320+CA320)/200)*(1+CA303/100)+CA177+DataInput!CA819+finsim!BZ256</f>
        <v>14039.82816026203</v>
      </c>
      <c r="CB293" s="154">
        <f ca="1">(CA293-CA177)*(1+SIM!AJ45/100)*(1+(CA320+CB320)/200)*(1+CB303/100)+CB177+DataInput!CB819+finsim!CA256</f>
        <v>14884.716481001858</v>
      </c>
      <c r="CC293" s="154">
        <f ca="1">(CB293-CB177)*(1+SIM!AK45/100)*(1+(CB320+CC320)/200)*(1+CC303/100)+CC177+DataInput!CC819+finsim!CB256</f>
        <v>15788.636003454256</v>
      </c>
      <c r="CD293" s="154">
        <f ca="1">(CC293-CC177)*(1+SIM!AL45/100)*(1+(CC320+CD320)/200)*(1+CD303/100)+CD177+DataInput!CD819+finsim!CC256</f>
        <v>16758.268619247807</v>
      </c>
      <c r="CE293" s="154"/>
      <c r="CF293" s="438"/>
      <c r="CG293" s="235">
        <f t="shared" ca="1" si="870"/>
        <v>-642.12076210529995</v>
      </c>
      <c r="CH293" s="235">
        <f t="shared" ca="1" si="871"/>
        <v>16.873674742518233</v>
      </c>
      <c r="CI293" s="235" t="e">
        <f ca="1">BM293-#REF!</f>
        <v>#REF!</v>
      </c>
      <c r="CJ293" s="235">
        <f t="shared" ca="1" si="817"/>
        <v>0</v>
      </c>
      <c r="CK293" s="235">
        <f t="shared" ca="1" si="818"/>
        <v>0</v>
      </c>
      <c r="CL293" s="235">
        <f t="shared" ca="1" si="819"/>
        <v>0</v>
      </c>
      <c r="CM293" s="235">
        <f t="shared" ca="1" si="820"/>
        <v>0</v>
      </c>
      <c r="CN293" s="235">
        <f t="shared" ca="1" si="821"/>
        <v>0</v>
      </c>
      <c r="CO293" s="235">
        <f t="shared" ca="1" si="822"/>
        <v>0</v>
      </c>
      <c r="CP293" s="235">
        <f t="shared" ca="1" si="823"/>
        <v>0</v>
      </c>
      <c r="CQ293" s="235">
        <f t="shared" ca="1" si="824"/>
        <v>0</v>
      </c>
      <c r="CR293" s="235">
        <f t="shared" ca="1" si="825"/>
        <v>-2.0008883439004421E-11</v>
      </c>
      <c r="CS293" s="235">
        <f t="shared" ca="1" si="826"/>
        <v>-2.9103830456733704E-11</v>
      </c>
      <c r="CT293" s="235">
        <f t="shared" ca="1" si="827"/>
        <v>-4.7293724492192268E-11</v>
      </c>
      <c r="CU293" s="235">
        <f t="shared" ca="1" si="828"/>
        <v>-6.730260793119669E-11</v>
      </c>
      <c r="CV293" s="235">
        <f t="shared" ca="1" si="829"/>
        <v>-9.6406438387930393E-11</v>
      </c>
      <c r="CW293" s="235">
        <f t="shared" ca="1" si="830"/>
        <v>-1.0732037480920553E-10</v>
      </c>
      <c r="CX293" s="235">
        <f t="shared" ca="1" si="831"/>
        <v>2.0736479200422764E-10</v>
      </c>
      <c r="CY293" s="235">
        <f t="shared" ca="1" si="832"/>
        <v>3.6980054574087262E-9</v>
      </c>
      <c r="CZ293" s="235">
        <f t="shared" ca="1" si="833"/>
        <v>3.170862328261137E-8</v>
      </c>
      <c r="DA293" s="38"/>
      <c r="DB293" s="236">
        <v>1495</v>
      </c>
      <c r="DC293" s="236">
        <v>1496</v>
      </c>
      <c r="DD293" s="236">
        <v>1806</v>
      </c>
      <c r="DE293" s="236">
        <v>2367.4614631548925</v>
      </c>
      <c r="DF293" s="401">
        <v>2413.8446647249584</v>
      </c>
      <c r="DG293" s="236">
        <v>4308.5801239415187</v>
      </c>
      <c r="DH293" s="492">
        <v>4808.8283841732746</v>
      </c>
      <c r="DI293" s="236">
        <v>5070.8612328339732</v>
      </c>
      <c r="DJ293" s="236">
        <v>6008.7851289831533</v>
      </c>
      <c r="DK293" s="236">
        <v>7737.1240556846988</v>
      </c>
      <c r="DL293" s="236">
        <v>8338.2063380418967</v>
      </c>
      <c r="DM293" s="236">
        <v>8626.4576771822958</v>
      </c>
      <c r="DN293" s="236">
        <v>9049.9674310523424</v>
      </c>
      <c r="DO293" s="236">
        <v>9464.1758487084553</v>
      </c>
      <c r="DP293" s="236">
        <v>10082.831402028309</v>
      </c>
      <c r="DQ293" s="401">
        <v>10641.052296861169</v>
      </c>
      <c r="DR293" s="401">
        <v>11236.677262167199</v>
      </c>
      <c r="DS293" s="401">
        <v>11866.700644900833</v>
      </c>
      <c r="DT293" s="401">
        <v>12535.166505215206</v>
      </c>
      <c r="DU293" s="401">
        <v>13255.361422941492</v>
      </c>
      <c r="DV293" s="401">
        <v>14039.828160262137</v>
      </c>
      <c r="DW293" s="401">
        <v>14884.716481001651</v>
      </c>
      <c r="DX293" s="401">
        <v>15788.636003450558</v>
      </c>
      <c r="DY293" s="401">
        <v>16758.268619216098</v>
      </c>
      <c r="DZ293" s="401"/>
      <c r="EA293" s="989"/>
    </row>
    <row r="294" spans="1:131" s="76" customFormat="1">
      <c r="A294" s="76" t="s">
        <v>3643</v>
      </c>
      <c r="B294" s="73" t="s">
        <v>4625</v>
      </c>
      <c r="C294" s="51" t="s">
        <v>1435</v>
      </c>
      <c r="D294" s="207"/>
      <c r="E294" s="207"/>
      <c r="F294" s="295">
        <f>mamiabc!F16</f>
        <v>4.1500000000000002E-2</v>
      </c>
      <c r="G294" s="295">
        <f>mamiabc!G16</f>
        <v>4.3400000000000001E-2</v>
      </c>
      <c r="H294" s="295">
        <f>mamiabc!H16</f>
        <v>4.6439998626708986E-2</v>
      </c>
      <c r="I294" s="295">
        <f>mamiabc!I16</f>
        <v>5.241699981689453E-2</v>
      </c>
      <c r="J294" s="295">
        <f>mamiabc!J16</f>
        <v>5.6544998168945315E-2</v>
      </c>
      <c r="K294" s="295">
        <f>mamiabc!K16</f>
        <v>6.2349998474121093E-2</v>
      </c>
      <c r="L294" s="295">
        <f>mamiabc!L16</f>
        <v>6.665000152587891E-2</v>
      </c>
      <c r="M294" s="295">
        <f>mamiabc!M16</f>
        <v>6.7080001831054684E-2</v>
      </c>
      <c r="N294" s="295">
        <f>mamiabc!N16</f>
        <v>7.1165000915527341E-2</v>
      </c>
      <c r="O294" s="295">
        <f>mamiabc!O16</f>
        <v>7.6110000610351558E-2</v>
      </c>
      <c r="P294" s="295">
        <f>mamiabc!P16</f>
        <v>8.243099975585938E-2</v>
      </c>
      <c r="Q294" s="295">
        <f>mamiabc!Q16</f>
        <v>8.608599853515625E-2</v>
      </c>
      <c r="R294" s="295">
        <f>mamiabc!R16</f>
        <v>9.8396003723144526E-2</v>
      </c>
      <c r="S294" s="295">
        <f>mamiabc!S16</f>
        <v>0.10769999694824219</v>
      </c>
      <c r="T294" s="295">
        <f>mamiabc!T16</f>
        <v>0.12057599639892579</v>
      </c>
      <c r="U294" s="295">
        <f>mamiabc!U16</f>
        <v>0.13096800231933595</v>
      </c>
      <c r="V294" s="295">
        <f>mamiabc!V16</f>
        <v>0.1467790069580078</v>
      </c>
      <c r="W294" s="295">
        <f>mamiabc!W16</f>
        <v>0.15624000549316405</v>
      </c>
      <c r="X294" s="295">
        <f>mamiabc!X16</f>
        <v>0.17239999389648439</v>
      </c>
      <c r="Y294" s="295">
        <f>mamiabc!Y16</f>
        <v>0.192</v>
      </c>
      <c r="Z294" s="295">
        <f>mamiabc!Z16</f>
        <v>0.2175</v>
      </c>
      <c r="AA294" s="295">
        <f>mamiabc!AA16</f>
        <v>0.27389999389648439</v>
      </c>
      <c r="AB294" s="295">
        <f>mamiabc!AB16</f>
        <v>0.32139999389648438</v>
      </c>
      <c r="AC294" s="295">
        <f>mamiabc!AC16</f>
        <v>0.4126000061035156</v>
      </c>
      <c r="AD294" s="295">
        <f>mamiabc!AD16</f>
        <v>0.49049999999999999</v>
      </c>
      <c r="AE294" s="295">
        <f>mamiabc!AE16</f>
        <v>0.50420001220703126</v>
      </c>
      <c r="AF294" s="295">
        <f>mamiabc!AF16</f>
        <v>0.60074401855468751</v>
      </c>
      <c r="AG294" s="295">
        <f>mamiabc!AG16</f>
        <v>0.6944051513671875</v>
      </c>
      <c r="AH294" s="295">
        <f>mamiabc!AH16</f>
        <v>0.77085192871093755</v>
      </c>
      <c r="AI294" s="295">
        <f>mamiabc!AI16</f>
        <v>0.81893273925781251</v>
      </c>
      <c r="AJ294" s="295">
        <f>mamiabc!AJ16</f>
        <v>0.84596643066406252</v>
      </c>
      <c r="AK294" s="295">
        <f>mamiabc!AK16</f>
        <v>0.8725950927734375</v>
      </c>
      <c r="AL294" s="295">
        <f>mamiabc!AL16</f>
        <v>0.80781958007812504</v>
      </c>
      <c r="AM294" s="295">
        <f>mamiabc!AM16</f>
        <v>0.71</v>
      </c>
      <c r="AN294" s="295">
        <f>mamiabc!AN16</f>
        <v>0.747</v>
      </c>
      <c r="AO294" s="295">
        <f>mamiabc!AO16</f>
        <v>0.80829998779296874</v>
      </c>
      <c r="AP294" s="295">
        <f>mamiabc!AP16</f>
        <v>0.90961999999999998</v>
      </c>
      <c r="AQ294" s="295">
        <f>mamiabc!AQ16</f>
        <v>1.0680000000000001</v>
      </c>
      <c r="AR294" s="295">
        <f>mamiabc!AR16</f>
        <v>1.3939999999999999</v>
      </c>
      <c r="AS294" s="295">
        <f>mamiabc!AS16</f>
        <v>2.4820000000000002</v>
      </c>
      <c r="AT294" s="295">
        <f>mamiabc!AT16</f>
        <v>15.302</v>
      </c>
      <c r="AU294" s="295">
        <f>mamiabc!AU16</f>
        <v>65.677000000000007</v>
      </c>
      <c r="AV294" s="74">
        <f>DataInput!AV125</f>
        <v>100.84399999999999</v>
      </c>
      <c r="AW294" s="74">
        <f>DataInput!AW125</f>
        <v>133.77799999999999</v>
      </c>
      <c r="AX294" s="74">
        <f>DataInput!AX125</f>
        <v>159.37299999999999</v>
      </c>
      <c r="AY294" s="74">
        <f>DataInput!AY125</f>
        <v>286.048</v>
      </c>
      <c r="AZ294" s="74">
        <f>DataInput!AZ125</f>
        <v>389.363</v>
      </c>
      <c r="BA294" s="74">
        <f>DataInput!BA125</f>
        <v>634.14369999999997</v>
      </c>
      <c r="BB294" s="74">
        <f>DataInput!BB125</f>
        <v>762.428</v>
      </c>
      <c r="BC294" s="154">
        <f ca="1">BB294*(1+SIM!K55/100+0.85*(0.5*BC302+0.5*BB302)/100+0.01+0.5*(BC285-BB285)/100-0.9*(BC374-BB374)/100-0.9*(BC374-7)/100+0.33*(BC382/BB382-1))*BC370/BB370</f>
        <v>973.29757702600796</v>
      </c>
      <c r="BD294" s="154">
        <f ca="1">BC294*(1+SIM!L55/100+0.85*(0.5*BD302+0.5*BC302)/100+0.01+0.5*(BD285-BC285)/100-0.9*(BD374-BC374)/100-0.9*(BD374-7)/100+0.33*(BD382/BC382-1))*BD370/BC370</f>
        <v>1166.0488938265926</v>
      </c>
      <c r="BE294" s="154">
        <f ca="1">BD294*(1+SIM!M55/100+0.85*(0.5*BE302+0.5*BD302)/100+0.01+0.5*(BE285-BD285)/100-0.9*(BE374-BD374)/100-0.9*(BE374-7)/100+0.33*(BE382/BD382-1))*BE370/BD370</f>
        <v>1712.1445257776784</v>
      </c>
      <c r="BF294" s="154">
        <f ca="1">BE294*(1+SIM!N55/100+0.85*(0.5*BF302+0.5*BE302)/100+0.01+0.5*(BF285-BE285)/100-0.9*(BF374-BE374)/100-0.9*(BF374-7)/100+0.33*(BF382/BE382-1))*BF370/BE370</f>
        <v>1815.2211895903172</v>
      </c>
      <c r="BG294" s="154">
        <f ca="1">BF294*(1+SIM!O55/100+0.85*(0.5*BG302+0.5*BF302)/100+0.01+0.5*(BG285-BF285)/100-0.9*(BG374-BF374)/100-0.9*(BG374-7)/100+0.33*(BG382/BF382-1))*BG370/BF370</f>
        <v>2030.9672512372349</v>
      </c>
      <c r="BH294" s="154">
        <f ca="1">BG294*(1+SIM!P55/100+0.85*(0.5*BH302+0.5*BG302)/100+0.01+0.5*(BH285-BG285)/100-0.9*(BH374-BG374)/100-0.9*(BH374-7)/100+0.33*(BH382/BG382-1))*BH370/BG370</f>
        <v>2285.9921695883127</v>
      </c>
      <c r="BI294" s="154">
        <f ca="1">BH294*(1+SIM!Q55/100+0.85*(0.5*BI302+0.5*BH302)/100+0.01+0.5*(BI285-BH285)/100-0.9*(BI374-BH374)/100-0.9*(BI374-7)/100+0.33*(BI382/BH382-1))*BI370/BH370</f>
        <v>2436.6700482877777</v>
      </c>
      <c r="BJ294" s="154">
        <f ca="1">BI294*(1+SIM!R55/100+0.85*(0.5*BJ302+0.5*BI302)/100+0.01+0.5*(BJ285-BI285)/100-0.9*(BJ374-BI374)/100-0.9*(BJ374-7)/100+0.33*(BJ382/BI382-1))*BJ370/BI370</f>
        <v>2657.8166472682638</v>
      </c>
      <c r="BK294" s="154">
        <f ca="1">BJ294*(1+SIM!S55/100+0.85*(0.5*BK302+0.5*BJ302)/100+0.01+0.5*(BK285-BJ285)/100-0.9*(BK374-BJ374)/100-0.9*(BK374-7)/100+0.33*(BK382/BJ382-1))*BK370/BJ370+finsim!BJ257</f>
        <v>3051.7420654117645</v>
      </c>
      <c r="BL294" s="154">
        <f ca="1">BK294*(1+SIM!T55/100+0.85*(0.5*BL302+0.5*BK302)/100+0.01+0.5*(BL285-BK285)/100-0.9*(BL374-BK374)/100-0.9*(BL374-7)/100+0.33*(BL382/BK382-1))*BL370/BK370+finsim!BK257</f>
        <v>3500.7934994094117</v>
      </c>
      <c r="BM294" s="154">
        <f ca="1">BL294*(1+SIM!U55/100+0.85*(0.5*BM302+0.5*BL302)/100+0.01+0.5*(BM285-BL285)/100-0.9*(BM374-BL374)/100-0.9*(BM374-7)/100+0.33*(BM382/BL382-1))*BM370/BL370+finsim!BL257</f>
        <v>3665.0887072537735</v>
      </c>
      <c r="BN294" s="154">
        <f ca="1">BM294*(1+SIM!V55/100+0.85*(0.5*BN302+0.5*BM302)/100+0.01+0.5*(BN285-BM285)/100-0.9*(BN374-BM374)/100-0.9*(BN374-7)/100+0.33*(BN382/BM382-1))*BN370/BM370+finsim!BM257</f>
        <v>3757.2619800653392</v>
      </c>
      <c r="BO294" s="965">
        <f ca="1">BN294*(1+SIM!W55/100+0.85*(0.5*BO302+0.5*BN302)/100+0.5*(BO285-BN285)/100-0.9*(BO374-BN374)/100-0.3*(BO374-7)/100+0.33*(BO382/BN382-1))*BO370/BN370+finsim!BN257+SIM!W79</f>
        <v>3770.6641727404808</v>
      </c>
      <c r="BP294" s="1116">
        <f ca="1">BO294*(1+SIM!X55/100+(0.5*BP302+0.5*BO302)/100+0.5*(BP285-BO285)/100-0.9*(BP374-BO374)/100-0.3*(BP374-9)/100+0.33*(BP382/BO382-1))*BP370/BO370+finsim!BO257+SIM!X79</f>
        <v>4258.0769016256809</v>
      </c>
      <c r="BQ294" s="1116">
        <f ca="1">BP294*(1+SIM!Y55/100+(0.5*BQ302+0.5*BP302)/100+0.5*(BQ285-BP285)/100-0.9*(BQ374-BP374)/100-0.3*(BQ374-9)/100+0.33*(BQ382/BP382-1))*BQ370/BP370+finsim!BP257+SIM!Y79</f>
        <v>5400.6697525365944</v>
      </c>
      <c r="BR294" s="1116">
        <f ca="1">BQ294*(1+SIM!Z55/100+(0.5*BR302+0.5*BQ302)/100+0.5*(BR285-BQ285)/100-0.9*(BR374-BQ374)/100-0.3*(BR374-9)/100+0.33*(BR382/BQ382-1))*BR370/BQ370+finsim!BQ257+SIM!Z79</f>
        <v>6294.2302235009092</v>
      </c>
      <c r="BS294" s="1116">
        <f ca="1">BR294*(1+SIM!AA55/100+(0.5*BS302+0.5*BR302)/100+0.5*(BS285-BR285)/100-0.9*(BS374-BR374)/100-0.3*(BS374-9)/100+0.33*(BS382/BR382-1))*BS370/BR370+finsim!BR257+SIM!AA79</f>
        <v>6646.4511261971638</v>
      </c>
      <c r="BT294" s="1116">
        <f ca="1">BS294*(1+SIM!AB55/100+(0.5*BT302+0.5*BS302)/100+0.5*(BT285-BS285)/100-0.9*(BT374-BS374)/100-0.3*(BT374-9)/100+0.33*(BT382/BS382-1))*BT370/BS370+finsim!BS257+SIM!AB79</f>
        <v>6788.1746868872679</v>
      </c>
      <c r="BU294" s="1116">
        <f ca="1">BT294*(1+SIM!AC55/100+(0.5*BU302+0.5*BT302)/100+0.5*(BU285-BT285)/100-0.9*(BU374-BT374)/100-0.3*(BU374-9)/100+0.33*(BU382/BT382-1))*BU370/BT370+finsim!BT257+SIM!AC79</f>
        <v>6981.2357178902575</v>
      </c>
      <c r="BV294" s="1116">
        <f ca="1">BU294*(1+SIM!AD55/100+(0.5*BV302+0.5*BU302)/100+0.5*(BV285-BU285)/100-0.9*(BV374-BU374)/100-0.3*(BV374-9)/100+0.33*(BV382/BU382-1))*BV370/BU370+finsim!BU257+SIM!AD79</f>
        <v>7226.6606134831627</v>
      </c>
      <c r="BW294" s="1116">
        <f ca="1">BV294*(1+SIM!AE55/100+(0.5*BW302+0.5*BV302)/100+0.5*(BW285-BV285)/100-0.9*(BW374-BV374)/100-0.3*(BW374-9)/100+0.33*(BW382/BV382-1))*BW370/BV370+finsim!BV257+SIM!AE79</f>
        <v>7485.0117447134226</v>
      </c>
      <c r="BX294" s="1116">
        <f ca="1">BW294*(1+SIM!AF55/100+(0.5*BX302+0.5*BW302)/100+0.5*(BX285-BW285)/100-0.9*(BX374-BW374)/100-0.3*(BX374-9)/100+0.33*(BX382/BW382-1))*BX370/BW370+finsim!BW257+SIM!AF79</f>
        <v>7748.4878925365174</v>
      </c>
      <c r="BY294" s="1116">
        <f ca="1">BX294*(1+SIM!AG55/100+(0.5*BY302+0.5*BX302)/100+0.5*(BY285-BX285)/100-0.9*(BY374-BX374)/100-0.3*(BY374-9)/100+0.33*(BY382/BX382-1))*BY370/BX370+finsim!BX257+SIM!AG79</f>
        <v>8017.528354194048</v>
      </c>
      <c r="BZ294" s="1116">
        <f ca="1">BY294*(1+SIM!AH55/100+(0.5*BZ302+0.5*BY302)/100+0.5*(BZ285-BY285)/100-0.9*(BZ374-BY374)/100-0.3*(BZ374-9)/100+0.33*(BZ382/BY382-1))*BZ370/BY370+finsim!BY257+SIM!AH79</f>
        <v>8301.5081793535846</v>
      </c>
      <c r="CA294" s="1116">
        <f ca="1">BZ294*(1+SIM!AI55/100+(0.5*CA302+0.5*BZ302)/100+0.5*(CA285-BZ285)/100-0.9*(CA374-BZ374)/100-0.3*(CA374-9)/100+0.33*(CA382/BZ382-1))*CA370/BZ370+finsim!BZ257+SIM!AI79</f>
        <v>8608.3611207568192</v>
      </c>
      <c r="CB294" s="1116">
        <f ca="1">CA294*(1+SIM!AJ55/100+(0.5*CB302+0.5*CA302)/100+0.5*(CB285-CA285)/100-0.9*(CB374-CA374)/100-0.3*(CB374-9)/100+0.33*(CB382/CA382-1))*CB370/CA370+finsim!CA257+SIM!AJ79</f>
        <v>8932.3997857645572</v>
      </c>
      <c r="CC294" s="1116">
        <f ca="1">CB294*(1+SIM!AK55/100+(0.5*CC302+0.5*CB302)/100+0.5*(CC285-CB285)/100-0.9*(CC374-CB374)/100-0.3*(CC374-9)/100+0.33*(CC382/CB382-1))*CC370/CB370+finsim!CB257+SIM!AK79</f>
        <v>9270.0234149074477</v>
      </c>
      <c r="CD294" s="1116">
        <f ca="1">CC294*(1+SIM!AL55/100+(0.5*CD302+0.5*CC302)/100+0.5*(CD285-CC285)/100-0.9*(CD374-CC374)/100-0.3*(CD374-9)/100+0.33*(CD382/CC382-1))*CD370/CC370+finsim!CC257+SIM!AL79</f>
        <v>9623.2801439416326</v>
      </c>
      <c r="CE294" s="154"/>
      <c r="CF294" s="438"/>
      <c r="CG294" s="235">
        <f t="shared" ca="1" si="870"/>
        <v>918.29562730340376</v>
      </c>
      <c r="CH294" s="235">
        <f t="shared" ca="1" si="871"/>
        <v>3.0454224530217289</v>
      </c>
      <c r="CI294" s="235" t="e">
        <f ca="1">BM294-#REF!</f>
        <v>#REF!</v>
      </c>
      <c r="CJ294" s="235">
        <f t="shared" ca="1" si="817"/>
        <v>0</v>
      </c>
      <c r="CK294" s="235">
        <f t="shared" ca="1" si="818"/>
        <v>0</v>
      </c>
      <c r="CL294" s="235">
        <f t="shared" ca="1" si="819"/>
        <v>0</v>
      </c>
      <c r="CM294" s="235">
        <f t="shared" ca="1" si="820"/>
        <v>0</v>
      </c>
      <c r="CN294" s="235">
        <f t="shared" ca="1" si="821"/>
        <v>0</v>
      </c>
      <c r="CO294" s="235">
        <f t="shared" ca="1" si="822"/>
        <v>0</v>
      </c>
      <c r="CP294" s="235">
        <f t="shared" ca="1" si="823"/>
        <v>0</v>
      </c>
      <c r="CQ294" s="235">
        <f t="shared" ca="1" si="824"/>
        <v>-9.0949470177292824E-12</v>
      </c>
      <c r="CR294" s="235">
        <f t="shared" ca="1" si="825"/>
        <v>-1.0913936421275139E-11</v>
      </c>
      <c r="CS294" s="235">
        <f t="shared" ca="1" si="826"/>
        <v>-2.2737367544323206E-11</v>
      </c>
      <c r="CT294" s="235">
        <f t="shared" ca="1" si="827"/>
        <v>-4.0927261579781771E-11</v>
      </c>
      <c r="CU294" s="235">
        <f t="shared" ca="1" si="828"/>
        <v>-5.9117155615240335E-11</v>
      </c>
      <c r="CV294" s="235">
        <f t="shared" ca="1" si="829"/>
        <v>-8.1854523159563541E-11</v>
      </c>
      <c r="CW294" s="235">
        <f t="shared" ca="1" si="830"/>
        <v>-9.4587448984384537E-11</v>
      </c>
      <c r="CX294" s="235">
        <f t="shared" ca="1" si="831"/>
        <v>9.276845958083868E-11</v>
      </c>
      <c r="CY294" s="235">
        <f t="shared" ca="1" si="832"/>
        <v>2.2955646272748709E-9</v>
      </c>
      <c r="CZ294" s="235">
        <f t="shared" ca="1" si="833"/>
        <v>1.9892468117177486E-8</v>
      </c>
      <c r="DA294" s="38"/>
      <c r="DB294" s="236">
        <v>1478.71269775364</v>
      </c>
      <c r="DC294" s="236">
        <v>1479.7126977536388</v>
      </c>
      <c r="DD294" s="236">
        <v>1610.2926324178459</v>
      </c>
      <c r="DE294" s="236">
        <v>1800.4156329366053</v>
      </c>
      <c r="DF294" s="401">
        <v>2026.9749072713189</v>
      </c>
      <c r="DG294" s="236">
        <v>2133.4464381083608</v>
      </c>
      <c r="DH294" s="492">
        <v>3497.7480769563899</v>
      </c>
      <c r="DI294" s="236">
        <v>3757.2619800653392</v>
      </c>
      <c r="DJ294" s="236">
        <v>3770.6641727404808</v>
      </c>
      <c r="DK294" s="236">
        <v>4258.0769016256818</v>
      </c>
      <c r="DL294" s="236">
        <v>5400.6697525365971</v>
      </c>
      <c r="DM294" s="236">
        <v>6294.2302235009138</v>
      </c>
      <c r="DN294" s="236">
        <v>6646.4511261971675</v>
      </c>
      <c r="DO294" s="236">
        <v>6788.1746868872733</v>
      </c>
      <c r="DP294" s="236">
        <v>6981.2357178902666</v>
      </c>
      <c r="DQ294" s="401">
        <v>7226.6606134831736</v>
      </c>
      <c r="DR294" s="401">
        <v>7485.0117447134453</v>
      </c>
      <c r="DS294" s="401">
        <v>7748.4878925365583</v>
      </c>
      <c r="DT294" s="401">
        <v>8017.5283541941071</v>
      </c>
      <c r="DU294" s="401">
        <v>8301.5081793536665</v>
      </c>
      <c r="DV294" s="401">
        <v>8608.3611207569138</v>
      </c>
      <c r="DW294" s="401">
        <v>8932.3997857644645</v>
      </c>
      <c r="DX294" s="401">
        <v>9270.0234149051521</v>
      </c>
      <c r="DY294" s="401">
        <v>9623.2801439217401</v>
      </c>
      <c r="DZ294" s="401"/>
      <c r="EA294" s="989"/>
    </row>
    <row r="295" spans="1:131" s="76" customFormat="1">
      <c r="A295" s="76" t="s">
        <v>4438</v>
      </c>
      <c r="B295" s="73" t="s">
        <v>4626</v>
      </c>
      <c r="C295" s="51" t="s">
        <v>2681</v>
      </c>
      <c r="D295" s="207"/>
      <c r="E295" s="207"/>
      <c r="F295" s="295">
        <f>mamiabc!F17</f>
        <v>8.0999999999999996E-3</v>
      </c>
      <c r="G295" s="295">
        <f>mamiabc!G17</f>
        <v>9.4000000000000004E-3</v>
      </c>
      <c r="H295" s="295">
        <f>mamiabc!H17</f>
        <v>1.0800000190734863E-2</v>
      </c>
      <c r="I295" s="295">
        <f>mamiabc!I17</f>
        <v>1.2500000000000001E-2</v>
      </c>
      <c r="J295" s="295">
        <f>mamiabc!J17</f>
        <v>1.2899999618530273E-2</v>
      </c>
      <c r="K295" s="295">
        <f>mamiabc!K17</f>
        <v>1.4E-2</v>
      </c>
      <c r="L295" s="295">
        <f>mamiabc!L17</f>
        <v>1.4999999999999999E-2</v>
      </c>
      <c r="M295" s="295">
        <f>mamiabc!M17</f>
        <v>0.02</v>
      </c>
      <c r="N295" s="295">
        <f>mamiabc!N17</f>
        <v>2.0500000000000001E-2</v>
      </c>
      <c r="O295" s="295">
        <f>mamiabc!O17</f>
        <v>2.1700000762939452E-2</v>
      </c>
      <c r="P295" s="295">
        <f>mamiabc!P17</f>
        <v>2.4100000381469727E-2</v>
      </c>
      <c r="Q295" s="295">
        <f>mamiabc!Q17</f>
        <v>2.7899999618530274E-2</v>
      </c>
      <c r="R295" s="295">
        <f>mamiabc!R17</f>
        <v>3.4236259460449218E-2</v>
      </c>
      <c r="S295" s="295">
        <f>mamiabc!S17</f>
        <v>4.0149082183837892E-2</v>
      </c>
      <c r="T295" s="295">
        <f>mamiabc!T17</f>
        <v>4.3782920837402345E-2</v>
      </c>
      <c r="U295" s="295">
        <f>mamiabc!U17</f>
        <v>4.7741664886474612E-2</v>
      </c>
      <c r="V295" s="295">
        <f>mamiabc!V17</f>
        <v>5.110216522216797E-2</v>
      </c>
      <c r="W295" s="295">
        <f>mamiabc!W17</f>
        <v>5.5593360900878908E-2</v>
      </c>
      <c r="X295" s="295">
        <f>mamiabc!X17</f>
        <v>5.9400001525878904E-2</v>
      </c>
      <c r="Y295" s="295">
        <f>mamiabc!Y17</f>
        <v>6.9000000000000006E-2</v>
      </c>
      <c r="Z295" s="295">
        <f>mamiabc!Z17</f>
        <v>8.5000000000000006E-2</v>
      </c>
      <c r="AA295" s="295">
        <f>mamiabc!AA17</f>
        <v>9.0959999084472651E-2</v>
      </c>
      <c r="AB295" s="295">
        <f>mamiabc!AB17</f>
        <v>0.11237000274658203</v>
      </c>
      <c r="AC295" s="295">
        <f>mamiabc!AC17</f>
        <v>0.13410000610351563</v>
      </c>
      <c r="AD295" s="295">
        <f>mamiabc!AD17</f>
        <v>0.14561999511718751</v>
      </c>
      <c r="AE295" s="295">
        <f>mamiabc!AE17</f>
        <v>0.16836000061035156</v>
      </c>
      <c r="AF295" s="295">
        <f>mamiabc!AF17</f>
        <v>0.17158000183105468</v>
      </c>
      <c r="AG295" s="295">
        <f>mamiabc!AG17</f>
        <v>0.18639999389648437</v>
      </c>
      <c r="AH295" s="295">
        <f>mamiabc!AH17</f>
        <v>0.18233000183105469</v>
      </c>
      <c r="AI295" s="295">
        <f>mamiabc!AI17</f>
        <v>0.18247000122070312</v>
      </c>
      <c r="AJ295" s="295">
        <f>mamiabc!AJ17</f>
        <v>0.17297000122070313</v>
      </c>
      <c r="AK295" s="295">
        <f>mamiabc!AK17</f>
        <v>0.1745500030517578</v>
      </c>
      <c r="AL295" s="295">
        <f>mamiabc!AL17</f>
        <v>0.18074999999999999</v>
      </c>
      <c r="AM295" s="295">
        <f>mamiabc!AM17</f>
        <v>0.188</v>
      </c>
      <c r="AN295" s="295">
        <f>mamiabc!AN17</f>
        <v>0.186</v>
      </c>
      <c r="AO295" s="295">
        <f>mamiabc!AO17</f>
        <v>0.28720001220703123</v>
      </c>
      <c r="AP295" s="295">
        <f>mamiabc!AP17</f>
        <v>0.34073000000000003</v>
      </c>
      <c r="AQ295" s="295">
        <f>mamiabc!AQ17</f>
        <v>0.46747000000000005</v>
      </c>
      <c r="AR295" s="295">
        <f>mamiabc!AR17</f>
        <v>0.63603999999999994</v>
      </c>
      <c r="AS295" s="295">
        <f>mamiabc!AS17</f>
        <v>1.4209499999999999</v>
      </c>
      <c r="AT295" s="295">
        <f>mamiabc!AT17</f>
        <v>6.97905</v>
      </c>
      <c r="AU295" s="295">
        <f>mamiabc!AU17</f>
        <v>22.00149</v>
      </c>
      <c r="AV295" s="74">
        <f>DataInput!AV126</f>
        <v>76.643000000000001</v>
      </c>
      <c r="AW295" s="74">
        <f>DataInput!AW126</f>
        <v>85.683999999999997</v>
      </c>
      <c r="AX295" s="74">
        <f>DataInput!AX126</f>
        <v>100.687</v>
      </c>
      <c r="AY295" s="74">
        <f>DataInput!AY126</f>
        <v>170.74199999999999</v>
      </c>
      <c r="AZ295" s="74">
        <f>DataInput!AZ126</f>
        <v>261.08999999999997</v>
      </c>
      <c r="BA295" s="154">
        <f>0.09*BA329</f>
        <v>92.746702887737669</v>
      </c>
      <c r="BB295" s="154">
        <f>0.09*BB329</f>
        <v>128.53927962784127</v>
      </c>
      <c r="BC295" s="154">
        <f t="shared" ref="BC295:BQ295" si="923">0.09*BC329</f>
        <v>205.80074446133554</v>
      </c>
      <c r="BD295" s="154">
        <f t="shared" si="923"/>
        <v>277.27867745981536</v>
      </c>
      <c r="BE295" s="154">
        <f t="shared" si="923"/>
        <v>430.25359648843192</v>
      </c>
      <c r="BF295" s="154">
        <f t="shared" si="923"/>
        <v>526.17077280447302</v>
      </c>
      <c r="BG295" s="154">
        <f t="shared" si="923"/>
        <v>641.35540325207046</v>
      </c>
      <c r="BH295" s="154">
        <f t="shared" ca="1" si="923"/>
        <v>792.55032105753469</v>
      </c>
      <c r="BI295" s="154">
        <f t="shared" ca="1" si="923"/>
        <v>939.25931925742589</v>
      </c>
      <c r="BJ295" s="154">
        <f t="shared" ca="1" si="923"/>
        <v>1098.1384738847332</v>
      </c>
      <c r="BK295" s="154">
        <f t="shared" ref="BK295:BP295" ca="1" si="924">0.09*BK329</f>
        <v>1329.2873538003669</v>
      </c>
      <c r="BL295" s="154">
        <f t="shared" ca="1" si="924"/>
        <v>1643.9646772607553</v>
      </c>
      <c r="BM295" s="154">
        <f t="shared" ca="1" si="924"/>
        <v>1889.1076731330302</v>
      </c>
      <c r="BN295" s="154">
        <f ca="1">0.09*BN329</f>
        <v>2175.4654935061153</v>
      </c>
      <c r="BO295" s="154">
        <f t="shared" ca="1" si="924"/>
        <v>2520.4642606990483</v>
      </c>
      <c r="BP295" s="154">
        <f t="shared" ca="1" si="924"/>
        <v>2989.9636422477565</v>
      </c>
      <c r="BQ295" s="154">
        <f t="shared" ca="1" si="923"/>
        <v>3471.3054848692286</v>
      </c>
      <c r="BR295" s="154">
        <f ca="1">0.09*BR329</f>
        <v>3935.2691821774047</v>
      </c>
      <c r="BS295" s="154">
        <f ca="1">0.09*BS329</f>
        <v>4395.5920245761481</v>
      </c>
      <c r="BT295" s="154">
        <f ca="1">0.09*BT329</f>
        <v>4851.7645687480544</v>
      </c>
      <c r="BU295" s="154">
        <f ca="1">0.09*BU329</f>
        <v>5322.560583743274</v>
      </c>
      <c r="BV295" s="154">
        <f ca="1">0.09*BV329</f>
        <v>5801.2248379238808</v>
      </c>
      <c r="BW295" s="154">
        <f t="shared" ref="BW295:BX295" ca="1" si="925">0.09*BW329</f>
        <v>6290.4155561057723</v>
      </c>
      <c r="BX295" s="154">
        <f t="shared" ca="1" si="925"/>
        <v>6792.2812140973174</v>
      </c>
      <c r="BY295" s="154">
        <f t="shared" ref="BY295:CD295" ca="1" si="926">0.09*BY329</f>
        <v>7309.1408902979128</v>
      </c>
      <c r="BZ295" s="154">
        <f t="shared" ca="1" si="926"/>
        <v>7844.300738235811</v>
      </c>
      <c r="CA295" s="154">
        <f t="shared" ca="1" si="926"/>
        <v>8401.8982062181494</v>
      </c>
      <c r="CB295" s="154">
        <f t="shared" ca="1" si="926"/>
        <v>8985.3518509486494</v>
      </c>
      <c r="CC295" s="154">
        <f t="shared" ca="1" si="926"/>
        <v>9597.6474246741018</v>
      </c>
      <c r="CD295" s="154">
        <f t="shared" ca="1" si="926"/>
        <v>10242.103332185659</v>
      </c>
      <c r="CE295" s="154"/>
      <c r="CF295" s="435"/>
      <c r="CG295" s="235">
        <f t="shared" ca="1" si="870"/>
        <v>-37.111680337318376</v>
      </c>
      <c r="CH295" s="235">
        <f t="shared" ca="1" si="871"/>
        <v>5.1826341353810221</v>
      </c>
      <c r="CI295" s="235" t="e">
        <f ca="1">BM295-#REF!</f>
        <v>#REF!</v>
      </c>
      <c r="CJ295" s="235">
        <f t="shared" ca="1" si="817"/>
        <v>0</v>
      </c>
      <c r="CK295" s="235">
        <f t="shared" ca="1" si="818"/>
        <v>0</v>
      </c>
      <c r="CL295" s="235">
        <f t="shared" ca="1" si="819"/>
        <v>0</v>
      </c>
      <c r="CM295" s="235">
        <f t="shared" ca="1" si="820"/>
        <v>0</v>
      </c>
      <c r="CN295" s="235">
        <f t="shared" ca="1" si="821"/>
        <v>0</v>
      </c>
      <c r="CO295" s="235">
        <f t="shared" ca="1" si="822"/>
        <v>0</v>
      </c>
      <c r="CP295" s="235">
        <f t="shared" ca="1" si="823"/>
        <v>0</v>
      </c>
      <c r="CQ295" s="235">
        <f t="shared" ca="1" si="824"/>
        <v>0</v>
      </c>
      <c r="CR295" s="235">
        <f t="shared" ca="1" si="825"/>
        <v>-7.2759576141834259E-12</v>
      </c>
      <c r="CS295" s="235">
        <f t="shared" ca="1" si="826"/>
        <v>-1.1823431123048067E-11</v>
      </c>
      <c r="CT295" s="235">
        <f t="shared" ca="1" si="827"/>
        <v>-1.6370904631912708E-11</v>
      </c>
      <c r="CU295" s="235">
        <f t="shared" ca="1" si="828"/>
        <v>-2.1827872842550278E-11</v>
      </c>
      <c r="CV295" s="235">
        <f t="shared" ca="1" si="829"/>
        <v>-3.0013325158506632E-11</v>
      </c>
      <c r="CW295" s="235">
        <f t="shared" ca="1" si="830"/>
        <v>-4.1836756281554699E-11</v>
      </c>
      <c r="CX295" s="235">
        <f t="shared" ca="1" si="831"/>
        <v>-8.0035533756017685E-11</v>
      </c>
      <c r="CY295" s="235">
        <f t="shared" ca="1" si="832"/>
        <v>-3.5288394428789616E-10</v>
      </c>
      <c r="CZ295" s="235">
        <f t="shared" ca="1" si="833"/>
        <v>-2.4610926629975438E-9</v>
      </c>
      <c r="DA295" s="38"/>
      <c r="DB295" s="236">
        <v>901.44888853596399</v>
      </c>
      <c r="DC295" s="236">
        <v>902.44888853596353</v>
      </c>
      <c r="DD295" s="236">
        <v>1054.4182954041089</v>
      </c>
      <c r="DE295" s="236">
        <v>1322.6681911297119</v>
      </c>
      <c r="DF295" s="401">
        <v>1406.1638469452794</v>
      </c>
      <c r="DG295" s="236">
        <v>1366.3990341376852</v>
      </c>
      <c r="DH295" s="492">
        <v>1638.7820431253742</v>
      </c>
      <c r="DI295" s="236">
        <v>2175.4654935061153</v>
      </c>
      <c r="DJ295" s="236">
        <v>2520.4642606990483</v>
      </c>
      <c r="DK295" s="236">
        <v>2989.9636422477565</v>
      </c>
      <c r="DL295" s="236">
        <v>3471.3054848692295</v>
      </c>
      <c r="DM295" s="236">
        <v>3935.269182177406</v>
      </c>
      <c r="DN295" s="236">
        <v>4395.5920245761499</v>
      </c>
      <c r="DO295" s="236">
        <v>4851.7645687480572</v>
      </c>
      <c r="DP295" s="236">
        <v>5322.5605837432795</v>
      </c>
      <c r="DQ295" s="401">
        <v>5801.2248379238881</v>
      </c>
      <c r="DR295" s="401">
        <v>6290.4155561057842</v>
      </c>
      <c r="DS295" s="401">
        <v>6792.2812140973338</v>
      </c>
      <c r="DT295" s="401">
        <v>7309.1408902979347</v>
      </c>
      <c r="DU295" s="401">
        <v>7844.300738235841</v>
      </c>
      <c r="DV295" s="401">
        <v>8401.8982062181913</v>
      </c>
      <c r="DW295" s="401">
        <v>8985.3518509487294</v>
      </c>
      <c r="DX295" s="401">
        <v>9597.6474246744547</v>
      </c>
      <c r="DY295" s="401">
        <v>10242.10333218812</v>
      </c>
      <c r="DZ295" s="401"/>
      <c r="EA295" s="989"/>
    </row>
    <row r="296" spans="1:131" s="76" customFormat="1">
      <c r="A296" s="76" t="s">
        <v>4439</v>
      </c>
      <c r="B296" s="87" t="s">
        <v>461</v>
      </c>
      <c r="C296" s="51"/>
      <c r="D296" s="207"/>
      <c r="E296" s="207"/>
      <c r="F296" s="80">
        <f t="shared" ref="F296:BG296" si="927">F292-F181+F182+F183+F184-F332-F256-F293-F298</f>
        <v>0</v>
      </c>
      <c r="G296" s="80">
        <f t="shared" si="927"/>
        <v>0</v>
      </c>
      <c r="H296" s="80">
        <f t="shared" si="927"/>
        <v>0</v>
      </c>
      <c r="I296" s="80">
        <f t="shared" si="927"/>
        <v>0</v>
      </c>
      <c r="J296" s="80">
        <f t="shared" si="927"/>
        <v>0</v>
      </c>
      <c r="K296" s="80">
        <f t="shared" si="927"/>
        <v>0</v>
      </c>
      <c r="L296" s="80">
        <f t="shared" si="927"/>
        <v>0</v>
      </c>
      <c r="M296" s="80">
        <f t="shared" si="927"/>
        <v>0</v>
      </c>
      <c r="N296" s="80">
        <f t="shared" si="927"/>
        <v>0</v>
      </c>
      <c r="O296" s="80">
        <f t="shared" si="927"/>
        <v>0</v>
      </c>
      <c r="P296" s="80">
        <f t="shared" si="927"/>
        <v>0</v>
      </c>
      <c r="Q296" s="80">
        <f t="shared" si="927"/>
        <v>0</v>
      </c>
      <c r="R296" s="80">
        <f t="shared" si="927"/>
        <v>0</v>
      </c>
      <c r="S296" s="80">
        <f t="shared" si="927"/>
        <v>0</v>
      </c>
      <c r="T296" s="80">
        <f t="shared" si="927"/>
        <v>0</v>
      </c>
      <c r="U296" s="80">
        <f t="shared" si="927"/>
        <v>0</v>
      </c>
      <c r="V296" s="80">
        <f t="shared" si="927"/>
        <v>0</v>
      </c>
      <c r="W296" s="80">
        <f t="shared" si="927"/>
        <v>0</v>
      </c>
      <c r="X296" s="80">
        <f t="shared" si="927"/>
        <v>0</v>
      </c>
      <c r="Y296" s="80">
        <f t="shared" si="927"/>
        <v>0</v>
      </c>
      <c r="Z296" s="80">
        <f t="shared" si="927"/>
        <v>0</v>
      </c>
      <c r="AA296" s="80">
        <f t="shared" si="927"/>
        <v>0</v>
      </c>
      <c r="AB296" s="80">
        <f t="shared" si="927"/>
        <v>0</v>
      </c>
      <c r="AC296" s="80">
        <f t="shared" si="927"/>
        <v>0</v>
      </c>
      <c r="AD296" s="80">
        <f t="shared" si="927"/>
        <v>0</v>
      </c>
      <c r="AE296" s="80">
        <f t="shared" si="927"/>
        <v>0</v>
      </c>
      <c r="AF296" s="80">
        <f t="shared" si="927"/>
        <v>0</v>
      </c>
      <c r="AG296" s="80">
        <f t="shared" si="927"/>
        <v>0</v>
      </c>
      <c r="AH296" s="80">
        <f t="shared" si="927"/>
        <v>0</v>
      </c>
      <c r="AI296" s="80">
        <f t="shared" si="927"/>
        <v>0</v>
      </c>
      <c r="AJ296" s="80">
        <f t="shared" si="927"/>
        <v>0</v>
      </c>
      <c r="AK296" s="80">
        <f t="shared" si="927"/>
        <v>0</v>
      </c>
      <c r="AL296" s="80">
        <f t="shared" si="927"/>
        <v>0</v>
      </c>
      <c r="AM296" s="80">
        <f t="shared" si="927"/>
        <v>0</v>
      </c>
      <c r="AN296" s="80">
        <f t="shared" si="927"/>
        <v>0</v>
      </c>
      <c r="AO296" s="80">
        <f t="shared" si="927"/>
        <v>0</v>
      </c>
      <c r="AP296" s="80">
        <f t="shared" si="927"/>
        <v>0</v>
      </c>
      <c r="AQ296" s="80">
        <f t="shared" si="927"/>
        <v>0</v>
      </c>
      <c r="AR296" s="80">
        <f t="shared" si="927"/>
        <v>0</v>
      </c>
      <c r="AS296" s="80">
        <f t="shared" si="927"/>
        <v>0</v>
      </c>
      <c r="AT296" s="80">
        <f t="shared" si="927"/>
        <v>0</v>
      </c>
      <c r="AU296" s="80">
        <f t="shared" si="927"/>
        <v>0</v>
      </c>
      <c r="AV296" s="80">
        <f t="shared" si="927"/>
        <v>0</v>
      </c>
      <c r="AW296" s="80">
        <f t="shared" si="927"/>
        <v>0</v>
      </c>
      <c r="AX296" s="80">
        <f t="shared" si="927"/>
        <v>0</v>
      </c>
      <c r="AY296" s="80">
        <f t="shared" si="927"/>
        <v>0</v>
      </c>
      <c r="AZ296" s="80">
        <f t="shared" si="927"/>
        <v>0</v>
      </c>
      <c r="BA296" s="80">
        <f t="shared" si="927"/>
        <v>0</v>
      </c>
      <c r="BB296" s="80">
        <f t="shared" si="927"/>
        <v>0</v>
      </c>
      <c r="BC296" s="80">
        <f t="shared" si="927"/>
        <v>0</v>
      </c>
      <c r="BD296" s="80">
        <f t="shared" si="927"/>
        <v>0</v>
      </c>
      <c r="BE296" s="80">
        <f t="shared" ca="1" si="927"/>
        <v>0</v>
      </c>
      <c r="BF296" s="80">
        <f t="shared" ca="1" si="927"/>
        <v>0</v>
      </c>
      <c r="BG296" s="80">
        <f t="shared" ca="1" si="927"/>
        <v>0</v>
      </c>
      <c r="BH296" s="80">
        <f ca="1">BH292-BH181+BH182+BH183+BH184-BH332-BH256-BH293-BH298</f>
        <v>0</v>
      </c>
      <c r="BI296" s="80">
        <f ca="1">BI292-BI181+BI182+BI183+BI184-BI332-BI256-BI293-BI298</f>
        <v>0</v>
      </c>
      <c r="BJ296" s="80">
        <f ca="1">BJ292-BJ181+BJ182+BJ183+BJ184-BJ332-BJ256-BJ293-BJ298</f>
        <v>0</v>
      </c>
      <c r="BK296" s="80">
        <f t="shared" ref="BK296:BP296" ca="1" si="928">BK292-BK181+BK182+BK183+BK184-BK332-BK256-BK293-BK298</f>
        <v>0</v>
      </c>
      <c r="BL296" s="80">
        <f t="shared" ca="1" si="928"/>
        <v>0</v>
      </c>
      <c r="BM296" s="80">
        <f t="shared" ca="1" si="928"/>
        <v>0</v>
      </c>
      <c r="BN296" s="80">
        <f ca="1">BN292-BN181+BN182+BN183+BN184-BN332-BN256-BN293-BN298</f>
        <v>0</v>
      </c>
      <c r="BO296" s="80">
        <f t="shared" ca="1" si="928"/>
        <v>0</v>
      </c>
      <c r="BP296" s="80">
        <f t="shared" ca="1" si="928"/>
        <v>0</v>
      </c>
      <c r="BQ296" s="80">
        <f t="shared" ref="BQ296:BV296" ca="1" si="929">BQ292-BQ181+BQ182+BQ183+BQ184-BQ332-BQ256-BQ293-BQ298</f>
        <v>0</v>
      </c>
      <c r="BR296" s="80">
        <f t="shared" ca="1" si="929"/>
        <v>0</v>
      </c>
      <c r="BS296" s="80">
        <f t="shared" ca="1" si="929"/>
        <v>0</v>
      </c>
      <c r="BT296" s="80">
        <f t="shared" ca="1" si="929"/>
        <v>0</v>
      </c>
      <c r="BU296" s="80">
        <f t="shared" ca="1" si="929"/>
        <v>0</v>
      </c>
      <c r="BV296" s="80">
        <f t="shared" ca="1" si="929"/>
        <v>0</v>
      </c>
      <c r="BW296" s="80">
        <f t="shared" ref="BW296:BX296" ca="1" si="930">BW292-BW181+BW182+BW183+BW184-BW332-BW256-BW293-BW298</f>
        <v>-5.0931703299283981E-11</v>
      </c>
      <c r="BX296" s="80">
        <f t="shared" ca="1" si="930"/>
        <v>-6.9121597334742546E-11</v>
      </c>
      <c r="BY296" s="80">
        <f t="shared" ref="BY296:CD296" ca="1" si="931">BY292-BY181+BY182+BY183+BY184-BY332-BY256-BY293-BY298</f>
        <v>-9.822542779147625E-11</v>
      </c>
      <c r="BZ296" s="80">
        <f t="shared" ca="1" si="931"/>
        <v>-1.5279510989785194E-10</v>
      </c>
      <c r="CA296" s="80">
        <f t="shared" ca="1" si="931"/>
        <v>-2.4374458007514477E-10</v>
      </c>
      <c r="CB296" s="80">
        <f t="shared" ca="1" si="931"/>
        <v>-3.8562575355172157E-10</v>
      </c>
      <c r="CC296" s="80">
        <f t="shared" ca="1" si="931"/>
        <v>-5.8571458794176579E-10</v>
      </c>
      <c r="CD296" s="80">
        <f t="shared" ca="1" si="931"/>
        <v>-8.6220097728073597E-10</v>
      </c>
      <c r="CE296" s="80"/>
      <c r="CF296" s="435">
        <f ca="1">SUM(AU296:CD296)</f>
        <v>-2.4483597371727228E-9</v>
      </c>
      <c r="CG296" s="235">
        <f t="shared" ca="1" si="870"/>
        <v>0</v>
      </c>
      <c r="CH296" s="235">
        <f t="shared" ca="1" si="871"/>
        <v>0</v>
      </c>
      <c r="CI296" s="235" t="e">
        <f ca="1">BM296-#REF!</f>
        <v>#REF!</v>
      </c>
      <c r="CJ296" s="235">
        <f t="shared" ca="1" si="817"/>
        <v>0</v>
      </c>
      <c r="CK296" s="235">
        <f t="shared" ca="1" si="818"/>
        <v>0</v>
      </c>
      <c r="CL296" s="235">
        <f t="shared" ca="1" si="819"/>
        <v>0</v>
      </c>
      <c r="CM296" s="235">
        <f t="shared" ca="1" si="820"/>
        <v>0</v>
      </c>
      <c r="CN296" s="235">
        <f t="shared" ca="1" si="821"/>
        <v>0</v>
      </c>
      <c r="CO296" s="235">
        <f t="shared" ca="1" si="822"/>
        <v>0</v>
      </c>
      <c r="CP296" s="235">
        <f t="shared" ca="1" si="823"/>
        <v>0</v>
      </c>
      <c r="CQ296" s="235">
        <f t="shared" ca="1" si="824"/>
        <v>0</v>
      </c>
      <c r="CR296" s="235">
        <f t="shared" ca="1" si="825"/>
        <v>0</v>
      </c>
      <c r="CS296" s="235">
        <f t="shared" ca="1" si="826"/>
        <v>-2.1827872842550278E-11</v>
      </c>
      <c r="CT296" s="235">
        <f t="shared" ca="1" si="827"/>
        <v>-1.4551915228366852E-11</v>
      </c>
      <c r="CU296" s="235">
        <f t="shared" ca="1" si="828"/>
        <v>-1.0913936421275139E-11</v>
      </c>
      <c r="CV296" s="235">
        <f t="shared" ca="1" si="829"/>
        <v>-3.637978807091713E-12</v>
      </c>
      <c r="CW296" s="235">
        <f t="shared" ca="1" si="830"/>
        <v>-5.4569682106375694E-11</v>
      </c>
      <c r="CX296" s="235">
        <f t="shared" ca="1" si="831"/>
        <v>-6.8757799454033375E-10</v>
      </c>
      <c r="CY296" s="235">
        <f t="shared" ca="1" si="832"/>
        <v>-6.8066583480685949E-9</v>
      </c>
      <c r="CZ296" s="235">
        <f t="shared" ca="1" si="833"/>
        <v>-5.5511918617412448E-8</v>
      </c>
      <c r="DA296" s="38"/>
      <c r="DB296" s="236">
        <v>-1</v>
      </c>
      <c r="DC296" s="236">
        <v>0</v>
      </c>
      <c r="DD296" s="236">
        <v>0</v>
      </c>
      <c r="DE296" s="236">
        <v>0</v>
      </c>
      <c r="DF296" s="401">
        <v>0</v>
      </c>
      <c r="DG296" s="236">
        <v>0</v>
      </c>
      <c r="DH296" s="492">
        <v>0</v>
      </c>
      <c r="DI296" s="236">
        <v>0</v>
      </c>
      <c r="DJ296" s="236">
        <v>0</v>
      </c>
      <c r="DK296" s="236">
        <v>0</v>
      </c>
      <c r="DL296" s="236">
        <v>0</v>
      </c>
      <c r="DM296" s="236">
        <v>0</v>
      </c>
      <c r="DN296" s="236">
        <v>0</v>
      </c>
      <c r="DO296" s="236">
        <v>0</v>
      </c>
      <c r="DP296" s="236">
        <v>0</v>
      </c>
      <c r="DQ296" s="401">
        <v>0</v>
      </c>
      <c r="DR296" s="401">
        <v>-2.9103830456733704E-11</v>
      </c>
      <c r="DS296" s="401">
        <v>-5.4569682106375694E-11</v>
      </c>
      <c r="DT296" s="401">
        <v>-8.7311491370201111E-11</v>
      </c>
      <c r="DU296" s="401">
        <v>-1.4915713109076023E-10</v>
      </c>
      <c r="DV296" s="401">
        <v>-1.8917489796876907E-10</v>
      </c>
      <c r="DW296" s="401">
        <v>3.0195224098861217E-10</v>
      </c>
      <c r="DX296" s="401">
        <v>6.2209437601268291E-9</v>
      </c>
      <c r="DY296" s="401">
        <v>5.4649717640131712E-8</v>
      </c>
      <c r="DZ296" s="401"/>
      <c r="EA296" s="989">
        <v>-2.8367139748297632E-9</v>
      </c>
    </row>
    <row r="297" spans="1:131" s="19" customFormat="1">
      <c r="A297" s="42" t="s">
        <v>3665</v>
      </c>
      <c r="B297" s="42" t="s">
        <v>487</v>
      </c>
      <c r="D297" s="208"/>
      <c r="E297" s="208"/>
      <c r="F297" s="208"/>
      <c r="G297" s="208"/>
      <c r="H297" s="208"/>
      <c r="I297" s="208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/>
      <c r="AH297" s="208"/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80"/>
      <c r="BG297" s="80"/>
      <c r="BH297" s="80"/>
      <c r="BI297" s="80"/>
      <c r="BJ297" s="80"/>
      <c r="BK297" s="80"/>
      <c r="BL297" s="80"/>
      <c r="BM297" s="80"/>
      <c r="BN297" s="80"/>
      <c r="CF297" s="435"/>
      <c r="CG297" s="235">
        <f t="shared" si="870"/>
        <v>0</v>
      </c>
      <c r="CH297" s="235">
        <f t="shared" si="871"/>
        <v>0</v>
      </c>
      <c r="CI297" s="235" t="e">
        <f>BM297-#REF!</f>
        <v>#REF!</v>
      </c>
      <c r="CJ297" s="235">
        <f t="shared" si="817"/>
        <v>0</v>
      </c>
      <c r="CK297" s="235">
        <f t="shared" si="818"/>
        <v>0</v>
      </c>
      <c r="CL297" s="235">
        <f t="shared" si="819"/>
        <v>0</v>
      </c>
      <c r="CM297" s="235">
        <f t="shared" si="820"/>
        <v>0</v>
      </c>
      <c r="CN297" s="235">
        <f t="shared" si="821"/>
        <v>0</v>
      </c>
      <c r="CO297" s="235">
        <f t="shared" si="822"/>
        <v>0</v>
      </c>
      <c r="CP297" s="235">
        <f t="shared" si="823"/>
        <v>0</v>
      </c>
      <c r="CQ297" s="235">
        <f t="shared" si="824"/>
        <v>0</v>
      </c>
      <c r="CR297" s="235">
        <f t="shared" si="825"/>
        <v>0</v>
      </c>
      <c r="CS297" s="235">
        <f t="shared" si="826"/>
        <v>0</v>
      </c>
      <c r="CT297" s="235">
        <f t="shared" si="827"/>
        <v>0</v>
      </c>
      <c r="CU297" s="235">
        <f t="shared" si="828"/>
        <v>0</v>
      </c>
      <c r="CV297" s="235">
        <f t="shared" si="829"/>
        <v>0</v>
      </c>
      <c r="CW297" s="235">
        <f t="shared" si="830"/>
        <v>0</v>
      </c>
      <c r="CX297" s="235">
        <f t="shared" si="831"/>
        <v>0</v>
      </c>
      <c r="CY297" s="235">
        <f t="shared" si="832"/>
        <v>0</v>
      </c>
      <c r="CZ297" s="235">
        <f t="shared" si="833"/>
        <v>0</v>
      </c>
      <c r="DA297" s="38"/>
      <c r="DB297" s="236"/>
      <c r="DC297" s="236"/>
      <c r="DD297" s="236"/>
      <c r="DE297" s="236"/>
      <c r="DF297" s="401"/>
      <c r="DG297" s="236"/>
      <c r="DH297" s="492"/>
      <c r="DI297" s="236"/>
      <c r="DJ297" s="236"/>
      <c r="DK297" s="236"/>
      <c r="DL297" s="236"/>
      <c r="DM297" s="236"/>
      <c r="DN297" s="236"/>
      <c r="DO297" s="236"/>
      <c r="DP297" s="236"/>
      <c r="DQ297" s="1084"/>
      <c r="DR297" s="1084"/>
      <c r="DS297" s="1084"/>
      <c r="DT297" s="1084"/>
      <c r="DU297" s="1084"/>
      <c r="DV297" s="1084"/>
      <c r="DW297" s="1084"/>
      <c r="DX297" s="1084"/>
      <c r="DY297" s="1084"/>
      <c r="DZ297" s="1084"/>
      <c r="EA297" s="988"/>
    </row>
    <row r="298" spans="1:131" s="76" customFormat="1">
      <c r="A298" s="76" t="s">
        <v>3644</v>
      </c>
      <c r="B298" s="73" t="s">
        <v>4627</v>
      </c>
      <c r="C298" s="51" t="s">
        <v>2593</v>
      </c>
      <c r="D298" s="207"/>
      <c r="E298" s="207"/>
      <c r="F298" s="30">
        <f t="shared" ref="F298:AT298" si="932">F292-F181+F182+F183+F184-F332-F256-F293</f>
        <v>9.3761555171374772E-2</v>
      </c>
      <c r="G298" s="30">
        <f t="shared" si="932"/>
        <v>0.10164914667210545</v>
      </c>
      <c r="H298" s="30">
        <f t="shared" si="932"/>
        <v>0.10639751641036123</v>
      </c>
      <c r="I298" s="30">
        <f t="shared" si="932"/>
        <v>0.11531336938557324</v>
      </c>
      <c r="J298" s="30">
        <f t="shared" si="932"/>
        <v>0.12980981283081769</v>
      </c>
      <c r="K298" s="30">
        <f t="shared" si="932"/>
        <v>0.14289656681068835</v>
      </c>
      <c r="L298" s="30">
        <f t="shared" si="932"/>
        <v>0.15973468101439431</v>
      </c>
      <c r="M298" s="30">
        <f t="shared" si="932"/>
        <v>0.16462843165174956</v>
      </c>
      <c r="N298" s="30">
        <f t="shared" si="932"/>
        <v>0.17249540761356416</v>
      </c>
      <c r="O298" s="30">
        <f t="shared" si="932"/>
        <v>0.17987739637683314</v>
      </c>
      <c r="P298" s="30">
        <f t="shared" si="932"/>
        <v>0.17916629562292305</v>
      </c>
      <c r="Q298" s="30">
        <f t="shared" si="932"/>
        <v>0.20980305421610118</v>
      </c>
      <c r="R298" s="30">
        <f t="shared" si="932"/>
        <v>0.2563905235479087</v>
      </c>
      <c r="S298" s="30">
        <f t="shared" si="932"/>
        <v>0.33112925180627223</v>
      </c>
      <c r="T298" s="30">
        <f t="shared" si="932"/>
        <v>0.34956865316428742</v>
      </c>
      <c r="U298" s="30">
        <f t="shared" si="932"/>
        <v>0.35854425116284194</v>
      </c>
      <c r="V298" s="30">
        <f t="shared" si="932"/>
        <v>0.37680880589012411</v>
      </c>
      <c r="W298" s="30">
        <f t="shared" si="932"/>
        <v>0.39373509113152116</v>
      </c>
      <c r="X298" s="30">
        <f t="shared" si="932"/>
        <v>0.39268881056787552</v>
      </c>
      <c r="Y298" s="30">
        <f t="shared" si="932"/>
        <v>0.44806709567184155</v>
      </c>
      <c r="Z298" s="30">
        <f t="shared" si="932"/>
        <v>0.4808257714192577</v>
      </c>
      <c r="AA298" s="30">
        <f t="shared" si="932"/>
        <v>0.5804722245010685</v>
      </c>
      <c r="AB298" s="30">
        <f t="shared" si="932"/>
        <v>0.71934062810890564</v>
      </c>
      <c r="AC298" s="30">
        <f t="shared" si="932"/>
        <v>0.99733886565701235</v>
      </c>
      <c r="AD298" s="30">
        <f t="shared" si="932"/>
        <v>1.1216223458935326</v>
      </c>
      <c r="AE298" s="30">
        <f t="shared" si="932"/>
        <v>1.1664765707301763</v>
      </c>
      <c r="AF298" s="30">
        <f t="shared" si="932"/>
        <v>1.1718244456662334</v>
      </c>
      <c r="AG298" s="30">
        <f t="shared" si="932"/>
        <v>1.3583918737097287</v>
      </c>
      <c r="AH298" s="30">
        <f t="shared" si="932"/>
        <v>1.4499242160011083</v>
      </c>
      <c r="AI298" s="30">
        <f t="shared" si="932"/>
        <v>1.5124010298140389</v>
      </c>
      <c r="AJ298" s="30">
        <f t="shared" si="932"/>
        <v>1.4407868080449691</v>
      </c>
      <c r="AK298" s="30">
        <f t="shared" si="932"/>
        <v>1.4140329662408995</v>
      </c>
      <c r="AL298" s="30">
        <f t="shared" si="932"/>
        <v>1.5109468141973759</v>
      </c>
      <c r="AM298" s="30">
        <f t="shared" si="932"/>
        <v>1.828010791984009</v>
      </c>
      <c r="AN298" s="30">
        <f t="shared" si="932"/>
        <v>2.2987747968435865</v>
      </c>
      <c r="AO298" s="30">
        <f t="shared" si="932"/>
        <v>3.0603497075566901</v>
      </c>
      <c r="AP298" s="30">
        <f t="shared" si="932"/>
        <v>4.3370090588221446</v>
      </c>
      <c r="AQ298" s="30">
        <f t="shared" si="932"/>
        <v>5.9884969622676092</v>
      </c>
      <c r="AR298" s="30">
        <f t="shared" si="932"/>
        <v>8.0234203038724807</v>
      </c>
      <c r="AS298" s="30">
        <f t="shared" si="932"/>
        <v>12.093448282029392</v>
      </c>
      <c r="AT298" s="30">
        <f t="shared" si="932"/>
        <v>-286.00088205646961</v>
      </c>
      <c r="AU298" s="80">
        <f t="shared" ref="AU298:BG298" si="933">AU292-AU181+AU182+AU183+AU184-AU332-AU256-AU293</f>
        <v>179.6530345509542</v>
      </c>
      <c r="AV298" s="80">
        <f t="shared" si="933"/>
        <v>165.47168132278631</v>
      </c>
      <c r="AW298" s="80">
        <f t="shared" si="933"/>
        <v>223.03392581179168</v>
      </c>
      <c r="AX298" s="80">
        <f t="shared" si="933"/>
        <v>338.30987336586975</v>
      </c>
      <c r="AY298" s="80">
        <f t="shared" si="933"/>
        <v>526.59451848645847</v>
      </c>
      <c r="AZ298" s="80">
        <f t="shared" si="933"/>
        <v>935.35462730364998</v>
      </c>
      <c r="BA298" s="80">
        <f t="shared" si="933"/>
        <v>1262.7493596373365</v>
      </c>
      <c r="BB298" s="80">
        <f t="shared" si="933"/>
        <v>1717.7279559999993</v>
      </c>
      <c r="BC298" s="80">
        <f t="shared" si="933"/>
        <v>2270.6842460000007</v>
      </c>
      <c r="BD298" s="80">
        <f t="shared" si="933"/>
        <v>2445.773048</v>
      </c>
      <c r="BE298" s="80">
        <f t="shared" ca="1" si="933"/>
        <v>2931.545946510636</v>
      </c>
      <c r="BF298" s="80">
        <f t="shared" ca="1" si="933"/>
        <v>3951.7627724267331</v>
      </c>
      <c r="BG298" s="80">
        <f t="shared" ca="1" si="933"/>
        <v>4510.746467713243</v>
      </c>
      <c r="BH298" s="80">
        <f t="shared" ref="BH298:BN298" ca="1" si="934">BH292-BH181+BH182+BH183+BH184-BH332-BH256-BH293</f>
        <v>5357.1281604067808</v>
      </c>
      <c r="BI298" s="80">
        <f t="shared" ca="1" si="934"/>
        <v>5244.5972859473404</v>
      </c>
      <c r="BJ298" s="80">
        <f t="shared" ca="1" si="934"/>
        <v>5293.3065087498671</v>
      </c>
      <c r="BK298" s="80">
        <f t="shared" ca="1" si="934"/>
        <v>8007.826249886587</v>
      </c>
      <c r="BL298" s="80">
        <f t="shared" ca="1" si="934"/>
        <v>8499.7383298791556</v>
      </c>
      <c r="BM298" s="80">
        <f t="shared" ca="1" si="934"/>
        <v>9942.2142869954441</v>
      </c>
      <c r="BN298" s="80">
        <f t="shared" ca="1" si="934"/>
        <v>10189.141456566642</v>
      </c>
      <c r="BO298" s="96">
        <f ca="1">(BN298*BO299/BN299)*(1+SIM!W57/100)+DataInput!BO820</f>
        <v>10952.127025490732</v>
      </c>
      <c r="BP298" s="96">
        <f ca="1">(BO298*BP299/BO299)*(1+SIM!X57/100)+DataInput!BP820</f>
        <v>13010.255669011003</v>
      </c>
      <c r="BQ298" s="96">
        <f ca="1">(BP298*BQ299/BP299)*(1+SIM!Y57/100)+DataInput!BQ820</f>
        <v>16244.598835142084</v>
      </c>
      <c r="BR298" s="96">
        <f ca="1">(BQ298*BR299/BQ299)*(1+SIM!Z57/100)+DataInput!BR820</f>
        <v>18529.874508376954</v>
      </c>
      <c r="BS298" s="96">
        <f ca="1">(BR298*BS299/BR299)*(1+SIM!AA57/100)+DataInput!BS820</f>
        <v>19571.689106037647</v>
      </c>
      <c r="BT298" s="96">
        <f ca="1">(BS298*BT299/BS299)*(1+SIM!AB57/100)+DataInput!BT820</f>
        <v>20285.844025293503</v>
      </c>
      <c r="BU298" s="96">
        <f ca="1">(BT298*BU299/BT299)*(1+SIM!AC57/100)+DataInput!BU820</f>
        <v>21150.873605383633</v>
      </c>
      <c r="BV298" s="96">
        <f ca="1">(BU298*BV299/BU299)*(1+SIM!AD57/100)+DataInput!BV820</f>
        <v>22153.469070678613</v>
      </c>
      <c r="BW298" s="96">
        <f ca="1">(BV298*BW299/BV299)*(1+SIM!AE57/100)+DataInput!BW820</f>
        <v>23203.688071001321</v>
      </c>
      <c r="BX298" s="96">
        <f ca="1">(BW298*BX299/BW299)*(1+SIM!AF57/100)+DataInput!BX820</f>
        <v>24307.017087627166</v>
      </c>
      <c r="BY298" s="96">
        <f ca="1">(BX298*BY299/BX299)*(1+SIM!AG57/100)+DataInput!BY820</f>
        <v>25468.440311455735</v>
      </c>
      <c r="BZ298" s="96">
        <f ca="1">(BY298*BZ299/BY299)*(1+SIM!AH57/100)+DataInput!BZ820</f>
        <v>26724.897324986883</v>
      </c>
      <c r="CA298" s="96">
        <f ca="1">(BZ298*CA299/BZ299)*(1+SIM!AI57/100)+DataInput!CA820</f>
        <v>28097.234397897057</v>
      </c>
      <c r="CB298" s="96">
        <f ca="1">(CA298*CB299/CA299)*(1+SIM!AJ57/100)+DataInput!CB820</f>
        <v>29551.456233867168</v>
      </c>
      <c r="CC298" s="96">
        <f ca="1">(CB298*CC299/CB299)*(1+SIM!AK57/100)+DataInput!CC820</f>
        <v>31098.458349861183</v>
      </c>
      <c r="CD298" s="96">
        <f ca="1">(CC298*CD299/CC299)*(1+SIM!AL57/100)+DataInput!CD820</f>
        <v>32749.209716757021</v>
      </c>
      <c r="CE298" s="96"/>
      <c r="CF298" s="438"/>
      <c r="CG298" s="235">
        <f t="shared" ca="1" si="870"/>
        <v>3489.4765846143018</v>
      </c>
      <c r="CH298" s="235">
        <f t="shared" ca="1" si="871"/>
        <v>-283.14087335686236</v>
      </c>
      <c r="CI298" s="235" t="e">
        <f ca="1">BM298-#REF!</f>
        <v>#REF!</v>
      </c>
      <c r="CJ298" s="235">
        <f t="shared" ref="CJ298:CJ332" ca="1" si="935">BN298-DI298</f>
        <v>0</v>
      </c>
      <c r="CK298" s="235">
        <f t="shared" ref="CK298:CK332" ca="1" si="936">BO298-DJ298</f>
        <v>0</v>
      </c>
      <c r="CL298" s="235">
        <f t="shared" ref="CL298:CL332" ca="1" si="937">BP298-DK298</f>
        <v>0</v>
      </c>
      <c r="CM298" s="235">
        <f t="shared" ref="CM298:CM332" ca="1" si="938">BQ298-DL298</f>
        <v>0</v>
      </c>
      <c r="CN298" s="235">
        <f t="shared" ref="CN298:CN332" ca="1" si="939">BR298-DM298</f>
        <v>0</v>
      </c>
      <c r="CO298" s="235">
        <f t="shared" ref="CO298:CO332" ca="1" si="940">BS298-DN298</f>
        <v>0</v>
      </c>
      <c r="CP298" s="235">
        <f t="shared" ref="CP298:CP332" ca="1" si="941">BT298-DO298</f>
        <v>0</v>
      </c>
      <c r="CQ298" s="235">
        <f t="shared" ref="CQ298:CQ332" ca="1" si="942">BU298-DP298</f>
        <v>0</v>
      </c>
      <c r="CR298" s="235">
        <f t="shared" ref="CR298:CR332" ca="1" si="943">BV298-DQ298</f>
        <v>0</v>
      </c>
      <c r="CS298" s="235">
        <f t="shared" ref="CS298:CS332" ca="1" si="944">BW298-DR298</f>
        <v>2.9103830456733704E-11</v>
      </c>
      <c r="CT298" s="235">
        <f t="shared" ref="CT298:CT332" ca="1" si="945">BX298-DS298</f>
        <v>2.9103830456733704E-11</v>
      </c>
      <c r="CU298" s="235">
        <f t="shared" ref="CU298:CU332" ca="1" si="946">BY298-DT298</f>
        <v>5.0931703299283981E-11</v>
      </c>
      <c r="CV298" s="235">
        <f t="shared" ref="CV298:CV332" ca="1" si="947">BZ298-DU298</f>
        <v>6.9121597334742546E-11</v>
      </c>
      <c r="CW298" s="235">
        <f t="shared" ref="CW298:CW332" ca="1" si="948">CA298-DV298</f>
        <v>3.2741809263825417E-11</v>
      </c>
      <c r="CX298" s="235">
        <f t="shared" ref="CX298:CX332" ca="1" si="949">CB298-DW298</f>
        <v>-8.6583895608782768E-10</v>
      </c>
      <c r="CY298" s="235">
        <f t="shared" ref="CY298:CY332" ca="1" si="950">CC298-DX298</f>
        <v>-9.5133145805448294E-9</v>
      </c>
      <c r="CZ298" s="235">
        <f t="shared" ref="CZ298:CZ332" ca="1" si="951">CD298-DY298</f>
        <v>-7.1060640038922429E-8</v>
      </c>
      <c r="DA298" s="38"/>
      <c r="DB298" s="236">
        <v>2909.8186760888402</v>
      </c>
      <c r="DC298" s="236">
        <v>2910.8186760888448</v>
      </c>
      <c r="DD298" s="236">
        <v>3161.1188284716463</v>
      </c>
      <c r="DE298" s="236">
        <v>3454.4323545517332</v>
      </c>
      <c r="DF298" s="401">
        <v>3291.5752939156027</v>
      </c>
      <c r="DG298" s="236">
        <v>4518.3496652722852</v>
      </c>
      <c r="DH298" s="492">
        <v>8782.8792032360179</v>
      </c>
      <c r="DI298" s="236">
        <v>10189.14145656664</v>
      </c>
      <c r="DJ298" s="236">
        <v>10952.127025490729</v>
      </c>
      <c r="DK298" s="236">
        <v>13010.255669011001</v>
      </c>
      <c r="DL298" s="236">
        <v>16244.598835142086</v>
      </c>
      <c r="DM298" s="236">
        <v>18529.874508376957</v>
      </c>
      <c r="DN298" s="236">
        <v>19571.689106037651</v>
      </c>
      <c r="DO298" s="236">
        <v>20285.844025293503</v>
      </c>
      <c r="DP298" s="236">
        <v>21150.873605383618</v>
      </c>
      <c r="DQ298" s="401">
        <v>22153.469070678591</v>
      </c>
      <c r="DR298" s="401">
        <v>23203.688071001292</v>
      </c>
      <c r="DS298" s="401">
        <v>24307.017087627137</v>
      </c>
      <c r="DT298" s="401">
        <v>25468.440311455684</v>
      </c>
      <c r="DU298" s="401">
        <v>26724.897324986814</v>
      </c>
      <c r="DV298" s="401">
        <v>28097.234397897024</v>
      </c>
      <c r="DW298" s="401">
        <v>29551.456233868033</v>
      </c>
      <c r="DX298" s="401">
        <v>31098.458349870696</v>
      </c>
      <c r="DY298" s="401">
        <v>32749.209716828082</v>
      </c>
      <c r="DZ298" s="401"/>
      <c r="EA298" s="989"/>
    </row>
    <row r="299" spans="1:131">
      <c r="A299" s="3" t="s">
        <v>3649</v>
      </c>
      <c r="B299" s="3" t="s">
        <v>930</v>
      </c>
      <c r="AV299" s="86">
        <f t="shared" ref="AV299:BB299" si="952">(AV335+0.3*(AV336+AU336)/2)*(1-AV284/100)</f>
        <v>204.56283228907952</v>
      </c>
      <c r="AW299" s="86">
        <f t="shared" si="952"/>
        <v>220.60020370133941</v>
      </c>
      <c r="AX299" s="86">
        <f t="shared" si="952"/>
        <v>272.81593559892661</v>
      </c>
      <c r="AY299" s="86">
        <f t="shared" si="952"/>
        <v>441.16042669326208</v>
      </c>
      <c r="AZ299" s="86">
        <f t="shared" si="952"/>
        <v>695.95023002897813</v>
      </c>
      <c r="BA299" s="86">
        <f t="shared" si="952"/>
        <v>1068.8528474384393</v>
      </c>
      <c r="BB299" s="86">
        <f t="shared" si="952"/>
        <v>1333.2176791735073</v>
      </c>
      <c r="BC299" s="86">
        <f t="shared" ref="BC299:BQ299" ca="1" si="953">(BC335+0.3*(BC336+BB336)/2)*(1-BC284/100)</f>
        <v>1642.1378399377927</v>
      </c>
      <c r="BD299" s="86">
        <f t="shared" ca="1" si="953"/>
        <v>2114.2785886695769</v>
      </c>
      <c r="BE299" s="86">
        <f t="shared" ca="1" si="953"/>
        <v>2910.9549712104636</v>
      </c>
      <c r="BF299" s="86">
        <f t="shared" ca="1" si="953"/>
        <v>3394.6528697457275</v>
      </c>
      <c r="BG299" s="86">
        <f t="shared" ca="1" si="953"/>
        <v>4009.2003033839997</v>
      </c>
      <c r="BH299" s="86">
        <f t="shared" ca="1" si="953"/>
        <v>4511.4674234777831</v>
      </c>
      <c r="BI299" s="86">
        <f t="shared" ca="1" si="953"/>
        <v>4952.2811259582522</v>
      </c>
      <c r="BJ299" s="86">
        <f t="shared" ca="1" si="953"/>
        <v>5329.8103687766288</v>
      </c>
      <c r="BK299" s="86">
        <f t="shared" ref="BK299:BP299" ca="1" si="954">(BK335+0.3*(BK336+BJ336)/2)*(1-BK284/100)</f>
        <v>6451.1688925644239</v>
      </c>
      <c r="BL299" s="86">
        <f t="shared" ca="1" si="954"/>
        <v>7422.8169959193792</v>
      </c>
      <c r="BM299" s="86">
        <f t="shared" ca="1" si="954"/>
        <v>8014.5194196353359</v>
      </c>
      <c r="BN299" s="86">
        <f t="shared" ca="1" si="954"/>
        <v>8224.438615040357</v>
      </c>
      <c r="BO299" s="86">
        <f t="shared" ca="1" si="954"/>
        <v>8598.1498258913634</v>
      </c>
      <c r="BP299" s="86">
        <f t="shared" ca="1" si="954"/>
        <v>10213.918013820406</v>
      </c>
      <c r="BQ299" s="86">
        <f t="shared" ca="1" si="953"/>
        <v>12753.093012979696</v>
      </c>
      <c r="BR299" s="86">
        <f t="shared" ref="BR299:BX299" ca="1" si="955">(BR335+0.3*(BR336+BQ336)/2)*(1-BR284/100)</f>
        <v>14547.186761728717</v>
      </c>
      <c r="BS299" s="86">
        <f t="shared" ca="1" si="955"/>
        <v>15365.080672257567</v>
      </c>
      <c r="BT299" s="86">
        <f t="shared" ca="1" si="955"/>
        <v>15925.739892185124</v>
      </c>
      <c r="BU299" s="86">
        <f t="shared" ca="1" si="955"/>
        <v>16604.845778752337</v>
      </c>
      <c r="BV299" s="86">
        <f t="shared" ca="1" si="955"/>
        <v>17391.950055876005</v>
      </c>
      <c r="BW299" s="86">
        <f t="shared" ca="1" si="955"/>
        <v>18216.441982764321</v>
      </c>
      <c r="BX299" s="86">
        <f t="shared" ca="1" si="955"/>
        <v>19082.628812968407</v>
      </c>
      <c r="BY299" s="86">
        <f t="shared" ref="BY299" ca="1" si="956">(BY335+0.3*(BY336+BX336)/2)*(1-BY284/100)</f>
        <v>19994.423468609748</v>
      </c>
      <c r="BZ299" s="86">
        <f t="shared" ref="BZ299" ca="1" si="957">(BZ335+0.3*(BZ336+BY336)/2)*(1-BZ284/100)</f>
        <v>20980.82598448528</v>
      </c>
      <c r="CA299" s="86">
        <f t="shared" ref="CA299" ca="1" si="958">(CA335+0.3*(CA336+BZ336)/2)*(1-CA284/100)</f>
        <v>22058.202071983455</v>
      </c>
      <c r="CB299" s="86">
        <f t="shared" ref="CB299" ca="1" si="959">(CB335+0.3*(CB336+CA336)/2)*(1-CB284/100)</f>
        <v>23199.863157236665</v>
      </c>
      <c r="CC299" s="86">
        <f t="shared" ref="CC299" ca="1" si="960">(CC335+0.3*(CC336+CB336)/2)*(1-CC284/100)</f>
        <v>24414.362947398637</v>
      </c>
      <c r="CD299" s="86">
        <f t="shared" ref="CD299" ca="1" si="961">(CD335+0.3*(CD336+CC336)/2)*(1-CD284/100)</f>
        <v>25710.312815842281</v>
      </c>
      <c r="CE299" s="86"/>
      <c r="CF299" s="435"/>
      <c r="CG299" s="235">
        <f t="shared" ca="1" si="870"/>
        <v>1022.4769390828715</v>
      </c>
      <c r="CH299" s="235">
        <f t="shared" ca="1" si="871"/>
        <v>-61.589076310366181</v>
      </c>
      <c r="CI299" s="235" t="e">
        <f ca="1">BM299-#REF!</f>
        <v>#REF!</v>
      </c>
      <c r="CJ299" s="235">
        <f t="shared" ca="1" si="935"/>
        <v>0</v>
      </c>
      <c r="CK299" s="235">
        <f t="shared" ca="1" si="936"/>
        <v>0</v>
      </c>
      <c r="CL299" s="235">
        <f t="shared" ca="1" si="937"/>
        <v>0</v>
      </c>
      <c r="CM299" s="235">
        <f t="shared" ca="1" si="938"/>
        <v>0</v>
      </c>
      <c r="CN299" s="235">
        <f t="shared" ca="1" si="939"/>
        <v>0</v>
      </c>
      <c r="CO299" s="235">
        <f t="shared" ca="1" si="940"/>
        <v>-1.4551915228366852E-11</v>
      </c>
      <c r="CP299" s="235">
        <f t="shared" ca="1" si="941"/>
        <v>-2.1827872842550278E-11</v>
      </c>
      <c r="CQ299" s="235">
        <f t="shared" ca="1" si="942"/>
        <v>-3.2741809263825417E-11</v>
      </c>
      <c r="CR299" s="235">
        <f t="shared" ca="1" si="943"/>
        <v>-3.637978807091713E-11</v>
      </c>
      <c r="CS299" s="235">
        <f t="shared" ca="1" si="944"/>
        <v>-4.0017766878008842E-11</v>
      </c>
      <c r="CT299" s="235">
        <f t="shared" ca="1" si="945"/>
        <v>-4.7293724492192268E-11</v>
      </c>
      <c r="CU299" s="235">
        <f t="shared" ca="1" si="946"/>
        <v>-6.184563972055912E-11</v>
      </c>
      <c r="CV299" s="235">
        <f t="shared" ca="1" si="947"/>
        <v>-8.0035533756017685E-11</v>
      </c>
      <c r="CW299" s="235">
        <f t="shared" ca="1" si="948"/>
        <v>-1.4188117347657681E-10</v>
      </c>
      <c r="CX299" s="235">
        <f t="shared" ca="1" si="949"/>
        <v>-5.6388671509921551E-10</v>
      </c>
      <c r="CY299" s="235">
        <f t="shared" ca="1" si="950"/>
        <v>-4.4419721234589815E-9</v>
      </c>
      <c r="CZ299" s="235">
        <f t="shared" ca="1" si="951"/>
        <v>-3.5972334444522858E-8</v>
      </c>
      <c r="DB299" s="236">
        <v>2989.75494363599</v>
      </c>
      <c r="DC299" s="236">
        <v>2990.7549436359909</v>
      </c>
      <c r="DD299" s="236">
        <v>3512.8513598668587</v>
      </c>
      <c r="DE299" s="236">
        <v>3920.9468692564301</v>
      </c>
      <c r="DF299" s="401">
        <v>4371.1594156205592</v>
      </c>
      <c r="DG299" s="236">
        <v>5428.6919534815524</v>
      </c>
      <c r="DH299" s="492">
        <v>7484.4060722297454</v>
      </c>
      <c r="DI299" s="236">
        <v>8224.438615040357</v>
      </c>
      <c r="DJ299" s="236">
        <v>8598.1498258913634</v>
      </c>
      <c r="DK299" s="236">
        <v>10213.918013820408</v>
      </c>
      <c r="DL299" s="236">
        <v>12753.093012979703</v>
      </c>
      <c r="DM299" s="236">
        <v>14547.186761728724</v>
      </c>
      <c r="DN299" s="236">
        <v>15365.080672257582</v>
      </c>
      <c r="DO299" s="236">
        <v>15925.739892185145</v>
      </c>
      <c r="DP299" s="236">
        <v>16604.845778752369</v>
      </c>
      <c r="DQ299" s="258">
        <v>17391.950055876041</v>
      </c>
      <c r="DR299" s="258">
        <v>18216.441982764361</v>
      </c>
      <c r="DS299" s="258">
        <v>19082.628812968454</v>
      </c>
      <c r="DT299" s="258">
        <v>19994.42346860981</v>
      </c>
      <c r="DU299" s="258">
        <v>20980.82598448536</v>
      </c>
      <c r="DV299" s="258">
        <v>22058.202071983596</v>
      </c>
      <c r="DW299" s="258">
        <v>23199.863157237229</v>
      </c>
      <c r="DX299" s="258">
        <v>24414.362947403079</v>
      </c>
      <c r="DY299" s="258">
        <v>25710.312815878253</v>
      </c>
    </row>
    <row r="300" spans="1:131">
      <c r="A300" s="971" t="s">
        <v>3650</v>
      </c>
      <c r="B300" s="3" t="s">
        <v>929</v>
      </c>
      <c r="AP300" s="33"/>
      <c r="AQ300" s="33"/>
      <c r="AR300" s="33"/>
      <c r="AS300" s="33"/>
      <c r="AT300" s="33"/>
      <c r="AU300" s="33"/>
      <c r="AV300" s="33">
        <f t="shared" ref="AV300:BB300" si="962">AV298/AV299</f>
        <v>0.80890394149876033</v>
      </c>
      <c r="AW300" s="33">
        <f t="shared" si="962"/>
        <v>1.0110322749916731</v>
      </c>
      <c r="AX300" s="33">
        <f t="shared" si="962"/>
        <v>1.2400663935673735</v>
      </c>
      <c r="AY300" s="33">
        <f t="shared" si="962"/>
        <v>1.1936576506500629</v>
      </c>
      <c r="AZ300" s="33">
        <f t="shared" si="962"/>
        <v>1.3439964338609436</v>
      </c>
      <c r="BA300" s="33">
        <f t="shared" si="962"/>
        <v>1.1814061801524691</v>
      </c>
      <c r="BB300" s="33">
        <f t="shared" si="962"/>
        <v>1.2884077242846486</v>
      </c>
      <c r="BC300" s="33">
        <f t="shared" ref="BC300:BQ300" ca="1" si="963">BC298/BC299</f>
        <v>1.3827610513414748</v>
      </c>
      <c r="BD300" s="33">
        <f t="shared" ca="1" si="963"/>
        <v>1.1567884483657465</v>
      </c>
      <c r="BE300" s="33">
        <f t="shared" ca="1" si="963"/>
        <v>1.0070736151894546</v>
      </c>
      <c r="BF300" s="33">
        <f t="shared" ca="1" si="963"/>
        <v>1.164113953342963</v>
      </c>
      <c r="BG300" s="33">
        <f t="shared" ca="1" si="963"/>
        <v>1.1250988043440755</v>
      </c>
      <c r="BH300" s="33">
        <f t="shared" ca="1" si="963"/>
        <v>1.1874469341235092</v>
      </c>
      <c r="BI300" s="33">
        <f t="shared" ca="1" si="963"/>
        <v>1.0590265682731261</v>
      </c>
      <c r="BJ300" s="33">
        <f t="shared" ca="1" si="963"/>
        <v>0.99315100209932228</v>
      </c>
      <c r="BK300" s="33">
        <f t="shared" ref="BK300:BP300" ca="1" si="964">BK298/BK299</f>
        <v>1.2412984969462444</v>
      </c>
      <c r="BL300" s="33">
        <f t="shared" ca="1" si="964"/>
        <v>1.145082565628629</v>
      </c>
      <c r="BM300" s="33">
        <f t="shared" ca="1" si="964"/>
        <v>1.2405253224088912</v>
      </c>
      <c r="BN300" s="33">
        <f t="shared" ca="1" si="964"/>
        <v>1.2388859511861825</v>
      </c>
      <c r="BO300" s="33">
        <f t="shared" ca="1" si="964"/>
        <v>1.2737771784937852</v>
      </c>
      <c r="BP300" s="33">
        <f t="shared" ca="1" si="964"/>
        <v>1.273777178493785</v>
      </c>
      <c r="BQ300" s="33">
        <f t="shared" ca="1" si="963"/>
        <v>1.2737771784937852</v>
      </c>
      <c r="BR300" s="33">
        <f ca="1">BR298/BR299</f>
        <v>1.2737771784937855</v>
      </c>
      <c r="BS300" s="33">
        <f ca="1">BS298/BS299</f>
        <v>1.2737771784937859</v>
      </c>
      <c r="BT300" s="33">
        <f ca="1">BT298/BT299</f>
        <v>1.2737771784937864</v>
      </c>
      <c r="BU300" s="33">
        <f ca="1">BU298/BU299</f>
        <v>1.2737771784937877</v>
      </c>
      <c r="BV300" s="33">
        <f ca="1">BV298/BV299</f>
        <v>1.2737771784937879</v>
      </c>
      <c r="BW300" s="33">
        <f t="shared" ref="BW300:BX300" ca="1" si="965">BW298/BW299</f>
        <v>1.2737771784937879</v>
      </c>
      <c r="BX300" s="33">
        <f t="shared" ca="1" si="965"/>
        <v>1.2737771784937884</v>
      </c>
      <c r="BY300" s="33">
        <f t="shared" ref="BY300:CD300" ca="1" si="966">BY298/BY299</f>
        <v>1.2737771784937897</v>
      </c>
      <c r="BZ300" s="33">
        <f t="shared" ca="1" si="966"/>
        <v>1.2737771784937915</v>
      </c>
      <c r="CA300" s="33">
        <f t="shared" ca="1" si="966"/>
        <v>1.2737771784937946</v>
      </c>
      <c r="CB300" s="33">
        <f t="shared" ca="1" si="966"/>
        <v>1.2737771784937995</v>
      </c>
      <c r="CC300" s="33">
        <f t="shared" ca="1" si="966"/>
        <v>1.273777178493807</v>
      </c>
      <c r="CD300" s="33">
        <f t="shared" ca="1" si="966"/>
        <v>1.2737771784938177</v>
      </c>
      <c r="CE300" s="33"/>
      <c r="CF300" s="435"/>
      <c r="CG300" s="235">
        <f t="shared" ca="1" si="870"/>
        <v>0.40898940591842181</v>
      </c>
      <c r="CH300" s="235">
        <f t="shared" ca="1" si="871"/>
        <v>-2.8407904887681967E-2</v>
      </c>
      <c r="CI300" s="235" t="e">
        <f ca="1">BM300-#REF!</f>
        <v>#REF!</v>
      </c>
      <c r="CJ300" s="235">
        <f t="shared" ca="1" si="935"/>
        <v>0</v>
      </c>
      <c r="CK300" s="235">
        <f t="shared" ca="1" si="936"/>
        <v>0</v>
      </c>
      <c r="CL300" s="235">
        <f t="shared" ca="1" si="937"/>
        <v>0</v>
      </c>
      <c r="CM300" s="235">
        <f t="shared" ca="1" si="938"/>
        <v>0</v>
      </c>
      <c r="CN300" s="235">
        <f t="shared" ca="1" si="939"/>
        <v>0</v>
      </c>
      <c r="CO300" s="235">
        <f t="shared" ca="1" si="940"/>
        <v>0</v>
      </c>
      <c r="CP300" s="235">
        <f t="shared" ca="1" si="941"/>
        <v>1.7763568394002505E-15</v>
      </c>
      <c r="CQ300" s="235">
        <f t="shared" ca="1" si="942"/>
        <v>3.3306690738754696E-15</v>
      </c>
      <c r="CR300" s="235">
        <f t="shared" ca="1" si="943"/>
        <v>3.9968028886505635E-15</v>
      </c>
      <c r="CS300" s="235">
        <f t="shared" ca="1" si="944"/>
        <v>4.4408920985006262E-15</v>
      </c>
      <c r="CT300" s="235">
        <f t="shared" ca="1" si="945"/>
        <v>4.6629367034256575E-15</v>
      </c>
      <c r="CU300" s="235">
        <f t="shared" ca="1" si="946"/>
        <v>6.4392935428259079E-15</v>
      </c>
      <c r="CV300" s="235">
        <f t="shared" ca="1" si="947"/>
        <v>8.2156503822261584E-15</v>
      </c>
      <c r="CW300" s="235">
        <f t="shared" ca="1" si="948"/>
        <v>9.7699626167013776E-15</v>
      </c>
      <c r="CX300" s="235">
        <f t="shared" ca="1" si="949"/>
        <v>-6.2172489379008766E-15</v>
      </c>
      <c r="CY300" s="235">
        <f t="shared" ca="1" si="950"/>
        <v>-1.5787371410169726E-13</v>
      </c>
      <c r="CZ300" s="235">
        <f t="shared" ca="1" si="951"/>
        <v>-9.8165919837356341E-13</v>
      </c>
      <c r="DB300" s="236">
        <v>-2.67277891547891E-2</v>
      </c>
      <c r="DC300" s="236">
        <v>0.97327221084521087</v>
      </c>
      <c r="DD300" s="236">
        <v>0.89987264038164616</v>
      </c>
      <c r="DE300" s="236">
        <v>0.88101993465849571</v>
      </c>
      <c r="DF300" s="405">
        <v>0.75302110514500842</v>
      </c>
      <c r="DG300" s="236">
        <v>0.83230909102782258</v>
      </c>
      <c r="DH300" s="492">
        <v>1.1734904705163109</v>
      </c>
      <c r="DI300" s="236">
        <v>1.2388859511861823</v>
      </c>
      <c r="DJ300" s="236">
        <v>1.2737771784937848</v>
      </c>
      <c r="DK300" s="236">
        <v>1.2737771784937848</v>
      </c>
      <c r="DL300" s="236">
        <v>1.2737771784937846</v>
      </c>
      <c r="DM300" s="236">
        <v>1.273777178493785</v>
      </c>
      <c r="DN300" s="236">
        <v>1.273777178493785</v>
      </c>
      <c r="DO300" s="236">
        <v>1.2737771784937846</v>
      </c>
      <c r="DP300" s="236">
        <v>1.2737771784937844</v>
      </c>
      <c r="DQ300" s="258">
        <v>1.2737771784937839</v>
      </c>
      <c r="DR300" s="258">
        <v>1.2737771784937835</v>
      </c>
      <c r="DS300" s="258">
        <v>1.2737771784937837</v>
      </c>
      <c r="DT300" s="258">
        <v>1.2737771784937832</v>
      </c>
      <c r="DU300" s="258">
        <v>1.2737771784937832</v>
      </c>
      <c r="DV300" s="258">
        <v>1.2737771784937848</v>
      </c>
      <c r="DW300" s="258">
        <v>1.2737771784938057</v>
      </c>
      <c r="DX300" s="258">
        <v>1.2737771784939649</v>
      </c>
      <c r="DY300" s="258">
        <v>1.2737771784947993</v>
      </c>
    </row>
    <row r="301" spans="1:131" s="19" customFormat="1">
      <c r="A301" s="981" t="s">
        <v>3651</v>
      </c>
      <c r="B301" s="135" t="s">
        <v>2786</v>
      </c>
      <c r="D301" s="206"/>
      <c r="E301" s="206"/>
      <c r="F301" s="206"/>
      <c r="G301" s="206"/>
      <c r="H301" s="206"/>
      <c r="I301" s="206"/>
      <c r="J301" s="206"/>
      <c r="K301" s="206"/>
      <c r="L301" s="206"/>
      <c r="M301" s="206"/>
      <c r="N301" s="206"/>
      <c r="O301" s="206"/>
      <c r="P301" s="206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/>
      <c r="AH301" s="206"/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06"/>
      <c r="AT301" s="206"/>
      <c r="AU301" s="63"/>
      <c r="AV301" s="83"/>
      <c r="AW301" s="83"/>
      <c r="AX301" s="83"/>
      <c r="AY301" s="83"/>
      <c r="AZ301" s="83"/>
      <c r="BA301" s="84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435"/>
      <c r="CG301" s="235">
        <f t="shared" si="870"/>
        <v>0</v>
      </c>
      <c r="CH301" s="235">
        <f t="shared" si="871"/>
        <v>0</v>
      </c>
      <c r="CI301" s="235" t="e">
        <f>BM301-#REF!</f>
        <v>#REF!</v>
      </c>
      <c r="CJ301" s="235">
        <f t="shared" si="935"/>
        <v>0</v>
      </c>
      <c r="CK301" s="235">
        <f t="shared" si="936"/>
        <v>0</v>
      </c>
      <c r="CL301" s="235">
        <f t="shared" si="937"/>
        <v>0</v>
      </c>
      <c r="CM301" s="235">
        <f t="shared" si="938"/>
        <v>0</v>
      </c>
      <c r="CN301" s="235">
        <f t="shared" si="939"/>
        <v>0</v>
      </c>
      <c r="CO301" s="235">
        <f t="shared" si="940"/>
        <v>0</v>
      </c>
      <c r="CP301" s="235">
        <f t="shared" si="941"/>
        <v>0</v>
      </c>
      <c r="CQ301" s="235">
        <f t="shared" si="942"/>
        <v>0</v>
      </c>
      <c r="CR301" s="235">
        <f t="shared" si="943"/>
        <v>0</v>
      </c>
      <c r="CS301" s="235">
        <f t="shared" si="944"/>
        <v>0</v>
      </c>
      <c r="CT301" s="235">
        <f t="shared" si="945"/>
        <v>0</v>
      </c>
      <c r="CU301" s="235">
        <f t="shared" si="946"/>
        <v>0</v>
      </c>
      <c r="CV301" s="235">
        <f t="shared" si="947"/>
        <v>0</v>
      </c>
      <c r="CW301" s="235">
        <f t="shared" si="948"/>
        <v>0</v>
      </c>
      <c r="CX301" s="235">
        <f t="shared" si="949"/>
        <v>0</v>
      </c>
      <c r="CY301" s="235">
        <f t="shared" si="950"/>
        <v>0</v>
      </c>
      <c r="CZ301" s="235">
        <f t="shared" si="951"/>
        <v>0</v>
      </c>
      <c r="DA301" s="38"/>
      <c r="DB301" s="236"/>
      <c r="DC301" s="236"/>
      <c r="DD301" s="236"/>
      <c r="DE301" s="236"/>
      <c r="DF301" s="258"/>
      <c r="DG301" s="236"/>
      <c r="DH301" s="492"/>
      <c r="DI301" s="236"/>
      <c r="DJ301" s="236"/>
      <c r="DK301" s="236"/>
      <c r="DL301" s="236"/>
      <c r="DM301" s="236"/>
      <c r="DN301" s="236"/>
      <c r="DO301" s="236"/>
      <c r="DP301" s="236"/>
      <c r="DQ301" s="1084"/>
      <c r="DR301" s="1084"/>
      <c r="DS301" s="1084"/>
      <c r="DT301" s="1084"/>
      <c r="DU301" s="1084"/>
      <c r="DV301" s="1084"/>
      <c r="DW301" s="1084"/>
      <c r="DX301" s="1084"/>
      <c r="DY301" s="1084"/>
      <c r="DZ301" s="1084"/>
      <c r="EA301" s="988"/>
    </row>
    <row r="302" spans="1:131" s="25" customFormat="1">
      <c r="A302" s="165" t="s">
        <v>3645</v>
      </c>
      <c r="B302" s="30" t="s">
        <v>1928</v>
      </c>
      <c r="C302" s="12" t="s">
        <v>3705</v>
      </c>
      <c r="D302" s="225"/>
      <c r="E302" s="225"/>
      <c r="F302" s="21">
        <f>mamiabc!F83</f>
        <v>2</v>
      </c>
      <c r="G302" s="21">
        <f>mamiabc!G83</f>
        <v>1</v>
      </c>
      <c r="H302" s="21">
        <f>mamiabc!H83</f>
        <v>1.9801980257034302</v>
      </c>
      <c r="I302" s="21">
        <f>mamiabc!I83</f>
        <v>8.7378644943237305</v>
      </c>
      <c r="J302" s="21">
        <f>mamiabc!J83</f>
        <v>0</v>
      </c>
      <c r="K302" s="21">
        <f>mamiabc!K83</f>
        <v>0</v>
      </c>
      <c r="L302" s="21">
        <f>mamiabc!L83</f>
        <v>2.6785714626312256</v>
      </c>
      <c r="M302" s="21">
        <f>mamiabc!M83</f>
        <v>1.7391303777694702</v>
      </c>
      <c r="N302" s="21">
        <f>mamiabc!N83</f>
        <v>0.85470086336135864</v>
      </c>
      <c r="O302" s="21">
        <f>mamiabc!O83</f>
        <v>0.8474576473236084</v>
      </c>
      <c r="P302" s="21">
        <f>mamiabc!P83</f>
        <v>0.8403361439704895</v>
      </c>
      <c r="Q302" s="21">
        <f>mamiabc!Q83</f>
        <v>1.6666666269302368</v>
      </c>
      <c r="R302" s="21">
        <f>mamiabc!R83</f>
        <v>1.6393442153930664</v>
      </c>
      <c r="S302" s="21">
        <f>mamiabc!S83</f>
        <v>7.2580647468566895</v>
      </c>
      <c r="T302" s="21">
        <f>mamiabc!T83</f>
        <v>0</v>
      </c>
      <c r="U302" s="21">
        <f>mamiabc!U83</f>
        <v>3.0075187683105469</v>
      </c>
      <c r="V302" s="21">
        <f>mamiabc!V83</f>
        <v>1.7561022043228149</v>
      </c>
      <c r="W302" s="21">
        <f>mamiabc!W83</f>
        <v>-0.59355843067169189</v>
      </c>
      <c r="X302" s="21">
        <f>mamiabc!X83</f>
        <v>2.4373531341552734</v>
      </c>
      <c r="Y302" s="21">
        <f>mamiabc!Y83</f>
        <v>12.087912559509277</v>
      </c>
      <c r="Z302" s="21">
        <f>mamiabc!Z83</f>
        <v>15.959079742431641</v>
      </c>
      <c r="AA302" s="21">
        <f>mamiabc!AA83</f>
        <v>7.4915452003479004</v>
      </c>
      <c r="AB302" s="21">
        <f>mamiabc!AB83</f>
        <v>9.3085289001464844</v>
      </c>
      <c r="AC302" s="21">
        <f>mamiabc!AC83</f>
        <v>8.8286819458007812</v>
      </c>
      <c r="AD302" s="21">
        <f>mamiabc!AD83</f>
        <v>7.9859714508056641</v>
      </c>
      <c r="AE302" s="21">
        <f>mamiabc!AE83</f>
        <v>13.954850196838379</v>
      </c>
      <c r="AF302" s="21">
        <f>mamiabc!AF83</f>
        <v>13.208428382873535</v>
      </c>
      <c r="AG302" s="21">
        <f>mamiabc!AG83</f>
        <v>8.7082128524780273</v>
      </c>
      <c r="AH302" s="21">
        <f>mamiabc!AH83</f>
        <v>7.2892937660217285</v>
      </c>
      <c r="AI302" s="21">
        <f>mamiabc!AI83</f>
        <v>4.3878273963928223</v>
      </c>
      <c r="AJ302" s="21">
        <f>mamiabc!AJ83</f>
        <v>4.1999998092651367</v>
      </c>
      <c r="AK302" s="21">
        <f>mamiabc!AK83</f>
        <v>16.299999237060547</v>
      </c>
      <c r="AL302" s="21">
        <f>mamiabc!AL83</f>
        <v>30.700000762939453</v>
      </c>
      <c r="AM302" s="21">
        <f>mamiabc!AM83</f>
        <v>88.800003051757813</v>
      </c>
      <c r="AN302" s="21">
        <f>mamiabc!AN83</f>
        <v>15</v>
      </c>
      <c r="AO302" s="21">
        <f>mamiabc!AO83</f>
        <v>19.700000762939453</v>
      </c>
      <c r="AP302" s="21">
        <f>mamiabc!AP83</f>
        <v>21.746293245469506</v>
      </c>
      <c r="AQ302" s="21">
        <f>mamiabc!AQ83</f>
        <v>25.968753844261293</v>
      </c>
      <c r="AR302" s="21">
        <f>mamiabc!AR83</f>
        <v>43.662109374999993</v>
      </c>
      <c r="AS302" s="21">
        <f>mamiabc!AS83</f>
        <v>143.51845557745909</v>
      </c>
      <c r="AT302" s="21">
        <f>mamiabc!AT83</f>
        <v>368.47923179991062</v>
      </c>
      <c r="AU302" s="21">
        <f>mamiabc!AU83</f>
        <v>235.55783301951999</v>
      </c>
      <c r="AV302" s="40">
        <f>DataInput!AV53</f>
        <v>-0.7</v>
      </c>
      <c r="AW302" s="40">
        <f>DataInput!AW53</f>
        <v>7.1</v>
      </c>
      <c r="AX302" s="40">
        <f>DataInput!AX53</f>
        <v>19</v>
      </c>
      <c r="AY302" s="40">
        <f>DataInput!AY53</f>
        <v>97.9</v>
      </c>
      <c r="AZ302" s="40">
        <f>DataInput!AZ53</f>
        <v>59.3</v>
      </c>
      <c r="BA302" s="40">
        <f>DataInput!BA53</f>
        <v>38.6</v>
      </c>
      <c r="BB302" s="40">
        <f>DataInput!BB53</f>
        <v>15.5</v>
      </c>
      <c r="BC302" s="40">
        <f>DataInput!BC53</f>
        <v>22.7</v>
      </c>
      <c r="BD302" s="40">
        <f>DataInput!BD53</f>
        <v>10</v>
      </c>
      <c r="BE302" s="40">
        <f>DataInput!BE53</f>
        <v>9.5</v>
      </c>
      <c r="BF302" s="40">
        <f>DataInput!BF53</f>
        <v>11.2</v>
      </c>
      <c r="BG302" s="40">
        <f>DataInput!BG53</f>
        <v>6.4262793447052768</v>
      </c>
      <c r="BH302" s="40">
        <f>DataInput!BH53</f>
        <v>14.702848528128264</v>
      </c>
      <c r="BI302" s="40">
        <f>DataInput!BI53</f>
        <v>-0.19406604311096309</v>
      </c>
      <c r="BJ302" s="40">
        <f>DataInput!BJ53</f>
        <v>6.9447872953180445</v>
      </c>
      <c r="BK302" s="40">
        <f>DataInput!BK53</f>
        <v>17.70408555820573</v>
      </c>
      <c r="BL302" s="40">
        <f>DataInput!BL53</f>
        <v>5.0137272846123571</v>
      </c>
      <c r="BM302" s="40">
        <f>DataInput!BM53</f>
        <v>1.9309056956115844</v>
      </c>
      <c r="BN302" s="40">
        <f>DataInput!BN53</f>
        <v>3.3697298353607907</v>
      </c>
      <c r="BO302" s="40">
        <f>DataInput!BO53</f>
        <v>6.9</v>
      </c>
      <c r="BP302" s="115">
        <f ca="1">0.39*BP309+0.61*BP305+BP286-BO286+DataInput!BP824+finsim!BO265</f>
        <v>36.355508223363913</v>
      </c>
      <c r="BQ302" s="115">
        <f ca="1">0.39*BQ309+0.61*BQ305+BQ286-BP286+DataInput!BQ824+finsim!BP265</f>
        <v>11.415029893225288</v>
      </c>
      <c r="BR302" s="115">
        <f ca="1">0.39*BR309+0.61*BR305+BR286-BQ286+DataInput!BR824+finsim!BQ265</f>
        <v>5.2989819773361937</v>
      </c>
      <c r="BS302" s="115">
        <f ca="1">0.39*BS309+0.61*BS305+BS286-BR286+DataInput!BS824+finsim!BR265</f>
        <v>3.0289202942350908</v>
      </c>
      <c r="BT302" s="115">
        <f ca="1">0.39*BT309+0.61*BT305+BT286-BS286+DataInput!BT824+finsim!BS265</f>
        <v>3.4377051520660764</v>
      </c>
      <c r="BU302" s="115">
        <f ca="1">0.39*BU309+0.61*BU305+BU286-BT286+DataInput!BU824+finsim!BT265</f>
        <v>3.5632337731411203</v>
      </c>
      <c r="BV302" s="115">
        <f ca="1">0.39*BV309+0.61*BV305+BV286-BU286+DataInput!BV824+finsim!BU265</f>
        <v>3.5957763287793041</v>
      </c>
      <c r="BW302" s="115">
        <f ca="1">0.39*BW309+0.61*BW305+BW286-BV286+DataInput!BW824+finsim!BV265</f>
        <v>3.6133304026611688</v>
      </c>
      <c r="BX302" s="115">
        <f ca="1">0.39*BX309+0.61*BX305+BX286-BW286+DataInput!BX824+finsim!BW265</f>
        <v>3.595798877852789</v>
      </c>
      <c r="BY302" s="115">
        <f ca="1">0.39*BY309+0.61*BY305+BY286-BX286+DataInput!BY824+finsim!BX265</f>
        <v>3.5724579753935144</v>
      </c>
      <c r="BZ302" s="115">
        <f ca="1">0.39*BZ309+0.61*BZ305+BZ286-BY286+DataInput!BZ824+finsim!BY265</f>
        <v>3.5543549220490229</v>
      </c>
      <c r="CA302" s="115">
        <f ca="1">0.39*CA309+0.61*CA305+CA286-BZ286+DataInput!CA824+finsim!BZ265</f>
        <v>3.5502200406161348</v>
      </c>
      <c r="CB302" s="115">
        <f ca="1">0.39*CB309+0.61*CB305+CB286-CA286+DataInput!CB824+finsim!CA265</f>
        <v>3.5505695900456731</v>
      </c>
      <c r="CC302" s="115">
        <f ca="1">0.39*CC309+0.61*CC305+CC286-CB286+DataInput!CC824+finsim!CB265</f>
        <v>3.5415276278586445</v>
      </c>
      <c r="CD302" s="115">
        <f ca="1">0.39*CD309+0.61*CD305+CD286-CC286+DataInput!CD824+finsim!CC265</f>
        <v>3.5327192142120261</v>
      </c>
      <c r="CE302" s="115"/>
      <c r="CF302" s="443"/>
      <c r="CG302" s="235">
        <f t="shared" si="870"/>
        <v>-1.6684931207322506E-2</v>
      </c>
      <c r="CH302" s="235">
        <f t="shared" si="871"/>
        <v>0</v>
      </c>
      <c r="CI302" s="235" t="e">
        <f>BM302-#REF!</f>
        <v>#REF!</v>
      </c>
      <c r="CJ302" s="235">
        <f t="shared" si="935"/>
        <v>0</v>
      </c>
      <c r="CK302" s="235">
        <f t="shared" si="936"/>
        <v>0</v>
      </c>
      <c r="CL302" s="235">
        <f t="shared" ca="1" si="937"/>
        <v>0</v>
      </c>
      <c r="CM302" s="235">
        <f t="shared" ca="1" si="938"/>
        <v>0</v>
      </c>
      <c r="CN302" s="235">
        <f t="shared" ca="1" si="939"/>
        <v>0</v>
      </c>
      <c r="CO302" s="235">
        <f t="shared" ca="1" si="940"/>
        <v>0</v>
      </c>
      <c r="CP302" s="235">
        <f t="shared" ca="1" si="941"/>
        <v>7.9936057773011271E-15</v>
      </c>
      <c r="CQ302" s="235">
        <f t="shared" ca="1" si="942"/>
        <v>-7.9936057773011271E-15</v>
      </c>
      <c r="CR302" s="235">
        <f t="shared" ca="1" si="943"/>
        <v>-7.9936057773011271E-15</v>
      </c>
      <c r="CS302" s="235">
        <f t="shared" ca="1" si="944"/>
        <v>0</v>
      </c>
      <c r="CT302" s="235">
        <f t="shared" ca="1" si="945"/>
        <v>-3.5527136788005009E-15</v>
      </c>
      <c r="CU302" s="235">
        <f t="shared" ca="1" si="946"/>
        <v>1.9539925233402755E-14</v>
      </c>
      <c r="CV302" s="235">
        <f t="shared" ca="1" si="947"/>
        <v>2.3092638912203256E-14</v>
      </c>
      <c r="CW302" s="235">
        <f t="shared" ca="1" si="948"/>
        <v>-3.9968028886505635E-14</v>
      </c>
      <c r="CX302" s="235">
        <f t="shared" ca="1" si="949"/>
        <v>-7.0166095156309893E-13</v>
      </c>
      <c r="CY302" s="235">
        <f t="shared" ca="1" si="950"/>
        <v>-6.6187055836053332E-12</v>
      </c>
      <c r="CZ302" s="235">
        <f t="shared" ca="1" si="951"/>
        <v>-4.5637271739451535E-11</v>
      </c>
      <c r="DA302" s="38"/>
      <c r="DB302" s="236">
        <v>10.3</v>
      </c>
      <c r="DC302" s="236">
        <v>11.3</v>
      </c>
      <c r="DD302" s="236">
        <v>6.4</v>
      </c>
      <c r="DE302" s="236">
        <v>14.6</v>
      </c>
      <c r="DF302" s="259">
        <v>-0.1</v>
      </c>
      <c r="DG302" s="236">
        <v>17.720770489413052</v>
      </c>
      <c r="DH302" s="492">
        <v>5.0137272846123571</v>
      </c>
      <c r="DI302" s="236">
        <v>3.3697298353607907</v>
      </c>
      <c r="DJ302" s="236">
        <v>6.9</v>
      </c>
      <c r="DK302" s="236">
        <v>36.355508223363927</v>
      </c>
      <c r="DL302" s="236">
        <v>11.415029893225299</v>
      </c>
      <c r="DM302" s="236">
        <v>5.2989819773361893</v>
      </c>
      <c r="DN302" s="236">
        <v>3.0289202942350935</v>
      </c>
      <c r="DO302" s="236">
        <v>3.4377051520660684</v>
      </c>
      <c r="DP302" s="236">
        <v>3.5632337731411283</v>
      </c>
      <c r="DQ302" s="259">
        <v>3.5957763287793121</v>
      </c>
      <c r="DR302" s="259">
        <v>3.6133304026611688</v>
      </c>
      <c r="DS302" s="259">
        <v>3.5957988778527925</v>
      </c>
      <c r="DT302" s="259">
        <v>3.5724579753934949</v>
      </c>
      <c r="DU302" s="259">
        <v>3.5543549220489998</v>
      </c>
      <c r="DV302" s="259">
        <v>3.5502200406161748</v>
      </c>
      <c r="DW302" s="259">
        <v>3.5505695900463747</v>
      </c>
      <c r="DX302" s="259">
        <v>3.5415276278652632</v>
      </c>
      <c r="DY302" s="259">
        <v>3.5327192142576633</v>
      </c>
      <c r="DZ302" s="259"/>
      <c r="EA302" s="508"/>
    </row>
    <row r="303" spans="1:131" s="28" customFormat="1">
      <c r="A303" s="165" t="s">
        <v>3646</v>
      </c>
      <c r="B303" s="116" t="s">
        <v>1332</v>
      </c>
      <c r="C303" s="13" t="s">
        <v>3696</v>
      </c>
      <c r="D303" s="220"/>
      <c r="E303" s="220"/>
      <c r="F303" s="41">
        <f>mamiabc!F86</f>
        <v>2</v>
      </c>
      <c r="G303" s="41">
        <f>mamiabc!G86</f>
        <v>1</v>
      </c>
      <c r="H303" s="41">
        <f>mamiabc!H86</f>
        <v>2</v>
      </c>
      <c r="I303" s="41">
        <f>mamiabc!I86</f>
        <v>0.62393432855606079</v>
      </c>
      <c r="J303" s="41">
        <f>mamiabc!J86</f>
        <v>1.2711864709854126</v>
      </c>
      <c r="K303" s="41">
        <f>mamiabc!K86</f>
        <v>-6.6945605278015137</v>
      </c>
      <c r="L303" s="41">
        <f>mamiabc!L86</f>
        <v>21.07623291015625</v>
      </c>
      <c r="M303" s="41">
        <f>mamiabc!M86</f>
        <v>-5.9259257316589355</v>
      </c>
      <c r="N303" s="41">
        <f>mamiabc!N86</f>
        <v>9.4488191604614258</v>
      </c>
      <c r="O303" s="41">
        <f>mamiabc!O86</f>
        <v>-6.5951180458068848</v>
      </c>
      <c r="P303" s="41">
        <f>mamiabc!P86</f>
        <v>-7.3968186378479004</v>
      </c>
      <c r="Q303" s="41">
        <f>mamiabc!Q86</f>
        <v>8.2182636260986328</v>
      </c>
      <c r="R303" s="41">
        <f>mamiabc!R86</f>
        <v>6.1108083724975586</v>
      </c>
      <c r="S303" s="41">
        <f>mamiabc!S86</f>
        <v>12.132053375244141</v>
      </c>
      <c r="T303" s="41">
        <f>mamiabc!T86</f>
        <v>21.12646484375</v>
      </c>
      <c r="U303" s="41">
        <f>mamiabc!U86</f>
        <v>12.155237197875977</v>
      </c>
      <c r="V303" s="41">
        <f>mamiabc!V86</f>
        <v>17.866277694702148</v>
      </c>
      <c r="W303" s="41">
        <f>mamiabc!W86</f>
        <v>-4.9536499977111816</v>
      </c>
      <c r="X303" s="41">
        <f>mamiabc!X86</f>
        <v>-4.3030695915222168</v>
      </c>
      <c r="Y303" s="41">
        <f>mamiabc!Y86</f>
        <v>28.502105712890625</v>
      </c>
      <c r="Z303" s="41">
        <f>mamiabc!Z86</f>
        <v>15.074921607971191</v>
      </c>
      <c r="AA303" s="41">
        <f>mamiabc!AA86</f>
        <v>25.617427825927734</v>
      </c>
      <c r="AB303" s="41">
        <f>mamiabc!AB86</f>
        <v>12</v>
      </c>
      <c r="AC303" s="41">
        <f>mamiabc!AC86</f>
        <v>24.107143402099609</v>
      </c>
      <c r="AD303" s="41">
        <f>mamiabc!AD86</f>
        <v>9.3525180816650391</v>
      </c>
      <c r="AE303" s="41">
        <f>mamiabc!AE86</f>
        <v>8.5526313781738281</v>
      </c>
      <c r="AF303" s="41">
        <f>mamiabc!AF86</f>
        <v>1.8181818723678589</v>
      </c>
      <c r="AG303" s="41">
        <f>mamiabc!AG86</f>
        <v>0</v>
      </c>
      <c r="AH303" s="41">
        <f>mamiabc!AH86</f>
        <v>5.3571429252624512</v>
      </c>
      <c r="AI303" s="41">
        <f>mamiabc!AI86</f>
        <v>-0.50847458839416504</v>
      </c>
      <c r="AJ303" s="41">
        <f>mamiabc!AJ86</f>
        <v>-5.9625210762023926</v>
      </c>
      <c r="AK303" s="41">
        <f>mamiabc!AK86</f>
        <v>0</v>
      </c>
      <c r="AL303" s="41">
        <f>mamiabc!AL86</f>
        <v>32.78985595703125</v>
      </c>
      <c r="AM303" s="41">
        <f>mamiabc!AM86</f>
        <v>29.513410568237305</v>
      </c>
      <c r="AN303" s="41">
        <f>mamiabc!AN86</f>
        <v>15</v>
      </c>
      <c r="AO303" s="41">
        <f>mamiabc!AO86</f>
        <v>19.700000762939453</v>
      </c>
      <c r="AP303" s="41">
        <f>mamiabc!AP86</f>
        <v>21.746293245469506</v>
      </c>
      <c r="AQ303" s="41">
        <f>mamiabc!AQ86</f>
        <v>25.968753844261293</v>
      </c>
      <c r="AR303" s="41">
        <f>mamiabc!AR86</f>
        <v>43.662109374999993</v>
      </c>
      <c r="AS303" s="41">
        <f>mamiabc!AS86</f>
        <v>143.51845557745909</v>
      </c>
      <c r="AT303" s="41">
        <f>mamiabc!AT86</f>
        <v>368.47923179991062</v>
      </c>
      <c r="AU303" s="41">
        <f>mamiabc!AU86</f>
        <v>235.55783301951999</v>
      </c>
      <c r="AV303" s="114">
        <f t="shared" ref="AV303:BB303" si="967">0.17*AV309+0.83*AV305+AV286-AU286</f>
        <v>-3.1859269282235125</v>
      </c>
      <c r="AW303" s="114">
        <f t="shared" si="967"/>
        <v>2.9075199040829753</v>
      </c>
      <c r="AX303" s="114">
        <f t="shared" si="967"/>
        <v>5.4514168981286115</v>
      </c>
      <c r="AY303" s="114">
        <f t="shared" si="967"/>
        <v>113.69562333110285</v>
      </c>
      <c r="AZ303" s="114">
        <f t="shared" si="967"/>
        <v>54.445808244206475</v>
      </c>
      <c r="BA303" s="114">
        <f t="shared" si="967"/>
        <v>64.352057362206438</v>
      </c>
      <c r="BB303" s="114">
        <f t="shared" si="967"/>
        <v>10.72404036293705</v>
      </c>
      <c r="BC303" s="114">
        <f t="shared" ref="BC303:BQ303" ca="1" si="968">0.17*BC309+0.83*BC305+BC286-BB286</f>
        <v>25.15951753233648</v>
      </c>
      <c r="BD303" s="114">
        <f t="shared" ca="1" si="968"/>
        <v>17.165794384581531</v>
      </c>
      <c r="BE303" s="114">
        <f t="shared" ca="1" si="968"/>
        <v>7.0670170263639722</v>
      </c>
      <c r="BF303" s="114">
        <f t="shared" ca="1" si="968"/>
        <v>8.1105086927820675</v>
      </c>
      <c r="BG303" s="114">
        <f t="shared" ca="1" si="968"/>
        <v>8.9437126276222703</v>
      </c>
      <c r="BH303" s="114">
        <f t="shared" ca="1" si="968"/>
        <v>12.794981622722009</v>
      </c>
      <c r="BI303" s="114">
        <f t="shared" ca="1" si="968"/>
        <v>0.48770911318353782</v>
      </c>
      <c r="BJ303" s="114">
        <f t="shared" ca="1" si="968"/>
        <v>11.528394168212687</v>
      </c>
      <c r="BK303" s="114">
        <f t="shared" ref="BK303:BP303" ca="1" si="969">0.17*BK309+0.83*BK305+BK286-BJ286</f>
        <v>16.599334923804001</v>
      </c>
      <c r="BL303" s="114">
        <f t="shared" ca="1" si="969"/>
        <v>4.1190317868973327</v>
      </c>
      <c r="BM303" s="114">
        <f t="shared" ca="1" si="969"/>
        <v>2.0883999017874908</v>
      </c>
      <c r="BN303" s="114">
        <f t="shared" ca="1" si="969"/>
        <v>-0.51217039978676038</v>
      </c>
      <c r="BO303" s="114">
        <f t="shared" ca="1" si="969"/>
        <v>-8.400448713591425</v>
      </c>
      <c r="BP303" s="114">
        <f t="shared" ca="1" si="969"/>
        <v>25.248789412131099</v>
      </c>
      <c r="BQ303" s="114">
        <f t="shared" ca="1" si="968"/>
        <v>7.6107492445872067</v>
      </c>
      <c r="BR303" s="114">
        <f t="shared" ref="BR303:BX303" ca="1" si="970">0.17*BR309+0.83*BR305+BR286-BQ286</f>
        <v>4.5076191503600676</v>
      </c>
      <c r="BS303" s="114">
        <f t="shared" ca="1" si="970"/>
        <v>3.1818843253535798</v>
      </c>
      <c r="BT303" s="114">
        <f t="shared" ca="1" si="970"/>
        <v>4.1811936946815109</v>
      </c>
      <c r="BU303" s="114">
        <f t="shared" ca="1" si="970"/>
        <v>4.255697080489198</v>
      </c>
      <c r="BV303" s="114">
        <f t="shared" ca="1" si="970"/>
        <v>4.2697615229704846</v>
      </c>
      <c r="BW303" s="114">
        <f t="shared" ca="1" si="970"/>
        <v>4.2819530295800474</v>
      </c>
      <c r="BX303" s="114">
        <f t="shared" ca="1" si="970"/>
        <v>4.2752202349371276</v>
      </c>
      <c r="BY303" s="114">
        <f t="shared" ref="BY303" ca="1" si="971">0.17*BY309+0.83*BY305+BY286-BX286</f>
        <v>4.2662825721665376</v>
      </c>
      <c r="BZ303" s="114">
        <f t="shared" ref="BZ303" ca="1" si="972">0.17*BZ309+0.83*BZ305+BZ286-BY286</f>
        <v>4.2589023818255258</v>
      </c>
      <c r="CA303" s="114">
        <f t="shared" ref="CA303" ca="1" si="973">0.17*CA309+0.83*CA305+CA286-BZ286</f>
        <v>4.260239516095143</v>
      </c>
      <c r="CB303" s="114">
        <f t="shared" ref="CB303" ca="1" si="974">0.17*CB309+0.83*CB305+CB286-CA286</f>
        <v>4.2650877538624963</v>
      </c>
      <c r="CC303" s="114">
        <f t="shared" ref="CC303" ca="1" si="975">0.17*CC309+0.83*CC305+CC286-CB286</f>
        <v>4.2622950585691184</v>
      </c>
      <c r="CD303" s="114">
        <f t="shared" ref="CD303" ca="1" si="976">0.17*CD309+0.83*CD305+CD286-CC286</f>
        <v>4.2597726794892079</v>
      </c>
      <c r="CE303" s="114"/>
      <c r="CF303" s="435"/>
      <c r="CG303" s="235">
        <f t="shared" ca="1" si="870"/>
        <v>-4.5218869153970331E-2</v>
      </c>
      <c r="CH303" s="235">
        <f t="shared" ca="1" si="871"/>
        <v>-0.3138007088825816</v>
      </c>
      <c r="CI303" s="235" t="e">
        <f ca="1">BM303-#REF!</f>
        <v>#REF!</v>
      </c>
      <c r="CJ303" s="235">
        <f t="shared" ca="1" si="935"/>
        <v>0</v>
      </c>
      <c r="CK303" s="235">
        <f t="shared" ca="1" si="936"/>
        <v>0</v>
      </c>
      <c r="CL303" s="235">
        <f t="shared" ca="1" si="937"/>
        <v>0</v>
      </c>
      <c r="CM303" s="235">
        <f t="shared" ca="1" si="938"/>
        <v>0</v>
      </c>
      <c r="CN303" s="235">
        <f t="shared" ca="1" si="939"/>
        <v>0</v>
      </c>
      <c r="CO303" s="235">
        <f t="shared" ca="1" si="940"/>
        <v>0</v>
      </c>
      <c r="CP303" s="235">
        <f t="shared" ca="1" si="941"/>
        <v>7.9936057773011271E-15</v>
      </c>
      <c r="CQ303" s="235">
        <f t="shared" ca="1" si="942"/>
        <v>0</v>
      </c>
      <c r="CR303" s="235">
        <f t="shared" ca="1" si="943"/>
        <v>0</v>
      </c>
      <c r="CS303" s="235">
        <f t="shared" ca="1" si="944"/>
        <v>0</v>
      </c>
      <c r="CT303" s="235">
        <f t="shared" ca="1" si="945"/>
        <v>0</v>
      </c>
      <c r="CU303" s="235">
        <f t="shared" ca="1" si="946"/>
        <v>8.8817841970012523E-15</v>
      </c>
      <c r="CV303" s="235">
        <f t="shared" ca="1" si="947"/>
        <v>1.4210854715202004E-14</v>
      </c>
      <c r="CW303" s="235">
        <f t="shared" ca="1" si="948"/>
        <v>-3.6415315207705135E-14</v>
      </c>
      <c r="CX303" s="235">
        <f t="shared" ca="1" si="949"/>
        <v>-5.6488147492927965E-13</v>
      </c>
      <c r="CY303" s="235">
        <f t="shared" ca="1" si="950"/>
        <v>-5.1638693321365281E-12</v>
      </c>
      <c r="CZ303" s="235">
        <f t="shared" ca="1" si="951"/>
        <v>-3.5353941996163485E-11</v>
      </c>
      <c r="DA303" s="38"/>
      <c r="DB303" s="236">
        <v>10.019109909166</v>
      </c>
      <c r="DC303" s="236">
        <v>11.019109909165985</v>
      </c>
      <c r="DD303" s="236">
        <v>8.6029415467063988</v>
      </c>
      <c r="DE303" s="236">
        <v>15.640727566722681</v>
      </c>
      <c r="DF303" s="403">
        <v>0.88156447349385658</v>
      </c>
      <c r="DG303" s="236">
        <v>16.644553792957971</v>
      </c>
      <c r="DH303" s="492">
        <v>4.4328324957799143</v>
      </c>
      <c r="DI303" s="236">
        <v>-0.51217039978676038</v>
      </c>
      <c r="DJ303" s="236">
        <v>-8.400448713591425</v>
      </c>
      <c r="DK303" s="236">
        <v>25.248789412131107</v>
      </c>
      <c r="DL303" s="236">
        <v>7.6107492445872102</v>
      </c>
      <c r="DM303" s="236">
        <v>4.5076191503600667</v>
      </c>
      <c r="DN303" s="236">
        <v>3.1818843253535825</v>
      </c>
      <c r="DO303" s="236">
        <v>4.1811936946815029</v>
      </c>
      <c r="DP303" s="236">
        <v>4.2556970804892007</v>
      </c>
      <c r="DQ303" s="403">
        <v>4.2697615229704873</v>
      </c>
      <c r="DR303" s="403">
        <v>4.2819530295800474</v>
      </c>
      <c r="DS303" s="403">
        <v>4.2752202349371293</v>
      </c>
      <c r="DT303" s="403">
        <v>4.2662825721665287</v>
      </c>
      <c r="DU303" s="403">
        <v>4.2589023818255116</v>
      </c>
      <c r="DV303" s="403">
        <v>4.2602395160951794</v>
      </c>
      <c r="DW303" s="403">
        <v>4.2650877538630612</v>
      </c>
      <c r="DX303" s="403">
        <v>4.2622950585742823</v>
      </c>
      <c r="DY303" s="403">
        <v>4.2597726795245618</v>
      </c>
      <c r="DZ303" s="403"/>
      <c r="EA303" s="991"/>
    </row>
    <row r="304" spans="1:131" s="25" customFormat="1">
      <c r="A304" s="165" t="s">
        <v>3652</v>
      </c>
      <c r="B304" s="99" t="s">
        <v>4559</v>
      </c>
      <c r="C304" s="12" t="s">
        <v>2787</v>
      </c>
      <c r="D304" s="225"/>
      <c r="E304" s="225"/>
      <c r="G304" s="25">
        <f t="shared" ref="G304:AT304" si="977">(G123/F176-1)*100</f>
        <v>-100</v>
      </c>
      <c r="H304" s="25">
        <f t="shared" si="977"/>
        <v>-100</v>
      </c>
      <c r="I304" s="25">
        <f t="shared" si="977"/>
        <v>-100</v>
      </c>
      <c r="K304" s="25">
        <f t="shared" si="977"/>
        <v>-100</v>
      </c>
      <c r="L304" s="25">
        <f t="shared" si="977"/>
        <v>-100</v>
      </c>
      <c r="M304" s="25">
        <f t="shared" si="977"/>
        <v>-100</v>
      </c>
      <c r="N304" s="25">
        <f t="shared" si="977"/>
        <v>-100</v>
      </c>
      <c r="O304" s="25">
        <f t="shared" si="977"/>
        <v>-100</v>
      </c>
      <c r="P304" s="25">
        <f t="shared" si="977"/>
        <v>-100</v>
      </c>
      <c r="Q304" s="25">
        <f t="shared" si="977"/>
        <v>-100</v>
      </c>
      <c r="R304" s="25">
        <f t="shared" si="977"/>
        <v>-100</v>
      </c>
      <c r="S304" s="25">
        <f t="shared" si="977"/>
        <v>-100</v>
      </c>
      <c r="T304" s="25">
        <f t="shared" si="977"/>
        <v>-100</v>
      </c>
      <c r="U304" s="25">
        <f t="shared" si="977"/>
        <v>-100</v>
      </c>
      <c r="V304" s="25">
        <f t="shared" si="977"/>
        <v>-100</v>
      </c>
      <c r="W304" s="25">
        <f t="shared" si="977"/>
        <v>-100</v>
      </c>
      <c r="X304" s="25">
        <f t="shared" si="977"/>
        <v>-100</v>
      </c>
      <c r="Y304" s="25">
        <f t="shared" si="977"/>
        <v>-100</v>
      </c>
      <c r="Z304" s="25">
        <f t="shared" si="977"/>
        <v>-100</v>
      </c>
      <c r="AA304" s="25">
        <f t="shared" si="977"/>
        <v>-100</v>
      </c>
      <c r="AB304" s="25">
        <f t="shared" si="977"/>
        <v>-100</v>
      </c>
      <c r="AC304" s="25">
        <f t="shared" si="977"/>
        <v>-100</v>
      </c>
      <c r="AD304" s="25">
        <f t="shared" si="977"/>
        <v>-100</v>
      </c>
      <c r="AE304" s="25">
        <f t="shared" si="977"/>
        <v>-100</v>
      </c>
      <c r="AF304" s="25">
        <f t="shared" si="977"/>
        <v>-100</v>
      </c>
      <c r="AG304" s="25">
        <f t="shared" si="977"/>
        <v>-100</v>
      </c>
      <c r="AH304" s="25">
        <f t="shared" si="977"/>
        <v>-100</v>
      </c>
      <c r="AI304" s="25">
        <f t="shared" si="977"/>
        <v>-100</v>
      </c>
      <c r="AJ304" s="25">
        <f t="shared" si="977"/>
        <v>-100</v>
      </c>
      <c r="AK304" s="25">
        <f t="shared" si="977"/>
        <v>-100</v>
      </c>
      <c r="AL304" s="25">
        <f t="shared" si="977"/>
        <v>-100</v>
      </c>
      <c r="AM304" s="25">
        <f t="shared" si="977"/>
        <v>-100</v>
      </c>
      <c r="AN304" s="25">
        <f t="shared" si="977"/>
        <v>-100</v>
      </c>
      <c r="AO304" s="25">
        <f t="shared" si="977"/>
        <v>-100</v>
      </c>
      <c r="AP304" s="25">
        <f t="shared" si="977"/>
        <v>-11.020949769520294</v>
      </c>
      <c r="AQ304" s="25">
        <f t="shared" si="977"/>
        <v>-18.051064720265074</v>
      </c>
      <c r="AR304" s="25">
        <f t="shared" si="977"/>
        <v>-2.7425586909587296</v>
      </c>
      <c r="AS304" s="25">
        <f t="shared" si="977"/>
        <v>231.89930751960651</v>
      </c>
      <c r="AT304" s="25">
        <f t="shared" si="977"/>
        <v>2730.8110036201206</v>
      </c>
      <c r="AU304" s="25">
        <f t="shared" ref="AU304:BI304" si="978">(AU123/AT176-1)*100</f>
        <v>201.92827198668567</v>
      </c>
      <c r="AV304" s="25">
        <f t="shared" si="978"/>
        <v>-6.7599244933730489</v>
      </c>
      <c r="AW304" s="25">
        <f t="shared" si="978"/>
        <v>-2.9192909841230796</v>
      </c>
      <c r="AX304" s="25">
        <f t="shared" si="978"/>
        <v>-11.903977550842558</v>
      </c>
      <c r="AY304" s="25">
        <f t="shared" si="978"/>
        <v>108.66930337321551</v>
      </c>
      <c r="AZ304" s="25">
        <f t="shared" si="978"/>
        <v>66.10221465011243</v>
      </c>
      <c r="BA304" s="25">
        <f t="shared" si="978"/>
        <v>54.894307933115137</v>
      </c>
      <c r="BB304" s="25">
        <f t="shared" si="978"/>
        <v>-1.5969552135791099</v>
      </c>
      <c r="BC304" s="25">
        <f t="shared" si="978"/>
        <v>19.751999647820639</v>
      </c>
      <c r="BD304" s="25">
        <f t="shared" si="978"/>
        <v>23.974977191511606</v>
      </c>
      <c r="BE304" s="25">
        <f t="shared" si="978"/>
        <v>9.0180532268404168</v>
      </c>
      <c r="BF304" s="25">
        <f t="shared" si="978"/>
        <v>26.348055602624278</v>
      </c>
      <c r="BG304" s="25">
        <f t="shared" si="978"/>
        <v>9.1385854773770028</v>
      </c>
      <c r="BH304" s="25">
        <f t="shared" si="978"/>
        <v>11.629238208087145</v>
      </c>
      <c r="BI304" s="25">
        <f t="shared" si="978"/>
        <v>-10.391835928831405</v>
      </c>
      <c r="BJ304" s="25">
        <f t="shared" ref="BJ304:BQ304" si="979">(BJ123/BI176-1)*100</f>
        <v>31.32974326733504</v>
      </c>
      <c r="BK304" s="25">
        <f t="shared" si="979"/>
        <v>33.068402160241028</v>
      </c>
      <c r="BL304" s="25">
        <f t="shared" si="979"/>
        <v>3.6795621159532166</v>
      </c>
      <c r="BM304" s="25">
        <f t="shared" si="979"/>
        <v>-10.787656362292664</v>
      </c>
      <c r="BN304" s="25">
        <f t="shared" si="979"/>
        <v>-6.2118941810674011</v>
      </c>
      <c r="BO304" s="25">
        <f t="shared" si="979"/>
        <v>-6.3604523129361601</v>
      </c>
      <c r="BP304" s="25">
        <f t="shared" si="979"/>
        <v>23.69428725895839</v>
      </c>
      <c r="BQ304" s="25">
        <f t="shared" si="979"/>
        <v>4.4632735038023119</v>
      </c>
      <c r="BR304" s="25">
        <f t="shared" ref="BR304:BX304" si="980">(BR123/BQ176-1)*100</f>
        <v>2.6441579102857826</v>
      </c>
      <c r="BS304" s="25">
        <f t="shared" si="980"/>
        <v>2.8848821881009679</v>
      </c>
      <c r="BT304" s="25">
        <f t="shared" si="980"/>
        <v>1.307622296704114</v>
      </c>
      <c r="BU304" s="25">
        <f t="shared" si="980"/>
        <v>0.77052936971451214</v>
      </c>
      <c r="BV304" s="25">
        <f t="shared" si="980"/>
        <v>0.78854912436139291</v>
      </c>
      <c r="BW304" s="25">
        <f t="shared" si="980"/>
        <v>0.8068808292683638</v>
      </c>
      <c r="BX304" s="25">
        <f t="shared" si="980"/>
        <v>0.82552715040351554</v>
      </c>
      <c r="BY304" s="25">
        <f t="shared" ref="BY304" si="981">(BY123/BX176-1)*100</f>
        <v>0.84449057340638678</v>
      </c>
      <c r="BZ304" s="25">
        <f t="shared" ref="BZ304" si="982">(BZ123/BY176-1)*100</f>
        <v>2.7226601168911735</v>
      </c>
      <c r="CA304" s="25">
        <f t="shared" ref="CA304" si="983">(CA123/BZ176-1)*100</f>
        <v>2.7393036267006954</v>
      </c>
      <c r="CB304" s="25">
        <f t="shared" ref="CB304" si="984">(CB123/CA176-1)*100</f>
        <v>2.7550576090511036</v>
      </c>
      <c r="CC304" s="25">
        <f t="shared" ref="CC304" si="985">(CC123/CB176-1)*100</f>
        <v>2.7699578643432199</v>
      </c>
      <c r="CD304" s="25">
        <f t="shared" ref="CD304" si="986">(CD123/CC176-1)*100</f>
        <v>2.7840400952054756</v>
      </c>
      <c r="CF304" s="435"/>
      <c r="CG304" s="235">
        <f t="shared" si="870"/>
        <v>2.4090440203754042</v>
      </c>
      <c r="CH304" s="235">
        <f t="shared" si="871"/>
        <v>0</v>
      </c>
      <c r="CI304" s="235" t="e">
        <f>BM304-#REF!</f>
        <v>#REF!</v>
      </c>
      <c r="CJ304" s="235">
        <f t="shared" si="935"/>
        <v>0</v>
      </c>
      <c r="CK304" s="235">
        <f t="shared" si="936"/>
        <v>0</v>
      </c>
      <c r="CL304" s="235">
        <f t="shared" si="937"/>
        <v>0</v>
      </c>
      <c r="CM304" s="235">
        <f t="shared" si="938"/>
        <v>0</v>
      </c>
      <c r="CN304" s="235">
        <f t="shared" si="939"/>
        <v>0</v>
      </c>
      <c r="CO304" s="235">
        <f t="shared" si="940"/>
        <v>0</v>
      </c>
      <c r="CP304" s="235">
        <f t="shared" si="941"/>
        <v>0</v>
      </c>
      <c r="CQ304" s="235">
        <f t="shared" si="942"/>
        <v>0</v>
      </c>
      <c r="CR304" s="235">
        <f t="shared" si="943"/>
        <v>0</v>
      </c>
      <c r="CS304" s="235">
        <f t="shared" si="944"/>
        <v>0</v>
      </c>
      <c r="CT304" s="235">
        <f t="shared" si="945"/>
        <v>0</v>
      </c>
      <c r="CU304" s="235">
        <f t="shared" si="946"/>
        <v>0</v>
      </c>
      <c r="CV304" s="235">
        <f t="shared" si="947"/>
        <v>0</v>
      </c>
      <c r="CW304" s="235">
        <f t="shared" si="948"/>
        <v>0</v>
      </c>
      <c r="CX304" s="235">
        <f t="shared" si="949"/>
        <v>0</v>
      </c>
      <c r="CY304" s="235">
        <f t="shared" si="950"/>
        <v>0</v>
      </c>
      <c r="CZ304" s="235">
        <f t="shared" si="951"/>
        <v>0</v>
      </c>
      <c r="DA304" s="38"/>
      <c r="DB304" s="236">
        <v>25.4617816017949</v>
      </c>
      <c r="DC304" s="236">
        <v>26.461781601794911</v>
      </c>
      <c r="DD304" s="236">
        <v>10.099023103244864</v>
      </c>
      <c r="DE304" s="236">
        <v>11.947995688222356</v>
      </c>
      <c r="DF304" s="259">
        <v>-9.8821987064634307</v>
      </c>
      <c r="DG304" s="236">
        <v>30.659358139865624</v>
      </c>
      <c r="DH304" s="492">
        <v>3.6795621159532166</v>
      </c>
      <c r="DI304" s="236">
        <v>-6.2118941810674011</v>
      </c>
      <c r="DJ304" s="236">
        <v>-6.3604523129361601</v>
      </c>
      <c r="DK304" s="236">
        <v>23.69428725895839</v>
      </c>
      <c r="DL304" s="236">
        <v>4.4632735038023119</v>
      </c>
      <c r="DM304" s="236">
        <v>2.6441579102857826</v>
      </c>
      <c r="DN304" s="236">
        <v>2.8848821881009679</v>
      </c>
      <c r="DO304" s="236">
        <v>1.307622296704114</v>
      </c>
      <c r="DP304" s="236">
        <v>0.77052936971451214</v>
      </c>
      <c r="DQ304" s="259">
        <v>0.78854912436139291</v>
      </c>
      <c r="DR304" s="259">
        <v>0.8068808292683638</v>
      </c>
      <c r="DS304" s="259">
        <v>0.82552715040351554</v>
      </c>
      <c r="DT304" s="259">
        <v>0.84449057340638678</v>
      </c>
      <c r="DU304" s="259">
        <v>2.7226601168911735</v>
      </c>
      <c r="DV304" s="259">
        <v>2.7393036267006954</v>
      </c>
      <c r="DW304" s="259">
        <v>2.7550576090511036</v>
      </c>
      <c r="DX304" s="259">
        <v>2.7699578643432199</v>
      </c>
      <c r="DY304" s="259">
        <v>2.7840400952054756</v>
      </c>
      <c r="DZ304" s="259"/>
      <c r="EA304" s="508"/>
    </row>
    <row r="305" spans="1:131" s="25" customFormat="1">
      <c r="A305" s="165" t="s">
        <v>3653</v>
      </c>
      <c r="B305" s="99" t="s">
        <v>329</v>
      </c>
      <c r="C305" s="12" t="s">
        <v>937</v>
      </c>
      <c r="D305" s="225"/>
      <c r="E305" s="225"/>
      <c r="F305" s="21">
        <f>mamiabc!F85</f>
        <v>1.8</v>
      </c>
      <c r="G305" s="21">
        <f>mamiabc!G85</f>
        <v>0.5</v>
      </c>
      <c r="H305" s="21">
        <f>mamiabc!H85</f>
        <v>3.0221829414367676</v>
      </c>
      <c r="I305" s="21">
        <f>mamiabc!I85</f>
        <v>2.2277793884277344</v>
      </c>
      <c r="J305" s="21">
        <f>mamiabc!J85</f>
        <v>-1.626257061958313</v>
      </c>
      <c r="K305" s="21">
        <f>mamiabc!K85</f>
        <v>-0.89552080631256104</v>
      </c>
      <c r="L305" s="21">
        <f>mamiabc!L85</f>
        <v>0.76559323072433472</v>
      </c>
      <c r="M305" s="21">
        <f>mamiabc!M85</f>
        <v>1.8154700994491577</v>
      </c>
      <c r="N305" s="21">
        <f>mamiabc!N85</f>
        <v>0.49572989344596863</v>
      </c>
      <c r="O305" s="21">
        <f>mamiabc!O85</f>
        <v>0.31003996729850769</v>
      </c>
      <c r="P305" s="21">
        <f>mamiabc!P85</f>
        <v>2.2613492012023926</v>
      </c>
      <c r="Q305" s="21">
        <f>mamiabc!Q85</f>
        <v>1.6288275718688965</v>
      </c>
      <c r="R305" s="21">
        <f>mamiabc!R85</f>
        <v>1.1620020866394043</v>
      </c>
      <c r="S305" s="21">
        <f>mamiabc!S85</f>
        <v>1.3401436805725098</v>
      </c>
      <c r="T305" s="21">
        <f>mamiabc!T85</f>
        <v>0.38416191935539246</v>
      </c>
      <c r="U305" s="21">
        <f>mamiabc!U85</f>
        <v>2.3576428890228271</v>
      </c>
      <c r="V305" s="21">
        <f>mamiabc!V85</f>
        <v>4.3976931571960449</v>
      </c>
      <c r="W305" s="21">
        <f>mamiabc!W85</f>
        <v>6.8055276870727539</v>
      </c>
      <c r="X305" s="21">
        <f>mamiabc!X85</f>
        <v>1.0620815753936768</v>
      </c>
      <c r="Y305" s="21">
        <f>mamiabc!Y85</f>
        <v>23.262006759643555</v>
      </c>
      <c r="Z305" s="21">
        <f>mamiabc!Z85</f>
        <v>51.418785095214844</v>
      </c>
      <c r="AA305" s="21">
        <f>mamiabc!AA85</f>
        <v>9.6750164031982422</v>
      </c>
      <c r="AB305" s="21">
        <f>mamiabc!AB85</f>
        <v>2.2336657047271729</v>
      </c>
      <c r="AC305" s="21">
        <f>mamiabc!AC85</f>
        <v>8.1954889297485352</v>
      </c>
      <c r="AD305" s="21">
        <f>mamiabc!AD85</f>
        <v>8.4418277740478516</v>
      </c>
      <c r="AE305" s="21">
        <f>mamiabc!AE85</f>
        <v>21.756065368652344</v>
      </c>
      <c r="AF305" s="21">
        <f>mamiabc!AF85</f>
        <v>29.74290657043457</v>
      </c>
      <c r="AG305" s="21">
        <f>mamiabc!AG85</f>
        <v>5.1207904815673828</v>
      </c>
      <c r="AH305" s="21">
        <f>mamiabc!AH85</f>
        <v>-1.4226530790328979</v>
      </c>
      <c r="AI305" s="21">
        <f>mamiabc!AI85</f>
        <v>-5.799159049987793</v>
      </c>
      <c r="AJ305" s="21">
        <f>mamiabc!AJ85</f>
        <v>-1.4299999475479126</v>
      </c>
      <c r="AK305" s="21">
        <f>mamiabc!AK85</f>
        <v>4.3000001907348633</v>
      </c>
      <c r="AL305" s="21">
        <f>mamiabc!AL85</f>
        <v>2.3299999237060547</v>
      </c>
      <c r="AM305" s="21">
        <f>mamiabc!AM85</f>
        <v>66.589996337890625</v>
      </c>
      <c r="AN305" s="21">
        <f>mamiabc!AN85</f>
        <v>12.100000381469727</v>
      </c>
      <c r="AO305" s="21">
        <f>mamiabc!AO85</f>
        <v>21</v>
      </c>
      <c r="AP305" s="21">
        <f>mamiabc!AP85</f>
        <v>47</v>
      </c>
      <c r="AQ305" s="21">
        <f>mamiabc!AQ85</f>
        <v>38.306300283925985</v>
      </c>
      <c r="AR305" s="21">
        <f>mamiabc!AR85</f>
        <v>30.387615455445705</v>
      </c>
      <c r="AS305" s="21">
        <f>mamiabc!AS85</f>
        <v>449.54631502796258</v>
      </c>
      <c r="AT305" s="21">
        <f>mamiabc!AT85</f>
        <v>426.50594858796609</v>
      </c>
      <c r="AU305" s="21">
        <f>mamiabc!AU85</f>
        <v>113.05936131309264</v>
      </c>
      <c r="AV305" s="40">
        <f>DataInput!AV791</f>
        <v>-6</v>
      </c>
      <c r="AW305" s="32">
        <f>AW306+(AW363/AV363-1)*100+SIM!E64</f>
        <v>1.870674066222211E-2</v>
      </c>
      <c r="AX305" s="32">
        <f>AX306+(AX363/AW363-1)*100+SIM!F64</f>
        <v>0</v>
      </c>
      <c r="AY305" s="32">
        <f>AY306+(AY363/AX363-1)*100+SIM!G64</f>
        <v>116.45262866771448</v>
      </c>
      <c r="AZ305" s="32">
        <f>AZ306+(AZ363/AY363-1)*100+SIM!H64</f>
        <v>59.344518852335412</v>
      </c>
      <c r="BA305" s="32">
        <f>BA306+(BA363/AZ363-1)*100+SIM!I64</f>
        <v>60.273813624983489</v>
      </c>
      <c r="BB305" s="32">
        <f>BB306+(BB363/BA363-1)*100+SIM!J64</f>
        <v>9.5020603613891144</v>
      </c>
      <c r="BC305" s="32">
        <f>BC306+(BC363/BB363-1)*100+SIM!K64</f>
        <v>26.146035492253837</v>
      </c>
      <c r="BD305" s="32">
        <f>BD306+(BD363/BC363-1)*100+SIM!L64</f>
        <v>19.087389010382807</v>
      </c>
      <c r="BE305" s="32">
        <f>BE306+(BE363/BD363-1)*100+SIM!M64</f>
        <v>10.644595339014602</v>
      </c>
      <c r="BF305" s="32">
        <f>BF306+(BF363/BE363-1)*100+SIM!N64</f>
        <v>8.265163698192854</v>
      </c>
      <c r="BG305" s="32">
        <f>BG306+(BG363/BF363-1)*100+SIM!O64</f>
        <v>8.8395932332093548</v>
      </c>
      <c r="BH305" s="32">
        <f>BH306+(BH363/BG363-1)*100+SIM!P64</f>
        <v>14.39638928051075</v>
      </c>
      <c r="BI305" s="32">
        <f>BI306+(BI363/BH363-1)*100+SIM!Q64</f>
        <v>-0.29945901391304375</v>
      </c>
      <c r="BJ305" s="32">
        <f>BJ306+(BJ363/BI363-1)*100+SIM!R64</f>
        <v>12.730784144341271</v>
      </c>
      <c r="BK305" s="32">
        <f>BK306+(BK363/BJ363-1)*100+SIM!S64+finsim!BJ268</f>
        <v>17.353986329017417</v>
      </c>
      <c r="BL305" s="32">
        <f>BL306+(BL363/BK363-1)*100+SIM!T64+finsim!BK268</f>
        <v>3.8667529293760854</v>
      </c>
      <c r="BM305" s="32">
        <f>BM306+(BM363/BL363-1)*100+SIM!U64+finsim!BL268</f>
        <v>2.4685623583623086</v>
      </c>
      <c r="BN305" s="32">
        <f>BN306+(BN363/BM363-1)*100+SIM!V64+finsim!BM268</f>
        <v>-4.924487713808734E-2</v>
      </c>
      <c r="BO305" s="32">
        <f>BO306+(BO363/BN363-1)*100+SIM!W64+finsim!BN268</f>
        <v>-10.243754484139728</v>
      </c>
      <c r="BP305" s="32">
        <f>BP306+(BP363/BO363-1)*100+SIM!X64+finsim!BO268</f>
        <v>27.196461808614071</v>
      </c>
      <c r="BQ305" s="32">
        <f>BQ306+(BQ363/BP363-1)*100+SIM!Y64+finsim!BP268</f>
        <v>4.5647332788181867</v>
      </c>
      <c r="BR305" s="32">
        <f>BR306+(BR363/BQ363-1)*100+SIM!Z64+finsim!BQ268</f>
        <v>3.8071513833502246</v>
      </c>
      <c r="BS305" s="32">
        <f>BS306+(BS363/BR363-1)*100+SIM!AA64+finsim!BR268</f>
        <v>3.2874793468550547</v>
      </c>
      <c r="BT305" s="32">
        <f>BT306+(BT363/BS363-1)*100+SIM!AB64+finsim!BS268</f>
        <v>4.7663040163181751</v>
      </c>
      <c r="BU305" s="32">
        <f>BU306+(BU363/BT363-1)*100+SIM!AC64+finsim!BT268</f>
        <v>4.7663040163181751</v>
      </c>
      <c r="BV305" s="32">
        <f>BV306+(BV363/BU363-1)*100+SIM!AD64+finsim!BU268</f>
        <v>4.7663040163181751</v>
      </c>
      <c r="BW305" s="32">
        <f>BW306+(BW363/BV363-1)*100+SIM!AE64+finsim!BV268</f>
        <v>4.7663040163181751</v>
      </c>
      <c r="BX305" s="32">
        <f>BX306+(BX363/BW363-1)*100+SIM!AF64+finsim!BW268</f>
        <v>4.7663040163181751</v>
      </c>
      <c r="BY305" s="32">
        <f>BY306+(BY363/BX363-1)*100+SIM!AG64+finsim!BX268</f>
        <v>4.7663040163181751</v>
      </c>
      <c r="BZ305" s="32">
        <f>BZ306+(BZ363/BY363-1)*100+SIM!AH64+finsim!BY268</f>
        <v>4.7663040163181751</v>
      </c>
      <c r="CA305" s="32">
        <f>CA306+(CA363/BZ363-1)*100+SIM!AI64+finsim!BZ268</f>
        <v>4.7663040163181751</v>
      </c>
      <c r="CB305" s="32">
        <f>CB306+(CB363/CA363-1)*100+SIM!AJ64+finsim!CA268</f>
        <v>4.7663040163181751</v>
      </c>
      <c r="CC305" s="32">
        <f>CC306+(CC363/CB363-1)*100+SIM!AK64+finsim!CB268</f>
        <v>4.7663040163181751</v>
      </c>
      <c r="CD305" s="32">
        <f>CD306+(CD363/CC363-1)*100+SIM!AL64+finsim!CC268</f>
        <v>4.7663040163181751</v>
      </c>
      <c r="CE305" s="32"/>
      <c r="CF305" s="443"/>
      <c r="CG305" s="235">
        <f t="shared" si="870"/>
        <v>-1.1358579293693936</v>
      </c>
      <c r="CH305" s="235">
        <f t="shared" si="871"/>
        <v>0</v>
      </c>
      <c r="CI305" s="235" t="e">
        <f>BM305-#REF!</f>
        <v>#REF!</v>
      </c>
      <c r="CJ305" s="235">
        <f t="shared" si="935"/>
        <v>0</v>
      </c>
      <c r="CK305" s="235">
        <f t="shared" si="936"/>
        <v>0</v>
      </c>
      <c r="CL305" s="235">
        <f t="shared" si="937"/>
        <v>0</v>
      </c>
      <c r="CM305" s="235">
        <f t="shared" si="938"/>
        <v>0</v>
      </c>
      <c r="CN305" s="235">
        <f t="shared" si="939"/>
        <v>0</v>
      </c>
      <c r="CO305" s="235">
        <f t="shared" si="940"/>
        <v>0</v>
      </c>
      <c r="CP305" s="235">
        <f t="shared" si="941"/>
        <v>0</v>
      </c>
      <c r="CQ305" s="235">
        <f t="shared" si="942"/>
        <v>0</v>
      </c>
      <c r="CR305" s="235">
        <f t="shared" si="943"/>
        <v>0</v>
      </c>
      <c r="CS305" s="235">
        <f t="shared" si="944"/>
        <v>0</v>
      </c>
      <c r="CT305" s="235">
        <f t="shared" si="945"/>
        <v>0</v>
      </c>
      <c r="CU305" s="235">
        <f t="shared" si="946"/>
        <v>0</v>
      </c>
      <c r="CV305" s="235">
        <f t="shared" si="947"/>
        <v>0</v>
      </c>
      <c r="CW305" s="235">
        <f t="shared" si="948"/>
        <v>0</v>
      </c>
      <c r="CX305" s="235">
        <f t="shared" si="949"/>
        <v>0</v>
      </c>
      <c r="CY305" s="235">
        <f t="shared" si="950"/>
        <v>0</v>
      </c>
      <c r="CZ305" s="235">
        <f t="shared" si="951"/>
        <v>0</v>
      </c>
      <c r="DA305" s="38"/>
      <c r="DB305" s="236">
        <v>7.2651636981928496</v>
      </c>
      <c r="DC305" s="236">
        <v>8.265163698192854</v>
      </c>
      <c r="DD305" s="236">
        <v>8.8886978880226373</v>
      </c>
      <c r="DE305" s="236">
        <v>16.665061404094125</v>
      </c>
      <c r="DF305" s="259">
        <v>-1.1929258294134257</v>
      </c>
      <c r="DG305" s="236">
        <v>18.48984425838681</v>
      </c>
      <c r="DH305" s="492">
        <v>3.8667529293760854</v>
      </c>
      <c r="DI305" s="236">
        <v>-4.924487713808734E-2</v>
      </c>
      <c r="DJ305" s="236">
        <v>-10.243754484139728</v>
      </c>
      <c r="DK305" s="236">
        <v>27.196461808614071</v>
      </c>
      <c r="DL305" s="236">
        <v>4.5647332788181867</v>
      </c>
      <c r="DM305" s="236">
        <v>3.8071513833502246</v>
      </c>
      <c r="DN305" s="236">
        <v>3.2874793468550547</v>
      </c>
      <c r="DO305" s="236">
        <v>4.7663040163181751</v>
      </c>
      <c r="DP305" s="236">
        <v>4.7663040163181751</v>
      </c>
      <c r="DQ305" s="259">
        <v>4.7663040163181751</v>
      </c>
      <c r="DR305" s="259">
        <v>4.7663040163181751</v>
      </c>
      <c r="DS305" s="259">
        <v>4.7663040163181751</v>
      </c>
      <c r="DT305" s="259">
        <v>4.7663040163181751</v>
      </c>
      <c r="DU305" s="259">
        <v>4.7663040163181751</v>
      </c>
      <c r="DV305" s="259">
        <v>4.7663040163181751</v>
      </c>
      <c r="DW305" s="259">
        <v>4.7663040163181751</v>
      </c>
      <c r="DX305" s="259">
        <v>4.7663040163181751</v>
      </c>
      <c r="DY305" s="259">
        <v>4.7663040163181751</v>
      </c>
      <c r="DZ305" s="259"/>
      <c r="EA305" s="508"/>
    </row>
    <row r="306" spans="1:131" s="25" customFormat="1">
      <c r="A306" s="982" t="s">
        <v>3655</v>
      </c>
      <c r="B306" s="297" t="s">
        <v>4138</v>
      </c>
      <c r="C306" s="448" t="s">
        <v>3737</v>
      </c>
      <c r="D306" s="225"/>
      <c r="E306" s="225"/>
      <c r="F306" s="21">
        <f>mamiabc!F89</f>
        <v>0</v>
      </c>
      <c r="G306" s="21">
        <f>mamiabc!G89</f>
        <v>0</v>
      </c>
      <c r="H306" s="21">
        <f>mamiabc!H89</f>
        <v>0</v>
      </c>
      <c r="I306" s="21">
        <f>mamiabc!I89</f>
        <v>0</v>
      </c>
      <c r="J306" s="21">
        <f>mamiabc!J89</f>
        <v>0</v>
      </c>
      <c r="K306" s="21">
        <f>mamiabc!K89</f>
        <v>0</v>
      </c>
      <c r="L306" s="21">
        <f>mamiabc!L89</f>
        <v>0</v>
      </c>
      <c r="M306" s="21">
        <f>mamiabc!M89</f>
        <v>0</v>
      </c>
      <c r="N306" s="21">
        <f>mamiabc!N89</f>
        <v>0</v>
      </c>
      <c r="O306" s="21">
        <f>mamiabc!O89</f>
        <v>0</v>
      </c>
      <c r="P306" s="21">
        <f>mamiabc!P89</f>
        <v>0</v>
      </c>
      <c r="Q306" s="21">
        <f>mamiabc!Q89</f>
        <v>0</v>
      </c>
      <c r="R306" s="21">
        <f>mamiabc!R89</f>
        <v>0</v>
      </c>
      <c r="S306" s="21">
        <f>mamiabc!S89</f>
        <v>0</v>
      </c>
      <c r="T306" s="21">
        <f>mamiabc!T89</f>
        <v>0</v>
      </c>
      <c r="U306" s="21">
        <f>mamiabc!U89</f>
        <v>0</v>
      </c>
      <c r="V306" s="21">
        <f>mamiabc!V89</f>
        <v>0</v>
      </c>
      <c r="W306" s="21">
        <f>mamiabc!W89</f>
        <v>0</v>
      </c>
      <c r="X306" s="21">
        <f>mamiabc!X89</f>
        <v>0</v>
      </c>
      <c r="Y306" s="21">
        <f>mamiabc!Y89</f>
        <v>0</v>
      </c>
      <c r="Z306" s="21">
        <f>mamiabc!Z89</f>
        <v>0</v>
      </c>
      <c r="AA306" s="21">
        <f>mamiabc!AA89</f>
        <v>0</v>
      </c>
      <c r="AB306" s="21">
        <f>mamiabc!AB89</f>
        <v>0</v>
      </c>
      <c r="AC306" s="21">
        <f>mamiabc!AC89</f>
        <v>0</v>
      </c>
      <c r="AD306" s="21">
        <f>mamiabc!AD89</f>
        <v>0</v>
      </c>
      <c r="AE306" s="21">
        <f>mamiabc!AE89</f>
        <v>0</v>
      </c>
      <c r="AF306" s="21">
        <f>mamiabc!AF89</f>
        <v>0</v>
      </c>
      <c r="AG306" s="21">
        <f>mamiabc!AG89</f>
        <v>0</v>
      </c>
      <c r="AH306" s="21">
        <f>mamiabc!AH89</f>
        <v>0</v>
      </c>
      <c r="AI306" s="21">
        <f>mamiabc!AI89</f>
        <v>0</v>
      </c>
      <c r="AJ306" s="21">
        <f>mamiabc!AJ89</f>
        <v>0</v>
      </c>
      <c r="AK306" s="21">
        <f>mamiabc!AK89</f>
        <v>0</v>
      </c>
      <c r="AL306" s="21">
        <f>mamiabc!AL89</f>
        <v>0</v>
      </c>
      <c r="AM306" s="21">
        <f>mamiabc!AM89</f>
        <v>0</v>
      </c>
      <c r="AN306" s="21">
        <f>mamiabc!AN89</f>
        <v>4.2</v>
      </c>
      <c r="AO306" s="21">
        <f>mamiabc!AO89</f>
        <v>4.9000000000000004</v>
      </c>
      <c r="AP306" s="21">
        <f>mamiabc!AP89</f>
        <v>5</v>
      </c>
      <c r="AQ306" s="21">
        <f>mamiabc!AQ89</f>
        <v>4</v>
      </c>
      <c r="AR306" s="21">
        <f>mamiabc!AR89</f>
        <v>3</v>
      </c>
      <c r="AS306" s="21">
        <f>mamiabc!AS89</f>
        <v>3</v>
      </c>
      <c r="AT306" s="21">
        <f>mamiabc!AT89</f>
        <v>2.6</v>
      </c>
      <c r="AU306" s="21">
        <f>mamiabc!AU89</f>
        <v>2.8</v>
      </c>
      <c r="AV306" s="40">
        <f>DataInput!AV50</f>
        <v>0</v>
      </c>
      <c r="AW306" s="40">
        <f>DataInput!AW50</f>
        <v>0</v>
      </c>
      <c r="AX306" s="40">
        <f>DataInput!AX50</f>
        <v>0</v>
      </c>
      <c r="AY306" s="40">
        <f>DataInput!AY50</f>
        <v>2.0112321589863038</v>
      </c>
      <c r="AZ306" s="40">
        <f>DataInput!AZ50</f>
        <v>5.1062846185202639</v>
      </c>
      <c r="BA306" s="40">
        <f>DataInput!BA50</f>
        <v>-3.9788874780769019</v>
      </c>
      <c r="BB306" s="40">
        <f>DataInput!BB50</f>
        <v>2.6879680960689436</v>
      </c>
      <c r="BC306" s="40">
        <f>DataInput!BC50</f>
        <v>14.268444917487386</v>
      </c>
      <c r="BD306" s="40">
        <f>DataInput!BD50</f>
        <v>14.06804839663041</v>
      </c>
      <c r="BE306" s="40">
        <f>DataInput!BE50</f>
        <v>10.790901118092872</v>
      </c>
      <c r="BF306" s="40">
        <f>DataInput!BF50</f>
        <v>7.8072882403173978</v>
      </c>
      <c r="BG306" s="40">
        <f>DataInput!BG50</f>
        <v>8.7484355303834711</v>
      </c>
      <c r="BH306" s="40">
        <f>DataInput!BH50</f>
        <v>14.39638928051075</v>
      </c>
      <c r="BI306" s="40">
        <f>DataInput!BI50</f>
        <v>-4.1245956259349059</v>
      </c>
      <c r="BJ306" s="40">
        <f>DataInput!BJ50</f>
        <v>5.713240284692148</v>
      </c>
      <c r="BK306" s="40">
        <f>DataInput!BK50</f>
        <v>10.79660927983708</v>
      </c>
      <c r="BL306" s="40">
        <f>DataInput!BL50</f>
        <v>0.78982985245299742</v>
      </c>
      <c r="BM306" s="40">
        <f>DataInput!BM50</f>
        <v>2.4685623583623086</v>
      </c>
      <c r="BN306" s="40">
        <f>DataInput!BN50</f>
        <v>-4.924487713808734E-2</v>
      </c>
      <c r="BO306" s="40">
        <f>DataInput!BO50</f>
        <v>-10.243754484139728</v>
      </c>
      <c r="BP306" s="40">
        <f>DataInput!BP50</f>
        <v>1.8233274802558546</v>
      </c>
      <c r="BQ306" s="40">
        <f>DataInput!BQ50</f>
        <v>4.5647332788181867</v>
      </c>
      <c r="BR306" s="40">
        <f>DataInput!BR50</f>
        <v>3.8071513833502246</v>
      </c>
      <c r="BS306" s="40">
        <f>DataInput!BS50</f>
        <v>3.2874793468550547</v>
      </c>
      <c r="BT306" s="40">
        <f>DataInput!BT50</f>
        <v>4.7663040163181751</v>
      </c>
      <c r="BU306" s="40">
        <f>DataInput!BU50</f>
        <v>4.7663040163181751</v>
      </c>
      <c r="BV306" s="40">
        <f>DataInput!BV50</f>
        <v>4.7663040163181751</v>
      </c>
      <c r="BW306" s="40">
        <f>DataInput!BW50</f>
        <v>4.7663040163181751</v>
      </c>
      <c r="BX306" s="40">
        <f>DataInput!BX50</f>
        <v>4.7663040163181751</v>
      </c>
      <c r="BY306" s="40">
        <f>DataInput!BY50</f>
        <v>4.7663040163181751</v>
      </c>
      <c r="BZ306" s="40">
        <f>DataInput!BZ50</f>
        <v>4.7663040163181751</v>
      </c>
      <c r="CA306" s="40">
        <f>DataInput!CA50</f>
        <v>4.7663040163181751</v>
      </c>
      <c r="CB306" s="40">
        <f>DataInput!CB50</f>
        <v>4.7663040163181751</v>
      </c>
      <c r="CC306" s="40">
        <f>DataInput!CC50</f>
        <v>4.7663040163181751</v>
      </c>
      <c r="CD306" s="40">
        <f>DataInput!CD50</f>
        <v>4.7663040163181751</v>
      </c>
      <c r="CE306" s="40"/>
      <c r="CF306" s="435"/>
      <c r="CG306" s="235">
        <f t="shared" si="870"/>
        <v>-1.1358579293693953</v>
      </c>
      <c r="CH306" s="235">
        <f t="shared" si="871"/>
        <v>0</v>
      </c>
      <c r="CI306" s="235" t="e">
        <f>BM306-#REF!</f>
        <v>#REF!</v>
      </c>
      <c r="CJ306" s="235">
        <f t="shared" si="935"/>
        <v>0</v>
      </c>
      <c r="CK306" s="235">
        <f t="shared" si="936"/>
        <v>0</v>
      </c>
      <c r="CL306" s="235">
        <f t="shared" si="937"/>
        <v>0</v>
      </c>
      <c r="CM306" s="235">
        <f t="shared" si="938"/>
        <v>0</v>
      </c>
      <c r="CN306" s="235">
        <f t="shared" si="939"/>
        <v>0</v>
      </c>
      <c r="CO306" s="235">
        <f t="shared" si="940"/>
        <v>0</v>
      </c>
      <c r="CP306" s="235">
        <f t="shared" si="941"/>
        <v>0</v>
      </c>
      <c r="CQ306" s="235">
        <f t="shared" si="942"/>
        <v>0</v>
      </c>
      <c r="CR306" s="235">
        <f t="shared" si="943"/>
        <v>0</v>
      </c>
      <c r="CS306" s="235">
        <f t="shared" si="944"/>
        <v>0</v>
      </c>
      <c r="CT306" s="235">
        <f t="shared" si="945"/>
        <v>0</v>
      </c>
      <c r="CU306" s="235">
        <f t="shared" si="946"/>
        <v>0</v>
      </c>
      <c r="CV306" s="235">
        <f t="shared" si="947"/>
        <v>0</v>
      </c>
      <c r="CW306" s="235">
        <f t="shared" si="948"/>
        <v>0</v>
      </c>
      <c r="CX306" s="235">
        <f t="shared" si="949"/>
        <v>0</v>
      </c>
      <c r="CY306" s="235">
        <f t="shared" si="950"/>
        <v>0</v>
      </c>
      <c r="CZ306" s="235">
        <f t="shared" si="951"/>
        <v>0</v>
      </c>
      <c r="DA306" s="38"/>
      <c r="DB306" s="236">
        <v>6.8072882403174004</v>
      </c>
      <c r="DC306" s="236">
        <v>7.8072882403173978</v>
      </c>
      <c r="DD306" s="236">
        <v>8.7975401851967536</v>
      </c>
      <c r="DE306" s="236">
        <v>16.665061404094125</v>
      </c>
      <c r="DF306" s="259">
        <v>-5.0180624414352879</v>
      </c>
      <c r="DG306" s="236">
        <v>11.932467209206475</v>
      </c>
      <c r="DH306" s="492">
        <v>0.78982985245299742</v>
      </c>
      <c r="DI306" s="236">
        <v>-4.924487713808734E-2</v>
      </c>
      <c r="DJ306" s="236">
        <v>-10.243754484139728</v>
      </c>
      <c r="DK306" s="236">
        <v>1.8233274802558546</v>
      </c>
      <c r="DL306" s="236">
        <v>4.5647332788181867</v>
      </c>
      <c r="DM306" s="236">
        <v>3.8071513833502246</v>
      </c>
      <c r="DN306" s="236">
        <v>3.2874793468550547</v>
      </c>
      <c r="DO306" s="236">
        <v>4.7663040163181751</v>
      </c>
      <c r="DP306" s="236">
        <v>4.7663040163181751</v>
      </c>
      <c r="DQ306" s="259">
        <v>4.7663040163181751</v>
      </c>
      <c r="DR306" s="259">
        <v>4.7663040163181751</v>
      </c>
      <c r="DS306" s="259">
        <v>4.7663040163181751</v>
      </c>
      <c r="DT306" s="259">
        <v>4.7663040163181751</v>
      </c>
      <c r="DU306" s="259">
        <v>4.7663040163181751</v>
      </c>
      <c r="DV306" s="259">
        <v>4.7663040163181751</v>
      </c>
      <c r="DW306" s="259">
        <v>4.7663040163181751</v>
      </c>
      <c r="DX306" s="259">
        <v>4.7663040163181751</v>
      </c>
      <c r="DY306" s="259">
        <v>4.7663040163181751</v>
      </c>
      <c r="DZ306" s="259"/>
      <c r="EA306" s="508"/>
    </row>
    <row r="307" spans="1:131" s="25" customFormat="1">
      <c r="A307" s="25" t="s">
        <v>3654</v>
      </c>
      <c r="B307" s="297" t="s">
        <v>1309</v>
      </c>
      <c r="C307" s="448" t="s">
        <v>3725</v>
      </c>
      <c r="D307" s="225" t="s">
        <v>2462</v>
      </c>
      <c r="E307" s="225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32">
        <f>DataInput!AV44+(AV363/AU363-1)*100+SIM!D64</f>
        <v>-15.088943333288835</v>
      </c>
      <c r="AW307" s="32">
        <f>DataInput!AW44+(AW363/AV363-1)*100+SIM!E64</f>
        <v>-6.0086103064569185</v>
      </c>
      <c r="AX307" s="32">
        <f>DataInput!AX44+(AX363/AW363-1)*100+SIM!F64</f>
        <v>-5.7561550140380859</v>
      </c>
      <c r="AY307" s="32">
        <f>DataInput!AY44+(AY363/AX363-1)*100+SIM!G64</f>
        <v>111.82615760377517</v>
      </c>
      <c r="AZ307" s="32">
        <f>DataInput!AZ44+(AZ363/AY363-1)*100+SIM!H64</f>
        <v>53.904499542672113</v>
      </c>
      <c r="BA307" s="32">
        <f>DataInput!BA44+(BA363/AZ363-1)*100+SIM!I64</f>
        <v>60.288261949389124</v>
      </c>
      <c r="BB307" s="32">
        <f>DataInput!BB44+(BB363/BA363-1)*100+SIM!J64</f>
        <v>7.0914948153022417</v>
      </c>
      <c r="BC307" s="32">
        <f>DataInput!BC44+(BC363/BB363-1)*100+SIM!K64</f>
        <v>21.327270903135592</v>
      </c>
      <c r="BD307" s="32">
        <f>DataInput!BD44+(BD363/BC363-1)*100+SIM!L64</f>
        <v>14.416686156660113</v>
      </c>
      <c r="BE307" s="32">
        <f>DataInput!BE44+(BE363/BD363-1)*100+SIM!M64</f>
        <v>5.6696459635490815</v>
      </c>
      <c r="BF307" s="32">
        <f>DataInput!BF44+(BF363/BE363-1)*100+SIM!N64</f>
        <v>5.6321967877008232</v>
      </c>
      <c r="BG307" s="32">
        <f>DataInput!BG44+(BG363/BF363-1)*100+SIM!O64</f>
        <v>7.4972706980010466</v>
      </c>
      <c r="BH307" s="32">
        <f>DataInput!BH44+(BH363/BG363-1)*100+SIM!P64</f>
        <v>10.042206955774988</v>
      </c>
      <c r="BI307" s="32">
        <f>DataInput!BI44+(BI363/BH363-1)*100+SIM!Q64</f>
        <v>6.8251366120218622</v>
      </c>
      <c r="BJ307" s="22">
        <f>DataInput!BJ44+(BJ363/BI363-1)*100+SIM!R64</f>
        <v>10.017543859649123</v>
      </c>
      <c r="BK307" s="32">
        <f>DataInput!BK44+(BK363/BJ363-1)*100+SIM!S64+finsim!BJ270</f>
        <v>9.5573770491803351</v>
      </c>
      <c r="BL307" s="32">
        <f>DataInput!BL44+(BL363/BK363-1)*100+SIM!T64+finsim!BK270</f>
        <v>6.0769230769230882</v>
      </c>
      <c r="BM307" s="32">
        <f>DataInput!BM44+(BM363/BL363-1)*100+SIM!U64+finsim!BL270</f>
        <v>3</v>
      </c>
      <c r="BN307" s="32">
        <f>DataInput!BN44+(BN363/BM363-1)*100+SIM!V64+finsim!BM270</f>
        <v>3</v>
      </c>
      <c r="BO307" s="32">
        <f>DataInput!BO44+(BO363/BN363-1)*100+SIM!W64+finsim!BN270</f>
        <v>3</v>
      </c>
      <c r="BP307" s="32">
        <f>DataInput!BP44+(BP363/BO363-1)*100+SIM!X64+finsim!BO270</f>
        <v>28.373134328358216</v>
      </c>
      <c r="BQ307" s="32">
        <f>DataInput!BQ44+(BQ363/BP363-1)*100+SIM!Y64+finsim!BP270</f>
        <v>3</v>
      </c>
      <c r="BR307" s="32">
        <f>DataInput!BR44+(BR363/BQ363-1)*100+SIM!Z64+finsim!BQ270</f>
        <v>3</v>
      </c>
      <c r="BS307" s="32">
        <f>DataInput!BS44+(BS363/BR363-1)*100+SIM!AA64+finsim!BR270</f>
        <v>3</v>
      </c>
      <c r="BT307" s="32">
        <f>DataInput!BT44+(BT363/BS363-1)*100+SIM!AB64+finsim!BS270</f>
        <v>3</v>
      </c>
      <c r="BU307" s="32">
        <f>DataInput!BU44+(BU363/BT363-1)*100+SIM!AC64+finsim!BT270</f>
        <v>3</v>
      </c>
      <c r="BV307" s="32">
        <f>DataInput!BV44+(BV363/BU363-1)*100+SIM!AD64+finsim!BU270</f>
        <v>3</v>
      </c>
      <c r="BW307" s="32">
        <f>DataInput!BW44+(BW363/BV363-1)*100+SIM!AE64+finsim!BV270</f>
        <v>3</v>
      </c>
      <c r="BX307" s="32">
        <f>DataInput!BX44+(BX363/BW363-1)*100+SIM!AF64+finsim!BW270</f>
        <v>3</v>
      </c>
      <c r="BY307" s="32">
        <f>DataInput!BY44+(BY363/BX363-1)*100+SIM!AG64+finsim!BX270</f>
        <v>3</v>
      </c>
      <c r="BZ307" s="32">
        <f>DataInput!BZ44+(BZ363/BY363-1)*100+SIM!AH64+finsim!BY270</f>
        <v>3</v>
      </c>
      <c r="CA307" s="32">
        <f>DataInput!CA44+(CA363/BZ363-1)*100+SIM!AI64+finsim!BZ270</f>
        <v>3</v>
      </c>
      <c r="CB307" s="32">
        <f>DataInput!CB44+(CB363/CA363-1)*100+SIM!AJ64+finsim!CA270</f>
        <v>3</v>
      </c>
      <c r="CC307" s="32">
        <f>DataInput!CC44+(CC363/CB363-1)*100+SIM!AK64+finsim!CB270</f>
        <v>3</v>
      </c>
      <c r="CD307" s="32">
        <f>DataInput!CD44+(CD363/CC363-1)*100+SIM!AL64+finsim!CC270</f>
        <v>3</v>
      </c>
      <c r="CE307" s="32"/>
      <c r="CF307" s="443"/>
      <c r="CG307" s="235">
        <f t="shared" si="870"/>
        <v>0</v>
      </c>
      <c r="CH307" s="235">
        <f t="shared" si="871"/>
        <v>0</v>
      </c>
      <c r="CI307" s="235" t="e">
        <f>BM307-#REF!</f>
        <v>#REF!</v>
      </c>
      <c r="CJ307" s="235">
        <f t="shared" si="935"/>
        <v>0</v>
      </c>
      <c r="CK307" s="235">
        <f t="shared" si="936"/>
        <v>0</v>
      </c>
      <c r="CL307" s="235">
        <f t="shared" si="937"/>
        <v>0</v>
      </c>
      <c r="CM307" s="235">
        <f t="shared" si="938"/>
        <v>0</v>
      </c>
      <c r="CN307" s="235">
        <f t="shared" si="939"/>
        <v>0</v>
      </c>
      <c r="CO307" s="235">
        <f t="shared" si="940"/>
        <v>0</v>
      </c>
      <c r="CP307" s="235">
        <f t="shared" si="941"/>
        <v>0</v>
      </c>
      <c r="CQ307" s="235">
        <f t="shared" si="942"/>
        <v>0</v>
      </c>
      <c r="CR307" s="235">
        <f t="shared" si="943"/>
        <v>0</v>
      </c>
      <c r="CS307" s="235">
        <f t="shared" si="944"/>
        <v>0</v>
      </c>
      <c r="CT307" s="235">
        <f t="shared" si="945"/>
        <v>0</v>
      </c>
      <c r="CU307" s="235">
        <f t="shared" si="946"/>
        <v>0</v>
      </c>
      <c r="CV307" s="235">
        <f t="shared" si="947"/>
        <v>0</v>
      </c>
      <c r="CW307" s="235">
        <f t="shared" si="948"/>
        <v>0</v>
      </c>
      <c r="CX307" s="235">
        <f t="shared" si="949"/>
        <v>0</v>
      </c>
      <c r="CY307" s="235">
        <f t="shared" si="950"/>
        <v>0</v>
      </c>
      <c r="CZ307" s="235">
        <f t="shared" si="951"/>
        <v>0</v>
      </c>
      <c r="DA307" s="38"/>
      <c r="DB307" s="236">
        <v>4.6321967877008197</v>
      </c>
      <c r="DC307" s="236">
        <v>5.6321967877008232</v>
      </c>
      <c r="DD307" s="236">
        <v>7.4972706980010466</v>
      </c>
      <c r="DE307" s="236">
        <v>9.999270072992692</v>
      </c>
      <c r="DF307" s="259">
        <v>6.8251366120218622</v>
      </c>
      <c r="DG307" s="236">
        <v>9.5573770491803351</v>
      </c>
      <c r="DH307" s="492">
        <v>6.0769230769230882</v>
      </c>
      <c r="DI307" s="236">
        <v>3</v>
      </c>
      <c r="DJ307" s="236">
        <v>3</v>
      </c>
      <c r="DK307" s="236">
        <v>28.373134328358216</v>
      </c>
      <c r="DL307" s="236">
        <v>3</v>
      </c>
      <c r="DM307" s="236">
        <v>3</v>
      </c>
      <c r="DN307" s="236">
        <v>3</v>
      </c>
      <c r="DO307" s="236">
        <v>3</v>
      </c>
      <c r="DP307" s="236">
        <v>3</v>
      </c>
      <c r="DQ307" s="259">
        <v>3</v>
      </c>
      <c r="DR307" s="259">
        <v>3</v>
      </c>
      <c r="DS307" s="259">
        <v>3</v>
      </c>
      <c r="DT307" s="259">
        <v>3</v>
      </c>
      <c r="DU307" s="259">
        <v>3</v>
      </c>
      <c r="DV307" s="259">
        <v>3</v>
      </c>
      <c r="DW307" s="259">
        <v>3</v>
      </c>
      <c r="DX307" s="259">
        <v>3</v>
      </c>
      <c r="DY307" s="259">
        <v>3</v>
      </c>
      <c r="DZ307" s="259"/>
      <c r="EA307" s="508"/>
    </row>
    <row r="308" spans="1:131" s="25" customFormat="1">
      <c r="A308" s="25" t="s">
        <v>3656</v>
      </c>
      <c r="B308" s="297" t="s">
        <v>2322</v>
      </c>
      <c r="C308" s="448" t="s">
        <v>3726</v>
      </c>
      <c r="D308" s="225"/>
      <c r="E308" s="225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40">
        <f>DataInput!AV44</f>
        <v>-1.9769800901412964</v>
      </c>
      <c r="AW308" s="40">
        <f>DataInput!AW44</f>
        <v>-6.0273170471191406</v>
      </c>
      <c r="AX308" s="40">
        <f>DataInput!AX44</f>
        <v>-5.7561550140380859</v>
      </c>
      <c r="AY308" s="40">
        <f>DataInput!AY44</f>
        <v>-2.6152389049530029</v>
      </c>
      <c r="AZ308" s="40">
        <f>DataInput!AZ44</f>
        <v>-0.33373469114303589</v>
      </c>
      <c r="BA308" s="40">
        <f>DataInput!BA44</f>
        <v>-3.9644391536712646</v>
      </c>
      <c r="BB308" s="40">
        <f>DataInput!BB44</f>
        <v>0.27740254998207092</v>
      </c>
      <c r="BC308" s="40">
        <f>DataInput!BC44</f>
        <v>9.4496803283691406</v>
      </c>
      <c r="BD308" s="40">
        <f>DataInput!BD44</f>
        <v>9.3973455429077148</v>
      </c>
      <c r="BE308" s="40">
        <f>DataInput!BE44</f>
        <v>5.8159517426273517</v>
      </c>
      <c r="BF308" s="40">
        <f>DataInput!BF44</f>
        <v>5.174321329825367</v>
      </c>
      <c r="BG308" s="40">
        <f>DataInput!BG44</f>
        <v>7.406112995175163</v>
      </c>
      <c r="BH308" s="40">
        <f>DataInput!BH44</f>
        <v>10.042206955774988</v>
      </c>
      <c r="BI308" s="40">
        <f>DataInput!BI44</f>
        <v>3</v>
      </c>
      <c r="BJ308" s="40">
        <f>DataInput!BJ44</f>
        <v>3</v>
      </c>
      <c r="BK308" s="40">
        <f>DataInput!BK44</f>
        <v>3</v>
      </c>
      <c r="BL308" s="40">
        <f>DataInput!BL44</f>
        <v>3</v>
      </c>
      <c r="BM308" s="40">
        <f>DataInput!BM44</f>
        <v>3</v>
      </c>
      <c r="BN308" s="40">
        <f>DataInput!BN44</f>
        <v>3</v>
      </c>
      <c r="BO308" s="40">
        <f>DataInput!BO44</f>
        <v>3</v>
      </c>
      <c r="BP308" s="40">
        <f>DataInput!BP44</f>
        <v>3</v>
      </c>
      <c r="BQ308" s="40">
        <f>DataInput!BQ44</f>
        <v>3</v>
      </c>
      <c r="BR308" s="40">
        <f>DataInput!BR44</f>
        <v>3</v>
      </c>
      <c r="BS308" s="40">
        <f>DataInput!BS44</f>
        <v>3</v>
      </c>
      <c r="BT308" s="40">
        <f>DataInput!BT44</f>
        <v>3</v>
      </c>
      <c r="BU308" s="40">
        <f>DataInput!BU44</f>
        <v>3</v>
      </c>
      <c r="BV308" s="40">
        <f>DataInput!BV44</f>
        <v>3</v>
      </c>
      <c r="BW308" s="40">
        <f>DataInput!BW44</f>
        <v>3</v>
      </c>
      <c r="BX308" s="40">
        <f>DataInput!BX44</f>
        <v>3</v>
      </c>
      <c r="BY308" s="40">
        <f>DataInput!BY44</f>
        <v>3</v>
      </c>
      <c r="BZ308" s="40">
        <f>DataInput!BZ44</f>
        <v>3</v>
      </c>
      <c r="CA308" s="40">
        <f>DataInput!CA44</f>
        <v>3</v>
      </c>
      <c r="CB308" s="40">
        <f>DataInput!CB44</f>
        <v>3</v>
      </c>
      <c r="CC308" s="40">
        <f>DataInput!CC44</f>
        <v>3</v>
      </c>
      <c r="CD308" s="40">
        <f>DataInput!CD44</f>
        <v>3</v>
      </c>
      <c r="CE308" s="40"/>
      <c r="CF308" s="435"/>
      <c r="CG308" s="235">
        <f t="shared" si="870"/>
        <v>0</v>
      </c>
      <c r="CH308" s="235">
        <f t="shared" si="871"/>
        <v>0</v>
      </c>
      <c r="CI308" s="235" t="e">
        <f>BM308-#REF!</f>
        <v>#REF!</v>
      </c>
      <c r="CJ308" s="235">
        <f t="shared" si="935"/>
        <v>0</v>
      </c>
      <c r="CK308" s="235">
        <f t="shared" si="936"/>
        <v>0</v>
      </c>
      <c r="CL308" s="235">
        <f t="shared" si="937"/>
        <v>0</v>
      </c>
      <c r="CM308" s="235">
        <f t="shared" si="938"/>
        <v>0</v>
      </c>
      <c r="CN308" s="235">
        <f t="shared" si="939"/>
        <v>0</v>
      </c>
      <c r="CO308" s="235">
        <f t="shared" si="940"/>
        <v>0</v>
      </c>
      <c r="CP308" s="235">
        <f t="shared" si="941"/>
        <v>0</v>
      </c>
      <c r="CQ308" s="235">
        <f t="shared" si="942"/>
        <v>0</v>
      </c>
      <c r="CR308" s="235">
        <f t="shared" si="943"/>
        <v>0</v>
      </c>
      <c r="CS308" s="235">
        <f t="shared" si="944"/>
        <v>0</v>
      </c>
      <c r="CT308" s="235">
        <f t="shared" si="945"/>
        <v>0</v>
      </c>
      <c r="CU308" s="235">
        <f t="shared" si="946"/>
        <v>0</v>
      </c>
      <c r="CV308" s="235">
        <f t="shared" si="947"/>
        <v>0</v>
      </c>
      <c r="CW308" s="235">
        <f t="shared" si="948"/>
        <v>0</v>
      </c>
      <c r="CX308" s="235">
        <f t="shared" si="949"/>
        <v>0</v>
      </c>
      <c r="CY308" s="235">
        <f t="shared" si="950"/>
        <v>0</v>
      </c>
      <c r="CZ308" s="235">
        <f t="shared" si="951"/>
        <v>0</v>
      </c>
      <c r="DA308" s="38"/>
      <c r="DB308" s="236">
        <v>4.1743213298253696</v>
      </c>
      <c r="DC308" s="236">
        <v>5.174321329825367</v>
      </c>
      <c r="DD308" s="236">
        <v>7.406112995175163</v>
      </c>
      <c r="DE308" s="236">
        <v>9.999270072992692</v>
      </c>
      <c r="DF308" s="259">
        <v>3</v>
      </c>
      <c r="DG308" s="236">
        <v>3</v>
      </c>
      <c r="DH308" s="492">
        <v>3</v>
      </c>
      <c r="DI308" s="236">
        <v>3</v>
      </c>
      <c r="DJ308" s="236">
        <v>3</v>
      </c>
      <c r="DK308" s="236">
        <v>3</v>
      </c>
      <c r="DL308" s="236">
        <v>3</v>
      </c>
      <c r="DM308" s="236">
        <v>3</v>
      </c>
      <c r="DN308" s="236">
        <v>3</v>
      </c>
      <c r="DO308" s="236">
        <v>3</v>
      </c>
      <c r="DP308" s="236">
        <v>3</v>
      </c>
      <c r="DQ308" s="259">
        <v>3</v>
      </c>
      <c r="DR308" s="259">
        <v>3</v>
      </c>
      <c r="DS308" s="259">
        <v>3</v>
      </c>
      <c r="DT308" s="259">
        <v>3</v>
      </c>
      <c r="DU308" s="259">
        <v>3</v>
      </c>
      <c r="DV308" s="259">
        <v>3</v>
      </c>
      <c r="DW308" s="259">
        <v>3</v>
      </c>
      <c r="DX308" s="259">
        <v>3</v>
      </c>
      <c r="DY308" s="259">
        <v>3</v>
      </c>
      <c r="DZ308" s="259"/>
      <c r="EA308" s="508"/>
    </row>
    <row r="309" spans="1:131" s="25" customFormat="1">
      <c r="A309" s="25" t="s">
        <v>3662</v>
      </c>
      <c r="B309" s="112" t="s">
        <v>1595</v>
      </c>
      <c r="C309" s="12" t="s">
        <v>3697</v>
      </c>
      <c r="D309" s="225"/>
      <c r="E309" s="225"/>
      <c r="F309" s="225"/>
      <c r="G309" s="225"/>
      <c r="H309" s="225"/>
      <c r="I309" s="225"/>
      <c r="J309" s="225"/>
      <c r="K309" s="225"/>
      <c r="L309" s="225"/>
      <c r="M309" s="225"/>
      <c r="N309" s="225"/>
      <c r="O309" s="225"/>
      <c r="P309" s="225"/>
      <c r="Q309" s="225"/>
      <c r="R309" s="225"/>
      <c r="S309" s="225"/>
      <c r="T309" s="225"/>
      <c r="U309" s="225"/>
      <c r="V309" s="225"/>
      <c r="W309" s="225"/>
      <c r="X309" s="225"/>
      <c r="Y309" s="225"/>
      <c r="Z309" s="225"/>
      <c r="AA309" s="225"/>
      <c r="AB309" s="225"/>
      <c r="AC309" s="225"/>
      <c r="AD309" s="225"/>
      <c r="AE309" s="225"/>
      <c r="AF309" s="225"/>
      <c r="AG309" s="225"/>
      <c r="AH309" s="225"/>
      <c r="AI309" s="225"/>
      <c r="AJ309" s="225"/>
      <c r="AK309" s="225"/>
      <c r="AL309" s="225"/>
      <c r="AM309" s="225"/>
      <c r="AN309" s="225"/>
      <c r="AO309" s="225"/>
      <c r="AP309" s="225"/>
      <c r="AQ309" s="225"/>
      <c r="AR309" s="225"/>
      <c r="AS309" s="225"/>
      <c r="AT309" s="225"/>
      <c r="AU309" s="12"/>
      <c r="AV309" s="99"/>
      <c r="AW309" s="99">
        <f t="shared" ref="AW309:BB309" si="987">((1+AW310/100)/(AW382/AV382)-1)*100</f>
        <v>34.125073770962743</v>
      </c>
      <c r="AX309" s="99">
        <f t="shared" si="987"/>
        <v>19.2417997901277</v>
      </c>
      <c r="AY309" s="99">
        <f t="shared" si="987"/>
        <v>86.298164227566645</v>
      </c>
      <c r="AZ309" s="99">
        <f t="shared" si="987"/>
        <v>34.353231388908647</v>
      </c>
      <c r="BA309" s="99">
        <f t="shared" si="987"/>
        <v>67.168223442018643</v>
      </c>
      <c r="BB309" s="99">
        <f t="shared" si="987"/>
        <v>21.176895433469699</v>
      </c>
      <c r="BC309" s="99">
        <f t="shared" ref="BC309:BQ309" ca="1" si="988">((1+BC310/100)/(BC382/BB382)-1)*100</f>
        <v>20.963444160494603</v>
      </c>
      <c r="BD309" s="99">
        <f t="shared" ca="1" si="988"/>
        <v>12.065800599648057</v>
      </c>
      <c r="BE309" s="99">
        <f t="shared" ca="1" si="988"/>
        <v>2.1463760113450414</v>
      </c>
      <c r="BF309" s="99">
        <f t="shared" ca="1" si="988"/>
        <v>3.8364636310114664</v>
      </c>
      <c r="BG309" s="99">
        <f t="shared" ca="1" si="988"/>
        <v>6.0646227938293995</v>
      </c>
      <c r="BH309" s="99">
        <f t="shared" ca="1" si="988"/>
        <v>7.9791388947431763</v>
      </c>
      <c r="BI309" s="99">
        <f t="shared" ca="1" si="988"/>
        <v>6.7468791925761717</v>
      </c>
      <c r="BJ309" s="99">
        <f t="shared" ca="1" si="988"/>
        <v>5.6683485373864473</v>
      </c>
      <c r="BK309" s="99">
        <f t="shared" ref="BK309:BP309" ca="1" si="989">((1+BK310/100)/(BK382/BJ382)-1)*100</f>
        <v>11.474987468496511</v>
      </c>
      <c r="BL309" s="99">
        <f t="shared" ca="1" si="989"/>
        <v>11.443933712616339</v>
      </c>
      <c r="BM309" s="99">
        <f t="shared" ca="1" si="989"/>
        <v>2.9269221671393009</v>
      </c>
      <c r="BN309" s="99">
        <f t="shared" ca="1" si="989"/>
        <v>-0.70040872933799792</v>
      </c>
      <c r="BO309" s="99">
        <f t="shared" ca="1" si="989"/>
        <v>2.1912284529201242</v>
      </c>
      <c r="BP309" s="99">
        <f t="shared" ca="1" si="989"/>
        <v>18.590638223308709</v>
      </c>
      <c r="BQ309" s="99">
        <f t="shared" ca="1" si="988"/>
        <v>21.856918045354945</v>
      </c>
      <c r="BR309" s="99">
        <f t="shared" ref="BR309:BX309" ca="1" si="990">((1+BR310/100)/(BR382/BQ382)-1)*100</f>
        <v>7.4042551423326053</v>
      </c>
      <c r="BS309" s="99">
        <f t="shared" ca="1" si="990"/>
        <v>2.5921882963164666</v>
      </c>
      <c r="BT309" s="99">
        <f t="shared" ca="1" si="990"/>
        <v>1.3868106407934233</v>
      </c>
      <c r="BU309" s="99">
        <f t="shared" ca="1" si="990"/>
        <v>1.6187435283723239</v>
      </c>
      <c r="BV309" s="99">
        <f t="shared" ca="1" si="990"/>
        <v>1.7027349518128565</v>
      </c>
      <c r="BW309" s="99">
        <f t="shared" ca="1" si="990"/>
        <v>1.7271102575959763</v>
      </c>
      <c r="BX309" s="99">
        <f t="shared" ca="1" si="990"/>
        <v>1.6780251204802532</v>
      </c>
      <c r="BY309" s="99">
        <f t="shared" ref="BY309" ca="1" si="991">((1+BY310/100)/(BY382/BX382)-1)*100</f>
        <v>1.6125558491679959</v>
      </c>
      <c r="BZ309" s="99">
        <f t="shared" ref="BZ309" ca="1" si="992">((1+BZ310/100)/(BZ382/BY382)-1)*100</f>
        <v>1.5638155627885286</v>
      </c>
      <c r="CA309" s="99">
        <f t="shared" ref="CA309" ca="1" si="993">((1+CA310/100)/(CA382/BZ382)-1)*100</f>
        <v>1.5389427641407716</v>
      </c>
      <c r="CB309" s="99">
        <f t="shared" ref="CB309" ca="1" si="994">((1+CB310/100)/(CB382/CA382)-1)*100</f>
        <v>1.5184941807869112</v>
      </c>
      <c r="CC309" s="99">
        <f t="shared" ref="CC309" ca="1" si="995">((1+CC310/100)/(CC382/CB382)-1)*100</f>
        <v>1.4900884221793476</v>
      </c>
      <c r="CD309" s="99">
        <f t="shared" ref="CD309" ca="1" si="996">((1+CD310/100)/(CD382/CC382)-1)*100</f>
        <v>1.4615155377851075</v>
      </c>
      <c r="CE309" s="99"/>
      <c r="CF309" s="435"/>
      <c r="CG309" s="235">
        <f t="shared" ref="CG309:CG332" ca="1" si="997">BK309-DG309</f>
        <v>1.4352376763732586</v>
      </c>
      <c r="CH309" s="235">
        <f t="shared" ref="CH309:CH332" ca="1" si="998">BL309-DH309</f>
        <v>-2.0265466883273575E-5</v>
      </c>
      <c r="CI309" s="235" t="e">
        <f ca="1">BM309-#REF!</f>
        <v>#REF!</v>
      </c>
      <c r="CJ309" s="235">
        <f t="shared" ca="1" si="935"/>
        <v>0</v>
      </c>
      <c r="CK309" s="235">
        <f t="shared" ca="1" si="936"/>
        <v>0</v>
      </c>
      <c r="CL309" s="235">
        <f t="shared" ca="1" si="937"/>
        <v>0</v>
      </c>
      <c r="CM309" s="235">
        <f t="shared" ca="1" si="938"/>
        <v>0</v>
      </c>
      <c r="CN309" s="235">
        <f t="shared" ca="1" si="939"/>
        <v>0</v>
      </c>
      <c r="CO309" s="235">
        <f t="shared" ca="1" si="940"/>
        <v>0</v>
      </c>
      <c r="CP309" s="235">
        <f t="shared" ca="1" si="941"/>
        <v>-4.4408920985006262E-14</v>
      </c>
      <c r="CQ309" s="235">
        <f t="shared" ca="1" si="942"/>
        <v>-4.4408920985006262E-14</v>
      </c>
      <c r="CR309" s="235">
        <f t="shared" ca="1" si="943"/>
        <v>2.2204460492503131E-14</v>
      </c>
      <c r="CS309" s="235">
        <f t="shared" ca="1" si="944"/>
        <v>2.2204460492503131E-14</v>
      </c>
      <c r="CT309" s="235">
        <f t="shared" ca="1" si="945"/>
        <v>0</v>
      </c>
      <c r="CU309" s="235">
        <f t="shared" ca="1" si="946"/>
        <v>0</v>
      </c>
      <c r="CV309" s="235">
        <f t="shared" ca="1" si="947"/>
        <v>0</v>
      </c>
      <c r="CW309" s="235">
        <f t="shared" ca="1" si="948"/>
        <v>0</v>
      </c>
      <c r="CX309" s="235">
        <f t="shared" ca="1" si="949"/>
        <v>-1.3322676295501878E-13</v>
      </c>
      <c r="CY309" s="235">
        <f t="shared" ca="1" si="950"/>
        <v>-1.2878587085651816E-12</v>
      </c>
      <c r="CZ309" s="235">
        <f t="shared" ca="1" si="951"/>
        <v>-1.4144241333724494E-11</v>
      </c>
      <c r="DA309" s="38"/>
      <c r="DB309" s="236">
        <v>8.3462076519507296</v>
      </c>
      <c r="DC309" s="236">
        <v>9.3462076519507331</v>
      </c>
      <c r="DD309" s="236">
        <v>8.8706217059189676</v>
      </c>
      <c r="DE309" s="236">
        <v>8.9685955040632148</v>
      </c>
      <c r="DF309" s="259">
        <v>8.586175840653997</v>
      </c>
      <c r="DG309" s="236">
        <v>10.039749792123253</v>
      </c>
      <c r="DH309" s="492">
        <v>11.443953978083222</v>
      </c>
      <c r="DI309" s="236">
        <v>-0.70040872933799792</v>
      </c>
      <c r="DJ309" s="236">
        <v>2.1912284529201242</v>
      </c>
      <c r="DK309" s="236">
        <v>18.590638223308687</v>
      </c>
      <c r="DL309" s="236">
        <v>21.856918045354924</v>
      </c>
      <c r="DM309" s="236">
        <v>7.4042551423326053</v>
      </c>
      <c r="DN309" s="236">
        <v>2.5921882963164666</v>
      </c>
      <c r="DO309" s="236">
        <v>1.3868106407934677</v>
      </c>
      <c r="DP309" s="236">
        <v>1.6187435283723683</v>
      </c>
      <c r="DQ309" s="259">
        <v>1.7027349518128343</v>
      </c>
      <c r="DR309" s="259">
        <v>1.727110257595954</v>
      </c>
      <c r="DS309" s="259">
        <v>1.6780251204802532</v>
      </c>
      <c r="DT309" s="259">
        <v>1.6125558491679959</v>
      </c>
      <c r="DU309" s="259">
        <v>1.5638155627885286</v>
      </c>
      <c r="DV309" s="259">
        <v>1.5389427641407716</v>
      </c>
      <c r="DW309" s="259">
        <v>1.5184941807870445</v>
      </c>
      <c r="DX309" s="259">
        <v>1.4900884221806354</v>
      </c>
      <c r="DY309" s="259">
        <v>1.4615155377992517</v>
      </c>
      <c r="DZ309" s="259"/>
      <c r="EA309" s="508"/>
    </row>
    <row r="310" spans="1:131" s="25" customFormat="1">
      <c r="A310" s="25" t="s">
        <v>3663</v>
      </c>
      <c r="B310" s="112" t="s">
        <v>3835</v>
      </c>
      <c r="C310" s="12" t="s">
        <v>3698</v>
      </c>
      <c r="D310" s="225"/>
      <c r="E310" s="225"/>
      <c r="F310" s="25">
        <v>65.3</v>
      </c>
      <c r="G310" s="25">
        <v>65.3</v>
      </c>
      <c r="H310" s="25">
        <v>65.3</v>
      </c>
      <c r="I310" s="25">
        <v>65.3</v>
      </c>
      <c r="J310" s="25">
        <v>65.3</v>
      </c>
      <c r="K310" s="25">
        <v>65.3</v>
      </c>
      <c r="L310" s="25">
        <v>65.3</v>
      </c>
      <c r="M310" s="25">
        <v>65.3</v>
      </c>
      <c r="N310" s="25">
        <v>65.3</v>
      </c>
      <c r="O310" s="25">
        <v>65.3</v>
      </c>
      <c r="P310" s="25">
        <v>65.3</v>
      </c>
      <c r="Q310" s="25">
        <v>65.3</v>
      </c>
      <c r="R310" s="25">
        <v>65.3</v>
      </c>
      <c r="S310" s="25">
        <v>65.3</v>
      </c>
      <c r="T310" s="25">
        <v>65.3</v>
      </c>
      <c r="U310" s="25">
        <v>65.3</v>
      </c>
      <c r="V310" s="25">
        <v>65.3</v>
      </c>
      <c r="W310" s="25">
        <v>65.3</v>
      </c>
      <c r="X310" s="25">
        <v>65.3</v>
      </c>
      <c r="Y310" s="25">
        <v>65.3</v>
      </c>
      <c r="Z310" s="25">
        <v>65.3</v>
      </c>
      <c r="AA310" s="25">
        <v>65.3</v>
      </c>
      <c r="AB310" s="25">
        <v>65.3</v>
      </c>
      <c r="AC310" s="25">
        <v>65.3</v>
      </c>
      <c r="AD310" s="25">
        <v>65.3</v>
      </c>
      <c r="AE310" s="25">
        <v>65.3</v>
      </c>
      <c r="AF310" s="25">
        <v>65.3</v>
      </c>
      <c r="AG310" s="25">
        <v>65.3</v>
      </c>
      <c r="AH310" s="25">
        <v>65.3</v>
      </c>
      <c r="AI310" s="25">
        <v>65.3</v>
      </c>
      <c r="AJ310" s="25">
        <v>65.3</v>
      </c>
      <c r="AK310" s="25">
        <v>65.3</v>
      </c>
      <c r="AL310" s="25">
        <v>65.3</v>
      </c>
      <c r="AM310" s="25">
        <v>65.3</v>
      </c>
      <c r="AN310" s="25">
        <v>65.3</v>
      </c>
      <c r="AO310" s="25">
        <v>65.3</v>
      </c>
      <c r="AP310" s="25">
        <v>65.3</v>
      </c>
      <c r="AQ310" s="25">
        <v>65.3</v>
      </c>
      <c r="AR310" s="25">
        <v>65.3</v>
      </c>
      <c r="AS310" s="25">
        <v>65.3</v>
      </c>
      <c r="AT310" s="25">
        <v>65.3</v>
      </c>
      <c r="AU310" s="25">
        <v>65.3</v>
      </c>
      <c r="AV310" s="25">
        <v>65.3</v>
      </c>
      <c r="AW310" s="25">
        <f t="shared" ref="AW310:BB310" si="999">((AW294/AV294)/(AW370/AV370)-1)*100</f>
        <v>34.125073770962743</v>
      </c>
      <c r="AX310" s="25">
        <f t="shared" si="999"/>
        <v>19.2417997901277</v>
      </c>
      <c r="AY310" s="25">
        <f t="shared" si="999"/>
        <v>86.298164227566645</v>
      </c>
      <c r="AZ310" s="25">
        <f t="shared" si="999"/>
        <v>34.353231388908647</v>
      </c>
      <c r="BA310" s="99">
        <f t="shared" si="999"/>
        <v>67.168223442018643</v>
      </c>
      <c r="BB310" s="99">
        <f t="shared" si="999"/>
        <v>21.176895433469699</v>
      </c>
      <c r="BC310" s="99">
        <f t="shared" ref="BC310:BQ310" ca="1" si="1000">((BC294/BB294)/(BC370/BB370)-1)*100</f>
        <v>20.963444160494603</v>
      </c>
      <c r="BD310" s="99">
        <f t="shared" ca="1" si="1000"/>
        <v>12.065800599648057</v>
      </c>
      <c r="BE310" s="99">
        <f t="shared" ca="1" si="1000"/>
        <v>2.1463760113450414</v>
      </c>
      <c r="BF310" s="99">
        <f t="shared" ca="1" si="1000"/>
        <v>4.8748282673215737</v>
      </c>
      <c r="BG310" s="99">
        <f t="shared" ca="1" si="1000"/>
        <v>6.0646227938293995</v>
      </c>
      <c r="BH310" s="99">
        <f t="shared" ca="1" si="1000"/>
        <v>7.9791388947431763</v>
      </c>
      <c r="BI310" s="99">
        <f t="shared" ca="1" si="1000"/>
        <v>6.7468791925761717</v>
      </c>
      <c r="BJ310" s="99">
        <f t="shared" ca="1" si="1000"/>
        <v>5.6683485373864473</v>
      </c>
      <c r="BK310" s="99">
        <f t="shared" ref="BK310:BP310" ca="1" si="1001">((BK294/BJ294)/(BK370/BJ370)-1)*100</f>
        <v>11.474987468496511</v>
      </c>
      <c r="BL310" s="99">
        <f t="shared" ca="1" si="1001"/>
        <v>11.443933712616339</v>
      </c>
      <c r="BM310" s="99">
        <f t="shared" ca="1" si="1001"/>
        <v>2.9269221671393009</v>
      </c>
      <c r="BN310" s="99">
        <f t="shared" ca="1" si="1001"/>
        <v>1.285583096075249</v>
      </c>
      <c r="BO310" s="99">
        <f t="shared" ca="1" si="1001"/>
        <v>4.2350530219785298</v>
      </c>
      <c r="BP310" s="99">
        <f t="shared" ca="1" si="1001"/>
        <v>20.962450987774872</v>
      </c>
      <c r="BQ310" s="99">
        <f t="shared" ca="1" si="1000"/>
        <v>24.294056406262033</v>
      </c>
      <c r="BR310" s="99">
        <f t="shared" ref="BR310:BX310" ca="1" si="1002">((BR294/BQ294)/(BR370/BQ370)-1)*100</f>
        <v>9.5523402451792361</v>
      </c>
      <c r="BS310" s="99">
        <f t="shared" ca="1" si="1002"/>
        <v>4.6440320622428199</v>
      </c>
      <c r="BT310" s="99">
        <f t="shared" ca="1" si="1002"/>
        <v>3.4145468536093793</v>
      </c>
      <c r="BU310" s="99">
        <f t="shared" ca="1" si="1002"/>
        <v>3.6511183989398122</v>
      </c>
      <c r="BV310" s="99">
        <f t="shared" ca="1" si="1002"/>
        <v>3.736789650849115</v>
      </c>
      <c r="BW310" s="99">
        <f t="shared" ca="1" si="1002"/>
        <v>3.7616524627478665</v>
      </c>
      <c r="BX310" s="99">
        <f t="shared" ca="1" si="1002"/>
        <v>3.711585622889868</v>
      </c>
      <c r="BY310" s="99">
        <f t="shared" ref="BY310" ca="1" si="1003">((BY294/BX294)/(BY370/BX370)-1)*100</f>
        <v>3.6448069661513705</v>
      </c>
      <c r="BZ310" s="99">
        <f t="shared" ref="BZ310" ca="1" si="1004">((BZ294/BY294)/(BZ370/BY370)-1)*100</f>
        <v>3.5950918740443649</v>
      </c>
      <c r="CA310" s="99">
        <f t="shared" ref="CA310" ca="1" si="1005">((CA294/BZ294)/(CA370/BZ370)-1)*100</f>
        <v>3.5697216194236159</v>
      </c>
      <c r="CB310" s="99">
        <f t="shared" ref="CB310" ca="1" si="1006">((CB294/CA294)/(CB370/CA370)-1)*100</f>
        <v>3.5488640644027569</v>
      </c>
      <c r="CC310" s="99">
        <f t="shared" ref="CC310" ca="1" si="1007">((CC294/CB294)/(CC370/CB370)-1)*100</f>
        <v>3.5198901906230207</v>
      </c>
      <c r="CD310" s="99">
        <f t="shared" ref="CD310" ca="1" si="1008">((CD294/CC294)/(CD370/CC370)-1)*100</f>
        <v>3.4907458485409437</v>
      </c>
      <c r="CE310" s="99"/>
      <c r="CF310" s="435"/>
      <c r="CG310" s="235">
        <f t="shared" ca="1" si="997"/>
        <v>1.4352376763732355</v>
      </c>
      <c r="CH310" s="235">
        <f t="shared" ca="1" si="998"/>
        <v>-2.0265466883273575E-5</v>
      </c>
      <c r="CI310" s="235" t="e">
        <f ca="1">BM310-#REF!</f>
        <v>#REF!</v>
      </c>
      <c r="CJ310" s="235">
        <f t="shared" ca="1" si="935"/>
        <v>0</v>
      </c>
      <c r="CK310" s="235">
        <f t="shared" ca="1" si="936"/>
        <v>0</v>
      </c>
      <c r="CL310" s="235">
        <f t="shared" ca="1" si="937"/>
        <v>0</v>
      </c>
      <c r="CM310" s="235">
        <f t="shared" ca="1" si="938"/>
        <v>0</v>
      </c>
      <c r="CN310" s="235">
        <f t="shared" ca="1" si="939"/>
        <v>-2.3092638912203256E-14</v>
      </c>
      <c r="CO310" s="235">
        <f t="shared" ca="1" si="940"/>
        <v>2.2204460492503131E-14</v>
      </c>
      <c r="CP310" s="235">
        <f t="shared" ca="1" si="941"/>
        <v>0</v>
      </c>
      <c r="CQ310" s="235">
        <f t="shared" ca="1" si="942"/>
        <v>0</v>
      </c>
      <c r="CR310" s="235">
        <f t="shared" ca="1" si="943"/>
        <v>0</v>
      </c>
      <c r="CS310" s="235">
        <f t="shared" ca="1" si="944"/>
        <v>-4.4408920985006262E-14</v>
      </c>
      <c r="CT310" s="235">
        <f t="shared" ca="1" si="945"/>
        <v>-6.6613381477509392E-14</v>
      </c>
      <c r="CU310" s="235">
        <f t="shared" ca="1" si="946"/>
        <v>-2.2204460492503131E-14</v>
      </c>
      <c r="CV310" s="235">
        <f t="shared" ca="1" si="947"/>
        <v>-4.4408920985006262E-14</v>
      </c>
      <c r="CW310" s="235">
        <f t="shared" ca="1" si="948"/>
        <v>-6.6613381477509392E-14</v>
      </c>
      <c r="CX310" s="235">
        <f t="shared" ca="1" si="949"/>
        <v>3.3306690738754696E-13</v>
      </c>
      <c r="CY310" s="235">
        <f t="shared" ca="1" si="950"/>
        <v>4.1744385725905886E-12</v>
      </c>
      <c r="CZ310" s="235">
        <f t="shared" ca="1" si="951"/>
        <v>3.3928415632544784E-11</v>
      </c>
      <c r="DA310" s="38"/>
      <c r="DB310" s="236">
        <v>8.3462076519507296</v>
      </c>
      <c r="DC310" s="236">
        <v>9.3462076519507331</v>
      </c>
      <c r="DD310" s="236">
        <v>8.8706217059189676</v>
      </c>
      <c r="DE310" s="236">
        <v>11.147967414144521</v>
      </c>
      <c r="DF310" s="259">
        <v>8.5861758406540201</v>
      </c>
      <c r="DG310" s="236">
        <v>10.039749792123276</v>
      </c>
      <c r="DH310" s="492">
        <v>11.443953978083222</v>
      </c>
      <c r="DI310" s="236">
        <v>1.285583096075249</v>
      </c>
      <c r="DJ310" s="236">
        <v>4.2350530219785298</v>
      </c>
      <c r="DK310" s="236">
        <v>20.962450987774872</v>
      </c>
      <c r="DL310" s="236">
        <v>24.294056406262055</v>
      </c>
      <c r="DM310" s="236">
        <v>9.5523402451792592</v>
      </c>
      <c r="DN310" s="236">
        <v>4.6440320622427977</v>
      </c>
      <c r="DO310" s="236">
        <v>3.4145468536093793</v>
      </c>
      <c r="DP310" s="236">
        <v>3.6511183989398122</v>
      </c>
      <c r="DQ310" s="259">
        <v>3.736789650849115</v>
      </c>
      <c r="DR310" s="259">
        <v>3.7616524627479109</v>
      </c>
      <c r="DS310" s="259">
        <v>3.7115856228899347</v>
      </c>
      <c r="DT310" s="259">
        <v>3.6448069661513927</v>
      </c>
      <c r="DU310" s="259">
        <v>3.5950918740444093</v>
      </c>
      <c r="DV310" s="259">
        <v>3.5697216194236825</v>
      </c>
      <c r="DW310" s="259">
        <v>3.5488640644024239</v>
      </c>
      <c r="DX310" s="259">
        <v>3.5198901906188462</v>
      </c>
      <c r="DY310" s="259">
        <v>3.4907458485070153</v>
      </c>
      <c r="DZ310" s="259"/>
      <c r="EA310" s="508"/>
    </row>
    <row r="311" spans="1:131" s="25" customFormat="1">
      <c r="A311" s="25" t="s">
        <v>3664</v>
      </c>
      <c r="B311" s="99" t="s">
        <v>2010</v>
      </c>
      <c r="C311" s="12" t="s">
        <v>4419</v>
      </c>
      <c r="D311" s="225"/>
      <c r="E311" s="225"/>
      <c r="G311" s="25">
        <f t="shared" ref="G311:AV311" si="1009">((G242/F242)/(G371/F371)-1)*100</f>
        <v>0.13426423200857407</v>
      </c>
      <c r="H311" s="25">
        <f t="shared" si="1009"/>
        <v>0.64330961995711089</v>
      </c>
      <c r="I311" s="25">
        <f t="shared" si="1009"/>
        <v>17.192987810101435</v>
      </c>
      <c r="J311" s="25">
        <f t="shared" si="1009"/>
        <v>3.8876158334320898</v>
      </c>
      <c r="K311" s="25">
        <f t="shared" si="1009"/>
        <v>1.5861385222345037</v>
      </c>
      <c r="L311" s="25">
        <f t="shared" si="1009"/>
        <v>4.3931522997048278</v>
      </c>
      <c r="M311" s="25">
        <f t="shared" si="1009"/>
        <v>25.77915432898148</v>
      </c>
      <c r="N311" s="25">
        <f t="shared" si="1009"/>
        <v>-5.1650745966717038</v>
      </c>
      <c r="O311" s="25">
        <f t="shared" si="1009"/>
        <v>-4.541595573135881</v>
      </c>
      <c r="P311" s="25">
        <f t="shared" si="1009"/>
        <v>8.1257183163178972</v>
      </c>
      <c r="Q311" s="25">
        <f t="shared" si="1009"/>
        <v>2.8244966851925346</v>
      </c>
      <c r="R311" s="25">
        <f t="shared" si="1009"/>
        <v>13.705220094571246</v>
      </c>
      <c r="S311" s="25">
        <f t="shared" si="1009"/>
        <v>-4.9484287419580664</v>
      </c>
      <c r="T311" s="25">
        <f t="shared" si="1009"/>
        <v>2.5396126546449516</v>
      </c>
      <c r="U311" s="25">
        <f t="shared" si="1009"/>
        <v>4.6632011859274014</v>
      </c>
      <c r="V311" s="25">
        <f t="shared" si="1009"/>
        <v>0.75571474982853992</v>
      </c>
      <c r="W311" s="25">
        <f t="shared" si="1009"/>
        <v>1.5134870247910381</v>
      </c>
      <c r="X311" s="25">
        <f t="shared" si="1009"/>
        <v>17.61390521705659</v>
      </c>
      <c r="Y311" s="25">
        <f t="shared" si="1009"/>
        <v>-4.386658763393525</v>
      </c>
      <c r="Z311" s="25">
        <f t="shared" si="1009"/>
        <v>1.5712349790351743</v>
      </c>
      <c r="AA311" s="25">
        <f t="shared" si="1009"/>
        <v>21.455121098067597</v>
      </c>
      <c r="AB311" s="25">
        <f t="shared" si="1009"/>
        <v>7.7455677182690863</v>
      </c>
      <c r="AC311" s="25">
        <f t="shared" si="1009"/>
        <v>17.051380495856062</v>
      </c>
      <c r="AD311" s="25">
        <f t="shared" si="1009"/>
        <v>6.536261775255392</v>
      </c>
      <c r="AE311" s="25">
        <f t="shared" si="1009"/>
        <v>3.4431752066989674</v>
      </c>
      <c r="AF311" s="25">
        <f t="shared" si="1009"/>
        <v>14.678301303855235</v>
      </c>
      <c r="AG311" s="25">
        <f t="shared" si="1009"/>
        <v>21.554196390516012</v>
      </c>
      <c r="AH311" s="25">
        <f t="shared" si="1009"/>
        <v>25.778184298035136</v>
      </c>
      <c r="AI311" s="25">
        <f t="shared" si="1009"/>
        <v>3.0096245628503882</v>
      </c>
      <c r="AJ311" s="25">
        <f t="shared" si="1009"/>
        <v>5.081909674891083E-2</v>
      </c>
      <c r="AK311" s="25">
        <f t="shared" si="1009"/>
        <v>-9.1108580106102899E-2</v>
      </c>
      <c r="AL311" s="25">
        <f t="shared" si="1009"/>
        <v>5.0965880605468028</v>
      </c>
      <c r="AM311" s="25">
        <f t="shared" si="1009"/>
        <v>7.1057529875214076</v>
      </c>
      <c r="AN311" s="25">
        <f t="shared" si="1009"/>
        <v>4.6529873604832739</v>
      </c>
      <c r="AO311" s="25">
        <f t="shared" si="1009"/>
        <v>6.3817285811676783</v>
      </c>
      <c r="AP311" s="25">
        <f t="shared" si="1009"/>
        <v>-4.1549733419440349</v>
      </c>
      <c r="AQ311" s="25">
        <f t="shared" si="1009"/>
        <v>30.422290241827788</v>
      </c>
      <c r="AR311" s="25">
        <f t="shared" si="1009"/>
        <v>24.816641108369787</v>
      </c>
      <c r="AS311" s="25">
        <f t="shared" si="1009"/>
        <v>24.354660559321829</v>
      </c>
      <c r="AT311" s="25">
        <f t="shared" si="1009"/>
        <v>261.22542718969294</v>
      </c>
      <c r="AU311" s="25">
        <f t="shared" si="1009"/>
        <v>298.31984174899884</v>
      </c>
      <c r="AV311" s="25">
        <f t="shared" si="1009"/>
        <v>97.66632065664578</v>
      </c>
      <c r="AW311" s="25">
        <f t="shared" ref="AW311:BH311" si="1010">((AW242/AV242)/(AW371/AV371)-1)*100</f>
        <v>34.427493916798646</v>
      </c>
      <c r="AX311" s="25">
        <f t="shared" si="1010"/>
        <v>91.621062820801356</v>
      </c>
      <c r="AY311" s="25">
        <f t="shared" si="1010"/>
        <v>41.204925172416807</v>
      </c>
      <c r="AZ311" s="25">
        <f t="shared" si="1010"/>
        <v>56.202849118505284</v>
      </c>
      <c r="BA311" s="99">
        <f t="shared" si="1010"/>
        <v>20.264500304823695</v>
      </c>
      <c r="BB311" s="99">
        <f t="shared" si="1010"/>
        <v>75.060522933414603</v>
      </c>
      <c r="BC311" s="99">
        <f t="shared" si="1010"/>
        <v>11.137951338024553</v>
      </c>
      <c r="BD311" s="99">
        <f t="shared" si="1010"/>
        <v>7.0203720670592329</v>
      </c>
      <c r="BE311" s="99">
        <f t="shared" si="1010"/>
        <v>5.9685269816737607</v>
      </c>
      <c r="BF311" s="99">
        <f t="shared" si="1010"/>
        <v>17.11120776622883</v>
      </c>
      <c r="BG311" s="99">
        <f t="shared" si="1010"/>
        <v>14.44683361385264</v>
      </c>
      <c r="BH311" s="99">
        <f t="shared" si="1010"/>
        <v>11.625209685132297</v>
      </c>
      <c r="BI311" s="99">
        <f t="shared" ref="BI311:BQ311" si="1011">((BI242/BH242)/(BI371/BH371)-1)*100</f>
        <v>25.12580022381643</v>
      </c>
      <c r="BJ311" s="99">
        <f t="shared" si="1011"/>
        <v>7.7699723218149552</v>
      </c>
      <c r="BK311" s="99">
        <f t="shared" si="1011"/>
        <v>11.470003595914125</v>
      </c>
      <c r="BL311" s="99">
        <f t="shared" si="1011"/>
        <v>7.5998870524686124</v>
      </c>
      <c r="BM311" s="99">
        <f t="shared" si="1011"/>
        <v>19.02553967771361</v>
      </c>
      <c r="BN311" s="99">
        <f t="shared" si="1011"/>
        <v>-8.2530560477146011</v>
      </c>
      <c r="BO311" s="99">
        <f t="shared" si="1011"/>
        <v>1.0391845379931208</v>
      </c>
      <c r="BP311" s="99">
        <f t="shared" ca="1" si="1011"/>
        <v>20.962450987774893</v>
      </c>
      <c r="BQ311" s="99">
        <f t="shared" ca="1" si="1011"/>
        <v>24.294056406262055</v>
      </c>
      <c r="BR311" s="99">
        <f t="shared" ref="BR311:BX311" ca="1" si="1012">((BR242/BQ242)/(BR371/BQ371)-1)*100</f>
        <v>9.5523402451792592</v>
      </c>
      <c r="BS311" s="99">
        <f t="shared" ca="1" si="1012"/>
        <v>4.6440320622427977</v>
      </c>
      <c r="BT311" s="99">
        <f t="shared" ca="1" si="1012"/>
        <v>3.4145468536092904</v>
      </c>
      <c r="BU311" s="99">
        <f t="shared" ca="1" si="1012"/>
        <v>3.6511183989397455</v>
      </c>
      <c r="BV311" s="99">
        <f t="shared" ca="1" si="1012"/>
        <v>3.736789650849115</v>
      </c>
      <c r="BW311" s="99">
        <f t="shared" ca="1" si="1012"/>
        <v>3.7616524627479109</v>
      </c>
      <c r="BX311" s="99">
        <f t="shared" ca="1" si="1012"/>
        <v>3.711585622889868</v>
      </c>
      <c r="BY311" s="99">
        <f t="shared" ref="BY311" ca="1" si="1013">((BY242/BX242)/(BY371/BX371)-1)*100</f>
        <v>3.6448069661513482</v>
      </c>
      <c r="BZ311" s="99">
        <f t="shared" ref="BZ311" ca="1" si="1014">((BZ242/BY242)/(BZ371/BY371)-1)*100</f>
        <v>3.5950918740442983</v>
      </c>
      <c r="CA311" s="99">
        <f t="shared" ref="CA311" ca="1" si="1015">((CA242/BZ242)/(CA371/BZ371)-1)*100</f>
        <v>3.5697216194235937</v>
      </c>
      <c r="CB311" s="99">
        <f t="shared" ref="CB311" ca="1" si="1016">((CB242/CA242)/(CB371/CA371)-1)*100</f>
        <v>3.5488640644026681</v>
      </c>
      <c r="CC311" s="99">
        <f t="shared" ref="CC311" ca="1" si="1017">((CC242/CB242)/(CC371/CB371)-1)*100</f>
        <v>3.5198901906229541</v>
      </c>
      <c r="CD311" s="99">
        <f t="shared" ref="CD311" ca="1" si="1018">((CD242/CC242)/(CD371/CC371)-1)*100</f>
        <v>3.4907458485408105</v>
      </c>
      <c r="CE311" s="99"/>
      <c r="CF311" s="435"/>
      <c r="CG311" s="235">
        <f t="shared" si="997"/>
        <v>-0.38341442511253732</v>
      </c>
      <c r="CH311" s="235">
        <f t="shared" si="998"/>
        <v>0</v>
      </c>
      <c r="CI311" s="235" t="e">
        <f>BM311-#REF!</f>
        <v>#REF!</v>
      </c>
      <c r="CJ311" s="235">
        <f t="shared" si="935"/>
        <v>0</v>
      </c>
      <c r="CK311" s="235">
        <f t="shared" si="936"/>
        <v>0</v>
      </c>
      <c r="CL311" s="235">
        <f t="shared" ca="1" si="937"/>
        <v>0</v>
      </c>
      <c r="CM311" s="235">
        <f t="shared" ca="1" si="938"/>
        <v>0</v>
      </c>
      <c r="CN311" s="235">
        <f t="shared" ca="1" si="939"/>
        <v>0</v>
      </c>
      <c r="CO311" s="235">
        <f t="shared" ca="1" si="940"/>
        <v>0</v>
      </c>
      <c r="CP311" s="235">
        <f t="shared" ca="1" si="941"/>
        <v>-6.6613381477509392E-14</v>
      </c>
      <c r="CQ311" s="235">
        <f t="shared" ca="1" si="942"/>
        <v>-6.6613381477509392E-14</v>
      </c>
      <c r="CR311" s="235">
        <f t="shared" ca="1" si="943"/>
        <v>2.2204460492503131E-14</v>
      </c>
      <c r="CS311" s="235">
        <f t="shared" ca="1" si="944"/>
        <v>4.4408920985006262E-14</v>
      </c>
      <c r="CT311" s="235">
        <f t="shared" ca="1" si="945"/>
        <v>2.2204460492503131E-14</v>
      </c>
      <c r="CU311" s="235">
        <f t="shared" ca="1" si="946"/>
        <v>2.2204460492503131E-14</v>
      </c>
      <c r="CV311" s="235">
        <f t="shared" ca="1" si="947"/>
        <v>0</v>
      </c>
      <c r="CW311" s="235">
        <f t="shared" ca="1" si="948"/>
        <v>0</v>
      </c>
      <c r="CX311" s="235">
        <f t="shared" ca="1" si="949"/>
        <v>-8.8817841970012523E-14</v>
      </c>
      <c r="CY311" s="235">
        <f t="shared" ca="1" si="950"/>
        <v>-1.2878587085651816E-12</v>
      </c>
      <c r="CZ311" s="235">
        <f t="shared" ca="1" si="951"/>
        <v>-1.4410694859634532E-11</v>
      </c>
      <c r="DA311" s="38"/>
      <c r="DB311" s="236">
        <v>17.4448041876703</v>
      </c>
      <c r="DC311" s="236">
        <v>18.444804187670272</v>
      </c>
      <c r="DD311" s="236">
        <v>12.606571481743023</v>
      </c>
      <c r="DE311" s="236">
        <v>7.1533505163989153</v>
      </c>
      <c r="DF311" s="259">
        <v>26.929223694306813</v>
      </c>
      <c r="DG311" s="236">
        <v>11.853418021026663</v>
      </c>
      <c r="DH311" s="492">
        <v>7.5998870524686124</v>
      </c>
      <c r="DI311" s="236">
        <v>-8.2530560477146011</v>
      </c>
      <c r="DJ311" s="236">
        <v>1.0391845379931208</v>
      </c>
      <c r="DK311" s="236">
        <v>20.962450987774872</v>
      </c>
      <c r="DL311" s="236">
        <v>24.294056406262033</v>
      </c>
      <c r="DM311" s="236">
        <v>9.5523402451792592</v>
      </c>
      <c r="DN311" s="236">
        <v>4.6440320622427977</v>
      </c>
      <c r="DO311" s="236">
        <v>3.4145468536093571</v>
      </c>
      <c r="DP311" s="236">
        <v>3.6511183989398122</v>
      </c>
      <c r="DQ311" s="259">
        <v>3.7367896508490928</v>
      </c>
      <c r="DR311" s="259">
        <v>3.7616524627478665</v>
      </c>
      <c r="DS311" s="259">
        <v>3.7115856228898458</v>
      </c>
      <c r="DT311" s="259">
        <v>3.644806966151326</v>
      </c>
      <c r="DU311" s="259">
        <v>3.5950918740442983</v>
      </c>
      <c r="DV311" s="259">
        <v>3.5697216194235937</v>
      </c>
      <c r="DW311" s="259">
        <v>3.5488640644027569</v>
      </c>
      <c r="DX311" s="259">
        <v>3.5198901906242419</v>
      </c>
      <c r="DY311" s="259">
        <v>3.4907458485552212</v>
      </c>
      <c r="DZ311" s="259"/>
      <c r="EA311" s="508"/>
    </row>
    <row r="312" spans="1:131" s="19" customFormat="1">
      <c r="B312" s="135" t="s">
        <v>3699</v>
      </c>
      <c r="D312" s="206"/>
      <c r="E312" s="206"/>
      <c r="F312" s="206"/>
      <c r="G312" s="206"/>
      <c r="H312" s="206"/>
      <c r="I312" s="206"/>
      <c r="J312" s="206"/>
      <c r="K312" s="206"/>
      <c r="L312" s="206"/>
      <c r="M312" s="206"/>
      <c r="N312" s="206"/>
      <c r="O312" s="206"/>
      <c r="P312" s="206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/>
      <c r="AH312" s="206"/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63"/>
      <c r="AX312" s="28"/>
      <c r="AY312" s="28"/>
      <c r="AZ312" s="28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435"/>
      <c r="CG312" s="235">
        <f t="shared" si="997"/>
        <v>0</v>
      </c>
      <c r="CH312" s="235">
        <f t="shared" si="998"/>
        <v>0</v>
      </c>
      <c r="CI312" s="235" t="e">
        <f>BM312-#REF!</f>
        <v>#REF!</v>
      </c>
      <c r="CJ312" s="235">
        <f t="shared" si="935"/>
        <v>0</v>
      </c>
      <c r="CK312" s="235">
        <f t="shared" si="936"/>
        <v>0</v>
      </c>
      <c r="CL312" s="235">
        <f t="shared" si="937"/>
        <v>0</v>
      </c>
      <c r="CM312" s="235">
        <f t="shared" si="938"/>
        <v>0</v>
      </c>
      <c r="CN312" s="235">
        <f t="shared" si="939"/>
        <v>0</v>
      </c>
      <c r="CO312" s="235">
        <f t="shared" si="940"/>
        <v>0</v>
      </c>
      <c r="CP312" s="235">
        <f t="shared" si="941"/>
        <v>0</v>
      </c>
      <c r="CQ312" s="235">
        <f t="shared" si="942"/>
        <v>0</v>
      </c>
      <c r="CR312" s="235">
        <f t="shared" si="943"/>
        <v>0</v>
      </c>
      <c r="CS312" s="235">
        <f t="shared" si="944"/>
        <v>0</v>
      </c>
      <c r="CT312" s="235">
        <f t="shared" si="945"/>
        <v>0</v>
      </c>
      <c r="CU312" s="235">
        <f t="shared" si="946"/>
        <v>0</v>
      </c>
      <c r="CV312" s="235">
        <f t="shared" si="947"/>
        <v>0</v>
      </c>
      <c r="CW312" s="235">
        <f t="shared" si="948"/>
        <v>0</v>
      </c>
      <c r="CX312" s="235">
        <f t="shared" si="949"/>
        <v>0</v>
      </c>
      <c r="CY312" s="235">
        <f t="shared" si="950"/>
        <v>0</v>
      </c>
      <c r="CZ312" s="235">
        <f t="shared" si="951"/>
        <v>0</v>
      </c>
      <c r="DA312" s="38"/>
      <c r="DB312" s="236"/>
      <c r="DC312" s="236"/>
      <c r="DD312" s="236"/>
      <c r="DE312" s="236"/>
      <c r="DF312" s="258"/>
      <c r="DG312" s="236"/>
      <c r="DH312" s="492"/>
      <c r="DI312" s="236"/>
      <c r="DJ312" s="236"/>
      <c r="DK312" s="236"/>
      <c r="DL312" s="236"/>
      <c r="DM312" s="236"/>
      <c r="DN312" s="236"/>
      <c r="DO312" s="236"/>
      <c r="DP312" s="236"/>
      <c r="DQ312" s="1084"/>
      <c r="DR312" s="1084"/>
      <c r="DS312" s="1084"/>
      <c r="DT312" s="1084"/>
      <c r="DU312" s="1084"/>
      <c r="DV312" s="1084"/>
      <c r="DW312" s="1084"/>
      <c r="DX312" s="1084"/>
      <c r="DY312" s="1084"/>
      <c r="DZ312" s="1084"/>
      <c r="EA312" s="988"/>
    </row>
    <row r="313" spans="1:131" s="28" customFormat="1">
      <c r="A313" s="165" t="s">
        <v>2870</v>
      </c>
      <c r="B313" s="30" t="s">
        <v>714</v>
      </c>
      <c r="C313" s="13" t="s">
        <v>3706</v>
      </c>
      <c r="D313" s="220"/>
      <c r="E313" s="220"/>
      <c r="F313" s="220"/>
      <c r="G313" s="220"/>
      <c r="H313" s="220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  <c r="AJ313" s="220"/>
      <c r="AK313" s="220"/>
      <c r="AL313" s="220"/>
      <c r="AM313" s="220"/>
      <c r="AN313" s="220"/>
      <c r="AO313" s="220"/>
      <c r="AP313" s="220"/>
      <c r="AQ313" s="220"/>
      <c r="AR313" s="220"/>
      <c r="AS313" s="220"/>
      <c r="AT313" s="220"/>
      <c r="AU313" s="13">
        <f>AV313/(1+AV302/100)</f>
        <v>100.70493454179255</v>
      </c>
      <c r="AV313" s="11">
        <v>100</v>
      </c>
      <c r="AW313" s="76">
        <f t="shared" ref="AW313:BG313" si="1019">AV313*(1+AW302/100)</f>
        <v>107.1</v>
      </c>
      <c r="AX313" s="76">
        <f t="shared" si="1019"/>
        <v>127.44899999999998</v>
      </c>
      <c r="AY313" s="76">
        <f t="shared" si="1019"/>
        <v>252.22157099999998</v>
      </c>
      <c r="AZ313" s="76">
        <f t="shared" si="1019"/>
        <v>401.78896260299996</v>
      </c>
      <c r="BA313" s="80">
        <f t="shared" si="1019"/>
        <v>556.87950216775801</v>
      </c>
      <c r="BB313" s="80">
        <f t="shared" si="1019"/>
        <v>643.19582500376055</v>
      </c>
      <c r="BC313" s="80">
        <f t="shared" si="1019"/>
        <v>789.20127727961415</v>
      </c>
      <c r="BD313" s="80">
        <f t="shared" si="1019"/>
        <v>868.12140500757562</v>
      </c>
      <c r="BE313" s="80">
        <f t="shared" si="1019"/>
        <v>950.59293848329526</v>
      </c>
      <c r="BF313" s="80">
        <f t="shared" si="1019"/>
        <v>1057.0593475934245</v>
      </c>
      <c r="BG313" s="80">
        <f t="shared" si="1019"/>
        <v>1124.988934109097</v>
      </c>
      <c r="BH313" s="80">
        <f t="shared" ref="BH313:BQ313" si="1020">BG313*(1+BH302/100)</f>
        <v>1290.3943530493623</v>
      </c>
      <c r="BI313" s="80">
        <f t="shared" si="1020"/>
        <v>1287.8901357878722</v>
      </c>
      <c r="BJ313" s="80">
        <f t="shared" si="1020"/>
        <v>1377.3313663157226</v>
      </c>
      <c r="BK313" s="80">
        <f t="shared" si="1020"/>
        <v>1621.1752898282621</v>
      </c>
      <c r="BL313" s="80">
        <f t="shared" si="1020"/>
        <v>1702.456597665775</v>
      </c>
      <c r="BM313" s="80">
        <f t="shared" si="1020"/>
        <v>1735.3294290754186</v>
      </c>
      <c r="BN313" s="80">
        <f t="shared" si="1020"/>
        <v>1793.805342588769</v>
      </c>
      <c r="BO313" s="80">
        <f t="shared" si="1020"/>
        <v>1917.577911227394</v>
      </c>
      <c r="BP313" s="80">
        <f t="shared" ca="1" si="1020"/>
        <v>2614.723106433079</v>
      </c>
      <c r="BQ313" s="80">
        <f t="shared" ca="1" si="1020"/>
        <v>2913.1945306574839</v>
      </c>
      <c r="BR313" s="80">
        <f t="shared" ref="BR313:BU316" ca="1" si="1021">BQ313*(1+BR302/100)</f>
        <v>3067.5641838017682</v>
      </c>
      <c r="BS313" s="80">
        <f t="shared" ca="1" si="1021"/>
        <v>3160.4782579036269</v>
      </c>
      <c r="BT313" s="80">
        <f t="shared" ca="1" si="1021"/>
        <v>3269.1261818055077</v>
      </c>
      <c r="BU313" s="80">
        <f t="shared" ca="1" si="1021"/>
        <v>3385.6127900022002</v>
      </c>
      <c r="BV313" s="80">
        <f t="shared" ref="BV313:BX313" ca="1" si="1022">BU313*(1+BV302/100)</f>
        <v>3507.3518532892235</v>
      </c>
      <c r="BW313" s="80">
        <f t="shared" ca="1" si="1022"/>
        <v>3634.084064132423</v>
      </c>
      <c r="BX313" s="80">
        <f t="shared" ca="1" si="1022"/>
        <v>3764.7584181307238</v>
      </c>
      <c r="BY313" s="80">
        <f t="shared" ref="BY313:BY316" ca="1" si="1023">BX313*(1+BY302/100)</f>
        <v>3899.2528304935336</v>
      </c>
      <c r="BZ313" s="80">
        <f t="shared" ref="BZ313:BZ316" ca="1" si="1024">BY313*(1+BZ302/100)</f>
        <v>4037.8461153973167</v>
      </c>
      <c r="CA313" s="80">
        <f t="shared" ref="CA313:CA316" ca="1" si="1025">BZ313*(1+CA302/100)</f>
        <v>4181.1985373953921</v>
      </c>
      <c r="CB313" s="80">
        <f t="shared" ref="CB313:CB316" ca="1" si="1026">CA313*(1+CB302/100)</f>
        <v>4329.6549011635871</v>
      </c>
      <c r="CC313" s="80">
        <f t="shared" ref="CC313:CC316" ca="1" si="1027">CB313*(1+CC302/100)</f>
        <v>4482.9908256792314</v>
      </c>
      <c r="CD313" s="80">
        <f t="shared" ref="CD313:CD316" ca="1" si="1028">CC313*(1+CD302/100)</f>
        <v>4641.3623039493641</v>
      </c>
      <c r="CE313" s="80"/>
      <c r="CF313" s="435"/>
      <c r="CG313" s="235">
        <f t="shared" si="997"/>
        <v>0.98599121838628889</v>
      </c>
      <c r="CH313" s="235">
        <f t="shared" si="998"/>
        <v>0</v>
      </c>
      <c r="CI313" s="235" t="e">
        <f>BM313-#REF!</f>
        <v>#REF!</v>
      </c>
      <c r="CJ313" s="235">
        <f t="shared" si="935"/>
        <v>0</v>
      </c>
      <c r="CK313" s="235">
        <f t="shared" si="936"/>
        <v>0</v>
      </c>
      <c r="CL313" s="235">
        <f t="shared" ca="1" si="937"/>
        <v>0</v>
      </c>
      <c r="CM313" s="235">
        <f t="shared" ca="1" si="938"/>
        <v>0</v>
      </c>
      <c r="CN313" s="235">
        <f t="shared" ca="1" si="939"/>
        <v>0</v>
      </c>
      <c r="CO313" s="235">
        <f t="shared" ca="1" si="940"/>
        <v>0</v>
      </c>
      <c r="CP313" s="235">
        <f t="shared" ca="1" si="941"/>
        <v>0</v>
      </c>
      <c r="CQ313" s="235">
        <f t="shared" ca="1" si="942"/>
        <v>0</v>
      </c>
      <c r="CR313" s="235">
        <f t="shared" ca="1" si="943"/>
        <v>0</v>
      </c>
      <c r="CS313" s="235">
        <f t="shared" ca="1" si="944"/>
        <v>0</v>
      </c>
      <c r="CT313" s="235">
        <f t="shared" ca="1" si="945"/>
        <v>0</v>
      </c>
      <c r="CU313" s="235">
        <f t="shared" ca="1" si="946"/>
        <v>0</v>
      </c>
      <c r="CV313" s="235">
        <f t="shared" ca="1" si="947"/>
        <v>0</v>
      </c>
      <c r="CW313" s="235">
        <f t="shared" ca="1" si="948"/>
        <v>0</v>
      </c>
      <c r="CX313" s="235">
        <f t="shared" ca="1" si="949"/>
        <v>-3.1832314562052488E-11</v>
      </c>
      <c r="CY313" s="235">
        <f t="shared" ca="1" si="950"/>
        <v>-3.1923264032229781E-10</v>
      </c>
      <c r="CZ313" s="235">
        <f t="shared" ca="1" si="951"/>
        <v>-2.3765096557326615E-9</v>
      </c>
      <c r="DA313" s="38"/>
      <c r="DB313" s="236">
        <v>1063.7734743983201</v>
      </c>
      <c r="DC313" s="236">
        <v>1064.7734743983217</v>
      </c>
      <c r="DD313" s="236">
        <v>1132.9189767598143</v>
      </c>
      <c r="DE313" s="236">
        <v>1298.3251473667472</v>
      </c>
      <c r="DF313" s="401">
        <v>1297.0268222193804</v>
      </c>
      <c r="DG313" s="236">
        <v>1620.1892986098758</v>
      </c>
      <c r="DH313" s="492">
        <v>1702.456597665775</v>
      </c>
      <c r="DI313" s="236">
        <v>1793.805342588769</v>
      </c>
      <c r="DJ313" s="236">
        <v>1917.577911227394</v>
      </c>
      <c r="DK313" s="236">
        <v>2614.7231064330795</v>
      </c>
      <c r="DL313" s="236">
        <v>2913.1945306574844</v>
      </c>
      <c r="DM313" s="236">
        <v>3067.5641838017677</v>
      </c>
      <c r="DN313" s="236">
        <v>3160.4782579036264</v>
      </c>
      <c r="DO313" s="236">
        <v>3269.1261818055073</v>
      </c>
      <c r="DP313" s="236">
        <v>3385.6127900022007</v>
      </c>
      <c r="DQ313" s="403">
        <v>3507.3518532892249</v>
      </c>
      <c r="DR313" s="403">
        <v>3634.0840641324244</v>
      </c>
      <c r="DS313" s="403">
        <v>3764.7584181307252</v>
      </c>
      <c r="DT313" s="403">
        <v>3899.2528304935345</v>
      </c>
      <c r="DU313" s="403">
        <v>4037.8461153973167</v>
      </c>
      <c r="DV313" s="403">
        <v>4181.1985373953939</v>
      </c>
      <c r="DW313" s="403">
        <v>4329.6549011636189</v>
      </c>
      <c r="DX313" s="403">
        <v>4482.9908256795507</v>
      </c>
      <c r="DY313" s="403">
        <v>4641.3623039517406</v>
      </c>
      <c r="DZ313" s="403"/>
      <c r="EA313" s="991"/>
    </row>
    <row r="314" spans="1:131" s="28" customFormat="1">
      <c r="A314" s="165" t="s">
        <v>4629</v>
      </c>
      <c r="B314" s="116" t="s">
        <v>622</v>
      </c>
      <c r="C314" s="13" t="s">
        <v>3701</v>
      </c>
      <c r="D314" s="220"/>
      <c r="E314" s="220"/>
      <c r="F314" s="220"/>
      <c r="G314" s="220"/>
      <c r="H314" s="220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  <c r="AJ314" s="220"/>
      <c r="AK314" s="220"/>
      <c r="AL314" s="220"/>
      <c r="AM314" s="220"/>
      <c r="AN314" s="220"/>
      <c r="AO314" s="220"/>
      <c r="AP314" s="220"/>
      <c r="AQ314" s="220"/>
      <c r="AR314" s="220"/>
      <c r="AS314" s="220"/>
      <c r="AT314" s="220"/>
      <c r="AU314" s="13"/>
      <c r="AV314" s="11">
        <v>100</v>
      </c>
      <c r="AW314" s="76">
        <f t="shared" ref="AW314:BB314" si="1029">AV314*(1+AW303/100)</f>
        <v>102.90751990408297</v>
      </c>
      <c r="AX314" s="76">
        <f t="shared" si="1029"/>
        <v>108.51743783357921</v>
      </c>
      <c r="AY314" s="76">
        <f t="shared" si="1029"/>
        <v>231.89701520140915</v>
      </c>
      <c r="AZ314" s="76">
        <f t="shared" si="1029"/>
        <v>358.15521942200672</v>
      </c>
      <c r="BA314" s="80">
        <f t="shared" si="1029"/>
        <v>588.63547167019283</v>
      </c>
      <c r="BB314" s="80">
        <f t="shared" si="1029"/>
        <v>651.76097724266924</v>
      </c>
      <c r="BC314" s="80">
        <f ca="1">BB314*(1+BC303/100)</f>
        <v>815.74089458096614</v>
      </c>
      <c r="BD314" s="80">
        <f ca="1">BC314*(1+BD303/100)</f>
        <v>955.76929925568072</v>
      </c>
      <c r="BE314" s="80">
        <f ca="1">BD314*(1+BE303/100)</f>
        <v>1023.3136783668392</v>
      </c>
      <c r="BF314" s="80">
        <f ca="1">BE314*(1+BF303/100)</f>
        <v>1106.3096232052096</v>
      </c>
      <c r="BG314" s="80">
        <f ca="1">BF314*(1+BG303/100)</f>
        <v>1205.2547766764144</v>
      </c>
      <c r="BH314" s="80">
        <f t="shared" ref="BH314:BQ314" ca="1" si="1030">BG314*(1+BH303/100)</f>
        <v>1359.4669038591408</v>
      </c>
      <c r="BI314" s="80">
        <f t="shared" ca="1" si="1030"/>
        <v>1366.0971478399758</v>
      </c>
      <c r="BJ314" s="80">
        <f t="shared" ca="1" si="1030"/>
        <v>1523.5862117636796</v>
      </c>
      <c r="BK314" s="80">
        <f t="shared" ca="1" si="1030"/>
        <v>1776.4913899072305</v>
      </c>
      <c r="BL314" s="80">
        <f t="shared" ca="1" si="1030"/>
        <v>1849.6656349490038</v>
      </c>
      <c r="BM314" s="80">
        <f t="shared" ca="1" si="1030"/>
        <v>1888.2940502526756</v>
      </c>
      <c r="BN314" s="80">
        <f t="shared" ca="1" si="1030"/>
        <v>1878.6227670663468</v>
      </c>
      <c r="BO314" s="80">
        <f t="shared" ca="1" si="1030"/>
        <v>1720.8100249970862</v>
      </c>
      <c r="BP314" s="80">
        <f t="shared" ca="1" si="1030"/>
        <v>2155.2937243914412</v>
      </c>
      <c r="BQ314" s="80">
        <f t="shared" ca="1" si="1030"/>
        <v>2319.3277252391981</v>
      </c>
      <c r="BR314" s="80">
        <f t="shared" ca="1" si="1021"/>
        <v>2423.8741859416905</v>
      </c>
      <c r="BS314" s="80">
        <f t="shared" ca="1" si="1021"/>
        <v>2500.999058730461</v>
      </c>
      <c r="BT314" s="80">
        <f t="shared" ca="1" si="1021"/>
        <v>2605.5706736781431</v>
      </c>
      <c r="BU314" s="80">
        <f t="shared" ca="1" si="1021"/>
        <v>2716.4558687679469</v>
      </c>
      <c r="BV314" s="80">
        <f t="shared" ref="BV314:BX314" ca="1" si="1031">BU314*(1+BV303/100)</f>
        <v>2832.4420562410746</v>
      </c>
      <c r="BW314" s="80">
        <f t="shared" ca="1" si="1031"/>
        <v>2953.7258946793891</v>
      </c>
      <c r="BX314" s="80">
        <f t="shared" ca="1" si="1031"/>
        <v>3080.0041818133004</v>
      </c>
      <c r="BY314" s="80">
        <f t="shared" ca="1" si="1023"/>
        <v>3211.4058634440021</v>
      </c>
      <c r="BZ314" s="80">
        <f t="shared" ca="1" si="1024"/>
        <v>3348.1765042523034</v>
      </c>
      <c r="CA314" s="80">
        <f t="shared" ca="1" si="1025"/>
        <v>3490.8168427550727</v>
      </c>
      <c r="CB314" s="80">
        <f t="shared" ca="1" si="1026"/>
        <v>3639.7032444251886</v>
      </c>
      <c r="CC314" s="80">
        <f t="shared" ca="1" si="1027"/>
        <v>3794.8381359589034</v>
      </c>
      <c r="CD314" s="80">
        <f t="shared" ca="1" si="1028"/>
        <v>3956.4896141053182</v>
      </c>
      <c r="CE314" s="80"/>
      <c r="CF314" s="435"/>
      <c r="CG314" s="235">
        <f t="shared" ca="1" si="997"/>
        <v>-46.263700338174885</v>
      </c>
      <c r="CH314" s="235">
        <f t="shared" ca="1" si="998"/>
        <v>2.0320727243615693</v>
      </c>
      <c r="CI314" s="235" t="e">
        <f ca="1">BM314-#REF!</f>
        <v>#REF!</v>
      </c>
      <c r="CJ314" s="235">
        <f t="shared" ca="1" si="935"/>
        <v>0</v>
      </c>
      <c r="CK314" s="235">
        <f t="shared" ca="1" si="936"/>
        <v>0</v>
      </c>
      <c r="CL314" s="235">
        <f t="shared" ca="1" si="937"/>
        <v>0</v>
      </c>
      <c r="CM314" s="235">
        <f t="shared" ca="1" si="938"/>
        <v>0</v>
      </c>
      <c r="CN314" s="235">
        <f t="shared" ca="1" si="939"/>
        <v>0</v>
      </c>
      <c r="CO314" s="235">
        <f t="shared" ca="1" si="940"/>
        <v>0</v>
      </c>
      <c r="CP314" s="235">
        <f t="shared" ca="1" si="941"/>
        <v>0</v>
      </c>
      <c r="CQ314" s="235">
        <f t="shared" ca="1" si="942"/>
        <v>0</v>
      </c>
      <c r="CR314" s="235">
        <f t="shared" ca="1" si="943"/>
        <v>0</v>
      </c>
      <c r="CS314" s="235">
        <f t="shared" ca="1" si="944"/>
        <v>0</v>
      </c>
      <c r="CT314" s="235">
        <f t="shared" ca="1" si="945"/>
        <v>0</v>
      </c>
      <c r="CU314" s="235">
        <f t="shared" ca="1" si="946"/>
        <v>0</v>
      </c>
      <c r="CV314" s="235">
        <f t="shared" ca="1" si="947"/>
        <v>0</v>
      </c>
      <c r="CW314" s="235">
        <f t="shared" ca="1" si="948"/>
        <v>0</v>
      </c>
      <c r="CX314" s="235">
        <f t="shared" ca="1" si="949"/>
        <v>-2.0008883439004421E-11</v>
      </c>
      <c r="CY314" s="235">
        <f t="shared" ca="1" si="950"/>
        <v>-2.0827428670600057E-10</v>
      </c>
      <c r="CZ314" s="235">
        <f t="shared" ca="1" si="951"/>
        <v>-1.5584191714879125E-9</v>
      </c>
      <c r="DA314" s="38"/>
      <c r="DB314" s="236">
        <v>1149.3400910699399</v>
      </c>
      <c r="DC314" s="236">
        <v>1150.3400910699399</v>
      </c>
      <c r="DD314" s="236">
        <v>1249.303176693016</v>
      </c>
      <c r="DE314" s="236">
        <v>1444.7032830419826</v>
      </c>
      <c r="DF314" s="401">
        <v>1428.9543796653797</v>
      </c>
      <c r="DG314" s="236">
        <v>1822.7550902454054</v>
      </c>
      <c r="DH314" s="492">
        <v>1847.6335622246422</v>
      </c>
      <c r="DI314" s="236">
        <v>1878.6227670663466</v>
      </c>
      <c r="DJ314" s="236">
        <v>1720.810024997086</v>
      </c>
      <c r="DK314" s="236">
        <v>2155.2937243914412</v>
      </c>
      <c r="DL314" s="236">
        <v>2319.3277252391981</v>
      </c>
      <c r="DM314" s="236">
        <v>2423.8741859416905</v>
      </c>
      <c r="DN314" s="236">
        <v>2500.999058730461</v>
      </c>
      <c r="DO314" s="236">
        <v>2605.5706736781431</v>
      </c>
      <c r="DP314" s="236">
        <v>2716.4558687679469</v>
      </c>
      <c r="DQ314" s="403">
        <v>2832.4420562410746</v>
      </c>
      <c r="DR314" s="403">
        <v>2953.7258946793891</v>
      </c>
      <c r="DS314" s="403">
        <v>3080.0041818133004</v>
      </c>
      <c r="DT314" s="403">
        <v>3211.4058634440016</v>
      </c>
      <c r="DU314" s="403">
        <v>3348.1765042523025</v>
      </c>
      <c r="DV314" s="403">
        <v>3490.8168427550731</v>
      </c>
      <c r="DW314" s="403">
        <v>3639.7032444252086</v>
      </c>
      <c r="DX314" s="403">
        <v>3794.8381359591117</v>
      </c>
      <c r="DY314" s="403">
        <v>3956.4896141068766</v>
      </c>
      <c r="DZ314" s="403"/>
      <c r="EA314" s="991"/>
    </row>
    <row r="315" spans="1:131" s="28" customFormat="1">
      <c r="A315" s="165" t="s">
        <v>3619</v>
      </c>
      <c r="B315" s="116" t="s">
        <v>621</v>
      </c>
      <c r="C315" s="13" t="s">
        <v>3700</v>
      </c>
      <c r="D315" s="220"/>
      <c r="E315" s="220"/>
      <c r="F315" s="220"/>
      <c r="G315" s="220"/>
      <c r="H315" s="220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  <c r="AJ315" s="220"/>
      <c r="AK315" s="220"/>
      <c r="AL315" s="220"/>
      <c r="AM315" s="220"/>
      <c r="AN315" s="220"/>
      <c r="AO315" s="220"/>
      <c r="AP315" s="220"/>
      <c r="AQ315" s="220"/>
      <c r="AR315" s="220"/>
      <c r="AS315" s="220"/>
      <c r="AT315" s="220"/>
      <c r="AU315" s="13"/>
      <c r="AV315" s="11">
        <v>100</v>
      </c>
      <c r="AW315" s="76">
        <f t="shared" ref="AW315:BI315" si="1032">AV315*(1+AW304/100)</f>
        <v>97.08070901587692</v>
      </c>
      <c r="AX315" s="76">
        <f t="shared" si="1032"/>
        <v>85.524243208428146</v>
      </c>
      <c r="AY315" s="76">
        <f t="shared" si="1032"/>
        <v>178.46284251824159</v>
      </c>
      <c r="AZ315" s="76">
        <f t="shared" si="1032"/>
        <v>296.43073375034174</v>
      </c>
      <c r="BA315" s="80">
        <f t="shared" si="1032"/>
        <v>459.154333543647</v>
      </c>
      <c r="BB315" s="80">
        <f t="shared" si="1032"/>
        <v>451.8218444757473</v>
      </c>
      <c r="BC315" s="80">
        <f t="shared" si="1032"/>
        <v>541.06569360537367</v>
      </c>
      <c r="BD315" s="80">
        <f t="shared" si="1032"/>
        <v>670.78607023835605</v>
      </c>
      <c r="BE315" s="80">
        <f t="shared" si="1032"/>
        <v>731.27791509068209</v>
      </c>
      <c r="BF315" s="80">
        <f t="shared" si="1032"/>
        <v>923.95542676848652</v>
      </c>
      <c r="BG315" s="80">
        <f t="shared" si="1032"/>
        <v>1008.3918832165881</v>
      </c>
      <c r="BH315" s="80">
        <f t="shared" si="1032"/>
        <v>1125.6601773868611</v>
      </c>
      <c r="BI315" s="80">
        <f t="shared" si="1032"/>
        <v>1008.6834186366259</v>
      </c>
      <c r="BJ315" s="80">
        <f t="shared" ref="BJ315:BP316" si="1033">BI315*(1+BJ304/100)</f>
        <v>1324.7013440756591</v>
      </c>
      <c r="BK315" s="80">
        <f t="shared" si="1033"/>
        <v>1762.7589119567162</v>
      </c>
      <c r="BL315" s="80">
        <f t="shared" si="1033"/>
        <v>1827.6207210766647</v>
      </c>
      <c r="BM315" s="80">
        <f t="shared" si="1033"/>
        <v>1630.4632780808588</v>
      </c>
      <c r="BN315" s="80">
        <f t="shared" si="1033"/>
        <v>1529.1806245853131</v>
      </c>
      <c r="BO315" s="80">
        <f t="shared" si="1033"/>
        <v>1431.917820179905</v>
      </c>
      <c r="BP315" s="80">
        <f t="shared" si="1033"/>
        <v>1771.2005418055469</v>
      </c>
      <c r="BQ315" s="80">
        <f>BP315*(1+BQ304/100)</f>
        <v>1850.2540662871568</v>
      </c>
      <c r="BR315" s="80">
        <f t="shared" si="1021"/>
        <v>1899.1777055412729</v>
      </c>
      <c r="BS315" s="80">
        <f t="shared" si="1021"/>
        <v>1953.9667448888176</v>
      </c>
      <c r="BT315" s="80">
        <f t="shared" si="1021"/>
        <v>1979.5172497151675</v>
      </c>
      <c r="BU315" s="80">
        <f t="shared" si="1021"/>
        <v>1994.7700115027878</v>
      </c>
      <c r="BV315" s="80">
        <f t="shared" ref="BV315:BX315" si="1034">BU315*(1+BV304/100)</f>
        <v>2010.4997529615168</v>
      </c>
      <c r="BW315" s="80">
        <f t="shared" si="1034"/>
        <v>2026.7220900406512</v>
      </c>
      <c r="BX315" s="80">
        <f t="shared" si="1034"/>
        <v>2043.4532311571625</v>
      </c>
      <c r="BY315" s="80">
        <f t="shared" si="1023"/>
        <v>2060.710001066253</v>
      </c>
      <c r="BZ315" s="80">
        <f t="shared" si="1024"/>
        <v>2116.8161303900715</v>
      </c>
      <c r="CA315" s="80">
        <f t="shared" si="1025"/>
        <v>2174.802151420432</v>
      </c>
      <c r="CB315" s="80">
        <f t="shared" si="1026"/>
        <v>2234.7192035749476</v>
      </c>
      <c r="CC315" s="80">
        <f t="shared" si="1027"/>
        <v>2296.6199839003602</v>
      </c>
      <c r="CD315" s="80">
        <f t="shared" si="1028"/>
        <v>2360.5588050866477</v>
      </c>
      <c r="CE315" s="80"/>
      <c r="CF315" s="435"/>
      <c r="CG315" s="235">
        <f t="shared" si="997"/>
        <v>31.667292011929703</v>
      </c>
      <c r="CH315" s="235">
        <f t="shared" si="998"/>
        <v>0</v>
      </c>
      <c r="CI315" s="235" t="e">
        <f>BM315-#REF!</f>
        <v>#REF!</v>
      </c>
      <c r="CJ315" s="235">
        <f t="shared" si="935"/>
        <v>0</v>
      </c>
      <c r="CK315" s="235">
        <f t="shared" si="936"/>
        <v>0</v>
      </c>
      <c r="CL315" s="235">
        <f t="shared" si="937"/>
        <v>0</v>
      </c>
      <c r="CM315" s="235">
        <f t="shared" si="938"/>
        <v>0</v>
      </c>
      <c r="CN315" s="235">
        <f t="shared" si="939"/>
        <v>0</v>
      </c>
      <c r="CO315" s="235">
        <f t="shared" si="940"/>
        <v>0</v>
      </c>
      <c r="CP315" s="235">
        <f t="shared" si="941"/>
        <v>0</v>
      </c>
      <c r="CQ315" s="235">
        <f t="shared" si="942"/>
        <v>0</v>
      </c>
      <c r="CR315" s="235">
        <f t="shared" si="943"/>
        <v>0</v>
      </c>
      <c r="CS315" s="235">
        <f t="shared" si="944"/>
        <v>0</v>
      </c>
      <c r="CT315" s="235">
        <f t="shared" si="945"/>
        <v>0</v>
      </c>
      <c r="CU315" s="235">
        <f t="shared" si="946"/>
        <v>0</v>
      </c>
      <c r="CV315" s="235">
        <f t="shared" si="947"/>
        <v>0</v>
      </c>
      <c r="CW315" s="235">
        <f t="shared" si="948"/>
        <v>0</v>
      </c>
      <c r="CX315" s="235">
        <f t="shared" si="949"/>
        <v>0</v>
      </c>
      <c r="CY315" s="235">
        <f t="shared" si="950"/>
        <v>0</v>
      </c>
      <c r="CZ315" s="235">
        <f t="shared" si="951"/>
        <v>0</v>
      </c>
      <c r="DA315" s="38"/>
      <c r="DB315" s="236">
        <v>917.78998115207298</v>
      </c>
      <c r="DC315" s="236">
        <v>918.78998115207344</v>
      </c>
      <c r="DD315" s="236">
        <v>1011.5787936189205</v>
      </c>
      <c r="DE315" s="236">
        <v>1132.4421842634808</v>
      </c>
      <c r="DF315" s="401">
        <v>1005.247259522536</v>
      </c>
      <c r="DG315" s="236">
        <v>1731.0916199447865</v>
      </c>
      <c r="DH315" s="492">
        <v>1827.6207210766647</v>
      </c>
      <c r="DI315" s="236">
        <v>1529.1806245853131</v>
      </c>
      <c r="DJ315" s="236">
        <v>1431.917820179905</v>
      </c>
      <c r="DK315" s="236">
        <v>1771.2005418055469</v>
      </c>
      <c r="DL315" s="236">
        <v>1850.2540662871568</v>
      </c>
      <c r="DM315" s="236">
        <v>1899.1777055412729</v>
      </c>
      <c r="DN315" s="236">
        <v>1953.9667448888176</v>
      </c>
      <c r="DO315" s="236">
        <v>1979.5172497151675</v>
      </c>
      <c r="DP315" s="236">
        <v>1994.7700115027878</v>
      </c>
      <c r="DQ315" s="403">
        <v>2010.4997529615168</v>
      </c>
      <c r="DR315" s="403">
        <v>2026.7220900406512</v>
      </c>
      <c r="DS315" s="403">
        <v>2043.4532311571625</v>
      </c>
      <c r="DT315" s="403">
        <v>2060.710001066253</v>
      </c>
      <c r="DU315" s="403">
        <v>2116.8161303900715</v>
      </c>
      <c r="DV315" s="403">
        <v>2174.802151420432</v>
      </c>
      <c r="DW315" s="403">
        <v>2234.7192035749476</v>
      </c>
      <c r="DX315" s="403">
        <v>2296.6199839003602</v>
      </c>
      <c r="DY315" s="403">
        <v>2360.5588050866477</v>
      </c>
      <c r="DZ315" s="403"/>
      <c r="EA315" s="991"/>
    </row>
    <row r="316" spans="1:131" s="28" customFormat="1">
      <c r="A316" s="165" t="s">
        <v>4630</v>
      </c>
      <c r="B316" s="30" t="s">
        <v>4305</v>
      </c>
      <c r="C316" s="13" t="s">
        <v>938</v>
      </c>
      <c r="D316" s="220"/>
      <c r="E316" s="220"/>
      <c r="F316" s="220"/>
      <c r="G316" s="220"/>
      <c r="H316" s="220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  <c r="AJ316" s="220"/>
      <c r="AK316" s="220"/>
      <c r="AL316" s="220"/>
      <c r="AM316" s="220"/>
      <c r="AN316" s="220"/>
      <c r="AO316" s="220"/>
      <c r="AP316" s="220"/>
      <c r="AQ316" s="220"/>
      <c r="AR316" s="220"/>
      <c r="AS316" s="220"/>
      <c r="AT316" s="220"/>
      <c r="AU316" s="13"/>
      <c r="AV316" s="11">
        <v>100</v>
      </c>
      <c r="AW316" s="76">
        <f t="shared" ref="AW316:BI316" si="1035">AV316*(1+AW305/100)</f>
        <v>100.01870674066222</v>
      </c>
      <c r="AX316" s="76">
        <f t="shared" si="1035"/>
        <v>100.01870674066222</v>
      </c>
      <c r="AY316" s="76">
        <f t="shared" si="1035"/>
        <v>216.49311989961589</v>
      </c>
      <c r="AZ316" s="76">
        <f t="shared" si="1035"/>
        <v>344.9699202524526</v>
      </c>
      <c r="BA316" s="80">
        <f t="shared" si="1035"/>
        <v>552.89644704767011</v>
      </c>
      <c r="BB316" s="80">
        <f t="shared" si="1035"/>
        <v>605.4330011821155</v>
      </c>
      <c r="BC316" s="80">
        <f t="shared" si="1035"/>
        <v>763.72972855300907</v>
      </c>
      <c r="BD316" s="80">
        <f t="shared" si="1035"/>
        <v>909.50579282986257</v>
      </c>
      <c r="BE316" s="80">
        <f t="shared" si="1035"/>
        <v>1006.3190040614979</v>
      </c>
      <c r="BF316" s="80">
        <f t="shared" si="1035"/>
        <v>1089.4929170732048</v>
      </c>
      <c r="BG316" s="80">
        <f t="shared" si="1035"/>
        <v>1185.7996592471029</v>
      </c>
      <c r="BH316" s="80">
        <f t="shared" si="1035"/>
        <v>1356.5119942792858</v>
      </c>
      <c r="BI316" s="80">
        <f t="shared" si="1035"/>
        <v>1352.4497968376049</v>
      </c>
      <c r="BJ316" s="80">
        <f t="shared" si="1033"/>
        <v>1524.6272611335826</v>
      </c>
      <c r="BK316" s="80">
        <f t="shared" si="1033"/>
        <v>1789.2108675991772</v>
      </c>
      <c r="BL316" s="80">
        <f t="shared" si="1033"/>
        <v>1858.3952312347835</v>
      </c>
      <c r="BM316" s="80">
        <f t="shared" si="1033"/>
        <v>1904.2708763826454</v>
      </c>
      <c r="BN316" s="80">
        <f t="shared" si="1033"/>
        <v>1903.3331205291943</v>
      </c>
      <c r="BO316" s="80">
        <f t="shared" si="1033"/>
        <v>1708.3603486468685</v>
      </c>
      <c r="BP316" s="80">
        <f t="shared" si="1033"/>
        <v>2172.9739184201198</v>
      </c>
      <c r="BQ316" s="80">
        <f>BP316*(1+BQ305/100)</f>
        <v>2272.1643820142826</v>
      </c>
      <c r="BR316" s="80">
        <f t="shared" si="1021"/>
        <v>2358.6691197161304</v>
      </c>
      <c r="BS316" s="80">
        <f t="shared" si="1021"/>
        <v>2436.2098798874458</v>
      </c>
      <c r="BT316" s="80">
        <f t="shared" si="1021"/>
        <v>2552.3270492384613</v>
      </c>
      <c r="BU316" s="80">
        <f t="shared" si="1021"/>
        <v>2673.9787158958889</v>
      </c>
      <c r="BV316" s="80">
        <f t="shared" ref="BV316:BX316" si="1036">BU316*(1+BV305/100)</f>
        <v>2801.4286708271275</v>
      </c>
      <c r="BW316" s="80">
        <f t="shared" si="1036"/>
        <v>2934.9532780790496</v>
      </c>
      <c r="BX316" s="80">
        <f t="shared" si="1036"/>
        <v>3074.8420740491929</v>
      </c>
      <c r="BY316" s="80">
        <f t="shared" si="1023"/>
        <v>3221.3983953200404</v>
      </c>
      <c r="BZ316" s="80">
        <f t="shared" si="1024"/>
        <v>3374.9400364177886</v>
      </c>
      <c r="CA316" s="80">
        <f t="shared" si="1025"/>
        <v>3535.7999389218994</v>
      </c>
      <c r="CB316" s="80">
        <f t="shared" si="1026"/>
        <v>3704.3269134197094</v>
      </c>
      <c r="CC316" s="80">
        <f t="shared" si="1027"/>
        <v>3880.8863958715879</v>
      </c>
      <c r="CD316" s="80">
        <f t="shared" si="1028"/>
        <v>4065.8612400267607</v>
      </c>
      <c r="CE316" s="80"/>
      <c r="CF316" s="435"/>
      <c r="CG316" s="235">
        <f t="shared" si="997"/>
        <v>-19.342882326661083</v>
      </c>
      <c r="CH316" s="235">
        <f t="shared" si="998"/>
        <v>0</v>
      </c>
      <c r="CI316" s="235" t="e">
        <f>BM316-#REF!</f>
        <v>#REF!</v>
      </c>
      <c r="CJ316" s="235">
        <f t="shared" si="935"/>
        <v>0</v>
      </c>
      <c r="CK316" s="235">
        <f t="shared" si="936"/>
        <v>0</v>
      </c>
      <c r="CL316" s="235">
        <f t="shared" si="937"/>
        <v>0</v>
      </c>
      <c r="CM316" s="235">
        <f t="shared" si="938"/>
        <v>0</v>
      </c>
      <c r="CN316" s="235">
        <f t="shared" si="939"/>
        <v>0</v>
      </c>
      <c r="CO316" s="235">
        <f t="shared" si="940"/>
        <v>0</v>
      </c>
      <c r="CP316" s="235">
        <f t="shared" si="941"/>
        <v>0</v>
      </c>
      <c r="CQ316" s="235">
        <f t="shared" si="942"/>
        <v>0</v>
      </c>
      <c r="CR316" s="235">
        <f t="shared" si="943"/>
        <v>0</v>
      </c>
      <c r="CS316" s="235">
        <f t="shared" si="944"/>
        <v>0</v>
      </c>
      <c r="CT316" s="235">
        <f t="shared" si="945"/>
        <v>0</v>
      </c>
      <c r="CU316" s="235">
        <f t="shared" si="946"/>
        <v>0</v>
      </c>
      <c r="CV316" s="235">
        <f t="shared" si="947"/>
        <v>0</v>
      </c>
      <c r="CW316" s="235">
        <f t="shared" si="948"/>
        <v>0</v>
      </c>
      <c r="CX316" s="235">
        <f t="shared" si="949"/>
        <v>0</v>
      </c>
      <c r="CY316" s="235">
        <f t="shared" si="950"/>
        <v>0</v>
      </c>
      <c r="CZ316" s="235">
        <f t="shared" si="951"/>
        <v>0</v>
      </c>
      <c r="DA316" s="38"/>
      <c r="DB316" s="236">
        <v>1088.83997102685</v>
      </c>
      <c r="DC316" s="236">
        <v>1089.8399710268516</v>
      </c>
      <c r="DD316" s="236">
        <v>1186.7125535143418</v>
      </c>
      <c r="DE316" s="236">
        <v>1384.4789292476003</v>
      </c>
      <c r="DF316" s="401">
        <v>1350.5943900952745</v>
      </c>
      <c r="DG316" s="236">
        <v>1808.5537499258382</v>
      </c>
      <c r="DH316" s="492">
        <v>1858.3952312347835</v>
      </c>
      <c r="DI316" s="236">
        <v>1903.3331205291943</v>
      </c>
      <c r="DJ316" s="236">
        <v>1708.3603486468685</v>
      </c>
      <c r="DK316" s="236">
        <v>2172.9739184201198</v>
      </c>
      <c r="DL316" s="236">
        <v>2272.1643820142826</v>
      </c>
      <c r="DM316" s="236">
        <v>2358.6691197161304</v>
      </c>
      <c r="DN316" s="236">
        <v>2436.2098798874458</v>
      </c>
      <c r="DO316" s="236">
        <v>2552.3270492384613</v>
      </c>
      <c r="DP316" s="236">
        <v>2673.9787158958889</v>
      </c>
      <c r="DQ316" s="403">
        <v>2801.4286708271275</v>
      </c>
      <c r="DR316" s="403">
        <v>2934.9532780790496</v>
      </c>
      <c r="DS316" s="403">
        <v>3074.8420740491929</v>
      </c>
      <c r="DT316" s="403">
        <v>3221.3983953200404</v>
      </c>
      <c r="DU316" s="403">
        <v>3374.9400364177886</v>
      </c>
      <c r="DV316" s="403">
        <v>3535.7999389218994</v>
      </c>
      <c r="DW316" s="403">
        <v>3704.3269134197094</v>
      </c>
      <c r="DX316" s="403">
        <v>3880.8863958715879</v>
      </c>
      <c r="DY316" s="403">
        <v>4065.8612400267607</v>
      </c>
      <c r="DZ316" s="403"/>
      <c r="EA316" s="991"/>
    </row>
    <row r="317" spans="1:131" s="28" customFormat="1">
      <c r="A317" s="165" t="s">
        <v>3618</v>
      </c>
      <c r="B317" s="116" t="s">
        <v>1976</v>
      </c>
      <c r="C317" s="13" t="s">
        <v>3702</v>
      </c>
      <c r="D317" s="220"/>
      <c r="E317" s="220"/>
      <c r="F317" s="220"/>
      <c r="G317" s="220"/>
      <c r="H317" s="220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  <c r="AJ317" s="220"/>
      <c r="AK317" s="220"/>
      <c r="AL317" s="220"/>
      <c r="AM317" s="220"/>
      <c r="AN317" s="220"/>
      <c r="AO317" s="220"/>
      <c r="AP317" s="220"/>
      <c r="AQ317" s="220"/>
      <c r="AR317" s="220"/>
      <c r="AS317" s="220"/>
      <c r="AT317" s="220"/>
      <c r="AU317" s="13"/>
      <c r="AV317" s="11">
        <v>100</v>
      </c>
      <c r="AW317" s="76">
        <f t="shared" ref="AW317:BB317" si="1037">AV317*(1+AW309/100)</f>
        <v>134.12507377096276</v>
      </c>
      <c r="AX317" s="76">
        <f t="shared" si="1037"/>
        <v>159.9331519343325</v>
      </c>
      <c r="AY317" s="76">
        <f t="shared" si="1037"/>
        <v>297.95252604494641</v>
      </c>
      <c r="AZ317" s="76">
        <f t="shared" si="1037"/>
        <v>400.30884674626515</v>
      </c>
      <c r="BA317" s="80">
        <f t="shared" si="1037"/>
        <v>669.18918738696448</v>
      </c>
      <c r="BB317" s="80">
        <f t="shared" si="1037"/>
        <v>810.90268185198761</v>
      </c>
      <c r="BC317" s="80">
        <f t="shared" ref="BC317:BQ317" ca="1" si="1038">BB317*(1+BC309/100)</f>
        <v>980.8958127579823</v>
      </c>
      <c r="BD317" s="80">
        <f t="shared" ca="1" si="1038"/>
        <v>1099.2487456156575</v>
      </c>
      <c r="BE317" s="80">
        <f t="shared" ca="1" si="1038"/>
        <v>1122.8427569965634</v>
      </c>
      <c r="BF317" s="80">
        <f t="shared" ca="1" si="1038"/>
        <v>1165.9202110021829</v>
      </c>
      <c r="BG317" s="80">
        <f t="shared" ca="1" si="1038"/>
        <v>1236.6288738764852</v>
      </c>
      <c r="BH317" s="80">
        <f t="shared" ca="1" si="1038"/>
        <v>1335.3012093355883</v>
      </c>
      <c r="BI317" s="80">
        <f t="shared" ca="1" si="1038"/>
        <v>1425.392368786469</v>
      </c>
      <c r="BJ317" s="80">
        <f t="shared" ca="1" si="1038"/>
        <v>1506.1885762745949</v>
      </c>
      <c r="BK317" s="80">
        <f t="shared" ref="BK317:BP317" ca="1" si="1039">BJ317*(1+BK309/100)</f>
        <v>1679.0235266540308</v>
      </c>
      <c r="BL317" s="80">
        <f t="shared" ca="1" si="1039"/>
        <v>1871.1698660635511</v>
      </c>
      <c r="BM317" s="80">
        <f t="shared" ca="1" si="1039"/>
        <v>1925.9375516581961</v>
      </c>
      <c r="BN317" s="80">
        <f t="shared" ca="1" si="1039"/>
        <v>1912.4481169247836</v>
      </c>
      <c r="BO317" s="80">
        <f t="shared" ca="1" si="1039"/>
        <v>1954.3542242101746</v>
      </c>
      <c r="BP317" s="80">
        <f t="shared" ca="1" si="1039"/>
        <v>2317.6811476350399</v>
      </c>
      <c r="BQ317" s="80">
        <f t="shared" ca="1" si="1038"/>
        <v>2824.2548166262727</v>
      </c>
      <c r="BR317" s="80">
        <f t="shared" ref="BR317:BX317" ca="1" si="1040">BQ317*(1+BR309/100)</f>
        <v>3033.3698491188998</v>
      </c>
      <c r="BS317" s="80">
        <f t="shared" ca="1" si="1040"/>
        <v>3112.0005073317525</v>
      </c>
      <c r="BT317" s="80">
        <f t="shared" ca="1" si="1040"/>
        <v>3155.1580615089747</v>
      </c>
      <c r="BU317" s="80">
        <f t="shared" ca="1" si="1040"/>
        <v>3206.231978439569</v>
      </c>
      <c r="BV317" s="80">
        <f t="shared" ca="1" si="1040"/>
        <v>3260.8256109726603</v>
      </c>
      <c r="BW317" s="80">
        <f t="shared" ca="1" si="1040"/>
        <v>3317.1436645820859</v>
      </c>
      <c r="BX317" s="80">
        <f t="shared" ca="1" si="1040"/>
        <v>3372.8061685561925</v>
      </c>
      <c r="BY317" s="80">
        <f t="shared" ref="BY317" ca="1" si="1041">BX317*(1+BY309/100)</f>
        <v>3427.1945517083445</v>
      </c>
      <c r="BZ317" s="80">
        <f t="shared" ref="BZ317" ca="1" si="1042">BY317*(1+BZ309/100)</f>
        <v>3480.789553475</v>
      </c>
      <c r="CA317" s="80">
        <f t="shared" ref="CA317" ca="1" si="1043">BZ317*(1+CA309/100)</f>
        <v>3534.3569124431715</v>
      </c>
      <c r="CB317" s="80">
        <f t="shared" ref="CB317" ca="1" si="1044">CA317*(1+CB309/100)</f>
        <v>3588.0259164868612</v>
      </c>
      <c r="CC317" s="80">
        <f t="shared" ref="CC317" ca="1" si="1045">CB317*(1+CC309/100)</f>
        <v>3641.4906752532265</v>
      </c>
      <c r="CD317" s="80">
        <f t="shared" ref="CD317" ca="1" si="1046">CC317*(1+CD309/100)</f>
        <v>3694.7116272790481</v>
      </c>
      <c r="CE317" s="80"/>
      <c r="CF317" s="435"/>
      <c r="CG317" s="235">
        <f t="shared" ca="1" si="997"/>
        <v>22.080861648105611</v>
      </c>
      <c r="CH317" s="235">
        <f t="shared" ca="1" si="998"/>
        <v>1.6277745958134346</v>
      </c>
      <c r="CI317" s="235" t="e">
        <f ca="1">BM317-#REF!</f>
        <v>#REF!</v>
      </c>
      <c r="CJ317" s="235">
        <f t="shared" ca="1" si="935"/>
        <v>0</v>
      </c>
      <c r="CK317" s="235">
        <f t="shared" ca="1" si="936"/>
        <v>0</v>
      </c>
      <c r="CL317" s="235">
        <f t="shared" ca="1" si="937"/>
        <v>0</v>
      </c>
      <c r="CM317" s="235">
        <f t="shared" ca="1" si="938"/>
        <v>0</v>
      </c>
      <c r="CN317" s="235">
        <f t="shared" ca="1" si="939"/>
        <v>0</v>
      </c>
      <c r="CO317" s="235">
        <f t="shared" ca="1" si="940"/>
        <v>0</v>
      </c>
      <c r="CP317" s="235">
        <f t="shared" ca="1" si="941"/>
        <v>0</v>
      </c>
      <c r="CQ317" s="235">
        <f t="shared" ca="1" si="942"/>
        <v>0</v>
      </c>
      <c r="CR317" s="235">
        <f t="shared" ca="1" si="943"/>
        <v>0</v>
      </c>
      <c r="CS317" s="235">
        <f t="shared" ca="1" si="944"/>
        <v>0</v>
      </c>
      <c r="CT317" s="235">
        <f t="shared" ca="1" si="945"/>
        <v>0</v>
      </c>
      <c r="CU317" s="235">
        <f t="shared" ca="1" si="946"/>
        <v>0</v>
      </c>
      <c r="CV317" s="235">
        <f t="shared" ca="1" si="947"/>
        <v>0</v>
      </c>
      <c r="CW317" s="235">
        <f t="shared" ca="1" si="948"/>
        <v>0</v>
      </c>
      <c r="CX317" s="235">
        <f t="shared" ca="1" si="949"/>
        <v>-4.5474735088646412E-12</v>
      </c>
      <c r="CY317" s="235">
        <f t="shared" ca="1" si="950"/>
        <v>-5.0476955948397517E-11</v>
      </c>
      <c r="CZ317" s="235">
        <f t="shared" ca="1" si="951"/>
        <v>-5.6661519920453429E-10</v>
      </c>
      <c r="DA317" s="38"/>
      <c r="DB317" s="236">
        <v>1303.64865749146</v>
      </c>
      <c r="DC317" s="236">
        <v>1304.6486574914609</v>
      </c>
      <c r="DD317" s="236">
        <v>1420.3791044888787</v>
      </c>
      <c r="DE317" s="236">
        <v>1547.7671609947217</v>
      </c>
      <c r="DF317" s="401">
        <v>1680.6611710416269</v>
      </c>
      <c r="DG317" s="236">
        <v>1656.9426650059252</v>
      </c>
      <c r="DH317" s="492">
        <v>1869.5420914677377</v>
      </c>
      <c r="DI317" s="236">
        <v>1912.4481169247836</v>
      </c>
      <c r="DJ317" s="236">
        <v>1954.3542242101746</v>
      </c>
      <c r="DK317" s="236">
        <v>2317.6811476350395</v>
      </c>
      <c r="DL317" s="236">
        <v>2824.2548166262713</v>
      </c>
      <c r="DM317" s="236">
        <v>3033.3698491188984</v>
      </c>
      <c r="DN317" s="236">
        <v>3112.0005073317511</v>
      </c>
      <c r="DO317" s="236">
        <v>3155.1580615089747</v>
      </c>
      <c r="DP317" s="236">
        <v>3206.2319784395704</v>
      </c>
      <c r="DQ317" s="403">
        <v>3260.8256109726613</v>
      </c>
      <c r="DR317" s="403">
        <v>3317.1436645820859</v>
      </c>
      <c r="DS317" s="403">
        <v>3372.8061685561925</v>
      </c>
      <c r="DT317" s="403">
        <v>3427.1945517083445</v>
      </c>
      <c r="DU317" s="403">
        <v>3480.789553475</v>
      </c>
      <c r="DV317" s="403">
        <v>3534.3569124431715</v>
      </c>
      <c r="DW317" s="403">
        <v>3588.0259164868658</v>
      </c>
      <c r="DX317" s="403">
        <v>3641.490675253277</v>
      </c>
      <c r="DY317" s="403">
        <v>3694.7116272796147</v>
      </c>
      <c r="DZ317" s="403"/>
      <c r="EA317" s="991"/>
    </row>
    <row r="318" spans="1:131">
      <c r="B318" s="135" t="s">
        <v>2146</v>
      </c>
      <c r="BP318" s="3">
        <v>2016</v>
      </c>
      <c r="CF318" s="435"/>
      <c r="CG318" s="235">
        <f t="shared" si="997"/>
        <v>0</v>
      </c>
      <c r="CH318" s="235">
        <f t="shared" si="998"/>
        <v>0</v>
      </c>
      <c r="CI318" s="235" t="e">
        <f>BM318-#REF!</f>
        <v>#REF!</v>
      </c>
      <c r="CJ318" s="235">
        <f t="shared" si="935"/>
        <v>0</v>
      </c>
      <c r="CK318" s="235">
        <f t="shared" si="936"/>
        <v>0</v>
      </c>
      <c r="CL318" s="235">
        <f t="shared" si="937"/>
        <v>0</v>
      </c>
      <c r="CM318" s="235">
        <f t="shared" si="938"/>
        <v>0</v>
      </c>
      <c r="CN318" s="235">
        <f t="shared" si="939"/>
        <v>0</v>
      </c>
      <c r="CO318" s="235">
        <f t="shared" si="940"/>
        <v>0</v>
      </c>
      <c r="CP318" s="235">
        <f t="shared" si="941"/>
        <v>0</v>
      </c>
      <c r="CQ318" s="235">
        <f t="shared" si="942"/>
        <v>0</v>
      </c>
      <c r="CR318" s="235">
        <f t="shared" si="943"/>
        <v>0</v>
      </c>
      <c r="CS318" s="235">
        <f t="shared" si="944"/>
        <v>0</v>
      </c>
      <c r="CT318" s="235">
        <f t="shared" si="945"/>
        <v>0</v>
      </c>
      <c r="CU318" s="235">
        <f t="shared" si="946"/>
        <v>0</v>
      </c>
      <c r="CV318" s="235">
        <f t="shared" si="947"/>
        <v>0</v>
      </c>
      <c r="CW318" s="235">
        <f t="shared" si="948"/>
        <v>0</v>
      </c>
      <c r="CX318" s="235">
        <f t="shared" si="949"/>
        <v>0</v>
      </c>
      <c r="CY318" s="235">
        <f t="shared" si="950"/>
        <v>0</v>
      </c>
      <c r="CZ318" s="235">
        <f t="shared" si="951"/>
        <v>0</v>
      </c>
      <c r="DF318" s="258"/>
      <c r="DK318" s="236">
        <v>2016</v>
      </c>
    </row>
    <row r="319" spans="1:131" s="19" customFormat="1">
      <c r="A319" s="153" t="s">
        <v>3666</v>
      </c>
      <c r="B319" s="43" t="s">
        <v>4667</v>
      </c>
      <c r="D319" s="206"/>
      <c r="E319" s="206"/>
      <c r="F319" s="206"/>
      <c r="G319" s="206"/>
      <c r="H319" s="206"/>
      <c r="I319" s="206"/>
      <c r="J319" s="206"/>
      <c r="K319" s="206"/>
      <c r="L319" s="206"/>
      <c r="M319" s="206"/>
      <c r="N319" s="206"/>
      <c r="O319" s="206"/>
      <c r="P319" s="206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6"/>
      <c r="AD319" s="206"/>
      <c r="AE319" s="206"/>
      <c r="AF319" s="206"/>
      <c r="AG319" s="206"/>
      <c r="AH319" s="206"/>
      <c r="AI319" s="206"/>
      <c r="AJ319" s="206"/>
      <c r="AK319" s="206"/>
      <c r="AL319" s="206"/>
      <c r="AM319" s="206"/>
      <c r="AN319" s="206"/>
      <c r="AO319" s="206"/>
      <c r="AP319" s="99">
        <f t="shared" ref="AP319:BV319" si="1047">(((AP298+AP184-AP231-AP232-AP256+AP331+AP255)/(1+AP302/100)+(AP293+AP256)/(1+AP303/100)+AP181/(1+AP304/100))/(AO292+AO182+AO183+AO184)-1)*100</f>
        <v>16.785294123164761</v>
      </c>
      <c r="AQ319" s="99">
        <f t="shared" si="1047"/>
        <v>6.0592143145727473</v>
      </c>
      <c r="AR319" s="99">
        <f t="shared" si="1047"/>
        <v>-4.7082600749032473</v>
      </c>
      <c r="AS319" s="99">
        <f t="shared" si="1047"/>
        <v>6.7801259604574282</v>
      </c>
      <c r="AT319" s="99">
        <f t="shared" si="1047"/>
        <v>-53.377499218620564</v>
      </c>
      <c r="AU319" s="99">
        <f t="shared" si="1047"/>
        <v>15.170386976776552</v>
      </c>
      <c r="AV319" s="99">
        <f t="shared" si="1047"/>
        <v>22.650036665668715</v>
      </c>
      <c r="AW319" s="99">
        <f t="shared" si="1047"/>
        <v>2.3816319789876639</v>
      </c>
      <c r="AX319" s="99">
        <f t="shared" si="1047"/>
        <v>1.5444992617323017</v>
      </c>
      <c r="AY319" s="99">
        <f t="shared" si="1047"/>
        <v>-7.2920170524747192</v>
      </c>
      <c r="AZ319" s="99">
        <f t="shared" si="1047"/>
        <v>-0.77639322838286562</v>
      </c>
      <c r="BA319" s="99">
        <f t="shared" si="1047"/>
        <v>4.2943839850998922</v>
      </c>
      <c r="BB319" s="99">
        <f t="shared" si="1047"/>
        <v>2.1865321125567716</v>
      </c>
      <c r="BC319" s="99">
        <f t="shared" ca="1" si="1047"/>
        <v>23.609388087135088</v>
      </c>
      <c r="BD319" s="99">
        <f t="shared" ca="1" si="1047"/>
        <v>3.1732505650844622</v>
      </c>
      <c r="BE319" s="99">
        <f t="shared" ca="1" si="1047"/>
        <v>25.080104428447036</v>
      </c>
      <c r="BF319" s="99">
        <f t="shared" ca="1" si="1047"/>
        <v>-0.34944576129545268</v>
      </c>
      <c r="BG319" s="99">
        <f t="shared" ca="1" si="1047"/>
        <v>14.382153762197735</v>
      </c>
      <c r="BH319" s="99">
        <f t="shared" ca="1" si="1047"/>
        <v>8.4924833435842562</v>
      </c>
      <c r="BI319" s="99">
        <f t="shared" ca="1" si="1047"/>
        <v>0.67089545549356977</v>
      </c>
      <c r="BJ319" s="99">
        <f t="shared" ca="1" si="1047"/>
        <v>1.2971723509355826</v>
      </c>
      <c r="BK319" s="99">
        <f t="shared" ca="1" si="1047"/>
        <v>11.061592012109944</v>
      </c>
      <c r="BL319" s="99">
        <f t="shared" ca="1" si="1047"/>
        <v>6.9644096750040685</v>
      </c>
      <c r="BM319" s="99">
        <f t="shared" ca="1" si="1047"/>
        <v>2.8098918540504725</v>
      </c>
      <c r="BN319" s="99">
        <f t="shared" ca="1" si="1047"/>
        <v>1.471244276501471</v>
      </c>
      <c r="BO319" s="99">
        <f t="shared" ca="1" si="1047"/>
        <v>1.1210547655208236</v>
      </c>
      <c r="BP319" s="99">
        <f t="shared" ca="1" si="1047"/>
        <v>-4.0559287661865007</v>
      </c>
      <c r="BQ319" s="99">
        <f t="shared" ca="1" si="1047"/>
        <v>10.322925210066213</v>
      </c>
      <c r="BR319" s="99">
        <f t="shared" ca="1" si="1047"/>
        <v>4.3913720036277359</v>
      </c>
      <c r="BS319" s="99">
        <f t="shared" ca="1" si="1047"/>
        <v>0.8687535968851412</v>
      </c>
      <c r="BT319" s="99">
        <f t="shared" ca="1" si="1047"/>
        <v>0.5830711104093167</v>
      </c>
      <c r="BU319" s="99">
        <f t="shared" ca="1" si="1047"/>
        <v>1.7757380999137817</v>
      </c>
      <c r="BV319" s="99">
        <f t="shared" ca="1" si="1047"/>
        <v>1.7673299984936941</v>
      </c>
      <c r="BW319" s="99">
        <f t="shared" ref="BW319:BX319" ca="1" si="1048">(((BW298+BW184-BW231-BW232-BW256+BW331+BW255)/(1+BW302/100)+(BW293+BW256)/(1+BW303/100)+BW181/(1+BW304/100))/(BV292+BV182+BV183+BV184)-1)*100</f>
        <v>1.7583705693119844</v>
      </c>
      <c r="BX319" s="99">
        <f t="shared" ca="1" si="1048"/>
        <v>1.7798125449072888</v>
      </c>
      <c r="BY319" s="99">
        <f t="shared" ref="BY319" ca="1" si="1049">(((BY298+BY184-BY231-BY232-BY256+BY331+BY255)/(1+BY302/100)+(BY293+BY256)/(1+BY303/100)+BY181/(1+BY304/100))/(BX292+BX182+BX183+BX184)-1)*100</f>
        <v>1.8120043319570955</v>
      </c>
      <c r="BZ319" s="99">
        <f t="shared" ref="BZ319" ca="1" si="1050">(((BZ298+BZ184-BZ231-BZ232-BZ256+BZ331+BZ255)/(1+BZ302/100)+(BZ293+BZ256)/(1+BZ303/100)+BZ181/(1+BZ304/100))/(BY292+BY182+BY183+BY184)-1)*100</f>
        <v>1.9191516135585562</v>
      </c>
      <c r="CA319" s="99">
        <f t="shared" ref="CA319" ca="1" si="1051">(((CA298+CA184-CA231-CA232-CA256+CA331+CA255)/(1+CA302/100)+(CA293+CA256)/(1+CA303/100)+CA181/(1+CA304/100))/(BZ292+BZ182+BZ183+BZ184)-1)*100</f>
        <v>2.0607945257090421</v>
      </c>
      <c r="CB319" s="99">
        <f t="shared" ref="CB319" ca="1" si="1052">(((CB298+CB184-CB231-CB232-CB256+CB331+CB255)/(1+CB302/100)+(CB293+CB256)/(1+CB303/100)+CB181/(1+CB304/100))/(CA292+CA182+CA183+CA184)-1)*100</f>
        <v>2.0982730873000399</v>
      </c>
      <c r="CC319" s="99">
        <f t="shared" ref="CC319" ca="1" si="1053">(((CC298+CC184-CC231-CC232-CC256+CC331+CC255)/(1+CC302/100)+(CC293+CC256)/(1+CC303/100)+CC181/(1+CC304/100))/(CB292+CB182+CB183+CB184)-1)*100</f>
        <v>2.1529221159773293</v>
      </c>
      <c r="CD319" s="99">
        <f t="shared" ref="CD319" ca="1" si="1054">(((CD298+CD184-CD231-CD232-CD256+CD331+CD255)/(1+CD302/100)+(CD293+CD256)/(1+CD303/100)+CD181/(1+CD304/100))/(CC292+CC182+CC183+CC184)-1)*100</f>
        <v>2.2161030695615258</v>
      </c>
      <c r="CE319" s="3"/>
      <c r="CF319" s="435"/>
      <c r="CG319" s="235">
        <f t="shared" ca="1" si="997"/>
        <v>11.061592012109944</v>
      </c>
      <c r="CH319" s="235">
        <f t="shared" ca="1" si="998"/>
        <v>6.9644096750040685</v>
      </c>
      <c r="CI319" s="235" t="e">
        <f ca="1">BM319-#REF!</f>
        <v>#REF!</v>
      </c>
      <c r="CJ319" s="235">
        <f t="shared" ca="1" si="935"/>
        <v>0</v>
      </c>
      <c r="CK319" s="235">
        <f t="shared" ca="1" si="936"/>
        <v>0</v>
      </c>
      <c r="CL319" s="235">
        <f t="shared" ca="1" si="937"/>
        <v>1.0658141036401503E-14</v>
      </c>
      <c r="CM319" s="235">
        <f t="shared" ca="1" si="938"/>
        <v>-2.3092638912203256E-14</v>
      </c>
      <c r="CN319" s="235">
        <f t="shared" ca="1" si="939"/>
        <v>-2.2204460492503131E-14</v>
      </c>
      <c r="CO319" s="235">
        <f t="shared" ca="1" si="940"/>
        <v>-2.2204460492503131E-14</v>
      </c>
      <c r="CP319" s="235">
        <f t="shared" ca="1" si="941"/>
        <v>0</v>
      </c>
      <c r="CQ319" s="235">
        <f t="shared" ca="1" si="942"/>
        <v>6.6613381477509392E-14</v>
      </c>
      <c r="CR319" s="235">
        <f t="shared" ca="1" si="943"/>
        <v>4.4408920985006262E-14</v>
      </c>
      <c r="CS319" s="235">
        <f t="shared" ca="1" si="944"/>
        <v>1.1102230246251565E-13</v>
      </c>
      <c r="CT319" s="235">
        <f t="shared" ca="1" si="945"/>
        <v>4.4408920985006262E-14</v>
      </c>
      <c r="CU319" s="235">
        <f t="shared" ca="1" si="946"/>
        <v>8.8817841970012523E-14</v>
      </c>
      <c r="CV319" s="235">
        <f t="shared" ca="1" si="947"/>
        <v>2.2204460492503131E-14</v>
      </c>
      <c r="CW319" s="235">
        <f t="shared" ca="1" si="948"/>
        <v>0</v>
      </c>
      <c r="CX319" s="235">
        <f t="shared" ca="1" si="949"/>
        <v>-7.7715611723760958E-13</v>
      </c>
      <c r="CY319" s="235">
        <f t="shared" ca="1" si="950"/>
        <v>-8.1934459217336553E-12</v>
      </c>
      <c r="CZ319" s="235">
        <f t="shared" ca="1" si="951"/>
        <v>-6.1017857433398603E-11</v>
      </c>
      <c r="DA319" s="38"/>
      <c r="DB319" s="236"/>
      <c r="DC319" s="236"/>
      <c r="DD319" s="236"/>
      <c r="DE319" s="236"/>
      <c r="DF319" s="258"/>
      <c r="DG319" s="236"/>
      <c r="DH319" s="492"/>
      <c r="DI319" s="236">
        <v>1.471244276501471</v>
      </c>
      <c r="DJ319" s="236">
        <v>1.1210547655208236</v>
      </c>
      <c r="DK319" s="236">
        <v>-4.0559287661865113</v>
      </c>
      <c r="DL319" s="236">
        <v>10.322925210066236</v>
      </c>
      <c r="DM319" s="236">
        <v>4.3913720036277581</v>
      </c>
      <c r="DN319" s="236">
        <v>0.8687535968851634</v>
      </c>
      <c r="DO319" s="236">
        <v>0.5830711104093167</v>
      </c>
      <c r="DP319" s="236">
        <v>1.7757380999137151</v>
      </c>
      <c r="DQ319" s="1084">
        <v>1.7673299984936497</v>
      </c>
      <c r="DR319" s="1084">
        <v>1.7583705693118734</v>
      </c>
      <c r="DS319" s="1084">
        <v>1.7798125449072444</v>
      </c>
      <c r="DT319" s="1084">
        <v>1.8120043319570067</v>
      </c>
      <c r="DU319" s="1084">
        <v>1.919151613558534</v>
      </c>
      <c r="DV319" s="1084">
        <v>2.0607945257090421</v>
      </c>
      <c r="DW319" s="1084">
        <v>2.0982730873008171</v>
      </c>
      <c r="DX319" s="1084">
        <v>2.1529221159855227</v>
      </c>
      <c r="DY319" s="1084">
        <v>2.2161030696225437</v>
      </c>
      <c r="DZ319" s="1084"/>
      <c r="EA319" s="988"/>
    </row>
    <row r="320" spans="1:131" s="25" customFormat="1">
      <c r="A320" s="165" t="s">
        <v>4631</v>
      </c>
      <c r="B320" s="112" t="s">
        <v>3824</v>
      </c>
      <c r="C320" s="12" t="s">
        <v>3694</v>
      </c>
      <c r="D320" s="225"/>
      <c r="E320" s="225"/>
      <c r="AP320" s="25">
        <f t="shared" ref="AP320:AW320" si="1055">(((AP298+AP184-AP231-AP232-AP256+AP331+AP255)/(1+AP302/100)+(AP293+AP256)/(1+AP303/100)+AP181/(1+AP304/100)-(AP182+AP183+AP184)/(1+AP305/100))/AO292-1)*100</f>
        <v>36.589503125133874</v>
      </c>
      <c r="AQ320" s="25">
        <f t="shared" si="1055"/>
        <v>7.5497374953906515</v>
      </c>
      <c r="AR320" s="25">
        <f t="shared" si="1055"/>
        <v>-11.403465515407563</v>
      </c>
      <c r="AS320" s="25">
        <f t="shared" si="1055"/>
        <v>40.824153111458351</v>
      </c>
      <c r="AT320" s="25">
        <f t="shared" si="1055"/>
        <v>-105.79279681667175</v>
      </c>
      <c r="AU320" s="25">
        <f t="shared" si="1055"/>
        <v>-11.807964661381376</v>
      </c>
      <c r="AV320" s="25">
        <f t="shared" si="1055"/>
        <v>29.567951357158506</v>
      </c>
      <c r="AW320" s="25">
        <f t="shared" si="1055"/>
        <v>6.5918376703888226</v>
      </c>
      <c r="AX320" s="25">
        <f>(((AX298+AX184-AX231-AX232-AX256+AX331+AX255)/(1+AX302/100)+(AX293+AX256)/(1+AX303/100)+AX181/(1+AX304/100)-(AX182+AX183+AX184)/(1+AX305/100))/AW292-1)*100</f>
        <v>0.87936610452670205</v>
      </c>
      <c r="AY320" s="25">
        <f>(((AY298+AY184-AY231-AY232-AY256+AY331+AY255)/(1+AY302/100)+(AY293+AY256)/(1+AY303/100)+AY181/(1+AY304/100)-(AY182+AY183+AY184)/(1+AY305/100))/AX292-1)*100</f>
        <v>-1.1891088036367847</v>
      </c>
      <c r="AZ320" s="25">
        <f>(((AZ298+AZ184-AZ231-AZ232-AZ256+AZ331+AZ255)/(1+AZ302/100)+(AZ293+AZ256)/(1+AZ303/100)+AZ181/(1+AZ304/100)-(AZ182+AZ183+AZ184)/(1+AZ305/100))/AY292-1)*100</f>
        <v>2.9930414496637914</v>
      </c>
      <c r="BA320" s="99">
        <f>(((BA298+BA184-BA231-BA232-BA256+BA331+BA255)/(1+BA302/100)+(BA293+BA256)/(1+BA303/100)+BA181/(1+BA304/100)-(BA182+BA183+BA184)/(1+BA305/100))/AZ292-1)*100</f>
        <v>3.0616103459214283</v>
      </c>
      <c r="BB320" s="99">
        <f>(((BB298+BB184-BB231-BB232-BB256+BB331+BB255)/(1+BB302/100)+(BB293+BB256)/(1+BB303/100)+BB181/(1+BB304/100)-(BB182+BB183+BB184)/(1+BB305/100))/BA292-1)*100</f>
        <v>2.8922585126505584</v>
      </c>
      <c r="BC320" s="99">
        <f t="shared" ref="BC320:BQ320" ca="1" si="1056">(((BC298+BC184-BC231-BC232-BC256+BC331+BC255)/(1+BC302/100)+(BC293+BC256)/(1+BC303/100)+BC181/(1+BC304/100)-(BC182+BC183+BC184)/(1+BC305/100))/BB292-1)*100</f>
        <v>21.315840017957232</v>
      </c>
      <c r="BD320" s="99">
        <f t="shared" ca="1" si="1056"/>
        <v>9.3131573689363414</v>
      </c>
      <c r="BE320" s="99">
        <f t="shared" ca="1" si="1056"/>
        <v>31.215544179259581</v>
      </c>
      <c r="BF320" s="99">
        <f t="shared" ca="1" si="1056"/>
        <v>3.9223635155354097</v>
      </c>
      <c r="BG320" s="99">
        <f t="shared" ca="1" si="1056"/>
        <v>5.5207349726193566</v>
      </c>
      <c r="BH320" s="99">
        <f t="shared" ca="1" si="1056"/>
        <v>4.6874924072880964</v>
      </c>
      <c r="BI320" s="99">
        <f t="shared" ca="1" si="1056"/>
        <v>3.1063592746244373</v>
      </c>
      <c r="BJ320" s="99">
        <f t="shared" ca="1" si="1056"/>
        <v>5.3172214672867035</v>
      </c>
      <c r="BK320" s="99">
        <f t="shared" ref="BK320:BP320" ca="1" si="1057">(((BK298+BK184-BK231-BK232-BK256+BK331+BK255)/(1+BK302/100)+(BK293+BK256)/(1+BK303/100)+BK181/(1+BK304/100)-(BK182+BK183+BK184)/(1+BK305/100))/BJ292-1)*100</f>
        <v>5.7253425401939451</v>
      </c>
      <c r="BL320" s="99">
        <f t="shared" ca="1" si="1057"/>
        <v>3.2579121012698886</v>
      </c>
      <c r="BM320" s="99">
        <f t="shared" ca="1" si="1057"/>
        <v>3.0286934856005088</v>
      </c>
      <c r="BN320" s="99">
        <f t="shared" ca="1" si="1057"/>
        <v>1.505334804275904</v>
      </c>
      <c r="BO320" s="99">
        <f t="shared" ca="1" si="1057"/>
        <v>-4.5024800385717656</v>
      </c>
      <c r="BP320" s="99">
        <f t="shared" ca="1" si="1057"/>
        <v>-3.7938923828662041</v>
      </c>
      <c r="BQ320" s="99">
        <f t="shared" ca="1" si="1056"/>
        <v>11.961871628044074</v>
      </c>
      <c r="BR320" s="99">
        <f t="shared" ref="BR320:BX320" ca="1" si="1058">(((BR298+BR184-BR231-BR232-BR256+BR331+BR255)/(1+BR302/100)+(BR293+BR256)/(1+BR303/100)+BR181/(1+BR304/100)-(BR182+BR183+BR184)/(1+BR305/100))/BQ292-1)*100</f>
        <v>5.0600031247673982</v>
      </c>
      <c r="BS320" s="99">
        <f t="shared" ca="1" si="1058"/>
        <v>0.79569543966357958</v>
      </c>
      <c r="BT320" s="99">
        <f t="shared" ca="1" si="1058"/>
        <v>0.67492714523684771</v>
      </c>
      <c r="BU320" s="99">
        <f t="shared" ca="1" si="1058"/>
        <v>1.7367050757748581</v>
      </c>
      <c r="BV320" s="99">
        <f t="shared" ca="1" si="1058"/>
        <v>1.8281128410979619</v>
      </c>
      <c r="BW320" s="99">
        <f t="shared" ca="1" si="1058"/>
        <v>1.8048661364822971</v>
      </c>
      <c r="BX320" s="99">
        <f t="shared" ca="1" si="1058"/>
        <v>1.8183843530624078</v>
      </c>
      <c r="BY320" s="99">
        <f t="shared" ref="BY320" ca="1" si="1059">(((BY298+BY184-BY231-BY232-BY256+BY331+BY255)/(1+BY302/100)+(BY293+BY256)/(1+BY303/100)+BY181/(1+BY304/100)-(BY182+BY183+BY184)/(1+BY305/100))/BX292-1)*100</f>
        <v>1.8418157472802621</v>
      </c>
      <c r="BZ320" s="99">
        <f t="shared" ref="BZ320" ca="1" si="1060">(((BZ298+BZ184-BZ231-BZ232-BZ256+BZ331+BZ255)/(1+BZ302/100)+(BZ293+BZ256)/(1+BZ303/100)+BZ181/(1+BZ304/100)-(BZ182+BZ183+BZ184)/(1+BZ305/100))/BY292-1)*100</f>
        <v>2.0536101781432725</v>
      </c>
      <c r="CA320" s="99">
        <f t="shared" ref="CA320" ca="1" si="1061">(((CA298+CA184-CA231-CA232-CA256+CA331+CA255)/(1+CA302/100)+(CA293+CA256)/(1+CA303/100)+CA181/(1+CA304/100)-(CA182+CA183+CA184)/(1+CA305/100))/BZ292-1)*100</f>
        <v>2.1958115898516928</v>
      </c>
      <c r="CB320" s="99">
        <f t="shared" ref="CB320" ca="1" si="1062">(((CB298+CB184-CB231-CB232-CB256+CB331+CB255)/(1+CB302/100)+(CB293+CB256)/(1+CB303/100)+CB181/(1+CB304/100)-(CB182+CB183+CB184)/(1+CB305/100))/CA292-1)*100</f>
        <v>2.2284809827551877</v>
      </c>
      <c r="CC320" s="99">
        <f t="shared" ref="CC320" ca="1" si="1063">(((CC298+CC184-CC231-CC232-CC256+CC331+CC255)/(1+CC302/100)+(CC293+CC256)/(1+CC303/100)+CC181/(1+CC304/100)-(CC182+CC183+CC184)/(1+CC305/100))/CB292-1)*100</f>
        <v>2.2836355950681009</v>
      </c>
      <c r="CD320" s="99">
        <f t="shared" ref="CD320" ca="1" si="1064">(((CD298+CD184-CD231-CD232-CD256+CD331+CD255)/(1+CD302/100)+(CD293+CD256)/(1+CD303/100)+CD181/(1+CD304/100)-(CD182+CD183+CD184)/(1+CD305/100))/CC292-1)*100</f>
        <v>2.3471389906550844</v>
      </c>
      <c r="CF320" s="435"/>
      <c r="CG320" s="235">
        <f t="shared" ca="1" si="997"/>
        <v>-0.1701673252228364</v>
      </c>
      <c r="CH320" s="235">
        <f t="shared" ca="1" si="998"/>
        <v>0.11036552911669606</v>
      </c>
      <c r="CI320" s="235" t="e">
        <f ca="1">BM320-#REF!</f>
        <v>#REF!</v>
      </c>
      <c r="CJ320" s="235">
        <f t="shared" ca="1" si="935"/>
        <v>0</v>
      </c>
      <c r="CK320" s="235">
        <f t="shared" ca="1" si="936"/>
        <v>0</v>
      </c>
      <c r="CL320" s="235">
        <f t="shared" ca="1" si="937"/>
        <v>1.1102230246251565E-14</v>
      </c>
      <c r="CM320" s="235">
        <f t="shared" ca="1" si="938"/>
        <v>-2.3092638912203256E-14</v>
      </c>
      <c r="CN320" s="235">
        <f t="shared" ca="1" si="939"/>
        <v>-2.2204460492503131E-14</v>
      </c>
      <c r="CO320" s="235">
        <f t="shared" ca="1" si="940"/>
        <v>-4.4408920985006262E-14</v>
      </c>
      <c r="CP320" s="235">
        <f t="shared" ca="1" si="941"/>
        <v>0</v>
      </c>
      <c r="CQ320" s="235">
        <f t="shared" ca="1" si="942"/>
        <v>1.1102230246251565E-13</v>
      </c>
      <c r="CR320" s="235">
        <f t="shared" ca="1" si="943"/>
        <v>6.6613381477509392E-14</v>
      </c>
      <c r="CS320" s="235">
        <f t="shared" ca="1" si="944"/>
        <v>1.3322676295501878E-13</v>
      </c>
      <c r="CT320" s="235">
        <f t="shared" ca="1" si="945"/>
        <v>8.8817841970012523E-14</v>
      </c>
      <c r="CU320" s="235">
        <f t="shared" ca="1" si="946"/>
        <v>1.3322676295501878E-13</v>
      </c>
      <c r="CV320" s="235">
        <f t="shared" ca="1" si="947"/>
        <v>6.6613381477509392E-14</v>
      </c>
      <c r="CW320" s="235">
        <f t="shared" ca="1" si="948"/>
        <v>8.8817841970012523E-14</v>
      </c>
      <c r="CX320" s="235">
        <f t="shared" ca="1" si="949"/>
        <v>-1.9984014443252818E-13</v>
      </c>
      <c r="CY320" s="235">
        <f t="shared" ca="1" si="950"/>
        <v>-3.2640556923979602E-12</v>
      </c>
      <c r="CZ320" s="235">
        <f t="shared" ca="1" si="951"/>
        <v>-2.5512925105886097E-11</v>
      </c>
      <c r="DA320" s="38"/>
      <c r="DB320" s="236">
        <v>-5.0544996108855198</v>
      </c>
      <c r="DC320" s="236">
        <v>-4.0544996108855198</v>
      </c>
      <c r="DD320" s="236">
        <v>4.7778656507635908</v>
      </c>
      <c r="DE320" s="236">
        <v>5.2739091371889701</v>
      </c>
      <c r="DF320" s="259">
        <v>3.3809078749448718</v>
      </c>
      <c r="DG320" s="236">
        <v>5.8955098654167815</v>
      </c>
      <c r="DH320" s="492">
        <v>3.1475465721531926</v>
      </c>
      <c r="DI320" s="236">
        <v>1.505334804275904</v>
      </c>
      <c r="DJ320" s="236">
        <v>-4.5024800385717656</v>
      </c>
      <c r="DK320" s="236">
        <v>-3.7938923828662152</v>
      </c>
      <c r="DL320" s="236">
        <v>11.961871628044097</v>
      </c>
      <c r="DM320" s="236">
        <v>5.0600031247674204</v>
      </c>
      <c r="DN320" s="236">
        <v>0.79569543966362399</v>
      </c>
      <c r="DO320" s="236">
        <v>0.67492714523684771</v>
      </c>
      <c r="DP320" s="236">
        <v>1.7367050757747471</v>
      </c>
      <c r="DQ320" s="259">
        <v>1.8281128410978953</v>
      </c>
      <c r="DR320" s="259">
        <v>1.8048661364821639</v>
      </c>
      <c r="DS320" s="259">
        <v>1.8183843530623189</v>
      </c>
      <c r="DT320" s="259">
        <v>1.8418157472801289</v>
      </c>
      <c r="DU320" s="259">
        <v>2.0536101781432059</v>
      </c>
      <c r="DV320" s="259">
        <v>2.195811589851604</v>
      </c>
      <c r="DW320" s="259">
        <v>2.2284809827553875</v>
      </c>
      <c r="DX320" s="259">
        <v>2.2836355950713649</v>
      </c>
      <c r="DY320" s="259">
        <v>2.3471389906805973</v>
      </c>
      <c r="DZ320" s="259"/>
      <c r="EA320" s="508"/>
    </row>
    <row r="321" spans="1:131" s="25" customFormat="1">
      <c r="A321" s="165" t="s">
        <v>4632</v>
      </c>
      <c r="B321" s="112" t="s">
        <v>439</v>
      </c>
      <c r="C321" s="12" t="s">
        <v>3704</v>
      </c>
      <c r="D321" s="225"/>
      <c r="E321" s="225"/>
      <c r="G321" s="25">
        <f t="shared" ref="G321:AU321" si="1065">((G298/F298)/(1+G302/100)-1)*100</f>
        <v>7.3390040228963116</v>
      </c>
      <c r="H321" s="25">
        <f t="shared" si="1065"/>
        <v>2.6388795455772884</v>
      </c>
      <c r="I321" s="25">
        <f t="shared" si="1065"/>
        <v>-0.32933130397060362</v>
      </c>
      <c r="J321" s="25">
        <f t="shared" si="1065"/>
        <v>12.571346689881825</v>
      </c>
      <c r="K321" s="25">
        <f t="shared" si="1065"/>
        <v>10.081482820506604</v>
      </c>
      <c r="L321" s="25">
        <f t="shared" si="1065"/>
        <v>8.8673386326018075</v>
      </c>
      <c r="M321" s="25">
        <f t="shared" si="1065"/>
        <v>1.3019023107636807</v>
      </c>
      <c r="N321" s="25">
        <f t="shared" si="1065"/>
        <v>3.8906708851035532</v>
      </c>
      <c r="O321" s="25">
        <f t="shared" si="1065"/>
        <v>3.4032291347809052</v>
      </c>
      <c r="P321" s="25">
        <f t="shared" si="1065"/>
        <v>-1.2253642083992711</v>
      </c>
      <c r="Q321" s="25">
        <f t="shared" si="1065"/>
        <v>15.179955720948769</v>
      </c>
      <c r="R321" s="25">
        <f t="shared" si="1065"/>
        <v>20.23428046930109</v>
      </c>
      <c r="S321" s="25">
        <f t="shared" si="1065"/>
        <v>20.410849927940955</v>
      </c>
      <c r="T321" s="25">
        <f t="shared" si="1065"/>
        <v>5.5686416278327489</v>
      </c>
      <c r="U321" s="25">
        <f t="shared" si="1065"/>
        <v>-0.42705407948863128</v>
      </c>
      <c r="V321" s="25">
        <f t="shared" si="1065"/>
        <v>3.2803776323282241</v>
      </c>
      <c r="W321" s="25">
        <f t="shared" si="1065"/>
        <v>5.1159334232486087</v>
      </c>
      <c r="X321" s="25">
        <f t="shared" si="1065"/>
        <v>-2.6387691217976017</v>
      </c>
      <c r="Y321" s="25">
        <f t="shared" si="1065"/>
        <v>1.7971793272973713</v>
      </c>
      <c r="Z321" s="25">
        <f t="shared" si="1065"/>
        <v>-7.4577776208422435</v>
      </c>
      <c r="AA321" s="25">
        <f t="shared" si="1065"/>
        <v>12.310251728476263</v>
      </c>
      <c r="AB321" s="25">
        <f t="shared" si="1065"/>
        <v>13.370247992216111</v>
      </c>
      <c r="AC321" s="25">
        <f t="shared" si="1065"/>
        <v>27.398637813167692</v>
      </c>
      <c r="AD321" s="25">
        <f t="shared" si="1065"/>
        <v>4.1445553198673935</v>
      </c>
      <c r="AE321" s="25">
        <f t="shared" si="1065"/>
        <v>-8.73661927596312</v>
      </c>
      <c r="AF321" s="25">
        <f t="shared" si="1065"/>
        <v>-11.262380887123602</v>
      </c>
      <c r="AG321" s="25">
        <f t="shared" si="1065"/>
        <v>6.6350962051543227</v>
      </c>
      <c r="AH321" s="25">
        <f t="shared" si="1065"/>
        <v>-0.51357111361332031</v>
      </c>
      <c r="AI321" s="25">
        <f t="shared" si="1065"/>
        <v>-7.5541766252895659E-2</v>
      </c>
      <c r="AJ321" s="25">
        <f t="shared" si="1065"/>
        <v>-8.5749848830396154</v>
      </c>
      <c r="AK321" s="25">
        <f t="shared" si="1065"/>
        <v>-15.612115599293618</v>
      </c>
      <c r="AL321" s="25">
        <f t="shared" si="1065"/>
        <v>-18.24505087266899</v>
      </c>
      <c r="AM321" s="25">
        <f t="shared" si="1065"/>
        <v>-35.919250742109973</v>
      </c>
      <c r="AN321" s="25">
        <f t="shared" si="1065"/>
        <v>9.350262849456481</v>
      </c>
      <c r="AO321" s="25">
        <f t="shared" si="1065"/>
        <v>11.219381646507376</v>
      </c>
      <c r="AP321" s="25">
        <f t="shared" si="1065"/>
        <v>16.402826393167324</v>
      </c>
      <c r="AQ321" s="25">
        <f t="shared" si="1065"/>
        <v>9.6136580182167428</v>
      </c>
      <c r="AR321" s="25">
        <f t="shared" si="1065"/>
        <v>-6.7391282409310698</v>
      </c>
      <c r="AS321" s="25">
        <f t="shared" si="1065"/>
        <v>-38.10454956931126</v>
      </c>
      <c r="AT321" s="25">
        <f t="shared" si="1065"/>
        <v>-604.80875454706995</v>
      </c>
      <c r="AU321" s="25">
        <f t="shared" si="1065"/>
        <v>-118.71973962012612</v>
      </c>
      <c r="AV321" s="38">
        <f t="shared" ref="AV321:BG321" si="1066">((AV298/AU298)/(1+AV302/100)-1)*100</f>
        <v>-7.244456639527197</v>
      </c>
      <c r="AW321" s="25">
        <f t="shared" si="1066"/>
        <v>25.851320950081668</v>
      </c>
      <c r="AX321" s="25">
        <f t="shared" si="1066"/>
        <v>27.466711710812231</v>
      </c>
      <c r="AY321" s="25">
        <f t="shared" si="1066"/>
        <v>-21.346895857753502</v>
      </c>
      <c r="AZ321" s="25">
        <f t="shared" si="1066"/>
        <v>11.502393297964364</v>
      </c>
      <c r="BA321" s="99">
        <f t="shared" si="1066"/>
        <v>-2.5958125979159363</v>
      </c>
      <c r="BB321" s="99">
        <f t="shared" si="1066"/>
        <v>17.775577565311917</v>
      </c>
      <c r="BC321" s="99">
        <f t="shared" si="1066"/>
        <v>7.7352441656345805</v>
      </c>
      <c r="BD321" s="99">
        <f t="shared" si="1066"/>
        <v>-2.081055631001083</v>
      </c>
      <c r="BE321" s="99">
        <f t="shared" ca="1" si="1066"/>
        <v>9.4627693376795996</v>
      </c>
      <c r="BF321" s="99">
        <f t="shared" ca="1" si="1066"/>
        <v>21.224212931532136</v>
      </c>
      <c r="BG321" s="99">
        <f t="shared" ca="1" si="1066"/>
        <v>7.2528083023283507</v>
      </c>
      <c r="BH321" s="99">
        <f ca="1">((BH298/BG298)/(1+BH302/100)-1)*100</f>
        <v>3.5402991153023144</v>
      </c>
      <c r="BI321" s="99">
        <f ca="1">((BI298/BH298)/(1+BI302/100)-1)*100</f>
        <v>-1.9102231373065215</v>
      </c>
      <c r="BJ321" s="99">
        <f ca="1">((BJ298/BI298)/(1+BJ302/100)-1)*100</f>
        <v>-5.625367033844797</v>
      </c>
      <c r="BK321" s="99">
        <f t="shared" ref="BK321:BP321" ca="1" si="1067">((BK298/BJ298)/(1+BK302/100)-1)*100</f>
        <v>28.527500341343483</v>
      </c>
      <c r="BL321" s="99">
        <f t="shared" ca="1" si="1067"/>
        <v>1.0752539396325034</v>
      </c>
      <c r="BM321" s="99">
        <f t="shared" ca="1" si="1067"/>
        <v>14.755016667196074</v>
      </c>
      <c r="BN321" s="99">
        <f t="shared" ca="1" si="1067"/>
        <v>-0.8572203348437557</v>
      </c>
      <c r="BO321" s="99">
        <f t="shared" ca="1" si="1067"/>
        <v>0.55025478091603741</v>
      </c>
      <c r="BP321" s="99">
        <f t="shared" ca="1" si="1067"/>
        <v>-12.880640768921525</v>
      </c>
      <c r="BQ321" s="99">
        <f t="shared" ref="BQ321:BV321" ca="1" si="1068">((BQ298/BP298)/(1+BQ302/100)-1)*100</f>
        <v>12.067421226812192</v>
      </c>
      <c r="BR321" s="99">
        <f t="shared" ca="1" si="1068"/>
        <v>8.3276482389694984</v>
      </c>
      <c r="BS321" s="99">
        <f t="shared" ca="1" si="1068"/>
        <v>2.517187182193914</v>
      </c>
      <c r="BT321" s="99">
        <f t="shared" ca="1" si="1068"/>
        <v>0.20419344570181686</v>
      </c>
      <c r="BU321" s="99">
        <f t="shared" ca="1" si="1068"/>
        <v>0.67685147857550199</v>
      </c>
      <c r="BV321" s="99">
        <f t="shared" ca="1" si="1068"/>
        <v>1.1047090988301589</v>
      </c>
      <c r="BW321" s="99">
        <f t="shared" ref="BW321:BX321" ca="1" si="1069">((BW298/BV298)/(1+BW302/100)-1)*100</f>
        <v>1.0880088118082831</v>
      </c>
      <c r="BX321" s="99">
        <f t="shared" ca="1" si="1069"/>
        <v>1.1189389564121521</v>
      </c>
      <c r="BY321" s="99">
        <f t="shared" ref="BY321" ca="1" si="1070">((BY298/BX298)/(1+BY302/100)-1)*100</f>
        <v>1.1640948848801402</v>
      </c>
      <c r="BZ321" s="99">
        <f t="shared" ref="BZ321" ca="1" si="1071">((BZ298/BY298)/(1+BZ302/100)-1)*100</f>
        <v>1.3316998768982069</v>
      </c>
      <c r="CA321" s="99">
        <f t="shared" ref="CA321" ca="1" si="1072">((CA298/BZ298)/(1+CA302/100)-1)*100</f>
        <v>1.5304948941178065</v>
      </c>
      <c r="CB321" s="99">
        <f t="shared" ref="CB321" ca="1" si="1073">((CB298/CA298)/(1+CB302/100)-1)*100</f>
        <v>1.5693843911199101</v>
      </c>
      <c r="CC321" s="99">
        <f t="shared" ref="CC321" ca="1" si="1074">((CC298/CB298)/(1+CC302/100)-1)*100</f>
        <v>1.6354946438722928</v>
      </c>
      <c r="CD321" s="99">
        <f t="shared" ref="CD321" ca="1" si="1075">((CD298/CC298)/(1+CD302/100)-1)*100</f>
        <v>1.714845448516189</v>
      </c>
      <c r="CE321" s="99"/>
      <c r="CF321" s="435"/>
      <c r="CG321" s="235">
        <f t="shared" ca="1" si="997"/>
        <v>-1.3608881550072098</v>
      </c>
      <c r="CH321" s="235">
        <f t="shared" ca="1" si="998"/>
        <v>6.5098899514347996</v>
      </c>
      <c r="CI321" s="235" t="e">
        <f ca="1">BM321-#REF!</f>
        <v>#REF!</v>
      </c>
      <c r="CJ321" s="235">
        <f t="shared" ca="1" si="935"/>
        <v>2.2204460492503131E-14</v>
      </c>
      <c r="CK321" s="235">
        <f t="shared" ca="1" si="936"/>
        <v>0</v>
      </c>
      <c r="CL321" s="235">
        <f t="shared" ca="1" si="937"/>
        <v>0</v>
      </c>
      <c r="CM321" s="235">
        <f t="shared" ca="1" si="938"/>
        <v>-2.3092638912203256E-14</v>
      </c>
      <c r="CN321" s="235">
        <f t="shared" ca="1" si="939"/>
        <v>-2.1316282072803006E-14</v>
      </c>
      <c r="CO321" s="235">
        <f t="shared" ca="1" si="940"/>
        <v>0</v>
      </c>
      <c r="CP321" s="235">
        <f t="shared" ca="1" si="941"/>
        <v>2.2204460492503131E-14</v>
      </c>
      <c r="CQ321" s="235">
        <f t="shared" ca="1" si="942"/>
        <v>6.6613381477509392E-14</v>
      </c>
      <c r="CR321" s="235">
        <f t="shared" ca="1" si="943"/>
        <v>6.6613381477509392E-14</v>
      </c>
      <c r="CS321" s="235">
        <f t="shared" ca="1" si="944"/>
        <v>2.2204460492503131E-14</v>
      </c>
      <c r="CT321" s="235">
        <f t="shared" ca="1" si="945"/>
        <v>0</v>
      </c>
      <c r="CU321" s="235">
        <f t="shared" ca="1" si="946"/>
        <v>4.4408920985006262E-14</v>
      </c>
      <c r="CV321" s="235">
        <f t="shared" ca="1" si="947"/>
        <v>4.4408920985006262E-14</v>
      </c>
      <c r="CW321" s="235">
        <f t="shared" ca="1" si="948"/>
        <v>-8.8817841970012523E-14</v>
      </c>
      <c r="CX321" s="235">
        <f t="shared" ca="1" si="949"/>
        <v>-2.375877272697835E-12</v>
      </c>
      <c r="CY321" s="235">
        <f t="shared" ca="1" si="950"/>
        <v>-2.1604940059205546E-11</v>
      </c>
      <c r="CZ321" s="235">
        <f t="shared" ca="1" si="951"/>
        <v>-1.4477308241112041E-10</v>
      </c>
      <c r="DA321" s="38"/>
      <c r="DB321" s="236">
        <v>-5.7923055159865697</v>
      </c>
      <c r="DC321" s="236">
        <v>-4.7923055159865724</v>
      </c>
      <c r="DD321" s="236">
        <v>2.066692334835718</v>
      </c>
      <c r="DE321" s="236">
        <v>-4.643291129464389</v>
      </c>
      <c r="DF321" s="259">
        <v>13.266149227100543</v>
      </c>
      <c r="DG321" s="236">
        <v>29.888388496350693</v>
      </c>
      <c r="DH321" s="492">
        <v>-5.4346360118022963</v>
      </c>
      <c r="DI321" s="236">
        <v>-0.85722033484377791</v>
      </c>
      <c r="DJ321" s="236">
        <v>0.55025478091603741</v>
      </c>
      <c r="DK321" s="236">
        <v>-12.880640768921525</v>
      </c>
      <c r="DL321" s="236">
        <v>12.067421226812215</v>
      </c>
      <c r="DM321" s="236">
        <v>8.3276482389695197</v>
      </c>
      <c r="DN321" s="236">
        <v>2.517187182193914</v>
      </c>
      <c r="DO321" s="236">
        <v>0.20419344570179465</v>
      </c>
      <c r="DP321" s="236">
        <v>0.67685147857543537</v>
      </c>
      <c r="DQ321" s="259">
        <v>1.1047090988300923</v>
      </c>
      <c r="DR321" s="259">
        <v>1.0880088118082609</v>
      </c>
      <c r="DS321" s="259">
        <v>1.1189389564121521</v>
      </c>
      <c r="DT321" s="259">
        <v>1.1640948848800958</v>
      </c>
      <c r="DU321" s="259">
        <v>1.3316998768981625</v>
      </c>
      <c r="DV321" s="259">
        <v>1.5304948941178953</v>
      </c>
      <c r="DW321" s="259">
        <v>1.569384391122286</v>
      </c>
      <c r="DX321" s="259">
        <v>1.6354946438938978</v>
      </c>
      <c r="DY321" s="259">
        <v>1.7148454486609621</v>
      </c>
      <c r="DZ321" s="259"/>
      <c r="EA321" s="508"/>
    </row>
    <row r="322" spans="1:131" s="25" customFormat="1">
      <c r="A322" s="165" t="s">
        <v>4633</v>
      </c>
      <c r="B322" s="99" t="s">
        <v>440</v>
      </c>
      <c r="C322" s="12" t="s">
        <v>4417</v>
      </c>
      <c r="D322" s="225"/>
      <c r="E322" s="225"/>
      <c r="F322" s="225"/>
      <c r="G322" s="225"/>
      <c r="H322" s="225"/>
      <c r="I322" s="225"/>
      <c r="J322" s="225"/>
      <c r="K322" s="225"/>
      <c r="L322" s="225"/>
      <c r="M322" s="225"/>
      <c r="N322" s="225"/>
      <c r="O322" s="225"/>
      <c r="P322" s="225"/>
      <c r="Q322" s="225"/>
      <c r="R322" s="225"/>
      <c r="S322" s="225"/>
      <c r="T322" s="225"/>
      <c r="U322" s="225"/>
      <c r="V322" s="225"/>
      <c r="W322" s="225"/>
      <c r="X322" s="225"/>
      <c r="Y322" s="225"/>
      <c r="Z322" s="225"/>
      <c r="AA322" s="225"/>
      <c r="AB322" s="225"/>
      <c r="AC322" s="225"/>
      <c r="AD322" s="225"/>
      <c r="AE322" s="225"/>
      <c r="AF322" s="225"/>
      <c r="AG322" s="225"/>
      <c r="AH322" s="225"/>
      <c r="AI322" s="225"/>
      <c r="AJ322" s="225"/>
      <c r="AK322" s="225"/>
      <c r="AL322" s="225"/>
      <c r="AM322" s="225"/>
      <c r="AN322" s="225"/>
      <c r="AO322" s="225"/>
      <c r="AP322" s="225"/>
      <c r="AQ322" s="225"/>
      <c r="AR322" s="225"/>
      <c r="AS322" s="225"/>
      <c r="AT322" s="225"/>
      <c r="AU322" s="12"/>
      <c r="AV322" s="25" t="s">
        <v>2219</v>
      </c>
      <c r="AW322" s="25">
        <f t="shared" ref="AW322:BG322" si="1076">((AW332/AV332)/(1+AW302/100)-1)*100</f>
        <v>30.214390130680748</v>
      </c>
      <c r="AX322" s="25">
        <f t="shared" si="1076"/>
        <v>39.390043006718976</v>
      </c>
      <c r="AY322" s="25">
        <f t="shared" si="1076"/>
        <v>-25.650314152133813</v>
      </c>
      <c r="AZ322" s="25">
        <f t="shared" si="1076"/>
        <v>-46.368201387673246</v>
      </c>
      <c r="BA322" s="99">
        <f t="shared" si="1076"/>
        <v>-2.1717023579539863</v>
      </c>
      <c r="BB322" s="99">
        <f t="shared" si="1076"/>
        <v>-53.320268478895329</v>
      </c>
      <c r="BC322" s="99">
        <f t="shared" si="1076"/>
        <v>-43.550497843337347</v>
      </c>
      <c r="BD322" s="99">
        <f t="shared" si="1076"/>
        <v>256.7695064787697</v>
      </c>
      <c r="BE322" s="99">
        <f t="shared" si="1076"/>
        <v>42.448649906830042</v>
      </c>
      <c r="BF322" s="99">
        <f t="shared" si="1076"/>
        <v>32.404841100590851</v>
      </c>
      <c r="BG322" s="99">
        <f t="shared" si="1076"/>
        <v>11.001302754798758</v>
      </c>
      <c r="BH322" s="99">
        <f t="shared" ref="BH322:BQ322" si="1077">((BH332/BG332)/(1+BH302/100)-1)*100</f>
        <v>-14.702266722584589</v>
      </c>
      <c r="BI322" s="99">
        <f t="shared" si="1077"/>
        <v>44.965000487588114</v>
      </c>
      <c r="BJ322" s="99">
        <f t="shared" si="1077"/>
        <v>-1.5709657568311886</v>
      </c>
      <c r="BK322" s="99">
        <f t="shared" si="1077"/>
        <v>-11.610143518832761</v>
      </c>
      <c r="BL322" s="99">
        <f t="shared" si="1077"/>
        <v>77.667400868458685</v>
      </c>
      <c r="BM322" s="99">
        <f t="shared" si="1077"/>
        <v>-12.149853662980926</v>
      </c>
      <c r="BN322" s="99">
        <f t="shared" si="1077"/>
        <v>-14.85891349902232</v>
      </c>
      <c r="BO322" s="99">
        <f t="shared" si="1077"/>
        <v>3.75480892324771</v>
      </c>
      <c r="BP322" s="99">
        <f t="shared" ca="1" si="1077"/>
        <v>1.8136366901820855</v>
      </c>
      <c r="BQ322" s="99">
        <f t="shared" ca="1" si="1077"/>
        <v>1.8414532516263016</v>
      </c>
      <c r="BR322" s="99">
        <f t="shared" ref="BR322:BX322" ca="1" si="1078">((BR332/BQ332)/(1+BR302/100)-1)*100</f>
        <v>1.6372165664217286</v>
      </c>
      <c r="BS322" s="99">
        <f t="shared" ca="1" si="1078"/>
        <v>1.6467955555437674</v>
      </c>
      <c r="BT322" s="99">
        <f t="shared" ca="1" si="1078"/>
        <v>1.6564785014951955</v>
      </c>
      <c r="BU322" s="99">
        <f t="shared" ca="1" si="1078"/>
        <v>1.6662659971220961</v>
      </c>
      <c r="BV322" s="99">
        <f t="shared" ca="1" si="1078"/>
        <v>1.6761586020277441</v>
      </c>
      <c r="BW322" s="99">
        <f t="shared" ca="1" si="1078"/>
        <v>1.4102591296428102</v>
      </c>
      <c r="BX322" s="99">
        <f t="shared" ca="1" si="1078"/>
        <v>1.420495481692341</v>
      </c>
      <c r="BY322" s="99">
        <f t="shared" ref="BY322" ca="1" si="1079">((BY332/BX332)/(1+BY302/100)-1)*100</f>
        <v>1.4308163836212584</v>
      </c>
      <c r="BZ322" s="99">
        <f t="shared" ref="BZ322" ca="1" si="1080">((BZ332/BY332)/(1+BZ302/100)-1)*100</f>
        <v>1.4412229075636329</v>
      </c>
      <c r="CA322" s="99">
        <f t="shared" ref="CA322" ca="1" si="1081">((CA332/BZ332)/(1+CA302/100)-1)*100</f>
        <v>1.451716105670986</v>
      </c>
      <c r="CB322" s="99">
        <f t="shared" ref="CB322" ca="1" si="1082">((CB332/CA332)/(1+CB302/100)-1)*100</f>
        <v>1.2278202695786611</v>
      </c>
      <c r="CC322" s="99">
        <f t="shared" ref="CC322" ca="1" si="1083">((CC332/CB332)/(1+CC302/100)-1)*100</f>
        <v>1.2378802515546461</v>
      </c>
      <c r="CD322" s="99">
        <f t="shared" ref="CD322" ca="1" si="1084">((CD332/CC332)/(1+CD302/100)-1)*100</f>
        <v>1.2480072971162492</v>
      </c>
      <c r="CE322" s="99"/>
      <c r="CF322" s="435"/>
      <c r="CG322" s="235">
        <f t="shared" si="997"/>
        <v>1.3773716898601407E-2</v>
      </c>
      <c r="CH322" s="235">
        <f t="shared" si="998"/>
        <v>0</v>
      </c>
      <c r="CI322" s="235" t="e">
        <f>BM322-#REF!</f>
        <v>#REF!</v>
      </c>
      <c r="CJ322" s="235">
        <f t="shared" si="935"/>
        <v>0</v>
      </c>
      <c r="CK322" s="235">
        <f t="shared" si="936"/>
        <v>0</v>
      </c>
      <c r="CL322" s="235">
        <f t="shared" ca="1" si="937"/>
        <v>2.2204460492503131E-14</v>
      </c>
      <c r="CM322" s="235">
        <f t="shared" ca="1" si="938"/>
        <v>0</v>
      </c>
      <c r="CN322" s="235">
        <f t="shared" ca="1" si="939"/>
        <v>0</v>
      </c>
      <c r="CO322" s="235">
        <f t="shared" ca="1" si="940"/>
        <v>0</v>
      </c>
      <c r="CP322" s="235">
        <f t="shared" ca="1" si="941"/>
        <v>-2.2204460492503131E-14</v>
      </c>
      <c r="CQ322" s="235">
        <f t="shared" ca="1" si="942"/>
        <v>2.2204460492503131E-14</v>
      </c>
      <c r="CR322" s="235">
        <f t="shared" ca="1" si="943"/>
        <v>2.2204460492503131E-14</v>
      </c>
      <c r="CS322" s="235">
        <f t="shared" ca="1" si="944"/>
        <v>2.2204460492503131E-14</v>
      </c>
      <c r="CT322" s="235">
        <f t="shared" ca="1" si="945"/>
        <v>-2.2204460492503131E-14</v>
      </c>
      <c r="CU322" s="235">
        <f t="shared" ca="1" si="946"/>
        <v>0</v>
      </c>
      <c r="CV322" s="235">
        <f t="shared" ca="1" si="947"/>
        <v>0</v>
      </c>
      <c r="CW322" s="235">
        <f t="shared" ca="1" si="948"/>
        <v>4.4408920985006262E-14</v>
      </c>
      <c r="CX322" s="235">
        <f t="shared" ca="1" si="949"/>
        <v>1.0658141036401503E-12</v>
      </c>
      <c r="CY322" s="235">
        <f t="shared" ca="1" si="950"/>
        <v>9.3258734068513149E-12</v>
      </c>
      <c r="CZ322" s="235">
        <f t="shared" ca="1" si="951"/>
        <v>5.6221693967017927E-11</v>
      </c>
      <c r="DA322" s="38"/>
      <c r="DB322" s="236">
        <v>29.519901394705599</v>
      </c>
      <c r="DC322" s="236">
        <v>30.519901394705595</v>
      </c>
      <c r="DD322" s="236">
        <v>-17.273772166716117</v>
      </c>
      <c r="DE322" s="236">
        <v>-0.30009763459823979</v>
      </c>
      <c r="DF322" s="259">
        <v>44.887700914133099</v>
      </c>
      <c r="DG322" s="236">
        <v>-11.623917235731362</v>
      </c>
      <c r="DH322" s="492">
        <v>77.667400868458685</v>
      </c>
      <c r="DI322" s="236">
        <v>-14.85891349902232</v>
      </c>
      <c r="DJ322" s="236">
        <v>3.75480892324771</v>
      </c>
      <c r="DK322" s="236">
        <v>1.8136366901820633</v>
      </c>
      <c r="DL322" s="236">
        <v>1.8414532516263016</v>
      </c>
      <c r="DM322" s="236">
        <v>1.6372165664217286</v>
      </c>
      <c r="DN322" s="236">
        <v>1.6467955555437674</v>
      </c>
      <c r="DO322" s="236">
        <v>1.6564785014952177</v>
      </c>
      <c r="DP322" s="236">
        <v>1.6662659971220739</v>
      </c>
      <c r="DQ322" s="259">
        <v>1.6761586020277219</v>
      </c>
      <c r="DR322" s="259">
        <v>1.410259129642788</v>
      </c>
      <c r="DS322" s="259">
        <v>1.4204954816923632</v>
      </c>
      <c r="DT322" s="259">
        <v>1.4308163836212584</v>
      </c>
      <c r="DU322" s="259">
        <v>1.4412229075636329</v>
      </c>
      <c r="DV322" s="259">
        <v>1.4517161056709416</v>
      </c>
      <c r="DW322" s="259">
        <v>1.2278202695775953</v>
      </c>
      <c r="DX322" s="259">
        <v>1.2378802515453202</v>
      </c>
      <c r="DY322" s="259">
        <v>1.2480072970600276</v>
      </c>
      <c r="DZ322" s="259"/>
      <c r="EA322" s="508"/>
    </row>
    <row r="323" spans="1:131" s="25" customFormat="1">
      <c r="A323" s="165" t="s">
        <v>4635</v>
      </c>
      <c r="B323" s="112" t="s">
        <v>2884</v>
      </c>
      <c r="C323" s="12" t="s">
        <v>3695</v>
      </c>
      <c r="D323" s="225"/>
      <c r="E323" s="225"/>
      <c r="G323" s="25">
        <f t="shared" ref="G323:AV323" si="1085">((G293/F293)/(1+G303/100)-1)*100</f>
        <v>5.7224366504446955</v>
      </c>
      <c r="H323" s="25">
        <f t="shared" si="1085"/>
        <v>9.7105538551955028</v>
      </c>
      <c r="I323" s="25">
        <f t="shared" si="1085"/>
        <v>36.030681391408905</v>
      </c>
      <c r="J323" s="25">
        <f t="shared" si="1085"/>
        <v>1.5587459364294398</v>
      </c>
      <c r="K323" s="25">
        <f t="shared" si="1085"/>
        <v>10.954348551685467</v>
      </c>
      <c r="L323" s="25">
        <f t="shared" si="1085"/>
        <v>-8.3644222740997911</v>
      </c>
      <c r="M323" s="25">
        <f t="shared" si="1085"/>
        <v>14.458143426626258</v>
      </c>
      <c r="N323" s="25">
        <f t="shared" si="1085"/>
        <v>3.648409496722671</v>
      </c>
      <c r="O323" s="25">
        <f t="shared" si="1085"/>
        <v>21.860930873855743</v>
      </c>
      <c r="P323" s="25">
        <f t="shared" si="1085"/>
        <v>105.41498726752492</v>
      </c>
      <c r="Q323" s="25">
        <f t="shared" si="1085"/>
        <v>-2.4604942967234256</v>
      </c>
      <c r="R323" s="25">
        <f t="shared" si="1085"/>
        <v>-28.930510496641094</v>
      </c>
      <c r="S323" s="25">
        <f t="shared" si="1085"/>
        <v>-27.819482133059282</v>
      </c>
      <c r="T323" s="25">
        <f t="shared" si="1085"/>
        <v>-12.979040835457523</v>
      </c>
      <c r="U323" s="25">
        <f t="shared" si="1085"/>
        <v>-24.772856761643279</v>
      </c>
      <c r="V323" s="25">
        <f t="shared" si="1085"/>
        <v>-15.15809105381225</v>
      </c>
      <c r="W323" s="25">
        <f t="shared" si="1085"/>
        <v>17.240387117295452</v>
      </c>
      <c r="X323" s="25">
        <f t="shared" si="1085"/>
        <v>22.138835994223506</v>
      </c>
      <c r="Y323" s="25">
        <f t="shared" si="1085"/>
        <v>-0.5636700901471503</v>
      </c>
      <c r="Z323" s="25">
        <f t="shared" si="1085"/>
        <v>52.641575991198543</v>
      </c>
      <c r="AA323" s="25">
        <f t="shared" si="1085"/>
        <v>8.4544017206354951</v>
      </c>
      <c r="AB323" s="25">
        <f t="shared" si="1085"/>
        <v>-47.79770986053893</v>
      </c>
      <c r="AC323" s="25">
        <f t="shared" si="1085"/>
        <v>19.73656089996112</v>
      </c>
      <c r="AD323" s="25">
        <f t="shared" si="1085"/>
        <v>-16.278428019076905</v>
      </c>
      <c r="AE323" s="25">
        <f t="shared" si="1085"/>
        <v>-16.043022546341202</v>
      </c>
      <c r="AF323" s="25">
        <f t="shared" si="1085"/>
        <v>43.796543054372265</v>
      </c>
      <c r="AG323" s="25">
        <f t="shared" si="1085"/>
        <v>29.901741734713649</v>
      </c>
      <c r="AH323" s="25">
        <f t="shared" si="1085"/>
        <v>-19.36093472733441</v>
      </c>
      <c r="AI323" s="25">
        <f t="shared" si="1085"/>
        <v>-51.303451421207114</v>
      </c>
      <c r="AJ323" s="25">
        <f t="shared" si="1085"/>
        <v>-19.10408132358452</v>
      </c>
      <c r="AK323" s="25">
        <f t="shared" si="1085"/>
        <v>22.885281542066259</v>
      </c>
      <c r="AL323" s="25">
        <f t="shared" si="1085"/>
        <v>-10.766413721185097</v>
      </c>
      <c r="AM323" s="25">
        <f t="shared" si="1085"/>
        <v>-22.787918593717716</v>
      </c>
      <c r="AN323" s="25">
        <f t="shared" si="1085"/>
        <v>10.580547876350854</v>
      </c>
      <c r="AO323" s="25">
        <f t="shared" si="1085"/>
        <v>-15.470492638901822</v>
      </c>
      <c r="AP323" s="25">
        <f t="shared" si="1085"/>
        <v>109.0054738578591</v>
      </c>
      <c r="AQ323" s="25">
        <f t="shared" si="1085"/>
        <v>-0.33106868716012983</v>
      </c>
      <c r="AR323" s="25">
        <f t="shared" si="1085"/>
        <v>2.4741186031544293</v>
      </c>
      <c r="AS323" s="25">
        <f t="shared" si="1085"/>
        <v>-12.617055651521136</v>
      </c>
      <c r="AT323" s="25">
        <f t="shared" si="1085"/>
        <v>96.792203710165722</v>
      </c>
      <c r="AU323" s="25">
        <f t="shared" si="1085"/>
        <v>-52.446240840195927</v>
      </c>
      <c r="AV323" s="25">
        <f t="shared" si="1085"/>
        <v>325.35479681063413</v>
      </c>
      <c r="AW323" s="25">
        <f t="shared" ref="AW323:BB323" si="1086">((AW293/AV293)/(1+AW303/100)-1)*100</f>
        <v>-25.32317602409384</v>
      </c>
      <c r="AX323" s="25">
        <f t="shared" si="1086"/>
        <v>-58.521881138016539</v>
      </c>
      <c r="AY323" s="25">
        <f t="shared" si="1086"/>
        <v>-13.643085999461125</v>
      </c>
      <c r="AZ323" s="25">
        <f t="shared" si="1086"/>
        <v>-9.451386914309678</v>
      </c>
      <c r="BA323" s="99">
        <f t="shared" si="1086"/>
        <v>129.6136265396529</v>
      </c>
      <c r="BB323" s="99">
        <f t="shared" si="1086"/>
        <v>0.25391506441179157</v>
      </c>
      <c r="BC323" s="99">
        <f t="shared" ref="BC323:BQ323" ca="1" si="1087">((BC293/BB293)/(1+BC303/100)-1)*100</f>
        <v>60.792437006468994</v>
      </c>
      <c r="BD323" s="99">
        <f t="shared" ca="1" si="1087"/>
        <v>-13.526705361499936</v>
      </c>
      <c r="BE323" s="99">
        <f t="shared" ca="1" si="1087"/>
        <v>84.650703354627652</v>
      </c>
      <c r="BF323" s="99">
        <f t="shared" ca="1" si="1087"/>
        <v>-30.006612400688169</v>
      </c>
      <c r="BG323" s="99">
        <f t="shared" ca="1" si="1087"/>
        <v>10.811282470541794</v>
      </c>
      <c r="BH323" s="99">
        <f t="shared" ca="1" si="1087"/>
        <v>13.952418831384117</v>
      </c>
      <c r="BI323" s="99">
        <f t="shared" ca="1" si="1087"/>
        <v>3.8596160334663621</v>
      </c>
      <c r="BJ323" s="99">
        <f t="shared" ca="1" si="1087"/>
        <v>9.771792016883829E-2</v>
      </c>
      <c r="BK323" s="99">
        <f t="shared" ref="BK323:BP323" ca="1" si="1088">((BK293/BJ293)/(1+BK303/100)-1)*100</f>
        <v>16.265388444023742</v>
      </c>
      <c r="BL323" s="99">
        <f t="shared" ca="1" si="1088"/>
        <v>26.410604518225899</v>
      </c>
      <c r="BM323" s="99">
        <f t="shared" ca="1" si="1088"/>
        <v>-11.3408771544242</v>
      </c>
      <c r="BN323" s="99">
        <f t="shared" ca="1" si="1088"/>
        <v>16.694782114039832</v>
      </c>
      <c r="BO323" s="99">
        <f t="shared" ca="1" si="1088"/>
        <v>29.363453775279737</v>
      </c>
      <c r="BP323" s="99">
        <f t="shared" ca="1" si="1088"/>
        <v>2.8062100698504011</v>
      </c>
      <c r="BQ323" s="99">
        <f t="shared" ca="1" si="1087"/>
        <v>0.14687971744493655</v>
      </c>
      <c r="BR323" s="99">
        <f t="shared" ref="BR323:BX323" ca="1" si="1089">((BR293/BQ293)/(1+BR303/100)-1)*100</f>
        <v>-1.0053090897165551</v>
      </c>
      <c r="BS323" s="99">
        <f t="shared" ca="1" si="1089"/>
        <v>1.6742706132401919</v>
      </c>
      <c r="BT323" s="99">
        <f t="shared" ca="1" si="1089"/>
        <v>0.37982994381122737</v>
      </c>
      <c r="BU323" s="99">
        <f t="shared" ca="1" si="1089"/>
        <v>2.1880019869032985</v>
      </c>
      <c r="BV323" s="99">
        <f t="shared" ca="1" si="1089"/>
        <v>1.2147232704763367</v>
      </c>
      <c r="BW323" s="99">
        <f t="shared" ca="1" si="1089"/>
        <v>1.2614573697690812</v>
      </c>
      <c r="BX323" s="99">
        <f t="shared" ca="1" si="1089"/>
        <v>1.2770315716250424</v>
      </c>
      <c r="BY323" s="99">
        <f t="shared" ref="BY323" ca="1" si="1090">((BY293/BX293)/(1+BY303/100)-1)*100</f>
        <v>1.3109133047727761</v>
      </c>
      <c r="BZ323" s="99">
        <f t="shared" ref="BZ323" ca="1" si="1091">((BZ293/BY293)/(1+BZ303/100)-1)*100</f>
        <v>1.4257711207288359</v>
      </c>
      <c r="CA323" s="99">
        <f t="shared" ref="CA323" ca="1" si="1092">((CA293/BZ293)/(1+CA303/100)-1)*100</f>
        <v>1.5901262948854855</v>
      </c>
      <c r="CB323" s="99">
        <f t="shared" ref="CB323" ca="1" si="1093">((CB293/CA293)/(1+CB303/100)-1)*100</f>
        <v>1.6810123308701685</v>
      </c>
      <c r="CC323" s="99">
        <f t="shared" ref="CC323" ca="1" si="1094">((CC293/CB293)/(1+CC303/100)-1)*100</f>
        <v>1.7364935529115222</v>
      </c>
      <c r="CD323" s="99">
        <f t="shared" ref="CD323" ca="1" si="1095">((CD293/CC293)/(1+CD303/100)-1)*100</f>
        <v>1.8046842570796695</v>
      </c>
      <c r="CE323" s="99"/>
      <c r="CF323" s="435"/>
      <c r="CG323" s="235">
        <f t="shared" ca="1" si="997"/>
        <v>-31.64464047215214</v>
      </c>
      <c r="CH323" s="235">
        <f t="shared" ca="1" si="998"/>
        <v>8.021589725233369E-2</v>
      </c>
      <c r="CI323" s="235" t="e">
        <f ca="1">BM323-#REF!</f>
        <v>#REF!</v>
      </c>
      <c r="CJ323" s="235">
        <f t="shared" ca="1" si="935"/>
        <v>0</v>
      </c>
      <c r="CK323" s="235">
        <f t="shared" ca="1" si="936"/>
        <v>0</v>
      </c>
      <c r="CL323" s="235">
        <f t="shared" ca="1" si="937"/>
        <v>0</v>
      </c>
      <c r="CM323" s="235">
        <f t="shared" ca="1" si="938"/>
        <v>0</v>
      </c>
      <c r="CN323" s="235">
        <f t="shared" ca="1" si="939"/>
        <v>-2.2204460492503131E-14</v>
      </c>
      <c r="CO323" s="235">
        <f t="shared" ca="1" si="940"/>
        <v>-2.2204460492503131E-14</v>
      </c>
      <c r="CP323" s="235">
        <f t="shared" ca="1" si="941"/>
        <v>0</v>
      </c>
      <c r="CQ323" s="235">
        <f t="shared" ca="1" si="942"/>
        <v>-2.2204460492503131E-14</v>
      </c>
      <c r="CR323" s="235">
        <f t="shared" ca="1" si="943"/>
        <v>-8.8817841970012523E-14</v>
      </c>
      <c r="CS323" s="235">
        <f t="shared" ca="1" si="944"/>
        <v>-6.6613381477509392E-14</v>
      </c>
      <c r="CT323" s="235">
        <f t="shared" ca="1" si="945"/>
        <v>-1.1102230246251565E-13</v>
      </c>
      <c r="CU323" s="235">
        <f t="shared" ca="1" si="946"/>
        <v>-1.5543122344752192E-13</v>
      </c>
      <c r="CV323" s="235">
        <f t="shared" ca="1" si="947"/>
        <v>-2.2204460492503131E-13</v>
      </c>
      <c r="CW323" s="235">
        <f t="shared" ca="1" si="948"/>
        <v>2.2204460492503131E-14</v>
      </c>
      <c r="CX323" s="235">
        <f t="shared" ca="1" si="949"/>
        <v>2.7311486405778851E-12</v>
      </c>
      <c r="CY323" s="235">
        <f t="shared" ca="1" si="950"/>
        <v>2.744471316873387E-11</v>
      </c>
      <c r="CZ323" s="235">
        <f t="shared" ca="1" si="951"/>
        <v>2.0328183580886616E-10</v>
      </c>
      <c r="DA323" s="38"/>
      <c r="DB323" s="236">
        <v>-32.840376447947797</v>
      </c>
      <c r="DC323" s="236">
        <v>-31.840376447947772</v>
      </c>
      <c r="DD323" s="236">
        <v>11.158982817948338</v>
      </c>
      <c r="DE323" s="236">
        <v>13.35856955557313</v>
      </c>
      <c r="DF323" s="259">
        <v>2.2282216841718716</v>
      </c>
      <c r="DG323" s="236">
        <v>47.910028916175882</v>
      </c>
      <c r="DH323" s="492">
        <v>26.330388620973565</v>
      </c>
      <c r="DI323" s="236">
        <v>16.694782114039853</v>
      </c>
      <c r="DJ323" s="236">
        <v>29.363453775279758</v>
      </c>
      <c r="DK323" s="236">
        <v>2.8062100698504011</v>
      </c>
      <c r="DL323" s="236">
        <v>0.14687971744493655</v>
      </c>
      <c r="DM323" s="236">
        <v>-1.0053090897165329</v>
      </c>
      <c r="DN323" s="236">
        <v>1.6742706132402141</v>
      </c>
      <c r="DO323" s="236">
        <v>0.37982994381122737</v>
      </c>
      <c r="DP323" s="236">
        <v>2.1880019869033207</v>
      </c>
      <c r="DQ323" s="259">
        <v>1.2147232704764255</v>
      </c>
      <c r="DR323" s="259">
        <v>1.2614573697691478</v>
      </c>
      <c r="DS323" s="259">
        <v>1.2770315716251535</v>
      </c>
      <c r="DT323" s="259">
        <v>1.3109133047729316</v>
      </c>
      <c r="DU323" s="259">
        <v>1.425771120729058</v>
      </c>
      <c r="DV323" s="259">
        <v>1.5901262948854633</v>
      </c>
      <c r="DW323" s="259">
        <v>1.6810123308674374</v>
      </c>
      <c r="DX323" s="259">
        <v>1.7364935528840775</v>
      </c>
      <c r="DY323" s="259">
        <v>1.8046842568763877</v>
      </c>
      <c r="DZ323" s="259"/>
      <c r="EA323" s="508"/>
    </row>
    <row r="324" spans="1:131" s="25" customFormat="1">
      <c r="A324" s="165" t="s">
        <v>4636</v>
      </c>
      <c r="B324" s="99" t="s">
        <v>2540</v>
      </c>
      <c r="C324" s="12" t="s">
        <v>4418</v>
      </c>
      <c r="D324" s="225"/>
      <c r="E324" s="225"/>
      <c r="F324" s="225"/>
      <c r="G324" s="225"/>
      <c r="H324" s="225"/>
      <c r="I324" s="225"/>
      <c r="J324" s="225"/>
      <c r="K324" s="225"/>
      <c r="L324" s="225"/>
      <c r="M324" s="225"/>
      <c r="N324" s="225"/>
      <c r="O324" s="225"/>
      <c r="P324" s="225"/>
      <c r="Q324" s="225"/>
      <c r="R324" s="225"/>
      <c r="S324" s="225"/>
      <c r="T324" s="225"/>
      <c r="U324" s="225"/>
      <c r="V324" s="225"/>
      <c r="W324" s="225"/>
      <c r="X324" s="225"/>
      <c r="Y324" s="225"/>
      <c r="Z324" s="225"/>
      <c r="AA324" s="225"/>
      <c r="AB324" s="225"/>
      <c r="AC324" s="225"/>
      <c r="AD324" s="225"/>
      <c r="AE324" s="225"/>
      <c r="AF324" s="225"/>
      <c r="AG324" s="225"/>
      <c r="AH324" s="225"/>
      <c r="AI324" s="225"/>
      <c r="AJ324" s="225"/>
      <c r="AK324" s="225"/>
      <c r="AL324" s="225"/>
      <c r="AM324" s="225"/>
      <c r="AN324" s="225"/>
      <c r="AO324" s="225"/>
      <c r="AP324" s="225"/>
      <c r="AQ324" s="225"/>
      <c r="AR324" s="225"/>
      <c r="AS324" s="225"/>
      <c r="AT324" s="225"/>
      <c r="AU324" s="12"/>
      <c r="AV324" s="25" t="s">
        <v>2219</v>
      </c>
      <c r="AW324" s="25">
        <f t="shared" ref="AW324:BB324" si="1096">((AW256/AV256)/(1+AW303/100)-1)*100</f>
        <v>-38.437720577534272</v>
      </c>
      <c r="AX324" s="25">
        <f t="shared" si="1096"/>
        <v>5.7177099863149783</v>
      </c>
      <c r="AY324" s="25">
        <f t="shared" si="1096"/>
        <v>8.6480960523020336</v>
      </c>
      <c r="AZ324" s="25">
        <f t="shared" si="1096"/>
        <v>8.2863404604936122</v>
      </c>
      <c r="BA324" s="99">
        <f t="shared" si="1096"/>
        <v>-56.540709233196019</v>
      </c>
      <c r="BB324" s="99">
        <f t="shared" si="1096"/>
        <v>10.346673370994374</v>
      </c>
      <c r="BC324" s="99">
        <f t="shared" ref="BC324:BQ324" ca="1" si="1097">((BC256/BB256)/(1+BC303/100)-1)*100</f>
        <v>-3.2787957691865932</v>
      </c>
      <c r="BD324" s="99">
        <f t="shared" ca="1" si="1097"/>
        <v>48.277882861836588</v>
      </c>
      <c r="BE324" s="99">
        <f t="shared" ca="1" si="1097"/>
        <v>43.501865350551896</v>
      </c>
      <c r="BF324" s="99">
        <f t="shared" ca="1" si="1097"/>
        <v>18.453108853506105</v>
      </c>
      <c r="BG324" s="99">
        <f t="shared" ca="1" si="1097"/>
        <v>6.5757272246530496</v>
      </c>
      <c r="BH324" s="99">
        <f t="shared" ca="1" si="1097"/>
        <v>16.401245373503336</v>
      </c>
      <c r="BI324" s="99">
        <f t="shared" ca="1" si="1097"/>
        <v>29.486697365913983</v>
      </c>
      <c r="BJ324" s="99">
        <f t="shared" ca="1" si="1097"/>
        <v>-18.276901785715882</v>
      </c>
      <c r="BK324" s="99">
        <f t="shared" ref="BK324:BP324" ca="1" si="1098">((BK256/BJ256)/(1+BK303/100)-1)*100</f>
        <v>8.1396418019765715</v>
      </c>
      <c r="BL324" s="99">
        <f t="shared" ca="1" si="1098"/>
        <v>0.5229380575309639</v>
      </c>
      <c r="BM324" s="99">
        <f t="shared" ca="1" si="1098"/>
        <v>1.5265525888813025</v>
      </c>
      <c r="BN324" s="99">
        <f t="shared" ca="1" si="1098"/>
        <v>18.729791971901587</v>
      </c>
      <c r="BO324" s="99">
        <f t="shared" ca="1" si="1098"/>
        <v>-46.588196866267062</v>
      </c>
      <c r="BP324" s="99">
        <f t="shared" ca="1" si="1098"/>
        <v>1.5274795516472484</v>
      </c>
      <c r="BQ324" s="99">
        <f t="shared" ca="1" si="1097"/>
        <v>1.5552784539004882</v>
      </c>
      <c r="BR324" s="99">
        <f t="shared" ref="BR324:BX324" ca="1" si="1099">((BR256/BQ256)/(1+BR303/100)-1)*100</f>
        <v>1.3866781571451048</v>
      </c>
      <c r="BS324" s="99">
        <f t="shared" ca="1" si="1099"/>
        <v>1.3982379952865331</v>
      </c>
      <c r="BT324" s="99">
        <f t="shared" ca="1" si="1099"/>
        <v>1.4099071096551175</v>
      </c>
      <c r="BU324" s="99">
        <f t="shared" ca="1" si="1099"/>
        <v>1.421686059503191</v>
      </c>
      <c r="BV324" s="99">
        <f t="shared" ca="1" si="1099"/>
        <v>1.4335753677391816</v>
      </c>
      <c r="BW324" s="99">
        <f t="shared" ca="1" si="1099"/>
        <v>1.2090429690961635</v>
      </c>
      <c r="BX324" s="99">
        <f t="shared" ca="1" si="1099"/>
        <v>1.2202399707942346</v>
      </c>
      <c r="BY324" s="99">
        <f t="shared" ref="BY324" ca="1" si="1100">((BY256/BX256)/(1+BY303/100)-1)*100</f>
        <v>1.2315375550622454</v>
      </c>
      <c r="BZ324" s="99">
        <f t="shared" ref="BZ324" ca="1" si="1101">((BZ256/BY256)/(1+BZ303/100)-1)*100</f>
        <v>1.2429366662610075</v>
      </c>
      <c r="CA324" s="99">
        <f t="shared" ref="CA324" ca="1" si="1102">((CA256/BZ256)/(1+CA303/100)-1)*100</f>
        <v>1.2544382288975031</v>
      </c>
      <c r="CB324" s="99">
        <f t="shared" ref="CB324" ca="1" si="1103">((CB256/CA256)/(1+CB303/100)-1)*100</f>
        <v>1.063035366719034</v>
      </c>
      <c r="CC324" s="99">
        <f t="shared" ref="CC324" ca="1" si="1104">((CC256/CB256)/(1+CC303/100)-1)*100</f>
        <v>1.0734927033000163</v>
      </c>
      <c r="CD324" s="99">
        <f t="shared" ref="CD324" ca="1" si="1105">((CD256/CC256)/(1+CD303/100)-1)*100</f>
        <v>1.0840351305811957</v>
      </c>
      <c r="CE324" s="99"/>
      <c r="CF324" s="435"/>
      <c r="CG324" s="235">
        <f t="shared" ca="1" si="997"/>
        <v>4.1921822785484508E-2</v>
      </c>
      <c r="CH324" s="235">
        <f t="shared" ca="1" si="998"/>
        <v>0.30205222311370239</v>
      </c>
      <c r="CI324" s="235" t="e">
        <f ca="1">BM324-#REF!</f>
        <v>#REF!</v>
      </c>
      <c r="CJ324" s="235">
        <f t="shared" ca="1" si="935"/>
        <v>0</v>
      </c>
      <c r="CK324" s="235">
        <f t="shared" ca="1" si="936"/>
        <v>0</v>
      </c>
      <c r="CL324" s="235">
        <f t="shared" ca="1" si="937"/>
        <v>0</v>
      </c>
      <c r="CM324" s="235">
        <f t="shared" ca="1" si="938"/>
        <v>0</v>
      </c>
      <c r="CN324" s="235">
        <f t="shared" ca="1" si="939"/>
        <v>0</v>
      </c>
      <c r="CO324" s="235">
        <f t="shared" ca="1" si="940"/>
        <v>0</v>
      </c>
      <c r="CP324" s="235">
        <f t="shared" ca="1" si="941"/>
        <v>0</v>
      </c>
      <c r="CQ324" s="235">
        <f t="shared" ca="1" si="942"/>
        <v>4.4408920985006262E-14</v>
      </c>
      <c r="CR324" s="235">
        <f t="shared" ca="1" si="943"/>
        <v>0</v>
      </c>
      <c r="CS324" s="235">
        <f t="shared" ca="1" si="944"/>
        <v>0</v>
      </c>
      <c r="CT324" s="235">
        <f t="shared" ca="1" si="945"/>
        <v>0</v>
      </c>
      <c r="CU324" s="235">
        <f t="shared" ca="1" si="946"/>
        <v>-2.2204460492503131E-14</v>
      </c>
      <c r="CV324" s="235">
        <f t="shared" ca="1" si="947"/>
        <v>-4.4408920985006262E-14</v>
      </c>
      <c r="CW324" s="235">
        <f t="shared" ca="1" si="948"/>
        <v>6.6613381477509392E-14</v>
      </c>
      <c r="CX324" s="235">
        <f t="shared" ca="1" si="949"/>
        <v>8.8817841970012523E-13</v>
      </c>
      <c r="CY324" s="235">
        <f t="shared" ca="1" si="950"/>
        <v>7.5051076464660582E-12</v>
      </c>
      <c r="CZ324" s="235">
        <f t="shared" ca="1" si="951"/>
        <v>4.6496140271301556E-11</v>
      </c>
      <c r="DA324" s="38"/>
      <c r="DB324" s="236">
        <v>14.3497435249815</v>
      </c>
      <c r="DC324" s="236">
        <v>15.34974352498153</v>
      </c>
      <c r="DD324" s="236">
        <v>71.245842497161789</v>
      </c>
      <c r="DE324" s="236">
        <v>-29.118085316424647</v>
      </c>
      <c r="DF324" s="259">
        <v>28.87176003765908</v>
      </c>
      <c r="DG324" s="236">
        <v>8.097719979191087</v>
      </c>
      <c r="DH324" s="492">
        <v>0.22088583441726151</v>
      </c>
      <c r="DI324" s="236">
        <v>18.729791971901587</v>
      </c>
      <c r="DJ324" s="236">
        <v>-46.588196866267062</v>
      </c>
      <c r="DK324" s="236">
        <v>1.5274795516472484</v>
      </c>
      <c r="DL324" s="236">
        <v>1.5552784539004882</v>
      </c>
      <c r="DM324" s="236">
        <v>1.3866781571451048</v>
      </c>
      <c r="DN324" s="236">
        <v>1.3982379952865331</v>
      </c>
      <c r="DO324" s="236">
        <v>1.4099071096551175</v>
      </c>
      <c r="DP324" s="236">
        <v>1.4216860595031466</v>
      </c>
      <c r="DQ324" s="259">
        <v>1.4335753677391816</v>
      </c>
      <c r="DR324" s="259">
        <v>1.2090429690961635</v>
      </c>
      <c r="DS324" s="259">
        <v>1.2202399707942346</v>
      </c>
      <c r="DT324" s="259">
        <v>1.2315375550622676</v>
      </c>
      <c r="DU324" s="259">
        <v>1.2429366662610519</v>
      </c>
      <c r="DV324" s="259">
        <v>1.2544382288974365</v>
      </c>
      <c r="DW324" s="259">
        <v>1.0630353667181458</v>
      </c>
      <c r="DX324" s="259">
        <v>1.0734927032925112</v>
      </c>
      <c r="DY324" s="259">
        <v>1.0840351305346996</v>
      </c>
      <c r="DZ324" s="259"/>
      <c r="EA324" s="508"/>
    </row>
    <row r="325" spans="1:131" s="25" customFormat="1">
      <c r="A325" s="165" t="s">
        <v>4634</v>
      </c>
      <c r="B325" s="99" t="s">
        <v>2541</v>
      </c>
      <c r="C325" s="12" t="s">
        <v>2147</v>
      </c>
      <c r="D325" s="225"/>
      <c r="E325" s="225"/>
      <c r="G325" s="25">
        <f>(G101/F176-1)*100</f>
        <v>-100</v>
      </c>
      <c r="H325" s="25">
        <f>(H101/G176-1)*100</f>
        <v>-100</v>
      </c>
      <c r="I325" s="25">
        <f>(I101/H176-1)*100</f>
        <v>-100</v>
      </c>
      <c r="K325" s="25">
        <f t="shared" ref="K325:AP325" si="1106">(K101/J176-1)*100</f>
        <v>-100</v>
      </c>
      <c r="L325" s="25">
        <f t="shared" si="1106"/>
        <v>-100</v>
      </c>
      <c r="M325" s="25">
        <f t="shared" si="1106"/>
        <v>-100</v>
      </c>
      <c r="N325" s="25">
        <f t="shared" si="1106"/>
        <v>-100</v>
      </c>
      <c r="O325" s="25">
        <f t="shared" si="1106"/>
        <v>-100</v>
      </c>
      <c r="P325" s="25">
        <f t="shared" si="1106"/>
        <v>-100</v>
      </c>
      <c r="Q325" s="25">
        <f t="shared" si="1106"/>
        <v>-100</v>
      </c>
      <c r="R325" s="25">
        <f t="shared" si="1106"/>
        <v>-100</v>
      </c>
      <c r="S325" s="25">
        <f t="shared" si="1106"/>
        <v>-100</v>
      </c>
      <c r="T325" s="25">
        <f t="shared" si="1106"/>
        <v>-100</v>
      </c>
      <c r="U325" s="25">
        <f t="shared" si="1106"/>
        <v>-100</v>
      </c>
      <c r="V325" s="25">
        <f t="shared" si="1106"/>
        <v>-100</v>
      </c>
      <c r="W325" s="25">
        <f t="shared" si="1106"/>
        <v>-100</v>
      </c>
      <c r="X325" s="25">
        <f t="shared" si="1106"/>
        <v>-100</v>
      </c>
      <c r="Y325" s="25">
        <f t="shared" si="1106"/>
        <v>-100</v>
      </c>
      <c r="Z325" s="25">
        <f t="shared" si="1106"/>
        <v>-100</v>
      </c>
      <c r="AA325" s="25">
        <f t="shared" si="1106"/>
        <v>-100</v>
      </c>
      <c r="AB325" s="25">
        <f t="shared" si="1106"/>
        <v>-100</v>
      </c>
      <c r="AC325" s="25">
        <f t="shared" si="1106"/>
        <v>-100</v>
      </c>
      <c r="AD325" s="25">
        <f t="shared" si="1106"/>
        <v>-100</v>
      </c>
      <c r="AE325" s="25">
        <f t="shared" si="1106"/>
        <v>-100</v>
      </c>
      <c r="AF325" s="25">
        <f t="shared" si="1106"/>
        <v>-100</v>
      </c>
      <c r="AG325" s="25">
        <f t="shared" si="1106"/>
        <v>-100</v>
      </c>
      <c r="AH325" s="25">
        <f t="shared" si="1106"/>
        <v>-100</v>
      </c>
      <c r="AI325" s="25">
        <f t="shared" si="1106"/>
        <v>-100</v>
      </c>
      <c r="AJ325" s="25">
        <f t="shared" si="1106"/>
        <v>-100</v>
      </c>
      <c r="AK325" s="25">
        <f t="shared" si="1106"/>
        <v>-100</v>
      </c>
      <c r="AL325" s="25">
        <f t="shared" si="1106"/>
        <v>-100</v>
      </c>
      <c r="AM325" s="25">
        <f t="shared" si="1106"/>
        <v>-100</v>
      </c>
      <c r="AN325" s="25">
        <f t="shared" si="1106"/>
        <v>-100</v>
      </c>
      <c r="AO325" s="25">
        <f t="shared" si="1106"/>
        <v>-100</v>
      </c>
      <c r="AP325" s="25">
        <f t="shared" si="1106"/>
        <v>-100</v>
      </c>
      <c r="AQ325" s="25">
        <f t="shared" ref="AQ325:BQ325" si="1107">(AQ101/AP176-1)*100</f>
        <v>-6.362341638368008</v>
      </c>
      <c r="AR325" s="25">
        <f t="shared" si="1107"/>
        <v>14.097454768669792</v>
      </c>
      <c r="AS325" s="25">
        <f t="shared" si="1107"/>
        <v>-6.8449157865333561</v>
      </c>
      <c r="AT325" s="25">
        <f t="shared" si="1107"/>
        <v>-2.5628766011857707</v>
      </c>
      <c r="AU325" s="25">
        <f t="shared" si="1107"/>
        <v>12.34390168308439</v>
      </c>
      <c r="AV325" s="25">
        <f t="shared" si="1107"/>
        <v>2.902651265971512</v>
      </c>
      <c r="AW325" s="25">
        <f t="shared" si="1107"/>
        <v>9.7809879558131705</v>
      </c>
      <c r="AX325" s="25">
        <f t="shared" si="1107"/>
        <v>5.8761070714039354</v>
      </c>
      <c r="AY325" s="25">
        <f t="shared" si="1107"/>
        <v>1.8545841194560264</v>
      </c>
      <c r="AZ325" s="25">
        <f t="shared" si="1107"/>
        <v>-3.2472905795109419</v>
      </c>
      <c r="BA325" s="25">
        <f t="shared" si="1107"/>
        <v>-0.78024443159399048</v>
      </c>
      <c r="BB325" s="25">
        <f t="shared" si="1107"/>
        <v>0.16966191866738534</v>
      </c>
      <c r="BC325" s="25">
        <f t="shared" si="1107"/>
        <v>20.048439229832439</v>
      </c>
      <c r="BD325" s="25">
        <f t="shared" si="1107"/>
        <v>21.326893200940567</v>
      </c>
      <c r="BE325" s="25">
        <f t="shared" si="1107"/>
        <v>2.6993024808018129</v>
      </c>
      <c r="BF325" s="25">
        <f t="shared" si="1107"/>
        <v>5.5922086688030559</v>
      </c>
      <c r="BG325" s="25">
        <f t="shared" si="1107"/>
        <v>5.719662758815014</v>
      </c>
      <c r="BH325" s="25">
        <f t="shared" si="1107"/>
        <v>9.0753968001697096</v>
      </c>
      <c r="BI325" s="25">
        <f t="shared" si="1107"/>
        <v>-9.2195943190973786</v>
      </c>
      <c r="BJ325" s="25">
        <f t="shared" si="1107"/>
        <v>8.356741506442301</v>
      </c>
      <c r="BK325" s="25">
        <f t="shared" si="1107"/>
        <v>3.2756544470311511</v>
      </c>
      <c r="BL325" s="25">
        <f t="shared" si="1107"/>
        <v>-0.37145887518200693</v>
      </c>
      <c r="BM325" s="25">
        <f t="shared" si="1107"/>
        <v>-1.1806068033112016</v>
      </c>
      <c r="BN325" s="25">
        <f t="shared" si="1107"/>
        <v>-1.6557456454450614</v>
      </c>
      <c r="BO325" s="25">
        <f t="shared" si="1107"/>
        <v>-10.927417242987369</v>
      </c>
      <c r="BP325" s="25">
        <f t="shared" si="1107"/>
        <v>3.1635942133788397</v>
      </c>
      <c r="BQ325" s="25">
        <f t="shared" si="1107"/>
        <v>18.930801985246436</v>
      </c>
      <c r="BR325" s="25">
        <f t="shared" ref="BR325:BX325" si="1108">(BR101/BQ176-1)*100</f>
        <v>3.1428941338053296</v>
      </c>
      <c r="BS325" s="25">
        <f t="shared" si="1108"/>
        <v>-2.678240801129661</v>
      </c>
      <c r="BT325" s="25">
        <f t="shared" si="1108"/>
        <v>1.208070285536933</v>
      </c>
      <c r="BU325" s="25">
        <f t="shared" si="1108"/>
        <v>3.4408033756390344</v>
      </c>
      <c r="BV325" s="25">
        <f t="shared" si="1108"/>
        <v>3.4641068743827219</v>
      </c>
      <c r="BW325" s="25">
        <f t="shared" si="1108"/>
        <v>3.4871492489962241</v>
      </c>
      <c r="BX325" s="25">
        <f t="shared" si="1108"/>
        <v>3.5099534016056255</v>
      </c>
      <c r="BY325" s="25">
        <f t="shared" ref="BY325" si="1109">(BY101/BX176-1)*100</f>
        <v>3.5325429602011793</v>
      </c>
      <c r="BZ325" s="25">
        <f t="shared" ref="BZ325" si="1110">(BZ101/BY176-1)*100</f>
        <v>3.5549422288973176</v>
      </c>
      <c r="CA325" s="25">
        <f t="shared" ref="CA325" si="1111">(CA101/BZ176-1)*100</f>
        <v>3.5848598025183698</v>
      </c>
      <c r="CB325" s="25">
        <f t="shared" ref="CB325" si="1112">(CB101/CA176-1)*100</f>
        <v>3.6137161615546809</v>
      </c>
      <c r="CC325" s="25">
        <f t="shared" ref="CC325" si="1113">(CC101/CB176-1)*100</f>
        <v>3.6415571683406034</v>
      </c>
      <c r="CD325" s="25">
        <f t="shared" ref="CD325" si="1114">(CD101/CC176-1)*100</f>
        <v>3.6684290976859657</v>
      </c>
      <c r="CF325" s="435"/>
      <c r="CG325" s="235">
        <f t="shared" si="997"/>
        <v>-0.32479355969059487</v>
      </c>
      <c r="CH325" s="235">
        <f t="shared" si="998"/>
        <v>0</v>
      </c>
      <c r="CI325" s="235" t="e">
        <f>BM325-#REF!</f>
        <v>#REF!</v>
      </c>
      <c r="CJ325" s="235">
        <f t="shared" si="935"/>
        <v>0</v>
      </c>
      <c r="CK325" s="235">
        <f t="shared" si="936"/>
        <v>0</v>
      </c>
      <c r="CL325" s="235">
        <f t="shared" si="937"/>
        <v>0</v>
      </c>
      <c r="CM325" s="235">
        <f t="shared" si="938"/>
        <v>0</v>
      </c>
      <c r="CN325" s="235">
        <f t="shared" si="939"/>
        <v>0</v>
      </c>
      <c r="CO325" s="235">
        <f t="shared" si="940"/>
        <v>0</v>
      </c>
      <c r="CP325" s="235">
        <f t="shared" si="941"/>
        <v>0</v>
      </c>
      <c r="CQ325" s="235">
        <f t="shared" si="942"/>
        <v>0</v>
      </c>
      <c r="CR325" s="235">
        <f t="shared" si="943"/>
        <v>0</v>
      </c>
      <c r="CS325" s="235">
        <f t="shared" si="944"/>
        <v>0</v>
      </c>
      <c r="CT325" s="235">
        <f t="shared" si="945"/>
        <v>0</v>
      </c>
      <c r="CU325" s="235">
        <f t="shared" si="946"/>
        <v>0</v>
      </c>
      <c r="CV325" s="235">
        <f t="shared" si="947"/>
        <v>0</v>
      </c>
      <c r="CW325" s="235">
        <f t="shared" si="948"/>
        <v>0</v>
      </c>
      <c r="CX325" s="235">
        <f t="shared" si="949"/>
        <v>0</v>
      </c>
      <c r="CY325" s="235">
        <f t="shared" si="950"/>
        <v>0</v>
      </c>
      <c r="CZ325" s="235">
        <f t="shared" si="951"/>
        <v>0</v>
      </c>
      <c r="DA325" s="38"/>
      <c r="DB325" s="236">
        <v>5.6402811814579898</v>
      </c>
      <c r="DC325" s="236">
        <v>6.6402811814579854</v>
      </c>
      <c r="DD325" s="236">
        <v>5.7624357082540101</v>
      </c>
      <c r="DE325" s="236">
        <v>10.971777107432201</v>
      </c>
      <c r="DF325" s="259">
        <v>-4.7829614841927377</v>
      </c>
      <c r="DG325" s="236">
        <v>3.6004480067217459</v>
      </c>
      <c r="DH325" s="492">
        <v>-0.37145887518200693</v>
      </c>
      <c r="DI325" s="236">
        <v>-1.6557456454450614</v>
      </c>
      <c r="DJ325" s="236">
        <v>-10.927417242987369</v>
      </c>
      <c r="DK325" s="236">
        <v>3.1635942133788397</v>
      </c>
      <c r="DL325" s="236">
        <v>18.930801985246436</v>
      </c>
      <c r="DM325" s="236">
        <v>3.1428941338053296</v>
      </c>
      <c r="DN325" s="236">
        <v>-2.678240801129661</v>
      </c>
      <c r="DO325" s="236">
        <v>1.208070285536933</v>
      </c>
      <c r="DP325" s="236">
        <v>3.4408033756390344</v>
      </c>
      <c r="DQ325" s="259">
        <v>3.4641068743827219</v>
      </c>
      <c r="DR325" s="259">
        <v>3.4871492489962241</v>
      </c>
      <c r="DS325" s="259">
        <v>3.5099534016056255</v>
      </c>
      <c r="DT325" s="259">
        <v>3.5325429602011793</v>
      </c>
      <c r="DU325" s="259">
        <v>3.5549422288973176</v>
      </c>
      <c r="DV325" s="259">
        <v>3.5848598025183698</v>
      </c>
      <c r="DW325" s="259">
        <v>3.6137161615546809</v>
      </c>
      <c r="DX325" s="259">
        <v>3.6415571683406034</v>
      </c>
      <c r="DY325" s="259">
        <v>3.6684290976859657</v>
      </c>
      <c r="DZ325" s="259"/>
      <c r="EA325" s="508"/>
    </row>
    <row r="326" spans="1:131" s="25" customFormat="1">
      <c r="A326" s="165" t="s">
        <v>4634</v>
      </c>
      <c r="B326" s="99" t="s">
        <v>1070</v>
      </c>
      <c r="C326" s="12" t="s">
        <v>2148</v>
      </c>
      <c r="D326" s="225"/>
      <c r="E326" s="225"/>
      <c r="F326" s="225"/>
      <c r="G326" s="225"/>
      <c r="H326" s="225"/>
      <c r="I326" s="225"/>
      <c r="J326" s="225"/>
      <c r="K326" s="225"/>
      <c r="L326" s="225"/>
      <c r="M326" s="225"/>
      <c r="N326" s="225"/>
      <c r="O326" s="225"/>
      <c r="P326" s="225"/>
      <c r="Q326" s="225"/>
      <c r="R326" s="225"/>
      <c r="S326" s="225"/>
      <c r="T326" s="225"/>
      <c r="U326" s="225"/>
      <c r="V326" s="225"/>
      <c r="W326" s="225"/>
      <c r="X326" s="225"/>
      <c r="Y326" s="225"/>
      <c r="Z326" s="225"/>
      <c r="AA326" s="225"/>
      <c r="AB326" s="225"/>
      <c r="AC326" s="225"/>
      <c r="AD326" s="225"/>
      <c r="AE326" s="225"/>
      <c r="AF326" s="225"/>
      <c r="AG326" s="225"/>
      <c r="AH326" s="225"/>
      <c r="AI326" s="225"/>
      <c r="AJ326" s="225"/>
      <c r="AK326" s="225"/>
      <c r="AL326" s="225"/>
      <c r="AM326" s="225"/>
      <c r="AN326" s="225"/>
      <c r="AO326" s="225"/>
      <c r="AP326" s="25">
        <f>((AP181/AO181)/(1+AP304/100)-1)*100</f>
        <v>-2.8671800017577298</v>
      </c>
      <c r="AQ326" s="25">
        <f>((AQ181/AP181)/(1+AQ304/100)-1)*100</f>
        <v>-7.6577415874863881</v>
      </c>
      <c r="AR326" s="25">
        <f>((AR181/AQ181)/(1+AR304/100)-1)*100</f>
        <v>1.537189243040582</v>
      </c>
      <c r="AS326" s="25">
        <f>((AS181/AR181)/(1+AS304/100)-1)*100</f>
        <v>589.76916583398622</v>
      </c>
      <c r="AT326" s="25">
        <f>((AT181/AS181)/(1+AT304/100)-1)*100</f>
        <v>-82.013441280344907</v>
      </c>
      <c r="AU326" s="25">
        <f t="shared" ref="AU326:BI326" si="1115">((AU181/AT181)/(1+AU304/100)-1)*100</f>
        <v>0.44794790162032694</v>
      </c>
      <c r="AV326" s="25">
        <f t="shared" si="1115"/>
        <v>-8.9870717291801405</v>
      </c>
      <c r="AW326" s="25">
        <f t="shared" si="1115"/>
        <v>4.6808761226592832</v>
      </c>
      <c r="AX326" s="25">
        <f t="shared" si="1115"/>
        <v>-3.0025887435973564</v>
      </c>
      <c r="AY326" s="25">
        <f t="shared" si="1115"/>
        <v>26.502028173696822</v>
      </c>
      <c r="AZ326" s="25">
        <f t="shared" si="1115"/>
        <v>-6.3197228931494269</v>
      </c>
      <c r="BA326" s="99">
        <f t="shared" si="1115"/>
        <v>0.51393155267254187</v>
      </c>
      <c r="BB326" s="99">
        <f t="shared" si="1115"/>
        <v>-10.826571169990661</v>
      </c>
      <c r="BC326" s="99">
        <f t="shared" si="1115"/>
        <v>38.830770300503239</v>
      </c>
      <c r="BD326" s="99">
        <f t="shared" si="1115"/>
        <v>12.94681447587358</v>
      </c>
      <c r="BE326" s="99">
        <f t="shared" si="1115"/>
        <v>13.018492963092365</v>
      </c>
      <c r="BF326" s="99">
        <f t="shared" si="1115"/>
        <v>-6.2959990575568998</v>
      </c>
      <c r="BG326" s="99">
        <f t="shared" si="1115"/>
        <v>25.857542823249101</v>
      </c>
      <c r="BH326" s="99">
        <f t="shared" si="1115"/>
        <v>12.648656595590978</v>
      </c>
      <c r="BI326" s="99">
        <f t="shared" si="1115"/>
        <v>-3.5166674584251045</v>
      </c>
      <c r="BJ326" s="99">
        <f t="shared" ref="BJ326:BQ326" si="1116">((BJ181/BI181)/(1+BJ304/100)-1)*100</f>
        <v>12.229534852170643</v>
      </c>
      <c r="BK326" s="99">
        <f t="shared" si="1116"/>
        <v>-1.9377798780687017</v>
      </c>
      <c r="BL326" s="99">
        <f t="shared" si="1116"/>
        <v>0.38577541653745939</v>
      </c>
      <c r="BM326" s="99">
        <f t="shared" si="1116"/>
        <v>1.1460276735719255</v>
      </c>
      <c r="BN326" s="99">
        <f t="shared" si="1116"/>
        <v>-3.1855083281545404</v>
      </c>
      <c r="BO326" s="99">
        <f t="shared" si="1116"/>
        <v>-11.175486511854139</v>
      </c>
      <c r="BP326" s="99">
        <f t="shared" si="1116"/>
        <v>3.1635942133788397</v>
      </c>
      <c r="BQ326" s="99">
        <f t="shared" si="1116"/>
        <v>18.930801985246436</v>
      </c>
      <c r="BR326" s="99">
        <f t="shared" ref="BR326:BX326" si="1117">((BR181/BQ181)/(1+BR304/100)-1)*100</f>
        <v>3.1428941338053296</v>
      </c>
      <c r="BS326" s="99">
        <f t="shared" si="1117"/>
        <v>-2.678240801129661</v>
      </c>
      <c r="BT326" s="99">
        <f t="shared" si="1117"/>
        <v>1.208070285536933</v>
      </c>
      <c r="BU326" s="99">
        <f t="shared" si="1117"/>
        <v>3.4408033756390566</v>
      </c>
      <c r="BV326" s="99">
        <f t="shared" si="1117"/>
        <v>3.4641068743827219</v>
      </c>
      <c r="BW326" s="99">
        <f t="shared" si="1117"/>
        <v>3.4871492489962241</v>
      </c>
      <c r="BX326" s="99">
        <f t="shared" si="1117"/>
        <v>3.5099534016056255</v>
      </c>
      <c r="BY326" s="99">
        <f t="shared" ref="BY326" si="1118">((BY181/BX181)/(1+BY304/100)-1)*100</f>
        <v>3.5325429602011793</v>
      </c>
      <c r="BZ326" s="99">
        <f t="shared" ref="BZ326" si="1119">((BZ181/BY181)/(1+BZ304/100)-1)*100</f>
        <v>3.5549422288973176</v>
      </c>
      <c r="CA326" s="99">
        <f t="shared" ref="CA326" si="1120">((CA181/BZ181)/(1+CA304/100)-1)*100</f>
        <v>3.5848598025183476</v>
      </c>
      <c r="CB326" s="99">
        <f t="shared" ref="CB326" si="1121">((CB181/CA181)/(1+CB304/100)-1)*100</f>
        <v>3.6137161615546809</v>
      </c>
      <c r="CC326" s="99">
        <f t="shared" ref="CC326" si="1122">((CC181/CB181)/(1+CC304/100)-1)*100</f>
        <v>3.6415571683406256</v>
      </c>
      <c r="CD326" s="99">
        <f t="shared" ref="CD326" si="1123">((CD181/CC181)/(1+CD304/100)-1)*100</f>
        <v>3.6684290976859435</v>
      </c>
      <c r="CE326" s="99"/>
      <c r="CF326" s="435"/>
      <c r="CG326" s="235">
        <f t="shared" si="997"/>
        <v>4.5114501912790992</v>
      </c>
      <c r="CH326" s="235">
        <f t="shared" si="998"/>
        <v>-6.5799428281268835</v>
      </c>
      <c r="CI326" s="235" t="e">
        <f>BM326-#REF!</f>
        <v>#REF!</v>
      </c>
      <c r="CJ326" s="235">
        <f t="shared" si="935"/>
        <v>0</v>
      </c>
      <c r="CK326" s="235">
        <f t="shared" si="936"/>
        <v>0</v>
      </c>
      <c r="CL326" s="235">
        <f t="shared" si="937"/>
        <v>0</v>
      </c>
      <c r="CM326" s="235">
        <f t="shared" si="938"/>
        <v>0</v>
      </c>
      <c r="CN326" s="235">
        <f t="shared" si="939"/>
        <v>0</v>
      </c>
      <c r="CO326" s="235">
        <f t="shared" si="940"/>
        <v>0</v>
      </c>
      <c r="CP326" s="235">
        <f t="shared" si="941"/>
        <v>0</v>
      </c>
      <c r="CQ326" s="235">
        <f t="shared" si="942"/>
        <v>0</v>
      </c>
      <c r="CR326" s="235">
        <f t="shared" si="943"/>
        <v>0</v>
      </c>
      <c r="CS326" s="235">
        <f t="shared" si="944"/>
        <v>0</v>
      </c>
      <c r="CT326" s="235">
        <f t="shared" si="945"/>
        <v>0</v>
      </c>
      <c r="CU326" s="235">
        <f t="shared" si="946"/>
        <v>0</v>
      </c>
      <c r="CV326" s="235">
        <f t="shared" si="947"/>
        <v>0</v>
      </c>
      <c r="CW326" s="235">
        <f t="shared" si="948"/>
        <v>0</v>
      </c>
      <c r="CX326" s="235">
        <f t="shared" si="949"/>
        <v>0</v>
      </c>
      <c r="CY326" s="235">
        <f t="shared" si="950"/>
        <v>0</v>
      </c>
      <c r="CZ326" s="235">
        <f t="shared" si="951"/>
        <v>0</v>
      </c>
      <c r="DA326" s="38"/>
      <c r="DB326" s="236">
        <v>-5.9047355731377396</v>
      </c>
      <c r="DC326" s="236">
        <v>-4.9047355731377422</v>
      </c>
      <c r="DD326" s="236">
        <v>3.6696668056038328</v>
      </c>
      <c r="DE326" s="236">
        <v>13.535826541479778</v>
      </c>
      <c r="DF326" s="259">
        <v>-7.3292771668714281</v>
      </c>
      <c r="DG326" s="236">
        <v>-6.4492300693478004</v>
      </c>
      <c r="DH326" s="492">
        <v>6.9657182446643429</v>
      </c>
      <c r="DI326" s="236">
        <v>-3.1855083281545404</v>
      </c>
      <c r="DJ326" s="236">
        <v>-11.175486511854139</v>
      </c>
      <c r="DK326" s="236">
        <v>3.1635942133788397</v>
      </c>
      <c r="DL326" s="236">
        <v>18.930801985246436</v>
      </c>
      <c r="DM326" s="236">
        <v>3.1428941338053296</v>
      </c>
      <c r="DN326" s="236">
        <v>-2.678240801129661</v>
      </c>
      <c r="DO326" s="236">
        <v>1.208070285536933</v>
      </c>
      <c r="DP326" s="236">
        <v>3.4408033756390566</v>
      </c>
      <c r="DQ326" s="259">
        <v>3.4641068743827219</v>
      </c>
      <c r="DR326" s="259">
        <v>3.4871492489962241</v>
      </c>
      <c r="DS326" s="259">
        <v>3.5099534016056255</v>
      </c>
      <c r="DT326" s="259">
        <v>3.5325429602011793</v>
      </c>
      <c r="DU326" s="259">
        <v>3.5549422288973176</v>
      </c>
      <c r="DV326" s="259">
        <v>3.5848598025183476</v>
      </c>
      <c r="DW326" s="259">
        <v>3.6137161615546809</v>
      </c>
      <c r="DX326" s="259">
        <v>3.6415571683406256</v>
      </c>
      <c r="DY326" s="259">
        <v>3.6684290976859435</v>
      </c>
      <c r="DZ326" s="259"/>
      <c r="EA326" s="508"/>
    </row>
    <row r="327" spans="1:131" s="25" customFormat="1">
      <c r="A327" s="165" t="s">
        <v>4442</v>
      </c>
      <c r="B327" s="99" t="s">
        <v>797</v>
      </c>
      <c r="C327" s="12" t="s">
        <v>428</v>
      </c>
      <c r="D327" s="225"/>
      <c r="E327" s="225"/>
      <c r="G327" s="25">
        <f t="shared" ref="G327:AV327" si="1124">((((G182+G183+G184)/(F182+F183+F184))/(1+G305/100))-1)*100</f>
        <v>-1.1190028922842932</v>
      </c>
      <c r="H327" s="25">
        <f t="shared" si="1124"/>
        <v>20.025472788276332</v>
      </c>
      <c r="I327" s="25">
        <f t="shared" si="1124"/>
        <v>13.840262786804235</v>
      </c>
      <c r="J327" s="25">
        <f t="shared" si="1124"/>
        <v>-6.8692595571018256E-2</v>
      </c>
      <c r="K327" s="25">
        <f t="shared" si="1124"/>
        <v>23.17610345961527</v>
      </c>
      <c r="L327" s="25">
        <f t="shared" si="1124"/>
        <v>16.255207721775665</v>
      </c>
      <c r="M327" s="25">
        <f t="shared" si="1124"/>
        <v>-0.91981128583942251</v>
      </c>
      <c r="N327" s="25">
        <f t="shared" si="1124"/>
        <v>2.3768259040310102</v>
      </c>
      <c r="O327" s="25">
        <f t="shared" si="1124"/>
        <v>7.9299739574933747</v>
      </c>
      <c r="P327" s="25">
        <f t="shared" si="1124"/>
        <v>32.251209069400048</v>
      </c>
      <c r="Q327" s="25">
        <f t="shared" si="1124"/>
        <v>13.084507657058353</v>
      </c>
      <c r="R327" s="25">
        <f t="shared" si="1124"/>
        <v>-1.5304115144569641</v>
      </c>
      <c r="S327" s="25">
        <f t="shared" si="1124"/>
        <v>10.739613755038246</v>
      </c>
      <c r="T327" s="25">
        <f t="shared" si="1124"/>
        <v>-0.81190645217915636</v>
      </c>
      <c r="U327" s="25">
        <f t="shared" si="1124"/>
        <v>8.477309626146635</v>
      </c>
      <c r="V327" s="25">
        <f t="shared" si="1124"/>
        <v>3.1347870422498536</v>
      </c>
      <c r="W327" s="25">
        <f t="shared" si="1124"/>
        <v>3.0608326114761608</v>
      </c>
      <c r="X327" s="25">
        <f t="shared" si="1124"/>
        <v>8.7630179582287795</v>
      </c>
      <c r="Y327" s="25">
        <f t="shared" si="1124"/>
        <v>-10.410466235519033</v>
      </c>
      <c r="Z327" s="25">
        <f t="shared" si="1124"/>
        <v>1.4384244152967796</v>
      </c>
      <c r="AA327" s="25">
        <f t="shared" si="1124"/>
        <v>5.3663186431297527</v>
      </c>
      <c r="AB327" s="25">
        <f t="shared" si="1124"/>
        <v>0.54058583819864836</v>
      </c>
      <c r="AC327" s="25">
        <f t="shared" si="1124"/>
        <v>24.422135801646029</v>
      </c>
      <c r="AD327" s="25">
        <f t="shared" si="1124"/>
        <v>-4.855001516738211</v>
      </c>
      <c r="AE327" s="25">
        <f t="shared" si="1124"/>
        <v>-14.202452829332547</v>
      </c>
      <c r="AF327" s="25">
        <f t="shared" si="1124"/>
        <v>-6.8075180724469497E-2</v>
      </c>
      <c r="AG327" s="25">
        <f t="shared" si="1124"/>
        <v>-1.109069240158489</v>
      </c>
      <c r="AH327" s="25">
        <f t="shared" si="1124"/>
        <v>-2.3405864154893319</v>
      </c>
      <c r="AI327" s="25">
        <f t="shared" si="1124"/>
        <v>-10.363537761998987</v>
      </c>
      <c r="AJ327" s="25">
        <f t="shared" si="1124"/>
        <v>-10.015009373360851</v>
      </c>
      <c r="AK327" s="25">
        <f t="shared" si="1124"/>
        <v>-16.047603498971995</v>
      </c>
      <c r="AL327" s="25">
        <f t="shared" si="1124"/>
        <v>7.6251208779084312</v>
      </c>
      <c r="AM327" s="25">
        <f t="shared" si="1124"/>
        <v>-21.206800100083399</v>
      </c>
      <c r="AN327" s="25">
        <f t="shared" si="1124"/>
        <v>10.687886110606893</v>
      </c>
      <c r="AO327" s="25">
        <f t="shared" si="1124"/>
        <v>23.613356707074761</v>
      </c>
      <c r="AP327" s="25">
        <f t="shared" si="1124"/>
        <v>-11.244316634660489</v>
      </c>
      <c r="AQ327" s="25">
        <f t="shared" si="1124"/>
        <v>3.8330388520154912</v>
      </c>
      <c r="AR327" s="25">
        <f t="shared" si="1124"/>
        <v>3.4149776241596097</v>
      </c>
      <c r="AS327" s="25">
        <f t="shared" si="1124"/>
        <v>-33.316136355553908</v>
      </c>
      <c r="AT327" s="25">
        <f t="shared" si="1124"/>
        <v>-12.132744847279998</v>
      </c>
      <c r="AU327" s="25">
        <f t="shared" si="1124"/>
        <v>33.432189387913766</v>
      </c>
      <c r="AV327" s="25">
        <f t="shared" si="1124"/>
        <v>14.618778066975114</v>
      </c>
      <c r="AW327" s="25">
        <f t="shared" ref="AW327:BG327" si="1125">((((AW182+AW183+AW184)/(AV182+AV183+AV184))/(1+AW305/100))-1)*100</f>
        <v>-3.3857315598548987</v>
      </c>
      <c r="AX327" s="25">
        <f t="shared" si="1125"/>
        <v>2.5925263722510472</v>
      </c>
      <c r="AY327" s="25">
        <f t="shared" si="1125"/>
        <v>-17.90140217502395</v>
      </c>
      <c r="AZ327" s="25">
        <f t="shared" si="1125"/>
        <v>-7.9679912655094887</v>
      </c>
      <c r="BA327" s="99">
        <f t="shared" si="1125"/>
        <v>6.970843320442488</v>
      </c>
      <c r="BB327" s="99">
        <f t="shared" si="1125"/>
        <v>0.87327194785014051</v>
      </c>
      <c r="BC327" s="99">
        <f t="shared" si="1125"/>
        <v>27.944710442743581</v>
      </c>
      <c r="BD327" s="99">
        <f t="shared" si="1125"/>
        <v>-7.3036626954648405</v>
      </c>
      <c r="BE327" s="99">
        <f t="shared" si="1125"/>
        <v>13.174918003307123</v>
      </c>
      <c r="BF327" s="99">
        <f t="shared" si="1125"/>
        <v>-9.7109618693361313</v>
      </c>
      <c r="BG327" s="99">
        <f t="shared" si="1125"/>
        <v>38.778218495503445</v>
      </c>
      <c r="BH327" s="99">
        <f t="shared" ref="BH327:BQ327" si="1126">((((BH182+BH183+BH184)/(BG182+BG183+BG184))/(1+BH305/100))-1)*100</f>
        <v>16.359211051973443</v>
      </c>
      <c r="BI327" s="99">
        <f t="shared" si="1126"/>
        <v>-3.7799297007103161</v>
      </c>
      <c r="BJ327" s="99">
        <f t="shared" si="1126"/>
        <v>-6.1442368057735619</v>
      </c>
      <c r="BK327" s="99">
        <f t="shared" si="1126"/>
        <v>22.834760861926817</v>
      </c>
      <c r="BL327" s="99">
        <f t="shared" si="1126"/>
        <v>14.557602399334924</v>
      </c>
      <c r="BM327" s="99">
        <f t="shared" si="1126"/>
        <v>2.4033205628761101</v>
      </c>
      <c r="BN327" s="99">
        <f t="shared" si="1126"/>
        <v>1.4126394100571149</v>
      </c>
      <c r="BO327" s="99">
        <f t="shared" si="1126"/>
        <v>10.686893705095169</v>
      </c>
      <c r="BP327" s="99">
        <f t="shared" ca="1" si="1126"/>
        <v>-4.5066037851657299</v>
      </c>
      <c r="BQ327" s="99">
        <f t="shared" ca="1" si="1126"/>
        <v>7.3952058839506618</v>
      </c>
      <c r="BR327" s="99">
        <f t="shared" ref="BR327:BX327" ca="1" si="1127">((((BR182+BR183+BR184)/(BQ182+BQ183+BQ184))/(1+BR305/100))-1)*100</f>
        <v>3.074788447465826</v>
      </c>
      <c r="BS327" s="99">
        <f t="shared" ca="1" si="1127"/>
        <v>1.0165972408484381</v>
      </c>
      <c r="BT327" s="99">
        <f t="shared" ca="1" si="1127"/>
        <v>0.39829479813935365</v>
      </c>
      <c r="BU327" s="99">
        <f t="shared" ca="1" si="1127"/>
        <v>1.8525396659168969</v>
      </c>
      <c r="BV327" s="99">
        <f t="shared" ca="1" si="1127"/>
        <v>1.6509285337137136</v>
      </c>
      <c r="BW327" s="99">
        <f t="shared" ca="1" si="1127"/>
        <v>1.6714395628796286</v>
      </c>
      <c r="BX327" s="99">
        <f t="shared" ca="1" si="1127"/>
        <v>1.7094283059273518</v>
      </c>
      <c r="BY327" s="99">
        <f t="shared" ref="BY327" ca="1" si="1128">((((BY182+BY183+BY184)/(BX182+BX183+BX184))/(1+BY305/100))-1)*100</f>
        <v>1.7589374764692911</v>
      </c>
      <c r="BZ327" s="99">
        <f t="shared" ref="BZ327" ca="1" si="1129">((((BZ182+BZ183+BZ184)/(BY182+BY183+BY184))/(1+BZ305/100))-1)*100</f>
        <v>1.685793456482787</v>
      </c>
      <c r="CA327" s="99">
        <f t="shared" ref="CA327" ca="1" si="1130">((((CA182+CA183+CA184)/(BZ182+BZ183+BZ184))/(1+CA305/100))-1)*100</f>
        <v>1.8300535163812803</v>
      </c>
      <c r="CB327" s="99">
        <f t="shared" ref="CB327" ca="1" si="1131">((((CB182+CB183+CB184)/(CA182+CA183+CA184))/(1+CB305/100))-1)*100</f>
        <v>1.8791811691923677</v>
      </c>
      <c r="CC327" s="99">
        <f t="shared" ref="CC327" ca="1" si="1132">((((CC182+CC183+CC184)/(CB182+CB183+CB184))/(1+CC305/100))-1)*100</f>
        <v>1.9364148615989674</v>
      </c>
      <c r="CD327" s="99">
        <f t="shared" ref="CD327" ca="1" si="1133">((((CD182+CD183+CD184)/(CC182+CC183+CC184))/(1+CD305/100))-1)*100</f>
        <v>2.0024883986924813</v>
      </c>
      <c r="CE327" s="99"/>
      <c r="CF327" s="435"/>
      <c r="CG327" s="235">
        <f t="shared" si="997"/>
        <v>1.1775088236504203</v>
      </c>
      <c r="CH327" s="235">
        <f t="shared" si="998"/>
        <v>0</v>
      </c>
      <c r="CI327" s="235" t="e">
        <f>BM327-#REF!</f>
        <v>#REF!</v>
      </c>
      <c r="CJ327" s="235">
        <f t="shared" si="935"/>
        <v>0</v>
      </c>
      <c r="CK327" s="235">
        <f t="shared" si="936"/>
        <v>0</v>
      </c>
      <c r="CL327" s="235">
        <f t="shared" ca="1" si="937"/>
        <v>3.3750779948604759E-14</v>
      </c>
      <c r="CM327" s="235">
        <f t="shared" ca="1" si="938"/>
        <v>2.2204460492503131E-14</v>
      </c>
      <c r="CN327" s="235">
        <f t="shared" ca="1" si="939"/>
        <v>0</v>
      </c>
      <c r="CO327" s="235">
        <f t="shared" ca="1" si="940"/>
        <v>0</v>
      </c>
      <c r="CP327" s="235">
        <f t="shared" ca="1" si="941"/>
        <v>-2.2204460492503131E-14</v>
      </c>
      <c r="CQ327" s="235">
        <f t="shared" ca="1" si="942"/>
        <v>0</v>
      </c>
      <c r="CR327" s="235">
        <f t="shared" ca="1" si="943"/>
        <v>2.2204460492503131E-14</v>
      </c>
      <c r="CS327" s="235">
        <f t="shared" ca="1" si="944"/>
        <v>4.4408920985006262E-14</v>
      </c>
      <c r="CT327" s="235">
        <f t="shared" ca="1" si="945"/>
        <v>-2.2204460492503131E-14</v>
      </c>
      <c r="CU327" s="235">
        <f t="shared" ca="1" si="946"/>
        <v>-2.2204460492503131E-14</v>
      </c>
      <c r="CV327" s="235">
        <f t="shared" ca="1" si="947"/>
        <v>-2.2204460492503131E-14</v>
      </c>
      <c r="CW327" s="235">
        <f t="shared" ca="1" si="948"/>
        <v>-1.3322676295501878E-13</v>
      </c>
      <c r="CX327" s="235">
        <f t="shared" ca="1" si="949"/>
        <v>-1.8207657603852567E-12</v>
      </c>
      <c r="CY327" s="235">
        <f t="shared" ca="1" si="950"/>
        <v>-1.6386891843467311E-11</v>
      </c>
      <c r="CZ327" s="235">
        <f t="shared" ca="1" si="951"/>
        <v>-1.1906031716080179E-10</v>
      </c>
      <c r="DA327" s="38"/>
      <c r="DB327" s="236">
        <v>-17.1098320757194</v>
      </c>
      <c r="DC327" s="236">
        <v>-16.109832075719389</v>
      </c>
      <c r="DD327" s="236">
        <v>7.8051866222687893</v>
      </c>
      <c r="DE327" s="236">
        <v>4.8082635336609725</v>
      </c>
      <c r="DF327" s="259">
        <v>3.8837227313974543</v>
      </c>
      <c r="DG327" s="236">
        <v>21.657252038276397</v>
      </c>
      <c r="DH327" s="492">
        <v>14.557602399334924</v>
      </c>
      <c r="DI327" s="236">
        <v>1.4126394100571149</v>
      </c>
      <c r="DJ327" s="236">
        <v>10.686893705095169</v>
      </c>
      <c r="DK327" s="236">
        <v>-4.5066037851657637</v>
      </c>
      <c r="DL327" s="236">
        <v>7.3952058839506396</v>
      </c>
      <c r="DM327" s="236">
        <v>3.074788447465826</v>
      </c>
      <c r="DN327" s="236">
        <v>1.0165972408484381</v>
      </c>
      <c r="DO327" s="236">
        <v>0.39829479813937585</v>
      </c>
      <c r="DP327" s="236">
        <v>1.8525396659168969</v>
      </c>
      <c r="DQ327" s="259">
        <v>1.6509285337136914</v>
      </c>
      <c r="DR327" s="259">
        <v>1.6714395628795842</v>
      </c>
      <c r="DS327" s="259">
        <v>1.709428305927374</v>
      </c>
      <c r="DT327" s="259">
        <v>1.7589374764693133</v>
      </c>
      <c r="DU327" s="259">
        <v>1.6857934564828092</v>
      </c>
      <c r="DV327" s="259">
        <v>1.8300535163814136</v>
      </c>
      <c r="DW327" s="259">
        <v>1.8791811691941884</v>
      </c>
      <c r="DX327" s="259">
        <v>1.9364148616153543</v>
      </c>
      <c r="DY327" s="259">
        <v>2.0024883988115416</v>
      </c>
      <c r="DZ327" s="259"/>
      <c r="EA327" s="508"/>
    </row>
    <row r="328" spans="1:131">
      <c r="A328" s="3" t="s">
        <v>4210</v>
      </c>
      <c r="B328" s="3" t="s">
        <v>3539</v>
      </c>
      <c r="F328" s="1">
        <f t="shared" ref="F328:N328" si="1134">F329/F292</f>
        <v>3.6293386662022651</v>
      </c>
      <c r="G328" s="1">
        <f t="shared" si="1134"/>
        <v>3.7108491552032472</v>
      </c>
      <c r="H328" s="1">
        <f t="shared" si="1134"/>
        <v>3.6282984958451494</v>
      </c>
      <c r="I328" s="1">
        <f t="shared" si="1134"/>
        <v>3.3767236143162287</v>
      </c>
      <c r="J328" s="1">
        <f t="shared" si="1134"/>
        <v>3.429344107159408</v>
      </c>
      <c r="K328" s="1">
        <f t="shared" si="1134"/>
        <v>3.3540430501910934</v>
      </c>
      <c r="L328" s="1">
        <f t="shared" si="1134"/>
        <v>3.3294485095736932</v>
      </c>
      <c r="M328" s="1">
        <f t="shared" si="1134"/>
        <v>3.5511622794405304</v>
      </c>
      <c r="N328" s="1">
        <f t="shared" si="1134"/>
        <v>3.5889761884105451</v>
      </c>
      <c r="O328" s="1">
        <f t="shared" ref="O328:AU328" si="1135">O329/O292</f>
        <v>3.5994194780965527</v>
      </c>
      <c r="P328" s="1">
        <f t="shared" si="1135"/>
        <v>3.5708135513895889</v>
      </c>
      <c r="Q328" s="1">
        <f t="shared" si="1135"/>
        <v>3.6448845436649959</v>
      </c>
      <c r="R328" s="1">
        <f t="shared" si="1135"/>
        <v>3.3091475035461273</v>
      </c>
      <c r="S328" s="1">
        <f t="shared" si="1135"/>
        <v>3.0546948556247089</v>
      </c>
      <c r="T328" s="1">
        <f t="shared" si="1135"/>
        <v>2.9050134117952582</v>
      </c>
      <c r="U328" s="1">
        <f t="shared" si="1135"/>
        <v>2.9519364710498017</v>
      </c>
      <c r="V328" s="1">
        <f t="shared" si="1135"/>
        <v>2.9181730842651077</v>
      </c>
      <c r="W328" s="1">
        <f t="shared" si="1135"/>
        <v>2.7149966508122638</v>
      </c>
      <c r="X328" s="1">
        <f t="shared" si="1135"/>
        <v>2.6764437648221127</v>
      </c>
      <c r="Y328" s="1">
        <f t="shared" si="1135"/>
        <v>2.5303968153191279</v>
      </c>
      <c r="Z328" s="1">
        <f t="shared" si="1135"/>
        <v>2.1575987770851892</v>
      </c>
      <c r="AA328" s="1">
        <f t="shared" si="1135"/>
        <v>2.0178743106559729</v>
      </c>
      <c r="AB328" s="1">
        <f t="shared" si="1135"/>
        <v>2.1940754232743558</v>
      </c>
      <c r="AC328" s="1">
        <f t="shared" si="1135"/>
        <v>1.7981703293097837</v>
      </c>
      <c r="AD328" s="1">
        <f t="shared" si="1135"/>
        <v>1.6919749367549062</v>
      </c>
      <c r="AE328" s="1">
        <f t="shared" si="1135"/>
        <v>1.6660969812543596</v>
      </c>
      <c r="AF328" s="1">
        <f t="shared" si="1135"/>
        <v>1.6594758903608318</v>
      </c>
      <c r="AG328" s="1">
        <f t="shared" si="1135"/>
        <v>1.6161235651642563</v>
      </c>
      <c r="AH328" s="1">
        <f t="shared" si="1135"/>
        <v>1.8246573633211278</v>
      </c>
      <c r="AI328" s="1">
        <f t="shared" si="1135"/>
        <v>2.0848145633731314</v>
      </c>
      <c r="AJ328" s="1">
        <f t="shared" si="1135"/>
        <v>2.1211172855386606</v>
      </c>
      <c r="AK328" s="1">
        <f t="shared" si="1135"/>
        <v>2.08367615216385</v>
      </c>
      <c r="AL328" s="1">
        <f t="shared" si="1135"/>
        <v>2.0168514397817132</v>
      </c>
      <c r="AM328" s="1">
        <f t="shared" si="1135"/>
        <v>1.8484857462972799</v>
      </c>
      <c r="AN328" s="1">
        <f t="shared" si="1135"/>
        <v>1.5176081095114271</v>
      </c>
      <c r="AO328" s="1">
        <f t="shared" si="1135"/>
        <v>1.2785462741285434</v>
      </c>
      <c r="AP328" s="1">
        <f t="shared" si="1135"/>
        <v>0.89741609855230997</v>
      </c>
      <c r="AQ328" s="1">
        <f t="shared" si="1135"/>
        <v>1.0699465132539372</v>
      </c>
      <c r="AR328" s="1">
        <f t="shared" si="1135"/>
        <v>1.3043307218744773</v>
      </c>
      <c r="AS328" s="1">
        <f t="shared" si="1135"/>
        <v>1.401591857477849</v>
      </c>
      <c r="AT328" s="1">
        <f t="shared" si="1135"/>
        <v>2.0902564437910773</v>
      </c>
      <c r="AU328" s="1">
        <f t="shared" si="1135"/>
        <v>1.5102977608158858</v>
      </c>
      <c r="AV328" s="1">
        <f t="shared" ref="AV328:BB328" si="1136">AV329/AV292</f>
        <v>1.55</v>
      </c>
      <c r="AW328" s="1">
        <f t="shared" si="1136"/>
        <v>1.562489292630421</v>
      </c>
      <c r="AX328" s="1">
        <f t="shared" si="1136"/>
        <v>1.3695969596096835</v>
      </c>
      <c r="AY328" s="1">
        <f t="shared" si="1136"/>
        <v>0.74637237250723465</v>
      </c>
      <c r="AZ328" s="1">
        <f t="shared" si="1136"/>
        <v>0.49693058089995917</v>
      </c>
      <c r="BA328" s="1">
        <f t="shared" si="1136"/>
        <v>0.53868393205758114</v>
      </c>
      <c r="BB328" s="1">
        <f t="shared" si="1136"/>
        <v>0.66538631318700003</v>
      </c>
      <c r="BC328" s="1">
        <f t="shared" ref="BC328:BQ328" si="1137">BC329/BC292</f>
        <v>0.73119124142821967</v>
      </c>
      <c r="BD328" s="1">
        <f t="shared" si="1137"/>
        <v>0.78478958306570723</v>
      </c>
      <c r="BE328" s="1">
        <f t="shared" ca="1" si="1137"/>
        <v>0.86106719191377801</v>
      </c>
      <c r="BF328" s="1">
        <f t="shared" ca="1" si="1137"/>
        <v>0.85749838221876806</v>
      </c>
      <c r="BG328" s="1">
        <f t="shared" ca="1" si="1137"/>
        <v>0.92145292334609141</v>
      </c>
      <c r="BH328" s="1">
        <f t="shared" ca="1" si="1137"/>
        <v>0.96776474123983713</v>
      </c>
      <c r="BI328" s="1">
        <f t="shared" ca="1" si="1137"/>
        <v>1.180321461780572</v>
      </c>
      <c r="BJ328" s="1">
        <f t="shared" ca="1" si="1137"/>
        <v>1.0942964806739213</v>
      </c>
      <c r="BK328" s="1">
        <f t="shared" ref="BK328:BP328" ca="1" si="1138">BK329/BK292</f>
        <v>0.98963303022961568</v>
      </c>
      <c r="BL328" s="1">
        <f t="shared" ca="1" si="1138"/>
        <v>1.134023018789388</v>
      </c>
      <c r="BM328" s="1">
        <f t="shared" ca="1" si="1138"/>
        <v>1.3423557110847917</v>
      </c>
      <c r="BN328" s="1">
        <f t="shared" ca="1" si="1138"/>
        <v>1.5412433474288421</v>
      </c>
      <c r="BO328" s="1">
        <f t="shared" ca="1" si="1138"/>
        <v>1.7776672441913248</v>
      </c>
      <c r="BP328" s="1">
        <f t="shared" ca="1" si="1138"/>
        <v>1.6715703867694853</v>
      </c>
      <c r="BQ328" s="1">
        <f t="shared" ca="1" si="1137"/>
        <v>1.5677770807568689</v>
      </c>
      <c r="BR328" s="1">
        <f ca="1">BR329/BR292</f>
        <v>1.6162706653059935</v>
      </c>
      <c r="BS328" s="1">
        <f ca="1">BS329/BS292</f>
        <v>1.7406519957336131</v>
      </c>
      <c r="BT328" s="1">
        <f ca="1">BT329/BT292</f>
        <v>1.8674417345244594</v>
      </c>
      <c r="BU328" s="1">
        <f ca="1">BU329/BU292</f>
        <v>1.972581275618831</v>
      </c>
      <c r="BV328" s="1">
        <f ca="1">BV329/BV292</f>
        <v>2.067832222072711</v>
      </c>
      <c r="BW328" s="1">
        <f t="shared" ref="BW328:BX328" ca="1" si="1139">BW329/BW292</f>
        <v>2.1568109429619571</v>
      </c>
      <c r="BX328" s="1">
        <f t="shared" ca="1" si="1139"/>
        <v>2.2404240499583943</v>
      </c>
      <c r="BY328" s="1">
        <f t="shared" ref="BY328:CD328" ca="1" si="1140">BY329/BY292</f>
        <v>2.3194924207392109</v>
      </c>
      <c r="BZ328" s="1">
        <f t="shared" ca="1" si="1140"/>
        <v>2.3729978408280954</v>
      </c>
      <c r="CA328" s="1">
        <f t="shared" ca="1" si="1140"/>
        <v>2.4197473211875167</v>
      </c>
      <c r="CB328" s="1">
        <f t="shared" ca="1" si="1140"/>
        <v>2.4629612610193372</v>
      </c>
      <c r="CC328" s="1">
        <f t="shared" ca="1" si="1140"/>
        <v>2.5029240689831309</v>
      </c>
      <c r="CD328" s="1">
        <f t="shared" ca="1" si="1140"/>
        <v>2.5399697405073889</v>
      </c>
      <c r="CE328" s="1"/>
      <c r="CF328" s="435"/>
      <c r="CG328" s="235">
        <f t="shared" ca="1" si="997"/>
        <v>-0.33151647675827034</v>
      </c>
      <c r="CH328" s="235">
        <f t="shared" ca="1" si="998"/>
        <v>2.0728185358412032E-2</v>
      </c>
      <c r="CI328" s="235" t="e">
        <f ca="1">BM328-#REF!</f>
        <v>#REF!</v>
      </c>
      <c r="CJ328" s="235">
        <f t="shared" ca="1" si="935"/>
        <v>0</v>
      </c>
      <c r="CK328" s="235">
        <f t="shared" ca="1" si="936"/>
        <v>0</v>
      </c>
      <c r="CL328" s="235">
        <f t="shared" ca="1" si="937"/>
        <v>0</v>
      </c>
      <c r="CM328" s="235">
        <f t="shared" ca="1" si="938"/>
        <v>0</v>
      </c>
      <c r="CN328" s="235">
        <f t="shared" ca="1" si="939"/>
        <v>0</v>
      </c>
      <c r="CO328" s="235">
        <f t="shared" ca="1" si="940"/>
        <v>0</v>
      </c>
      <c r="CP328" s="235">
        <f t="shared" ca="1" si="941"/>
        <v>0</v>
      </c>
      <c r="CQ328" s="235">
        <f t="shared" ca="1" si="942"/>
        <v>0</v>
      </c>
      <c r="CR328" s="235">
        <f t="shared" ca="1" si="943"/>
        <v>0</v>
      </c>
      <c r="CS328" s="235">
        <f t="shared" ca="1" si="944"/>
        <v>0</v>
      </c>
      <c r="CT328" s="235">
        <f t="shared" ca="1" si="945"/>
        <v>0</v>
      </c>
      <c r="CU328" s="235">
        <f t="shared" ca="1" si="946"/>
        <v>0</v>
      </c>
      <c r="CV328" s="235">
        <f t="shared" ca="1" si="947"/>
        <v>-4.4408920985006262E-15</v>
      </c>
      <c r="CW328" s="235">
        <f t="shared" ca="1" si="948"/>
        <v>-1.6875389974302379E-14</v>
      </c>
      <c r="CX328" s="235">
        <f t="shared" ca="1" si="949"/>
        <v>-1.5809575870662229E-13</v>
      </c>
      <c r="CY328" s="235">
        <f t="shared" ca="1" si="950"/>
        <v>-1.4552803406786552E-12</v>
      </c>
      <c r="CZ328" s="235">
        <f t="shared" ca="1" si="951"/>
        <v>-1.0858425270043881E-11</v>
      </c>
      <c r="DB328" s="236">
        <v>0.91069868114469998</v>
      </c>
      <c r="DC328" s="236">
        <v>1.9106986811447004</v>
      </c>
      <c r="DD328" s="236">
        <v>1.969521239196951</v>
      </c>
      <c r="DE328" s="236">
        <v>2.1054162088615698</v>
      </c>
      <c r="DF328" s="259">
        <v>2.2727946777236969</v>
      </c>
      <c r="DG328" s="236">
        <v>1.321149506987886</v>
      </c>
      <c r="DH328" s="492">
        <v>1.113294833430976</v>
      </c>
      <c r="DI328" s="236">
        <v>1.5412433474288421</v>
      </c>
      <c r="DJ328" s="236">
        <v>1.7776672441913244</v>
      </c>
      <c r="DK328" s="236">
        <v>1.6715703867694851</v>
      </c>
      <c r="DL328" s="236">
        <v>1.5677770807568689</v>
      </c>
      <c r="DM328" s="236">
        <v>1.6162706653059933</v>
      </c>
      <c r="DN328" s="236">
        <v>1.7406519957336135</v>
      </c>
      <c r="DO328" s="236">
        <v>1.8674417345244585</v>
      </c>
      <c r="DP328" s="236">
        <v>1.972581275618831</v>
      </c>
      <c r="DQ328" s="258">
        <v>2.0678322220727101</v>
      </c>
      <c r="DR328" s="258">
        <v>2.1568109429619571</v>
      </c>
      <c r="DS328" s="258">
        <v>2.2404240499583947</v>
      </c>
      <c r="DT328" s="258">
        <v>2.3194924207392131</v>
      </c>
      <c r="DU328" s="258">
        <v>2.3729978408280998</v>
      </c>
      <c r="DV328" s="258">
        <v>2.4197473211875336</v>
      </c>
      <c r="DW328" s="258">
        <v>2.4629612610194953</v>
      </c>
      <c r="DX328" s="258">
        <v>2.5029240689845862</v>
      </c>
      <c r="DY328" s="258">
        <v>2.5399697405182473</v>
      </c>
    </row>
    <row r="329" spans="1:131" s="76" customFormat="1">
      <c r="A329" s="165" t="s">
        <v>4211</v>
      </c>
      <c r="B329" s="73" t="s">
        <v>2463</v>
      </c>
      <c r="C329" s="51" t="s">
        <v>3693</v>
      </c>
      <c r="D329" s="207"/>
      <c r="E329" s="207"/>
      <c r="F329" s="295">
        <f>mamiabc!F148*Model!$AV$329/mamiabc!$AV$148</f>
        <v>0.45136818899529785</v>
      </c>
      <c r="G329" s="295">
        <f>mamiabc!G148*Model!$AV$329/mamiabc!$AV$148</f>
        <v>0.47718552805165082</v>
      </c>
      <c r="H329" s="295">
        <f>mamiabc!H148*Model!$AV$329/mamiabc!$AV$148</f>
        <v>0.50350255754135254</v>
      </c>
      <c r="I329" s="295">
        <f>mamiabc!I148*Model!$AV$329/mamiabc!$AV$148</f>
        <v>0.5324846036286649</v>
      </c>
      <c r="J329" s="295">
        <f>mamiabc!J148*Model!$AV$329/mamiabc!$AV$148</f>
        <v>0.57595766878845067</v>
      </c>
      <c r="K329" s="295">
        <f>mamiabc!K148*Model!$AV$329/mamiabc!$AV$148</f>
        <v>0.62059668274044155</v>
      </c>
      <c r="L329" s="295">
        <f>mamiabc!L148*Model!$AV$329/mamiabc!$AV$148</f>
        <v>0.66573538267805654</v>
      </c>
      <c r="M329" s="295">
        <f>mamiabc!M148*Model!$AV$329/mamiabc!$AV$148</f>
        <v>0.71670380433807379</v>
      </c>
      <c r="N329" s="295">
        <f>mamiabc!N148*Model!$AV$329/mamiabc!$AV$148</f>
        <v>0.7651737738313471</v>
      </c>
      <c r="O329" s="295">
        <f>mamiabc!O148*Model!$AV$329/mamiabc!$AV$148</f>
        <v>0.82380411928171426</v>
      </c>
      <c r="P329" s="295">
        <f>mamiabc!P148*Model!$AV$329/mamiabc!$AV$148</f>
        <v>0.89326109078797133</v>
      </c>
      <c r="Q329" s="295">
        <f>mamiabc!Q148*Model!$AV$329/mamiabc!$AV$148</f>
        <v>1.0539948436715454</v>
      </c>
      <c r="R329" s="295">
        <f>mamiabc!R148*Model!$AV$329/mamiabc!$AV$148</f>
        <v>1.2195589463062733</v>
      </c>
      <c r="S329" s="295">
        <f>mamiabc!S148*Model!$AV$329/mamiabc!$AV$148</f>
        <v>1.3224347805577696</v>
      </c>
      <c r="T329" s="295">
        <f>mamiabc!T148*Model!$AV$329/mamiabc!$AV$148</f>
        <v>1.3849808901286622</v>
      </c>
      <c r="U329" s="295">
        <f>mamiabc!U148*Model!$AV$329/mamiabc!$AV$148</f>
        <v>1.4484700253527116</v>
      </c>
      <c r="V329" s="295">
        <f>mamiabc!V148*Model!$AV$329/mamiabc!$AV$148</f>
        <v>1.4840452085727736</v>
      </c>
      <c r="W329" s="295">
        <f>mamiabc!W148*Model!$AV$329/mamiabc!$AV$148</f>
        <v>1.5140230255627978</v>
      </c>
      <c r="X329" s="295">
        <f>mamiabc!X148*Model!$AV$329/mamiabc!$AV$148</f>
        <v>1.5496786681227328</v>
      </c>
      <c r="Y329" s="295">
        <f>mamiabc!Y148*Model!$AV$329/mamiabc!$AV$148</f>
        <v>1.6006470897827501</v>
      </c>
      <c r="Z329" s="295">
        <f>mamiabc!Z148*Model!$AV$329/mamiabc!$AV$148</f>
        <v>1.6772662895628943</v>
      </c>
      <c r="AA329" s="295">
        <f>mamiabc!AA148*Model!$AV$329/mamiabc!$AV$148</f>
        <v>1.8721455585689133</v>
      </c>
      <c r="AB329" s="295">
        <f>mamiabc!AB148*Model!$AV$329/mamiabc!$AV$148</f>
        <v>2.1790221318935594</v>
      </c>
      <c r="AC329" s="295">
        <f>mamiabc!AC148*Model!$AV$329/mamiabc!$AV$148</f>
        <v>2.259855372920581</v>
      </c>
      <c r="AD329" s="295">
        <f>mamiabc!AD148*Model!$AV$329/mamiabc!$AV$148</f>
        <v>2.4347470245926499</v>
      </c>
      <c r="AE329" s="295">
        <f>mamiabc!AE148*Model!$AV$329/mamiabc!$AV$148</f>
        <v>2.556804739078729</v>
      </c>
      <c r="AF329" s="295">
        <f>mamiabc!AF148*Model!$AV$329/mamiabc!$AV$148</f>
        <v>2.6086726050437088</v>
      </c>
      <c r="AG329" s="295">
        <f>mamiabc!AG148*Model!$AV$329/mamiabc!$AV$148</f>
        <v>2.8093982429703033</v>
      </c>
      <c r="AH329" s="295">
        <f>mamiabc!AH148*Model!$AV$329/mamiabc!$AV$148</f>
        <v>3.1309157221014328</v>
      </c>
      <c r="AI329" s="295">
        <f>mamiabc!AI148*Model!$AV$329/mamiabc!$AV$148</f>
        <v>3.3641545325920434</v>
      </c>
      <c r="AJ329" s="295">
        <f>mamiabc!AJ148*Model!$AV$329/mamiabc!$AV$148</f>
        <v>3.320364980050194</v>
      </c>
      <c r="AK329" s="295">
        <f>mamiabc!AK148*Model!$AV$329/mamiabc!$AV$148</f>
        <v>3.2301541943832266</v>
      </c>
      <c r="AL329" s="295">
        <f>mamiabc!AL148*Model!$AV$329/mamiabc!$AV$148</f>
        <v>3.1826003163930885</v>
      </c>
      <c r="AM329" s="295">
        <f>mamiabc!AM148*Model!$AV$329/mamiabc!$AV$148</f>
        <v>3.1696916468649121</v>
      </c>
      <c r="AN329" s="295">
        <f>mamiabc!AN148*Model!$AV$329/mamiabc!$AV$148</f>
        <v>3.1447071251974736</v>
      </c>
      <c r="AO329" s="295">
        <f>mamiabc!AO148*Model!$AV$329/mamiabc!$AV$148</f>
        <v>3.201338707643667</v>
      </c>
      <c r="AP329" s="295">
        <f>mamiabc!AP148*Model!$AV$329/mamiabc!$AV$148</f>
        <v>3.0937386908296713</v>
      </c>
      <c r="AQ329" s="295">
        <f>mamiabc!AQ148*Model!$AV$329/mamiabc!$AV$148</f>
        <v>4.303025958697325</v>
      </c>
      <c r="AR329" s="295">
        <f>mamiabc!AR148*Model!$AV$329/mamiabc!$AV$148</f>
        <v>6.8662105330806433</v>
      </c>
      <c r="AS329" s="295">
        <f>mamiabc!AS148*Model!$AV$329/mamiabc!$AV$148</f>
        <v>18.064407267346315</v>
      </c>
      <c r="AT329" s="295">
        <f>mamiabc!AT148*Model!$AV$329/mamiabc!$AV$148</f>
        <v>107.21353760489774</v>
      </c>
      <c r="AU329" s="295">
        <f>mamiabc!AU148*Model!$AV$329/mamiabc!$AV$148</f>
        <v>377.70614100777271</v>
      </c>
      <c r="AV329" s="74">
        <f>AV292*1.55</f>
        <v>492.8019289778187</v>
      </c>
      <c r="AW329" s="86">
        <f t="shared" ref="AW329:BQ329" si="1141">AV329*(1-0.09)+AW293</f>
        <v>552.16663536981503</v>
      </c>
      <c r="AX329" s="86">
        <f t="shared" si="1141"/>
        <v>547.83663818653167</v>
      </c>
      <c r="AY329" s="86">
        <f t="shared" si="1141"/>
        <v>582.24834074974387</v>
      </c>
      <c r="AZ329" s="86">
        <f t="shared" si="1141"/>
        <v>646.92299008226689</v>
      </c>
      <c r="BA329" s="86">
        <f t="shared" si="1141"/>
        <v>1030.518920974863</v>
      </c>
      <c r="BB329" s="86">
        <f t="shared" si="1141"/>
        <v>1428.2142180871253</v>
      </c>
      <c r="BC329" s="86">
        <f t="shared" si="1141"/>
        <v>2286.674938459284</v>
      </c>
      <c r="BD329" s="86">
        <f t="shared" si="1141"/>
        <v>3080.8741939979486</v>
      </c>
      <c r="BE329" s="86">
        <f t="shared" si="1141"/>
        <v>4780.5955165381329</v>
      </c>
      <c r="BF329" s="86">
        <f t="shared" si="1141"/>
        <v>5846.341920049701</v>
      </c>
      <c r="BG329" s="86">
        <f t="shared" si="1141"/>
        <v>7126.171147245228</v>
      </c>
      <c r="BH329" s="86">
        <f t="shared" ca="1" si="1141"/>
        <v>8806.1146784170523</v>
      </c>
      <c r="BI329" s="86">
        <f t="shared" ca="1" si="1141"/>
        <v>10436.214658415844</v>
      </c>
      <c r="BJ329" s="86">
        <f t="shared" ca="1" si="1141"/>
        <v>12201.538598719257</v>
      </c>
      <c r="BK329" s="86">
        <f t="shared" ca="1" si="1141"/>
        <v>14769.859486670743</v>
      </c>
      <c r="BL329" s="86">
        <f t="shared" ca="1" si="1141"/>
        <v>18266.274191786171</v>
      </c>
      <c r="BM329" s="86">
        <f t="shared" ca="1" si="1141"/>
        <v>20990.085257033665</v>
      </c>
      <c r="BN329" s="86">
        <f t="shared" ca="1" si="1141"/>
        <v>24171.838816734606</v>
      </c>
      <c r="BO329" s="86">
        <f t="shared" ca="1" si="1141"/>
        <v>28005.158452211639</v>
      </c>
      <c r="BP329" s="86">
        <f t="shared" ca="1" si="1141"/>
        <v>33221.81824719729</v>
      </c>
      <c r="BQ329" s="86">
        <f t="shared" ca="1" si="1141"/>
        <v>38570.060942991426</v>
      </c>
      <c r="BR329" s="86">
        <f t="shared" ref="BR329:BX329" ca="1" si="1142">BQ329*(1-0.09)+BR293</f>
        <v>43725.21313530449</v>
      </c>
      <c r="BS329" s="86">
        <f t="shared" ca="1" si="1142"/>
        <v>48839.911384179417</v>
      </c>
      <c r="BT329" s="86">
        <f t="shared" ca="1" si="1142"/>
        <v>53908.495208311724</v>
      </c>
      <c r="BU329" s="86">
        <f t="shared" ca="1" si="1142"/>
        <v>59139.562041591969</v>
      </c>
      <c r="BV329" s="86">
        <f t="shared" ca="1" si="1142"/>
        <v>64458.053754709843</v>
      </c>
      <c r="BW329" s="86">
        <f t="shared" ca="1" si="1142"/>
        <v>69893.506178953132</v>
      </c>
      <c r="BX329" s="86">
        <f t="shared" ca="1" si="1142"/>
        <v>75469.791267748136</v>
      </c>
      <c r="BY329" s="86">
        <f t="shared" ref="BY329" ca="1" si="1143">BX329*(1-0.09)+BY293</f>
        <v>81212.676558865947</v>
      </c>
      <c r="BZ329" s="86">
        <f t="shared" ref="BZ329" ca="1" si="1144">BY329*(1-0.09)+BZ293</f>
        <v>87158.897091509411</v>
      </c>
      <c r="CA329" s="86">
        <f t="shared" ref="CA329" ca="1" si="1145">BZ329*(1-0.09)+CA293</f>
        <v>93354.424513535589</v>
      </c>
      <c r="CB329" s="86">
        <f t="shared" ref="CB329" ca="1" si="1146">CA329*(1-0.09)+CB293</f>
        <v>99837.242788319243</v>
      </c>
      <c r="CC329" s="86">
        <f t="shared" ref="CC329" ca="1" si="1147">CB329*(1-0.09)+CC293</f>
        <v>106640.52694082477</v>
      </c>
      <c r="CD329" s="86">
        <f t="shared" ref="CD329" ca="1" si="1148">CC329*(1-0.09)+CD293</f>
        <v>113801.14813539834</v>
      </c>
      <c r="CE329" s="86"/>
      <c r="CF329" s="435"/>
      <c r="CG329" s="235">
        <f t="shared" ca="1" si="997"/>
        <v>-412.35200374797932</v>
      </c>
      <c r="CH329" s="235">
        <f t="shared" ca="1" si="998"/>
        <v>57.584823726458126</v>
      </c>
      <c r="CI329" s="235" t="e">
        <f ca="1">BM329-#REF!</f>
        <v>#REF!</v>
      </c>
      <c r="CJ329" s="235">
        <f t="shared" ca="1" si="935"/>
        <v>0</v>
      </c>
      <c r="CK329" s="235">
        <f t="shared" ca="1" si="936"/>
        <v>0</v>
      </c>
      <c r="CL329" s="235">
        <f t="shared" ca="1" si="937"/>
        <v>0</v>
      </c>
      <c r="CM329" s="235">
        <f t="shared" ca="1" si="938"/>
        <v>0</v>
      </c>
      <c r="CN329" s="235">
        <f t="shared" ca="1" si="939"/>
        <v>0</v>
      </c>
      <c r="CO329" s="235">
        <f t="shared" ca="1" si="940"/>
        <v>0</v>
      </c>
      <c r="CP329" s="235">
        <f t="shared" ca="1" si="941"/>
        <v>0</v>
      </c>
      <c r="CQ329" s="235">
        <f t="shared" ca="1" si="942"/>
        <v>0</v>
      </c>
      <c r="CR329" s="235">
        <f t="shared" ca="1" si="943"/>
        <v>0</v>
      </c>
      <c r="CS329" s="235">
        <f t="shared" ca="1" si="944"/>
        <v>0</v>
      </c>
      <c r="CT329" s="235">
        <f t="shared" ca="1" si="945"/>
        <v>-1.1641532182693481E-10</v>
      </c>
      <c r="CU329" s="235">
        <f t="shared" ca="1" si="946"/>
        <v>-1.7462298274040222E-10</v>
      </c>
      <c r="CV329" s="235">
        <f t="shared" ca="1" si="947"/>
        <v>-2.6193447411060333E-10</v>
      </c>
      <c r="CW329" s="235">
        <f t="shared" ca="1" si="948"/>
        <v>-3.637978807091713E-10</v>
      </c>
      <c r="CX329" s="235">
        <f t="shared" ca="1" si="949"/>
        <v>-1.3096723705530167E-10</v>
      </c>
      <c r="CY329" s="235">
        <f t="shared" ca="1" si="950"/>
        <v>3.5797711461782455E-9</v>
      </c>
      <c r="CZ329" s="235">
        <f t="shared" ca="1" si="951"/>
        <v>3.4953700378537178E-8</v>
      </c>
      <c r="DA329" s="38"/>
      <c r="DB329" s="236">
        <v>10026.209872621799</v>
      </c>
      <c r="DC329" s="236">
        <v>10027.209872621817</v>
      </c>
      <c r="DD329" s="236">
        <v>11715.758837823432</v>
      </c>
      <c r="DE329" s="236">
        <v>14696.313234774576</v>
      </c>
      <c r="DF329" s="401">
        <v>15624.04274383644</v>
      </c>
      <c r="DG329" s="236">
        <v>15182.211490418722</v>
      </c>
      <c r="DH329" s="492">
        <v>18208.689368059713</v>
      </c>
      <c r="DI329" s="236">
        <v>24171.838816734609</v>
      </c>
      <c r="DJ329" s="236">
        <v>28005.158452211646</v>
      </c>
      <c r="DK329" s="236">
        <v>33221.818247197298</v>
      </c>
      <c r="DL329" s="236">
        <v>38570.06094299144</v>
      </c>
      <c r="DM329" s="236">
        <v>43725.213135304512</v>
      </c>
      <c r="DN329" s="236">
        <v>48839.911384179446</v>
      </c>
      <c r="DO329" s="236">
        <v>53908.495208311753</v>
      </c>
      <c r="DP329" s="236">
        <v>59139.562041592006</v>
      </c>
      <c r="DQ329" s="401">
        <v>64458.053754709894</v>
      </c>
      <c r="DR329" s="401">
        <v>69893.506178953205</v>
      </c>
      <c r="DS329" s="401">
        <v>75469.791267748253</v>
      </c>
      <c r="DT329" s="401">
        <v>81212.676558866122</v>
      </c>
      <c r="DU329" s="401">
        <v>87158.897091509672</v>
      </c>
      <c r="DV329" s="401">
        <v>93354.424513535952</v>
      </c>
      <c r="DW329" s="401">
        <v>99837.242788319374</v>
      </c>
      <c r="DX329" s="401">
        <v>106640.52694082119</v>
      </c>
      <c r="DY329" s="401">
        <v>113801.14813536339</v>
      </c>
      <c r="DZ329" s="401"/>
      <c r="EA329" s="989"/>
    </row>
    <row r="330" spans="1:131" s="28" customFormat="1">
      <c r="B330" s="30"/>
      <c r="C330" s="13"/>
      <c r="D330" s="220"/>
      <c r="E330" s="220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13"/>
      <c r="AV330" s="76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435"/>
      <c r="CG330" s="235">
        <f t="shared" si="997"/>
        <v>0</v>
      </c>
      <c r="CH330" s="235">
        <f t="shared" si="998"/>
        <v>0</v>
      </c>
      <c r="CI330" s="235" t="e">
        <f>BM330-#REF!</f>
        <v>#REF!</v>
      </c>
      <c r="CJ330" s="235">
        <f t="shared" si="935"/>
        <v>0</v>
      </c>
      <c r="CK330" s="235">
        <f t="shared" si="936"/>
        <v>0</v>
      </c>
      <c r="CL330" s="235">
        <f t="shared" si="937"/>
        <v>0</v>
      </c>
      <c r="CM330" s="235">
        <f t="shared" si="938"/>
        <v>0</v>
      </c>
      <c r="CN330" s="235">
        <f t="shared" si="939"/>
        <v>0</v>
      </c>
      <c r="CO330" s="235">
        <f t="shared" si="940"/>
        <v>0</v>
      </c>
      <c r="CP330" s="235">
        <f t="shared" si="941"/>
        <v>0</v>
      </c>
      <c r="CQ330" s="235">
        <f t="shared" si="942"/>
        <v>0</v>
      </c>
      <c r="CR330" s="235">
        <f t="shared" si="943"/>
        <v>0</v>
      </c>
      <c r="CS330" s="235">
        <f t="shared" si="944"/>
        <v>0</v>
      </c>
      <c r="CT330" s="235">
        <f t="shared" si="945"/>
        <v>0</v>
      </c>
      <c r="CU330" s="235">
        <f t="shared" si="946"/>
        <v>0</v>
      </c>
      <c r="CV330" s="235">
        <f t="shared" si="947"/>
        <v>0</v>
      </c>
      <c r="CW330" s="235">
        <f t="shared" si="948"/>
        <v>0</v>
      </c>
      <c r="CX330" s="235">
        <f t="shared" si="949"/>
        <v>0</v>
      </c>
      <c r="CY330" s="235">
        <f t="shared" si="950"/>
        <v>0</v>
      </c>
      <c r="CZ330" s="235">
        <f t="shared" si="951"/>
        <v>0</v>
      </c>
      <c r="DA330" s="38"/>
      <c r="DB330" s="236"/>
      <c r="DC330" s="236"/>
      <c r="DD330" s="236"/>
      <c r="DE330" s="236"/>
      <c r="DF330" s="401"/>
      <c r="DG330" s="236"/>
      <c r="DH330" s="492"/>
      <c r="DI330" s="236"/>
      <c r="DJ330" s="236"/>
      <c r="DK330" s="236"/>
      <c r="DL330" s="236"/>
      <c r="DM330" s="236"/>
      <c r="DN330" s="236"/>
      <c r="DO330" s="236"/>
      <c r="DP330" s="236"/>
      <c r="DQ330" s="403"/>
      <c r="DR330" s="403"/>
      <c r="DS330" s="403"/>
      <c r="DT330" s="403"/>
      <c r="DU330" s="403"/>
      <c r="DV330" s="403"/>
      <c r="DW330" s="403"/>
      <c r="DX330" s="403"/>
      <c r="DY330" s="403"/>
      <c r="DZ330" s="403"/>
      <c r="EA330" s="991"/>
    </row>
    <row r="331" spans="1:131" s="28" customFormat="1">
      <c r="A331" s="977" t="s">
        <v>4208</v>
      </c>
      <c r="B331" s="30" t="s">
        <v>3084</v>
      </c>
      <c r="C331" s="13" t="s">
        <v>4416</v>
      </c>
      <c r="D331" s="220"/>
      <c r="E331" s="220"/>
      <c r="F331" s="76">
        <f t="shared" ref="F331:AQ331" si="1149">F231+F232+F256-F184-F255+F332</f>
        <v>5.7058759825363674E-4</v>
      </c>
      <c r="G331" s="76">
        <f t="shared" si="1149"/>
        <v>5.0588175837006089E-4</v>
      </c>
      <c r="H331" s="76">
        <f t="shared" si="1149"/>
        <v>1.1352926853038497E-3</v>
      </c>
      <c r="I331" s="76">
        <f t="shared" si="1149"/>
        <v>1.7470569927437712E-3</v>
      </c>
      <c r="J331" s="76">
        <f t="shared" si="1149"/>
        <v>2.1382331726451237E-3</v>
      </c>
      <c r="K331" s="76">
        <f t="shared" si="1149"/>
        <v>3.3999972354997413E-3</v>
      </c>
      <c r="L331" s="76">
        <f t="shared" si="1149"/>
        <v>5.0676425013497436E-3</v>
      </c>
      <c r="M331" s="76">
        <f t="shared" si="1149"/>
        <v>4.0588194551213312E-3</v>
      </c>
      <c r="N331" s="76">
        <f t="shared" si="1149"/>
        <v>3.0529380389518919E-3</v>
      </c>
      <c r="O331" s="76">
        <f t="shared" si="1149"/>
        <v>2.4970557484919123E-3</v>
      </c>
      <c r="P331" s="76">
        <f t="shared" si="1149"/>
        <v>3.0294087918502979E-3</v>
      </c>
      <c r="Q331" s="76">
        <f t="shared" si="1149"/>
        <v>3.8088202578862966E-3</v>
      </c>
      <c r="R331" s="76">
        <f t="shared" si="1149"/>
        <v>5.2529363481602746E-3</v>
      </c>
      <c r="S331" s="76">
        <f t="shared" si="1149"/>
        <v>5.4264653857380267E-3</v>
      </c>
      <c r="T331" s="76">
        <f t="shared" si="1149"/>
        <v>2.8823486545392074E-3</v>
      </c>
      <c r="U331" s="76">
        <f t="shared" si="1149"/>
        <v>3.6617594897561181E-3</v>
      </c>
      <c r="V331" s="76">
        <f t="shared" si="1149"/>
        <v>6.4911697339794551E-3</v>
      </c>
      <c r="W331" s="76">
        <f t="shared" si="1149"/>
        <v>5.0882292354185871E-3</v>
      </c>
      <c r="X331" s="76">
        <f t="shared" si="1149"/>
        <v>7.9323445591227455E-3</v>
      </c>
      <c r="Y331" s="76">
        <f t="shared" si="1149"/>
        <v>8.7941094449339834E-3</v>
      </c>
      <c r="Z331" s="76">
        <f t="shared" si="1149"/>
        <v>8.6088139925935177E-3</v>
      </c>
      <c r="AA331" s="76">
        <f t="shared" si="1149"/>
        <v>1.3050279904800633E-2</v>
      </c>
      <c r="AB331" s="76">
        <f t="shared" si="1149"/>
        <v>2.130762183165727E-2</v>
      </c>
      <c r="AC331" s="76">
        <f t="shared" si="1149"/>
        <v>1.6453207842498402E-2</v>
      </c>
      <c r="AD331" s="76">
        <f t="shared" si="1149"/>
        <v>2.9419085742862536E-2</v>
      </c>
      <c r="AE331" s="76">
        <f t="shared" si="1149"/>
        <v>2.5306149443662641E-2</v>
      </c>
      <c r="AF331" s="76">
        <f t="shared" si="1149"/>
        <v>1.4770269373341624E-2</v>
      </c>
      <c r="AG331" s="76">
        <f t="shared" si="1149"/>
        <v>3.3692313112212595E-2</v>
      </c>
      <c r="AH331" s="76">
        <f t="shared" si="1149"/>
        <v>3.26334901672692E-2</v>
      </c>
      <c r="AI331" s="76">
        <f t="shared" si="1149"/>
        <v>1.5045561501663092E-2</v>
      </c>
      <c r="AJ331" s="76">
        <f t="shared" si="1149"/>
        <v>1.1632334758264806E-2</v>
      </c>
      <c r="AK331" s="76">
        <f t="shared" si="1149"/>
        <v>-2.1795247906186699E-4</v>
      </c>
      <c r="AL331" s="76">
        <f t="shared" si="1149"/>
        <v>-3.087066683467754E-3</v>
      </c>
      <c r="AM331" s="76">
        <f t="shared" si="1149"/>
        <v>-5.3882436620917712E-3</v>
      </c>
      <c r="AN331" s="76">
        <f t="shared" si="1149"/>
        <v>-1.0264711615717279E-2</v>
      </c>
      <c r="AO331" s="76">
        <f t="shared" si="1149"/>
        <v>1.8233519049083713E-4</v>
      </c>
      <c r="AP331" s="76">
        <f t="shared" si="1149"/>
        <v>4.4664506573620713E-3</v>
      </c>
      <c r="AQ331" s="76">
        <f t="shared" si="1149"/>
        <v>1.1034092683565797E-2</v>
      </c>
      <c r="AR331" s="76">
        <f>AR231+AR232+AR256-AR184-AR255+AR332</f>
        <v>1.5407328192153735E-2</v>
      </c>
      <c r="AS331" s="76">
        <f>AS231+AS232+AS256-AS184-AS255+AS332</f>
        <v>-0.17196949658452257</v>
      </c>
      <c r="AT331" s="76">
        <f>AT231+AT232+AT256-AT184-AT255+AT332</f>
        <v>314.18317082853304</v>
      </c>
      <c r="AU331" s="76">
        <f>AU231+AU232+AU256-AU184-AU255+AU332</f>
        <v>20.768472673911898</v>
      </c>
      <c r="AV331" s="76">
        <f t="shared" ref="AV331:BG331" si="1150">AV231+AV232+AV256-AV184-AV255+AV332</f>
        <v>49.783749549999996</v>
      </c>
      <c r="AW331" s="76">
        <f t="shared" si="1150"/>
        <v>50.6045625</v>
      </c>
      <c r="AX331" s="76">
        <f t="shared" si="1150"/>
        <v>71.212959999999995</v>
      </c>
      <c r="AY331" s="76">
        <f t="shared" si="1150"/>
        <v>146.81612286999996</v>
      </c>
      <c r="AZ331" s="76">
        <f t="shared" si="1150"/>
        <v>148.11413118000002</v>
      </c>
      <c r="BA331" s="80">
        <f t="shared" si="1150"/>
        <v>167.86796800000002</v>
      </c>
      <c r="BB331" s="80">
        <f t="shared" si="1150"/>
        <v>154.92002650000001</v>
      </c>
      <c r="BC331" s="80">
        <f t="shared" si="1150"/>
        <v>168.94011900000004</v>
      </c>
      <c r="BD331" s="80">
        <f t="shared" si="1150"/>
        <v>319.76757900000001</v>
      </c>
      <c r="BE331" s="80">
        <f t="shared" si="1150"/>
        <v>508.96573058000001</v>
      </c>
      <c r="BF331" s="80">
        <f t="shared" si="1150"/>
        <v>671.95051118149991</v>
      </c>
      <c r="BG331" s="80">
        <f t="shared" si="1150"/>
        <v>835.72086200000001</v>
      </c>
      <c r="BH331" s="80">
        <f t="shared" ref="BH331:BP331" si="1151">BH231+BH232+BH256-BH184-BH255+BH332</f>
        <v>954.04375000000005</v>
      </c>
      <c r="BI331" s="80">
        <f t="shared" si="1151"/>
        <v>1258.6501170000001</v>
      </c>
      <c r="BJ331" s="80">
        <f t="shared" si="1151"/>
        <v>1241.3000000000002</v>
      </c>
      <c r="BK331" s="80">
        <f t="shared" si="1151"/>
        <v>1430.8000000000002</v>
      </c>
      <c r="BL331" s="80">
        <f t="shared" si="1151"/>
        <v>1975.8</v>
      </c>
      <c r="BM331" s="80">
        <f t="shared" si="1151"/>
        <v>1891.7000000000003</v>
      </c>
      <c r="BN331" s="80">
        <f t="shared" si="1151"/>
        <v>1917.3</v>
      </c>
      <c r="BO331" s="80">
        <f t="shared" si="1151"/>
        <v>1566.3</v>
      </c>
      <c r="BP331" s="80">
        <f t="shared" ca="1" si="1151"/>
        <v>2119.0927931227097</v>
      </c>
      <c r="BQ331" s="80">
        <f t="shared" ref="BQ331:BV331" ca="1" si="1152">BQ231+BQ232+BQ256-BQ184-BQ255+BQ332</f>
        <v>2376.2436278010541</v>
      </c>
      <c r="BR331" s="80">
        <f t="shared" ca="1" si="1152"/>
        <v>2531.9858593735344</v>
      </c>
      <c r="BS331" s="80">
        <f t="shared" ca="1" si="1152"/>
        <v>2646.1510211516998</v>
      </c>
      <c r="BT331" s="80">
        <f t="shared" ca="1" si="1152"/>
        <v>2780.7834616660502</v>
      </c>
      <c r="BU331" s="80">
        <f t="shared" ca="1" si="1152"/>
        <v>2925.8060786193982</v>
      </c>
      <c r="BV331" s="80">
        <f t="shared" ca="1" si="1152"/>
        <v>3079.6037030959778</v>
      </c>
      <c r="BW331" s="80">
        <f t="shared" ref="BW331:BX331" ca="1" si="1153">BW231+BW232+BW256-BW184-BW255+BW332</f>
        <v>3234.840539404845</v>
      </c>
      <c r="BX331" s="80">
        <f t="shared" ca="1" si="1153"/>
        <v>3397.8232020518353</v>
      </c>
      <c r="BY331" s="80">
        <f t="shared" ref="BY331:CD331" ca="1" si="1154">BY231+BY232+BY256-BY184-BY255+BY332</f>
        <v>3568.7715745026671</v>
      </c>
      <c r="BZ331" s="80">
        <f t="shared" ca="1" si="1154"/>
        <v>3748.2223686565076</v>
      </c>
      <c r="CA331" s="80">
        <f t="shared" ca="1" si="1154"/>
        <v>3937.076695138107</v>
      </c>
      <c r="CB331" s="80">
        <f t="shared" ca="1" si="1154"/>
        <v>4127.7279444403803</v>
      </c>
      <c r="CC331" s="80">
        <f t="shared" ca="1" si="1154"/>
        <v>4327.7912644431617</v>
      </c>
      <c r="CD331" s="80">
        <f t="shared" ca="1" si="1154"/>
        <v>4537.7555223497275</v>
      </c>
      <c r="CE331" s="80"/>
      <c r="CF331" s="435"/>
      <c r="CG331" s="235">
        <f t="shared" si="997"/>
        <v>0</v>
      </c>
      <c r="CH331" s="235">
        <f t="shared" si="998"/>
        <v>0</v>
      </c>
      <c r="CI331" s="235" t="e">
        <f>BM331-#REF!</f>
        <v>#REF!</v>
      </c>
      <c r="CJ331" s="235">
        <f t="shared" si="935"/>
        <v>0</v>
      </c>
      <c r="CK331" s="235">
        <f t="shared" si="936"/>
        <v>0</v>
      </c>
      <c r="CL331" s="235">
        <f t="shared" ca="1" si="937"/>
        <v>0</v>
      </c>
      <c r="CM331" s="235">
        <f t="shared" ca="1" si="938"/>
        <v>0</v>
      </c>
      <c r="CN331" s="235">
        <f t="shared" ca="1" si="939"/>
        <v>0</v>
      </c>
      <c r="CO331" s="235">
        <f t="shared" ca="1" si="940"/>
        <v>0</v>
      </c>
      <c r="CP331" s="235">
        <f t="shared" ca="1" si="941"/>
        <v>0</v>
      </c>
      <c r="CQ331" s="235">
        <f t="shared" ca="1" si="942"/>
        <v>0</v>
      </c>
      <c r="CR331" s="235">
        <f t="shared" ca="1" si="943"/>
        <v>0</v>
      </c>
      <c r="CS331" s="235">
        <f t="shared" ca="1" si="944"/>
        <v>0</v>
      </c>
      <c r="CT331" s="235">
        <f t="shared" ca="1" si="945"/>
        <v>0</v>
      </c>
      <c r="CU331" s="235">
        <f t="shared" ca="1" si="946"/>
        <v>0</v>
      </c>
      <c r="CV331" s="235">
        <f t="shared" ca="1" si="947"/>
        <v>0</v>
      </c>
      <c r="CW331" s="235">
        <f t="shared" ca="1" si="948"/>
        <v>0</v>
      </c>
      <c r="CX331" s="235">
        <f t="shared" ca="1" si="949"/>
        <v>1.9099388737231493E-11</v>
      </c>
      <c r="CY331" s="235">
        <f t="shared" ca="1" si="950"/>
        <v>1.6189005691558123E-10</v>
      </c>
      <c r="CZ331" s="235">
        <f t="shared" ca="1" si="951"/>
        <v>9.1677065938711166E-10</v>
      </c>
      <c r="DA331" s="38"/>
      <c r="DB331" s="236">
        <v>666.5955551815</v>
      </c>
      <c r="DC331" s="236">
        <v>667.5955551815</v>
      </c>
      <c r="DD331" s="236">
        <v>881.06801500000006</v>
      </c>
      <c r="DE331" s="236">
        <v>790.97168299999998</v>
      </c>
      <c r="DF331" s="401">
        <v>1258.1357600000001</v>
      </c>
      <c r="DG331" s="236">
        <v>1430.8</v>
      </c>
      <c r="DH331" s="492">
        <v>1975.8</v>
      </c>
      <c r="DI331" s="236">
        <v>1917.3</v>
      </c>
      <c r="DJ331" s="236">
        <v>1566.3</v>
      </c>
      <c r="DK331" s="236">
        <v>2119.0927931227093</v>
      </c>
      <c r="DL331" s="236">
        <v>2376.2436278010537</v>
      </c>
      <c r="DM331" s="236">
        <v>2531.9858593735344</v>
      </c>
      <c r="DN331" s="236">
        <v>2646.1510211516998</v>
      </c>
      <c r="DO331" s="236">
        <v>2780.7834616660507</v>
      </c>
      <c r="DP331" s="236">
        <v>2925.8060786193982</v>
      </c>
      <c r="DQ331" s="403">
        <v>3079.6037030959778</v>
      </c>
      <c r="DR331" s="403">
        <v>3234.8405394048441</v>
      </c>
      <c r="DS331" s="403">
        <v>3397.8232020518344</v>
      </c>
      <c r="DT331" s="403">
        <v>3568.7715745026662</v>
      </c>
      <c r="DU331" s="403">
        <v>3748.2223686565058</v>
      </c>
      <c r="DV331" s="403">
        <v>3937.0766951381047</v>
      </c>
      <c r="DW331" s="403">
        <v>4127.7279444403612</v>
      </c>
      <c r="DX331" s="403">
        <v>4327.7912644429998</v>
      </c>
      <c r="DY331" s="403">
        <v>4537.7555223488107</v>
      </c>
      <c r="DZ331" s="403"/>
      <c r="EA331" s="991"/>
    </row>
    <row r="332" spans="1:131" s="76" customFormat="1">
      <c r="A332" s="976" t="s">
        <v>4218</v>
      </c>
      <c r="B332" s="80" t="s">
        <v>223</v>
      </c>
      <c r="C332" s="51" t="s">
        <v>3796</v>
      </c>
      <c r="D332" s="207"/>
      <c r="E332" s="207"/>
      <c r="F332" s="80">
        <f t="shared" ref="F332:AQ332" si="1155">F244+F245-F231-F232</f>
        <v>-9.3736391604983399E-3</v>
      </c>
      <c r="G332" s="80">
        <f t="shared" si="1155"/>
        <v>-1.0063919095921288E-2</v>
      </c>
      <c r="H332" s="80">
        <f t="shared" si="1155"/>
        <v>-9.840696537134078E-3</v>
      </c>
      <c r="I332" s="80">
        <f t="shared" si="1155"/>
        <v>-1.0010364125080606E-2</v>
      </c>
      <c r="J332" s="80">
        <f t="shared" si="1155"/>
        <v>-1.1876702882056951E-2</v>
      </c>
      <c r="K332" s="80">
        <f t="shared" si="1155"/>
        <v>-1.2894706048724775E-2</v>
      </c>
      <c r="L332" s="80">
        <f t="shared" si="1155"/>
        <v>-1.5779048437618882E-2</v>
      </c>
      <c r="M332" s="80">
        <f t="shared" si="1155"/>
        <v>-1.6966718726983299E-2</v>
      </c>
      <c r="N332" s="80">
        <f t="shared" si="1155"/>
        <v>-1.7306052495539324E-2</v>
      </c>
      <c r="O332" s="80">
        <f t="shared" si="1155"/>
        <v>-1.7475719618235915E-2</v>
      </c>
      <c r="P332" s="80">
        <f t="shared" si="1155"/>
        <v>-1.9681393074268156E-2</v>
      </c>
      <c r="Q332" s="80">
        <f t="shared" si="1155"/>
        <v>-2.0699396717773141E-2</v>
      </c>
      <c r="R332" s="80">
        <f t="shared" si="1155"/>
        <v>-2.2396067875215732E-2</v>
      </c>
      <c r="S332" s="80">
        <f t="shared" si="1155"/>
        <v>-2.3583738641417308E-2</v>
      </c>
      <c r="T332" s="80">
        <f t="shared" si="1155"/>
        <v>-2.2735403051108792E-2</v>
      </c>
      <c r="U332" s="80">
        <f t="shared" si="1155"/>
        <v>-2.1038730939991881E-2</v>
      </c>
      <c r="V332" s="80">
        <f t="shared" si="1155"/>
        <v>-2.2056733652996992E-2</v>
      </c>
      <c r="W332" s="80">
        <f t="shared" si="1155"/>
        <v>-2.1208398062688476E-2</v>
      </c>
      <c r="X332" s="80">
        <f t="shared" si="1155"/>
        <v>-1.6032550249284485E-2</v>
      </c>
      <c r="Y332" s="80">
        <f t="shared" si="1155"/>
        <v>-1.1663918812136437E-2</v>
      </c>
      <c r="Z332" s="80">
        <f t="shared" si="1155"/>
        <v>-1.3234758992922677E-2</v>
      </c>
      <c r="AA332" s="80">
        <f t="shared" si="1155"/>
        <v>-9.7541991267116688E-3</v>
      </c>
      <c r="AB332" s="80">
        <f t="shared" si="1155"/>
        <v>-9.8444789644497425E-3</v>
      </c>
      <c r="AC332" s="80">
        <f t="shared" si="1155"/>
        <v>-1.2486158860772287E-2</v>
      </c>
      <c r="AD332" s="80">
        <f t="shared" si="1155"/>
        <v>-1.8350077493761083E-2</v>
      </c>
      <c r="AE332" s="80">
        <f t="shared" si="1155"/>
        <v>-1.7069518128896503E-2</v>
      </c>
      <c r="AF332" s="80">
        <f t="shared" si="1155"/>
        <v>-2.2997896825215275E-2</v>
      </c>
      <c r="AG332" s="80">
        <f t="shared" si="1155"/>
        <v>-2.162195466502962E-2</v>
      </c>
      <c r="AH332" s="80">
        <f t="shared" si="1155"/>
        <v>-2.0246011097506927E-2</v>
      </c>
      <c r="AI332" s="80">
        <f t="shared" si="1155"/>
        <v>-1.8870068937321273E-2</v>
      </c>
      <c r="AJ332" s="80">
        <f t="shared" si="1155"/>
        <v>-2.9287919335210022E-2</v>
      </c>
      <c r="AK332" s="80">
        <f t="shared" si="1155"/>
        <v>-3.9902333904080323E-2</v>
      </c>
      <c r="AL332" s="80">
        <f t="shared" si="1155"/>
        <v>-3.1646678128292305E-2</v>
      </c>
      <c r="AM332" s="80">
        <f t="shared" si="1155"/>
        <v>-4.0139036734630165E-2</v>
      </c>
      <c r="AN332" s="80">
        <f t="shared" si="1155"/>
        <v>-4.3780715212028462E-2</v>
      </c>
      <c r="AO332" s="80">
        <f t="shared" si="1155"/>
        <v>-4.0829315534913715E-2</v>
      </c>
      <c r="AP332" s="80">
        <f t="shared" si="1155"/>
        <v>-4.6833592250753897E-2</v>
      </c>
      <c r="AQ332" s="80">
        <f t="shared" si="1155"/>
        <v>-5.8541990313442371E-2</v>
      </c>
      <c r="AR332" s="80">
        <f>AR244+AR245-AR231-AR232</f>
        <v>-2.3416796125376949E-2</v>
      </c>
      <c r="AS332" s="80">
        <f>AS244+AS245-AS231-AS232</f>
        <v>-4.2930792896524406E-2</v>
      </c>
      <c r="AT332" s="80">
        <f>AT244+AT245-AT231-AT232</f>
        <v>261.54337247555515</v>
      </c>
      <c r="AU332" s="80">
        <f>AU244+AU245-AU231-AU232</f>
        <v>-4.1330645161290311</v>
      </c>
      <c r="AV332" s="80">
        <f t="shared" ref="AV332:BG332" si="1156">AV244+AV245-AV231-AV232</f>
        <v>23.997870825</v>
      </c>
      <c r="AW332" s="80">
        <f t="shared" si="1156"/>
        <v>33.467337499999999</v>
      </c>
      <c r="AX332" s="80">
        <f t="shared" si="1156"/>
        <v>55.513662000000004</v>
      </c>
      <c r="AY332" s="80">
        <f t="shared" si="1156"/>
        <v>81.681707699999976</v>
      </c>
      <c r="AZ332" s="80">
        <f t="shared" si="1156"/>
        <v>69.785138779999997</v>
      </c>
      <c r="BA332" s="80">
        <f t="shared" si="1156"/>
        <v>94.621684000000016</v>
      </c>
      <c r="BB332" s="80">
        <f t="shared" si="1156"/>
        <v>51.015366000000007</v>
      </c>
      <c r="BC332" s="80">
        <f t="shared" si="1156"/>
        <v>35.335048</v>
      </c>
      <c r="BD332" s="80">
        <f t="shared" si="1156"/>
        <v>138.67114400000003</v>
      </c>
      <c r="BE332" s="80">
        <f t="shared" si="1156"/>
        <v>216.30101382000001</v>
      </c>
      <c r="BF332" s="80">
        <f t="shared" si="1156"/>
        <v>318.46903117583997</v>
      </c>
      <c r="BG332" s="80">
        <f t="shared" si="1156"/>
        <v>376.22197771618909</v>
      </c>
      <c r="BH332" s="80">
        <f t="shared" ref="BH332:BP332" si="1157">BH244+BH245-BH231-BH232</f>
        <v>368.09155666660558</v>
      </c>
      <c r="BI332" s="80">
        <f t="shared" si="1157"/>
        <v>532.56838288966389</v>
      </c>
      <c r="BJ332" s="80">
        <f t="shared" si="1157"/>
        <v>560.60662402435298</v>
      </c>
      <c r="BK332" s="80">
        <f t="shared" si="1157"/>
        <v>583.24656723278838</v>
      </c>
      <c r="BL332" s="80">
        <f t="shared" si="1157"/>
        <v>1088.1932149689335</v>
      </c>
      <c r="BM332" s="80">
        <f t="shared" si="1157"/>
        <v>974.43839114592481</v>
      </c>
      <c r="BN332" s="80">
        <f t="shared" si="1157"/>
        <v>857.60431059938605</v>
      </c>
      <c r="BO332" s="80">
        <f t="shared" si="1157"/>
        <v>951.20230803074378</v>
      </c>
      <c r="BP332" s="80">
        <f t="shared" ca="1" si="1157"/>
        <v>1320.539912846574</v>
      </c>
      <c r="BQ332" s="80">
        <f t="shared" ref="BQ332:BV332" ca="1" si="1158">BQ244+BQ245-BQ231-BQ232</f>
        <v>1498.3728709207771</v>
      </c>
      <c r="BR332" s="80">
        <f t="shared" ca="1" si="1158"/>
        <v>1603.6029137063927</v>
      </c>
      <c r="BS332" s="80">
        <f t="shared" ca="1" si="1158"/>
        <v>1679.3827084445134</v>
      </c>
      <c r="BT332" s="80">
        <f t="shared" ca="1" si="1158"/>
        <v>1765.8898697691495</v>
      </c>
      <c r="BU332" s="80">
        <f t="shared" ca="1" si="1158"/>
        <v>1859.2855374099972</v>
      </c>
      <c r="BV332" s="80">
        <f t="shared" ca="1" si="1158"/>
        <v>1958.4264695119723</v>
      </c>
      <c r="BW332" s="80">
        <f t="shared" ref="BW332:BX332" ca="1" si="1159">BW244+BW245-BW231-BW232</f>
        <v>2057.8077383122495</v>
      </c>
      <c r="BX332" s="80">
        <f t="shared" ca="1" si="1159"/>
        <v>2162.0845221607119</v>
      </c>
      <c r="BY332" s="80">
        <f t="shared" ref="BY332:CD332" ca="1" si="1160">BY244+BY245-BY231-BY232</f>
        <v>2271.3646989708686</v>
      </c>
      <c r="BZ332" s="80">
        <f t="shared" ca="1" si="1160"/>
        <v>2385.9960236113288</v>
      </c>
      <c r="CA332" s="80">
        <f t="shared" ca="1" si="1160"/>
        <v>2506.5717424264599</v>
      </c>
      <c r="CB332" s="80">
        <f t="shared" ca="1" si="1160"/>
        <v>2627.4382426442644</v>
      </c>
      <c r="CC332" s="80">
        <f t="shared" ca="1" si="1160"/>
        <v>2754.1660985789581</v>
      </c>
      <c r="CD332" s="80">
        <f t="shared" ca="1" si="1160"/>
        <v>2887.049520517463</v>
      </c>
      <c r="CE332" s="80"/>
      <c r="CF332" s="435"/>
      <c r="CG332" s="235">
        <f t="shared" si="997"/>
        <v>-9.162671221315577E-2</v>
      </c>
      <c r="CH332" s="235">
        <f t="shared" si="998"/>
        <v>0</v>
      </c>
      <c r="CI332" s="235" t="e">
        <f>BM332-#REF!</f>
        <v>#REF!</v>
      </c>
      <c r="CJ332" s="235">
        <f t="shared" si="935"/>
        <v>0</v>
      </c>
      <c r="CK332" s="235">
        <f t="shared" si="936"/>
        <v>0</v>
      </c>
      <c r="CL332" s="235">
        <f t="shared" ca="1" si="937"/>
        <v>0</v>
      </c>
      <c r="CM332" s="235">
        <f t="shared" ca="1" si="938"/>
        <v>0</v>
      </c>
      <c r="CN332" s="235">
        <f t="shared" ca="1" si="939"/>
        <v>0</v>
      </c>
      <c r="CO332" s="235">
        <f t="shared" ca="1" si="940"/>
        <v>0</v>
      </c>
      <c r="CP332" s="235">
        <f t="shared" ca="1" si="941"/>
        <v>0</v>
      </c>
      <c r="CQ332" s="235">
        <f t="shared" ca="1" si="942"/>
        <v>0</v>
      </c>
      <c r="CR332" s="235">
        <f t="shared" ca="1" si="943"/>
        <v>0</v>
      </c>
      <c r="CS332" s="235">
        <f t="shared" ca="1" si="944"/>
        <v>0</v>
      </c>
      <c r="CT332" s="235">
        <f t="shared" ca="1" si="945"/>
        <v>0</v>
      </c>
      <c r="CU332" s="235">
        <f t="shared" ca="1" si="946"/>
        <v>0</v>
      </c>
      <c r="CV332" s="235">
        <f t="shared" ca="1" si="947"/>
        <v>0</v>
      </c>
      <c r="CW332" s="235">
        <f t="shared" ca="1" si="948"/>
        <v>0</v>
      </c>
      <c r="CX332" s="235">
        <f t="shared" ca="1" si="949"/>
        <v>2.5920599000528455E-11</v>
      </c>
      <c r="CY332" s="235">
        <f t="shared" ca="1" si="950"/>
        <v>2.5511326384730637E-10</v>
      </c>
      <c r="CZ332" s="235">
        <f t="shared" ca="1" si="951"/>
        <v>2.0727384253405035E-9</v>
      </c>
      <c r="DA332" s="38"/>
      <c r="DB332" s="236">
        <v>312.39721272965602</v>
      </c>
      <c r="DC332" s="236">
        <v>313.39721272965596</v>
      </c>
      <c r="DD332" s="236">
        <v>275.85444052835396</v>
      </c>
      <c r="DE332" s="236">
        <v>315.18049262749366</v>
      </c>
      <c r="DF332" s="401">
        <v>531.71932407186625</v>
      </c>
      <c r="DG332" s="236">
        <v>583.33819394500154</v>
      </c>
      <c r="DH332" s="492">
        <v>1088.1932149689335</v>
      </c>
      <c r="DI332" s="236">
        <v>857.60431059938605</v>
      </c>
      <c r="DJ332" s="236">
        <v>951.20230803074378</v>
      </c>
      <c r="DK332" s="236">
        <v>1320.5399128465738</v>
      </c>
      <c r="DL332" s="236">
        <v>1498.3728709207769</v>
      </c>
      <c r="DM332" s="236">
        <v>1603.6029137063927</v>
      </c>
      <c r="DN332" s="236">
        <v>1679.3827084445134</v>
      </c>
      <c r="DO332" s="236">
        <v>1765.8898697691495</v>
      </c>
      <c r="DP332" s="236">
        <v>1859.2855374099968</v>
      </c>
      <c r="DQ332" s="401">
        <v>1958.4264695119718</v>
      </c>
      <c r="DR332" s="401">
        <v>2057.8077383122491</v>
      </c>
      <c r="DS332" s="401">
        <v>2162.0845221607115</v>
      </c>
      <c r="DT332" s="401">
        <v>2271.3646989708682</v>
      </c>
      <c r="DU332" s="401">
        <v>2385.9960236113279</v>
      </c>
      <c r="DV332" s="401">
        <v>2506.5717424264576</v>
      </c>
      <c r="DW332" s="401">
        <v>2627.4382426442385</v>
      </c>
      <c r="DX332" s="401">
        <v>2754.166098578703</v>
      </c>
      <c r="DY332" s="401">
        <v>2887.0495205153902</v>
      </c>
      <c r="DZ332" s="401"/>
      <c r="EA332" s="989"/>
    </row>
    <row r="333" spans="1:131">
      <c r="CF333" s="435"/>
      <c r="DF333" s="258"/>
    </row>
    <row r="334" spans="1:131">
      <c r="CF334" s="435"/>
      <c r="DF334" s="258"/>
    </row>
    <row r="335" spans="1:131" s="28" customFormat="1">
      <c r="A335" s="28" t="s">
        <v>4212</v>
      </c>
      <c r="B335" s="30" t="s">
        <v>3844</v>
      </c>
      <c r="C335" s="13" t="s">
        <v>3703</v>
      </c>
      <c r="D335" s="220"/>
      <c r="E335" s="220"/>
      <c r="F335" s="80">
        <f t="shared" ref="F335:AS335" si="1161">F294+F242+F186-F187+F193-F194-(F234-F195)+(F249-F196)</f>
        <v>5.4314773573974469E-2</v>
      </c>
      <c r="G335" s="80">
        <f t="shared" si="1161"/>
        <v>5.8174799220637022E-2</v>
      </c>
      <c r="H335" s="80">
        <f t="shared" si="1161"/>
        <v>6.2268993103265502E-2</v>
      </c>
      <c r="I335" s="80">
        <f t="shared" si="1161"/>
        <v>7.2963068123516606E-2</v>
      </c>
      <c r="J335" s="80">
        <f t="shared" si="1161"/>
        <v>7.7846199868841073E-2</v>
      </c>
      <c r="K335" s="80">
        <f t="shared" si="1161"/>
        <v>8.517944660239346E-2</v>
      </c>
      <c r="L335" s="80">
        <f t="shared" si="1161"/>
        <v>9.2272908648962135E-2</v>
      </c>
      <c r="M335" s="80">
        <f t="shared" si="1161"/>
        <v>0.10075412781124199</v>
      </c>
      <c r="N335" s="80">
        <f t="shared" si="1161"/>
        <v>0.10425235525716588</v>
      </c>
      <c r="O335" s="80">
        <f t="shared" si="1161"/>
        <v>0.10923300781105978</v>
      </c>
      <c r="P335" s="80">
        <f t="shared" si="1161"/>
        <v>0.12108452686381241</v>
      </c>
      <c r="Q335" s="80">
        <f t="shared" si="1161"/>
        <v>0.12737404618455533</v>
      </c>
      <c r="R335" s="80">
        <f t="shared" si="1161"/>
        <v>0.14902651454259261</v>
      </c>
      <c r="S335" s="80">
        <f t="shared" si="1161"/>
        <v>0.1648583901995227</v>
      </c>
      <c r="T335" s="80">
        <f t="shared" si="1161"/>
        <v>0.17915827224611086</v>
      </c>
      <c r="U335" s="80">
        <f t="shared" si="1161"/>
        <v>0.19993440773236767</v>
      </c>
      <c r="V335" s="80">
        <f t="shared" si="1161"/>
        <v>0.22725184519407735</v>
      </c>
      <c r="W335" s="80">
        <f t="shared" si="1161"/>
        <v>0.23760732289386655</v>
      </c>
      <c r="X335" s="80">
        <f t="shared" si="1161"/>
        <v>0.26426696917218573</v>
      </c>
      <c r="Y335" s="80">
        <f t="shared" si="1161"/>
        <v>0.28647042054700689</v>
      </c>
      <c r="Z335" s="80">
        <f t="shared" si="1161"/>
        <v>0.32186306449611585</v>
      </c>
      <c r="AA335" s="80">
        <f t="shared" si="1161"/>
        <v>0.40192340776076069</v>
      </c>
      <c r="AB335" s="80">
        <f t="shared" si="1161"/>
        <v>0.48038514299443397</v>
      </c>
      <c r="AC335" s="80">
        <f t="shared" si="1161"/>
        <v>0.61479101132562075</v>
      </c>
      <c r="AD335" s="80">
        <f t="shared" si="1161"/>
        <v>0.72154340212838497</v>
      </c>
      <c r="AE335" s="80">
        <f t="shared" si="1161"/>
        <v>0.7516280516010686</v>
      </c>
      <c r="AF335" s="80">
        <f t="shared" si="1161"/>
        <v>0.85076551194620398</v>
      </c>
      <c r="AG335" s="80">
        <f t="shared" si="1161"/>
        <v>1.0056616719142402</v>
      </c>
      <c r="AH335" s="80">
        <f t="shared" si="1161"/>
        <v>1.1624251694660157</v>
      </c>
      <c r="AI335" s="80">
        <f t="shared" si="1161"/>
        <v>1.2437160051375442</v>
      </c>
      <c r="AJ335" s="80">
        <f t="shared" si="1161"/>
        <v>1.2743413482164176</v>
      </c>
      <c r="AK335" s="80">
        <f t="shared" si="1161"/>
        <v>1.3176951964408874</v>
      </c>
      <c r="AL335" s="80">
        <f t="shared" si="1161"/>
        <v>1.2867286352058123</v>
      </c>
      <c r="AM335" s="80">
        <f t="shared" si="1161"/>
        <v>1.271085585567524</v>
      </c>
      <c r="AN335" s="80">
        <f t="shared" si="1161"/>
        <v>1.3760940001321813</v>
      </c>
      <c r="AO335" s="80">
        <f t="shared" si="1161"/>
        <v>1.4921173592459203</v>
      </c>
      <c r="AP335" s="80">
        <f t="shared" si="1161"/>
        <v>1.5716249998575433</v>
      </c>
      <c r="AQ335" s="80">
        <f t="shared" si="1161"/>
        <v>1.9379557111836445</v>
      </c>
      <c r="AR335" s="80">
        <f t="shared" si="1161"/>
        <v>2.4970266450499774</v>
      </c>
      <c r="AS335" s="80">
        <f t="shared" si="1161"/>
        <v>3.7159520737814118</v>
      </c>
      <c r="AT335" s="80">
        <f>AT294+AT242+AT186-AT187+AT193-AT194-(AT234-AT195)+(AT249-AT196)</f>
        <v>52.664929279658367</v>
      </c>
      <c r="AU335" s="80">
        <f>AU294+AU242+AU186-AU187+AU193-AU194-(AU234-AU195)+(AU249-AU196)</f>
        <v>81.799262226939021</v>
      </c>
      <c r="AV335" s="80">
        <f t="shared" ref="AV335:BB335" si="1162">AV294+AV242+AV186-AV187+AV193-AV194-(AV234-AV195)+(AV249-AV196)</f>
        <v>161.79871647500005</v>
      </c>
      <c r="AW335" s="80">
        <f t="shared" si="1162"/>
        <v>182.51527249999998</v>
      </c>
      <c r="AX335" s="80">
        <f t="shared" si="1162"/>
        <v>253.19741600000003</v>
      </c>
      <c r="AY335" s="80">
        <f t="shared" si="1162"/>
        <v>402.93549911999997</v>
      </c>
      <c r="AZ335" s="80">
        <f t="shared" si="1162"/>
        <v>597.24512422000009</v>
      </c>
      <c r="BA335" s="80">
        <f t="shared" si="1162"/>
        <v>904.02088767999999</v>
      </c>
      <c r="BB335" s="80">
        <f t="shared" si="1162"/>
        <v>1186.7854611599998</v>
      </c>
      <c r="BC335" s="80">
        <f t="shared" ref="BC335:BQ335" ca="1" si="1163">BC294+BC242+BC186-BC187+BC193-BC194-(BC234-BC195)+(BC249-BC196)</f>
        <v>1441.036004906008</v>
      </c>
      <c r="BD335" s="80">
        <f t="shared" ca="1" si="1163"/>
        <v>1741.9985072665925</v>
      </c>
      <c r="BE335" s="80">
        <f t="shared" ca="1" si="1163"/>
        <v>2361.8303815076792</v>
      </c>
      <c r="BF335" s="80">
        <f t="shared" ca="1" si="1163"/>
        <v>2626.7314575903169</v>
      </c>
      <c r="BG335" s="80">
        <f t="shared" ca="1" si="1163"/>
        <v>3065.8709509372352</v>
      </c>
      <c r="BH335" s="80">
        <f t="shared" ca="1" si="1163"/>
        <v>3349.7865046883126</v>
      </c>
      <c r="BI335" s="80">
        <f t="shared" ca="1" si="1163"/>
        <v>3677.5344190077776</v>
      </c>
      <c r="BJ335" s="80">
        <f t="shared" ca="1" si="1163"/>
        <v>4007.373174268263</v>
      </c>
      <c r="BK335" s="80">
        <f t="shared" ref="BK335:BP335" ca="1" si="1164">BK294+BK242+BK186-BK187+BK193-BK194-(BK234-BK195)+(BK249-BK196)</f>
        <v>4640.9396684117646</v>
      </c>
      <c r="BL335" s="80">
        <f t="shared" ca="1" si="1164"/>
        <v>5221.0979886286677</v>
      </c>
      <c r="BM335" s="80">
        <f t="shared" ca="1" si="1164"/>
        <v>5707.2182359944791</v>
      </c>
      <c r="BN335" s="80">
        <f t="shared" ca="1" si="1164"/>
        <v>5602.9962080820387</v>
      </c>
      <c r="BO335" s="80">
        <f t="shared" ca="1" si="1164"/>
        <v>5842.0535387960572</v>
      </c>
      <c r="BP335" s="80">
        <f t="shared" ca="1" si="1164"/>
        <v>6872.5119080925515</v>
      </c>
      <c r="BQ335" s="80">
        <f t="shared" ca="1" si="1163"/>
        <v>8483.7908346757195</v>
      </c>
      <c r="BR335" s="80">
        <f ca="1">BR294+BR242+BR186-BR187+BR193-BR194-(BR234-BR195)+(BR249-BR196)</f>
        <v>9600.5058531194336</v>
      </c>
      <c r="BS335" s="80">
        <f ca="1">BS294+BS242+BS186-BS187+BS193-BS194-(BS234-BS195)+(BS249-BS196)</f>
        <v>10097.955346918654</v>
      </c>
      <c r="BT335" s="80">
        <f ca="1">BT294+BT242+BT186-BT187+BT193-BT194-(BT234-BT195)+(BT249-BT196)</f>
        <v>10426.614591111816</v>
      </c>
      <c r="BU335" s="80">
        <f ca="1">BU294+BU242+BU186-BU187+BU193-BU194-(BU234-BU195)+(BU249-BU196)</f>
        <v>10820.713400111335</v>
      </c>
      <c r="BV335" s="80">
        <f ca="1">BV294+BV242+BV186-BV187+BV193-BV194-(BV234-BV195)+(BV249-BV196)</f>
        <v>11277.755603298892</v>
      </c>
      <c r="BW335" s="80">
        <f t="shared" ref="BW335:BX335" ca="1" si="1165">BW294+BW242+BW186-BW187+BW193-BW194-(BW234-BW195)+(BW249-BW196)</f>
        <v>11749.76725910729</v>
      </c>
      <c r="BX335" s="80">
        <f t="shared" ca="1" si="1165"/>
        <v>12236.970318168813</v>
      </c>
      <c r="BY335" s="80">
        <f t="shared" ref="BY335:CD335" ca="1" si="1166">BY294+BY242+BY186-BY187+BY193-BY194-(BY234-BY195)+(BY249-BY196)</f>
        <v>12739.537063530286</v>
      </c>
      <c r="BZ335" s="80">
        <f t="shared" ca="1" si="1166"/>
        <v>13267.143803030003</v>
      </c>
      <c r="CA335" s="80">
        <f t="shared" ca="1" si="1166"/>
        <v>13828.62332269109</v>
      </c>
      <c r="CB335" s="80">
        <f t="shared" ca="1" si="1166"/>
        <v>14408.114636591004</v>
      </c>
      <c r="CC335" s="80">
        <f t="shared" ca="1" si="1166"/>
        <v>15012.744916325331</v>
      </c>
      <c r="CD335" s="80">
        <f t="shared" ca="1" si="1166"/>
        <v>15644.939164339197</v>
      </c>
      <c r="CE335" s="80"/>
      <c r="CF335" s="435"/>
      <c r="CG335" s="235">
        <f t="shared" ref="CG335:CG355" ca="1" si="1167">BK335-DG335</f>
        <v>918.29562730340331</v>
      </c>
      <c r="CH335" s="235">
        <f t="shared" ref="CH335:CH355" ca="1" si="1168">BL335-DH335</f>
        <v>3.0454224530212741</v>
      </c>
      <c r="CI335" s="235" t="e">
        <f ca="1">BM335-#REF!</f>
        <v>#REF!</v>
      </c>
      <c r="CJ335" s="235">
        <f t="shared" ref="CJ335:CJ361" ca="1" si="1169">BN335-DI335</f>
        <v>0</v>
      </c>
      <c r="CK335" s="235">
        <f t="shared" ref="CK335:CK361" ca="1" si="1170">BO335-DJ335</f>
        <v>0</v>
      </c>
      <c r="CL335" s="235">
        <f t="shared" ref="CL335:CL361" ca="1" si="1171">BP335-DK335</f>
        <v>0</v>
      </c>
      <c r="CM335" s="235">
        <f t="shared" ref="CM335:CM361" ca="1" si="1172">BQ335-DL335</f>
        <v>0</v>
      </c>
      <c r="CN335" s="235">
        <f t="shared" ref="CN335:CN361" ca="1" si="1173">BR335-DM335</f>
        <v>0</v>
      </c>
      <c r="CO335" s="235">
        <f t="shared" ref="CO335:CO361" ca="1" si="1174">BS335-DN335</f>
        <v>0</v>
      </c>
      <c r="CP335" s="235">
        <f t="shared" ref="CP335:CP361" ca="1" si="1175">BT335-DO335</f>
        <v>0</v>
      </c>
      <c r="CQ335" s="235">
        <f t="shared" ref="CQ335:CQ361" ca="1" si="1176">BU335-DP335</f>
        <v>0</v>
      </c>
      <c r="CR335" s="235">
        <f t="shared" ref="CR335:CR361" ca="1" si="1177">BV335-DQ335</f>
        <v>0</v>
      </c>
      <c r="CS335" s="235">
        <f t="shared" ref="CS335:CS361" ca="1" si="1178">BW335-DR335</f>
        <v>-2.0008883439004421E-11</v>
      </c>
      <c r="CT335" s="235">
        <f t="shared" ref="CT335:CT361" ca="1" si="1179">BX335-DS335</f>
        <v>-3.637978807091713E-11</v>
      </c>
      <c r="CU335" s="235">
        <f t="shared" ref="CU335:CU361" ca="1" si="1180">BY335-DT335</f>
        <v>-5.2750692702829838E-11</v>
      </c>
      <c r="CV335" s="235">
        <f t="shared" ref="CV335:CV361" ca="1" si="1181">BZ335-DU335</f>
        <v>-7.4578565545380116E-11</v>
      </c>
      <c r="CW335" s="235">
        <f t="shared" ref="CW335:CW361" ca="1" si="1182">CA335-DV335</f>
        <v>-8.5492501966655254E-11</v>
      </c>
      <c r="CX335" s="235">
        <f t="shared" ref="CX335:CX361" ca="1" si="1183">CB335-DW335</f>
        <v>1.255102688446641E-10</v>
      </c>
      <c r="CY335" s="235">
        <f t="shared" ref="CY335:CY361" ca="1" si="1184">CC335-DX335</f>
        <v>2.5138433557003736E-9</v>
      </c>
      <c r="CZ335" s="235">
        <f t="shared" ref="CZ335:CZ361" ca="1" si="1185">CD335-DY335</f>
        <v>2.1327650756575167E-8</v>
      </c>
      <c r="DA335" s="38"/>
      <c r="DB335" s="236">
        <v>2296.26828052364</v>
      </c>
      <c r="DC335" s="236">
        <v>2297.2682805236386</v>
      </c>
      <c r="DD335" s="236">
        <v>2677.194597217846</v>
      </c>
      <c r="DE335" s="236">
        <v>2869.2422795266057</v>
      </c>
      <c r="DF335" s="401">
        <v>3267.8392779913192</v>
      </c>
      <c r="DG335" s="236">
        <v>3722.6440411083613</v>
      </c>
      <c r="DH335" s="492">
        <v>5218.0525661756465</v>
      </c>
      <c r="DI335" s="236">
        <v>5602.9962080820387</v>
      </c>
      <c r="DJ335" s="236">
        <v>5842.0535387960572</v>
      </c>
      <c r="DK335" s="236">
        <v>6872.5119080925515</v>
      </c>
      <c r="DL335" s="236">
        <v>8483.7908346757213</v>
      </c>
      <c r="DM335" s="236">
        <v>9600.5058531194372</v>
      </c>
      <c r="DN335" s="236">
        <v>10097.955346918658</v>
      </c>
      <c r="DO335" s="236">
        <v>10426.614591111822</v>
      </c>
      <c r="DP335" s="236">
        <v>10820.713400111345</v>
      </c>
      <c r="DQ335" s="403">
        <v>11277.755603298903</v>
      </c>
      <c r="DR335" s="403">
        <v>11749.76725910731</v>
      </c>
      <c r="DS335" s="403">
        <v>12236.970318168849</v>
      </c>
      <c r="DT335" s="403">
        <v>12739.537063530339</v>
      </c>
      <c r="DU335" s="403">
        <v>13267.143803030078</v>
      </c>
      <c r="DV335" s="403">
        <v>13828.623322691175</v>
      </c>
      <c r="DW335" s="403">
        <v>14408.114636590879</v>
      </c>
      <c r="DX335" s="403">
        <v>15012.744916322818</v>
      </c>
      <c r="DY335" s="403">
        <v>15644.93916431787</v>
      </c>
      <c r="DZ335" s="403"/>
      <c r="EA335" s="991"/>
    </row>
    <row r="336" spans="1:131" s="28" customFormat="1">
      <c r="A336" s="28" t="s">
        <v>4213</v>
      </c>
      <c r="B336" s="30" t="s">
        <v>1596</v>
      </c>
      <c r="C336" s="13" t="s">
        <v>2788</v>
      </c>
      <c r="D336" s="220"/>
      <c r="E336" s="220"/>
      <c r="F336" s="76">
        <f t="shared" ref="F336:AS336" si="1186">F292-F223+F247+F188-F190-F233+(F252-F189)-F294</f>
        <v>7.0414837796357876E-2</v>
      </c>
      <c r="G336" s="76">
        <f t="shared" si="1186"/>
        <v>7.7469006013006048E-2</v>
      </c>
      <c r="H336" s="76">
        <f t="shared" si="1186"/>
        <v>7.6737171019427369E-2</v>
      </c>
      <c r="I336" s="76">
        <f t="shared" si="1186"/>
        <v>8.7369830318747496E-2</v>
      </c>
      <c r="J336" s="76">
        <f t="shared" si="1186"/>
        <v>9.7497567414418257E-2</v>
      </c>
      <c r="K336" s="76">
        <f t="shared" si="1186"/>
        <v>9.4765215630540078E-2</v>
      </c>
      <c r="L336" s="76">
        <f t="shared" si="1186"/>
        <v>0.10006772933090924</v>
      </c>
      <c r="M336" s="76">
        <f t="shared" si="1186"/>
        <v>0.1019599131014831</v>
      </c>
      <c r="N336" s="76">
        <f t="shared" si="1186"/>
        <v>0.10970921495144921</v>
      </c>
      <c r="O336" s="76">
        <f t="shared" si="1186"/>
        <v>0.11592508727615841</v>
      </c>
      <c r="P336" s="76">
        <f t="shared" si="1186"/>
        <v>0.12715401280802949</v>
      </c>
      <c r="Q336" s="76">
        <f t="shared" si="1186"/>
        <v>0.16131622056862027</v>
      </c>
      <c r="R336" s="76">
        <f t="shared" si="1186"/>
        <v>0.22264474743774129</v>
      </c>
      <c r="S336" s="76">
        <f t="shared" si="1186"/>
        <v>0.26416750044534698</v>
      </c>
      <c r="T336" s="76">
        <f t="shared" si="1186"/>
        <v>0.26356726284576071</v>
      </c>
      <c r="U336" s="76">
        <f t="shared" si="1186"/>
        <v>0.25730965793538851</v>
      </c>
      <c r="V336" s="76">
        <f t="shared" si="1186"/>
        <v>0.26396791689334254</v>
      </c>
      <c r="W336" s="76">
        <f t="shared" si="1186"/>
        <v>0.28898616992913018</v>
      </c>
      <c r="X336" s="76">
        <f t="shared" si="1186"/>
        <v>0.30763890756573409</v>
      </c>
      <c r="Y336" s="76">
        <f t="shared" si="1186"/>
        <v>0.3538782324572422</v>
      </c>
      <c r="Z336" s="76">
        <f t="shared" si="1186"/>
        <v>0.48291433327608657</v>
      </c>
      <c r="AA336" s="76">
        <f t="shared" si="1186"/>
        <v>0.59957234603227927</v>
      </c>
      <c r="AB336" s="76">
        <f t="shared" si="1186"/>
        <v>0.58713441630848107</v>
      </c>
      <c r="AC336" s="76">
        <f t="shared" si="1186"/>
        <v>0.74241749999463713</v>
      </c>
      <c r="AD336" s="76">
        <f t="shared" si="1186"/>
        <v>0.83255553264817439</v>
      </c>
      <c r="AE336" s="76">
        <f t="shared" si="1186"/>
        <v>0.88799407154314969</v>
      </c>
      <c r="AF336" s="76">
        <f t="shared" si="1186"/>
        <v>0.86063741271124061</v>
      </c>
      <c r="AG336" s="76">
        <f t="shared" si="1186"/>
        <v>0.97115961893065561</v>
      </c>
      <c r="AH336" s="76">
        <f t="shared" si="1186"/>
        <v>0.86566171914608525</v>
      </c>
      <c r="AI336" s="76">
        <f t="shared" si="1186"/>
        <v>0.70070748865880916</v>
      </c>
      <c r="AJ336" s="76">
        <f t="shared" si="1186"/>
        <v>0.6414478632018511</v>
      </c>
      <c r="AK336" s="76">
        <f t="shared" si="1186"/>
        <v>0.59629032216468769</v>
      </c>
      <c r="AL336" s="76">
        <f t="shared" si="1186"/>
        <v>0.70887415272166721</v>
      </c>
      <c r="AM336" s="76">
        <f t="shared" si="1186"/>
        <v>0.94267369358179542</v>
      </c>
      <c r="AN336" s="76">
        <f t="shared" si="1186"/>
        <v>1.2224724916774843</v>
      </c>
      <c r="AO336" s="76">
        <f t="shared" si="1186"/>
        <v>1.5925899966209047</v>
      </c>
      <c r="AP336" s="76">
        <f t="shared" si="1186"/>
        <v>2.4520347700633662</v>
      </c>
      <c r="AQ336" s="76">
        <f t="shared" si="1186"/>
        <v>2.847054270185307</v>
      </c>
      <c r="AR336" s="76">
        <f t="shared" si="1186"/>
        <v>3.7466816598984396</v>
      </c>
      <c r="AS336" s="76">
        <f t="shared" si="1186"/>
        <v>10.429457625444908</v>
      </c>
      <c r="AT336" s="76">
        <f>AT292-AT223+AT247+AT188-AT190-AT233+(AT252-AT189)-AT294</f>
        <v>33.765427886242158</v>
      </c>
      <c r="AU336" s="76">
        <f>AU292-AU223+AU247+AU188-AU190-AU233+(AU252-AU189)-AU294</f>
        <v>172.4267745102847</v>
      </c>
      <c r="AV336" s="76">
        <f t="shared" ref="AV336:BB336" si="1187">AV292-AV223+AV247+AV188-AV190-AV233+(AV252-AV189)-AV294</f>
        <v>196.04667385078625</v>
      </c>
      <c r="AW336" s="76">
        <f t="shared" si="1187"/>
        <v>203.6063305707917</v>
      </c>
      <c r="AX336" s="76">
        <f t="shared" si="1187"/>
        <v>189.15673336586963</v>
      </c>
      <c r="AY336" s="76">
        <f t="shared" si="1187"/>
        <v>357.80151735645825</v>
      </c>
      <c r="AZ336" s="76">
        <f t="shared" si="1187"/>
        <v>760.48900448364998</v>
      </c>
      <c r="BA336" s="76">
        <f t="shared" si="1187"/>
        <v>858.44228895733625</v>
      </c>
      <c r="BB336" s="76">
        <f t="shared" si="1187"/>
        <v>1089.4725748400001</v>
      </c>
      <c r="BC336" s="76">
        <f t="shared" ref="BC336:BQ336" ca="1" si="1188">BC292-BC223+BC247+BC188-BC190-BC233+(BC252-BC189)-BC294</f>
        <v>1741.722843093992</v>
      </c>
      <c r="BD336" s="76">
        <f t="shared" ca="1" si="1188"/>
        <v>2266.3438837334079</v>
      </c>
      <c r="BE336" s="76">
        <f t="shared" ca="1" si="1188"/>
        <v>3340.5539409429575</v>
      </c>
      <c r="BF336" s="76">
        <f t="shared" ca="1" si="1188"/>
        <v>4309.523676017915</v>
      </c>
      <c r="BG336" s="76">
        <f t="shared" ca="1" si="1188"/>
        <v>4981.4235657760073</v>
      </c>
      <c r="BH336" s="76">
        <f t="shared" ca="1" si="1188"/>
        <v>6154.1398561423612</v>
      </c>
      <c r="BI336" s="76">
        <f t="shared" ca="1" si="1188"/>
        <v>5541.2281349958866</v>
      </c>
      <c r="BJ336" s="76">
        <f t="shared" ca="1" si="1188"/>
        <v>7444.1515940424433</v>
      </c>
      <c r="BK336" s="76">
        <f t="shared" ref="BK336:BP336" ca="1" si="1189">BK292-BK223+BK247+BK188-BK190-BK233+(BK252-BK189)-BK294</f>
        <v>9905.3486143110404</v>
      </c>
      <c r="BL336" s="76">
        <f t="shared" ca="1" si="1189"/>
        <v>10641.52740016628</v>
      </c>
      <c r="BM336" s="76">
        <f t="shared" ca="1" si="1189"/>
        <v>10468.876863076106</v>
      </c>
      <c r="BN336" s="76">
        <f t="shared" ca="1" si="1189"/>
        <v>10627.841492318574</v>
      </c>
      <c r="BO336" s="76">
        <f t="shared" ca="1" si="1189"/>
        <v>11428.625649344493</v>
      </c>
      <c r="BP336" s="76">
        <f t="shared" ca="1" si="1189"/>
        <v>15110.302900834318</v>
      </c>
      <c r="BQ336" s="76">
        <f t="shared" ca="1" si="1188"/>
        <v>18810.265772826046</v>
      </c>
      <c r="BR336" s="76">
        <f ca="1">BR292-BR223+BR247+BR188-BR190-BR233+(BR252-BR189)-BR294</f>
        <v>20510.893516692671</v>
      </c>
      <c r="BS336" s="76">
        <f ca="1">BS292-BS223+BS247+BS188-BS190-BS233+(BS252-BS189)-BS294</f>
        <v>21335.709116190406</v>
      </c>
      <c r="BT336" s="76">
        <f ca="1">BT292-BT223+BT247+BT188-BT190-BT233+(BT252-BT189)-BT294</f>
        <v>22291.468222709631</v>
      </c>
      <c r="BU336" s="76">
        <f ca="1">BU292-BU223+BU247+BU188-BU190-BU233+(BU252-BU189)-BU294</f>
        <v>23523.933693322058</v>
      </c>
      <c r="BV336" s="76">
        <f ca="1">BV292-BV223+BV247+BV188-BV190-BV233+(BV252-BV189)-BV294</f>
        <v>24835.11886156024</v>
      </c>
      <c r="BW336" s="76">
        <f t="shared" ref="BW336:BX336" ca="1" si="1190">BW292-BW223+BW247+BW188-BW190-BW233+(BW252-BW189)-BW294</f>
        <v>26235.434719451539</v>
      </c>
      <c r="BX336" s="76">
        <f t="shared" ca="1" si="1190"/>
        <v>27742.290378510021</v>
      </c>
      <c r="BY336" s="76">
        <f t="shared" ref="BY336:CD336" ca="1" si="1191">BY292-BY223+BY247+BY188-BY190-BY233+(BY252-BY189)-BY294</f>
        <v>29365.470795405778</v>
      </c>
      <c r="BZ336" s="76">
        <f t="shared" ca="1" si="1191"/>
        <v>31237.047949577114</v>
      </c>
      <c r="CA336" s="76">
        <f t="shared" ca="1" si="1191"/>
        <v>33287.12826105384</v>
      </c>
      <c r="CB336" s="76">
        <f t="shared" ca="1" si="1191"/>
        <v>35501.083065983832</v>
      </c>
      <c r="CC336" s="76">
        <f t="shared" ca="1" si="1191"/>
        <v>37904.452166131319</v>
      </c>
      <c r="CD336" s="76">
        <f t="shared" ca="1" si="1191"/>
        <v>40517.66653253205</v>
      </c>
      <c r="CE336" s="76"/>
      <c r="CF336" s="435"/>
      <c r="CG336" s="235">
        <f t="shared" ca="1" si="1167"/>
        <v>2514.7101952056009</v>
      </c>
      <c r="CH336" s="235">
        <f t="shared" ca="1" si="1168"/>
        <v>-251.55762106736438</v>
      </c>
      <c r="CI336" s="235" t="e">
        <f ca="1">BM336-#REF!</f>
        <v>#REF!</v>
      </c>
      <c r="CJ336" s="235">
        <f t="shared" ca="1" si="1169"/>
        <v>0</v>
      </c>
      <c r="CK336" s="235">
        <f t="shared" ca="1" si="1170"/>
        <v>0</v>
      </c>
      <c r="CL336" s="235">
        <f t="shared" ca="1" si="1171"/>
        <v>0</v>
      </c>
      <c r="CM336" s="235">
        <f t="shared" ca="1" si="1172"/>
        <v>0</v>
      </c>
      <c r="CN336" s="235">
        <f t="shared" ca="1" si="1173"/>
        <v>0</v>
      </c>
      <c r="CO336" s="235">
        <f t="shared" ca="1" si="1174"/>
        <v>0</v>
      </c>
      <c r="CP336" s="235">
        <f t="shared" ca="1" si="1175"/>
        <v>0</v>
      </c>
      <c r="CQ336" s="235">
        <f t="shared" ca="1" si="1176"/>
        <v>0</v>
      </c>
      <c r="CR336" s="235">
        <f t="shared" ca="1" si="1177"/>
        <v>-4.7293724492192268E-11</v>
      </c>
      <c r="CS336" s="235">
        <f t="shared" ca="1" si="1178"/>
        <v>-3.2741809263825417E-11</v>
      </c>
      <c r="CT336" s="235">
        <f t="shared" ca="1" si="1179"/>
        <v>-4.0017766878008842E-11</v>
      </c>
      <c r="CU336" s="235">
        <f t="shared" ca="1" si="1180"/>
        <v>0</v>
      </c>
      <c r="CV336" s="235">
        <f t="shared" ca="1" si="1181"/>
        <v>0</v>
      </c>
      <c r="CW336" s="235">
        <f t="shared" ca="1" si="1182"/>
        <v>1.6007106751203537E-10</v>
      </c>
      <c r="CX336" s="235">
        <f t="shared" ca="1" si="1183"/>
        <v>2.2700987756252289E-9</v>
      </c>
      <c r="CY336" s="235">
        <f t="shared" ca="1" si="1184"/>
        <v>2.2249878384172916E-8</v>
      </c>
      <c r="CZ336" s="235">
        <f t="shared" ca="1" si="1185"/>
        <v>1.700682332739234E-7</v>
      </c>
      <c r="DA336" s="38"/>
      <c r="DB336" s="236">
        <v>3064.6895307467098</v>
      </c>
      <c r="DC336" s="236">
        <v>3065.6895307467057</v>
      </c>
      <c r="DD336" s="236">
        <v>3700.2135612537995</v>
      </c>
      <c r="DE336" s="236">
        <v>4562.1499013388984</v>
      </c>
      <c r="DF336" s="401">
        <v>4053.8197742792431</v>
      </c>
      <c r="DG336" s="236">
        <v>7390.6384191054394</v>
      </c>
      <c r="DH336" s="492">
        <v>10893.085021233645</v>
      </c>
      <c r="DI336" s="236">
        <v>10627.841492318574</v>
      </c>
      <c r="DJ336" s="236">
        <v>11428.625649344496</v>
      </c>
      <c r="DK336" s="236">
        <v>15110.302900834322</v>
      </c>
      <c r="DL336" s="236">
        <v>18810.265772826049</v>
      </c>
      <c r="DM336" s="236">
        <v>20510.893516692675</v>
      </c>
      <c r="DN336" s="236">
        <v>21335.70911619041</v>
      </c>
      <c r="DO336" s="236">
        <v>22291.468222709656</v>
      </c>
      <c r="DP336" s="236">
        <v>23523.93369332208</v>
      </c>
      <c r="DQ336" s="403">
        <v>24835.118861560288</v>
      </c>
      <c r="DR336" s="403">
        <v>26235.434719451572</v>
      </c>
      <c r="DS336" s="403">
        <v>27742.290378510061</v>
      </c>
      <c r="DT336" s="403">
        <v>29365.470795405799</v>
      </c>
      <c r="DU336" s="403">
        <v>31237.047949577121</v>
      </c>
      <c r="DV336" s="403">
        <v>33287.12826105368</v>
      </c>
      <c r="DW336" s="403">
        <v>35501.083065981562</v>
      </c>
      <c r="DX336" s="403">
        <v>37904.452166109069</v>
      </c>
      <c r="DY336" s="403">
        <v>40517.666532361982</v>
      </c>
      <c r="DZ336" s="403"/>
      <c r="EA336" s="991"/>
    </row>
    <row r="337" spans="1:131" s="28" customFormat="1">
      <c r="A337" s="28" t="s">
        <v>4214</v>
      </c>
      <c r="B337" s="30" t="s">
        <v>1927</v>
      </c>
      <c r="C337" s="13"/>
      <c r="D337" s="220"/>
      <c r="E337" s="220"/>
      <c r="F337" s="76">
        <f t="shared" ref="F337:AS337" si="1192">F292-F223+F247-F294-F295-(F218-F219)-F220</f>
        <v>6.5523952885238476E-2</v>
      </c>
      <c r="G337" s="76">
        <f t="shared" si="1192"/>
        <v>6.7347210311261257E-2</v>
      </c>
      <c r="H337" s="76">
        <f t="shared" si="1192"/>
        <v>7.115494904092802E-2</v>
      </c>
      <c r="I337" s="76">
        <f t="shared" si="1192"/>
        <v>7.9166829791747148E-2</v>
      </c>
      <c r="J337" s="76">
        <f t="shared" si="1192"/>
        <v>8.6956078952996271E-2</v>
      </c>
      <c r="K337" s="76">
        <f t="shared" si="1192"/>
        <v>9.5629026149102944E-2</v>
      </c>
      <c r="L337" s="76">
        <f t="shared" si="1192"/>
        <v>0.1048939309765007</v>
      </c>
      <c r="M337" s="76">
        <f t="shared" si="1192"/>
        <v>0.10060828559763484</v>
      </c>
      <c r="N337" s="76">
        <f t="shared" si="1192"/>
        <v>0.10720680051345471</v>
      </c>
      <c r="O337" s="76">
        <f t="shared" si="1192"/>
        <v>0.11434836591782123</v>
      </c>
      <c r="P337" s="76">
        <f t="shared" si="1192"/>
        <v>0.12287065718276632</v>
      </c>
      <c r="Q337" s="76">
        <f t="shared" si="1192"/>
        <v>0.1519379318941578</v>
      </c>
      <c r="R337" s="76">
        <f t="shared" si="1192"/>
        <v>0.20394611614823502</v>
      </c>
      <c r="S337" s="76">
        <f t="shared" si="1192"/>
        <v>0.24628041050501395</v>
      </c>
      <c r="T337" s="76">
        <f t="shared" si="1192"/>
        <v>0.27474383845323508</v>
      </c>
      <c r="U337" s="76">
        <f t="shared" si="1192"/>
        <v>0.27059024113574659</v>
      </c>
      <c r="V337" s="76">
        <f t="shared" si="1192"/>
        <v>0.26576488959750322</v>
      </c>
      <c r="W337" s="76">
        <f t="shared" si="1192"/>
        <v>0.29323095228413498</v>
      </c>
      <c r="X337" s="76">
        <f t="shared" si="1192"/>
        <v>0.29385343923696405</v>
      </c>
      <c r="Y337" s="76">
        <f t="shared" si="1192"/>
        <v>0.32419869696360099</v>
      </c>
      <c r="Z337" s="76">
        <f t="shared" si="1192"/>
        <v>0.42545791664011157</v>
      </c>
      <c r="AA337" s="76">
        <f t="shared" si="1192"/>
        <v>0.53215727980068506</v>
      </c>
      <c r="AB337" s="76">
        <f t="shared" si="1192"/>
        <v>0.51096948004083909</v>
      </c>
      <c r="AC337" s="76">
        <f t="shared" si="1192"/>
        <v>0.63033481066970043</v>
      </c>
      <c r="AD337" s="76">
        <f t="shared" si="1192"/>
        <v>0.69286320963156345</v>
      </c>
      <c r="AE337" s="76">
        <f t="shared" si="1192"/>
        <v>0.74246654559416803</v>
      </c>
      <c r="AF337" s="76">
        <f t="shared" si="1192"/>
        <v>0.67217719987292457</v>
      </c>
      <c r="AG337" s="76">
        <f t="shared" si="1192"/>
        <v>0.71746242138237115</v>
      </c>
      <c r="AH337" s="76">
        <f t="shared" si="1192"/>
        <v>0.62933468632866252</v>
      </c>
      <c r="AI337" s="76">
        <f t="shared" si="1192"/>
        <v>0.50136461797307363</v>
      </c>
      <c r="AJ337" s="76">
        <f t="shared" si="1192"/>
        <v>0.43088197075971374</v>
      </c>
      <c r="AK337" s="76">
        <f t="shared" si="1192"/>
        <v>0.38882080118099333</v>
      </c>
      <c r="AL337" s="76">
        <f t="shared" si="1192"/>
        <v>0.50762631178867734</v>
      </c>
      <c r="AM337" s="76">
        <f t="shared" si="1192"/>
        <v>0.73024968742011531</v>
      </c>
      <c r="AN337" s="76">
        <f t="shared" si="1192"/>
        <v>0.98923969491174102</v>
      </c>
      <c r="AO337" s="76">
        <f t="shared" si="1192"/>
        <v>1.2419401612997953</v>
      </c>
      <c r="AP337" s="76">
        <f t="shared" si="1192"/>
        <v>2.0108988111988793</v>
      </c>
      <c r="AQ337" s="76">
        <f t="shared" si="1192"/>
        <v>2.2888220497083291</v>
      </c>
      <c r="AR337" s="76">
        <f t="shared" si="1192"/>
        <v>3.0397768447703983</v>
      </c>
      <c r="AS337" s="76">
        <f t="shared" si="1192"/>
        <v>9.0651528937686692</v>
      </c>
      <c r="AT337" s="76">
        <f>AT292-AT223+AT247-AT294-AT295-(AT218-AT219)-AT220</f>
        <v>-20.067023266773315</v>
      </c>
      <c r="AU337" s="76">
        <f>AU292-AU223+AU247-AU294-AU295-(AU218-AU219)-AU220</f>
        <v>137.22505110812961</v>
      </c>
      <c r="AV337" s="76">
        <f t="shared" ref="AV337:BB337" si="1193">AV292-AV223+AV247-AV294-AV295-(AV218-AV219)-AV220</f>
        <v>87.087165597786253</v>
      </c>
      <c r="AW337" s="76">
        <f t="shared" si="1193"/>
        <v>80.602583773791736</v>
      </c>
      <c r="AX337" s="76">
        <f t="shared" si="1193"/>
        <v>66.272535510869645</v>
      </c>
      <c r="AY337" s="76">
        <f t="shared" si="1193"/>
        <v>204.10405835645838</v>
      </c>
      <c r="AZ337" s="76">
        <f t="shared" si="1193"/>
        <v>487.33167648365014</v>
      </c>
      <c r="BA337" s="76">
        <f t="shared" si="1193"/>
        <v>815.83372906959858</v>
      </c>
      <c r="BB337" s="76">
        <f t="shared" si="1193"/>
        <v>904.58572671215859</v>
      </c>
      <c r="BC337" s="76">
        <f t="shared" ref="BC337:BQ337" ca="1" si="1194">BC292-BC223+BC247-BC294-BC295-(BC218-BC219)-BC220</f>
        <v>1476.9142056326564</v>
      </c>
      <c r="BD337" s="76">
        <f t="shared" ca="1" si="1194"/>
        <v>1885.1199252735921</v>
      </c>
      <c r="BE337" s="76">
        <f t="shared" ca="1" si="1194"/>
        <v>2714.1410499145259</v>
      </c>
      <c r="BF337" s="76">
        <f t="shared" ca="1" si="1194"/>
        <v>3678.020124389282</v>
      </c>
      <c r="BG337" s="76">
        <f t="shared" ca="1" si="1194"/>
        <v>3976.1194852401277</v>
      </c>
      <c r="BH337" s="76">
        <f t="shared" ca="1" si="1194"/>
        <v>4759.0449377514387</v>
      </c>
      <c r="BI337" s="76">
        <f t="shared" ca="1" si="1194"/>
        <v>4184.988388628125</v>
      </c>
      <c r="BJ337" s="76">
        <f t="shared" ca="1" si="1194"/>
        <v>6188.662704182062</v>
      </c>
      <c r="BK337" s="76">
        <f t="shared" ref="BK337:BP337" ca="1" si="1195">BK292-BK223+BK247-BK294-BK295-(BK218-BK219)-BK220</f>
        <v>8674.9280157434641</v>
      </c>
      <c r="BL337" s="76">
        <f t="shared" ca="1" si="1195"/>
        <v>8900.1184270937156</v>
      </c>
      <c r="BM337" s="76">
        <f t="shared" ca="1" si="1195"/>
        <v>7936.4132142237713</v>
      </c>
      <c r="BN337" s="76">
        <f t="shared" ca="1" si="1195"/>
        <v>7709.2730854285455</v>
      </c>
      <c r="BO337" s="76">
        <f t="shared" ca="1" si="1195"/>
        <v>7710.3453497317641</v>
      </c>
      <c r="BP337" s="76">
        <f t="shared" ca="1" si="1195"/>
        <v>10204.7545092032</v>
      </c>
      <c r="BQ337" s="76">
        <f t="shared" ca="1" si="1194"/>
        <v>12698.342826614144</v>
      </c>
      <c r="BR337" s="76">
        <f ca="1">BR292-BR223+BR247-BR294-BR295-(BR218-BR219)-BR220</f>
        <v>13505.797926036421</v>
      </c>
      <c r="BS337" s="76">
        <f ca="1">BS292-BS223+BS247-BS294-BS295-(BS218-BS219)-BS220</f>
        <v>13609.811801371357</v>
      </c>
      <c r="BT337" s="76">
        <f ca="1">BT292-BT223+BT247-BT294-BT295-(BT218-BT219)-BT220</f>
        <v>13732.928217478357</v>
      </c>
      <c r="BU337" s="76">
        <f ca="1">BU292-BU223+BU247-BU294-BU295-(BU218-BU219)-BU220</f>
        <v>14029.593134167297</v>
      </c>
      <c r="BV337" s="76">
        <f ca="1">BV292-BV223+BV247-BV294-BV295-(BV218-BV219)-BV220</f>
        <v>14334.509132307396</v>
      </c>
      <c r="BW337" s="76">
        <f t="shared" ref="BW337:BX337" ca="1" si="1196">BW292-BW223+BW247-BW294-BW295-(BW218-BW219)-BW220</f>
        <v>14647.458069003244</v>
      </c>
      <c r="BX337" s="76">
        <f t="shared" ca="1" si="1196"/>
        <v>14976.991043823471</v>
      </c>
      <c r="BY337" s="76">
        <f t="shared" ref="BY337:CD337" ca="1" si="1197">BY292-BY223+BY247-BY294-BY295-(BY218-BY219)-BY220</f>
        <v>15322.090520519549</v>
      </c>
      <c r="BZ337" s="76">
        <f t="shared" ca="1" si="1197"/>
        <v>15975.890831787408</v>
      </c>
      <c r="CA337" s="76">
        <f t="shared" ca="1" si="1197"/>
        <v>16694.385953160883</v>
      </c>
      <c r="CB337" s="76">
        <f t="shared" ca="1" si="1197"/>
        <v>17452.7180651413</v>
      </c>
      <c r="CC337" s="76">
        <f t="shared" ca="1" si="1197"/>
        <v>18262.855278397648</v>
      </c>
      <c r="CD337" s="76">
        <f t="shared" ca="1" si="1197"/>
        <v>19128.339028095601</v>
      </c>
      <c r="CE337" s="76"/>
      <c r="CF337" s="435"/>
      <c r="CG337" s="235">
        <f t="shared" ca="1" si="1167"/>
        <v>2551.7302488307068</v>
      </c>
      <c r="CH337" s="235">
        <f t="shared" ca="1" si="1168"/>
        <v>-256.40525520274605</v>
      </c>
      <c r="CI337" s="235" t="e">
        <f ca="1">BM337-#REF!</f>
        <v>#REF!</v>
      </c>
      <c r="CJ337" s="235">
        <f t="shared" ca="1" si="1169"/>
        <v>0</v>
      </c>
      <c r="CK337" s="235">
        <f t="shared" ca="1" si="1170"/>
        <v>0</v>
      </c>
      <c r="CL337" s="235">
        <f t="shared" ca="1" si="1171"/>
        <v>0</v>
      </c>
      <c r="CM337" s="235">
        <f t="shared" ca="1" si="1172"/>
        <v>0</v>
      </c>
      <c r="CN337" s="235">
        <f t="shared" ca="1" si="1173"/>
        <v>0</v>
      </c>
      <c r="CO337" s="235">
        <f t="shared" ca="1" si="1174"/>
        <v>0</v>
      </c>
      <c r="CP337" s="235">
        <f t="shared" ca="1" si="1175"/>
        <v>-1.4551915228366852E-11</v>
      </c>
      <c r="CQ337" s="235">
        <f t="shared" ca="1" si="1176"/>
        <v>0</v>
      </c>
      <c r="CR337" s="235">
        <f t="shared" ca="1" si="1177"/>
        <v>-3.8198777474462986E-11</v>
      </c>
      <c r="CS337" s="235">
        <f t="shared" ca="1" si="1178"/>
        <v>-3.4560798667371273E-11</v>
      </c>
      <c r="CT337" s="235">
        <f t="shared" ca="1" si="1179"/>
        <v>-2.3646862246096134E-11</v>
      </c>
      <c r="CU337" s="235">
        <f t="shared" ca="1" si="1180"/>
        <v>0</v>
      </c>
      <c r="CV337" s="235">
        <f t="shared" ca="1" si="1181"/>
        <v>2.3646862246096134E-11</v>
      </c>
      <c r="CW337" s="235">
        <f t="shared" ca="1" si="1182"/>
        <v>2.0372681319713593E-10</v>
      </c>
      <c r="CX337" s="235">
        <f t="shared" ca="1" si="1183"/>
        <v>2.4483597371727228E-9</v>
      </c>
      <c r="CY337" s="235">
        <f t="shared" ca="1" si="1184"/>
        <v>2.3672328097745776E-8</v>
      </c>
      <c r="CZ337" s="235">
        <f t="shared" ca="1" si="1185"/>
        <v>1.8249920685775578E-7</v>
      </c>
      <c r="DA337" s="38"/>
      <c r="DB337" s="236">
        <v>2030.3020839404001</v>
      </c>
      <c r="DC337" s="236">
        <v>2031.3020839403978</v>
      </c>
      <c r="DD337" s="236">
        <v>2215.9823803780446</v>
      </c>
      <c r="DE337" s="236">
        <v>2223.3792248366804</v>
      </c>
      <c r="DF337" s="401">
        <v>2160.3277334058289</v>
      </c>
      <c r="DG337" s="236">
        <v>6123.1977669127573</v>
      </c>
      <c r="DH337" s="492">
        <v>9156.5236822964616</v>
      </c>
      <c r="DI337" s="236">
        <v>7709.2730854285455</v>
      </c>
      <c r="DJ337" s="236">
        <v>7710.3453497317678</v>
      </c>
      <c r="DK337" s="236">
        <v>10204.754509203201</v>
      </c>
      <c r="DL337" s="236">
        <v>12698.342826614142</v>
      </c>
      <c r="DM337" s="236">
        <v>13505.797926036425</v>
      </c>
      <c r="DN337" s="236">
        <v>13609.811801371354</v>
      </c>
      <c r="DO337" s="236">
        <v>13732.928217478371</v>
      </c>
      <c r="DP337" s="236">
        <v>14029.593134167306</v>
      </c>
      <c r="DQ337" s="403">
        <v>14334.509132307434</v>
      </c>
      <c r="DR337" s="403">
        <v>14647.458069003278</v>
      </c>
      <c r="DS337" s="403">
        <v>14976.991043823495</v>
      </c>
      <c r="DT337" s="403">
        <v>15322.090520519545</v>
      </c>
      <c r="DU337" s="403">
        <v>15975.890831787385</v>
      </c>
      <c r="DV337" s="403">
        <v>16694.385953160679</v>
      </c>
      <c r="DW337" s="403">
        <v>17452.718065138852</v>
      </c>
      <c r="DX337" s="403">
        <v>18262.855278373976</v>
      </c>
      <c r="DY337" s="403">
        <v>19128.339027913102</v>
      </c>
      <c r="DZ337" s="403"/>
      <c r="EA337" s="991"/>
    </row>
    <row r="338" spans="1:131" s="28" customFormat="1">
      <c r="A338" s="28" t="s">
        <v>4215</v>
      </c>
      <c r="B338" s="30" t="s">
        <v>2913</v>
      </c>
      <c r="C338" s="13"/>
      <c r="D338" s="220"/>
      <c r="E338" s="220"/>
      <c r="F338" s="76">
        <f t="shared" ref="F338:AT338" si="1198">F292-F223+F247-F294-F164-F171-F295</f>
        <v>6.9599671511954231E-2</v>
      </c>
      <c r="G338" s="76">
        <f t="shared" si="1198"/>
        <v>7.1808469889152834E-2</v>
      </c>
      <c r="H338" s="76">
        <f t="shared" si="1198"/>
        <v>7.6207738474823011E-2</v>
      </c>
      <c r="I338" s="76">
        <f t="shared" si="1198"/>
        <v>8.5055692648869224E-2</v>
      </c>
      <c r="J338" s="76">
        <f t="shared" si="1198"/>
        <v>9.3063047783501635E-2</v>
      </c>
      <c r="K338" s="76">
        <f t="shared" si="1198"/>
        <v>0.1020995049352471</v>
      </c>
      <c r="L338" s="76">
        <f t="shared" si="1198"/>
        <v>0.11136440976264485</v>
      </c>
      <c r="M338" s="76">
        <f t="shared" si="1198"/>
        <v>0.10693336040152347</v>
      </c>
      <c r="N338" s="76">
        <f t="shared" si="1198"/>
        <v>0.11422254423305707</v>
      </c>
      <c r="O338" s="76">
        <f t="shared" si="1198"/>
        <v>0.12125505665073194</v>
      </c>
      <c r="P338" s="76">
        <f t="shared" si="1198"/>
        <v>0.13064977180921014</v>
      </c>
      <c r="Q338" s="76">
        <f t="shared" si="1198"/>
        <v>0.16109838487728692</v>
      </c>
      <c r="R338" s="76">
        <f t="shared" si="1198"/>
        <v>0.21852286852089792</v>
      </c>
      <c r="S338" s="76">
        <f t="shared" si="1198"/>
        <v>0.26252930972413102</v>
      </c>
      <c r="T338" s="76">
        <f t="shared" si="1198"/>
        <v>0.28993855775048394</v>
      </c>
      <c r="U338" s="76">
        <f t="shared" si="1198"/>
        <v>0.28825682918185497</v>
      </c>
      <c r="V338" s="76">
        <f t="shared" si="1198"/>
        <v>0.28470376353886312</v>
      </c>
      <c r="W338" s="76">
        <f t="shared" si="1198"/>
        <v>0.3149325018883497</v>
      </c>
      <c r="X338" s="76">
        <f t="shared" si="1198"/>
        <v>0.32172254143868895</v>
      </c>
      <c r="Y338" s="76">
        <f t="shared" si="1198"/>
        <v>0.34771669540553196</v>
      </c>
      <c r="Z338" s="76">
        <f t="shared" si="1198"/>
        <v>0.44842514229464853</v>
      </c>
      <c r="AA338" s="76">
        <f t="shared" si="1198"/>
        <v>0.54801953565742656</v>
      </c>
      <c r="AB338" s="76">
        <f t="shared" si="1198"/>
        <v>0.53553394551819988</v>
      </c>
      <c r="AC338" s="76">
        <f t="shared" si="1198"/>
        <v>0.66305071508131785</v>
      </c>
      <c r="AD338" s="76">
        <f t="shared" si="1198"/>
        <v>0.73367547233704777</v>
      </c>
      <c r="AE338" s="76">
        <f t="shared" si="1198"/>
        <v>0.78129602710544654</v>
      </c>
      <c r="AF338" s="76">
        <f t="shared" si="1198"/>
        <v>0.70951041503164514</v>
      </c>
      <c r="AG338" s="76">
        <f t="shared" si="1198"/>
        <v>0.75329937018853377</v>
      </c>
      <c r="AH338" s="76">
        <f t="shared" si="1198"/>
        <v>0.66367536878226718</v>
      </c>
      <c r="AI338" s="76">
        <f t="shared" si="1198"/>
        <v>0.53420903617515181</v>
      </c>
      <c r="AJ338" s="76">
        <f t="shared" si="1198"/>
        <v>0.46223012260923391</v>
      </c>
      <c r="AK338" s="76">
        <f t="shared" si="1198"/>
        <v>0.41867268667795554</v>
      </c>
      <c r="AL338" s="76">
        <f t="shared" si="1198"/>
        <v>0.52668304939209787</v>
      </c>
      <c r="AM338" s="76">
        <f t="shared" si="1198"/>
        <v>0.75591569847226414</v>
      </c>
      <c r="AN338" s="76">
        <f t="shared" si="1198"/>
        <v>1.0422791160186105</v>
      </c>
      <c r="AO338" s="76">
        <f t="shared" si="1198"/>
        <v>1.3068211973356361</v>
      </c>
      <c r="AP338" s="76">
        <f t="shared" si="1198"/>
        <v>2.1160964135911371</v>
      </c>
      <c r="AQ338" s="76">
        <f t="shared" si="1198"/>
        <v>2.386308833077071</v>
      </c>
      <c r="AR338" s="76">
        <f t="shared" si="1198"/>
        <v>3.1097249887694391</v>
      </c>
      <c r="AS338" s="76">
        <f t="shared" si="1198"/>
        <v>9.1629150635311074</v>
      </c>
      <c r="AT338" s="76">
        <f t="shared" si="1198"/>
        <v>27.22149274212758</v>
      </c>
      <c r="AU338" s="76">
        <f t="shared" ref="AU338:BB338" si="1199">AU292-AU223+AU247-AU294-AU164-AU171-AU295</f>
        <v>151.04063570712123</v>
      </c>
      <c r="AV338" s="76">
        <f t="shared" si="1199"/>
        <v>113.3432173861012</v>
      </c>
      <c r="AW338" s="76">
        <f t="shared" si="1199"/>
        <v>107.84484139720902</v>
      </c>
      <c r="AX338" s="76">
        <f t="shared" si="1199"/>
        <v>92.576441711789627</v>
      </c>
      <c r="AY338" s="76">
        <f t="shared" si="1199"/>
        <v>216.94327749638617</v>
      </c>
      <c r="AZ338" s="76">
        <f t="shared" si="1199"/>
        <v>363.94428645930674</v>
      </c>
      <c r="BA338" s="76">
        <f t="shared" si="1199"/>
        <v>-79258.064169828678</v>
      </c>
      <c r="BB338" s="76">
        <f t="shared" si="1199"/>
        <v>-33499.943321247905</v>
      </c>
      <c r="BC338" s="76">
        <f t="shared" ref="BC338:BQ338" ca="1" si="1200">BC292-BC223+BC247-BC294-BC164-BC171-BC295</f>
        <v>-54861.095812930856</v>
      </c>
      <c r="BD338" s="76">
        <f t="shared" ca="1" si="1200"/>
        <v>1571.758329096536</v>
      </c>
      <c r="BE338" s="76">
        <f t="shared" ca="1" si="1200"/>
        <v>2475.8395974551181</v>
      </c>
      <c r="BF338" s="76">
        <f t="shared" ca="1" si="1200"/>
        <v>3279.450831882642</v>
      </c>
      <c r="BG338" s="76">
        <f t="shared" ca="1" si="1200"/>
        <v>3717.1671330983481</v>
      </c>
      <c r="BH338" s="76">
        <f t="shared" ca="1" si="1200"/>
        <v>4481.908768572227</v>
      </c>
      <c r="BI338" s="76">
        <f t="shared" ca="1" si="1200"/>
        <v>3624.238515883465</v>
      </c>
      <c r="BJ338" s="76">
        <f t="shared" ca="1" si="1200"/>
        <v>4765.3084146635192</v>
      </c>
      <c r="BK338" s="76">
        <f t="shared" ref="BK338:BP338" ca="1" si="1201">BK292-BK223+BK247-BK294-BK164-BK171-BK295</f>
        <v>7385.6479684928681</v>
      </c>
      <c r="BL338" s="76">
        <f t="shared" ca="1" si="1201"/>
        <v>7530.7618860643179</v>
      </c>
      <c r="BM338" s="76">
        <f t="shared" ca="1" si="1201"/>
        <v>7616.12914457427</v>
      </c>
      <c r="BN338" s="76">
        <f t="shared" ca="1" si="1201"/>
        <v>7950.857324953151</v>
      </c>
      <c r="BO338" s="76">
        <f t="shared" ca="1" si="1201"/>
        <v>7969.4500939780419</v>
      </c>
      <c r="BP338" s="76">
        <f t="shared" ca="1" si="1201"/>
        <v>10592.238801947242</v>
      </c>
      <c r="BQ338" s="76">
        <f t="shared" ca="1" si="1200"/>
        <v>13593.019488582378</v>
      </c>
      <c r="BR338" s="76">
        <f ca="1">BR292-BR223+BR247-BR294-BR164-BR171-BR295</f>
        <v>14636.263648198767</v>
      </c>
      <c r="BS338" s="76">
        <f ca="1">BS292-BS223+BS247-BS294-BS164-BS171-BS295</f>
        <v>14829.31409419933</v>
      </c>
      <c r="BT338" s="76">
        <f ca="1">BT292-BT223+BT247-BT294-BT164-BT171-BT295</f>
        <v>15114.717810768674</v>
      </c>
      <c r="BU338" s="76">
        <f ca="1">BU292-BU223+BU247-BU294-BU164-BU171-BU295</f>
        <v>15602.371147198362</v>
      </c>
      <c r="BV338" s="76">
        <f ca="1">BV292-BV223+BV247-BV294-BV164-BV171-BV295</f>
        <v>16119.159999380656</v>
      </c>
      <c r="BW338" s="76">
        <f t="shared" ref="BW338:BX338" ca="1" si="1202">BW292-BW223+BW247-BW294-BW164-BW171-BW295</f>
        <v>16664.359253154202</v>
      </c>
      <c r="BX338" s="76">
        <f t="shared" ca="1" si="1202"/>
        <v>17247.207670585387</v>
      </c>
      <c r="BY338" s="76">
        <f t="shared" ref="BY338:CD338" ca="1" si="1203">BY292-BY223+BY247-BY294-BY164-BY171-BY295</f>
        <v>17867.58838908339</v>
      </c>
      <c r="BZ338" s="76">
        <f t="shared" ca="1" si="1203"/>
        <v>18619.447033340726</v>
      </c>
      <c r="CA338" s="76">
        <f t="shared" ca="1" si="1203"/>
        <v>19442.02426788909</v>
      </c>
      <c r="CB338" s="76">
        <f t="shared" ca="1" si="1203"/>
        <v>20307.344736966264</v>
      </c>
      <c r="CC338" s="76">
        <f t="shared" ca="1" si="1203"/>
        <v>21227.906409081541</v>
      </c>
      <c r="CD338" s="76">
        <f t="shared" ca="1" si="1203"/>
        <v>22207.192448118549</v>
      </c>
      <c r="CE338" s="76"/>
      <c r="CF338" s="435"/>
      <c r="CG338" s="235">
        <f t="shared" ca="1" si="1167"/>
        <v>3549.905226868867</v>
      </c>
      <c r="CH338" s="235">
        <f t="shared" ca="1" si="1168"/>
        <v>1017.4507856961754</v>
      </c>
      <c r="CI338" s="235" t="e">
        <f ca="1">BM338-#REF!</f>
        <v>#REF!</v>
      </c>
      <c r="CJ338" s="235">
        <f t="shared" ca="1" si="1169"/>
        <v>0</v>
      </c>
      <c r="CK338" s="235">
        <f t="shared" ca="1" si="1170"/>
        <v>0</v>
      </c>
      <c r="CL338" s="235">
        <f t="shared" ca="1" si="1171"/>
        <v>0</v>
      </c>
      <c r="CM338" s="235">
        <f t="shared" ca="1" si="1172"/>
        <v>0</v>
      </c>
      <c r="CN338" s="235">
        <f t="shared" ca="1" si="1173"/>
        <v>0</v>
      </c>
      <c r="CO338" s="235">
        <f t="shared" ca="1" si="1174"/>
        <v>0</v>
      </c>
      <c r="CP338" s="235">
        <f t="shared" ca="1" si="1175"/>
        <v>-2.1827872842550278E-11</v>
      </c>
      <c r="CQ338" s="235">
        <f t="shared" ca="1" si="1176"/>
        <v>0</v>
      </c>
      <c r="CR338" s="235">
        <f t="shared" ca="1" si="1177"/>
        <v>-3.637978807091713E-11</v>
      </c>
      <c r="CS338" s="235">
        <f t="shared" ca="1" si="1178"/>
        <v>0</v>
      </c>
      <c r="CT338" s="235">
        <f t="shared" ca="1" si="1179"/>
        <v>0</v>
      </c>
      <c r="CU338" s="235">
        <f t="shared" ca="1" si="1180"/>
        <v>0</v>
      </c>
      <c r="CV338" s="235">
        <f t="shared" ca="1" si="1181"/>
        <v>2.9103830456733704E-11</v>
      </c>
      <c r="CW338" s="235">
        <f t="shared" ca="1" si="1182"/>
        <v>2.0736479200422764E-10</v>
      </c>
      <c r="CX338" s="235">
        <f t="shared" ca="1" si="1183"/>
        <v>2.3865140974521637E-9</v>
      </c>
      <c r="CY338" s="235">
        <f t="shared" ca="1" si="1184"/>
        <v>2.2988388082012534E-8</v>
      </c>
      <c r="CZ338" s="235">
        <f t="shared" ca="1" si="1185"/>
        <v>1.7633283277973533E-7</v>
      </c>
      <c r="DA338" s="38"/>
      <c r="DB338" s="236">
        <v>1591.1190369432099</v>
      </c>
      <c r="DC338" s="236">
        <v>1592.119036943214</v>
      </c>
      <c r="DD338" s="236">
        <v>1789.3355977304336</v>
      </c>
      <c r="DE338" s="236">
        <v>2017.1218779346768</v>
      </c>
      <c r="DF338" s="401">
        <v>1160.2192490716586</v>
      </c>
      <c r="DG338" s="236">
        <v>3835.7427416240012</v>
      </c>
      <c r="DH338" s="492">
        <v>6513.3111003681424</v>
      </c>
      <c r="DI338" s="236">
        <v>7950.857324953151</v>
      </c>
      <c r="DJ338" s="236">
        <v>7969.4500939780455</v>
      </c>
      <c r="DK338" s="236">
        <v>10592.238801947246</v>
      </c>
      <c r="DL338" s="236">
        <v>13593.019488582377</v>
      </c>
      <c r="DM338" s="236">
        <v>14636.263648198772</v>
      </c>
      <c r="DN338" s="236">
        <v>14829.314094199332</v>
      </c>
      <c r="DO338" s="236">
        <v>15114.717810768696</v>
      </c>
      <c r="DP338" s="236">
        <v>15602.371147198375</v>
      </c>
      <c r="DQ338" s="403">
        <v>16119.159999380692</v>
      </c>
      <c r="DR338" s="403">
        <v>16664.359253154227</v>
      </c>
      <c r="DS338" s="403">
        <v>17247.207670585405</v>
      </c>
      <c r="DT338" s="403">
        <v>17867.588389083383</v>
      </c>
      <c r="DU338" s="403">
        <v>18619.447033340697</v>
      </c>
      <c r="DV338" s="403">
        <v>19442.024267888883</v>
      </c>
      <c r="DW338" s="403">
        <v>20307.344736963878</v>
      </c>
      <c r="DX338" s="403">
        <v>21227.906409058553</v>
      </c>
      <c r="DY338" s="403">
        <v>22207.192447942216</v>
      </c>
      <c r="DZ338" s="403"/>
      <c r="EA338" s="991"/>
    </row>
    <row r="339" spans="1:131" s="28" customFormat="1">
      <c r="A339" s="28" t="s">
        <v>4216</v>
      </c>
      <c r="B339" s="30" t="s">
        <v>436</v>
      </c>
      <c r="C339" s="13"/>
      <c r="D339" s="220"/>
      <c r="E339" s="220"/>
      <c r="F339" s="76">
        <f t="shared" ref="F339:AK339" si="1204">F338-(F220-F221)-(F218-F219)</f>
        <v>6.5523952885238476E-2</v>
      </c>
      <c r="G339" s="76">
        <f t="shared" si="1204"/>
        <v>6.7347210311261257E-2</v>
      </c>
      <c r="H339" s="76">
        <f t="shared" si="1204"/>
        <v>7.115494904092802E-2</v>
      </c>
      <c r="I339" s="76">
        <f t="shared" si="1204"/>
        <v>7.9166829791747148E-2</v>
      </c>
      <c r="J339" s="76">
        <f t="shared" si="1204"/>
        <v>8.6956078952996271E-2</v>
      </c>
      <c r="K339" s="76">
        <f t="shared" si="1204"/>
        <v>9.5629026149102944E-2</v>
      </c>
      <c r="L339" s="76">
        <f t="shared" si="1204"/>
        <v>0.1048939309765007</v>
      </c>
      <c r="M339" s="76">
        <f t="shared" si="1204"/>
        <v>0.10060828559763484</v>
      </c>
      <c r="N339" s="76">
        <f t="shared" si="1204"/>
        <v>0.10720680051345471</v>
      </c>
      <c r="O339" s="76">
        <f t="shared" si="1204"/>
        <v>0.11434836591782123</v>
      </c>
      <c r="P339" s="76">
        <f t="shared" si="1204"/>
        <v>0.12287065718276632</v>
      </c>
      <c r="Q339" s="76">
        <f t="shared" si="1204"/>
        <v>0.1519379318941578</v>
      </c>
      <c r="R339" s="76">
        <f t="shared" si="1204"/>
        <v>0.20394611614823502</v>
      </c>
      <c r="S339" s="76">
        <f t="shared" si="1204"/>
        <v>0.24628041050501395</v>
      </c>
      <c r="T339" s="76">
        <f t="shared" si="1204"/>
        <v>0.27474383845323508</v>
      </c>
      <c r="U339" s="76">
        <f t="shared" si="1204"/>
        <v>0.27059024113574659</v>
      </c>
      <c r="V339" s="76">
        <f t="shared" si="1204"/>
        <v>0.26576488959750322</v>
      </c>
      <c r="W339" s="76">
        <f t="shared" si="1204"/>
        <v>0.29323095228413498</v>
      </c>
      <c r="X339" s="76">
        <f t="shared" si="1204"/>
        <v>0.29385343923696405</v>
      </c>
      <c r="Y339" s="76">
        <f t="shared" si="1204"/>
        <v>0.32419869696360099</v>
      </c>
      <c r="Z339" s="76">
        <f t="shared" si="1204"/>
        <v>0.42545791664011157</v>
      </c>
      <c r="AA339" s="76">
        <f t="shared" si="1204"/>
        <v>0.53215727980068506</v>
      </c>
      <c r="AB339" s="76">
        <f t="shared" si="1204"/>
        <v>0.51096948004083909</v>
      </c>
      <c r="AC339" s="76">
        <f t="shared" si="1204"/>
        <v>0.63033481066970043</v>
      </c>
      <c r="AD339" s="76">
        <f t="shared" si="1204"/>
        <v>0.69286320963156345</v>
      </c>
      <c r="AE339" s="76">
        <f t="shared" si="1204"/>
        <v>0.74246654559416803</v>
      </c>
      <c r="AF339" s="76">
        <f t="shared" si="1204"/>
        <v>0.67217719987292457</v>
      </c>
      <c r="AG339" s="76">
        <f t="shared" si="1204"/>
        <v>0.71746242138237115</v>
      </c>
      <c r="AH339" s="76">
        <f t="shared" si="1204"/>
        <v>0.62933468632866252</v>
      </c>
      <c r="AI339" s="76">
        <f t="shared" si="1204"/>
        <v>0.50136461797307363</v>
      </c>
      <c r="AJ339" s="76">
        <f t="shared" si="1204"/>
        <v>0.43088197075971374</v>
      </c>
      <c r="AK339" s="76">
        <f t="shared" si="1204"/>
        <v>0.38882080118099333</v>
      </c>
      <c r="AL339" s="76">
        <f t="shared" ref="AL339:BB339" si="1205">AL338-(AL220-AL221)-(AL218-AL219)</f>
        <v>0.50762631178867734</v>
      </c>
      <c r="AM339" s="76">
        <f t="shared" si="1205"/>
        <v>0.73024968742011531</v>
      </c>
      <c r="AN339" s="76">
        <f t="shared" si="1205"/>
        <v>0.98923969491174102</v>
      </c>
      <c r="AO339" s="76">
        <f t="shared" si="1205"/>
        <v>1.2419401612997953</v>
      </c>
      <c r="AP339" s="76">
        <f t="shared" si="1205"/>
        <v>2.0108988111988793</v>
      </c>
      <c r="AQ339" s="76">
        <f t="shared" si="1205"/>
        <v>2.2888220497083291</v>
      </c>
      <c r="AR339" s="76">
        <f t="shared" si="1205"/>
        <v>3.0397768447703983</v>
      </c>
      <c r="AS339" s="76">
        <f t="shared" si="1205"/>
        <v>9.0651528937686692</v>
      </c>
      <c r="AT339" s="76">
        <f t="shared" si="1205"/>
        <v>-20.067023266773315</v>
      </c>
      <c r="AU339" s="76">
        <f t="shared" si="1205"/>
        <v>137.22505110812961</v>
      </c>
      <c r="AV339" s="76">
        <f t="shared" si="1205"/>
        <v>82.778109133101196</v>
      </c>
      <c r="AW339" s="76">
        <f t="shared" si="1205"/>
        <v>67.878494600209024</v>
      </c>
      <c r="AX339" s="76">
        <f t="shared" si="1205"/>
        <v>45.475543856789628</v>
      </c>
      <c r="AY339" s="76">
        <f t="shared" si="1205"/>
        <v>158.10497749638617</v>
      </c>
      <c r="AZ339" s="76">
        <f t="shared" si="1205"/>
        <v>316.90829345930678</v>
      </c>
      <c r="BA339" s="76">
        <f t="shared" si="1205"/>
        <v>585.96900917132621</v>
      </c>
      <c r="BB339" s="76">
        <f t="shared" si="1205"/>
        <v>697.08361775209949</v>
      </c>
      <c r="BC339" s="76">
        <f t="shared" ref="BC339:BQ339" ca="1" si="1206">BC338-(BC220-BC221)-(BC218-BC219)</f>
        <v>1012.7399210691441</v>
      </c>
      <c r="BD339" s="76">
        <f t="shared" ca="1" si="1206"/>
        <v>1413.9931870965361</v>
      </c>
      <c r="BE339" s="76">
        <f t="shared" ca="1" si="1206"/>
        <v>2247.9218424551182</v>
      </c>
      <c r="BF339" s="76">
        <f t="shared" ca="1" si="1206"/>
        <v>2964.4383118826418</v>
      </c>
      <c r="BG339" s="76">
        <f t="shared" ca="1" si="1206"/>
        <v>3302.3370190983483</v>
      </c>
      <c r="BH339" s="76">
        <f t="shared" ca="1" si="1206"/>
        <v>3863.6986735722326</v>
      </c>
      <c r="BI339" s="76">
        <f t="shared" ca="1" si="1206"/>
        <v>3098.2387358834649</v>
      </c>
      <c r="BJ339" s="76">
        <f t="shared" ca="1" si="1206"/>
        <v>4340.759279663519</v>
      </c>
      <c r="BK339" s="76">
        <f t="shared" ref="BK339:BP339" ca="1" si="1207">BK338-(BK220-BK221)-(BK218-BK219)</f>
        <v>6441.4916574928684</v>
      </c>
      <c r="BL339" s="76">
        <f t="shared" ca="1" si="1207"/>
        <v>6386.1618860643184</v>
      </c>
      <c r="BM339" s="76">
        <f t="shared" ca="1" si="1207"/>
        <v>6428.8036745742702</v>
      </c>
      <c r="BN339" s="76">
        <f t="shared" ca="1" si="1207"/>
        <v>6858.2358839531507</v>
      </c>
      <c r="BO339" s="76">
        <f t="shared" ca="1" si="1207"/>
        <v>7168.3327479780419</v>
      </c>
      <c r="BP339" s="76">
        <f t="shared" ca="1" si="1207"/>
        <v>9538.4174544460093</v>
      </c>
      <c r="BQ339" s="76">
        <f t="shared" ca="1" si="1206"/>
        <v>12240.320423869502</v>
      </c>
      <c r="BR339" s="76">
        <f ca="1">BR338-(BR220-BR221)-(BR218-BR219)</f>
        <v>13170.577958267273</v>
      </c>
      <c r="BS339" s="76">
        <f ca="1">BS338-(BS220-BS221)-(BS218-BS219)</f>
        <v>13338.734347172938</v>
      </c>
      <c r="BT339" s="76">
        <f ca="1">BT338-(BT220-BT221)-(BT218-BT219)</f>
        <v>13593.728932558311</v>
      </c>
      <c r="BU339" s="76">
        <f ca="1">BU338-(BU220-BU221)-(BU218-BU219)</f>
        <v>14031.318224390452</v>
      </c>
      <c r="BV339" s="76">
        <f ca="1">BV338-(BV220-BV221)-(BV218-BV219)</f>
        <v>14494.261842149346</v>
      </c>
      <c r="BW339" s="76">
        <f t="shared" ref="BW339:BX339" ca="1" si="1208">BW338-(BW220-BW221)-(BW218-BW219)</f>
        <v>14982.653259802624</v>
      </c>
      <c r="BX339" s="76">
        <f t="shared" ca="1" si="1208"/>
        <v>15504.828332828656</v>
      </c>
      <c r="BY339" s="76">
        <f t="shared" ref="BY339:CD339" ca="1" si="1209">BY338-(BY220-BY221)-(BY218-BY219)</f>
        <v>16060.627579814322</v>
      </c>
      <c r="BZ339" s="76">
        <f t="shared" ca="1" si="1209"/>
        <v>16735.085744172313</v>
      </c>
      <c r="CA339" s="76">
        <f t="shared" ca="1" si="1209"/>
        <v>17472.738399457507</v>
      </c>
      <c r="CB339" s="76">
        <f t="shared" ca="1" si="1209"/>
        <v>18248.507598437147</v>
      </c>
      <c r="CC339" s="76">
        <f t="shared" ca="1" si="1209"/>
        <v>19073.73663850407</v>
      </c>
      <c r="CD339" s="76">
        <f t="shared" ca="1" si="1209"/>
        <v>19951.495198604087</v>
      </c>
      <c r="CE339" s="76"/>
      <c r="CF339" s="435"/>
      <c r="CG339" s="235">
        <f t="shared" ca="1" si="1167"/>
        <v>3549.9052268688674</v>
      </c>
      <c r="CH339" s="235">
        <f t="shared" ca="1" si="1168"/>
        <v>1017.4507856961754</v>
      </c>
      <c r="CI339" s="235" t="e">
        <f ca="1">BM339-#REF!</f>
        <v>#REF!</v>
      </c>
      <c r="CJ339" s="235">
        <f t="shared" ca="1" si="1169"/>
        <v>0</v>
      </c>
      <c r="CK339" s="235">
        <f t="shared" ca="1" si="1170"/>
        <v>0</v>
      </c>
      <c r="CL339" s="235">
        <f t="shared" ca="1" si="1171"/>
        <v>0</v>
      </c>
      <c r="CM339" s="235">
        <f t="shared" ca="1" si="1172"/>
        <v>0</v>
      </c>
      <c r="CN339" s="235">
        <f t="shared" ca="1" si="1173"/>
        <v>0</v>
      </c>
      <c r="CO339" s="235">
        <f t="shared" ca="1" si="1174"/>
        <v>0</v>
      </c>
      <c r="CP339" s="235">
        <f t="shared" ca="1" si="1175"/>
        <v>-2.0008883439004421E-11</v>
      </c>
      <c r="CQ339" s="235">
        <f t="shared" ca="1" si="1176"/>
        <v>0</v>
      </c>
      <c r="CR339" s="235">
        <f t="shared" ca="1" si="1177"/>
        <v>-3.8198777474462986E-11</v>
      </c>
      <c r="CS339" s="235">
        <f t="shared" ca="1" si="1178"/>
        <v>-2.9103830456733704E-11</v>
      </c>
      <c r="CT339" s="235">
        <f t="shared" ca="1" si="1179"/>
        <v>-2.3646862246096134E-11</v>
      </c>
      <c r="CU339" s="235">
        <f t="shared" ca="1" si="1180"/>
        <v>0</v>
      </c>
      <c r="CV339" s="235">
        <f t="shared" ca="1" si="1181"/>
        <v>0</v>
      </c>
      <c r="CW339" s="235">
        <f t="shared" ca="1" si="1182"/>
        <v>2.0372681319713593E-10</v>
      </c>
      <c r="CX339" s="235">
        <f t="shared" ca="1" si="1183"/>
        <v>2.4738255888223648E-9</v>
      </c>
      <c r="CY339" s="235">
        <f t="shared" ca="1" si="1184"/>
        <v>2.4028850020840764E-8</v>
      </c>
      <c r="CZ339" s="235">
        <f t="shared" ca="1" si="1185"/>
        <v>1.856060407590121E-7</v>
      </c>
      <c r="DA339" s="38"/>
      <c r="DB339" s="236">
        <v>1276.10651694321</v>
      </c>
      <c r="DC339" s="236">
        <v>1277.106516943214</v>
      </c>
      <c r="DD339" s="236">
        <v>1374.5054837304335</v>
      </c>
      <c r="DE339" s="236">
        <v>1030.4293069346768</v>
      </c>
      <c r="DF339" s="401">
        <v>494.71180307165866</v>
      </c>
      <c r="DG339" s="236">
        <v>2891.586430624001</v>
      </c>
      <c r="DH339" s="492">
        <v>5368.711100368143</v>
      </c>
      <c r="DI339" s="236">
        <v>6858.2358839531507</v>
      </c>
      <c r="DJ339" s="236">
        <v>7168.3327479780455</v>
      </c>
      <c r="DK339" s="236">
        <v>9538.4174544460129</v>
      </c>
      <c r="DL339" s="236">
        <v>12240.320423869498</v>
      </c>
      <c r="DM339" s="236">
        <v>13170.577958267277</v>
      </c>
      <c r="DN339" s="236">
        <v>13338.734347172938</v>
      </c>
      <c r="DO339" s="236">
        <v>13593.728932558332</v>
      </c>
      <c r="DP339" s="236">
        <v>14031.318224390461</v>
      </c>
      <c r="DQ339" s="403">
        <v>14494.261842149384</v>
      </c>
      <c r="DR339" s="403">
        <v>14982.653259802653</v>
      </c>
      <c r="DS339" s="403">
        <v>15504.82833282868</v>
      </c>
      <c r="DT339" s="403">
        <v>16060.62757981432</v>
      </c>
      <c r="DU339" s="403">
        <v>16735.085744172287</v>
      </c>
      <c r="DV339" s="403">
        <v>17472.738399457303</v>
      </c>
      <c r="DW339" s="403">
        <v>18248.507598434673</v>
      </c>
      <c r="DX339" s="403">
        <v>19073.736638480041</v>
      </c>
      <c r="DY339" s="403">
        <v>19951.495198418481</v>
      </c>
      <c r="DZ339" s="403"/>
      <c r="EA339" s="991"/>
    </row>
    <row r="340" spans="1:131" s="28" customFormat="1">
      <c r="A340" s="977" t="s">
        <v>4219</v>
      </c>
      <c r="B340" s="30" t="s">
        <v>1097</v>
      </c>
      <c r="C340" s="13" t="s">
        <v>515</v>
      </c>
      <c r="D340" s="220"/>
      <c r="E340" s="220"/>
      <c r="F340" s="76">
        <f t="shared" ref="F340:AU340" si="1210">F184-F231-F232-F256+F331+F255+F298+F293+F256+F181+F242</f>
        <v>0.18275733783399209</v>
      </c>
      <c r="G340" s="76">
        <f t="shared" si="1210"/>
        <v>0.18844996920607882</v>
      </c>
      <c r="H340" s="76">
        <f t="shared" si="1210"/>
        <v>0.21105312682389024</v>
      </c>
      <c r="I340" s="76">
        <f t="shared" si="1210"/>
        <v>0.24429807875442575</v>
      </c>
      <c r="J340" s="76">
        <f t="shared" si="1210"/>
        <v>0.25429902182085462</v>
      </c>
      <c r="K340" s="76">
        <f t="shared" si="1210"/>
        <v>0.28827529684108633</v>
      </c>
      <c r="L340" s="76">
        <f t="shared" si="1210"/>
        <v>0.31983117610295136</v>
      </c>
      <c r="M340" s="76">
        <f t="shared" si="1210"/>
        <v>0.33103182314942498</v>
      </c>
      <c r="N340" s="76">
        <f t="shared" si="1210"/>
        <v>0.34613098876980414</v>
      </c>
      <c r="O340" s="76">
        <f t="shared" si="1210"/>
        <v>0.37086482700274204</v>
      </c>
      <c r="P340" s="76">
        <f t="shared" si="1210"/>
        <v>0.43466063045035386</v>
      </c>
      <c r="Q340" s="76">
        <f t="shared" si="1210"/>
        <v>0.49838195734741614</v>
      </c>
      <c r="R340" s="76">
        <f t="shared" si="1210"/>
        <v>0.58552252304466124</v>
      </c>
      <c r="S340" s="76">
        <f t="shared" si="1210"/>
        <v>0.67297705042077505</v>
      </c>
      <c r="T340" s="76">
        <f t="shared" si="1210"/>
        <v>0.71885513062879847</v>
      </c>
      <c r="U340" s="76">
        <f t="shared" si="1210"/>
        <v>0.76307405601428435</v>
      </c>
      <c r="V340" s="76">
        <f t="shared" si="1210"/>
        <v>0.80847430074882964</v>
      </c>
      <c r="W340" s="76">
        <f t="shared" si="1210"/>
        <v>0.88120982605352904</v>
      </c>
      <c r="X340" s="76">
        <f t="shared" si="1210"/>
        <v>0.93899424582251823</v>
      </c>
      <c r="Y340" s="76">
        <f t="shared" si="1210"/>
        <v>1.0225486756634234</v>
      </c>
      <c r="Z340" s="76">
        <f t="shared" si="1210"/>
        <v>1.337446151079996</v>
      </c>
      <c r="AA340" s="76">
        <f t="shared" si="1210"/>
        <v>1.58623435123377</v>
      </c>
      <c r="AB340" s="76">
        <f t="shared" si="1210"/>
        <v>1.6936200834606989</v>
      </c>
      <c r="AC340" s="76">
        <f t="shared" si="1210"/>
        <v>2.1895607764591603</v>
      </c>
      <c r="AD340" s="76">
        <f t="shared" si="1210"/>
        <v>2.4282978668091504</v>
      </c>
      <c r="AE340" s="76">
        <f t="shared" si="1210"/>
        <v>2.569480733285189</v>
      </c>
      <c r="AF340" s="76">
        <f t="shared" si="1210"/>
        <v>2.8416879669885744</v>
      </c>
      <c r="AG340" s="76">
        <f t="shared" si="1210"/>
        <v>3.106742529234904</v>
      </c>
      <c r="AH340" s="76">
        <f t="shared" si="1210"/>
        <v>3.1276794670372667</v>
      </c>
      <c r="AI340" s="76">
        <f t="shared" si="1210"/>
        <v>2.901348768140648</v>
      </c>
      <c r="AJ340" s="76">
        <f t="shared" si="1210"/>
        <v>2.7573564005896687</v>
      </c>
      <c r="AK340" s="76">
        <f t="shared" si="1210"/>
        <v>2.6599797837257686</v>
      </c>
      <c r="AL340" s="76">
        <f t="shared" si="1210"/>
        <v>2.7837614163468243</v>
      </c>
      <c r="AM340" s="76">
        <f t="shared" si="1210"/>
        <v>3.2194582256523128</v>
      </c>
      <c r="AN340" s="76">
        <f t="shared" si="1210"/>
        <v>3.8685916576925501</v>
      </c>
      <c r="AO340" s="76">
        <f t="shared" si="1210"/>
        <v>4.9335990267927352</v>
      </c>
      <c r="AP340" s="76">
        <f t="shared" si="1210"/>
        <v>6.374023195961664</v>
      </c>
      <c r="AQ340" s="76">
        <f t="shared" si="1210"/>
        <v>8.1313722482093418</v>
      </c>
      <c r="AR340" s="76">
        <f t="shared" si="1210"/>
        <v>10.723192053980014</v>
      </c>
      <c r="AS340" s="76">
        <f t="shared" si="1210"/>
        <v>30.439144529975568</v>
      </c>
      <c r="AT340" s="76">
        <f t="shared" si="1210"/>
        <v>131.07947132611267</v>
      </c>
      <c r="AU340" s="76">
        <f t="shared" si="1210"/>
        <v>480.91368949637547</v>
      </c>
      <c r="AV340" s="76">
        <f>AV184-AV231-AV232-AV256+AV331+AV255+AV298+AV293+AV256+AV181+AV242</f>
        <v>580.0812108727863</v>
      </c>
      <c r="AW340" s="76">
        <f>AW184-AW231-AW232-AW256+AW331+AW255+AW298+AW293+AW256+AW181+AW242</f>
        <v>618.09336831179166</v>
      </c>
      <c r="AX340" s="76">
        <f t="shared" ref="AX340:BG340" si="1211">AX184-AX231-AX232-AX256+AX331+AX255+AX298+AX293+AX256+AX181+AX242</f>
        <v>709.74223336586977</v>
      </c>
      <c r="AY340" s="76">
        <f t="shared" si="1211"/>
        <v>1301.0735633564582</v>
      </c>
      <c r="AZ340" s="76">
        <f t="shared" si="1211"/>
        <v>2080.05150248365</v>
      </c>
      <c r="BA340" s="80">
        <f t="shared" si="1211"/>
        <v>3160.377489637337</v>
      </c>
      <c r="BB340" s="80">
        <f t="shared" si="1211"/>
        <v>3669.7941599999995</v>
      </c>
      <c r="BC340" s="80">
        <f t="shared" si="1211"/>
        <v>5391.61798</v>
      </c>
      <c r="BD340" s="80">
        <f t="shared" si="1211"/>
        <v>6414.0720000000001</v>
      </c>
      <c r="BE340" s="80">
        <f t="shared" ca="1" si="1211"/>
        <v>8587.0084619106347</v>
      </c>
      <c r="BF340" s="80">
        <f t="shared" ca="1" si="1211"/>
        <v>9897.4134147840723</v>
      </c>
      <c r="BG340" s="80">
        <f t="shared" ca="1" si="1211"/>
        <v>12166.667913429432</v>
      </c>
      <c r="BH340" s="80">
        <f ca="1">BH184-BH231-BH232-BH256+BH331+BH255+BH298+BH293+BH256+BH181+BH242</f>
        <v>14837.138803497281</v>
      </c>
      <c r="BI340" s="80">
        <f ca="1">BI184-BI231-BI232-BI256+BI331+BI255+BI298+BI293+BI256+BI181+BI242</f>
        <v>14586.071481893328</v>
      </c>
      <c r="BJ340" s="80">
        <f ca="1">BJ184-BJ231-BJ232-BJ256+BJ331+BJ255+BJ298+BJ293+BJ256+BJ181+BJ242</f>
        <v>17279.27139233506</v>
      </c>
      <c r="BK340" s="80">
        <f t="shared" ref="BK340:BP340" ca="1" si="1212">BK184-BK231-BK232-BK256+BK331+BK255+BK298+BK293+BK256+BK181+BK242</f>
        <v>23418.555781955594</v>
      </c>
      <c r="BL340" s="80">
        <f t="shared" ca="1" si="1212"/>
        <v>26091.558603763879</v>
      </c>
      <c r="BM340" s="80">
        <f t="shared" ca="1" si="1212"/>
        <v>26298.57342064962</v>
      </c>
      <c r="BN340" s="80">
        <f t="shared" ca="1" si="1212"/>
        <v>26414.007000000001</v>
      </c>
      <c r="BO340" s="80">
        <f t="shared" ca="1" si="1212"/>
        <v>26617.67446250463</v>
      </c>
      <c r="BP340" s="80">
        <f t="shared" ca="1" si="1212"/>
        <v>33061.687023131388</v>
      </c>
      <c r="BQ340" s="80">
        <f t="shared" ref="BQ340:BV340" ca="1" si="1213">BQ184-BQ231-BQ232-BQ256+BQ331+BQ255+BQ298+BQ293+BQ256+BQ181+BQ242</f>
        <v>39657.776909702952</v>
      </c>
      <c r="BR340" s="80">
        <f t="shared" ca="1" si="1213"/>
        <v>43228.363182126675</v>
      </c>
      <c r="BS340" s="80">
        <f t="shared" ca="1" si="1213"/>
        <v>44943.816585027002</v>
      </c>
      <c r="BT340" s="80">
        <f t="shared" ca="1" si="1213"/>
        <v>46619.116284863951</v>
      </c>
      <c r="BU340" s="80">
        <f t="shared" ca="1" si="1213"/>
        <v>48874.230983299349</v>
      </c>
      <c r="BV340" s="80">
        <f t="shared" ca="1" si="1213"/>
        <v>51251.348774209655</v>
      </c>
      <c r="BW340" s="80">
        <f t="shared" ref="BW340:BX340" ca="1" si="1214">BW184-BW231-BW232-BW256+BW331+BW255+BW298+BW293+BW256+BW181+BW242</f>
        <v>53743.014956496059</v>
      </c>
      <c r="BX340" s="80">
        <f t="shared" ca="1" si="1214"/>
        <v>56365.139496210671</v>
      </c>
      <c r="BY340" s="80">
        <f t="shared" ref="BY340:CD340" ca="1" si="1215">BY184-BY231-BY232-BY256+BY331+BY255+BY298+BY293+BY256+BY181+BY242</f>
        <v>59128.287645848854</v>
      </c>
      <c r="BZ340" s="80">
        <f t="shared" ca="1" si="1215"/>
        <v>62354.90471785378</v>
      </c>
      <c r="CA340" s="80">
        <f t="shared" ca="1" si="1215"/>
        <v>65843.387652734033</v>
      </c>
      <c r="CB340" s="80">
        <f t="shared" ca="1" si="1215"/>
        <v>69544.392599285828</v>
      </c>
      <c r="CC340" s="80">
        <f t="shared" ca="1" si="1215"/>
        <v>73488.325660055096</v>
      </c>
      <c r="CD340" s="80">
        <f t="shared" ca="1" si="1215"/>
        <v>77699.026454138584</v>
      </c>
      <c r="CE340" s="80"/>
      <c r="CF340" s="435"/>
      <c r="CG340" s="235">
        <f t="shared" ca="1" si="1167"/>
        <v>3432.9141957967877</v>
      </c>
      <c r="CH340" s="235">
        <f t="shared" ca="1" si="1168"/>
        <v>-248.17719861434671</v>
      </c>
      <c r="CI340" s="235" t="e">
        <f ca="1">BM340-#REF!</f>
        <v>#REF!</v>
      </c>
      <c r="CJ340" s="235">
        <f t="shared" ca="1" si="1169"/>
        <v>0</v>
      </c>
      <c r="CK340" s="235">
        <f t="shared" ca="1" si="1170"/>
        <v>0</v>
      </c>
      <c r="CL340" s="235">
        <f t="shared" ca="1" si="1171"/>
        <v>0</v>
      </c>
      <c r="CM340" s="235">
        <f t="shared" ca="1" si="1172"/>
        <v>0</v>
      </c>
      <c r="CN340" s="235">
        <f t="shared" ca="1" si="1173"/>
        <v>0</v>
      </c>
      <c r="CO340" s="235">
        <f t="shared" ca="1" si="1174"/>
        <v>0</v>
      </c>
      <c r="CP340" s="235">
        <f t="shared" ca="1" si="1175"/>
        <v>0</v>
      </c>
      <c r="CQ340" s="235">
        <f t="shared" ca="1" si="1176"/>
        <v>0</v>
      </c>
      <c r="CR340" s="235">
        <f t="shared" ca="1" si="1177"/>
        <v>0</v>
      </c>
      <c r="CS340" s="235">
        <f t="shared" ca="1" si="1178"/>
        <v>0</v>
      </c>
      <c r="CT340" s="235">
        <f t="shared" ca="1" si="1179"/>
        <v>0</v>
      </c>
      <c r="CU340" s="235">
        <f t="shared" ca="1" si="1180"/>
        <v>0</v>
      </c>
      <c r="CV340" s="235">
        <f t="shared" ca="1" si="1181"/>
        <v>0</v>
      </c>
      <c r="CW340" s="235">
        <f t="shared" ca="1" si="1182"/>
        <v>0</v>
      </c>
      <c r="CX340" s="235">
        <f t="shared" ca="1" si="1183"/>
        <v>-6.4028427004814148E-10</v>
      </c>
      <c r="CY340" s="235">
        <f t="shared" ca="1" si="1184"/>
        <v>-5.7480065152049065E-9</v>
      </c>
      <c r="CZ340" s="235">
        <f t="shared" ca="1" si="1185"/>
        <v>-3.9508449845016003E-8</v>
      </c>
      <c r="DA340" s="38"/>
      <c r="DB340" s="236">
        <v>9432.9599999999991</v>
      </c>
      <c r="DC340" s="236">
        <v>9433.9599999999991</v>
      </c>
      <c r="DD340" s="236">
        <v>10846.963</v>
      </c>
      <c r="DE340" s="236">
        <v>12881.657962334119</v>
      </c>
      <c r="DF340" s="401">
        <v>11806.355437712427</v>
      </c>
      <c r="DG340" s="236">
        <v>19985.641586158807</v>
      </c>
      <c r="DH340" s="492">
        <v>26339.735802378225</v>
      </c>
      <c r="DI340" s="236">
        <v>26414.007000000001</v>
      </c>
      <c r="DJ340" s="236">
        <v>26617.674462504627</v>
      </c>
      <c r="DK340" s="236">
        <v>33061.687023131381</v>
      </c>
      <c r="DL340" s="236">
        <v>39657.776909702952</v>
      </c>
      <c r="DM340" s="236">
        <v>43228.363182126683</v>
      </c>
      <c r="DN340" s="236">
        <v>44943.816585027009</v>
      </c>
      <c r="DO340" s="236">
        <v>46619.116284863958</v>
      </c>
      <c r="DP340" s="236">
        <v>48874.230983299341</v>
      </c>
      <c r="DQ340" s="403">
        <v>51251.348774209655</v>
      </c>
      <c r="DR340" s="403">
        <v>53743.014956496059</v>
      </c>
      <c r="DS340" s="403">
        <v>56365.139496210686</v>
      </c>
      <c r="DT340" s="403">
        <v>59128.287645848875</v>
      </c>
      <c r="DU340" s="403">
        <v>62354.904717853809</v>
      </c>
      <c r="DV340" s="403">
        <v>65843.387652734091</v>
      </c>
      <c r="DW340" s="403">
        <v>69544.392599286468</v>
      </c>
      <c r="DX340" s="403">
        <v>73488.325660060844</v>
      </c>
      <c r="DY340" s="403">
        <v>77699.026454178093</v>
      </c>
      <c r="DZ340" s="403"/>
      <c r="EA340" s="991"/>
    </row>
    <row r="341" spans="1:131" s="28" customFormat="1">
      <c r="A341" s="977" t="s">
        <v>4220</v>
      </c>
      <c r="B341" s="30" t="s">
        <v>1098</v>
      </c>
      <c r="C341" s="13" t="s">
        <v>516</v>
      </c>
      <c r="D341" s="220"/>
      <c r="E341" s="220"/>
      <c r="F341" s="76">
        <f t="shared" ref="F341:AW341" si="1216">F340-F242-F181</f>
        <v>0.10895850360913006</v>
      </c>
      <c r="G341" s="76">
        <f t="shared" si="1216"/>
        <v>0.11769110933455423</v>
      </c>
      <c r="H341" s="76">
        <f t="shared" si="1216"/>
        <v>0.12689211332147043</v>
      </c>
      <c r="I341" s="76">
        <f t="shared" si="1216"/>
        <v>0.14675006075119934</v>
      </c>
      <c r="J341" s="76">
        <f t="shared" si="1216"/>
        <v>0.16077134388434533</v>
      </c>
      <c r="K341" s="76">
        <f t="shared" si="1216"/>
        <v>0.17550185647158442</v>
      </c>
      <c r="L341" s="76">
        <f t="shared" si="1216"/>
        <v>0.19612327355224624</v>
      </c>
      <c r="M341" s="76">
        <f t="shared" si="1216"/>
        <v>0.20252053090169242</v>
      </c>
      <c r="N341" s="76">
        <f t="shared" si="1216"/>
        <v>0.21574229387223251</v>
      </c>
      <c r="O341" s="76">
        <f t="shared" si="1216"/>
        <v>0.23029873403296808</v>
      </c>
      <c r="P341" s="76">
        <f t="shared" si="1216"/>
        <v>0.28461430981462627</v>
      </c>
      <c r="Q341" s="76">
        <f t="shared" si="1216"/>
        <v>0.32161248078413029</v>
      </c>
      <c r="R341" s="76">
        <f t="shared" si="1216"/>
        <v>0.33704739197316957</v>
      </c>
      <c r="S341" s="76">
        <f t="shared" si="1216"/>
        <v>0.39317197549883509</v>
      </c>
      <c r="T341" s="76">
        <f t="shared" si="1216"/>
        <v>0.41481560034128045</v>
      </c>
      <c r="U341" s="76">
        <f t="shared" si="1216"/>
        <v>0.41446727799599237</v>
      </c>
      <c r="V341" s="76">
        <f t="shared" si="1216"/>
        <v>0.43404324049291138</v>
      </c>
      <c r="W341" s="76">
        <f t="shared" si="1216"/>
        <v>0.45871492220888388</v>
      </c>
      <c r="X341" s="76">
        <f t="shared" si="1216"/>
        <v>0.47988860506844877</v>
      </c>
      <c r="Y341" s="76">
        <f t="shared" si="1216"/>
        <v>0.56479728620927161</v>
      </c>
      <c r="Z341" s="76">
        <f t="shared" si="1216"/>
        <v>0.68359982651429607</v>
      </c>
      <c r="AA341" s="76">
        <f t="shared" si="1216"/>
        <v>0.8696683172954538</v>
      </c>
      <c r="AB341" s="76">
        <f t="shared" si="1216"/>
        <v>0.90930376525406731</v>
      </c>
      <c r="AC341" s="76">
        <f t="shared" si="1216"/>
        <v>1.2685059211237237</v>
      </c>
      <c r="AD341" s="76">
        <f t="shared" si="1216"/>
        <v>1.3671913484205882</v>
      </c>
      <c r="AE341" s="76">
        <f t="shared" si="1216"/>
        <v>1.3928132024264122</v>
      </c>
      <c r="AF341" s="76">
        <f t="shared" si="1216"/>
        <v>1.482486813789311</v>
      </c>
      <c r="AG341" s="76">
        <f t="shared" si="1216"/>
        <v>1.772992225214163</v>
      </c>
      <c r="AH341" s="76">
        <f t="shared" si="1216"/>
        <v>1.8118716811853726</v>
      </c>
      <c r="AI341" s="76">
        <f t="shared" si="1216"/>
        <v>1.6883565154356313</v>
      </c>
      <c r="AJ341" s="76">
        <f t="shared" si="1216"/>
        <v>1.5578412206451477</v>
      </c>
      <c r="AK341" s="76">
        <f t="shared" si="1216"/>
        <v>1.5382126790948178</v>
      </c>
      <c r="AL341" s="76">
        <f t="shared" si="1216"/>
        <v>1.6655130686226765</v>
      </c>
      <c r="AM341" s="76">
        <f t="shared" si="1216"/>
        <v>1.9747835108243474</v>
      </c>
      <c r="AN341" s="76">
        <f t="shared" si="1216"/>
        <v>2.4837293700158409</v>
      </c>
      <c r="AO341" s="76">
        <f t="shared" si="1216"/>
        <v>3.2680027340787223</v>
      </c>
      <c r="AP341" s="76">
        <f t="shared" si="1216"/>
        <v>4.8869619172287528</v>
      </c>
      <c r="AQ341" s="76">
        <f t="shared" si="1216"/>
        <v>6.6791390646377318</v>
      </c>
      <c r="AR341" s="76">
        <f t="shared" si="1216"/>
        <v>9.0846408359392576</v>
      </c>
      <c r="AS341" s="76">
        <f t="shared" si="1216"/>
        <v>14.407547992548347</v>
      </c>
      <c r="AT341" s="76">
        <f t="shared" si="1216"/>
        <v>51.403831247618584</v>
      </c>
      <c r="AU341" s="76">
        <f t="shared" si="1216"/>
        <v>236.03593270873708</v>
      </c>
      <c r="AV341" s="76">
        <f t="shared" si="1216"/>
        <v>355.30293837278634</v>
      </c>
      <c r="AW341" s="76">
        <f t="shared" si="1216"/>
        <v>379.77486831179169</v>
      </c>
      <c r="AX341" s="76">
        <f t="shared" ref="AX341:BG341" si="1217">AX340-AX242-AX181</f>
        <v>460.99053336586979</v>
      </c>
      <c r="AY341" s="76">
        <f t="shared" si="1217"/>
        <v>742.61228235645831</v>
      </c>
      <c r="AZ341" s="76">
        <f t="shared" si="1217"/>
        <v>1206.8739554836502</v>
      </c>
      <c r="BA341" s="80">
        <f t="shared" si="1217"/>
        <v>1859.6574896373368</v>
      </c>
      <c r="BB341" s="80">
        <f t="shared" si="1217"/>
        <v>2333.0646259999994</v>
      </c>
      <c r="BC341" s="80">
        <f t="shared" si="1217"/>
        <v>3382.454471</v>
      </c>
      <c r="BD341" s="80">
        <f t="shared" si="1217"/>
        <v>3739.8207830000001</v>
      </c>
      <c r="BE341" s="80">
        <f t="shared" ca="1" si="1217"/>
        <v>5363.5724749106339</v>
      </c>
      <c r="BF341" s="80">
        <f t="shared" ca="1" si="1217"/>
        <v>6071.944314784072</v>
      </c>
      <c r="BG341" s="80">
        <f t="shared" ca="1" si="1217"/>
        <v>7047.9237644294317</v>
      </c>
      <c r="BH341" s="80">
        <f ca="1">BH340-BH242-BH181</f>
        <v>8512.5563974972811</v>
      </c>
      <c r="BI341" s="80">
        <f ca="1">BI340-BI242-BI181</f>
        <v>8806.2159698933283</v>
      </c>
      <c r="BJ341" s="80">
        <f ca="1">BJ340-BJ242-BJ181</f>
        <v>9111.1963923350613</v>
      </c>
      <c r="BK341" s="80">
        <f t="shared" ref="BK341:BP341" ca="1" si="1218">BK340-BK242-BK181</f>
        <v>12954.432178955592</v>
      </c>
      <c r="BL341" s="80">
        <f t="shared" ca="1" si="1218"/>
        <v>15143.033603763879</v>
      </c>
      <c r="BM341" s="80">
        <f t="shared" ca="1" si="1218"/>
        <v>16040.42842064962</v>
      </c>
      <c r="BN341" s="80">
        <f t="shared" ca="1" si="1218"/>
        <v>17010.607000000004</v>
      </c>
      <c r="BO341" s="80">
        <f t="shared" ca="1" si="1218"/>
        <v>18349.014462504631</v>
      </c>
      <c r="BP341" s="80">
        <f t="shared" ca="1" si="1218"/>
        <v>22623.490149291429</v>
      </c>
      <c r="BQ341" s="80">
        <f t="shared" ref="BQ341:BV341" ca="1" si="1219">BQ340-BQ242-BQ181</f>
        <v>26688.329922455428</v>
      </c>
      <c r="BR341" s="80">
        <f t="shared" ca="1" si="1219"/>
        <v>29403.253821820646</v>
      </c>
      <c r="BS341" s="80">
        <f t="shared" ca="1" si="1219"/>
        <v>30974.108967024105</v>
      </c>
      <c r="BT341" s="80">
        <f t="shared" ca="1" si="1219"/>
        <v>32227.008252848587</v>
      </c>
      <c r="BU341" s="80">
        <f t="shared" ca="1" si="1219"/>
        <v>33844.891074219755</v>
      </c>
      <c r="BV341" s="80">
        <f t="shared" ca="1" si="1219"/>
        <v>35548.192026913835</v>
      </c>
      <c r="BW341" s="80">
        <f t="shared" ref="BW341:BX341" ca="1" si="1220">BW340-BW242-BW181</f>
        <v>37337.495791090303</v>
      </c>
      <c r="BX341" s="80">
        <f t="shared" ca="1" si="1220"/>
        <v>39221.68747777641</v>
      </c>
      <c r="BY341" s="80">
        <f t="shared" ref="BY341:CD341" ca="1" si="1221">BY340-BY242-BY181</f>
        <v>41210.026566650384</v>
      </c>
      <c r="BZ341" s="80">
        <f t="shared" ca="1" si="1221"/>
        <v>43353.250022151566</v>
      </c>
      <c r="CA341" s="80">
        <f t="shared" ca="1" si="1221"/>
        <v>45685.586629350801</v>
      </c>
      <c r="CB341" s="80">
        <f t="shared" ca="1" si="1221"/>
        <v>48161.552204055843</v>
      </c>
      <c r="CC341" s="80">
        <f t="shared" ca="1" si="1221"/>
        <v>50798.287880801952</v>
      </c>
      <c r="CD341" s="80">
        <f t="shared" ca="1" si="1221"/>
        <v>53613.918893098467</v>
      </c>
      <c r="CE341" s="80"/>
      <c r="CF341" s="435"/>
      <c r="CG341" s="235">
        <f t="shared" ca="1" si="1167"/>
        <v>2847.2641957967862</v>
      </c>
      <c r="CH341" s="235">
        <f t="shared" ca="1" si="1168"/>
        <v>-266.26719861434685</v>
      </c>
      <c r="CI341" s="235" t="e">
        <f ca="1">BM341-#REF!</f>
        <v>#REF!</v>
      </c>
      <c r="CJ341" s="235">
        <f t="shared" ca="1" si="1169"/>
        <v>0</v>
      </c>
      <c r="CK341" s="235">
        <f t="shared" ca="1" si="1170"/>
        <v>0</v>
      </c>
      <c r="CL341" s="235">
        <f t="shared" ca="1" si="1171"/>
        <v>0</v>
      </c>
      <c r="CM341" s="235">
        <f t="shared" ca="1" si="1172"/>
        <v>0</v>
      </c>
      <c r="CN341" s="235">
        <f t="shared" ca="1" si="1173"/>
        <v>0</v>
      </c>
      <c r="CO341" s="235">
        <f t="shared" ca="1" si="1174"/>
        <v>0</v>
      </c>
      <c r="CP341" s="235">
        <f t="shared" ca="1" si="1175"/>
        <v>0</v>
      </c>
      <c r="CQ341" s="235">
        <f t="shared" ca="1" si="1176"/>
        <v>0</v>
      </c>
      <c r="CR341" s="235">
        <f t="shared" ca="1" si="1177"/>
        <v>0</v>
      </c>
      <c r="CS341" s="235">
        <f t="shared" ca="1" si="1178"/>
        <v>0</v>
      </c>
      <c r="CT341" s="235">
        <f t="shared" ca="1" si="1179"/>
        <v>0</v>
      </c>
      <c r="CU341" s="235">
        <f t="shared" ca="1" si="1180"/>
        <v>0</v>
      </c>
      <c r="CV341" s="235">
        <f t="shared" ca="1" si="1181"/>
        <v>0</v>
      </c>
      <c r="CW341" s="235">
        <f t="shared" ca="1" si="1182"/>
        <v>-5.8207660913467407E-11</v>
      </c>
      <c r="CX341" s="235">
        <f t="shared" ca="1" si="1183"/>
        <v>-6.2573235481977463E-10</v>
      </c>
      <c r="CY341" s="235">
        <f t="shared" ca="1" si="1184"/>
        <v>-5.6897988542914391E-9</v>
      </c>
      <c r="CZ341" s="235">
        <f t="shared" ca="1" si="1185"/>
        <v>-3.8751750253140926E-8</v>
      </c>
      <c r="DA341" s="38"/>
      <c r="DB341" s="236">
        <v>5024.9283999999998</v>
      </c>
      <c r="DC341" s="236">
        <v>5025.9284000000007</v>
      </c>
      <c r="DD341" s="236">
        <v>5811.5313509999996</v>
      </c>
      <c r="DE341" s="236">
        <v>6603.1120563341192</v>
      </c>
      <c r="DF341" s="401">
        <v>6843.0249257124269</v>
      </c>
      <c r="DG341" s="236">
        <v>10107.167983158806</v>
      </c>
      <c r="DH341" s="492">
        <v>15409.300802378226</v>
      </c>
      <c r="DI341" s="236">
        <v>17010.607000000004</v>
      </c>
      <c r="DJ341" s="236">
        <v>18349.014462504627</v>
      </c>
      <c r="DK341" s="236">
        <v>22623.490149291421</v>
      </c>
      <c r="DL341" s="236">
        <v>26688.329922455428</v>
      </c>
      <c r="DM341" s="236">
        <v>29403.253821820654</v>
      </c>
      <c r="DN341" s="236">
        <v>30974.108967024113</v>
      </c>
      <c r="DO341" s="236">
        <v>32227.008252848595</v>
      </c>
      <c r="DP341" s="236">
        <v>33844.89107421974</v>
      </c>
      <c r="DQ341" s="403">
        <v>35548.192026913835</v>
      </c>
      <c r="DR341" s="403">
        <v>37337.495791090303</v>
      </c>
      <c r="DS341" s="403">
        <v>39221.687477776417</v>
      </c>
      <c r="DT341" s="403">
        <v>41210.026566650398</v>
      </c>
      <c r="DU341" s="403">
        <v>43353.250022151595</v>
      </c>
      <c r="DV341" s="403">
        <v>45685.586629350859</v>
      </c>
      <c r="DW341" s="403">
        <v>48161.552204056468</v>
      </c>
      <c r="DX341" s="403">
        <v>50798.287880807642</v>
      </c>
      <c r="DY341" s="403">
        <v>53613.918893137219</v>
      </c>
      <c r="DZ341" s="403"/>
      <c r="EA341" s="991"/>
    </row>
    <row r="342" spans="1:131" s="28" customFormat="1">
      <c r="A342" s="977" t="s">
        <v>4221</v>
      </c>
      <c r="B342" s="30" t="s">
        <v>227</v>
      </c>
      <c r="C342" s="13" t="s">
        <v>517</v>
      </c>
      <c r="D342" s="220"/>
      <c r="E342" s="220"/>
      <c r="G342" s="28">
        <f t="shared" ref="G342:AW342" si="1222">(G340/F340-1)*100</f>
        <v>3.1148578982134412</v>
      </c>
      <c r="H342" s="28">
        <f t="shared" si="1222"/>
        <v>11.994248506930671</v>
      </c>
      <c r="I342" s="28">
        <f t="shared" si="1222"/>
        <v>15.751935273755112</v>
      </c>
      <c r="J342" s="28">
        <f t="shared" si="1222"/>
        <v>4.0937460979715956</v>
      </c>
      <c r="K342" s="28">
        <f t="shared" si="1222"/>
        <v>13.360757260075861</v>
      </c>
      <c r="L342" s="28">
        <f t="shared" si="1222"/>
        <v>10.946438910185364</v>
      </c>
      <c r="M342" s="28">
        <f t="shared" si="1222"/>
        <v>3.5020497948168083</v>
      </c>
      <c r="N342" s="28">
        <f t="shared" si="1222"/>
        <v>4.5612429272588573</v>
      </c>
      <c r="O342" s="28">
        <f t="shared" si="1222"/>
        <v>7.1458028998921064</v>
      </c>
      <c r="P342" s="28">
        <f t="shared" si="1222"/>
        <v>17.201901825847756</v>
      </c>
      <c r="Q342" s="28">
        <f t="shared" si="1222"/>
        <v>14.660018053864299</v>
      </c>
      <c r="R342" s="28">
        <f t="shared" si="1222"/>
        <v>17.484695104341519</v>
      </c>
      <c r="S342" s="28">
        <f t="shared" si="1222"/>
        <v>14.936150862542164</v>
      </c>
      <c r="T342" s="28">
        <f t="shared" si="1222"/>
        <v>6.8171834655191388</v>
      </c>
      <c r="U342" s="28">
        <f t="shared" si="1222"/>
        <v>6.151298572051167</v>
      </c>
      <c r="V342" s="28">
        <f t="shared" si="1222"/>
        <v>5.9496512005245528</v>
      </c>
      <c r="W342" s="28">
        <f t="shared" si="1222"/>
        <v>8.9966403678298548</v>
      </c>
      <c r="X342" s="28">
        <f t="shared" si="1222"/>
        <v>6.557396213768385</v>
      </c>
      <c r="Y342" s="28">
        <f t="shared" si="1222"/>
        <v>8.8982898684022427</v>
      </c>
      <c r="Z342" s="28">
        <f t="shared" si="1222"/>
        <v>30.795353112385481</v>
      </c>
      <c r="AA342" s="28">
        <f t="shared" si="1222"/>
        <v>18.6017358495425</v>
      </c>
      <c r="AB342" s="28">
        <f t="shared" si="1222"/>
        <v>6.7698528999453611</v>
      </c>
      <c r="AC342" s="28">
        <f t="shared" si="1222"/>
        <v>29.282877419891552</v>
      </c>
      <c r="AD342" s="28">
        <f t="shared" si="1222"/>
        <v>10.903423778720711</v>
      </c>
      <c r="AE342" s="28">
        <f t="shared" si="1222"/>
        <v>5.8140670634264868</v>
      </c>
      <c r="AF342" s="28">
        <f t="shared" si="1222"/>
        <v>10.593861638158963</v>
      </c>
      <c r="AG342" s="28">
        <f t="shared" si="1222"/>
        <v>9.3273633602783068</v>
      </c>
      <c r="AH342" s="28">
        <f t="shared" si="1222"/>
        <v>0.67391930954505685</v>
      </c>
      <c r="AI342" s="28">
        <f t="shared" si="1222"/>
        <v>-7.2363776813425655</v>
      </c>
      <c r="AJ342" s="28">
        <f t="shared" si="1222"/>
        <v>-4.9629458247881679</v>
      </c>
      <c r="AK342" s="28">
        <f t="shared" si="1222"/>
        <v>-3.5315208742357607</v>
      </c>
      <c r="AL342" s="28">
        <f t="shared" si="1222"/>
        <v>4.6534802023073141</v>
      </c>
      <c r="AM342" s="28">
        <f t="shared" si="1222"/>
        <v>15.651370363386263</v>
      </c>
      <c r="AN342" s="28">
        <f t="shared" si="1222"/>
        <v>20.162815807579328</v>
      </c>
      <c r="AO342" s="28">
        <f t="shared" si="1222"/>
        <v>27.529588629041733</v>
      </c>
      <c r="AP342" s="28">
        <f t="shared" si="1222"/>
        <v>29.196214798698961</v>
      </c>
      <c r="AQ342" s="28">
        <f t="shared" si="1222"/>
        <v>27.570484107448291</v>
      </c>
      <c r="AR342" s="28">
        <f t="shared" si="1222"/>
        <v>31.874322397937593</v>
      </c>
      <c r="AS342" s="28">
        <f t="shared" si="1222"/>
        <v>183.8627190182404</v>
      </c>
      <c r="AT342" s="28">
        <f t="shared" si="1222"/>
        <v>330.62797378234296</v>
      </c>
      <c r="AU342" s="28">
        <f t="shared" si="1222"/>
        <v>266.88711407746683</v>
      </c>
      <c r="AV342" s="28">
        <f t="shared" si="1222"/>
        <v>20.620648474419912</v>
      </c>
      <c r="AW342" s="28">
        <f t="shared" si="1222"/>
        <v>6.5529027188818034</v>
      </c>
      <c r="AX342" s="28">
        <f t="shared" ref="AX342:BG342" si="1223">(AX340/AW340-1)*100</f>
        <v>14.827673253379192</v>
      </c>
      <c r="AY342" s="28">
        <f t="shared" si="1223"/>
        <v>83.316350949874931</v>
      </c>
      <c r="AZ342" s="28">
        <f t="shared" si="1223"/>
        <v>59.871936611917256</v>
      </c>
      <c r="BA342" s="30">
        <f t="shared" si="1223"/>
        <v>51.937463368755154</v>
      </c>
      <c r="BB342" s="30">
        <f t="shared" si="1223"/>
        <v>16.118855169453816</v>
      </c>
      <c r="BC342" s="30">
        <f t="shared" si="1223"/>
        <v>46.918811925952838</v>
      </c>
      <c r="BD342" s="30">
        <f t="shared" si="1223"/>
        <v>18.963769758776561</v>
      </c>
      <c r="BE342" s="30">
        <f t="shared" ca="1" si="1223"/>
        <v>33.877643748162399</v>
      </c>
      <c r="BF342" s="30">
        <f t="shared" ca="1" si="1223"/>
        <v>15.260319803875788</v>
      </c>
      <c r="BG342" s="30">
        <f t="shared" ca="1" si="1223"/>
        <v>22.927752974890424</v>
      </c>
      <c r="BH342" s="30">
        <f ca="1">(BH340/BG340-1)*100</f>
        <v>21.949073559575115</v>
      </c>
      <c r="BI342" s="30">
        <f ca="1">(BI340/BH340-1)*100</f>
        <v>-1.6921545651697567</v>
      </c>
      <c r="BJ342" s="30">
        <f ca="1">(BJ340/BI340-1)*100</f>
        <v>18.464189715407485</v>
      </c>
      <c r="BK342" s="30">
        <f t="shared" ref="BK342:BP342" ca="1" si="1224">(BK340/BJ340-1)*100</f>
        <v>35.529764248878394</v>
      </c>
      <c r="BL342" s="30">
        <f t="shared" ca="1" si="1224"/>
        <v>11.414037853981917</v>
      </c>
      <c r="BM342" s="30">
        <f t="shared" ca="1" si="1224"/>
        <v>0.79341682890450294</v>
      </c>
      <c r="BN342" s="30">
        <f t="shared" ca="1" si="1224"/>
        <v>0.43893475704557261</v>
      </c>
      <c r="BO342" s="30">
        <f t="shared" ca="1" si="1224"/>
        <v>0.77105856186314714</v>
      </c>
      <c r="BP342" s="30">
        <f t="shared" ca="1" si="1224"/>
        <v>24.209525027080069</v>
      </c>
      <c r="BQ342" s="30">
        <f t="shared" ref="BQ342:BV342" ca="1" si="1225">(BQ340/BP340-1)*100</f>
        <v>19.950856960071796</v>
      </c>
      <c r="BR342" s="30">
        <f t="shared" ca="1" si="1225"/>
        <v>9.0034957848333708</v>
      </c>
      <c r="BS342" s="30">
        <f t="shared" ca="1" si="1225"/>
        <v>3.9683515095700006</v>
      </c>
      <c r="BT342" s="30">
        <f t="shared" ca="1" si="1225"/>
        <v>3.7275421340053017</v>
      </c>
      <c r="BU342" s="30">
        <f t="shared" ca="1" si="1225"/>
        <v>4.8373175601519769</v>
      </c>
      <c r="BV342" s="30">
        <f t="shared" ca="1" si="1225"/>
        <v>4.8637446422892694</v>
      </c>
      <c r="BW342" s="30">
        <f t="shared" ref="BW342:BX342" ca="1" si="1226">(BW340/BV340-1)*100</f>
        <v>4.8616597258026584</v>
      </c>
      <c r="BX342" s="30">
        <f t="shared" ca="1" si="1226"/>
        <v>4.8790052843837861</v>
      </c>
      <c r="BY342" s="30">
        <f t="shared" ref="BY342" ca="1" si="1227">(BY340/BX340-1)*100</f>
        <v>4.9022288853271423</v>
      </c>
      <c r="BZ342" s="30">
        <f t="shared" ref="BZ342" ca="1" si="1228">(BZ340/BY340-1)*100</f>
        <v>5.4569770248224847</v>
      </c>
      <c r="CA342" s="30">
        <f t="shared" ref="CA342" ca="1" si="1229">(CA340/BZ340-1)*100</f>
        <v>5.5945606054008001</v>
      </c>
      <c r="CB342" s="30">
        <f t="shared" ref="CB342" ca="1" si="1230">(CB340/CA340-1)*100</f>
        <v>5.6209212169813227</v>
      </c>
      <c r="CC342" s="30">
        <f t="shared" ref="CC342" ca="1" si="1231">(CC340/CB340-1)*100</f>
        <v>5.6711014552879524</v>
      </c>
      <c r="CD342" s="30">
        <f t="shared" ref="CD342" ca="1" si="1232">(CD340/CC340-1)*100</f>
        <v>5.7297547008507088</v>
      </c>
      <c r="CE342" s="30"/>
      <c r="CF342" s="435"/>
      <c r="CG342" s="235">
        <f t="shared" ca="1" si="1167"/>
        <v>-0.11529133623704269</v>
      </c>
      <c r="CH342" s="235">
        <f t="shared" ca="1" si="1168"/>
        <v>3.0574790303017352E-2</v>
      </c>
      <c r="CI342" s="235" t="e">
        <f ca="1">BM342-#REF!</f>
        <v>#REF!</v>
      </c>
      <c r="CJ342" s="235">
        <f t="shared" ca="1" si="1169"/>
        <v>0</v>
      </c>
      <c r="CK342" s="235">
        <f t="shared" ca="1" si="1170"/>
        <v>2.2204460492503131E-14</v>
      </c>
      <c r="CL342" s="235">
        <f t="shared" ca="1" si="1171"/>
        <v>0</v>
      </c>
      <c r="CM342" s="235">
        <f t="shared" ca="1" si="1172"/>
        <v>-4.2632564145606011E-14</v>
      </c>
      <c r="CN342" s="235">
        <f t="shared" ca="1" si="1173"/>
        <v>0</v>
      </c>
      <c r="CO342" s="235">
        <f t="shared" ca="1" si="1174"/>
        <v>0</v>
      </c>
      <c r="CP342" s="235">
        <f t="shared" ca="1" si="1175"/>
        <v>0</v>
      </c>
      <c r="CQ342" s="235">
        <f t="shared" ca="1" si="1176"/>
        <v>2.2204460492503131E-14</v>
      </c>
      <c r="CR342" s="235">
        <f t="shared" ca="1" si="1177"/>
        <v>-2.2204460492503131E-14</v>
      </c>
      <c r="CS342" s="235">
        <f t="shared" ca="1" si="1178"/>
        <v>0</v>
      </c>
      <c r="CT342" s="235">
        <f t="shared" ca="1" si="1179"/>
        <v>-2.2204460492503131E-14</v>
      </c>
      <c r="CU342" s="235">
        <f t="shared" ca="1" si="1180"/>
        <v>-2.2204460492503131E-14</v>
      </c>
      <c r="CV342" s="235">
        <f t="shared" ca="1" si="1181"/>
        <v>-2.2204460492503131E-14</v>
      </c>
      <c r="CW342" s="235">
        <f t="shared" ca="1" si="1182"/>
        <v>-4.4408920985006262E-14</v>
      </c>
      <c r="CX342" s="235">
        <f t="shared" ca="1" si="1183"/>
        <v>-8.8817841970012523E-13</v>
      </c>
      <c r="CY342" s="235">
        <f t="shared" ca="1" si="1184"/>
        <v>-7.30526750203353E-12</v>
      </c>
      <c r="CZ342" s="235">
        <f t="shared" ca="1" si="1185"/>
        <v>-4.5496939549138915E-11</v>
      </c>
      <c r="DA342" s="38"/>
      <c r="DB342" s="236">
        <v>5.6704959961646502</v>
      </c>
      <c r="DC342" s="236">
        <v>6.6704959961646493</v>
      </c>
      <c r="DD342" s="236">
        <v>14.977835394680472</v>
      </c>
      <c r="DE342" s="236">
        <v>18.758199528606468</v>
      </c>
      <c r="DF342" s="403">
        <v>1.5510198536046849</v>
      </c>
      <c r="DG342" s="236">
        <v>35.645055585115436</v>
      </c>
      <c r="DH342" s="492">
        <v>11.383463063678899</v>
      </c>
      <c r="DI342" s="236">
        <v>0.43893475704557261</v>
      </c>
      <c r="DJ342" s="236">
        <v>0.77105856186312494</v>
      </c>
      <c r="DK342" s="236">
        <v>24.209525027080048</v>
      </c>
      <c r="DL342" s="236">
        <v>19.950856960071839</v>
      </c>
      <c r="DM342" s="236">
        <v>9.0034957848333708</v>
      </c>
      <c r="DN342" s="236">
        <v>3.9683515095700006</v>
      </c>
      <c r="DO342" s="236">
        <v>3.7275421340053017</v>
      </c>
      <c r="DP342" s="236">
        <v>4.8373175601519547</v>
      </c>
      <c r="DQ342" s="403">
        <v>4.8637446422892916</v>
      </c>
      <c r="DR342" s="403">
        <v>4.8616597258026584</v>
      </c>
      <c r="DS342" s="403">
        <v>4.8790052843838083</v>
      </c>
      <c r="DT342" s="403">
        <v>4.9022288853271645</v>
      </c>
      <c r="DU342" s="403">
        <v>5.4569770248225069</v>
      </c>
      <c r="DV342" s="403">
        <v>5.5945606054008445</v>
      </c>
      <c r="DW342" s="403">
        <v>5.6209212169822109</v>
      </c>
      <c r="DX342" s="403">
        <v>5.6711014552952577</v>
      </c>
      <c r="DY342" s="403">
        <v>5.7297547008962058</v>
      </c>
      <c r="DZ342" s="403"/>
      <c r="EA342" s="991"/>
    </row>
    <row r="343" spans="1:131" s="28" customFormat="1">
      <c r="B343" s="30"/>
      <c r="C343" s="13"/>
      <c r="D343" s="220"/>
      <c r="E343" s="220"/>
      <c r="F343" s="220"/>
      <c r="G343" s="220"/>
      <c r="H343" s="220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13"/>
      <c r="AV343" s="76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  <c r="BV343" s="30"/>
      <c r="BW343" s="30"/>
      <c r="BX343" s="30"/>
      <c r="BY343" s="30"/>
      <c r="BZ343" s="30"/>
      <c r="CA343" s="30"/>
      <c r="CB343" s="30"/>
      <c r="CC343" s="30"/>
      <c r="CD343" s="30"/>
      <c r="CE343" s="30"/>
      <c r="CF343" s="435"/>
      <c r="CG343" s="235">
        <f t="shared" si="1167"/>
        <v>0</v>
      </c>
      <c r="CH343" s="235">
        <f t="shared" si="1168"/>
        <v>0</v>
      </c>
      <c r="CI343" s="235" t="e">
        <f>BM343-#REF!</f>
        <v>#REF!</v>
      </c>
      <c r="CJ343" s="235">
        <f t="shared" si="1169"/>
        <v>0</v>
      </c>
      <c r="CK343" s="235">
        <f t="shared" si="1170"/>
        <v>0</v>
      </c>
      <c r="CL343" s="235">
        <f t="shared" si="1171"/>
        <v>0</v>
      </c>
      <c r="CM343" s="235">
        <f t="shared" si="1172"/>
        <v>0</v>
      </c>
      <c r="CN343" s="235">
        <f t="shared" si="1173"/>
        <v>0</v>
      </c>
      <c r="CO343" s="235">
        <f t="shared" si="1174"/>
        <v>0</v>
      </c>
      <c r="CP343" s="235">
        <f t="shared" si="1175"/>
        <v>0</v>
      </c>
      <c r="CQ343" s="235">
        <f t="shared" si="1176"/>
        <v>0</v>
      </c>
      <c r="CR343" s="235">
        <f t="shared" si="1177"/>
        <v>0</v>
      </c>
      <c r="CS343" s="235">
        <f t="shared" si="1178"/>
        <v>0</v>
      </c>
      <c r="CT343" s="235">
        <f t="shared" si="1179"/>
        <v>0</v>
      </c>
      <c r="CU343" s="235">
        <f t="shared" si="1180"/>
        <v>0</v>
      </c>
      <c r="CV343" s="235">
        <f t="shared" si="1181"/>
        <v>0</v>
      </c>
      <c r="CW343" s="235">
        <f t="shared" si="1182"/>
        <v>0</v>
      </c>
      <c r="CX343" s="235">
        <f t="shared" si="1183"/>
        <v>0</v>
      </c>
      <c r="CY343" s="235">
        <f t="shared" si="1184"/>
        <v>0</v>
      </c>
      <c r="CZ343" s="235">
        <f t="shared" si="1185"/>
        <v>0</v>
      </c>
      <c r="DA343" s="38"/>
      <c r="DB343" s="236"/>
      <c r="DC343" s="236"/>
      <c r="DD343" s="236"/>
      <c r="DE343" s="236"/>
      <c r="DF343" s="403"/>
      <c r="DG343" s="236"/>
      <c r="DH343" s="492"/>
      <c r="DI343" s="236"/>
      <c r="DJ343" s="236"/>
      <c r="DK343" s="236"/>
      <c r="DL343" s="236"/>
      <c r="DM343" s="236"/>
      <c r="DN343" s="236"/>
      <c r="DO343" s="236"/>
      <c r="DP343" s="236"/>
      <c r="DQ343" s="403"/>
      <c r="DR343" s="403"/>
      <c r="DS343" s="403"/>
      <c r="DT343" s="403"/>
      <c r="DU343" s="403"/>
      <c r="DV343" s="403"/>
      <c r="DW343" s="403"/>
      <c r="DX343" s="403"/>
      <c r="DY343" s="403"/>
      <c r="DZ343" s="403"/>
      <c r="EA343" s="991"/>
    </row>
    <row r="344" spans="1:131">
      <c r="CF344" s="435"/>
      <c r="CG344" s="235">
        <f t="shared" si="1167"/>
        <v>0</v>
      </c>
      <c r="CH344" s="235">
        <f t="shared" si="1168"/>
        <v>0</v>
      </c>
      <c r="CI344" s="235" t="e">
        <f>BM344-#REF!</f>
        <v>#REF!</v>
      </c>
      <c r="CJ344" s="235">
        <f t="shared" si="1169"/>
        <v>0</v>
      </c>
      <c r="CK344" s="235">
        <f t="shared" si="1170"/>
        <v>0</v>
      </c>
      <c r="CL344" s="235">
        <f t="shared" si="1171"/>
        <v>0</v>
      </c>
      <c r="CM344" s="235">
        <f t="shared" si="1172"/>
        <v>0</v>
      </c>
      <c r="CN344" s="235">
        <f t="shared" si="1173"/>
        <v>0</v>
      </c>
      <c r="CO344" s="235">
        <f t="shared" si="1174"/>
        <v>0</v>
      </c>
      <c r="CP344" s="235">
        <f t="shared" si="1175"/>
        <v>0</v>
      </c>
      <c r="CQ344" s="235">
        <f t="shared" si="1176"/>
        <v>0</v>
      </c>
      <c r="CR344" s="235">
        <f t="shared" si="1177"/>
        <v>0</v>
      </c>
      <c r="CS344" s="235">
        <f t="shared" si="1178"/>
        <v>0</v>
      </c>
      <c r="CT344" s="235">
        <f t="shared" si="1179"/>
        <v>0</v>
      </c>
      <c r="CU344" s="235">
        <f t="shared" si="1180"/>
        <v>0</v>
      </c>
      <c r="CV344" s="235">
        <f t="shared" si="1181"/>
        <v>0</v>
      </c>
      <c r="CW344" s="235">
        <f t="shared" si="1182"/>
        <v>0</v>
      </c>
      <c r="CX344" s="235">
        <f t="shared" si="1183"/>
        <v>0</v>
      </c>
      <c r="CY344" s="235">
        <f t="shared" si="1184"/>
        <v>0</v>
      </c>
      <c r="CZ344" s="235">
        <f t="shared" si="1185"/>
        <v>0</v>
      </c>
      <c r="DF344" s="258"/>
    </row>
    <row r="345" spans="1:131" s="14" customFormat="1">
      <c r="B345" s="147" t="s">
        <v>3880</v>
      </c>
      <c r="D345" s="226"/>
      <c r="E345" s="226"/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26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  <c r="AP345" s="226"/>
      <c r="AQ345" s="226"/>
      <c r="AR345" s="226"/>
      <c r="AS345" s="226"/>
      <c r="AT345" s="226"/>
      <c r="CF345" s="435"/>
      <c r="CG345" s="235">
        <f t="shared" si="1167"/>
        <v>0</v>
      </c>
      <c r="CH345" s="235">
        <f t="shared" si="1168"/>
        <v>0</v>
      </c>
      <c r="CI345" s="235" t="e">
        <f>BM345-#REF!</f>
        <v>#REF!</v>
      </c>
      <c r="CJ345" s="235">
        <f t="shared" si="1169"/>
        <v>0</v>
      </c>
      <c r="CK345" s="235">
        <f t="shared" si="1170"/>
        <v>0</v>
      </c>
      <c r="CL345" s="235">
        <f t="shared" si="1171"/>
        <v>0</v>
      </c>
      <c r="CM345" s="235">
        <f t="shared" si="1172"/>
        <v>0</v>
      </c>
      <c r="CN345" s="235">
        <f t="shared" si="1173"/>
        <v>0</v>
      </c>
      <c r="CO345" s="235">
        <f t="shared" si="1174"/>
        <v>0</v>
      </c>
      <c r="CP345" s="235">
        <f t="shared" si="1175"/>
        <v>0</v>
      </c>
      <c r="CQ345" s="235">
        <f t="shared" si="1176"/>
        <v>0</v>
      </c>
      <c r="CR345" s="235">
        <f t="shared" si="1177"/>
        <v>0</v>
      </c>
      <c r="CS345" s="235">
        <f t="shared" si="1178"/>
        <v>0</v>
      </c>
      <c r="CT345" s="235">
        <f t="shared" si="1179"/>
        <v>0</v>
      </c>
      <c r="CU345" s="235">
        <f t="shared" si="1180"/>
        <v>0</v>
      </c>
      <c r="CV345" s="235">
        <f t="shared" si="1181"/>
        <v>0</v>
      </c>
      <c r="CW345" s="235">
        <f t="shared" si="1182"/>
        <v>0</v>
      </c>
      <c r="CX345" s="235">
        <f t="shared" si="1183"/>
        <v>0</v>
      </c>
      <c r="CY345" s="235">
        <f t="shared" si="1184"/>
        <v>0</v>
      </c>
      <c r="CZ345" s="235">
        <f t="shared" si="1185"/>
        <v>0</v>
      </c>
      <c r="DA345" s="38"/>
      <c r="DB345" s="236"/>
      <c r="DC345" s="236"/>
      <c r="DD345" s="236"/>
      <c r="DE345" s="236"/>
      <c r="DF345" s="258"/>
      <c r="DG345" s="236"/>
      <c r="DH345" s="492"/>
      <c r="DI345" s="236"/>
      <c r="DJ345" s="236"/>
      <c r="DK345" s="236"/>
      <c r="DL345" s="236"/>
      <c r="DM345" s="236"/>
      <c r="DN345" s="236"/>
      <c r="DO345" s="236"/>
      <c r="DP345" s="236"/>
      <c r="DQ345" s="258"/>
      <c r="DR345" s="258"/>
      <c r="DS345" s="258"/>
      <c r="DT345" s="258"/>
      <c r="DU345" s="258"/>
      <c r="DV345" s="258"/>
      <c r="DW345" s="258"/>
      <c r="DX345" s="258"/>
      <c r="DY345" s="258"/>
      <c r="DZ345" s="258"/>
      <c r="EA345" s="967"/>
    </row>
    <row r="346" spans="1:131" s="18" customFormat="1">
      <c r="A346" s="18" t="s">
        <v>3882</v>
      </c>
      <c r="B346" s="153" t="s">
        <v>4645</v>
      </c>
      <c r="C346" s="16"/>
      <c r="D346" s="227"/>
      <c r="E346" s="227"/>
      <c r="F346" s="227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27"/>
      <c r="Y346" s="227"/>
      <c r="Z346" s="227"/>
      <c r="AA346" s="227"/>
      <c r="AB346" s="227"/>
      <c r="AC346" s="227"/>
      <c r="AD346" s="227"/>
      <c r="AE346" s="227"/>
      <c r="AF346" s="227"/>
      <c r="AG346" s="227"/>
      <c r="AH346" s="227"/>
      <c r="AI346" s="227"/>
      <c r="AJ346" s="227"/>
      <c r="AK346" s="227"/>
      <c r="AL346" s="227"/>
      <c r="AM346" s="227"/>
      <c r="AN346" s="227"/>
      <c r="AO346" s="227"/>
      <c r="AP346" s="227"/>
      <c r="AQ346" s="227"/>
      <c r="AR346" s="227"/>
      <c r="AS346" s="227"/>
      <c r="AT346" s="227"/>
      <c r="BA346" s="38"/>
      <c r="BB346" s="38"/>
      <c r="BC346" s="38"/>
      <c r="BD346" s="38"/>
      <c r="CF346" s="435"/>
      <c r="CG346" s="235">
        <f t="shared" si="1167"/>
        <v>0</v>
      </c>
      <c r="CH346" s="235">
        <f t="shared" si="1168"/>
        <v>0</v>
      </c>
      <c r="CI346" s="235" t="e">
        <f>BM346-#REF!</f>
        <v>#REF!</v>
      </c>
      <c r="CJ346" s="235">
        <f t="shared" si="1169"/>
        <v>0</v>
      </c>
      <c r="CK346" s="235">
        <f t="shared" si="1170"/>
        <v>0</v>
      </c>
      <c r="CL346" s="235">
        <f t="shared" si="1171"/>
        <v>0</v>
      </c>
      <c r="CM346" s="235">
        <f t="shared" si="1172"/>
        <v>0</v>
      </c>
      <c r="CN346" s="235">
        <f t="shared" si="1173"/>
        <v>0</v>
      </c>
      <c r="CO346" s="235">
        <f t="shared" si="1174"/>
        <v>0</v>
      </c>
      <c r="CP346" s="235">
        <f t="shared" si="1175"/>
        <v>0</v>
      </c>
      <c r="CQ346" s="235">
        <f t="shared" si="1176"/>
        <v>0</v>
      </c>
      <c r="CR346" s="235">
        <f t="shared" si="1177"/>
        <v>0</v>
      </c>
      <c r="CS346" s="235">
        <f t="shared" si="1178"/>
        <v>0</v>
      </c>
      <c r="CT346" s="235">
        <f t="shared" si="1179"/>
        <v>0</v>
      </c>
      <c r="CU346" s="235">
        <f t="shared" si="1180"/>
        <v>0</v>
      </c>
      <c r="CV346" s="235">
        <f t="shared" si="1181"/>
        <v>0</v>
      </c>
      <c r="CW346" s="235">
        <f t="shared" si="1182"/>
        <v>0</v>
      </c>
      <c r="CX346" s="235">
        <f t="shared" si="1183"/>
        <v>0</v>
      </c>
      <c r="CY346" s="235">
        <f t="shared" si="1184"/>
        <v>0</v>
      </c>
      <c r="CZ346" s="235">
        <f t="shared" si="1185"/>
        <v>0</v>
      </c>
      <c r="DA346" s="38"/>
      <c r="DB346" s="236"/>
      <c r="DC346" s="236"/>
      <c r="DD346" s="236"/>
      <c r="DE346" s="236"/>
      <c r="DF346" s="258"/>
      <c r="DG346" s="236"/>
      <c r="DH346" s="492"/>
      <c r="DI346" s="236"/>
      <c r="DJ346" s="236"/>
      <c r="DK346" s="236"/>
      <c r="DL346" s="236"/>
      <c r="DM346" s="236"/>
      <c r="DN346" s="236"/>
      <c r="DO346" s="236"/>
      <c r="DP346" s="236"/>
      <c r="DQ346" s="258"/>
      <c r="DR346" s="258"/>
      <c r="DS346" s="258"/>
      <c r="DT346" s="258"/>
      <c r="DU346" s="258"/>
      <c r="DV346" s="258"/>
      <c r="DW346" s="258"/>
      <c r="DX346" s="258"/>
      <c r="DY346" s="258"/>
      <c r="DZ346" s="258"/>
      <c r="EA346" s="967"/>
    </row>
    <row r="347" spans="1:131" s="18" customFormat="1">
      <c r="A347" s="983" t="s">
        <v>4207</v>
      </c>
      <c r="B347" s="19" t="s">
        <v>2030</v>
      </c>
      <c r="C347" s="18" t="s">
        <v>3740</v>
      </c>
      <c r="D347" s="207" t="s">
        <v>2499</v>
      </c>
      <c r="E347" s="207"/>
      <c r="F347" s="207"/>
      <c r="G347" s="207"/>
      <c r="H347" s="207"/>
      <c r="I347" s="207"/>
      <c r="J347" s="207"/>
      <c r="K347" s="207"/>
      <c r="L347" s="207"/>
      <c r="M347" s="207"/>
      <c r="N347" s="207"/>
      <c r="O347" s="207"/>
      <c r="P347" s="207"/>
      <c r="Q347" s="207"/>
      <c r="R347" s="207"/>
      <c r="S347" s="207"/>
      <c r="T347" s="207"/>
      <c r="U347" s="207"/>
      <c r="V347" s="207"/>
      <c r="W347" s="207"/>
      <c r="X347" s="207"/>
      <c r="Y347" s="207"/>
      <c r="Z347" s="207"/>
      <c r="AA347" s="207"/>
      <c r="AB347" s="207"/>
      <c r="AC347" s="207"/>
      <c r="AD347" s="207"/>
      <c r="AE347" s="207"/>
      <c r="AF347" s="207"/>
      <c r="AG347" s="207"/>
      <c r="AH347" s="207"/>
      <c r="AI347" s="207"/>
      <c r="AJ347" s="207"/>
      <c r="AK347" s="207"/>
      <c r="AL347" s="207"/>
      <c r="AM347" s="207"/>
      <c r="AN347" s="207"/>
      <c r="AO347" s="207"/>
      <c r="AP347" s="207"/>
      <c r="AQ347" s="207"/>
      <c r="AR347" s="207"/>
      <c r="AS347" s="207"/>
      <c r="AT347" s="309"/>
      <c r="AU347" s="16"/>
      <c r="BA347" s="23">
        <f>DataInput!BA777</f>
        <v>-162.1</v>
      </c>
      <c r="BB347" s="23">
        <f>DataInput!BB777</f>
        <v>244</v>
      </c>
      <c r="BC347" s="23">
        <f>DataInput!BC777</f>
        <v>20.9</v>
      </c>
      <c r="BD347" s="23">
        <f>DataInput!BD777</f>
        <v>103.3</v>
      </c>
      <c r="BE347" s="23">
        <f>DataInput!BE777</f>
        <v>25.4</v>
      </c>
      <c r="BF347" s="23">
        <f>DataInput!BF777</f>
        <v>-31.7</v>
      </c>
      <c r="BG347" s="290">
        <f>DataInput!BG691-DataInput!BF691</f>
        <v>-191.29999999999998</v>
      </c>
      <c r="BH347" s="290">
        <f>DataInput!BH691-DataInput!BG691</f>
        <v>-212.2</v>
      </c>
      <c r="BI347" s="290">
        <f>DataInput!BI691-DataInput!BH691</f>
        <v>188.8</v>
      </c>
      <c r="BJ347" s="290">
        <f>DataInput!BJ691-DataInput!BI691</f>
        <v>75.7</v>
      </c>
      <c r="BK347" s="290">
        <f>DataInput!BK691-DataInput!BJ691</f>
        <v>-254.60000000000002</v>
      </c>
      <c r="BL347" s="290">
        <f>DataInput!BL691-DataInput!BK691</f>
        <v>53.800000000000004</v>
      </c>
      <c r="BM347" s="290">
        <f>DataInput!BM691-DataInput!BL691</f>
        <v>534.9</v>
      </c>
      <c r="BN347" s="290">
        <f>DataInput!BN691-DataInput!BM691</f>
        <v>766</v>
      </c>
      <c r="BO347" s="290">
        <f>DataInput!BO691-DataInput!BN691</f>
        <v>973.40000000000009</v>
      </c>
      <c r="BP347" s="76">
        <f t="shared" ref="BP347:BV347" ca="1" si="1233">BP273+BP274</f>
        <v>1321.1990227348961</v>
      </c>
      <c r="BQ347" s="76">
        <f t="shared" ca="1" si="1233"/>
        <v>1586.2374129216482</v>
      </c>
      <c r="BR347" s="76">
        <f t="shared" ca="1" si="1233"/>
        <v>1751.4746200626878</v>
      </c>
      <c r="BS347" s="76">
        <f t="shared" ca="1" si="1233"/>
        <v>2081.8704678778959</v>
      </c>
      <c r="BT347" s="76">
        <f t="shared" ca="1" si="1233"/>
        <v>2560.6213347458292</v>
      </c>
      <c r="BU347" s="76">
        <f t="shared" ca="1" si="1233"/>
        <v>3022.9446680532469</v>
      </c>
      <c r="BV347" s="76">
        <f t="shared" ca="1" si="1233"/>
        <v>3559.4356619767559</v>
      </c>
      <c r="BW347" s="76">
        <f t="shared" ref="BW347:BX347" ca="1" si="1234">BW273+BW274</f>
        <v>4160.0627697761211</v>
      </c>
      <c r="BX347" s="76">
        <f t="shared" ca="1" si="1234"/>
        <v>4836.7989275401778</v>
      </c>
      <c r="BY347" s="76">
        <f t="shared" ref="BY347:CD347" ca="1" si="1235">BY273+BY274</f>
        <v>5607.586279315603</v>
      </c>
      <c r="BZ347" s="76">
        <f t="shared" ca="1" si="1235"/>
        <v>6447.8737970336988</v>
      </c>
      <c r="CA347" s="76">
        <f t="shared" ca="1" si="1235"/>
        <v>7388.6695721770666</v>
      </c>
      <c r="CB347" s="76">
        <f t="shared" ca="1" si="1235"/>
        <v>8430.6756147573396</v>
      </c>
      <c r="CC347" s="76">
        <f t="shared" ca="1" si="1235"/>
        <v>9604.4331369041047</v>
      </c>
      <c r="CD347" s="76">
        <f t="shared" ca="1" si="1235"/>
        <v>10925.409487642502</v>
      </c>
      <c r="CE347" s="76"/>
      <c r="CF347" s="435"/>
      <c r="CG347" s="235">
        <f t="shared" si="1167"/>
        <v>0</v>
      </c>
      <c r="CH347" s="235">
        <f t="shared" si="1168"/>
        <v>0</v>
      </c>
      <c r="CI347" s="235" t="e">
        <f>BM347-#REF!</f>
        <v>#REF!</v>
      </c>
      <c r="CJ347" s="235">
        <f t="shared" si="1169"/>
        <v>0</v>
      </c>
      <c r="CK347" s="235">
        <f t="shared" si="1170"/>
        <v>0</v>
      </c>
      <c r="CL347" s="235">
        <f t="shared" ca="1" si="1171"/>
        <v>0</v>
      </c>
      <c r="CM347" s="235">
        <f t="shared" ca="1" si="1172"/>
        <v>2.7284841053187847E-12</v>
      </c>
      <c r="CN347" s="235">
        <f t="shared" ca="1" si="1173"/>
        <v>2.7284841053187847E-12</v>
      </c>
      <c r="CO347" s="235">
        <f t="shared" ca="1" si="1174"/>
        <v>3.637978807091713E-12</v>
      </c>
      <c r="CP347" s="235">
        <f t="shared" ca="1" si="1175"/>
        <v>0</v>
      </c>
      <c r="CQ347" s="235">
        <f t="shared" ca="1" si="1176"/>
        <v>-3.637978807091713E-12</v>
      </c>
      <c r="CR347" s="235">
        <f t="shared" ca="1" si="1177"/>
        <v>-5.9117155615240335E-12</v>
      </c>
      <c r="CS347" s="235">
        <f t="shared" ca="1" si="1178"/>
        <v>-7.2759576141834259E-12</v>
      </c>
      <c r="CT347" s="235">
        <f t="shared" ca="1" si="1179"/>
        <v>0</v>
      </c>
      <c r="CU347" s="235">
        <f t="shared" ca="1" si="1180"/>
        <v>-7.2759576141834259E-12</v>
      </c>
      <c r="CV347" s="235">
        <f t="shared" ca="1" si="1181"/>
        <v>0</v>
      </c>
      <c r="CW347" s="235">
        <f t="shared" ca="1" si="1182"/>
        <v>9.0949470177292824E-12</v>
      </c>
      <c r="CX347" s="235">
        <f t="shared" ca="1" si="1183"/>
        <v>3.0013325158506632E-10</v>
      </c>
      <c r="CY347" s="235">
        <f t="shared" ca="1" si="1184"/>
        <v>3.0686351237818599E-9</v>
      </c>
      <c r="CZ347" s="235">
        <f t="shared" ca="1" si="1185"/>
        <v>2.4108885554596782E-8</v>
      </c>
      <c r="DA347" s="38"/>
      <c r="DB347" s="236">
        <v>-32.700000000000003</v>
      </c>
      <c r="DC347" s="236">
        <v>-31.7</v>
      </c>
      <c r="DD347" s="236">
        <v>-114.4</v>
      </c>
      <c r="DE347" s="236">
        <v>-239.3</v>
      </c>
      <c r="DF347" s="236">
        <v>221.7</v>
      </c>
      <c r="DG347" s="236">
        <v>-254.60000000000002</v>
      </c>
      <c r="DH347" s="492">
        <v>53.800000000000004</v>
      </c>
      <c r="DI347" s="236">
        <v>766</v>
      </c>
      <c r="DJ347" s="236">
        <v>973.40000000000009</v>
      </c>
      <c r="DK347" s="236">
        <v>1321.1990227348952</v>
      </c>
      <c r="DL347" s="236">
        <v>1586.2374129216455</v>
      </c>
      <c r="DM347" s="236">
        <v>1751.4746200626851</v>
      </c>
      <c r="DN347" s="236">
        <v>2081.8704678778922</v>
      </c>
      <c r="DO347" s="236">
        <v>2560.6213347458274</v>
      </c>
      <c r="DP347" s="236">
        <v>3022.9446680532506</v>
      </c>
      <c r="DQ347" s="258">
        <v>3559.4356619767618</v>
      </c>
      <c r="DR347" s="258">
        <v>4160.0627697761283</v>
      </c>
      <c r="DS347" s="258">
        <v>4836.7989275401815</v>
      </c>
      <c r="DT347" s="258">
        <v>5607.5862793156102</v>
      </c>
      <c r="DU347" s="258">
        <v>6447.8737970337042</v>
      </c>
      <c r="DV347" s="258">
        <v>7388.6695721770575</v>
      </c>
      <c r="DW347" s="258">
        <v>8430.6756147570395</v>
      </c>
      <c r="DX347" s="258">
        <v>9604.4331369010361</v>
      </c>
      <c r="DY347" s="258">
        <v>10925.409487618394</v>
      </c>
      <c r="DZ347" s="258"/>
      <c r="EA347" s="967"/>
    </row>
    <row r="348" spans="1:131" s="18" customFormat="1">
      <c r="A348" s="983" t="s">
        <v>4206</v>
      </c>
      <c r="B348" s="19" t="s">
        <v>2793</v>
      </c>
      <c r="C348" s="18" t="s">
        <v>3741</v>
      </c>
      <c r="D348" s="207" t="s">
        <v>2499</v>
      </c>
      <c r="E348" s="207"/>
      <c r="F348" s="207"/>
      <c r="G348" s="207"/>
      <c r="H348" s="207"/>
      <c r="I348" s="207"/>
      <c r="J348" s="207"/>
      <c r="K348" s="207"/>
      <c r="L348" s="207"/>
      <c r="M348" s="207"/>
      <c r="N348" s="207"/>
      <c r="O348" s="207"/>
      <c r="P348" s="207"/>
      <c r="Q348" s="207"/>
      <c r="R348" s="207"/>
      <c r="S348" s="207"/>
      <c r="T348" s="207"/>
      <c r="U348" s="207"/>
      <c r="V348" s="207"/>
      <c r="W348" s="207"/>
      <c r="X348" s="207"/>
      <c r="Y348" s="207"/>
      <c r="Z348" s="207"/>
      <c r="AA348" s="207"/>
      <c r="AB348" s="207"/>
      <c r="AC348" s="207"/>
      <c r="AD348" s="207"/>
      <c r="AE348" s="207"/>
      <c r="AF348" s="207"/>
      <c r="AG348" s="207"/>
      <c r="AH348" s="207"/>
      <c r="AI348" s="207"/>
      <c r="AJ348" s="207"/>
      <c r="AK348" s="207"/>
      <c r="AL348" s="207"/>
      <c r="AM348" s="207"/>
      <c r="AN348" s="207"/>
      <c r="AO348" s="207"/>
      <c r="AP348" s="207"/>
      <c r="AQ348" s="207"/>
      <c r="AR348" s="207"/>
      <c r="AS348" s="207"/>
      <c r="AT348" s="309"/>
      <c r="AU348" s="16"/>
      <c r="BA348" s="23">
        <f>DataInput!BA778+DataInput!BA779</f>
        <v>64.5</v>
      </c>
      <c r="BB348" s="23">
        <f>DataInput!BB778+DataInput!BB779</f>
        <v>-102.39999999999999</v>
      </c>
      <c r="BC348" s="23">
        <f>DataInput!BC778+DataInput!BC779</f>
        <v>-11.899999999999991</v>
      </c>
      <c r="BD348" s="23">
        <f>DataInput!BD778+DataInput!BD779</f>
        <v>-41.399999999999991</v>
      </c>
      <c r="BE348" s="23">
        <f>DataInput!BE778+DataInput!BE779</f>
        <v>12.699999999999996</v>
      </c>
      <c r="BF348" s="23">
        <f>DataInput!BF778+DataInput!BF779</f>
        <v>-36.699999999999996</v>
      </c>
      <c r="BG348" s="290">
        <f>DataInput!BG692-DataInput!BF692</f>
        <v>452.09999999999991</v>
      </c>
      <c r="BH348" s="290">
        <f>DataInput!BH692-DataInput!BG692</f>
        <v>626.19999999999982</v>
      </c>
      <c r="BI348" s="290">
        <f>DataInput!BI692-DataInput!BH692</f>
        <v>300.30000000000018</v>
      </c>
      <c r="BJ348" s="290">
        <f>DataInput!BJ692-DataInput!BI692</f>
        <v>346</v>
      </c>
      <c r="BK348" s="290">
        <f>DataInput!BK692-DataInput!BJ692</f>
        <v>610.40000000000009</v>
      </c>
      <c r="BL348" s="290">
        <f>DataInput!BL692-DataInput!BK692</f>
        <v>572.20000000000027</v>
      </c>
      <c r="BM348" s="290">
        <f>DataInput!BM692-DataInput!BL692</f>
        <v>759.79999999999927</v>
      </c>
      <c r="BN348" s="290">
        <f>DataInput!BN692-DataInput!BM692</f>
        <v>426.30000000000018</v>
      </c>
      <c r="BO348" s="290">
        <f>DataInput!BO692-DataInput!BN692</f>
        <v>394.80000000000018</v>
      </c>
      <c r="BP348" s="155">
        <f t="shared" ref="BP348:BU348" si="1236">BO348</f>
        <v>394.80000000000018</v>
      </c>
      <c r="BQ348" s="155">
        <f t="shared" si="1236"/>
        <v>394.80000000000018</v>
      </c>
      <c r="BR348" s="155">
        <f t="shared" si="1236"/>
        <v>394.80000000000018</v>
      </c>
      <c r="BS348" s="155">
        <f t="shared" si="1236"/>
        <v>394.80000000000018</v>
      </c>
      <c r="BT348" s="155">
        <f t="shared" si="1236"/>
        <v>394.80000000000018</v>
      </c>
      <c r="BU348" s="155">
        <f t="shared" si="1236"/>
        <v>394.80000000000018</v>
      </c>
      <c r="BV348" s="155">
        <f t="shared" ref="BV348:BX348" si="1237">BU348</f>
        <v>394.80000000000018</v>
      </c>
      <c r="BW348" s="155">
        <f t="shared" si="1237"/>
        <v>394.80000000000018</v>
      </c>
      <c r="BX348" s="155">
        <f t="shared" si="1237"/>
        <v>394.80000000000018</v>
      </c>
      <c r="BY348" s="155">
        <f t="shared" ref="BY348" si="1238">BX348</f>
        <v>394.80000000000018</v>
      </c>
      <c r="BZ348" s="155">
        <f t="shared" ref="BZ348" si="1239">BY348</f>
        <v>394.80000000000018</v>
      </c>
      <c r="CA348" s="155">
        <f t="shared" ref="CA348" si="1240">BZ348</f>
        <v>394.80000000000018</v>
      </c>
      <c r="CB348" s="155">
        <f t="shared" ref="CB348" si="1241">CA348</f>
        <v>394.80000000000018</v>
      </c>
      <c r="CC348" s="155">
        <f t="shared" ref="CC348" si="1242">CB348</f>
        <v>394.80000000000018</v>
      </c>
      <c r="CD348" s="155">
        <f t="shared" ref="CD348" si="1243">CC348</f>
        <v>394.80000000000018</v>
      </c>
      <c r="CE348" s="155"/>
      <c r="CF348" s="435"/>
      <c r="CG348" s="235">
        <f t="shared" si="1167"/>
        <v>603</v>
      </c>
      <c r="CH348" s="235">
        <f t="shared" si="1168"/>
        <v>-101.89999999999964</v>
      </c>
      <c r="CI348" s="235" t="e">
        <f>BM348-#REF!</f>
        <v>#REF!</v>
      </c>
      <c r="CJ348" s="235">
        <f t="shared" si="1169"/>
        <v>0</v>
      </c>
      <c r="CK348" s="235">
        <f t="shared" si="1170"/>
        <v>0</v>
      </c>
      <c r="CL348" s="235">
        <f t="shared" si="1171"/>
        <v>0</v>
      </c>
      <c r="CM348" s="235">
        <f t="shared" si="1172"/>
        <v>0</v>
      </c>
      <c r="CN348" s="235">
        <f t="shared" si="1173"/>
        <v>0</v>
      </c>
      <c r="CO348" s="235">
        <f t="shared" si="1174"/>
        <v>0</v>
      </c>
      <c r="CP348" s="235">
        <f t="shared" si="1175"/>
        <v>0</v>
      </c>
      <c r="CQ348" s="235">
        <f t="shared" si="1176"/>
        <v>0</v>
      </c>
      <c r="CR348" s="235">
        <f t="shared" si="1177"/>
        <v>0</v>
      </c>
      <c r="CS348" s="235">
        <f t="shared" si="1178"/>
        <v>0</v>
      </c>
      <c r="CT348" s="235">
        <f t="shared" si="1179"/>
        <v>0</v>
      </c>
      <c r="CU348" s="235">
        <f t="shared" si="1180"/>
        <v>0</v>
      </c>
      <c r="CV348" s="235">
        <f t="shared" si="1181"/>
        <v>0</v>
      </c>
      <c r="CW348" s="235">
        <f t="shared" si="1182"/>
        <v>0</v>
      </c>
      <c r="CX348" s="235">
        <f t="shared" si="1183"/>
        <v>0</v>
      </c>
      <c r="CY348" s="235">
        <f t="shared" si="1184"/>
        <v>0</v>
      </c>
      <c r="CZ348" s="235">
        <f t="shared" si="1185"/>
        <v>0</v>
      </c>
      <c r="DA348" s="38"/>
      <c r="DB348" s="236">
        <v>-37.700000000000003</v>
      </c>
      <c r="DC348" s="236">
        <v>-36.700000000000003</v>
      </c>
      <c r="DD348" s="236">
        <v>-67</v>
      </c>
      <c r="DE348" s="236">
        <v>277.2</v>
      </c>
      <c r="DF348" s="236">
        <v>54.2</v>
      </c>
      <c r="DG348" s="236">
        <v>7.4000000000000909</v>
      </c>
      <c r="DH348" s="492">
        <v>674.09999999999991</v>
      </c>
      <c r="DI348" s="236">
        <v>426.30000000000018</v>
      </c>
      <c r="DJ348" s="236">
        <v>394.80000000000018</v>
      </c>
      <c r="DK348" s="236">
        <v>394.80000000000018</v>
      </c>
      <c r="DL348" s="236">
        <v>394.80000000000018</v>
      </c>
      <c r="DM348" s="236">
        <v>394.80000000000018</v>
      </c>
      <c r="DN348" s="236">
        <v>394.80000000000018</v>
      </c>
      <c r="DO348" s="236">
        <v>394.80000000000018</v>
      </c>
      <c r="DP348" s="236">
        <v>394.80000000000018</v>
      </c>
      <c r="DQ348" s="258">
        <v>394.80000000000018</v>
      </c>
      <c r="DR348" s="258">
        <v>394.80000000000018</v>
      </c>
      <c r="DS348" s="258">
        <v>394.80000000000018</v>
      </c>
      <c r="DT348" s="258">
        <v>394.80000000000018</v>
      </c>
      <c r="DU348" s="258">
        <v>394.80000000000018</v>
      </c>
      <c r="DV348" s="258">
        <v>394.80000000000018</v>
      </c>
      <c r="DW348" s="258">
        <v>394.80000000000018</v>
      </c>
      <c r="DX348" s="258">
        <v>394.80000000000018</v>
      </c>
      <c r="DY348" s="258">
        <v>394.80000000000018</v>
      </c>
      <c r="DZ348" s="258"/>
      <c r="EA348" s="967"/>
    </row>
    <row r="349" spans="1:131" s="18" customFormat="1">
      <c r="A349" s="983" t="s">
        <v>3669</v>
      </c>
      <c r="B349" s="19" t="s">
        <v>2033</v>
      </c>
      <c r="C349" s="18" t="s">
        <v>3742</v>
      </c>
      <c r="D349" s="207" t="s">
        <v>2499</v>
      </c>
      <c r="E349" s="207"/>
      <c r="F349" s="207"/>
      <c r="G349" s="207"/>
      <c r="H349" s="207"/>
      <c r="I349" s="207"/>
      <c r="J349" s="207"/>
      <c r="K349" s="207"/>
      <c r="L349" s="207"/>
      <c r="M349" s="207"/>
      <c r="N349" s="207"/>
      <c r="O349" s="207"/>
      <c r="P349" s="207"/>
      <c r="Q349" s="207"/>
      <c r="R349" s="207"/>
      <c r="S349" s="207"/>
      <c r="T349" s="207"/>
      <c r="U349" s="207"/>
      <c r="V349" s="207"/>
      <c r="W349" s="207"/>
      <c r="X349" s="207"/>
      <c r="Y349" s="207"/>
      <c r="Z349" s="207"/>
      <c r="AA349" s="207"/>
      <c r="AB349" s="207"/>
      <c r="AC349" s="207"/>
      <c r="AD349" s="207"/>
      <c r="AE349" s="207"/>
      <c r="AF349" s="207"/>
      <c r="AG349" s="207"/>
      <c r="AH349" s="207"/>
      <c r="AI349" s="207"/>
      <c r="AJ349" s="207"/>
      <c r="AK349" s="207"/>
      <c r="AL349" s="207"/>
      <c r="AM349" s="207"/>
      <c r="AN349" s="207"/>
      <c r="AO349" s="207"/>
      <c r="AP349" s="207"/>
      <c r="AQ349" s="207"/>
      <c r="AR349" s="207"/>
      <c r="AS349" s="207"/>
      <c r="AT349" s="309"/>
      <c r="AU349" s="16"/>
      <c r="BA349" s="23">
        <f>DataInput!BA780</f>
        <v>212.9</v>
      </c>
      <c r="BB349" s="23">
        <f>DataInput!BB780</f>
        <v>23.1</v>
      </c>
      <c r="BC349" s="23">
        <f>DataInput!BC780</f>
        <v>14.2</v>
      </c>
      <c r="BD349" s="23">
        <f>DataInput!BD780</f>
        <v>109.5</v>
      </c>
      <c r="BE349" s="23">
        <f>DataInput!BE780</f>
        <v>56.3</v>
      </c>
      <c r="BF349" s="23">
        <f>DataInput!BF780</f>
        <v>270.2</v>
      </c>
      <c r="BG349" s="290">
        <f>DataInput!BG690-DataInput!BF690</f>
        <v>702.09999999999991</v>
      </c>
      <c r="BH349" s="290">
        <f>DataInput!BH690-DataInput!BG690</f>
        <v>486</v>
      </c>
      <c r="BI349" s="290">
        <f>DataInput!BI690-DataInput!BH690</f>
        <v>231.30000000000018</v>
      </c>
      <c r="BJ349" s="290">
        <f>DataInput!BJ690-DataInput!BI690</f>
        <v>120.40000000000009</v>
      </c>
      <c r="BK349" s="290">
        <f>DataInput!BK690-DataInput!BJ690</f>
        <v>1432</v>
      </c>
      <c r="BL349" s="290">
        <f>DataInput!BL690-DataInput!BK690</f>
        <v>690.5</v>
      </c>
      <c r="BM349" s="290">
        <f>DataInput!BM690-DataInput!BL690</f>
        <v>-504.80000000000018</v>
      </c>
      <c r="BN349" s="290">
        <f>DataInput!BN690-DataInput!BM690</f>
        <v>-748.90000000000009</v>
      </c>
      <c r="BO349" s="290">
        <f>DataInput!BO690-DataInput!BN690</f>
        <v>-1201.9999999999995</v>
      </c>
      <c r="BP349" s="38">
        <f t="shared" ref="BP349:BU349" ca="1" si="1244">BP351+BP357-BO357</f>
        <v>-305.94156635077434</v>
      </c>
      <c r="BQ349" s="38">
        <f t="shared" ca="1" si="1244"/>
        <v>-253.08808169135546</v>
      </c>
      <c r="BR349" s="38">
        <f t="shared" ca="1" si="1244"/>
        <v>-373.29250106469999</v>
      </c>
      <c r="BS349" s="38">
        <f t="shared" ca="1" si="1244"/>
        <v>-885.05308312286161</v>
      </c>
      <c r="BT349" s="38">
        <f t="shared" ca="1" si="1244"/>
        <v>-1256.3887209728659</v>
      </c>
      <c r="BU349" s="38">
        <f t="shared" ca="1" si="1244"/>
        <v>-1663.9926168253537</v>
      </c>
      <c r="BV349" s="38">
        <f t="shared" ref="BV349:BX349" ca="1" si="1245">BV351+BV357-BU357</f>
        <v>-2089.2822160573128</v>
      </c>
      <c r="BW349" s="38">
        <f t="shared" ca="1" si="1245"/>
        <v>-2564.1911760142616</v>
      </c>
      <c r="BX349" s="38">
        <f t="shared" ca="1" si="1245"/>
        <v>-3086.344869216502</v>
      </c>
      <c r="BY349" s="38">
        <f t="shared" ref="BY349" ca="1" si="1246">BY351+BY357-BX357</f>
        <v>-3672.8333111334796</v>
      </c>
      <c r="BZ349" s="38">
        <f t="shared" ref="BZ349" ca="1" si="1247">BZ351+BZ357-BY357</f>
        <v>-4240.6234051877182</v>
      </c>
      <c r="CA349" s="38">
        <f t="shared" ref="CA349" ca="1" si="1248">CA351+CA357-BZ357</f>
        <v>-4889.5083564313536</v>
      </c>
      <c r="CB349" s="38">
        <f t="shared" ref="CB349" ca="1" si="1249">CB351+CB357-CA357</f>
        <v>-5609.4125377956916</v>
      </c>
      <c r="CC349" s="38">
        <f t="shared" ref="CC349" ca="1" si="1250">CC351+CC357-CB357</f>
        <v>-6409.4065618769528</v>
      </c>
      <c r="CD349" s="38">
        <f t="shared" ref="CD349" ca="1" si="1251">CD351+CD357-CC357</f>
        <v>-7300.5972497480616</v>
      </c>
      <c r="CE349" s="38"/>
      <c r="CF349" s="435"/>
      <c r="CG349" s="235">
        <f t="shared" si="1167"/>
        <v>0</v>
      </c>
      <c r="CH349" s="235">
        <f t="shared" si="1168"/>
        <v>0</v>
      </c>
      <c r="CI349" s="235" t="e">
        <f>BM349-#REF!</f>
        <v>#REF!</v>
      </c>
      <c r="CJ349" s="235">
        <f t="shared" si="1169"/>
        <v>0</v>
      </c>
      <c r="CK349" s="235">
        <f t="shared" si="1170"/>
        <v>0</v>
      </c>
      <c r="CL349" s="235">
        <f t="shared" ca="1" si="1171"/>
        <v>-3.637978807091713E-12</v>
      </c>
      <c r="CM349" s="235">
        <f t="shared" ca="1" si="1172"/>
        <v>-8.6401996668428183E-12</v>
      </c>
      <c r="CN349" s="235">
        <f t="shared" ca="1" si="1173"/>
        <v>-1.0004441719502211E-11</v>
      </c>
      <c r="CO349" s="235">
        <f t="shared" ca="1" si="1174"/>
        <v>-1.4097167877480388E-11</v>
      </c>
      <c r="CP349" s="235">
        <f t="shared" ca="1" si="1175"/>
        <v>-1.9099388737231493E-11</v>
      </c>
      <c r="CQ349" s="235">
        <f t="shared" ca="1" si="1176"/>
        <v>-2.4556356947869062E-11</v>
      </c>
      <c r="CR349" s="235">
        <f t="shared" ca="1" si="1177"/>
        <v>-2.1827872842550278E-11</v>
      </c>
      <c r="CS349" s="235">
        <f t="shared" ca="1" si="1178"/>
        <v>-2.3646862246096134E-11</v>
      </c>
      <c r="CT349" s="235">
        <f t="shared" ca="1" si="1179"/>
        <v>-1.2732925824820995E-11</v>
      </c>
      <c r="CU349" s="235">
        <f t="shared" ca="1" si="1180"/>
        <v>-1.8189894035458565E-11</v>
      </c>
      <c r="CV349" s="235">
        <f t="shared" ca="1" si="1181"/>
        <v>-3.2741809263825417E-11</v>
      </c>
      <c r="CW349" s="235">
        <f t="shared" ca="1" si="1182"/>
        <v>-5.4569682106375694E-11</v>
      </c>
      <c r="CX349" s="235">
        <f t="shared" ca="1" si="1183"/>
        <v>-2.2919266484677792E-10</v>
      </c>
      <c r="CY349" s="235">
        <f t="shared" ca="1" si="1184"/>
        <v>-2.0518200471997261E-9</v>
      </c>
      <c r="CZ349" s="235">
        <f t="shared" ca="1" si="1185"/>
        <v>-1.890293788164854E-8</v>
      </c>
      <c r="DA349" s="38"/>
      <c r="DB349" s="236">
        <v>269.2</v>
      </c>
      <c r="DC349" s="236">
        <v>270.2</v>
      </c>
      <c r="DD349" s="236">
        <v>459.7</v>
      </c>
      <c r="DE349" s="236">
        <v>160.4</v>
      </c>
      <c r="DF349" s="236">
        <v>127.9</v>
      </c>
      <c r="DG349" s="236">
        <v>1432</v>
      </c>
      <c r="DH349" s="492">
        <v>690.5</v>
      </c>
      <c r="DI349" s="236">
        <v>-748.90000000000009</v>
      </c>
      <c r="DJ349" s="236">
        <v>-1201.9999999999995</v>
      </c>
      <c r="DK349" s="236">
        <v>-305.9415663507707</v>
      </c>
      <c r="DL349" s="236">
        <v>-253.08808169134682</v>
      </c>
      <c r="DM349" s="236">
        <v>-373.29250106468999</v>
      </c>
      <c r="DN349" s="236">
        <v>-885.05308312284751</v>
      </c>
      <c r="DO349" s="236">
        <v>-1256.3887209728468</v>
      </c>
      <c r="DP349" s="236">
        <v>-1663.9926168253292</v>
      </c>
      <c r="DQ349" s="258">
        <v>-2089.282216057291</v>
      </c>
      <c r="DR349" s="258">
        <v>-2564.191176014238</v>
      </c>
      <c r="DS349" s="258">
        <v>-3086.3448692164893</v>
      </c>
      <c r="DT349" s="258">
        <v>-3672.8333111334614</v>
      </c>
      <c r="DU349" s="258">
        <v>-4240.6234051876854</v>
      </c>
      <c r="DV349" s="258">
        <v>-4889.508356431299</v>
      </c>
      <c r="DW349" s="258">
        <v>-5609.4125377954624</v>
      </c>
      <c r="DX349" s="258">
        <v>-6409.4065618749009</v>
      </c>
      <c r="DY349" s="258">
        <v>-7300.5972497291586</v>
      </c>
      <c r="DZ349" s="258"/>
      <c r="EA349" s="967"/>
    </row>
    <row r="350" spans="1:131" s="76" customFormat="1">
      <c r="A350" s="76" t="s">
        <v>3668</v>
      </c>
      <c r="B350" s="80" t="s">
        <v>2733</v>
      </c>
      <c r="C350" s="51" t="s">
        <v>2729</v>
      </c>
      <c r="D350" s="207"/>
      <c r="E350" s="207"/>
      <c r="F350" s="295">
        <f>mamiabc!F79</f>
        <v>-1.6999999999999999E-3</v>
      </c>
      <c r="G350" s="295">
        <f>mamiabc!G79</f>
        <v>-2.0000000000000001E-4</v>
      </c>
      <c r="H350" s="295">
        <f>mamiabc!H79</f>
        <v>4.5999999046325681E-3</v>
      </c>
      <c r="I350" s="295">
        <f>mamiabc!I79</f>
        <v>2.299999952316284E-3</v>
      </c>
      <c r="J350" s="295">
        <f>mamiabc!J79</f>
        <v>3.0000001192092895E-4</v>
      </c>
      <c r="K350" s="295">
        <f>mamiabc!K79</f>
        <v>7.4999999999999997E-3</v>
      </c>
      <c r="L350" s="295">
        <f>mamiabc!L79</f>
        <v>4.0999999046325685E-3</v>
      </c>
      <c r="M350" s="295">
        <f>mamiabc!M79</f>
        <v>2.4000000953674316E-3</v>
      </c>
      <c r="N350" s="295">
        <f>mamiabc!N79</f>
        <v>1.5E-3</v>
      </c>
      <c r="O350" s="295">
        <f>mamiabc!O79</f>
        <v>1.1800000190734863E-2</v>
      </c>
      <c r="P350" s="295">
        <f>mamiabc!P79</f>
        <v>4.5999999046325681E-3</v>
      </c>
      <c r="Q350" s="295">
        <f>mamiabc!Q79</f>
        <v>1.1699999809265137E-2</v>
      </c>
      <c r="R350" s="295">
        <f>mamiabc!R79</f>
        <v>1.0199999809265137E-2</v>
      </c>
      <c r="S350" s="295">
        <f>mamiabc!S79</f>
        <v>7.9000000953674317E-3</v>
      </c>
      <c r="T350" s="295">
        <f>mamiabc!T79</f>
        <v>1.4300000190734864E-2</v>
      </c>
      <c r="U350" s="295">
        <f>mamiabc!U79</f>
        <v>1.1199999809265136E-2</v>
      </c>
      <c r="V350" s="295">
        <f>mamiabc!V79</f>
        <v>1.2899999618530273E-2</v>
      </c>
      <c r="W350" s="295">
        <f>mamiabc!W79</f>
        <v>8.1000003814697269E-3</v>
      </c>
      <c r="X350" s="295">
        <f>mamiabc!X79</f>
        <v>4.8000001907348632E-3</v>
      </c>
      <c r="Y350" s="295">
        <f>mamiabc!Y79</f>
        <v>3.2099998474121094E-2</v>
      </c>
      <c r="Z350" s="295">
        <f>mamiabc!Z79</f>
        <v>8.1000003814697269E-3</v>
      </c>
      <c r="AA350" s="295">
        <f>mamiabc!AA79</f>
        <v>3.3200000762939455E-2</v>
      </c>
      <c r="AB350" s="295">
        <f>mamiabc!AB79</f>
        <v>3.5999999999999997E-2</v>
      </c>
      <c r="AC350" s="295">
        <f>mamiabc!AC79</f>
        <v>2.5799999237060545E-2</v>
      </c>
      <c r="AD350" s="295">
        <f>mamiabc!AD79</f>
        <v>3.0399999618530273E-2</v>
      </c>
      <c r="AE350" s="295">
        <f>mamiabc!AE79</f>
        <v>2.9499999999999998E-2</v>
      </c>
      <c r="AF350" s="295">
        <f>mamiabc!AF79</f>
        <v>3.1700000762939454E-2</v>
      </c>
      <c r="AG350" s="295">
        <f>mamiabc!AG79</f>
        <v>8.2300003051757817E-2</v>
      </c>
      <c r="AH350" s="295">
        <f>mamiabc!AH79</f>
        <v>5.3799999237060546E-2</v>
      </c>
      <c r="AI350" s="295">
        <f>mamiabc!AI79</f>
        <v>7.5499999999999998E-2</v>
      </c>
      <c r="AJ350" s="295">
        <f>mamiabc!AJ79</f>
        <v>0.113</v>
      </c>
      <c r="AK350" s="295">
        <f>mamiabc!AK79</f>
        <v>0.28679998779296872</v>
      </c>
      <c r="AL350" s="295">
        <f>mamiabc!AL79</f>
        <v>0.39479998779296877</v>
      </c>
      <c r="AM350" s="295">
        <f>mamiabc!AM79</f>
        <v>0.30989999389648437</v>
      </c>
      <c r="AN350" s="295">
        <f>mamiabc!AN79</f>
        <v>0.37439999389648437</v>
      </c>
      <c r="AO350" s="295">
        <f>mamiabc!AO79</f>
        <v>0.23300000000000001</v>
      </c>
      <c r="AP350" s="295">
        <f>mamiabc!AP79</f>
        <v>0.14980000305175781</v>
      </c>
      <c r="AQ350" s="295">
        <f>mamiabc!AQ79</f>
        <v>0.75490002441406245</v>
      </c>
      <c r="AR350" s="295">
        <f>mamiabc!AR79</f>
        <v>0.4</v>
      </c>
      <c r="AS350" s="295">
        <f>mamiabc!AS79</f>
        <v>3.0790000000000002</v>
      </c>
      <c r="AT350" s="295">
        <f>mamiabc!AT79</f>
        <v>16.650200000000002</v>
      </c>
      <c r="AU350" s="295">
        <f>mamiabc!AU79</f>
        <v>38.128999999999998</v>
      </c>
      <c r="AV350" s="74">
        <f>DataInput!AV773</f>
        <v>16.048400000000008</v>
      </c>
      <c r="AW350" s="86">
        <f>AW354-AV354</f>
        <v>12.76509999999999</v>
      </c>
      <c r="AX350" s="86">
        <f>AX354-AW354</f>
        <v>26.000200000000007</v>
      </c>
      <c r="AY350" s="86">
        <f>AY354-AX354</f>
        <v>44.28870000000002</v>
      </c>
      <c r="AZ350" s="86">
        <f>AZ354-AY354</f>
        <v>149.99099999999996</v>
      </c>
      <c r="BA350" s="76">
        <f t="shared" ref="BA350:BF350" si="1252">BA347+BA348+BA349</f>
        <v>115.30000000000001</v>
      </c>
      <c r="BB350" s="76">
        <f t="shared" si="1252"/>
        <v>164.70000000000002</v>
      </c>
      <c r="BC350" s="76">
        <f t="shared" si="1252"/>
        <v>23.200000000000006</v>
      </c>
      <c r="BD350" s="76">
        <f t="shared" si="1252"/>
        <v>171.4</v>
      </c>
      <c r="BE350" s="76">
        <f t="shared" si="1252"/>
        <v>94.399999999999991</v>
      </c>
      <c r="BF350" s="76">
        <f t="shared" si="1252"/>
        <v>201.8</v>
      </c>
      <c r="BG350" s="290">
        <f>DataInput!BG693-DataInput!BF693</f>
        <v>803.59999999999991</v>
      </c>
      <c r="BH350" s="290">
        <f>DataInput!BH693-DataInput!BG693</f>
        <v>739.60000000000036</v>
      </c>
      <c r="BI350" s="290">
        <f>DataInput!BI693-DataInput!BH693</f>
        <v>658.19999999999982</v>
      </c>
      <c r="BJ350" s="290">
        <f>DataInput!BJ693-DataInput!BI693</f>
        <v>530.39999999999964</v>
      </c>
      <c r="BK350" s="290">
        <f>DataInput!BK693-DataInput!BJ693</f>
        <v>1184.8000000000002</v>
      </c>
      <c r="BL350" s="290">
        <f>DataInput!BL693-DataInput!BK693</f>
        <v>1418.5</v>
      </c>
      <c r="BM350" s="290">
        <f>DataInput!BM693-DataInput!BL693</f>
        <v>899.60000000000036</v>
      </c>
      <c r="BN350" s="290">
        <f>DataInput!BN693-DataInput!BM693</f>
        <v>492.10000000000036</v>
      </c>
      <c r="BO350" s="290">
        <f>DataInput!BO693-DataInput!BN693</f>
        <v>-40.5</v>
      </c>
      <c r="BP350" s="76">
        <f t="shared" ref="BP350:BV350" ca="1" si="1253">BP347+BP348+BP349</f>
        <v>1410.0574563841219</v>
      </c>
      <c r="BQ350" s="76">
        <f t="shared" ca="1" si="1253"/>
        <v>1727.949331230293</v>
      </c>
      <c r="BR350" s="76">
        <f t="shared" ca="1" si="1253"/>
        <v>1772.982118997988</v>
      </c>
      <c r="BS350" s="76">
        <f t="shared" ca="1" si="1253"/>
        <v>1591.6173847550344</v>
      </c>
      <c r="BT350" s="76">
        <f t="shared" ca="1" si="1253"/>
        <v>1699.0326137729635</v>
      </c>
      <c r="BU350" s="76">
        <f t="shared" ca="1" si="1253"/>
        <v>1753.7520512278934</v>
      </c>
      <c r="BV350" s="76">
        <f t="shared" ca="1" si="1253"/>
        <v>1864.9534459194433</v>
      </c>
      <c r="BW350" s="76">
        <f t="shared" ref="BW350:BX350" ca="1" si="1254">BW347+BW348+BW349</f>
        <v>1990.6715937618596</v>
      </c>
      <c r="BX350" s="76">
        <f t="shared" ca="1" si="1254"/>
        <v>2145.254058323676</v>
      </c>
      <c r="BY350" s="76">
        <f t="shared" ref="BY350:CD350" ca="1" si="1255">BY347+BY348+BY349</f>
        <v>2329.5529681821235</v>
      </c>
      <c r="BZ350" s="76">
        <f t="shared" ca="1" si="1255"/>
        <v>2602.0503918459808</v>
      </c>
      <c r="CA350" s="76">
        <f t="shared" ca="1" si="1255"/>
        <v>2893.9612157457132</v>
      </c>
      <c r="CB350" s="76">
        <f t="shared" ca="1" si="1255"/>
        <v>3216.0630769616473</v>
      </c>
      <c r="CC350" s="76">
        <f t="shared" ca="1" si="1255"/>
        <v>3589.826575027153</v>
      </c>
      <c r="CD350" s="76">
        <f t="shared" ca="1" si="1255"/>
        <v>4019.6122378944419</v>
      </c>
      <c r="CF350" s="435"/>
      <c r="CG350" s="235">
        <f t="shared" si="1167"/>
        <v>0</v>
      </c>
      <c r="CH350" s="235">
        <f t="shared" si="1168"/>
        <v>0.1000000000003638</v>
      </c>
      <c r="CI350" s="235" t="e">
        <f>BM350-#REF!</f>
        <v>#REF!</v>
      </c>
      <c r="CJ350" s="235">
        <f t="shared" si="1169"/>
        <v>0</v>
      </c>
      <c r="CK350" s="235">
        <f t="shared" si="1170"/>
        <v>0</v>
      </c>
      <c r="CL350" s="235">
        <f t="shared" ca="1" si="1171"/>
        <v>-2.7284841053187847E-12</v>
      </c>
      <c r="CM350" s="235">
        <f t="shared" ca="1" si="1172"/>
        <v>-5.9117155615240335E-12</v>
      </c>
      <c r="CN350" s="235">
        <f t="shared" ca="1" si="1173"/>
        <v>-7.2759576141834259E-12</v>
      </c>
      <c r="CO350" s="235">
        <f t="shared" ca="1" si="1174"/>
        <v>-1.0459189070388675E-11</v>
      </c>
      <c r="CP350" s="235">
        <f t="shared" ca="1" si="1175"/>
        <v>-1.7280399333685637E-11</v>
      </c>
      <c r="CQ350" s="235">
        <f t="shared" ca="1" si="1176"/>
        <v>-2.8194335754960775E-11</v>
      </c>
      <c r="CR350" s="235">
        <f t="shared" ca="1" si="1177"/>
        <v>-2.7739588404074311E-11</v>
      </c>
      <c r="CS350" s="235">
        <f t="shared" ca="1" si="1178"/>
        <v>-3.092281986027956E-11</v>
      </c>
      <c r="CT350" s="235">
        <f t="shared" ca="1" si="1179"/>
        <v>-1.6370904631912708E-11</v>
      </c>
      <c r="CU350" s="235">
        <f t="shared" ca="1" si="1180"/>
        <v>-2.5465851649641991E-11</v>
      </c>
      <c r="CV350" s="235">
        <f t="shared" ca="1" si="1181"/>
        <v>-3.8198777474462986E-11</v>
      </c>
      <c r="CW350" s="235">
        <f t="shared" ca="1" si="1182"/>
        <v>-4.5474735088646412E-11</v>
      </c>
      <c r="CX350" s="235">
        <f t="shared" ca="1" si="1183"/>
        <v>6.9121597334742546E-11</v>
      </c>
      <c r="CY350" s="235">
        <f t="shared" ca="1" si="1184"/>
        <v>1.0186340659856796E-9</v>
      </c>
      <c r="CZ350" s="235">
        <f t="shared" ca="1" si="1185"/>
        <v>5.2059476729482412E-9</v>
      </c>
      <c r="DA350" s="38"/>
      <c r="DB350" s="236">
        <v>200.8</v>
      </c>
      <c r="DC350" s="236">
        <v>201.8</v>
      </c>
      <c r="DD350" s="236">
        <v>278.3</v>
      </c>
      <c r="DE350" s="236">
        <v>198.3</v>
      </c>
      <c r="DF350" s="401">
        <v>403.8</v>
      </c>
      <c r="DG350" s="236">
        <v>1184.8000000000002</v>
      </c>
      <c r="DH350" s="492">
        <v>1418.3999999999996</v>
      </c>
      <c r="DI350" s="236">
        <v>492.10000000000036</v>
      </c>
      <c r="DJ350" s="236">
        <v>-40.5</v>
      </c>
      <c r="DK350" s="236">
        <v>1410.0574563841246</v>
      </c>
      <c r="DL350" s="236">
        <v>1727.9493312302989</v>
      </c>
      <c r="DM350" s="236">
        <v>1772.9821189979953</v>
      </c>
      <c r="DN350" s="236">
        <v>1591.6173847550449</v>
      </c>
      <c r="DO350" s="236">
        <v>1699.0326137729808</v>
      </c>
      <c r="DP350" s="236">
        <v>1753.7520512279216</v>
      </c>
      <c r="DQ350" s="401">
        <v>1864.9534459194711</v>
      </c>
      <c r="DR350" s="401">
        <v>1990.6715937618906</v>
      </c>
      <c r="DS350" s="401">
        <v>2145.2540583236923</v>
      </c>
      <c r="DT350" s="401">
        <v>2329.552968182149</v>
      </c>
      <c r="DU350" s="401">
        <v>2602.050391846019</v>
      </c>
      <c r="DV350" s="401">
        <v>2893.9612157457586</v>
      </c>
      <c r="DW350" s="401">
        <v>3216.0630769615782</v>
      </c>
      <c r="DX350" s="401">
        <v>3589.8265750261344</v>
      </c>
      <c r="DY350" s="401">
        <v>4019.612237889236</v>
      </c>
      <c r="DZ350" s="401"/>
      <c r="EA350" s="989"/>
    </row>
    <row r="351" spans="1:131" s="76" customFormat="1">
      <c r="A351" s="976" t="s">
        <v>3883</v>
      </c>
      <c r="B351" s="19" t="s">
        <v>1969</v>
      </c>
      <c r="C351" s="51" t="s">
        <v>2873</v>
      </c>
      <c r="D351" s="207"/>
      <c r="E351" s="207"/>
      <c r="F351" s="76">
        <f t="shared" ref="F351:AU351" si="1256">F349-(F357-E357)+F207</f>
        <v>-0.31050236863558961</v>
      </c>
      <c r="G351" s="76">
        <f t="shared" si="1256"/>
        <v>-3.1630917894452382E-3</v>
      </c>
      <c r="H351" s="76">
        <f t="shared" si="1256"/>
        <v>-2.5508804753591185E-3</v>
      </c>
      <c r="I351" s="76">
        <f t="shared" si="1256"/>
        <v>-6.8260941155445787E-4</v>
      </c>
      <c r="J351" s="76">
        <f t="shared" si="1256"/>
        <v>-3.4597180058821841E-3</v>
      </c>
      <c r="K351" s="76">
        <f t="shared" si="1256"/>
        <v>-2.163130956995607E-3</v>
      </c>
      <c r="L351" s="76">
        <f t="shared" si="1256"/>
        <v>-8.2370965864933532E-3</v>
      </c>
      <c r="M351" s="76">
        <f t="shared" si="1256"/>
        <v>8.0962144439411521E-3</v>
      </c>
      <c r="N351" s="76">
        <f t="shared" si="1256"/>
        <v>2.0588483160834392E-3</v>
      </c>
      <c r="O351" s="76">
        <f t="shared" si="1256"/>
        <v>-3.338418868249593E-3</v>
      </c>
      <c r="P351" s="76">
        <f t="shared" si="1256"/>
        <v>-7.343741334228937E-3</v>
      </c>
      <c r="Q351" s="76">
        <f t="shared" si="1256"/>
        <v>1.4052988017920209E-3</v>
      </c>
      <c r="R351" s="76">
        <f t="shared" si="1256"/>
        <v>5.0803308505256717E-3</v>
      </c>
      <c r="S351" s="76">
        <f t="shared" si="1256"/>
        <v>2.098865834958108E-3</v>
      </c>
      <c r="T351" s="76">
        <f t="shared" si="1256"/>
        <v>1.0544316604935655E-2</v>
      </c>
      <c r="U351" s="76">
        <f t="shared" si="1256"/>
        <v>2.7549597806128534E-3</v>
      </c>
      <c r="V351" s="76">
        <f t="shared" si="1256"/>
        <v>9.4392582713023199E-3</v>
      </c>
      <c r="W351" s="76">
        <f t="shared" si="1256"/>
        <v>-4.5813910743119912E-4</v>
      </c>
      <c r="X351" s="76">
        <f t="shared" si="1256"/>
        <v>1.5565457025619289E-2</v>
      </c>
      <c r="Y351" s="76">
        <f t="shared" si="1256"/>
        <v>-1.9692796103592369E-2</v>
      </c>
      <c r="Z351" s="76">
        <f t="shared" si="1256"/>
        <v>-2.908002681400218E-2</v>
      </c>
      <c r="AA351" s="76">
        <f t="shared" si="1256"/>
        <v>-2.2039627644551585E-2</v>
      </c>
      <c r="AB351" s="76">
        <f t="shared" si="1256"/>
        <v>-9.4586686390139785E-2</v>
      </c>
      <c r="AC351" s="76">
        <f t="shared" si="1256"/>
        <v>-3.1324814551524582E-2</v>
      </c>
      <c r="AD351" s="76">
        <f t="shared" si="1256"/>
        <v>8.3974943418387238E-2</v>
      </c>
      <c r="AE351" s="76">
        <f t="shared" si="1256"/>
        <v>-8.9790972784425382E-3</v>
      </c>
      <c r="AF351" s="76">
        <f t="shared" si="1256"/>
        <v>-5.5303068684588841E-2</v>
      </c>
      <c r="AG351" s="76">
        <f t="shared" si="1256"/>
        <v>-6.5098420055242856E-2</v>
      </c>
      <c r="AH351" s="76">
        <f t="shared" si="1256"/>
        <v>-4.4181256717786721E-2</v>
      </c>
      <c r="AI351" s="76">
        <f t="shared" si="1256"/>
        <v>4.0405897795742995E-2</v>
      </c>
      <c r="AJ351" s="76">
        <f t="shared" si="1256"/>
        <v>0.23570135044958596</v>
      </c>
      <c r="AK351" s="76">
        <f t="shared" si="1256"/>
        <v>9.9509885391330655E-2</v>
      </c>
      <c r="AL351" s="76">
        <f t="shared" si="1256"/>
        <v>-4.0804011324266087E-3</v>
      </c>
      <c r="AM351" s="76">
        <f t="shared" si="1256"/>
        <v>9.6910985692006277E-2</v>
      </c>
      <c r="AN351" s="76">
        <f t="shared" si="1256"/>
        <v>-6.0813027632896796E-2</v>
      </c>
      <c r="AO351" s="76">
        <f t="shared" si="1256"/>
        <v>-0.10831041899454277</v>
      </c>
      <c r="AP351" s="76">
        <f t="shared" si="1256"/>
        <v>0.23653804027210712</v>
      </c>
      <c r="AQ351" s="76">
        <f t="shared" si="1256"/>
        <v>8.2138351306563329E-2</v>
      </c>
      <c r="AR351" s="76">
        <f t="shared" si="1256"/>
        <v>5.8160059268848874E-3</v>
      </c>
      <c r="AS351" s="76">
        <f t="shared" si="1256"/>
        <v>-2.3977256116185495</v>
      </c>
      <c r="AT351" s="76">
        <f t="shared" si="1256"/>
        <v>48.271042753236244</v>
      </c>
      <c r="AU351" s="76">
        <f t="shared" si="1256"/>
        <v>-50.272038161844222</v>
      </c>
      <c r="AV351" s="76">
        <f t="shared" ref="AV351:BJ351" si="1257">AV349-(AV357-AU357)+AV207</f>
        <v>10.316035847215119</v>
      </c>
      <c r="AW351" s="76">
        <f t="shared" si="1257"/>
        <v>-8.9958475000000124</v>
      </c>
      <c r="AX351" s="76">
        <f t="shared" si="1257"/>
        <v>12.270600000000005</v>
      </c>
      <c r="AY351" s="76">
        <f t="shared" si="1257"/>
        <v>-65.968203999999986</v>
      </c>
      <c r="AZ351" s="76">
        <f t="shared" si="1257"/>
        <v>81.481402000000003</v>
      </c>
      <c r="BA351" s="76">
        <f t="shared" si="1257"/>
        <v>-7.9565759999999788</v>
      </c>
      <c r="BB351" s="76">
        <f t="shared" si="1257"/>
        <v>44.260127999999973</v>
      </c>
      <c r="BC351" s="76">
        <f t="shared" si="1257"/>
        <v>-28.676006499999936</v>
      </c>
      <c r="BD351" s="76">
        <f t="shared" si="1257"/>
        <v>2.2105079999999857</v>
      </c>
      <c r="BE351" s="76">
        <f t="shared" si="1257"/>
        <v>20.55980000000001</v>
      </c>
      <c r="BF351" s="76">
        <f t="shared" si="1257"/>
        <v>-691.40725000000009</v>
      </c>
      <c r="BG351" s="76">
        <f t="shared" si="1257"/>
        <v>54.625499999999995</v>
      </c>
      <c r="BH351" s="76">
        <f t="shared" si="1257"/>
        <v>-24.979500000000002</v>
      </c>
      <c r="BI351" s="76">
        <f t="shared" si="1257"/>
        <v>45.6</v>
      </c>
      <c r="BJ351" s="76">
        <f t="shared" si="1257"/>
        <v>-3.6599999999999997</v>
      </c>
      <c r="BK351" s="76">
        <f>BK349-(BK357-BJ357)+BK207</f>
        <v>6.1749999999999998</v>
      </c>
      <c r="BL351" s="76">
        <f>BL349-(BL357-BK357)+BL207</f>
        <v>37.855000000000004</v>
      </c>
      <c r="BM351" s="76">
        <f>BM349-(BM357-BL357)+BM207</f>
        <v>-271.01500000000004</v>
      </c>
      <c r="BN351" s="76">
        <f>BN349-(BN357-BM357)+BN207</f>
        <v>-11.725</v>
      </c>
      <c r="BO351" s="76">
        <f>BO349-(BO357-BN357)+BO207</f>
        <v>-74.593333333333334</v>
      </c>
      <c r="BP351" s="155">
        <f t="shared" ref="BP351:BU351" si="1258">BO351</f>
        <v>-74.593333333333334</v>
      </c>
      <c r="BQ351" s="155">
        <f t="shared" si="1258"/>
        <v>-74.593333333333334</v>
      </c>
      <c r="BR351" s="155">
        <f t="shared" si="1258"/>
        <v>-74.593333333333334</v>
      </c>
      <c r="BS351" s="155">
        <f t="shared" si="1258"/>
        <v>-74.593333333333334</v>
      </c>
      <c r="BT351" s="155">
        <f t="shared" si="1258"/>
        <v>-74.593333333333334</v>
      </c>
      <c r="BU351" s="155">
        <f t="shared" si="1258"/>
        <v>-74.593333333333334</v>
      </c>
      <c r="BV351" s="155">
        <f t="shared" ref="BV351:BX351" si="1259">BU351</f>
        <v>-74.593333333333334</v>
      </c>
      <c r="BW351" s="155">
        <f t="shared" si="1259"/>
        <v>-74.593333333333334</v>
      </c>
      <c r="BX351" s="155">
        <f t="shared" si="1259"/>
        <v>-74.593333333333334</v>
      </c>
      <c r="BY351" s="155">
        <f t="shared" ref="BY351" si="1260">BX351</f>
        <v>-74.593333333333334</v>
      </c>
      <c r="BZ351" s="155">
        <f t="shared" ref="BZ351" si="1261">BY351</f>
        <v>-74.593333333333334</v>
      </c>
      <c r="CA351" s="155">
        <f t="shared" ref="CA351" si="1262">BZ351</f>
        <v>-74.593333333333334</v>
      </c>
      <c r="CB351" s="155">
        <f t="shared" ref="CB351" si="1263">CA351</f>
        <v>-74.593333333333334</v>
      </c>
      <c r="CC351" s="155">
        <f t="shared" ref="CC351" si="1264">CB351</f>
        <v>-74.593333333333334</v>
      </c>
      <c r="CD351" s="155">
        <f t="shared" ref="CD351" si="1265">CC351</f>
        <v>-74.593333333333334</v>
      </c>
      <c r="CE351" s="155"/>
      <c r="CF351" s="435"/>
      <c r="CG351" s="235">
        <f t="shared" si="1167"/>
        <v>0</v>
      </c>
      <c r="CH351" s="235">
        <f t="shared" si="1168"/>
        <v>0</v>
      </c>
      <c r="CI351" s="235" t="e">
        <f>BM351-#REF!</f>
        <v>#REF!</v>
      </c>
      <c r="CJ351" s="235">
        <f t="shared" si="1169"/>
        <v>0</v>
      </c>
      <c r="CK351" s="235">
        <f t="shared" si="1170"/>
        <v>0</v>
      </c>
      <c r="CL351" s="235">
        <f t="shared" si="1171"/>
        <v>0</v>
      </c>
      <c r="CM351" s="235">
        <f t="shared" si="1172"/>
        <v>0</v>
      </c>
      <c r="CN351" s="235">
        <f t="shared" si="1173"/>
        <v>0</v>
      </c>
      <c r="CO351" s="235">
        <f t="shared" si="1174"/>
        <v>0</v>
      </c>
      <c r="CP351" s="235">
        <f t="shared" si="1175"/>
        <v>0</v>
      </c>
      <c r="CQ351" s="235">
        <f t="shared" si="1176"/>
        <v>0</v>
      </c>
      <c r="CR351" s="235">
        <f t="shared" si="1177"/>
        <v>0</v>
      </c>
      <c r="CS351" s="235">
        <f t="shared" si="1178"/>
        <v>0</v>
      </c>
      <c r="CT351" s="235">
        <f t="shared" si="1179"/>
        <v>0</v>
      </c>
      <c r="CU351" s="235">
        <f t="shared" si="1180"/>
        <v>0</v>
      </c>
      <c r="CV351" s="235">
        <f t="shared" si="1181"/>
        <v>0</v>
      </c>
      <c r="CW351" s="235">
        <f t="shared" si="1182"/>
        <v>0</v>
      </c>
      <c r="CX351" s="235">
        <f t="shared" si="1183"/>
        <v>0</v>
      </c>
      <c r="CY351" s="235">
        <f t="shared" si="1184"/>
        <v>0</v>
      </c>
      <c r="CZ351" s="235">
        <f t="shared" si="1185"/>
        <v>0</v>
      </c>
      <c r="DA351" s="38"/>
      <c r="DB351" s="236">
        <v>15.9607499999999</v>
      </c>
      <c r="DC351" s="236">
        <v>16.96074999999994</v>
      </c>
      <c r="DD351" s="236">
        <v>11.886500000000055</v>
      </c>
      <c r="DE351" s="236">
        <v>16.287500000000001</v>
      </c>
      <c r="DF351" s="401">
        <v>-82.289000000000087</v>
      </c>
      <c r="DG351" s="236">
        <v>6.1749999999999998</v>
      </c>
      <c r="DH351" s="492">
        <v>37.855000000000004</v>
      </c>
      <c r="DI351" s="236">
        <v>-11.725</v>
      </c>
      <c r="DJ351" s="236">
        <v>-74.593333333333334</v>
      </c>
      <c r="DK351" s="236">
        <v>-74.593333333333334</v>
      </c>
      <c r="DL351" s="236">
        <v>-74.593333333333334</v>
      </c>
      <c r="DM351" s="236">
        <v>-74.593333333333334</v>
      </c>
      <c r="DN351" s="236">
        <v>-74.593333333333334</v>
      </c>
      <c r="DO351" s="236">
        <v>-74.593333333333334</v>
      </c>
      <c r="DP351" s="236">
        <v>-74.593333333333334</v>
      </c>
      <c r="DQ351" s="401">
        <v>-74.593333333333334</v>
      </c>
      <c r="DR351" s="401">
        <v>-74.593333333333334</v>
      </c>
      <c r="DS351" s="401">
        <v>-74.593333333333334</v>
      </c>
      <c r="DT351" s="401">
        <v>-74.593333333333334</v>
      </c>
      <c r="DU351" s="401">
        <v>-74.593333333333334</v>
      </c>
      <c r="DV351" s="401">
        <v>-74.593333333333334</v>
      </c>
      <c r="DW351" s="401">
        <v>-74.593333333333334</v>
      </c>
      <c r="DX351" s="401">
        <v>-74.593333333333334</v>
      </c>
      <c r="DY351" s="401">
        <v>-74.593333333333334</v>
      </c>
      <c r="DZ351" s="401"/>
      <c r="EA351" s="989"/>
    </row>
    <row r="352" spans="1:131" s="141" customFormat="1">
      <c r="B352" s="159" t="str">
        <f>B208</f>
        <v xml:space="preserve">Saldo op de betalingsbalans </v>
      </c>
      <c r="D352" s="215"/>
      <c r="E352" s="215"/>
      <c r="F352" s="159">
        <f t="shared" ref="F352:AT352" si="1266">F208</f>
        <v>1.1739113532007042E-2</v>
      </c>
      <c r="G352" s="159">
        <f t="shared" si="1266"/>
        <v>1.0577369772553987E-2</v>
      </c>
      <c r="H352" s="159">
        <f t="shared" si="1266"/>
        <v>5.3742576063110746E-3</v>
      </c>
      <c r="I352" s="159">
        <f t="shared" si="1266"/>
        <v>5.6945170708509775E-3</v>
      </c>
      <c r="J352" s="159">
        <f t="shared" si="1266"/>
        <v>4.7048275043863018E-3</v>
      </c>
      <c r="K352" s="159">
        <f t="shared" si="1266"/>
        <v>-6.6149089755744737E-3</v>
      </c>
      <c r="L352" s="159">
        <f t="shared" si="1266"/>
        <v>-1.5487670478180424E-2</v>
      </c>
      <c r="M352" s="159">
        <f t="shared" si="1266"/>
        <v>-1.7374312379182185E-2</v>
      </c>
      <c r="N352" s="159">
        <f t="shared" si="1266"/>
        <v>-2.1591231282738092E-2</v>
      </c>
      <c r="O352" s="159">
        <f t="shared" si="1266"/>
        <v>-1.9062010588231672E-2</v>
      </c>
      <c r="P352" s="159">
        <f t="shared" si="1266"/>
        <v>-4.8699546357520614E-2</v>
      </c>
      <c r="Q352" s="159">
        <f t="shared" si="1266"/>
        <v>-4.6164387624507856E-2</v>
      </c>
      <c r="R352" s="159">
        <f t="shared" si="1266"/>
        <v>5.6712792960716052E-3</v>
      </c>
      <c r="S352" s="159">
        <f t="shared" si="1266"/>
        <v>7.3749443914363534E-3</v>
      </c>
      <c r="T352" s="159">
        <f t="shared" si="1266"/>
        <v>-1.0562095220973738E-3</v>
      </c>
      <c r="U352" s="159">
        <f t="shared" si="1266"/>
        <v>5.2329503681440414E-3</v>
      </c>
      <c r="V352" s="159">
        <f t="shared" si="1266"/>
        <v>1.845664035291919E-2</v>
      </c>
      <c r="W352" s="159">
        <f t="shared" si="1266"/>
        <v>2.4245585891137265E-2</v>
      </c>
      <c r="X352" s="159">
        <f t="shared" si="1266"/>
        <v>5.5559081486583388E-2</v>
      </c>
      <c r="Y352" s="159">
        <f t="shared" si="1266"/>
        <v>1.4508143120900926E-2</v>
      </c>
      <c r="Z352" s="159">
        <f t="shared" si="1266"/>
        <v>5.5739733446531908E-2</v>
      </c>
      <c r="AA352" s="159">
        <f t="shared" si="1266"/>
        <v>2.6332400593201799E-2</v>
      </c>
      <c r="AB352" s="159">
        <f t="shared" si="1266"/>
        <v>1.747359307679202E-2</v>
      </c>
      <c r="AC352" s="159">
        <f t="shared" si="1266"/>
        <v>-7.6317496330556941E-2</v>
      </c>
      <c r="AD352" s="159">
        <f t="shared" si="1266"/>
        <v>5.7747699145487781E-2</v>
      </c>
      <c r="AE352" s="159">
        <f t="shared" si="1266"/>
        <v>6.8437776448033394E-2</v>
      </c>
      <c r="AF352" s="159">
        <f t="shared" si="1266"/>
        <v>5.5895281668294314E-2</v>
      </c>
      <c r="AG352" s="159">
        <f t="shared" si="1266"/>
        <v>-1.4254501575005633E-2</v>
      </c>
      <c r="AH352" s="159">
        <f t="shared" si="1266"/>
        <v>-8.9356776264347459E-2</v>
      </c>
      <c r="AI352" s="159">
        <f t="shared" si="1266"/>
        <v>-0.10344534459973624</v>
      </c>
      <c r="AJ352" s="159">
        <f t="shared" si="1266"/>
        <v>3.8462152778960465E-3</v>
      </c>
      <c r="AK352" s="159">
        <f t="shared" si="1266"/>
        <v>9.3879887654203763E-3</v>
      </c>
      <c r="AL352" s="159">
        <f t="shared" si="1266"/>
        <v>-8.8274188840937476E-2</v>
      </c>
      <c r="AM352" s="159">
        <f t="shared" si="1266"/>
        <v>-0.24659526439027693</v>
      </c>
      <c r="AN352" s="159">
        <f t="shared" si="1266"/>
        <v>-0.3874321026104719</v>
      </c>
      <c r="AO352" s="159">
        <f t="shared" si="1266"/>
        <v>-0.70532522082792759</v>
      </c>
      <c r="AP352" s="159">
        <f t="shared" si="1266"/>
        <v>-1.4087823108676552</v>
      </c>
      <c r="AQ352" s="159">
        <f t="shared" si="1266"/>
        <v>-2.5990094740232101</v>
      </c>
      <c r="AR352" s="159">
        <f t="shared" si="1266"/>
        <v>-3.7172288872869124</v>
      </c>
      <c r="AS352" s="159">
        <f t="shared" si="1266"/>
        <v>-1.6243838874905741</v>
      </c>
      <c r="AT352" s="159">
        <f t="shared" si="1266"/>
        <v>170.72232370594875</v>
      </c>
      <c r="AU352" s="159">
        <f t="shared" ref="AU352:BC352" si="1267">AU208</f>
        <v>14.030011006579405</v>
      </c>
      <c r="AV352" s="159">
        <f t="shared" si="1267"/>
        <v>-5.0917474999999968</v>
      </c>
      <c r="AW352" s="159">
        <f t="shared" si="1267"/>
        <v>-11.949799999999964</v>
      </c>
      <c r="AX352" s="159">
        <f t="shared" si="1267"/>
        <v>-1.0426000000000215</v>
      </c>
      <c r="AY352" s="159">
        <f t="shared" si="1267"/>
        <v>-66.47104299999998</v>
      </c>
      <c r="AZ352" s="159">
        <f t="shared" si="1267"/>
        <v>-21.220959999999977</v>
      </c>
      <c r="BA352" s="159">
        <f t="shared" si="1267"/>
        <v>187.13314999999989</v>
      </c>
      <c r="BB352" s="159">
        <f t="shared" si="1267"/>
        <v>-23.269449999999892</v>
      </c>
      <c r="BC352" s="159">
        <f t="shared" si="1267"/>
        <v>-11.454652000000067</v>
      </c>
      <c r="BD352" s="159">
        <f t="shared" ref="BD352:BP352" si="1268">BD208</f>
        <v>322.33860000000004</v>
      </c>
      <c r="BE352" s="159">
        <f t="shared" si="1268"/>
        <v>844.66199999999981</v>
      </c>
      <c r="BF352" s="159">
        <f t="shared" si="1268"/>
        <v>432.21799999999985</v>
      </c>
      <c r="BG352" s="159">
        <f t="shared" si="1268"/>
        <v>401.04450000000026</v>
      </c>
      <c r="BH352" s="159">
        <f t="shared" si="1268"/>
        <v>572.05799999999965</v>
      </c>
      <c r="BI352" s="159">
        <f t="shared" si="1268"/>
        <v>109.72500000000031</v>
      </c>
      <c r="BJ352" s="159">
        <f t="shared" si="1268"/>
        <v>106.75</v>
      </c>
      <c r="BK352" s="159">
        <f t="shared" si="1268"/>
        <v>403.32500000000016</v>
      </c>
      <c r="BL352" s="159">
        <f t="shared" si="1268"/>
        <v>603.33500000000276</v>
      </c>
      <c r="BM352" s="159">
        <f t="shared" si="1268"/>
        <v>-498.48000000000104</v>
      </c>
      <c r="BN352" s="159">
        <f t="shared" si="1268"/>
        <v>-506.52000000000078</v>
      </c>
      <c r="BO352" s="159">
        <f t="shared" si="1268"/>
        <v>-944.25333333333231</v>
      </c>
      <c r="BP352" s="159">
        <f t="shared" ca="1" si="1268"/>
        <v>-716.67549669903258</v>
      </c>
      <c r="BQ352" s="159">
        <f t="shared" ref="BQ352:BV352" ca="1" si="1269">BQ208</f>
        <v>4.6585849753113564</v>
      </c>
      <c r="BR352" s="159">
        <f t="shared" ca="1" si="1269"/>
        <v>-115.54583439803</v>
      </c>
      <c r="BS352" s="159">
        <f t="shared" ca="1" si="1269"/>
        <v>-627.3064164561946</v>
      </c>
      <c r="BT352" s="159">
        <f t="shared" ca="1" si="1269"/>
        <v>-998.64205430619552</v>
      </c>
      <c r="BU352" s="159">
        <f t="shared" ca="1" si="1269"/>
        <v>-1406.2459501586766</v>
      </c>
      <c r="BV352" s="159">
        <f t="shared" ca="1" si="1269"/>
        <v>-1831.5355493906425</v>
      </c>
      <c r="BW352" s="159">
        <f t="shared" ref="BW352:BX352" ca="1" si="1270">BW208</f>
        <v>-2306.444509347587</v>
      </c>
      <c r="BX352" s="159">
        <f t="shared" ca="1" si="1270"/>
        <v>-2828.5982025498233</v>
      </c>
      <c r="BY352" s="159">
        <f t="shared" ref="BY352:CD352" ca="1" si="1271">BY208</f>
        <v>-3415.0866444667799</v>
      </c>
      <c r="BZ352" s="159">
        <f t="shared" ca="1" si="1271"/>
        <v>-3982.8767385209876</v>
      </c>
      <c r="CA352" s="159">
        <f t="shared" ca="1" si="1271"/>
        <v>-4631.7616897645912</v>
      </c>
      <c r="CB352" s="159">
        <f t="shared" ca="1" si="1271"/>
        <v>-5351.6658711288865</v>
      </c>
      <c r="CC352" s="159">
        <f t="shared" ca="1" si="1271"/>
        <v>-6151.6598952100985</v>
      </c>
      <c r="CD352" s="159">
        <f t="shared" ca="1" si="1271"/>
        <v>-7042.8505830811191</v>
      </c>
      <c r="CE352" s="159"/>
      <c r="CF352" s="435"/>
      <c r="CG352" s="235">
        <f t="shared" si="1167"/>
        <v>5.6843418860808015E-13</v>
      </c>
      <c r="CH352" s="235">
        <f t="shared" si="1168"/>
        <v>1.3642420526593924E-12</v>
      </c>
      <c r="CI352" s="235" t="e">
        <f>BM352-#REF!</f>
        <v>#REF!</v>
      </c>
      <c r="CJ352" s="235">
        <f t="shared" si="1169"/>
        <v>0</v>
      </c>
      <c r="CK352" s="235">
        <f t="shared" si="1170"/>
        <v>0</v>
      </c>
      <c r="CL352" s="235">
        <f t="shared" ca="1" si="1171"/>
        <v>-3.637978807091713E-12</v>
      </c>
      <c r="CM352" s="235">
        <f t="shared" ca="1" si="1172"/>
        <v>-5.9117155615240335E-12</v>
      </c>
      <c r="CN352" s="235">
        <f t="shared" ca="1" si="1173"/>
        <v>-6.1390892369672656E-12</v>
      </c>
      <c r="CO352" s="235">
        <f t="shared" ca="1" si="1174"/>
        <v>-6.3664629124104977E-12</v>
      </c>
      <c r="CP352" s="235">
        <f t="shared" ca="1" si="1175"/>
        <v>-7.73070496506989E-12</v>
      </c>
      <c r="CQ352" s="235">
        <f t="shared" ca="1" si="1176"/>
        <v>-8.1854523159563541E-12</v>
      </c>
      <c r="CR352" s="235">
        <f t="shared" ca="1" si="1177"/>
        <v>-1.5006662579253316E-11</v>
      </c>
      <c r="CS352" s="235">
        <f t="shared" ca="1" si="1178"/>
        <v>-2.2737367544323206E-11</v>
      </c>
      <c r="CT352" s="235">
        <f t="shared" ca="1" si="1179"/>
        <v>-2.2737367544323206E-11</v>
      </c>
      <c r="CU352" s="235">
        <f t="shared" ca="1" si="1180"/>
        <v>-2.0008883439004421E-11</v>
      </c>
      <c r="CV352" s="235">
        <f t="shared" ca="1" si="1181"/>
        <v>-2.0918378140777349E-11</v>
      </c>
      <c r="CW352" s="235">
        <f t="shared" ca="1" si="1182"/>
        <v>0</v>
      </c>
      <c r="CX352" s="235">
        <f t="shared" ca="1" si="1183"/>
        <v>4.3200998334214091E-10</v>
      </c>
      <c r="CY352" s="235">
        <f t="shared" ca="1" si="1184"/>
        <v>4.6075001591816545E-9</v>
      </c>
      <c r="CZ352" s="235">
        <f t="shared" ca="1" si="1185"/>
        <v>3.6567143979482353E-8</v>
      </c>
      <c r="DA352" s="38"/>
      <c r="DB352" s="236">
        <v>623.71299999999997</v>
      </c>
      <c r="DC352" s="236">
        <v>624.71299999999997</v>
      </c>
      <c r="DD352" s="236">
        <v>213.86</v>
      </c>
      <c r="DE352" s="236">
        <v>446.02877215887884</v>
      </c>
      <c r="DF352" s="236">
        <v>-471.39</v>
      </c>
      <c r="DG352" s="236">
        <v>403.32499999999959</v>
      </c>
      <c r="DH352" s="492">
        <v>603.3350000000014</v>
      </c>
      <c r="DI352" s="236">
        <v>-506.52000000000078</v>
      </c>
      <c r="DJ352" s="236">
        <v>-944.25333333333231</v>
      </c>
      <c r="DK352" s="236">
        <v>-716.67549669902894</v>
      </c>
      <c r="DL352" s="236">
        <v>4.6585849753172681</v>
      </c>
      <c r="DM352" s="236">
        <v>-115.54583439802386</v>
      </c>
      <c r="DN352" s="236">
        <v>-627.30641645618823</v>
      </c>
      <c r="DO352" s="236">
        <v>-998.64205430618779</v>
      </c>
      <c r="DP352" s="236">
        <v>-1406.2459501586684</v>
      </c>
      <c r="DQ352" s="258">
        <v>-1831.5355493906275</v>
      </c>
      <c r="DR352" s="258">
        <v>-2306.4445093475642</v>
      </c>
      <c r="DS352" s="258">
        <v>-2828.5982025498006</v>
      </c>
      <c r="DT352" s="258">
        <v>-3415.0866444667599</v>
      </c>
      <c r="DU352" s="258">
        <v>-3982.8767385209667</v>
      </c>
      <c r="DV352" s="258">
        <v>-4631.761689764593</v>
      </c>
      <c r="DW352" s="258">
        <v>-5351.6658711293185</v>
      </c>
      <c r="DX352" s="258">
        <v>-6151.659895214706</v>
      </c>
      <c r="DY352" s="258">
        <v>-7042.8505831176863</v>
      </c>
      <c r="DZ352" s="258"/>
      <c r="EA352" s="967"/>
    </row>
    <row r="353" spans="1:131">
      <c r="A353" s="3" t="s">
        <v>3884</v>
      </c>
      <c r="B353" s="3" t="s">
        <v>2538</v>
      </c>
      <c r="F353" s="15">
        <f t="shared" ref="F353:AV353" si="1272">F354-E354-F350</f>
        <v>5.4687292210009543E-2</v>
      </c>
      <c r="G353" s="15">
        <f t="shared" si="1272"/>
        <v>-1.4868613101474055E-3</v>
      </c>
      <c r="H353" s="15">
        <f t="shared" si="1272"/>
        <v>-4.798454176414624E-3</v>
      </c>
      <c r="I353" s="15">
        <f t="shared" si="1272"/>
        <v>2.2644482040404617E-3</v>
      </c>
      <c r="J353" s="15">
        <f t="shared" si="1272"/>
        <v>1.9822240662574369E-3</v>
      </c>
      <c r="K353" s="15">
        <f t="shared" si="1272"/>
        <v>-7.202318580498128E-3</v>
      </c>
      <c r="L353" s="15">
        <f t="shared" si="1272"/>
        <v>3.3420352871942494E-3</v>
      </c>
      <c r="M353" s="15">
        <f t="shared" si="1272"/>
        <v>1.6683123815341883E-3</v>
      </c>
      <c r="N353" s="15">
        <f t="shared" si="1272"/>
        <v>8.8145135601494637E-4</v>
      </c>
      <c r="O353" s="15">
        <f t="shared" si="1272"/>
        <v>-1.0311593152369486E-2</v>
      </c>
      <c r="P353" s="15">
        <f t="shared" si="1272"/>
        <v>7.1088023197690168E-3</v>
      </c>
      <c r="Q353" s="15">
        <f t="shared" si="1272"/>
        <v>-7.1355516529084048E-3</v>
      </c>
      <c r="R353" s="15">
        <f t="shared" si="1272"/>
        <v>1.4095749007239419E-3</v>
      </c>
      <c r="S353" s="15">
        <f t="shared" si="1272"/>
        <v>2.2211675762562836E-3</v>
      </c>
      <c r="T353" s="15">
        <f t="shared" si="1272"/>
        <v>-6.4610563607135751E-3</v>
      </c>
      <c r="U353" s="15">
        <f t="shared" si="1272"/>
        <v>2.98948081241205E-3</v>
      </c>
      <c r="V353" s="15">
        <f t="shared" si="1272"/>
        <v>-1.7865605879963057E-3</v>
      </c>
      <c r="W353" s="15">
        <f t="shared" si="1272"/>
        <v>4.7002997699508858E-3</v>
      </c>
      <c r="X353" s="15">
        <f t="shared" si="1272"/>
        <v>3.2373981949595865E-3</v>
      </c>
      <c r="Y353" s="15">
        <f t="shared" si="1272"/>
        <v>-2.7337095762091174E-2</v>
      </c>
      <c r="Z353" s="15">
        <f t="shared" si="1272"/>
        <v>2.3751908725463081E-2</v>
      </c>
      <c r="AA353" s="15">
        <f t="shared" si="1272"/>
        <v>-2.5162602377245033E-2</v>
      </c>
      <c r="AB353" s="15">
        <f t="shared" si="1272"/>
        <v>-3.0565901271370141E-3</v>
      </c>
      <c r="AC353" s="15">
        <f t="shared" si="1272"/>
        <v>9.921769683708153E-3</v>
      </c>
      <c r="AD353" s="15">
        <f t="shared" si="1272"/>
        <v>-4.7993993156889916E-3</v>
      </c>
      <c r="AE353" s="15">
        <f t="shared" si="1272"/>
        <v>6.6504893234989315E-4</v>
      </c>
      <c r="AF353" s="15">
        <f t="shared" si="1272"/>
        <v>-2.4279956750874049E-3</v>
      </c>
      <c r="AG353" s="15">
        <f t="shared" si="1272"/>
        <v>8.9164487767931913E-2</v>
      </c>
      <c r="AH353" s="15">
        <f t="shared" si="1272"/>
        <v>0.20577818825385855</v>
      </c>
      <c r="AI353" s="15">
        <f t="shared" si="1272"/>
        <v>-3.0550107441366089E-2</v>
      </c>
      <c r="AJ353" s="15">
        <f t="shared" si="1272"/>
        <v>8.3866637607791991E-2</v>
      </c>
      <c r="AK353" s="15">
        <f t="shared" si="1272"/>
        <v>9.0362355728813848E-2</v>
      </c>
      <c r="AL353" s="15">
        <f t="shared" si="1272"/>
        <v>2.3243935715916098E-2</v>
      </c>
      <c r="AM353" s="15">
        <f t="shared" si="1272"/>
        <v>-1.9065258599892498E-2</v>
      </c>
      <c r="AN353" s="15">
        <f t="shared" si="1272"/>
        <v>-0.1282174697508538</v>
      </c>
      <c r="AO353" s="15">
        <f t="shared" si="1272"/>
        <v>-0.97561588500842455</v>
      </c>
      <c r="AP353" s="15">
        <f t="shared" si="1272"/>
        <v>0.62238556845219206</v>
      </c>
      <c r="AQ353" s="15">
        <f t="shared" si="1272"/>
        <v>-5.8343755727214841E-3</v>
      </c>
      <c r="AR353" s="15">
        <f t="shared" si="1272"/>
        <v>-3.8515543948998698E-2</v>
      </c>
      <c r="AS353" s="15">
        <f t="shared" si="1272"/>
        <v>1.1826055869509133E-2</v>
      </c>
      <c r="AT353" s="15">
        <f t="shared" si="1272"/>
        <v>-0.12947723695983271</v>
      </c>
      <c r="AU353" s="15">
        <f t="shared" si="1272"/>
        <v>7.9202491925975949E-2</v>
      </c>
      <c r="AV353" s="15">
        <f t="shared" si="1272"/>
        <v>0.47768102837827797</v>
      </c>
      <c r="AW353" s="15">
        <f t="shared" ref="AW353:BH353" si="1273">AW354-AV354-AW350</f>
        <v>0</v>
      </c>
      <c r="AX353" s="15">
        <f t="shared" si="1273"/>
        <v>0</v>
      </c>
      <c r="AY353" s="15">
        <f t="shared" si="1273"/>
        <v>0</v>
      </c>
      <c r="AZ353" s="15">
        <f t="shared" si="1273"/>
        <v>0</v>
      </c>
      <c r="BA353" s="15">
        <f t="shared" si="1273"/>
        <v>0</v>
      </c>
      <c r="BB353" s="15">
        <f t="shared" si="1273"/>
        <v>0.20000000000001705</v>
      </c>
      <c r="BC353" s="15">
        <f t="shared" si="1273"/>
        <v>9.999999999994813E-2</v>
      </c>
      <c r="BD353" s="15">
        <f t="shared" si="1273"/>
        <v>-9.9999999999937472E-2</v>
      </c>
      <c r="BE353" s="15">
        <f t="shared" si="1273"/>
        <v>0.10000000000000853</v>
      </c>
      <c r="BF353" s="15">
        <f t="shared" si="1273"/>
        <v>1711.4</v>
      </c>
      <c r="BG353" s="15">
        <f t="shared" si="1273"/>
        <v>0</v>
      </c>
      <c r="BH353" s="15">
        <f t="shared" si="1273"/>
        <v>0</v>
      </c>
      <c r="BI353" s="15">
        <f t="shared" ref="BI353:BQ353" si="1274">BI354-BH354-BI350</f>
        <v>0</v>
      </c>
      <c r="BJ353" s="15">
        <f t="shared" si="1274"/>
        <v>0</v>
      </c>
      <c r="BK353" s="15">
        <f t="shared" si="1274"/>
        <v>0</v>
      </c>
      <c r="BL353" s="15">
        <f t="shared" si="1274"/>
        <v>0</v>
      </c>
      <c r="BM353" s="15">
        <f t="shared" si="1274"/>
        <v>0</v>
      </c>
      <c r="BN353" s="15">
        <f t="shared" si="1274"/>
        <v>0</v>
      </c>
      <c r="BO353" s="15">
        <f t="shared" si="1274"/>
        <v>0</v>
      </c>
      <c r="BP353" s="15">
        <f t="shared" ca="1" si="1274"/>
        <v>3.637978807091713E-12</v>
      </c>
      <c r="BQ353" s="15">
        <f t="shared" ca="1" si="1274"/>
        <v>5.4569682106375694E-12</v>
      </c>
      <c r="BR353" s="15">
        <f t="shared" ref="BR353:BX353" ca="1" si="1275">BR354-BQ354-BR350</f>
        <v>7.73070496506989E-12</v>
      </c>
      <c r="BS353" s="15">
        <f t="shared" ca="1" si="1275"/>
        <v>5.4569682106375694E-12</v>
      </c>
      <c r="BT353" s="15">
        <f t="shared" ca="1" si="1275"/>
        <v>1.0004441719502211E-11</v>
      </c>
      <c r="BU353" s="15">
        <f t="shared" ca="1" si="1275"/>
        <v>1.8189894035458565E-11</v>
      </c>
      <c r="BV353" s="15">
        <f t="shared" ca="1" si="1275"/>
        <v>1.5006662579253316E-11</v>
      </c>
      <c r="BW353" s="15">
        <f t="shared" ca="1" si="1275"/>
        <v>1.5916157281026244E-11</v>
      </c>
      <c r="BX353" s="15">
        <f t="shared" ca="1" si="1275"/>
        <v>8.1854523159563541E-12</v>
      </c>
      <c r="BY353" s="15">
        <f t="shared" ref="BY353" ca="1" si="1276">BY354-BX354-BY350</f>
        <v>1.9099388737231493E-11</v>
      </c>
      <c r="BZ353" s="15">
        <f t="shared" ref="BZ353" ca="1" si="1277">BZ354-BY354-BZ350</f>
        <v>3.5470293369144201E-11</v>
      </c>
      <c r="CA353" s="15">
        <f t="shared" ref="CA353" ca="1" si="1278">CA354-BZ354-CA350</f>
        <v>7.5488060247153044E-11</v>
      </c>
      <c r="CB353" s="15">
        <f t="shared" ref="CB353" ca="1" si="1279">CB354-CA354-CB350</f>
        <v>1.1641532182693481E-10</v>
      </c>
      <c r="CC353" s="15">
        <f t="shared" ref="CC353" ca="1" si="1280">CC354-CB354-CC350</f>
        <v>2.0372681319713593E-10</v>
      </c>
      <c r="CD353" s="15">
        <f t="shared" ref="CD353" ca="1" si="1281">CD354-CC354-CD350</f>
        <v>3.4197000786662102E-10</v>
      </c>
      <c r="CE353" s="15"/>
      <c r="CF353" s="435"/>
      <c r="CG353" s="235">
        <f t="shared" si="1167"/>
        <v>0</v>
      </c>
      <c r="CH353" s="235">
        <f t="shared" si="1168"/>
        <v>0</v>
      </c>
      <c r="CI353" s="235" t="e">
        <f>BM353-#REF!</f>
        <v>#REF!</v>
      </c>
      <c r="CJ353" s="235">
        <f t="shared" si="1169"/>
        <v>0</v>
      </c>
      <c r="CK353" s="235">
        <f t="shared" si="1170"/>
        <v>0</v>
      </c>
      <c r="CL353" s="235">
        <f t="shared" ca="1" si="1171"/>
        <v>6.3664629124104977E-12</v>
      </c>
      <c r="CM353" s="235">
        <f t="shared" ca="1" si="1172"/>
        <v>9.5496943686157465E-12</v>
      </c>
      <c r="CN353" s="235">
        <f t="shared" ca="1" si="1173"/>
        <v>1.4551915228366852E-11</v>
      </c>
      <c r="CO353" s="235">
        <f t="shared" ca="1" si="1174"/>
        <v>1.5916157281026244E-11</v>
      </c>
      <c r="CP353" s="235">
        <f t="shared" ca="1" si="1175"/>
        <v>1.546140993013978E-11</v>
      </c>
      <c r="CQ353" s="235">
        <f t="shared" ca="1" si="1176"/>
        <v>3.1832314562052488E-11</v>
      </c>
      <c r="CR353" s="235">
        <f t="shared" ca="1" si="1177"/>
        <v>3.1377567211166024E-11</v>
      </c>
      <c r="CS353" s="235">
        <f t="shared" ca="1" si="1178"/>
        <v>3.4560798667371273E-11</v>
      </c>
      <c r="CT353" s="235">
        <f t="shared" ca="1" si="1179"/>
        <v>2.0008883439004421E-11</v>
      </c>
      <c r="CU353" s="235">
        <f t="shared" ca="1" si="1180"/>
        <v>2.5465851649641991E-11</v>
      </c>
      <c r="CV353" s="235">
        <f t="shared" ca="1" si="1181"/>
        <v>3.5470293369144201E-11</v>
      </c>
      <c r="CW353" s="235">
        <f t="shared" ca="1" si="1182"/>
        <v>-1.2732925824820995E-11</v>
      </c>
      <c r="CX353" s="235">
        <f t="shared" ca="1" si="1183"/>
        <v>-8.3309714682400227E-10</v>
      </c>
      <c r="CY353" s="235">
        <f t="shared" ca="1" si="1184"/>
        <v>-8.1126927398145199E-9</v>
      </c>
      <c r="CZ353" s="235">
        <f t="shared" ca="1" si="1185"/>
        <v>-5.8334990171715617E-8</v>
      </c>
      <c r="DB353" s="236">
        <v>-1</v>
      </c>
      <c r="DC353" s="236">
        <v>0</v>
      </c>
      <c r="DD353" s="236">
        <v>0</v>
      </c>
      <c r="DE353" s="236">
        <v>0</v>
      </c>
      <c r="DF353" s="401">
        <v>0</v>
      </c>
      <c r="DG353" s="236">
        <v>0</v>
      </c>
      <c r="DH353" s="492">
        <v>0</v>
      </c>
      <c r="DI353" s="236">
        <v>0</v>
      </c>
      <c r="DJ353" s="236">
        <v>0</v>
      </c>
      <c r="DK353" s="236">
        <v>-2.7284841053187847E-12</v>
      </c>
      <c r="DL353" s="236">
        <v>-4.0927261579781771E-12</v>
      </c>
      <c r="DM353" s="236">
        <v>-6.8212102632969618E-12</v>
      </c>
      <c r="DN353" s="236">
        <v>-1.0459189070388675E-11</v>
      </c>
      <c r="DO353" s="236">
        <v>-5.4569682106375694E-12</v>
      </c>
      <c r="DP353" s="236">
        <v>-1.3642420526593924E-11</v>
      </c>
      <c r="DQ353" s="258">
        <v>-1.6370904631912708E-11</v>
      </c>
      <c r="DR353" s="258">
        <v>-1.8644641386345029E-11</v>
      </c>
      <c r="DS353" s="258">
        <v>-1.1823431123048067E-11</v>
      </c>
      <c r="DT353" s="258">
        <v>-6.3664629124104977E-12</v>
      </c>
      <c r="DU353" s="258">
        <v>0</v>
      </c>
      <c r="DV353" s="258">
        <v>8.8220986071974039E-11</v>
      </c>
      <c r="DW353" s="258">
        <v>9.4951246865093708E-10</v>
      </c>
      <c r="DX353" s="258">
        <v>8.3164195530116558E-9</v>
      </c>
      <c r="DY353" s="258">
        <v>5.8676960179582238E-8</v>
      </c>
    </row>
    <row r="354" spans="1:131" s="76" customFormat="1">
      <c r="A354" s="76" t="s">
        <v>3667</v>
      </c>
      <c r="B354" s="80" t="s">
        <v>2734</v>
      </c>
      <c r="C354" s="51" t="s">
        <v>2729</v>
      </c>
      <c r="D354" s="207"/>
      <c r="E354" s="207"/>
      <c r="F354" s="295">
        <f>mamiabc!F145*Model!$AV354/mamiabc!$AV145</f>
        <v>5.2987292210009543E-2</v>
      </c>
      <c r="G354" s="295">
        <f>mamiabc!G145*Model!$AV354/mamiabc!$AV145</f>
        <v>5.1300430899862137E-2</v>
      </c>
      <c r="H354" s="295">
        <f>mamiabc!H145*Model!$AV354/mamiabc!$AV145</f>
        <v>5.1101976628080081E-2</v>
      </c>
      <c r="I354" s="295">
        <f>mamiabc!I145*Model!$AV354/mamiabc!$AV145</f>
        <v>5.5666424784436827E-2</v>
      </c>
      <c r="J354" s="295">
        <f>mamiabc!J145*Model!$AV354/mamiabc!$AV145</f>
        <v>5.7948648862615193E-2</v>
      </c>
      <c r="K354" s="295">
        <f>mamiabc!K145*Model!$AV354/mamiabc!$AV145</f>
        <v>5.8246330282117065E-2</v>
      </c>
      <c r="L354" s="295">
        <f>mamiabc!L145*Model!$AV354/mamiabc!$AV145</f>
        <v>6.5688365473943883E-2</v>
      </c>
      <c r="M354" s="295">
        <f>mamiabc!M145*Model!$AV354/mamiabc!$AV145</f>
        <v>6.9756677950845503E-2</v>
      </c>
      <c r="N354" s="295">
        <f>mamiabc!N145*Model!$AV354/mamiabc!$AV145</f>
        <v>7.2138129306860449E-2</v>
      </c>
      <c r="O354" s="295">
        <f>mamiabc!O145*Model!$AV354/mamiabc!$AV145</f>
        <v>7.3626536345225826E-2</v>
      </c>
      <c r="P354" s="295">
        <f>mamiabc!P145*Model!$AV354/mamiabc!$AV145</f>
        <v>8.5335338569627411E-2</v>
      </c>
      <c r="Q354" s="295">
        <f>mamiabc!Q145*Model!$AV354/mamiabc!$AV145</f>
        <v>8.9899786725984143E-2</v>
      </c>
      <c r="R354" s="295">
        <f>mamiabc!R145*Model!$AV354/mamiabc!$AV145</f>
        <v>0.10150936143597322</v>
      </c>
      <c r="S354" s="295">
        <f>mamiabc!S145*Model!$AV354/mamiabc!$AV145</f>
        <v>0.11163052910759694</v>
      </c>
      <c r="T354" s="295">
        <f>mamiabc!T145*Model!$AV354/mamiabc!$AV145</f>
        <v>0.11946947293761823</v>
      </c>
      <c r="U354" s="295">
        <f>mamiabc!U145*Model!$AV354/mamiabc!$AV145</f>
        <v>0.13365895355929541</v>
      </c>
      <c r="V354" s="295">
        <f>mamiabc!V145*Model!$AV354/mamiabc!$AV145</f>
        <v>0.14477239258982938</v>
      </c>
      <c r="W354" s="295">
        <f>mamiabc!W145*Model!$AV354/mamiabc!$AV145</f>
        <v>0.15757269274124999</v>
      </c>
      <c r="X354" s="295">
        <f>mamiabc!X145*Model!$AV354/mamiabc!$AV145</f>
        <v>0.16561009112694444</v>
      </c>
      <c r="Y354" s="295">
        <f>mamiabc!Y145*Model!$AV354/mamiabc!$AV145</f>
        <v>0.17037299383897436</v>
      </c>
      <c r="Z354" s="295">
        <f>mamiabc!Z145*Model!$AV354/mamiabc!$AV145</f>
        <v>0.20222490294590717</v>
      </c>
      <c r="AA354" s="295">
        <f>mamiabc!AA145*Model!$AV354/mamiabc!$AV145</f>
        <v>0.21026230133160159</v>
      </c>
      <c r="AB354" s="295">
        <f>mamiabc!AB145*Model!$AV354/mamiabc!$AV145</f>
        <v>0.24320571120446458</v>
      </c>
      <c r="AC354" s="295">
        <f>mamiabc!AC145*Model!$AV354/mamiabc!$AV145</f>
        <v>0.27892748012523327</v>
      </c>
      <c r="AD354" s="295">
        <f>mamiabc!AD145*Model!$AV354/mamiabc!$AV145</f>
        <v>0.30452808042807455</v>
      </c>
      <c r="AE354" s="295">
        <f>mamiabc!AE145*Model!$AV354/mamiabc!$AV145</f>
        <v>0.33469312936042445</v>
      </c>
      <c r="AF354" s="295">
        <f>mamiabc!AF145*Model!$AV354/mamiabc!$AV145</f>
        <v>0.36396513444827649</v>
      </c>
      <c r="AG354" s="295">
        <f>mamiabc!AG145*Model!$AV354/mamiabc!$AV145</f>
        <v>0.53542962526796622</v>
      </c>
      <c r="AH354" s="295">
        <f>mamiabc!AH145*Model!$AV354/mamiabc!$AV145</f>
        <v>0.79500781275888532</v>
      </c>
      <c r="AI354" s="295">
        <f>mamiabc!AI145*Model!$AV354/mamiabc!$AV145</f>
        <v>0.83995770531751923</v>
      </c>
      <c r="AJ354" s="295">
        <f>mamiabc!AJ145*Model!$AV354/mamiabc!$AV145</f>
        <v>1.0368243429253112</v>
      </c>
      <c r="AK354" s="295">
        <f>mamiabc!AK145*Model!$AV354/mamiabc!$AV145</f>
        <v>1.4139866864470938</v>
      </c>
      <c r="AL354" s="295">
        <f>mamiabc!AL145*Model!$AV354/mamiabc!$AV145</f>
        <v>1.8320306099559787</v>
      </c>
      <c r="AM354" s="295">
        <f>mamiabc!AM145*Model!$AV354/mamiabc!$AV145</f>
        <v>2.1228653452525705</v>
      </c>
      <c r="AN354" s="295">
        <f>mamiabc!AN145*Model!$AV354/mamiabc!$AV145</f>
        <v>2.3690478693982011</v>
      </c>
      <c r="AO354" s="295">
        <f>mamiabc!AO145*Model!$AV354/mamiabc!$AV145</f>
        <v>1.6264319843897765</v>
      </c>
      <c r="AP354" s="295">
        <f>mamiabc!AP145*Model!$AV354/mamiabc!$AV145</f>
        <v>2.3986175558937264</v>
      </c>
      <c r="AQ354" s="295">
        <f>mamiabc!AQ145*Model!$AV354/mamiabc!$AV145</f>
        <v>3.1476832047350674</v>
      </c>
      <c r="AR354" s="295">
        <f>mamiabc!AR145*Model!$AV354/mamiabc!$AV145</f>
        <v>3.5091676607860687</v>
      </c>
      <c r="AS354" s="295">
        <f>mamiabc!AS145*Model!$AV354/mamiabc!$AV145</f>
        <v>6.599993716655578</v>
      </c>
      <c r="AT354" s="295">
        <f>mamiabc!AT145*Model!$AV354/mamiabc!$AV145</f>
        <v>23.120716479695748</v>
      </c>
      <c r="AU354" s="295">
        <f>mamiabc!AU145*Model!$AV354/mamiabc!$AV145</f>
        <v>61.328918971621718</v>
      </c>
      <c r="AV354" s="74">
        <f>DataInput!AV771</f>
        <v>77.855000000000004</v>
      </c>
      <c r="AW354" s="74">
        <f>DataInput!AW771</f>
        <v>90.620099999999994</v>
      </c>
      <c r="AX354" s="74">
        <f>DataInput!AX771</f>
        <v>116.6203</v>
      </c>
      <c r="AY354" s="74">
        <f>DataInput!AY771</f>
        <v>160.90900000000002</v>
      </c>
      <c r="AZ354" s="74">
        <f>DataInput!AZ771</f>
        <v>310.89999999999998</v>
      </c>
      <c r="BA354" s="74">
        <f>DataInput!BA771</f>
        <v>426.2</v>
      </c>
      <c r="BB354" s="74">
        <f>DataInput!BB771</f>
        <v>591.1</v>
      </c>
      <c r="BC354" s="74">
        <f>DataInput!BC771</f>
        <v>614.4</v>
      </c>
      <c r="BD354" s="74">
        <f>DataInput!BD771</f>
        <v>785.7</v>
      </c>
      <c r="BE354" s="74">
        <f>DataInput!BE771</f>
        <v>880.2</v>
      </c>
      <c r="BF354" s="290">
        <f>DataInput!BF693</f>
        <v>2793.4</v>
      </c>
      <c r="BG354" s="290">
        <f>DataInput!BG693</f>
        <v>3597</v>
      </c>
      <c r="BH354" s="290">
        <f>DataInput!BH693</f>
        <v>4336.6000000000004</v>
      </c>
      <c r="BI354" s="290">
        <f>DataInput!BI693</f>
        <v>4994.8</v>
      </c>
      <c r="BJ354" s="290">
        <f>DataInput!BJ693</f>
        <v>5525.2</v>
      </c>
      <c r="BK354" s="290">
        <f>DataInput!BK693</f>
        <v>6710</v>
      </c>
      <c r="BL354" s="290">
        <f>DataInput!BL693</f>
        <v>8128.5</v>
      </c>
      <c r="BM354" s="290">
        <f>DataInput!BM693</f>
        <v>9028.1</v>
      </c>
      <c r="BN354" s="290">
        <f>DataInput!BN693</f>
        <v>9520.2000000000007</v>
      </c>
      <c r="BO354" s="290">
        <f>DataInput!BO693</f>
        <v>9479.7000000000007</v>
      </c>
      <c r="BP354" s="76">
        <f t="shared" ref="BP354:BU354" ca="1" si="1282">BO354+BP350</f>
        <v>10889.757456384123</v>
      </c>
      <c r="BQ354" s="76">
        <f t="shared" ca="1" si="1282"/>
        <v>12617.706787614416</v>
      </c>
      <c r="BR354" s="76">
        <f t="shared" ca="1" si="1282"/>
        <v>14390.688906612404</v>
      </c>
      <c r="BS354" s="76">
        <f t="shared" ca="1" si="1282"/>
        <v>15982.306291367438</v>
      </c>
      <c r="BT354" s="76">
        <f t="shared" ca="1" si="1282"/>
        <v>17681.338905140401</v>
      </c>
      <c r="BU354" s="76">
        <f t="shared" ca="1" si="1282"/>
        <v>19435.090956368294</v>
      </c>
      <c r="BV354" s="76">
        <f t="shared" ref="BV354:BX354" ca="1" si="1283">BU354+BV350</f>
        <v>21300.044402287738</v>
      </c>
      <c r="BW354" s="76">
        <f t="shared" ca="1" si="1283"/>
        <v>23290.715996049599</v>
      </c>
      <c r="BX354" s="76">
        <f t="shared" ca="1" si="1283"/>
        <v>25435.970054373276</v>
      </c>
      <c r="BY354" s="76">
        <f t="shared" ref="BY354" ca="1" si="1284">BX354+BY350</f>
        <v>27765.523022555401</v>
      </c>
      <c r="BZ354" s="76">
        <f t="shared" ref="BZ354" ca="1" si="1285">BY354+BZ350</f>
        <v>30367.57341440138</v>
      </c>
      <c r="CA354" s="76">
        <f t="shared" ref="CA354" ca="1" si="1286">BZ354+CA350</f>
        <v>33261.534630147093</v>
      </c>
      <c r="CB354" s="76">
        <f t="shared" ref="CB354" ca="1" si="1287">CA354+CB350</f>
        <v>36477.59770710874</v>
      </c>
      <c r="CC354" s="76">
        <f t="shared" ref="CC354" ca="1" si="1288">CB354+CC350</f>
        <v>40067.424282135893</v>
      </c>
      <c r="CD354" s="76">
        <f t="shared" ref="CD354" ca="1" si="1289">CC354+CD350</f>
        <v>44087.036520030335</v>
      </c>
      <c r="CF354" s="435"/>
      <c r="CG354" s="235">
        <f t="shared" si="1167"/>
        <v>0</v>
      </c>
      <c r="CH354" s="235">
        <f t="shared" si="1168"/>
        <v>0</v>
      </c>
      <c r="CI354" s="235" t="e">
        <f>BM354-#REF!</f>
        <v>#REF!</v>
      </c>
      <c r="CJ354" s="235">
        <f t="shared" si="1169"/>
        <v>0</v>
      </c>
      <c r="CK354" s="235">
        <f t="shared" si="1170"/>
        <v>0</v>
      </c>
      <c r="CL354" s="235">
        <f t="shared" ca="1" si="1171"/>
        <v>0</v>
      </c>
      <c r="CM354" s="235">
        <f t="shared" ca="1" si="1172"/>
        <v>0</v>
      </c>
      <c r="CN354" s="235">
        <f t="shared" ca="1" si="1173"/>
        <v>-1.6370904631912708E-11</v>
      </c>
      <c r="CO354" s="235">
        <f t="shared" ca="1" si="1174"/>
        <v>-2.7284841053187847E-11</v>
      </c>
      <c r="CP354" s="235">
        <f t="shared" ca="1" si="1175"/>
        <v>-4.3655745685100555E-11</v>
      </c>
      <c r="CQ354" s="235">
        <f t="shared" ca="1" si="1176"/>
        <v>-7.2759576141834259E-11</v>
      </c>
      <c r="CR354" s="235">
        <f t="shared" ca="1" si="1177"/>
        <v>-9.822542779147625E-11</v>
      </c>
      <c r="CS354" s="235">
        <f t="shared" ca="1" si="1178"/>
        <v>-1.2732925824820995E-10</v>
      </c>
      <c r="CT354" s="235">
        <f t="shared" ca="1" si="1179"/>
        <v>-1.4188117347657681E-10</v>
      </c>
      <c r="CU354" s="235">
        <f t="shared" ca="1" si="1180"/>
        <v>-1.673470251262188E-10</v>
      </c>
      <c r="CV354" s="235">
        <f t="shared" ca="1" si="1181"/>
        <v>-2.0736479200422764E-10</v>
      </c>
      <c r="CW354" s="235">
        <f t="shared" ca="1" si="1182"/>
        <v>-2.5465851649641991E-10</v>
      </c>
      <c r="CX354" s="235">
        <f t="shared" ca="1" si="1183"/>
        <v>-1.8917489796876907E-10</v>
      </c>
      <c r="CY354" s="235">
        <f t="shared" ca="1" si="1184"/>
        <v>8.2945916801691055E-10</v>
      </c>
      <c r="CZ354" s="235">
        <f t="shared" ca="1" si="1185"/>
        <v>6.0390448197722435E-9</v>
      </c>
      <c r="DA354" s="38"/>
      <c r="DB354" s="236">
        <v>1081</v>
      </c>
      <c r="DC354" s="236">
        <v>1082</v>
      </c>
      <c r="DD354" s="236">
        <v>1360.3</v>
      </c>
      <c r="DE354" s="236">
        <v>1558.6</v>
      </c>
      <c r="DF354" s="401">
        <v>1962.4</v>
      </c>
      <c r="DG354" s="236">
        <v>6710</v>
      </c>
      <c r="DH354" s="492">
        <v>8128.5</v>
      </c>
      <c r="DI354" s="236">
        <v>9520.2000000000007</v>
      </c>
      <c r="DJ354" s="236">
        <v>9479.7000000000007</v>
      </c>
      <c r="DK354" s="236">
        <v>10889.757456384126</v>
      </c>
      <c r="DL354" s="236">
        <v>12617.706787614425</v>
      </c>
      <c r="DM354" s="236">
        <v>14390.68890661242</v>
      </c>
      <c r="DN354" s="236">
        <v>15982.306291367466</v>
      </c>
      <c r="DO354" s="236">
        <v>17681.338905140445</v>
      </c>
      <c r="DP354" s="236">
        <v>19435.090956368367</v>
      </c>
      <c r="DQ354" s="401">
        <v>21300.044402287836</v>
      </c>
      <c r="DR354" s="401">
        <v>23290.715996049727</v>
      </c>
      <c r="DS354" s="401">
        <v>25435.970054373418</v>
      </c>
      <c r="DT354" s="401">
        <v>27765.523022555568</v>
      </c>
      <c r="DU354" s="401">
        <v>30367.573414401588</v>
      </c>
      <c r="DV354" s="401">
        <v>33261.534630147347</v>
      </c>
      <c r="DW354" s="401">
        <v>36477.597707108929</v>
      </c>
      <c r="DX354" s="401">
        <v>40067.424282135064</v>
      </c>
      <c r="DY354" s="401">
        <v>44087.036520024296</v>
      </c>
      <c r="DZ354" s="401"/>
      <c r="EA354" s="989"/>
    </row>
    <row r="355" spans="1:131" s="28" customFormat="1">
      <c r="A355" s="977" t="s">
        <v>4217</v>
      </c>
      <c r="B355" s="13" t="s">
        <v>831</v>
      </c>
      <c r="C355" s="13" t="s">
        <v>2472</v>
      </c>
      <c r="D355" s="220"/>
      <c r="E355" s="220"/>
      <c r="F355" s="220"/>
      <c r="G355" s="220"/>
      <c r="H355" s="220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  <c r="AJ355" s="220"/>
      <c r="AK355" s="220"/>
      <c r="AL355" s="220"/>
      <c r="AM355" s="220"/>
      <c r="AN355" s="220"/>
      <c r="AO355" s="220"/>
      <c r="AP355" s="220"/>
      <c r="AQ355" s="220"/>
      <c r="AR355" s="220"/>
      <c r="AS355" s="220"/>
      <c r="AT355" s="310"/>
      <c r="AU355" s="13"/>
      <c r="AV355" s="76"/>
      <c r="AW355" s="76"/>
      <c r="AX355" s="76"/>
      <c r="AY355" s="74">
        <f>DataInput!AY772</f>
        <v>104.9226</v>
      </c>
      <c r="AZ355" s="74">
        <f>DataInput!AZ772</f>
        <v>254.72389999999999</v>
      </c>
      <c r="BA355" s="74">
        <f>DataInput!BA772</f>
        <v>368</v>
      </c>
      <c r="BB355" s="74">
        <f>DataInput!BB772</f>
        <v>486.1</v>
      </c>
      <c r="BC355" s="74">
        <f>DataInput!BC772</f>
        <v>697.8</v>
      </c>
      <c r="BD355" s="74">
        <f>DataInput!BD772</f>
        <v>965.9</v>
      </c>
      <c r="BE355" s="74">
        <f>DataInput!BE772</f>
        <v>1037.0999999999999</v>
      </c>
      <c r="BF355" s="290">
        <f>DataInput!BF772</f>
        <v>1333.2</v>
      </c>
      <c r="BG355" s="290">
        <f>DataInput!BG772</f>
        <v>1723.8</v>
      </c>
      <c r="BH355" s="290">
        <f>DataInput!BH772</f>
        <v>2180.1</v>
      </c>
      <c r="BI355" s="290">
        <f>DataInput!BI772</f>
        <v>2295.2999999999997</v>
      </c>
      <c r="BJ355" s="290">
        <f>DataInput!BJ772</f>
        <v>2379.7999999999997</v>
      </c>
      <c r="BK355" s="290">
        <f>DataInput!BK772</f>
        <v>3291.7000000000007</v>
      </c>
      <c r="BL355" s="290">
        <f>DataInput!BL772</f>
        <v>3741.4</v>
      </c>
      <c r="BM355" s="290">
        <f>DataInput!BM772</f>
        <v>4274.2</v>
      </c>
      <c r="BN355" s="290">
        <f>DataInput!BN772</f>
        <v>4536.7</v>
      </c>
      <c r="BO355" s="290">
        <f>DataInput!BO772</f>
        <v>4705.8</v>
      </c>
      <c r="BP355" s="86">
        <f t="shared" ref="BP355:BU355" ca="1" si="1290">BO355*BP363/BO363+0.5*(BP208+BP207+BP358)</f>
        <v>5784.1348387151602</v>
      </c>
      <c r="BQ355" s="86">
        <f t="shared" ca="1" si="1290"/>
        <v>5694.8874645361493</v>
      </c>
      <c r="BR355" s="86">
        <f t="shared" ca="1" si="1290"/>
        <v>5545.5378806704675</v>
      </c>
      <c r="BS355" s="86">
        <f t="shared" ca="1" si="1290"/>
        <v>5140.3080057757034</v>
      </c>
      <c r="BT355" s="86">
        <f t="shared" ca="1" si="1290"/>
        <v>4549.4103119559386</v>
      </c>
      <c r="BU355" s="86">
        <f t="shared" ca="1" si="1290"/>
        <v>3754.7106702099336</v>
      </c>
      <c r="BV355" s="86">
        <f t="shared" ref="BV355:BX355" ca="1" si="1291">BU355*BV363/BU363+0.5*(BV208+BV207+BV358)</f>
        <v>2747.3662288479454</v>
      </c>
      <c r="BW355" s="86">
        <f t="shared" ca="1" si="1291"/>
        <v>1502.5673075074849</v>
      </c>
      <c r="BX355" s="86">
        <f t="shared" ca="1" si="1291"/>
        <v>-3.3084604340938313</v>
      </c>
      <c r="BY355" s="86">
        <f t="shared" ref="BY355" ca="1" si="1292">BX355*BY363/BX363+0.5*(BY208+BY207+BY358)</f>
        <v>-1802.4284493341509</v>
      </c>
      <c r="BZ355" s="86">
        <f t="shared" ref="BZ355" ca="1" si="1293">BY355*BZ363/BY363+0.5*(BZ208+BZ207+BZ358)</f>
        <v>-3885.4434852613113</v>
      </c>
      <c r="CA355" s="86">
        <f t="shared" ref="CA355" ca="1" si="1294">BZ355*CA363/BZ363+0.5*(CA208+CA207+CA358)</f>
        <v>-6292.9009968102737</v>
      </c>
      <c r="CB355" s="86">
        <f t="shared" ref="CB355" ca="1" si="1295">CA355*CB363/CA363+0.5*(CB208+CB207+CB358)</f>
        <v>-9060.3105990413842</v>
      </c>
      <c r="CC355" s="86">
        <f t="shared" ref="CC355" ca="1" si="1296">CB355*CC363/CB363+0.5*(CC208+CC207+CC358)</f>
        <v>-12227.717213313101</v>
      </c>
      <c r="CD355" s="86">
        <f t="shared" ref="CD355" ca="1" si="1297">CC355*CD363/CC363+0.5*(CD208+CD207+CD358)</f>
        <v>-15840.719171520326</v>
      </c>
      <c r="CE355" s="86"/>
      <c r="CF355" s="435"/>
      <c r="CG355" s="235">
        <f t="shared" si="1167"/>
        <v>0</v>
      </c>
      <c r="CH355" s="235">
        <f t="shared" si="1168"/>
        <v>0</v>
      </c>
      <c r="CI355" s="235" t="e">
        <f>BM355-#REF!</f>
        <v>#REF!</v>
      </c>
      <c r="CJ355" s="235">
        <f t="shared" si="1169"/>
        <v>0</v>
      </c>
      <c r="CK355" s="235">
        <f t="shared" si="1170"/>
        <v>0</v>
      </c>
      <c r="CL355" s="235">
        <f t="shared" ca="1" si="1171"/>
        <v>0</v>
      </c>
      <c r="CM355" s="235">
        <f t="shared" ca="1" si="1172"/>
        <v>0</v>
      </c>
      <c r="CN355" s="235">
        <f t="shared" ca="1" si="1173"/>
        <v>-7.2759576141834259E-12</v>
      </c>
      <c r="CO355" s="235">
        <f t="shared" ca="1" si="1174"/>
        <v>-1.0004441719502211E-11</v>
      </c>
      <c r="CP355" s="235">
        <f t="shared" ca="1" si="1175"/>
        <v>-1.3642420526593924E-11</v>
      </c>
      <c r="CQ355" s="235">
        <f t="shared" ca="1" si="1176"/>
        <v>-1.7280399333685637E-11</v>
      </c>
      <c r="CR355" s="235">
        <f t="shared" ca="1" si="1177"/>
        <v>-2.4556356947869062E-11</v>
      </c>
      <c r="CS355" s="235">
        <f t="shared" ca="1" si="1178"/>
        <v>-3.5925040720030665E-11</v>
      </c>
      <c r="CT355" s="235">
        <f t="shared" ca="1" si="1179"/>
        <v>-4.7293724492192268E-11</v>
      </c>
      <c r="CU355" s="235">
        <f t="shared" ca="1" si="1180"/>
        <v>-5.7298166211694479E-11</v>
      </c>
      <c r="CV355" s="235">
        <f t="shared" ca="1" si="1181"/>
        <v>-6.730260793119669E-11</v>
      </c>
      <c r="CW355" s="235">
        <f t="shared" ca="1" si="1182"/>
        <v>-6.6393113229423761E-11</v>
      </c>
      <c r="CX355" s="235">
        <f t="shared" ca="1" si="1183"/>
        <v>1.4915713109076023E-10</v>
      </c>
      <c r="CY355" s="235">
        <f t="shared" ca="1" si="1184"/>
        <v>2.4519977159798145E-9</v>
      </c>
      <c r="CZ355" s="235">
        <f t="shared" ca="1" si="1185"/>
        <v>2.0736479200422764E-8</v>
      </c>
      <c r="DA355" s="38"/>
      <c r="DB355" s="236">
        <v>1288.5999999999999</v>
      </c>
      <c r="DC355" s="236">
        <v>1289.5999999999999</v>
      </c>
      <c r="DD355" s="236">
        <v>1657.1</v>
      </c>
      <c r="DE355" s="236">
        <v>1795.8</v>
      </c>
      <c r="DF355" s="401">
        <v>2199.8000000000002</v>
      </c>
      <c r="DG355" s="236">
        <v>3291.7000000000007</v>
      </c>
      <c r="DH355" s="492">
        <v>3741.4</v>
      </c>
      <c r="DI355" s="236">
        <v>4536.7</v>
      </c>
      <c r="DJ355" s="236">
        <v>4705.8</v>
      </c>
      <c r="DK355" s="236">
        <v>5784.134838715162</v>
      </c>
      <c r="DL355" s="236">
        <v>5694.8874645361539</v>
      </c>
      <c r="DM355" s="236">
        <v>5545.5378806704748</v>
      </c>
      <c r="DN355" s="236">
        <v>5140.3080057757134</v>
      </c>
      <c r="DO355" s="236">
        <v>4549.4103119559522</v>
      </c>
      <c r="DP355" s="236">
        <v>3754.7106702099509</v>
      </c>
      <c r="DQ355" s="403">
        <v>2747.36622884797</v>
      </c>
      <c r="DR355" s="403">
        <v>1502.5673075075208</v>
      </c>
      <c r="DS355" s="403">
        <v>-3.3084604340465376</v>
      </c>
      <c r="DT355" s="403">
        <v>-1802.4284493340936</v>
      </c>
      <c r="DU355" s="403">
        <v>-3885.4434852612439</v>
      </c>
      <c r="DV355" s="403">
        <v>-6292.9009968102073</v>
      </c>
      <c r="DW355" s="403">
        <v>-9060.3105990415334</v>
      </c>
      <c r="DX355" s="403">
        <v>-12227.717213315553</v>
      </c>
      <c r="DY355" s="403">
        <v>-15840.719171541063</v>
      </c>
      <c r="DZ355" s="403"/>
      <c r="EA355" s="991"/>
    </row>
    <row r="356" spans="1:131" s="28" customFormat="1">
      <c r="A356" s="76" t="s">
        <v>4447</v>
      </c>
      <c r="B356" s="80" t="s">
        <v>1448</v>
      </c>
      <c r="C356" s="13"/>
      <c r="D356" s="220"/>
      <c r="E356" s="220"/>
      <c r="F356" s="220"/>
      <c r="G356" s="220"/>
      <c r="H356" s="220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  <c r="AJ356" s="220"/>
      <c r="AK356" s="220"/>
      <c r="AL356" s="220"/>
      <c r="AM356" s="220"/>
      <c r="AN356" s="220"/>
      <c r="AO356" s="220"/>
      <c r="AP356" s="220"/>
      <c r="AQ356" s="220"/>
      <c r="AR356" s="220"/>
      <c r="AS356" s="220"/>
      <c r="AT356" s="220"/>
      <c r="AU356" s="13"/>
      <c r="AV356" s="76"/>
      <c r="AW356" s="76"/>
      <c r="AX356" s="76"/>
      <c r="AY356" s="273"/>
      <c r="AZ356" s="273"/>
      <c r="BA356" s="273"/>
      <c r="BB356" s="273"/>
      <c r="BC356" s="273"/>
      <c r="BD356" s="273"/>
      <c r="BE356" s="74">
        <f>DataInput!BE682*BE363</f>
        <v>442.53299999999996</v>
      </c>
      <c r="BF356" s="290">
        <f>DataInput!BF682*BF363</f>
        <v>650.52099999999996</v>
      </c>
      <c r="BG356" s="290">
        <f>DataInput!BG682*BG363</f>
        <v>1107.0585000000001</v>
      </c>
      <c r="BH356" s="290">
        <f>DataInput!BH682*BH363</f>
        <v>1653.8625</v>
      </c>
      <c r="BI356" s="290">
        <f>DataInput!BI682*BI363</f>
        <v>1872.45</v>
      </c>
      <c r="BJ356" s="290">
        <f>DataInput!BJ682*BJ363</f>
        <v>2106.9399999999996</v>
      </c>
      <c r="BK356" s="290">
        <f>DataInput!BK682*BK363</f>
        <v>2654.9249999999997</v>
      </c>
      <c r="BL356" s="290">
        <f>DataInput!BL682*BL363</f>
        <v>3378.14</v>
      </c>
      <c r="BM356" s="290">
        <f>DataInput!BM682*BM363</f>
        <v>2597.59</v>
      </c>
      <c r="BN356" s="290">
        <f>DataInput!BN682*BN363</f>
        <v>2094.085</v>
      </c>
      <c r="BO356" s="290">
        <f>DataInput!BO682*BO363</f>
        <v>1238.1600000000001</v>
      </c>
      <c r="BP356" s="946">
        <f t="shared" ref="BP356:BU356" ca="1" si="1298">BO356*BP357/BO357</f>
        <v>1129.4352872569368</v>
      </c>
      <c r="BQ356" s="946">
        <f t="shared" ca="1" si="1298"/>
        <v>1045.5496660518322</v>
      </c>
      <c r="BR356" s="946">
        <f t="shared" ca="1" si="1298"/>
        <v>905.17262152201022</v>
      </c>
      <c r="BS356" s="946">
        <f t="shared" ca="1" si="1298"/>
        <v>524.28791651957999</v>
      </c>
      <c r="BT356" s="946">
        <f t="shared" ca="1" si="1298"/>
        <v>-31.110161807211139</v>
      </c>
      <c r="BU356" s="946">
        <f t="shared" ca="1" si="1298"/>
        <v>-778.06629057380951</v>
      </c>
      <c r="BV356" s="946">
        <f t="shared" ref="BV356:BX356" ca="1" si="1299">BU356*BV357/BU357</f>
        <v>-1724.8920656567527</v>
      </c>
      <c r="BW356" s="946">
        <f t="shared" ca="1" si="1299"/>
        <v>-2894.9066655557194</v>
      </c>
      <c r="BX356" s="946">
        <f t="shared" ca="1" si="1299"/>
        <v>-4310.31328578995</v>
      </c>
      <c r="BY356" s="946">
        <f t="shared" ref="BY356" ca="1" si="1300">BX356*BY357/BX357</f>
        <v>-6001.3467674998974</v>
      </c>
      <c r="BZ356" s="946">
        <f t="shared" ref="BZ356" ca="1" si="1301">BY356*BZ357/BY357</f>
        <v>-7959.2196111069816</v>
      </c>
      <c r="CA356" s="946">
        <f t="shared" ref="CA356" ca="1" si="1302">BZ356*CA357/BZ357</f>
        <v>-10222.043259857852</v>
      </c>
      <c r="CB356" s="946">
        <f t="shared" ref="CB356" ca="1" si="1303">CA356*CB357/CA357</f>
        <v>-12823.19400236036</v>
      </c>
      <c r="CC356" s="946">
        <f t="shared" ref="CC356" ca="1" si="1304">CB356*CC357/CB357</f>
        <v>-15800.31096396879</v>
      </c>
      <c r="CD356" s="946">
        <f t="shared" ref="CD356" ca="1" si="1305">CC356*CD357/CC357</f>
        <v>-19196.253045934958</v>
      </c>
      <c r="CE356" s="273"/>
      <c r="CF356" s="435"/>
      <c r="CG356" s="235"/>
      <c r="CH356" s="235">
        <f t="shared" ref="CH356:CH361" si="1306">BL356-DH356</f>
        <v>0</v>
      </c>
      <c r="CI356" s="235" t="e">
        <f>BM356-#REF!</f>
        <v>#REF!</v>
      </c>
      <c r="CJ356" s="235">
        <f t="shared" si="1169"/>
        <v>0</v>
      </c>
      <c r="CK356" s="235">
        <f t="shared" si="1170"/>
        <v>0</v>
      </c>
      <c r="CL356" s="235">
        <f t="shared" ca="1" si="1171"/>
        <v>0</v>
      </c>
      <c r="CM356" s="235">
        <f t="shared" ca="1" si="1172"/>
        <v>-5.4569682106375694E-12</v>
      </c>
      <c r="CN356" s="235">
        <f t="shared" ca="1" si="1173"/>
        <v>-1.0231815394945443E-11</v>
      </c>
      <c r="CO356" s="235">
        <f t="shared" ca="1" si="1174"/>
        <v>-1.7053025658242404E-11</v>
      </c>
      <c r="CP356" s="235">
        <f t="shared" ca="1" si="1175"/>
        <v>-2.6073365688716876E-11</v>
      </c>
      <c r="CQ356" s="235">
        <f t="shared" ca="1" si="1176"/>
        <v>-3.7630343285854906E-11</v>
      </c>
      <c r="CR356" s="235">
        <f t="shared" ca="1" si="1177"/>
        <v>-4.7975845518521965E-11</v>
      </c>
      <c r="CS356" s="235">
        <f t="shared" ca="1" si="1178"/>
        <v>-5.9117155615240335E-11</v>
      </c>
      <c r="CT356" s="235">
        <f t="shared" ca="1" si="1179"/>
        <v>-6.5483618527650833E-11</v>
      </c>
      <c r="CU356" s="235">
        <f t="shared" ca="1" si="1180"/>
        <v>-7.4578565545380116E-11</v>
      </c>
      <c r="CV356" s="235">
        <f t="shared" ca="1" si="1181"/>
        <v>-9.0039975475519896E-11</v>
      </c>
      <c r="CW356" s="235">
        <f t="shared" ca="1" si="1182"/>
        <v>-1.1641532182693481E-10</v>
      </c>
      <c r="CX356" s="235">
        <f t="shared" ca="1" si="1183"/>
        <v>-2.2191670723259449E-10</v>
      </c>
      <c r="CY356" s="235">
        <f t="shared" ca="1" si="1184"/>
        <v>-1.1859810911118984E-9</v>
      </c>
      <c r="CZ356" s="235">
        <f t="shared" ca="1" si="1185"/>
        <v>-1.0073563316836953E-8</v>
      </c>
      <c r="DA356" s="38"/>
      <c r="DB356" s="236"/>
      <c r="DC356" s="236"/>
      <c r="DD356" s="236"/>
      <c r="DE356" s="236"/>
      <c r="DF356" s="401"/>
      <c r="DG356" s="236">
        <v>2654.9249999999997</v>
      </c>
      <c r="DH356" s="492">
        <v>3378.14</v>
      </c>
      <c r="DI356" s="236">
        <v>2094.085</v>
      </c>
      <c r="DJ356" s="236">
        <v>1238.1600000000001</v>
      </c>
      <c r="DK356" s="236">
        <v>1129.4352872569384</v>
      </c>
      <c r="DL356" s="236">
        <v>1045.5496660518377</v>
      </c>
      <c r="DM356" s="236">
        <v>905.17262152202045</v>
      </c>
      <c r="DN356" s="236">
        <v>524.28791651959705</v>
      </c>
      <c r="DO356" s="236">
        <v>-31.110161807185065</v>
      </c>
      <c r="DP356" s="236">
        <v>-778.06629057377188</v>
      </c>
      <c r="DQ356" s="403">
        <v>-1724.8920656567047</v>
      </c>
      <c r="DR356" s="403">
        <v>-2894.9066655556603</v>
      </c>
      <c r="DS356" s="403">
        <v>-4310.3132857898845</v>
      </c>
      <c r="DT356" s="403">
        <v>-6001.3467674998228</v>
      </c>
      <c r="DU356" s="403">
        <v>-7959.2196111068915</v>
      </c>
      <c r="DV356" s="403">
        <v>-10222.043259857735</v>
      </c>
      <c r="DW356" s="403">
        <v>-12823.194002360138</v>
      </c>
      <c r="DX356" s="403">
        <v>-15800.310963967604</v>
      </c>
      <c r="DY356" s="403">
        <v>-19196.253045924885</v>
      </c>
      <c r="DZ356" s="403"/>
      <c r="EA356" s="991"/>
    </row>
    <row r="357" spans="1:131" s="76" customFormat="1">
      <c r="A357" s="51" t="s">
        <v>4446</v>
      </c>
      <c r="B357" s="80" t="s">
        <v>1447</v>
      </c>
      <c r="C357" s="51" t="s">
        <v>2735</v>
      </c>
      <c r="D357" s="207" t="s">
        <v>2046</v>
      </c>
      <c r="E357" s="207"/>
      <c r="F357" s="6">
        <f>mamiabc!F144*Model!$AV357/mamiabc!$AV144</f>
        <v>0.31050236863558961</v>
      </c>
      <c r="G357" s="6">
        <f>mamiabc!G144*Model!$AV357/mamiabc!$AV144</f>
        <v>0.31366546042503485</v>
      </c>
      <c r="H357" s="6">
        <f>mamiabc!H144*Model!$AV357/mamiabc!$AV144</f>
        <v>0.31621634090039397</v>
      </c>
      <c r="I357" s="6">
        <f>mamiabc!I144*Model!$AV357/mamiabc!$AV144</f>
        <v>0.31689895031194842</v>
      </c>
      <c r="J357" s="6">
        <f>mamiabc!J144*Model!$AV357/mamiabc!$AV144</f>
        <v>0.32035866831783061</v>
      </c>
      <c r="K357" s="6">
        <f>mamiabc!K144*Model!$AV357/mamiabc!$AV144</f>
        <v>0.32252179927482622</v>
      </c>
      <c r="L357" s="6">
        <f>mamiabc!L144*Model!$AV357/mamiabc!$AV144</f>
        <v>0.33075889586131957</v>
      </c>
      <c r="M357" s="6">
        <f>mamiabc!M144*Model!$AV357/mamiabc!$AV144</f>
        <v>0.32266268141737842</v>
      </c>
      <c r="N357" s="6">
        <f>mamiabc!N144*Model!$AV357/mamiabc!$AV144</f>
        <v>0.32060383310129498</v>
      </c>
      <c r="O357" s="6">
        <f>mamiabc!O144*Model!$AV357/mamiabc!$AV144</f>
        <v>0.32394225196954457</v>
      </c>
      <c r="P357" s="6">
        <f>mamiabc!P144*Model!$AV357/mamiabc!$AV144</f>
        <v>0.33128599330377351</v>
      </c>
      <c r="Q357" s="6">
        <f>mamiabc!Q144*Model!$AV357/mamiabc!$AV144</f>
        <v>0.32988069450198149</v>
      </c>
      <c r="R357" s="6">
        <f>mamiabc!R144*Model!$AV357/mamiabc!$AV144</f>
        <v>0.32480036365145581</v>
      </c>
      <c r="S357" s="6">
        <f>mamiabc!S144*Model!$AV357/mamiabc!$AV144</f>
        <v>0.32270149781649771</v>
      </c>
      <c r="T357" s="6">
        <f>mamiabc!T144*Model!$AV357/mamiabc!$AV144</f>
        <v>0.31215718121156205</v>
      </c>
      <c r="U357" s="6">
        <f>mamiabc!U144*Model!$AV357/mamiabc!$AV144</f>
        <v>0.3094022214309492</v>
      </c>
      <c r="V357" s="6">
        <f>mamiabc!V144*Model!$AV357/mamiabc!$AV144</f>
        <v>0.29996296315964688</v>
      </c>
      <c r="W357" s="6">
        <f>mamiabc!W144*Model!$AV357/mamiabc!$AV144</f>
        <v>0.30042110226707808</v>
      </c>
      <c r="X357" s="6">
        <f>mamiabc!X144*Model!$AV357/mamiabc!$AV144</f>
        <v>0.28485564524145879</v>
      </c>
      <c r="Y357" s="6">
        <f>mamiabc!Y144*Model!$AV357/mamiabc!$AV144</f>
        <v>0.30454844134505116</v>
      </c>
      <c r="Z357" s="6">
        <f>mamiabc!Z144*Model!$AV357/mamiabc!$AV144</f>
        <v>0.33362846815905334</v>
      </c>
      <c r="AA357" s="6">
        <f>mamiabc!AA144*Model!$AV357/mamiabc!$AV144</f>
        <v>0.35566809580360492</v>
      </c>
      <c r="AB357" s="6">
        <f>mamiabc!AB144*Model!$AV357/mamiabc!$AV144</f>
        <v>0.45025478219374471</v>
      </c>
      <c r="AC357" s="6">
        <f>mamiabc!AC144*Model!$AV357/mamiabc!$AV144</f>
        <v>0.48157959674526929</v>
      </c>
      <c r="AD357" s="6">
        <f>mamiabc!AD144*Model!$AV357/mamiabc!$AV144</f>
        <v>0.39760465332688205</v>
      </c>
      <c r="AE357" s="6">
        <f>mamiabc!AE144*Model!$AV357/mamiabc!$AV144</f>
        <v>0.40658375060532459</v>
      </c>
      <c r="AF357" s="6">
        <f>mamiabc!AF144*Model!$AV357/mamiabc!$AV144</f>
        <v>0.46188681928991343</v>
      </c>
      <c r="AG357" s="6">
        <f>mamiabc!AG144*Model!$AV357/mamiabc!$AV144</f>
        <v>0.52698523934515629</v>
      </c>
      <c r="AH357" s="6">
        <f>mamiabc!AH144*Model!$AV357/mamiabc!$AV144</f>
        <v>0.57116649606294301</v>
      </c>
      <c r="AI357" s="6">
        <f>mamiabc!AI144*Model!$AV357/mamiabc!$AV144</f>
        <v>0.53076059826720001</v>
      </c>
      <c r="AJ357" s="6">
        <f>mamiabc!AJ144*Model!$AV357/mamiabc!$AV144</f>
        <v>0.29505924781761406</v>
      </c>
      <c r="AK357" s="6">
        <f>mamiabc!AK144*Model!$AV357/mamiabc!$AV144</f>
        <v>0.1955493624262834</v>
      </c>
      <c r="AL357" s="6">
        <f>mamiabc!AL144*Model!$AV357/mamiabc!$AV144</f>
        <v>0.19962976355871001</v>
      </c>
      <c r="AM357" s="6">
        <f>mamiabc!AM144*Model!$AV357/mamiabc!$AV144</f>
        <v>0.10271877786670373</v>
      </c>
      <c r="AN357" s="6">
        <f>mamiabc!AN144*Model!$AV357/mamiabc!$AV144</f>
        <v>0.16353180549960053</v>
      </c>
      <c r="AO357" s="6">
        <f>mamiabc!AO144*Model!$AV357/mamiabc!$AV144</f>
        <v>0.2718422244941433</v>
      </c>
      <c r="AP357" s="6">
        <f>mamiabc!AP144*Model!$AV357/mamiabc!$AV144</f>
        <v>3.5304184222036197E-2</v>
      </c>
      <c r="AQ357" s="6">
        <f>mamiabc!AQ144*Model!$AV357/mamiabc!$AV144</f>
        <v>-4.6834167084527138E-2</v>
      </c>
      <c r="AR357" s="6">
        <f>mamiabc!AR144*Model!$AV357/mamiabc!$AV144</f>
        <v>-5.2650173011412026E-2</v>
      </c>
      <c r="AS357" s="6">
        <f>mamiabc!AS144*Model!$AV357/mamiabc!$AV144</f>
        <v>2.3450754386071373</v>
      </c>
      <c r="AT357" s="6">
        <f>mamiabc!AT144*Model!$AV357/mamiabc!$AV144</f>
        <v>25.074032685370895</v>
      </c>
      <c r="AU357" s="6">
        <f>mamiabc!AU144*Model!$AV357/mamiabc!$AV144</f>
        <v>75.346070847215117</v>
      </c>
      <c r="AV357" s="74">
        <f>DataInput!AV682*AV363</f>
        <v>71.885852499999999</v>
      </c>
      <c r="AW357" s="74">
        <f>DataInput!AW682*AW363</f>
        <v>79.39800000000001</v>
      </c>
      <c r="AX357" s="74">
        <f>DataInput!AX682*AX363</f>
        <v>49.603700000000003</v>
      </c>
      <c r="AY357" s="74">
        <f>DataInput!AY682*AY363</f>
        <v>109.46654299999999</v>
      </c>
      <c r="AZ357" s="74">
        <f>DataInput!AZ682*AZ363</f>
        <v>27.056723999999996</v>
      </c>
      <c r="BA357" s="74">
        <f>DataInput!BA682*BA363</f>
        <v>252.92384999999999</v>
      </c>
      <c r="BB357" s="74">
        <f>DataInput!BB682*BB363</f>
        <v>233.85797250000002</v>
      </c>
      <c r="BC357" s="74">
        <f>DataInput!BC682*BC363</f>
        <v>280.11830799999996</v>
      </c>
      <c r="BD357" s="74">
        <f>DataInput!BD682*BD363</f>
        <v>388.77479999999997</v>
      </c>
      <c r="BE357" s="74">
        <f>DataInput!BE682*BE363</f>
        <v>442.53299999999996</v>
      </c>
      <c r="BF357" s="290">
        <f>DataInput!BF690</f>
        <v>1428</v>
      </c>
      <c r="BG357" s="290">
        <f>DataInput!BG690</f>
        <v>2130.1</v>
      </c>
      <c r="BH357" s="290">
        <f>DataInput!BH690</f>
        <v>2616.1</v>
      </c>
      <c r="BI357" s="290">
        <f>DataInput!BI690</f>
        <v>2847.4</v>
      </c>
      <c r="BJ357" s="290">
        <f>DataInput!BJ690</f>
        <v>2967.8</v>
      </c>
      <c r="BK357" s="290">
        <f>DataInput!BK690</f>
        <v>4399.8</v>
      </c>
      <c r="BL357" s="290">
        <f>DataInput!BL690</f>
        <v>5090.3</v>
      </c>
      <c r="BM357" s="290">
        <f>DataInput!BM690</f>
        <v>4585.5</v>
      </c>
      <c r="BN357" s="290">
        <f>DataInput!BN690</f>
        <v>3836.6</v>
      </c>
      <c r="BO357" s="290">
        <f>DataInput!BO690</f>
        <v>2634.6000000000004</v>
      </c>
      <c r="BP357" s="256">
        <f t="shared" ref="BP357:BU357" ca="1" si="1307">BO357+(BP208+BP207+BP358)</f>
        <v>2403.2517669825593</v>
      </c>
      <c r="BQ357" s="256">
        <f t="shared" ca="1" si="1307"/>
        <v>2224.7570186245366</v>
      </c>
      <c r="BR357" s="256">
        <f t="shared" ca="1" si="1307"/>
        <v>1926.0578508931726</v>
      </c>
      <c r="BS357" s="256">
        <f t="shared" ca="1" si="1307"/>
        <v>1115.5981011036442</v>
      </c>
      <c r="BT357" s="256">
        <f t="shared" ca="1" si="1307"/>
        <v>-66.197286535885269</v>
      </c>
      <c r="BU357" s="256">
        <f t="shared" ca="1" si="1307"/>
        <v>-1655.5965700278957</v>
      </c>
      <c r="BV357" s="256">
        <f t="shared" ref="BV357:BX357" ca="1" si="1308">BU357+(BV208+BV207+BV358)</f>
        <v>-3670.2854527518721</v>
      </c>
      <c r="BW357" s="256">
        <f t="shared" ca="1" si="1308"/>
        <v>-6159.8832954327936</v>
      </c>
      <c r="BX357" s="256">
        <f t="shared" ca="1" si="1308"/>
        <v>-9171.6348313159506</v>
      </c>
      <c r="BY357" s="256">
        <f t="shared" ref="BY357" ca="1" si="1309">BX357+(BY208+BY207+BY358)</f>
        <v>-12769.874809116065</v>
      </c>
      <c r="BZ357" s="256">
        <f t="shared" ref="BZ357" ca="1" si="1310">BY357+(BZ208+BZ207+BZ358)</f>
        <v>-16935.904880970385</v>
      </c>
      <c r="CA357" s="256">
        <f t="shared" ref="CA357" ca="1" si="1311">BZ357+(CA208+CA207+CA358)</f>
        <v>-21750.81990406831</v>
      </c>
      <c r="CB357" s="256">
        <f t="shared" ref="CB357" ca="1" si="1312">CA357+(CB208+CB207+CB358)</f>
        <v>-27285.639108530529</v>
      </c>
      <c r="CC357" s="256">
        <f t="shared" ref="CC357" ca="1" si="1313">CB357+(CC208+CC207+CC358)</f>
        <v>-33620.452337073963</v>
      </c>
      <c r="CD357" s="256">
        <f t="shared" ref="CD357" ca="1" si="1314">CC357+(CD208+CD207+CD358)</f>
        <v>-40846.456253488417</v>
      </c>
      <c r="CE357" s="256"/>
      <c r="CF357" s="435"/>
      <c r="CG357" s="235">
        <f>BK357-DG357</f>
        <v>0</v>
      </c>
      <c r="CH357" s="235">
        <f t="shared" si="1306"/>
        <v>0</v>
      </c>
      <c r="CI357" s="235" t="e">
        <f>BM357-#REF!</f>
        <v>#REF!</v>
      </c>
      <c r="CJ357" s="235">
        <f t="shared" si="1169"/>
        <v>0</v>
      </c>
      <c r="CK357" s="235">
        <f t="shared" si="1170"/>
        <v>0</v>
      </c>
      <c r="CL357" s="235">
        <f t="shared" ca="1" si="1171"/>
        <v>-3.637978807091713E-12</v>
      </c>
      <c r="CM357" s="235">
        <f t="shared" ca="1" si="1172"/>
        <v>-9.5496943686157465E-12</v>
      </c>
      <c r="CN357" s="235">
        <f t="shared" ca="1" si="1173"/>
        <v>-1.5916157281026244E-11</v>
      </c>
      <c r="CO357" s="235">
        <f t="shared" ca="1" si="1174"/>
        <v>-2.2282620193436742E-11</v>
      </c>
      <c r="CP357" s="235">
        <f t="shared" ca="1" si="1175"/>
        <v>-3.0013325158506632E-11</v>
      </c>
      <c r="CQ357" s="235">
        <f t="shared" ca="1" si="1176"/>
        <v>-3.8198777474462986E-11</v>
      </c>
      <c r="CR357" s="235">
        <f t="shared" ca="1" si="1177"/>
        <v>-5.3205440053716302E-11</v>
      </c>
      <c r="CS357" s="235">
        <f t="shared" ca="1" si="1178"/>
        <v>-7.6397554948925972E-11</v>
      </c>
      <c r="CT357" s="235">
        <f t="shared" ca="1" si="1179"/>
        <v>-9.822542779147625E-11</v>
      </c>
      <c r="CU357" s="235">
        <f t="shared" ca="1" si="1180"/>
        <v>-1.1823431123048067E-10</v>
      </c>
      <c r="CV357" s="235">
        <f t="shared" ca="1" si="1181"/>
        <v>-1.3824319466948509E-10</v>
      </c>
      <c r="CW357" s="235">
        <f t="shared" ca="1" si="1182"/>
        <v>-1.3824319466948509E-10</v>
      </c>
      <c r="CX357" s="235">
        <f t="shared" ca="1" si="1183"/>
        <v>2.9467628337442875E-10</v>
      </c>
      <c r="CY357" s="235">
        <f t="shared" ca="1" si="1184"/>
        <v>4.9039954319596291E-9</v>
      </c>
      <c r="CZ357" s="235">
        <f t="shared" ca="1" si="1185"/>
        <v>4.1472958400845528E-8</v>
      </c>
      <c r="DA357" s="38"/>
      <c r="DB357" s="236">
        <v>715.34100000000001</v>
      </c>
      <c r="DC357" s="236">
        <v>716.34100000000001</v>
      </c>
      <c r="DD357" s="236">
        <v>1196.5454999999999</v>
      </c>
      <c r="DE357" s="236">
        <v>1361.2455</v>
      </c>
      <c r="DF357" s="401">
        <v>2059.98</v>
      </c>
      <c r="DG357" s="236">
        <v>4399.8</v>
      </c>
      <c r="DH357" s="492">
        <v>5090.3</v>
      </c>
      <c r="DI357" s="236">
        <v>3836.6</v>
      </c>
      <c r="DJ357" s="236">
        <v>2634.6000000000004</v>
      </c>
      <c r="DK357" s="236">
        <v>2403.2517669825629</v>
      </c>
      <c r="DL357" s="236">
        <v>2224.7570186245462</v>
      </c>
      <c r="DM357" s="236">
        <v>1926.0578508931885</v>
      </c>
      <c r="DN357" s="236">
        <v>1115.5981011036665</v>
      </c>
      <c r="DO357" s="236">
        <v>-66.197286535855255</v>
      </c>
      <c r="DP357" s="236">
        <v>-1655.5965700278575</v>
      </c>
      <c r="DQ357" s="401">
        <v>-3670.2854527518189</v>
      </c>
      <c r="DR357" s="401">
        <v>-6159.8832954327172</v>
      </c>
      <c r="DS357" s="401">
        <v>-9171.6348313158524</v>
      </c>
      <c r="DT357" s="401">
        <v>-12769.874809115947</v>
      </c>
      <c r="DU357" s="401">
        <v>-16935.904880970247</v>
      </c>
      <c r="DV357" s="401">
        <v>-21750.819904068172</v>
      </c>
      <c r="DW357" s="401">
        <v>-27285.639108530824</v>
      </c>
      <c r="DX357" s="401">
        <v>-33620.452337078867</v>
      </c>
      <c r="DY357" s="401">
        <v>-40846.45625352989</v>
      </c>
      <c r="DZ357" s="401"/>
      <c r="EA357" s="989"/>
    </row>
    <row r="358" spans="1:131" s="76" customFormat="1">
      <c r="A358" s="76" t="s">
        <v>4448</v>
      </c>
      <c r="B358" s="80" t="s">
        <v>2002</v>
      </c>
      <c r="C358" s="51" t="s">
        <v>2001</v>
      </c>
      <c r="D358" s="207"/>
      <c r="E358" s="207"/>
      <c r="F358" s="76">
        <f t="shared" ref="F358:AU358" si="1315">F357-E357-F208-F207</f>
        <v>0.29876325510358259</v>
      </c>
      <c r="G358" s="76">
        <f t="shared" si="1315"/>
        <v>-7.4142779831087493E-3</v>
      </c>
      <c r="H358" s="76">
        <f t="shared" si="1315"/>
        <v>-2.8233771309519561E-3</v>
      </c>
      <c r="I358" s="76">
        <f t="shared" si="1315"/>
        <v>-5.0119076592965196E-3</v>
      </c>
      <c r="J358" s="76">
        <f t="shared" si="1315"/>
        <v>-1.2451094985041176E-3</v>
      </c>
      <c r="K358" s="76">
        <f t="shared" si="1315"/>
        <v>8.7780399325700816E-3</v>
      </c>
      <c r="L358" s="76">
        <f t="shared" si="1315"/>
        <v>2.3724767064673778E-2</v>
      </c>
      <c r="M358" s="76">
        <f t="shared" si="1315"/>
        <v>9.278097935241033E-3</v>
      </c>
      <c r="N358" s="76">
        <f t="shared" si="1315"/>
        <v>1.9532382966654653E-2</v>
      </c>
      <c r="O358" s="76">
        <f t="shared" si="1315"/>
        <v>2.2400429456481265E-2</v>
      </c>
      <c r="P358" s="76">
        <f t="shared" si="1315"/>
        <v>5.6043287691749551E-2</v>
      </c>
      <c r="Q358" s="76">
        <f t="shared" si="1315"/>
        <v>4.4759088822715835E-2</v>
      </c>
      <c r="R358" s="76">
        <f t="shared" si="1315"/>
        <v>-1.0751610146597278E-2</v>
      </c>
      <c r="S358" s="76">
        <f t="shared" si="1315"/>
        <v>-9.4738102263944614E-3</v>
      </c>
      <c r="T358" s="76">
        <f t="shared" si="1315"/>
        <v>-9.4881070828382805E-3</v>
      </c>
      <c r="U358" s="76">
        <f t="shared" si="1315"/>
        <v>-7.9879101487568948E-3</v>
      </c>
      <c r="V358" s="76">
        <f t="shared" si="1315"/>
        <v>-2.789589862422151E-2</v>
      </c>
      <c r="W358" s="76">
        <f t="shared" si="1315"/>
        <v>-2.3787446783706066E-2</v>
      </c>
      <c r="X358" s="76">
        <f t="shared" si="1315"/>
        <v>-7.1124538512202684E-2</v>
      </c>
      <c r="Y358" s="76">
        <f t="shared" si="1315"/>
        <v>5.1846529826914435E-3</v>
      </c>
      <c r="Z358" s="76">
        <f t="shared" si="1315"/>
        <v>-2.6659706632529728E-2</v>
      </c>
      <c r="AA358" s="76">
        <f t="shared" si="1315"/>
        <v>-4.2927729486502142E-3</v>
      </c>
      <c r="AB358" s="76">
        <f t="shared" si="1315"/>
        <v>7.7113093313347758E-2</v>
      </c>
      <c r="AC358" s="76">
        <f t="shared" si="1315"/>
        <v>0.10764231088208152</v>
      </c>
      <c r="AD358" s="76">
        <f t="shared" si="1315"/>
        <v>-0.14172264256387501</v>
      </c>
      <c r="AE358" s="76">
        <f t="shared" si="1315"/>
        <v>-5.9458679169590856E-2</v>
      </c>
      <c r="AF358" s="76">
        <f t="shared" si="1315"/>
        <v>-5.9221298370547293E-4</v>
      </c>
      <c r="AG358" s="76">
        <f t="shared" si="1315"/>
        <v>7.9352921630248485E-2</v>
      </c>
      <c r="AH358" s="76">
        <f t="shared" si="1315"/>
        <v>0.13353803298213418</v>
      </c>
      <c r="AI358" s="76">
        <f t="shared" si="1315"/>
        <v>6.3039446803993246E-2</v>
      </c>
      <c r="AJ358" s="76">
        <f t="shared" si="1315"/>
        <v>-0.23954756572748201</v>
      </c>
      <c r="AK358" s="76">
        <f t="shared" si="1315"/>
        <v>-0.10889787415675103</v>
      </c>
      <c r="AL358" s="76">
        <f t="shared" si="1315"/>
        <v>9.2354589973364085E-2</v>
      </c>
      <c r="AM358" s="76">
        <f t="shared" si="1315"/>
        <v>0.14968427869827067</v>
      </c>
      <c r="AN358" s="76">
        <f t="shared" si="1315"/>
        <v>0.44824513024336871</v>
      </c>
      <c r="AO358" s="76">
        <f t="shared" si="1315"/>
        <v>0.81363563982247034</v>
      </c>
      <c r="AP358" s="76">
        <f t="shared" si="1315"/>
        <v>1.172244270595548</v>
      </c>
      <c r="AQ358" s="76">
        <f t="shared" si="1315"/>
        <v>2.5168711227166467</v>
      </c>
      <c r="AR358" s="76">
        <f t="shared" si="1315"/>
        <v>3.7114128813600273</v>
      </c>
      <c r="AS358" s="76">
        <f t="shared" si="1315"/>
        <v>4.0221094991091233</v>
      </c>
      <c r="AT358" s="76">
        <f t="shared" si="1315"/>
        <v>-218.99336645918498</v>
      </c>
      <c r="AU358" s="76">
        <f t="shared" si="1315"/>
        <v>36.242027155264815</v>
      </c>
      <c r="AV358" s="76">
        <f t="shared" ref="AV358:BG358" si="1316">AV357-AU357-AV208-AV207</f>
        <v>-5.224288347215122</v>
      </c>
      <c r="AW358" s="76">
        <f t="shared" si="1316"/>
        <v>20.945647499999975</v>
      </c>
      <c r="AX358" s="76">
        <f t="shared" si="1316"/>
        <v>-11.227999999999984</v>
      </c>
      <c r="AY358" s="76">
        <f t="shared" si="1316"/>
        <v>132.43924699999997</v>
      </c>
      <c r="AZ358" s="76">
        <f t="shared" si="1316"/>
        <v>-60.260442000000019</v>
      </c>
      <c r="BA358" s="76">
        <f t="shared" si="1316"/>
        <v>33.723426000000096</v>
      </c>
      <c r="BB358" s="76">
        <f t="shared" si="1316"/>
        <v>2.1093219999999215</v>
      </c>
      <c r="BC358" s="76">
        <f t="shared" si="1316"/>
        <v>54.330658500000006</v>
      </c>
      <c r="BD358" s="76">
        <f t="shared" si="1316"/>
        <v>-215.04910800000002</v>
      </c>
      <c r="BE358" s="76">
        <f t="shared" si="1316"/>
        <v>-808.92179999999985</v>
      </c>
      <c r="BF358" s="76">
        <f t="shared" si="1316"/>
        <v>529.38925000000029</v>
      </c>
      <c r="BG358" s="76">
        <f t="shared" si="1316"/>
        <v>246.42999999999967</v>
      </c>
      <c r="BH358" s="76">
        <f t="shared" ref="BH358:BM358" si="1317">BH357-BG357-BH208-BH207</f>
        <v>-61.07849999999965</v>
      </c>
      <c r="BI358" s="76">
        <f t="shared" si="1317"/>
        <v>75.974999999999881</v>
      </c>
      <c r="BJ358" s="76">
        <f t="shared" si="1317"/>
        <v>17.310000000000091</v>
      </c>
      <c r="BK358" s="76">
        <f t="shared" si="1317"/>
        <v>1022.4999999999998</v>
      </c>
      <c r="BL358" s="76">
        <f t="shared" si="1317"/>
        <v>49.309999999997231</v>
      </c>
      <c r="BM358" s="76">
        <f t="shared" si="1317"/>
        <v>264.6950000000009</v>
      </c>
      <c r="BN358" s="76">
        <f>BN357-BM357-BN208-BN207</f>
        <v>-230.65499999999932</v>
      </c>
      <c r="BO358" s="76">
        <f>BO357-BN357-BO208-BO207</f>
        <v>-183.1533333333339</v>
      </c>
      <c r="BP358" s="96">
        <f t="shared" ref="BP358:BU358" si="1318">BO358</f>
        <v>-183.1533333333339</v>
      </c>
      <c r="BQ358" s="96">
        <f t="shared" si="1318"/>
        <v>-183.1533333333339</v>
      </c>
      <c r="BR358" s="96">
        <f t="shared" si="1318"/>
        <v>-183.1533333333339</v>
      </c>
      <c r="BS358" s="96">
        <f t="shared" si="1318"/>
        <v>-183.1533333333339</v>
      </c>
      <c r="BT358" s="96">
        <f t="shared" si="1318"/>
        <v>-183.1533333333339</v>
      </c>
      <c r="BU358" s="96">
        <f t="shared" si="1318"/>
        <v>-183.1533333333339</v>
      </c>
      <c r="BV358" s="96">
        <f t="shared" ref="BV358:BX358" si="1319">BU358</f>
        <v>-183.1533333333339</v>
      </c>
      <c r="BW358" s="96">
        <f t="shared" si="1319"/>
        <v>-183.1533333333339</v>
      </c>
      <c r="BX358" s="96">
        <f t="shared" si="1319"/>
        <v>-183.1533333333339</v>
      </c>
      <c r="BY358" s="96">
        <f t="shared" ref="BY358" si="1320">BX358</f>
        <v>-183.1533333333339</v>
      </c>
      <c r="BZ358" s="96">
        <f t="shared" ref="BZ358" si="1321">BY358</f>
        <v>-183.1533333333339</v>
      </c>
      <c r="CA358" s="96">
        <f t="shared" ref="CA358" si="1322">BZ358</f>
        <v>-183.1533333333339</v>
      </c>
      <c r="CB358" s="96">
        <f t="shared" ref="CB358" si="1323">CA358</f>
        <v>-183.1533333333339</v>
      </c>
      <c r="CC358" s="96">
        <f t="shared" ref="CC358" si="1324">CB358</f>
        <v>-183.1533333333339</v>
      </c>
      <c r="CD358" s="96">
        <f t="shared" ref="CD358" si="1325">CC358</f>
        <v>-183.1533333333339</v>
      </c>
      <c r="CE358" s="96"/>
      <c r="CF358" s="438"/>
      <c r="CG358" s="235">
        <f>BK358-DG358</f>
        <v>0</v>
      </c>
      <c r="CH358" s="235">
        <f t="shared" si="1306"/>
        <v>-1.3642420526593924E-12</v>
      </c>
      <c r="CI358" s="235" t="e">
        <f>BM358-#REF!</f>
        <v>#REF!</v>
      </c>
      <c r="CJ358" s="235">
        <f t="shared" si="1169"/>
        <v>0</v>
      </c>
      <c r="CK358" s="235">
        <f t="shared" si="1170"/>
        <v>0</v>
      </c>
      <c r="CL358" s="235">
        <f t="shared" si="1171"/>
        <v>0</v>
      </c>
      <c r="CM358" s="235">
        <f t="shared" si="1172"/>
        <v>0</v>
      </c>
      <c r="CN358" s="235">
        <f t="shared" si="1173"/>
        <v>0</v>
      </c>
      <c r="CO358" s="235">
        <f t="shared" si="1174"/>
        <v>0</v>
      </c>
      <c r="CP358" s="235">
        <f t="shared" si="1175"/>
        <v>0</v>
      </c>
      <c r="CQ358" s="235">
        <f t="shared" si="1176"/>
        <v>0</v>
      </c>
      <c r="CR358" s="235">
        <f t="shared" si="1177"/>
        <v>0</v>
      </c>
      <c r="CS358" s="235">
        <f t="shared" si="1178"/>
        <v>0</v>
      </c>
      <c r="CT358" s="235">
        <f t="shared" si="1179"/>
        <v>0</v>
      </c>
      <c r="CU358" s="235">
        <f t="shared" si="1180"/>
        <v>0</v>
      </c>
      <c r="CV358" s="235">
        <f t="shared" si="1181"/>
        <v>0</v>
      </c>
      <c r="CW358" s="235">
        <f t="shared" si="1182"/>
        <v>0</v>
      </c>
      <c r="CX358" s="235">
        <f t="shared" si="1183"/>
        <v>0</v>
      </c>
      <c r="CY358" s="235">
        <f t="shared" si="1184"/>
        <v>0</v>
      </c>
      <c r="CZ358" s="235">
        <f t="shared" si="1185"/>
        <v>0</v>
      </c>
      <c r="DA358" s="38"/>
      <c r="DB358" s="236">
        <v>-372.47375</v>
      </c>
      <c r="DC358" s="236">
        <v>-371.47375</v>
      </c>
      <c r="DD358" s="236">
        <v>233.95349999999979</v>
      </c>
      <c r="DE358" s="236">
        <v>-301.91627215887877</v>
      </c>
      <c r="DF358" s="401">
        <v>681.57899999999972</v>
      </c>
      <c r="DG358" s="236">
        <v>1022.5000000000005</v>
      </c>
      <c r="DH358" s="492">
        <v>49.309999999998595</v>
      </c>
      <c r="DI358" s="236">
        <v>-230.65499999999932</v>
      </c>
      <c r="DJ358" s="236">
        <v>-183.1533333333339</v>
      </c>
      <c r="DK358" s="236">
        <v>-183.1533333333339</v>
      </c>
      <c r="DL358" s="236">
        <v>-183.1533333333339</v>
      </c>
      <c r="DM358" s="236">
        <v>-183.1533333333339</v>
      </c>
      <c r="DN358" s="236">
        <v>-183.1533333333339</v>
      </c>
      <c r="DO358" s="236">
        <v>-183.1533333333339</v>
      </c>
      <c r="DP358" s="236">
        <v>-183.1533333333339</v>
      </c>
      <c r="DQ358" s="401">
        <v>-183.1533333333339</v>
      </c>
      <c r="DR358" s="401">
        <v>-183.1533333333339</v>
      </c>
      <c r="DS358" s="401">
        <v>-183.1533333333339</v>
      </c>
      <c r="DT358" s="401">
        <v>-183.1533333333339</v>
      </c>
      <c r="DU358" s="401">
        <v>-183.1533333333339</v>
      </c>
      <c r="DV358" s="401">
        <v>-183.1533333333339</v>
      </c>
      <c r="DW358" s="401">
        <v>-183.1533333333339</v>
      </c>
      <c r="DX358" s="401">
        <v>-183.1533333333339</v>
      </c>
      <c r="DY358" s="401">
        <v>-183.1533333333339</v>
      </c>
      <c r="DZ358" s="401"/>
      <c r="EA358" s="989"/>
    </row>
    <row r="359" spans="1:131" s="76" customFormat="1">
      <c r="A359" s="976" t="s">
        <v>3885</v>
      </c>
      <c r="B359" s="80" t="s">
        <v>1724</v>
      </c>
      <c r="C359" s="51"/>
      <c r="D359" s="207" t="s">
        <v>2275</v>
      </c>
      <c r="E359" s="207"/>
      <c r="F359" s="96">
        <f t="shared" ref="F359:BH359" si="1326">(F357-E357)/F363</f>
        <v>329.73308368759638</v>
      </c>
      <c r="G359" s="96">
        <f t="shared" si="1326"/>
        <v>3.3589953413358615</v>
      </c>
      <c r="H359" s="96">
        <f t="shared" si="1326"/>
        <v>2.7088672107547858</v>
      </c>
      <c r="I359" s="96">
        <f t="shared" si="1326"/>
        <v>0.72488627772815184</v>
      </c>
      <c r="J359" s="96">
        <f t="shared" si="1326"/>
        <v>3.6739928644727202</v>
      </c>
      <c r="K359" s="96">
        <f t="shared" si="1326"/>
        <v>2.2971027371045634</v>
      </c>
      <c r="L359" s="96">
        <f t="shared" si="1326"/>
        <v>8.7472545540694995</v>
      </c>
      <c r="M359" s="96">
        <f t="shared" si="1326"/>
        <v>-8.5976469890632181</v>
      </c>
      <c r="N359" s="96">
        <f t="shared" si="1326"/>
        <v>-2.1863614345046765</v>
      </c>
      <c r="O359" s="96">
        <f t="shared" si="1326"/>
        <v>3.5451811620821956</v>
      </c>
      <c r="P359" s="96">
        <f t="shared" si="1326"/>
        <v>7.7985700610910662</v>
      </c>
      <c r="Q359" s="96">
        <f t="shared" si="1326"/>
        <v>-1.4923348554586704</v>
      </c>
      <c r="R359" s="96">
        <f t="shared" si="1326"/>
        <v>-5.3949770652572537</v>
      </c>
      <c r="S359" s="96">
        <f t="shared" si="1326"/>
        <v>-2.2288574063004893</v>
      </c>
      <c r="T359" s="96">
        <f t="shared" si="1326"/>
        <v>-11.197370393023309</v>
      </c>
      <c r="U359" s="96">
        <f t="shared" si="1326"/>
        <v>-2.9255860040246398</v>
      </c>
      <c r="V359" s="96">
        <f t="shared" si="1326"/>
        <v>-10.023871158203521</v>
      </c>
      <c r="W359" s="96">
        <f t="shared" si="1326"/>
        <v>0.48651358543568118</v>
      </c>
      <c r="X359" s="96">
        <f t="shared" si="1326"/>
        <v>-17.455513027958649</v>
      </c>
      <c r="Y359" s="96">
        <f t="shared" si="1326"/>
        <v>22.084019658235093</v>
      </c>
      <c r="Z359" s="96">
        <f t="shared" si="1326"/>
        <v>32.611107150257681</v>
      </c>
      <c r="AA359" s="96">
        <f t="shared" si="1326"/>
        <v>24.715818292236847</v>
      </c>
      <c r="AB359" s="96">
        <f t="shared" si="1326"/>
        <v>106.07199864655658</v>
      </c>
      <c r="AC359" s="96">
        <f t="shared" si="1326"/>
        <v>35.128471178363696</v>
      </c>
      <c r="AD359" s="96">
        <f t="shared" si="1326"/>
        <v>-94.17171088835596</v>
      </c>
      <c r="AE359" s="96">
        <f t="shared" si="1326"/>
        <v>10.069395923626978</v>
      </c>
      <c r="AF359" s="96">
        <f t="shared" si="1326"/>
        <v>62.018316219116933</v>
      </c>
      <c r="AG359" s="96">
        <f t="shared" si="1326"/>
        <v>73.003080956988867</v>
      </c>
      <c r="AH359" s="96">
        <f t="shared" si="1326"/>
        <v>49.54602367020626</v>
      </c>
      <c r="AI359" s="96">
        <f t="shared" si="1326"/>
        <v>-45.312236847211757</v>
      </c>
      <c r="AJ359" s="96">
        <f t="shared" si="1326"/>
        <v>-264.3216955794141</v>
      </c>
      <c r="AK359" s="96">
        <f t="shared" si="1326"/>
        <v>-111.59300353340802</v>
      </c>
      <c r="AL359" s="96">
        <f t="shared" si="1326"/>
        <v>4.5758691832266392</v>
      </c>
      <c r="AM359" s="96">
        <f t="shared" si="1326"/>
        <v>-16.722657943180508</v>
      </c>
      <c r="AN359" s="96">
        <f t="shared" si="1326"/>
        <v>10.71705630286408</v>
      </c>
      <c r="AO359" s="96">
        <f t="shared" si="1326"/>
        <v>13.436465071291174</v>
      </c>
      <c r="AP359" s="96">
        <f t="shared" si="1326"/>
        <v>-26.203011611650172</v>
      </c>
      <c r="AQ359" s="96">
        <f t="shared" si="1326"/>
        <v>-8.5672082537409189</v>
      </c>
      <c r="AR359" s="96">
        <f t="shared" si="1326"/>
        <v>-0.46507753203689606</v>
      </c>
      <c r="AS359" s="96">
        <f t="shared" si="1326"/>
        <v>77.434112995895958</v>
      </c>
      <c r="AT359" s="96">
        <f t="shared" si="1326"/>
        <v>125.67102806769499</v>
      </c>
      <c r="AU359" s="96">
        <f t="shared" si="1326"/>
        <v>108.94902287580497</v>
      </c>
      <c r="AV359" s="96">
        <f t="shared" si="1326"/>
        <v>-8.6305876341338621</v>
      </c>
      <c r="AW359" s="96">
        <f t="shared" si="1326"/>
        <v>18.733534912718234</v>
      </c>
      <c r="AX359" s="96">
        <f t="shared" si="1326"/>
        <v>-74.300000000000011</v>
      </c>
      <c r="AY359" s="96">
        <f t="shared" si="1326"/>
        <v>69.615242292798072</v>
      </c>
      <c r="AZ359" s="96">
        <f t="shared" si="1326"/>
        <v>-62.134658563985802</v>
      </c>
      <c r="BA359" s="96">
        <f t="shared" si="1326"/>
        <v>103.68011292173513</v>
      </c>
      <c r="BB359" s="96">
        <f t="shared" si="1326"/>
        <v>-8.1935230527580014</v>
      </c>
      <c r="BC359" s="96">
        <f t="shared" si="1326"/>
        <v>17.769677874107373</v>
      </c>
      <c r="BD359" s="96">
        <f t="shared" si="1326"/>
        <v>39.742681784930511</v>
      </c>
      <c r="BE359" s="96">
        <f t="shared" si="1326"/>
        <v>19.691648351648347</v>
      </c>
      <c r="BF359" s="96">
        <f t="shared" si="1326"/>
        <v>359.33163172288062</v>
      </c>
      <c r="BG359" s="96">
        <f t="shared" si="1326"/>
        <v>255.77413479052819</v>
      </c>
      <c r="BH359" s="96">
        <f t="shared" si="1326"/>
        <v>177.04918032786884</v>
      </c>
      <c r="BI359" s="96">
        <f t="shared" ref="BI359:BQ359" si="1327">(BI357-BH357)/BI363</f>
        <v>81.157894736842167</v>
      </c>
      <c r="BJ359" s="96">
        <f t="shared" si="1327"/>
        <v>39.475409836065609</v>
      </c>
      <c r="BK359" s="96">
        <f t="shared" si="1327"/>
        <v>440.61538461538464</v>
      </c>
      <c r="BL359" s="96">
        <f t="shared" si="1327"/>
        <v>206.11940298507463</v>
      </c>
      <c r="BM359" s="96">
        <f t="shared" si="1327"/>
        <v>-150.68656716417917</v>
      </c>
      <c r="BN359" s="96">
        <f t="shared" si="1327"/>
        <v>-223.55223880597018</v>
      </c>
      <c r="BO359" s="96">
        <f t="shared" si="1327"/>
        <v>-358.8059701492536</v>
      </c>
      <c r="BP359" s="96">
        <f t="shared" ca="1" si="1327"/>
        <v>-55.082912623200258</v>
      </c>
      <c r="BQ359" s="96">
        <f t="shared" ca="1" si="1327"/>
        <v>-42.498749609053014</v>
      </c>
      <c r="BR359" s="96">
        <f t="shared" ref="BR359:BX359" ca="1" si="1328">(BR357-BQ357)/BR363</f>
        <v>-71.118849459848576</v>
      </c>
      <c r="BS359" s="96">
        <f t="shared" ca="1" si="1328"/>
        <v>-192.96660709274485</v>
      </c>
      <c r="BT359" s="96">
        <f t="shared" ca="1" si="1328"/>
        <v>-281.37985419988797</v>
      </c>
      <c r="BU359" s="96">
        <f t="shared" ca="1" si="1328"/>
        <v>-378.42840083143102</v>
      </c>
      <c r="BV359" s="96">
        <f t="shared" ca="1" si="1328"/>
        <v>-479.68782921999434</v>
      </c>
      <c r="BW359" s="96">
        <f t="shared" ca="1" si="1328"/>
        <v>-592.76139111450505</v>
      </c>
      <c r="BX359" s="96">
        <f t="shared" ca="1" si="1328"/>
        <v>-717.08369901979927</v>
      </c>
      <c r="BY359" s="96">
        <f t="shared" ref="BY359" ca="1" si="1329">(BY357-BX357)/BY363</f>
        <v>-856.72380423812251</v>
      </c>
      <c r="BZ359" s="96">
        <f t="shared" ref="BZ359" ca="1" si="1330">(BZ357-BY357)/BZ363</f>
        <v>-991.91192187007618</v>
      </c>
      <c r="CA359" s="96">
        <f t="shared" ref="CA359" ca="1" si="1331">(CA357-BZ357)/CA363</f>
        <v>-1146.4083388328393</v>
      </c>
      <c r="CB359" s="96">
        <f t="shared" ref="CB359" ca="1" si="1332">(CB357-CA357)/CB363</f>
        <v>-1317.8140963005283</v>
      </c>
      <c r="CC359" s="96">
        <f t="shared" ref="CC359" ca="1" si="1333">(CC357-CB357)/CC363</f>
        <v>-1508.2888639389125</v>
      </c>
      <c r="CD359" s="96">
        <f t="shared" ref="CD359" ca="1" si="1334">(CD357-CC357)/CD363</f>
        <v>-1720.4771229558226</v>
      </c>
      <c r="CE359" s="96"/>
      <c r="CF359" s="435"/>
      <c r="CG359" s="235">
        <f>BK359-DG359</f>
        <v>0</v>
      </c>
      <c r="CH359" s="235">
        <f t="shared" si="1306"/>
        <v>0</v>
      </c>
      <c r="CI359" s="235" t="e">
        <f>BM359-#REF!</f>
        <v>#REF!</v>
      </c>
      <c r="CJ359" s="235">
        <f t="shared" si="1169"/>
        <v>0</v>
      </c>
      <c r="CK359" s="235">
        <f t="shared" si="1170"/>
        <v>0</v>
      </c>
      <c r="CL359" s="235">
        <f t="shared" ca="1" si="1171"/>
        <v>-8.6686213762732223E-13</v>
      </c>
      <c r="CM359" s="235">
        <f t="shared" ca="1" si="1172"/>
        <v>-1.4068746168049984E-12</v>
      </c>
      <c r="CN359" s="235">
        <f t="shared" ca="1" si="1173"/>
        <v>-1.5205614545266144E-12</v>
      </c>
      <c r="CO359" s="235">
        <f t="shared" ca="1" si="1174"/>
        <v>-1.5347723092418164E-12</v>
      </c>
      <c r="CP359" s="235">
        <f t="shared" ca="1" si="1175"/>
        <v>-1.8189894035458565E-12</v>
      </c>
      <c r="CQ359" s="235">
        <f t="shared" ca="1" si="1176"/>
        <v>-1.9326762412674725E-12</v>
      </c>
      <c r="CR359" s="235">
        <f t="shared" ca="1" si="1177"/>
        <v>-3.5811353882309049E-12</v>
      </c>
      <c r="CS359" s="235">
        <f t="shared" ca="1" si="1178"/>
        <v>-5.4569682106375694E-12</v>
      </c>
      <c r="CT359" s="235">
        <f t="shared" ca="1" si="1179"/>
        <v>-5.2295945351943374E-12</v>
      </c>
      <c r="CU359" s="235">
        <f t="shared" ca="1" si="1180"/>
        <v>-4.7748471843078732E-12</v>
      </c>
      <c r="CV359" s="235">
        <f t="shared" ca="1" si="1181"/>
        <v>-4.7748471843078732E-12</v>
      </c>
      <c r="CW359" s="235">
        <f t="shared" ca="1" si="1182"/>
        <v>0</v>
      </c>
      <c r="CX359" s="235">
        <f t="shared" ca="1" si="1183"/>
        <v>1.0322764865122736E-10</v>
      </c>
      <c r="CY359" s="235">
        <f t="shared" ca="1" si="1184"/>
        <v>1.0975327313644812E-9</v>
      </c>
      <c r="CZ359" s="235">
        <f t="shared" ca="1" si="1185"/>
        <v>8.7068201537476853E-9</v>
      </c>
      <c r="DA359" s="38"/>
      <c r="DB359" s="236">
        <v>98.8388331814038</v>
      </c>
      <c r="DC359" s="236">
        <v>99.838833181403842</v>
      </c>
      <c r="DD359" s="236">
        <v>174.93788706739522</v>
      </c>
      <c r="DE359" s="236">
        <v>60</v>
      </c>
      <c r="DF359" s="401">
        <v>94.050526315789512</v>
      </c>
      <c r="DG359" s="236">
        <v>440.61538461538464</v>
      </c>
      <c r="DH359" s="492">
        <v>206.11940298507463</v>
      </c>
      <c r="DI359" s="236">
        <v>-223.55223880597018</v>
      </c>
      <c r="DJ359" s="236">
        <v>-358.8059701492536</v>
      </c>
      <c r="DK359" s="236">
        <v>-55.082912623199391</v>
      </c>
      <c r="DL359" s="236">
        <v>-42.498749609051607</v>
      </c>
      <c r="DM359" s="236">
        <v>-71.118849459847056</v>
      </c>
      <c r="DN359" s="236">
        <v>-192.96660709274332</v>
      </c>
      <c r="DO359" s="236">
        <v>-281.37985419988615</v>
      </c>
      <c r="DP359" s="236">
        <v>-378.42840083142909</v>
      </c>
      <c r="DQ359" s="401">
        <v>-479.68782921999076</v>
      </c>
      <c r="DR359" s="401">
        <v>-592.76139111449959</v>
      </c>
      <c r="DS359" s="401">
        <v>-717.08369901979404</v>
      </c>
      <c r="DT359" s="401">
        <v>-856.72380423811774</v>
      </c>
      <c r="DU359" s="401">
        <v>-991.91192187007141</v>
      </c>
      <c r="DV359" s="401">
        <v>-1146.4083388328393</v>
      </c>
      <c r="DW359" s="401">
        <v>-1317.8140963006315</v>
      </c>
      <c r="DX359" s="401">
        <v>-1508.2888639400101</v>
      </c>
      <c r="DY359" s="401">
        <v>-1720.4771229645294</v>
      </c>
      <c r="DZ359" s="401"/>
      <c r="EA359" s="989"/>
    </row>
    <row r="360" spans="1:131" s="76" customFormat="1" ht="12" customHeight="1">
      <c r="B360" s="80"/>
      <c r="C360" s="51"/>
      <c r="D360" s="207"/>
      <c r="E360" s="207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  <c r="AA360" s="207"/>
      <c r="AB360" s="207"/>
      <c r="AC360" s="207"/>
      <c r="AD360" s="207"/>
      <c r="AE360" s="207"/>
      <c r="AF360" s="207"/>
      <c r="AG360" s="207"/>
      <c r="AH360" s="207"/>
      <c r="AI360" s="207"/>
      <c r="AJ360" s="207"/>
      <c r="AK360" s="207"/>
      <c r="AL360" s="207"/>
      <c r="AM360" s="207"/>
      <c r="AN360" s="207"/>
      <c r="AO360" s="207"/>
      <c r="AP360" s="207"/>
      <c r="AQ360" s="207"/>
      <c r="AR360" s="207"/>
      <c r="AS360" s="207"/>
      <c r="AT360" s="207"/>
      <c r="AU360" s="51"/>
      <c r="CF360" s="435"/>
      <c r="CG360" s="235">
        <f>BK360-DG360</f>
        <v>0</v>
      </c>
      <c r="CH360" s="235">
        <f t="shared" si="1306"/>
        <v>0</v>
      </c>
      <c r="CI360" s="235" t="e">
        <f>BM360-#REF!</f>
        <v>#REF!</v>
      </c>
      <c r="CJ360" s="235">
        <f t="shared" si="1169"/>
        <v>0</v>
      </c>
      <c r="CK360" s="235">
        <f t="shared" si="1170"/>
        <v>0</v>
      </c>
      <c r="CL360" s="235">
        <f t="shared" si="1171"/>
        <v>0</v>
      </c>
      <c r="CM360" s="235">
        <f t="shared" si="1172"/>
        <v>0</v>
      </c>
      <c r="CN360" s="235">
        <f t="shared" si="1173"/>
        <v>0</v>
      </c>
      <c r="CO360" s="235">
        <f t="shared" si="1174"/>
        <v>0</v>
      </c>
      <c r="CP360" s="235">
        <f t="shared" si="1175"/>
        <v>0</v>
      </c>
      <c r="CQ360" s="235">
        <f t="shared" si="1176"/>
        <v>0</v>
      </c>
      <c r="CR360" s="235">
        <f t="shared" si="1177"/>
        <v>0</v>
      </c>
      <c r="CS360" s="235">
        <f t="shared" si="1178"/>
        <v>0</v>
      </c>
      <c r="CT360" s="235">
        <f t="shared" si="1179"/>
        <v>0</v>
      </c>
      <c r="CU360" s="235">
        <f t="shared" si="1180"/>
        <v>0</v>
      </c>
      <c r="CV360" s="235">
        <f t="shared" si="1181"/>
        <v>0</v>
      </c>
      <c r="CW360" s="235">
        <f t="shared" si="1182"/>
        <v>0</v>
      </c>
      <c r="CX360" s="235">
        <f t="shared" si="1183"/>
        <v>0</v>
      </c>
      <c r="CY360" s="235">
        <f t="shared" si="1184"/>
        <v>0</v>
      </c>
      <c r="CZ360" s="235">
        <f t="shared" si="1185"/>
        <v>0</v>
      </c>
      <c r="DA360" s="38"/>
      <c r="DB360" s="236"/>
      <c r="DC360" s="236"/>
      <c r="DD360" s="236"/>
      <c r="DE360" s="236"/>
      <c r="DF360" s="401"/>
      <c r="DG360" s="236"/>
      <c r="DH360" s="492"/>
      <c r="DI360" s="236"/>
      <c r="DJ360" s="236"/>
      <c r="DK360" s="236"/>
      <c r="DL360" s="236"/>
      <c r="DM360" s="236"/>
      <c r="DN360" s="236"/>
      <c r="DO360" s="236"/>
      <c r="DP360" s="236"/>
      <c r="DQ360" s="401"/>
      <c r="DR360" s="401"/>
      <c r="DS360" s="401"/>
      <c r="DT360" s="401"/>
      <c r="DU360" s="401"/>
      <c r="DV360" s="401"/>
      <c r="DW360" s="401"/>
      <c r="DX360" s="401"/>
      <c r="DY360" s="401"/>
      <c r="DZ360" s="401"/>
      <c r="EA360" s="989"/>
    </row>
    <row r="361" spans="1:131" s="88" customFormat="1">
      <c r="A361" s="76" t="s">
        <v>4209</v>
      </c>
      <c r="B361" s="80" t="s">
        <v>228</v>
      </c>
      <c r="C361" s="51" t="s">
        <v>319</v>
      </c>
      <c r="D361" s="223"/>
      <c r="E361" s="223"/>
      <c r="F361" s="33">
        <f t="shared" ref="F361:AS361" si="1335">F354/(F292+F242)</f>
        <v>0.38999858223112149</v>
      </c>
      <c r="G361" s="33">
        <f t="shared" si="1335"/>
        <v>0.36165046607426971</v>
      </c>
      <c r="H361" s="33">
        <f t="shared" si="1335"/>
        <v>0.333059446519964</v>
      </c>
      <c r="I361" s="33">
        <f t="shared" si="1335"/>
        <v>0.31407247170417496</v>
      </c>
      <c r="J361" s="33">
        <f t="shared" si="1335"/>
        <v>0.30761982782729785</v>
      </c>
      <c r="K361" s="33">
        <f t="shared" si="1335"/>
        <v>0.2802960778601597</v>
      </c>
      <c r="L361" s="33">
        <f t="shared" si="1335"/>
        <v>0.29122146139435273</v>
      </c>
      <c r="M361" s="33">
        <f t="shared" si="1335"/>
        <v>0.29566231874829979</v>
      </c>
      <c r="N361" s="33">
        <f t="shared" si="1335"/>
        <v>0.29054001965079346</v>
      </c>
      <c r="O361" s="33">
        <f t="shared" si="1335"/>
        <v>0.27790155267391659</v>
      </c>
      <c r="P361" s="33">
        <f t="shared" si="1335"/>
        <v>0.29284353493206</v>
      </c>
      <c r="Q361" s="33">
        <f t="shared" si="1335"/>
        <v>0.26937035510822044</v>
      </c>
      <c r="R361" s="33">
        <f t="shared" si="1335"/>
        <v>0.24081921928292321</v>
      </c>
      <c r="S361" s="33">
        <f t="shared" si="1335"/>
        <v>0.22831884332116248</v>
      </c>
      <c r="T361" s="33">
        <f t="shared" si="1335"/>
        <v>0.22305937000524953</v>
      </c>
      <c r="U361" s="33">
        <f t="shared" si="1335"/>
        <v>0.23885095586261249</v>
      </c>
      <c r="V361" s="33">
        <f t="shared" si="1335"/>
        <v>0.24563343877205929</v>
      </c>
      <c r="W361" s="33">
        <f t="shared" si="1335"/>
        <v>0.24618933284372951</v>
      </c>
      <c r="X361" s="33">
        <f t="shared" si="1335"/>
        <v>0.24574429466808587</v>
      </c>
      <c r="Y361" s="33">
        <f t="shared" si="1335"/>
        <v>0.23344554164183073</v>
      </c>
      <c r="Z361" s="33">
        <f t="shared" si="1335"/>
        <v>0.22777623437698441</v>
      </c>
      <c r="AA361" s="33">
        <f t="shared" si="1335"/>
        <v>0.19712452763938235</v>
      </c>
      <c r="AB361" s="33">
        <f t="shared" si="1335"/>
        <v>0.20974048209910648</v>
      </c>
      <c r="AC361" s="33">
        <f t="shared" si="1335"/>
        <v>0.18966819938929516</v>
      </c>
      <c r="AD361" s="33">
        <f t="shared" si="1335"/>
        <v>0.18056769815628165</v>
      </c>
      <c r="AE361" s="33">
        <f t="shared" si="1335"/>
        <v>0.18650273545986995</v>
      </c>
      <c r="AF361" s="33">
        <f t="shared" si="1335"/>
        <v>0.19813157398200393</v>
      </c>
      <c r="AG361" s="33">
        <f t="shared" si="1335"/>
        <v>0.25962661195558723</v>
      </c>
      <c r="AH361" s="33">
        <f t="shared" si="1335"/>
        <v>0.37461489919711566</v>
      </c>
      <c r="AI361" s="33">
        <f t="shared" si="1335"/>
        <v>0.40926847010515383</v>
      </c>
      <c r="AJ361" s="33">
        <f t="shared" si="1335"/>
        <v>0.51729994834501647</v>
      </c>
      <c r="AK361" s="33">
        <f t="shared" si="1335"/>
        <v>0.70678625474949219</v>
      </c>
      <c r="AL361" s="33">
        <f t="shared" si="1335"/>
        <v>0.89039305559659876</v>
      </c>
      <c r="AM361" s="33">
        <f t="shared" si="1335"/>
        <v>0.93674073064034902</v>
      </c>
      <c r="AN361" s="33">
        <f t="shared" si="1335"/>
        <v>0.88206108726092081</v>
      </c>
      <c r="AO361" s="33">
        <f t="shared" si="1335"/>
        <v>0.51396405105270282</v>
      </c>
      <c r="AP361" s="33">
        <f t="shared" si="1335"/>
        <v>0.58994301830191243</v>
      </c>
      <c r="AQ361" s="33">
        <f t="shared" si="1335"/>
        <v>0.65349998788148</v>
      </c>
      <c r="AR361" s="33">
        <f t="shared" si="1335"/>
        <v>0.56114226191620742</v>
      </c>
      <c r="AS361" s="33">
        <f t="shared" si="1335"/>
        <v>0.46941667753645955</v>
      </c>
      <c r="AT361" s="33">
        <f t="shared" ref="AT361:BG361" si="1336">AT354/(AT292+AT242)</f>
        <v>0.418056904450616</v>
      </c>
      <c r="AU361" s="33">
        <f t="shared" si="1336"/>
        <v>0.23099825729192602</v>
      </c>
      <c r="AV361" s="33">
        <f t="shared" si="1336"/>
        <v>0.2237304396477903</v>
      </c>
      <c r="AW361" s="33">
        <f t="shared" si="1336"/>
        <v>0.23010884397419229</v>
      </c>
      <c r="AX361" s="33">
        <f t="shared" si="1336"/>
        <v>0.24313703931363315</v>
      </c>
      <c r="AY361" s="33">
        <f t="shared" si="1336"/>
        <v>0.18035357578927638</v>
      </c>
      <c r="AZ361" s="33">
        <f t="shared" si="1336"/>
        <v>0.21000701297002577</v>
      </c>
      <c r="BA361" s="33">
        <f t="shared" si="1336"/>
        <v>0.19987400343909301</v>
      </c>
      <c r="BB361" s="33">
        <f t="shared" si="1336"/>
        <v>0.23324500985500615</v>
      </c>
      <c r="BC361" s="33">
        <f t="shared" si="1336"/>
        <v>0.17263889047412825</v>
      </c>
      <c r="BD361" s="33">
        <f t="shared" si="1336"/>
        <v>0.17893776964785449</v>
      </c>
      <c r="BE361" s="33">
        <f t="shared" ca="1" si="1336"/>
        <v>0.14540184116827348</v>
      </c>
      <c r="BF361" s="33">
        <f t="shared" ca="1" si="1336"/>
        <v>0.37642152311744892</v>
      </c>
      <c r="BG361" s="33">
        <f t="shared" ca="1" si="1336"/>
        <v>0.42689009229360347</v>
      </c>
      <c r="BH361" s="33">
        <f ca="1">BH354/(BH292+BH242)</f>
        <v>0.43990741985346243</v>
      </c>
      <c r="BI361" s="33">
        <f ca="1">BI354/(BI292+BI242)</f>
        <v>0.50918135693850375</v>
      </c>
      <c r="BJ361" s="33">
        <f ca="1">BJ354/(BJ292+BJ242)</f>
        <v>0.45194352183754749</v>
      </c>
      <c r="BK361" s="33">
        <f t="shared" ref="BK361:BP361" ca="1" si="1337">BK354/(BK292+BK242)</f>
        <v>0.41590851219588315</v>
      </c>
      <c r="BL361" s="33">
        <f t="shared" ca="1" si="1337"/>
        <v>0.46653584329965359</v>
      </c>
      <c r="BM361" s="33">
        <f t="shared" ca="1" si="1337"/>
        <v>0.5248085733775758</v>
      </c>
      <c r="BN361" s="33">
        <f t="shared" si="1337"/>
        <v>0.55368873703867783</v>
      </c>
      <c r="BO361" s="33">
        <f t="shared" ca="1" si="1337"/>
        <v>0.54300404097493093</v>
      </c>
      <c r="BP361" s="33">
        <f t="shared" ca="1" si="1337"/>
        <v>0.49643732253523015</v>
      </c>
      <c r="BQ361" s="33">
        <f t="shared" ref="BQ361:BV361" ca="1" si="1338">BQ354/(BQ292+BQ242)</f>
        <v>0.46450618933229432</v>
      </c>
      <c r="BR361" s="33">
        <f t="shared" ca="1" si="1338"/>
        <v>0.48194149142800413</v>
      </c>
      <c r="BS361" s="33">
        <f t="shared" ca="1" si="1338"/>
        <v>0.51563446268683688</v>
      </c>
      <c r="BT361" s="33">
        <f t="shared" ca="1" si="1338"/>
        <v>0.55344651639789366</v>
      </c>
      <c r="BU361" s="33">
        <f t="shared" ca="1" si="1338"/>
        <v>0.58506346926238917</v>
      </c>
      <c r="BV361" s="33">
        <f t="shared" ca="1" si="1338"/>
        <v>0.61598341186568317</v>
      </c>
      <c r="BW361" s="33">
        <f t="shared" ref="BW361:BX361" ca="1" si="1339">BW354/(BW292+BW242)</f>
        <v>0.64725233523653702</v>
      </c>
      <c r="BX361" s="33">
        <f t="shared" ca="1" si="1339"/>
        <v>0.6793503462805669</v>
      </c>
      <c r="BY361" s="33">
        <f t="shared" ref="BY361:CD361" ca="1" si="1340">BY354/(BY292+BY242)</f>
        <v>0.71277561985357774</v>
      </c>
      <c r="BZ361" s="33">
        <f t="shared" ca="1" si="1340"/>
        <v>0.74315876395305236</v>
      </c>
      <c r="CA361" s="33">
        <f t="shared" ca="1" si="1340"/>
        <v>0.7750583748067883</v>
      </c>
      <c r="CB361" s="33">
        <f t="shared" ca="1" si="1340"/>
        <v>0.80932493758262636</v>
      </c>
      <c r="CC361" s="33">
        <f t="shared" ca="1" si="1340"/>
        <v>0.84614974446473523</v>
      </c>
      <c r="CD361" s="33">
        <f t="shared" ca="1" si="1340"/>
        <v>0.88582748805314537</v>
      </c>
      <c r="CE361" s="33"/>
      <c r="CF361" s="435"/>
      <c r="CG361" s="235">
        <f ca="1">BK361-DG361</f>
        <v>-0.11241957423165444</v>
      </c>
      <c r="CH361" s="235">
        <f t="shared" ca="1" si="1306"/>
        <v>6.5520769376315457E-3</v>
      </c>
      <c r="CI361" s="235" t="e">
        <f ca="1">BM361-#REF!</f>
        <v>#REF!</v>
      </c>
      <c r="CJ361" s="235">
        <f t="shared" si="1169"/>
        <v>0</v>
      </c>
      <c r="CK361" s="235">
        <f t="shared" ca="1" si="1170"/>
        <v>0</v>
      </c>
      <c r="CL361" s="235">
        <f t="shared" ca="1" si="1171"/>
        <v>0</v>
      </c>
      <c r="CM361" s="235">
        <f t="shared" ca="1" si="1172"/>
        <v>0</v>
      </c>
      <c r="CN361" s="235">
        <f t="shared" ca="1" si="1173"/>
        <v>0</v>
      </c>
      <c r="CO361" s="235">
        <f t="shared" ca="1" si="1174"/>
        <v>-8.8817841970012523E-16</v>
      </c>
      <c r="CP361" s="235">
        <f t="shared" ca="1" si="1175"/>
        <v>0</v>
      </c>
      <c r="CQ361" s="235">
        <f t="shared" ca="1" si="1176"/>
        <v>-1.5543122344752192E-15</v>
      </c>
      <c r="CR361" s="235">
        <f t="shared" ca="1" si="1177"/>
        <v>-1.8873791418627661E-15</v>
      </c>
      <c r="CS361" s="235">
        <f t="shared" ca="1" si="1178"/>
        <v>-2.4424906541753444E-15</v>
      </c>
      <c r="CT361" s="235">
        <f t="shared" ca="1" si="1179"/>
        <v>-2.3314683517128287E-15</v>
      </c>
      <c r="CU361" s="235">
        <f t="shared" ca="1" si="1180"/>
        <v>-2.9976021664879227E-15</v>
      </c>
      <c r="CV361" s="235">
        <f t="shared" ca="1" si="1181"/>
        <v>-3.7747582837255322E-15</v>
      </c>
      <c r="CW361" s="235">
        <f t="shared" ca="1" si="1182"/>
        <v>-7.3274719625260332E-15</v>
      </c>
      <c r="CX361" s="235">
        <f t="shared" ca="1" si="1183"/>
        <v>-4.418687638008123E-14</v>
      </c>
      <c r="CY361" s="235">
        <f t="shared" ca="1" si="1184"/>
        <v>-3.9590553058133082E-13</v>
      </c>
      <c r="CZ361" s="235">
        <f t="shared" ca="1" si="1185"/>
        <v>-3.0825342278717471E-12</v>
      </c>
      <c r="DA361" s="38"/>
      <c r="DB361" s="236">
        <v>-0.81507308202414697</v>
      </c>
      <c r="DC361" s="236">
        <v>0.18492691797585353</v>
      </c>
      <c r="DD361" s="236">
        <v>0.2048347506227636</v>
      </c>
      <c r="DE361" s="236">
        <v>0.20140106618425602</v>
      </c>
      <c r="DF361" s="405">
        <v>0.25024211161124205</v>
      </c>
      <c r="DG361" s="236">
        <v>0.52832808642753759</v>
      </c>
      <c r="DH361" s="492">
        <v>0.45998376636202204</v>
      </c>
      <c r="DI361" s="236">
        <v>0.55368873703867783</v>
      </c>
      <c r="DJ361" s="236">
        <v>0.5430040409749306</v>
      </c>
      <c r="DK361" s="236">
        <v>0.49643732253523026</v>
      </c>
      <c r="DL361" s="1085">
        <v>0.46450618933229454</v>
      </c>
      <c r="DM361" s="1085">
        <v>0.48194149142800452</v>
      </c>
      <c r="DN361" s="1085">
        <v>0.51563446268683777</v>
      </c>
      <c r="DO361" s="1085">
        <v>0.55344651639789444</v>
      </c>
      <c r="DP361" s="1085">
        <v>0.58506346926239072</v>
      </c>
      <c r="DQ361" s="1086">
        <v>0.61598341186568506</v>
      </c>
      <c r="DR361" s="1086">
        <v>0.64725233523653947</v>
      </c>
      <c r="DS361" s="1086">
        <v>0.67935034628056923</v>
      </c>
      <c r="DT361" s="1086">
        <v>0.71277561985358073</v>
      </c>
      <c r="DU361" s="1086">
        <v>0.74315876395305613</v>
      </c>
      <c r="DV361" s="1086">
        <v>0.77505837480679562</v>
      </c>
      <c r="DW361" s="1086">
        <v>0.80932493758267054</v>
      </c>
      <c r="DX361" s="1086">
        <v>0.84614974446513114</v>
      </c>
      <c r="DY361" s="1086">
        <v>0.88582748805622791</v>
      </c>
      <c r="DZ361" s="1086"/>
      <c r="EA361" s="992"/>
    </row>
    <row r="362" spans="1:131" s="88" customFormat="1">
      <c r="B362" s="80"/>
      <c r="C362" s="108"/>
      <c r="D362" s="223"/>
      <c r="E362" s="223"/>
      <c r="F362" s="223"/>
      <c r="G362" s="223"/>
      <c r="H362" s="223"/>
      <c r="I362" s="223"/>
      <c r="J362" s="223"/>
      <c r="K362" s="223"/>
      <c r="L362" s="223"/>
      <c r="M362" s="223"/>
      <c r="N362" s="223"/>
      <c r="O362" s="223"/>
      <c r="P362" s="223"/>
      <c r="Q362" s="223"/>
      <c r="R362" s="223"/>
      <c r="S362" s="223"/>
      <c r="T362" s="223"/>
      <c r="U362" s="223"/>
      <c r="V362" s="223"/>
      <c r="W362" s="223"/>
      <c r="X362" s="223"/>
      <c r="Y362" s="223"/>
      <c r="Z362" s="223"/>
      <c r="AA362" s="223"/>
      <c r="AB362" s="223"/>
      <c r="AC362" s="223"/>
      <c r="AD362" s="223"/>
      <c r="AE362" s="223"/>
      <c r="AF362" s="223"/>
      <c r="AG362" s="223"/>
      <c r="AH362" s="223"/>
      <c r="AI362" s="223"/>
      <c r="AJ362" s="223"/>
      <c r="AK362" s="223"/>
      <c r="AL362" s="223"/>
      <c r="AM362" s="223"/>
      <c r="AN362" s="223"/>
      <c r="AO362" s="223"/>
      <c r="AP362" s="223"/>
      <c r="AQ362" s="223"/>
      <c r="AR362" s="223"/>
      <c r="AS362" s="223"/>
      <c r="AT362" s="223"/>
      <c r="AU362" s="108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273"/>
      <c r="BG362" s="273"/>
      <c r="BH362" s="273"/>
      <c r="BI362" s="273"/>
      <c r="BJ362" s="273"/>
      <c r="BK362" s="273"/>
      <c r="BL362" s="273"/>
      <c r="BM362" s="273"/>
      <c r="BN362" s="273"/>
      <c r="BO362" s="33"/>
      <c r="BP362" s="33" t="s">
        <v>2219</v>
      </c>
      <c r="BQ362" s="33"/>
      <c r="BR362" s="33"/>
      <c r="BS362" s="33"/>
      <c r="BT362" s="33"/>
      <c r="BU362" s="33"/>
      <c r="BV362" s="33"/>
      <c r="BW362" s="33"/>
      <c r="BX362" s="33"/>
      <c r="BY362" s="33"/>
      <c r="BZ362" s="33"/>
      <c r="CA362" s="33"/>
      <c r="CB362" s="33"/>
      <c r="CC362" s="33"/>
      <c r="CD362" s="33"/>
      <c r="CE362" s="33"/>
      <c r="CF362" s="435"/>
      <c r="CG362" s="235"/>
      <c r="CH362" s="235"/>
      <c r="CI362" s="235"/>
      <c r="CJ362" s="235"/>
      <c r="CK362" s="235"/>
      <c r="CL362" s="235"/>
      <c r="CM362" s="235"/>
      <c r="CN362" s="235"/>
      <c r="CO362" s="235"/>
      <c r="CP362" s="235"/>
      <c r="CQ362" s="235"/>
      <c r="CR362" s="235"/>
      <c r="CS362" s="235"/>
      <c r="CT362" s="235"/>
      <c r="CU362" s="235"/>
      <c r="CV362" s="235"/>
      <c r="CW362" s="235"/>
      <c r="CX362" s="235"/>
      <c r="CY362" s="235"/>
      <c r="CZ362" s="235"/>
      <c r="DA362" s="38"/>
      <c r="DB362" s="236"/>
      <c r="DC362" s="236"/>
      <c r="DD362" s="236"/>
      <c r="DE362" s="236"/>
      <c r="DF362" s="405"/>
      <c r="DG362" s="236"/>
      <c r="DH362" s="492"/>
      <c r="DI362" s="236"/>
      <c r="DJ362" s="236"/>
      <c r="DK362" s="236" t="s">
        <v>2219</v>
      </c>
      <c r="DL362" s="1085"/>
      <c r="DM362" s="1085"/>
      <c r="DN362" s="1085"/>
      <c r="DO362" s="1085"/>
      <c r="DP362" s="1085"/>
      <c r="DQ362" s="1086"/>
      <c r="DR362" s="1086"/>
      <c r="DS362" s="1086"/>
      <c r="DT362" s="1086"/>
      <c r="DU362" s="1086"/>
      <c r="DV362" s="1086"/>
      <c r="DW362" s="1086"/>
      <c r="DX362" s="1086"/>
      <c r="DY362" s="1086"/>
      <c r="DZ362" s="1086"/>
      <c r="EA362" s="992"/>
    </row>
    <row r="363" spans="1:131" s="25" customFormat="1">
      <c r="A363" s="25" t="s">
        <v>4435</v>
      </c>
      <c r="B363" s="99" t="s">
        <v>1281</v>
      </c>
      <c r="C363" s="12" t="s">
        <v>4095</v>
      </c>
      <c r="D363" s="225" t="s">
        <v>817</v>
      </c>
      <c r="E363" s="225"/>
      <c r="F363" s="305">
        <f>(mamiabc!F101*Model!$AV363/mamiabc!$AV101+mamiabc!F100*Model!$AV363/mamiabc!$AV100)/2</f>
        <v>9.4167793283907533E-4</v>
      </c>
      <c r="G363" s="305">
        <f>(mamiabc!G101*Model!$AV363/mamiabc!$AV101+mamiabc!G100*Model!$AV363/mamiabc!$AV100)/2</f>
        <v>9.4167793283907533E-4</v>
      </c>
      <c r="H363" s="305">
        <f>(mamiabc!H101*Model!$AV363/mamiabc!$AV101+mamiabc!H100*Model!$AV363/mamiabc!$AV100)/2</f>
        <v>9.4167793283907533E-4</v>
      </c>
      <c r="I363" s="305">
        <f>(mamiabc!I101*Model!$AV363/mamiabc!$AV101+mamiabc!I100*Model!$AV363/mamiabc!$AV100)/2</f>
        <v>9.4167793283907533E-4</v>
      </c>
      <c r="J363" s="305">
        <f>(mamiabc!J101*Model!$AV363/mamiabc!$AV101+mamiabc!J100*Model!$AV363/mamiabc!$AV100)/2</f>
        <v>9.4167793283907533E-4</v>
      </c>
      <c r="K363" s="305">
        <f>(mamiabc!K101*Model!$AV363/mamiabc!$AV101+mamiabc!K100*Model!$AV363/mamiabc!$AV100)/2</f>
        <v>9.4167793283907533E-4</v>
      </c>
      <c r="L363" s="305">
        <f>(mamiabc!L101*Model!$AV363/mamiabc!$AV101+mamiabc!L100*Model!$AV363/mamiabc!$AV100)/2</f>
        <v>9.4167793283907533E-4</v>
      </c>
      <c r="M363" s="305">
        <f>(mamiabc!M101*Model!$AV363/mamiabc!$AV101+mamiabc!M100*Model!$AV363/mamiabc!$AV100)/2</f>
        <v>9.4167793283907533E-4</v>
      </c>
      <c r="N363" s="305">
        <f>(mamiabc!N101*Model!$AV363/mamiabc!$AV101+mamiabc!N100*Model!$AV363/mamiabc!$AV100)/2</f>
        <v>9.4167793283907533E-4</v>
      </c>
      <c r="O363" s="305">
        <f>(mamiabc!O101*Model!$AV363/mamiabc!$AV101+mamiabc!O100*Model!$AV363/mamiabc!$AV100)/2</f>
        <v>9.4167793283907533E-4</v>
      </c>
      <c r="P363" s="305">
        <f>(mamiabc!P101*Model!$AV363/mamiabc!$AV101+mamiabc!P100*Model!$AV363/mamiabc!$AV100)/2</f>
        <v>9.4167793283907533E-4</v>
      </c>
      <c r="Q363" s="305">
        <f>(mamiabc!Q101*Model!$AV363/mamiabc!$AV101+mamiabc!Q100*Model!$AV363/mamiabc!$AV100)/2</f>
        <v>9.4167793283907533E-4</v>
      </c>
      <c r="R363" s="305">
        <f>(mamiabc!R101*Model!$AV363/mamiabc!$AV101+mamiabc!R100*Model!$AV363/mamiabc!$AV100)/2</f>
        <v>9.4167793283907533E-4</v>
      </c>
      <c r="S363" s="305">
        <f>(mamiabc!S101*Model!$AV363/mamiabc!$AV101+mamiabc!S100*Model!$AV363/mamiabc!$AV100)/2</f>
        <v>9.4167793283907533E-4</v>
      </c>
      <c r="T363" s="305">
        <f>(mamiabc!T101*Model!$AV363/mamiabc!$AV101+mamiabc!T100*Model!$AV363/mamiabc!$AV100)/2</f>
        <v>9.4167793283907533E-4</v>
      </c>
      <c r="U363" s="305">
        <f>(mamiabc!U101*Model!$AV363/mamiabc!$AV101+mamiabc!U100*Model!$AV363/mamiabc!$AV100)/2</f>
        <v>9.4167793283907533E-4</v>
      </c>
      <c r="V363" s="305">
        <f>(mamiabc!V101*Model!$AV363/mamiabc!$AV101+mamiabc!V100*Model!$AV363/mamiabc!$AV100)/2</f>
        <v>9.4167793283907533E-4</v>
      </c>
      <c r="W363" s="305">
        <f>(mamiabc!W101*Model!$AV363/mamiabc!$AV101+mamiabc!W100*Model!$AV363/mamiabc!$AV100)/2</f>
        <v>9.4167793283907533E-4</v>
      </c>
      <c r="X363" s="305">
        <f>(mamiabc!X101*Model!$AV363/mamiabc!$AV101+mamiabc!X100*Model!$AV363/mamiabc!$AV100)/2</f>
        <v>8.9172154382904478E-4</v>
      </c>
      <c r="Y363" s="305">
        <f>(mamiabc!Y101*Model!$AV363/mamiabc!$AV101+mamiabc!Y100*Model!$AV363/mamiabc!$AV100)/2</f>
        <v>8.9172154382904478E-4</v>
      </c>
      <c r="Z363" s="305">
        <f>(mamiabc!Z101*Model!$AV363/mamiabc!$AV101+mamiabc!Z100*Model!$AV363/mamiabc!$AV100)/2</f>
        <v>8.9172154382904478E-4</v>
      </c>
      <c r="AA363" s="305">
        <f>(mamiabc!AA101*Model!$AV363/mamiabc!$AV101+mamiabc!AA100*Model!$AV363/mamiabc!$AV100)/2</f>
        <v>8.9172154382904478E-4</v>
      </c>
      <c r="AB363" s="305">
        <f>(mamiabc!AB101*Model!$AV363/mamiabc!$AV101+mamiabc!AB100*Model!$AV363/mamiabc!$AV100)/2</f>
        <v>8.9172154382904478E-4</v>
      </c>
      <c r="AC363" s="305">
        <f>(mamiabc!AC101*Model!$AV363/mamiabc!$AV101+mamiabc!AC100*Model!$AV363/mamiabc!$AV100)/2</f>
        <v>8.9172154382904478E-4</v>
      </c>
      <c r="AD363" s="305">
        <f>(mamiabc!AD101*Model!$AV363/mamiabc!$AV101+mamiabc!AD100*Model!$AV363/mamiabc!$AV100)/2</f>
        <v>8.9172154382904478E-4</v>
      </c>
      <c r="AE363" s="305">
        <f>(mamiabc!AE101*Model!$AV363/mamiabc!$AV101+mamiabc!AE100*Model!$AV363/mamiabc!$AV100)/2</f>
        <v>8.9172154382904478E-4</v>
      </c>
      <c r="AF363" s="305">
        <f>(mamiabc!AF101*Model!$AV363/mamiabc!$AV101+mamiabc!AF100*Model!$AV363/mamiabc!$AV100)/2</f>
        <v>8.9172154382904478E-4</v>
      </c>
      <c r="AG363" s="305">
        <f>(mamiabc!AG101*Model!$AV363/mamiabc!$AV101+mamiabc!AG100*Model!$AV363/mamiabc!$AV100)/2</f>
        <v>8.9172154382904478E-4</v>
      </c>
      <c r="AH363" s="305">
        <f>(mamiabc!AH101*Model!$AV363/mamiabc!$AV101+mamiabc!AH100*Model!$AV363/mamiabc!$AV100)/2</f>
        <v>8.9172154382904478E-4</v>
      </c>
      <c r="AI363" s="305">
        <f>(mamiabc!AI101*Model!$AV363/mamiabc!$AV101+mamiabc!AI100*Model!$AV363/mamiabc!$AV100)/2</f>
        <v>8.9172154382904478E-4</v>
      </c>
      <c r="AJ363" s="305">
        <f>(mamiabc!AJ101*Model!$AV363/mamiabc!$AV101+mamiabc!AJ100*Model!$AV363/mamiabc!$AV100)/2</f>
        <v>8.9172154382904478E-4</v>
      </c>
      <c r="AK363" s="305">
        <f>(mamiabc!AK101*Model!$AV363/mamiabc!$AV101+mamiabc!AK100*Model!$AV363/mamiabc!$AV100)/2</f>
        <v>8.9172154382904478E-4</v>
      </c>
      <c r="AL363" s="305">
        <f>(mamiabc!AL101*Model!$AV363/mamiabc!$AV101+mamiabc!AL100*Model!$AV363/mamiabc!$AV100)/2</f>
        <v>8.9172154382904478E-4</v>
      </c>
      <c r="AM363" s="305">
        <f>(mamiabc!AM101*Model!$AV363/mamiabc!$AV101+mamiabc!AM100*Model!$AV363/mamiabc!$AV100)/2</f>
        <v>5.7951903352496982E-3</v>
      </c>
      <c r="AN363" s="305">
        <f>(mamiabc!AN101*Model!$AV363/mamiabc!$AV101+mamiabc!AN100*Model!$AV363/mamiabc!$AV100)/2</f>
        <v>5.6744152418649529E-3</v>
      </c>
      <c r="AO363" s="305">
        <f>(mamiabc!AO101*Model!$AV363/mamiabc!$AV101+mamiabc!AO100*Model!$AV363/mamiabc!$AV100)/2</f>
        <v>8.0609310871475152E-3</v>
      </c>
      <c r="AP363" s="305">
        <f>(mamiabc!AP101*Model!$AV363/mamiabc!$AV101+mamiabc!AP100*Model!$AV363/mamiabc!$AV100)/2</f>
        <v>9.0271318342254776E-3</v>
      </c>
      <c r="AQ363" s="305">
        <f>(mamiabc!AQ101*Model!$AV363/mamiabc!$AV101+mamiabc!AQ100*Model!$AV363/mamiabc!$AV100)/2</f>
        <v>9.5875282675306935E-3</v>
      </c>
      <c r="AR363" s="305">
        <f>(mamiabc!AR101*Model!$AV363/mamiabc!$AV101+mamiabc!AR100*Model!$AV363/mamiabc!$AV100)/2</f>
        <v>1.2505454523706137E-2</v>
      </c>
      <c r="AS363" s="305">
        <f>(mamiabc!AS101*Model!$AV363/mamiabc!$AV101+mamiabc!AS100*Model!$AV363/mamiabc!$AV100)/2</f>
        <v>3.096471979663059E-2</v>
      </c>
      <c r="AT363" s="305">
        <f>(mamiabc!AT101*Model!$AV363/mamiabc!$AV101+mamiabc!AT100*Model!$AV363/mamiabc!$AV100)/2</f>
        <v>0.18086075682073988</v>
      </c>
      <c r="AU363" s="305">
        <f>(mamiabc!AU101*Model!$AV363/mamiabc!$AV101+mamiabc!AU100*Model!$AV363/mamiabc!$AV100)/2</f>
        <v>0.46142715955471381</v>
      </c>
      <c r="AV363" s="40">
        <f>DataInput!AV764</f>
        <v>0.40092499999999998</v>
      </c>
      <c r="AW363" s="40">
        <f>DataInput!AW764</f>
        <v>0.40100000000000002</v>
      </c>
      <c r="AX363" s="40">
        <f>DataInput!AX764</f>
        <v>0.40100000000000002</v>
      </c>
      <c r="AY363" s="40">
        <f>DataInput!AY764</f>
        <v>0.85990999999999995</v>
      </c>
      <c r="AZ363" s="40">
        <f>DataInput!AZ764</f>
        <v>1.3263099999999999</v>
      </c>
      <c r="BA363" s="40">
        <f>DataInput!BA764</f>
        <v>2.1785000000000001</v>
      </c>
      <c r="BB363" s="40">
        <f>DataInput!BB764</f>
        <v>2.3269450000000003</v>
      </c>
      <c r="BC363" s="40">
        <f>DataInput!BC764</f>
        <v>2.6033299999999997</v>
      </c>
      <c r="BD363" s="40">
        <f>DataInput!BD764</f>
        <v>2.734</v>
      </c>
      <c r="BE363" s="40">
        <f>DataInput!BE764</f>
        <v>2.73</v>
      </c>
      <c r="BF363" s="40">
        <f>DataInput!BF764</f>
        <v>2.7425000000000002</v>
      </c>
      <c r="BG363" s="40">
        <f>DataInput!BG764</f>
        <v>2.7450000000000001</v>
      </c>
      <c r="BH363" s="40">
        <f>DataInput!BH764</f>
        <v>2.7450000000000001</v>
      </c>
      <c r="BI363" s="40">
        <f>DataInput!BI764</f>
        <v>2.85</v>
      </c>
      <c r="BJ363" s="319">
        <f>DataInput!BJ764</f>
        <v>3.05</v>
      </c>
      <c r="BK363" s="319">
        <f>DataInput!BK764</f>
        <v>3.25</v>
      </c>
      <c r="BL363" s="319">
        <f>DataInput!BL764</f>
        <v>3.35</v>
      </c>
      <c r="BM363" s="319">
        <f>DataInput!BM764</f>
        <v>3.35</v>
      </c>
      <c r="BN363" s="319">
        <f>DataInput!BN764</f>
        <v>3.35</v>
      </c>
      <c r="BO363" s="319">
        <f>DataInput!BO764</f>
        <v>3.35</v>
      </c>
      <c r="BP363" s="319">
        <f>DataInput!BP764</f>
        <v>4.2</v>
      </c>
      <c r="BQ363" s="378">
        <f>BP363*(1+SIM!Y58/100)+finsim!BP326</f>
        <v>4.2</v>
      </c>
      <c r="BR363" s="378">
        <f>BQ363*(1+SIM!Z58/100)+finsim!BQ326</f>
        <v>4.2</v>
      </c>
      <c r="BS363" s="378">
        <f>BR363*(1+SIM!AA58/100)+finsim!BR326</f>
        <v>4.2</v>
      </c>
      <c r="BT363" s="378">
        <f>BS363*(1+SIM!AB58/100)+finsim!BS326</f>
        <v>4.2</v>
      </c>
      <c r="BU363" s="378">
        <f>BT363*(1+SIM!AC58/100)+finsim!BT326</f>
        <v>4.2</v>
      </c>
      <c r="BV363" s="378">
        <f>BU363*(1+SIM!AD58/100)+finsim!BU326</f>
        <v>4.2</v>
      </c>
      <c r="BW363" s="378">
        <f>BV363*(1+SIM!AE58/100)+finsim!BV326</f>
        <v>4.2</v>
      </c>
      <c r="BX363" s="378">
        <f>BW363*(1+SIM!AF58/100)+finsim!BW326</f>
        <v>4.2</v>
      </c>
      <c r="BY363" s="378">
        <f>BX363*(1+SIM!AG58/100)+finsim!BX326</f>
        <v>4.2</v>
      </c>
      <c r="BZ363" s="378">
        <f>BY363*(1+SIM!AH58/100)+finsim!BY326</f>
        <v>4.2</v>
      </c>
      <c r="CA363" s="378">
        <f>BZ363*(1+SIM!AI58/100)+finsim!BZ326</f>
        <v>4.2</v>
      </c>
      <c r="CB363" s="378">
        <f>CA363*(1+SIM!AJ58/100)+finsim!CA326</f>
        <v>4.2</v>
      </c>
      <c r="CC363" s="378">
        <f>CB363*(1+SIM!AK58/100)+finsim!CB326</f>
        <v>4.2</v>
      </c>
      <c r="CD363" s="378">
        <f>CC363*(1+SIM!AL58/100)+finsim!CC326</f>
        <v>4.2</v>
      </c>
      <c r="CE363" s="378"/>
      <c r="CF363" s="443"/>
      <c r="CG363" s="235">
        <f t="shared" ref="CG363:CH367" si="1341">BK363-DG363</f>
        <v>0</v>
      </c>
      <c r="CH363" s="235">
        <f t="shared" si="1341"/>
        <v>0</v>
      </c>
      <c r="CI363" s="235" t="e">
        <f>BM363-#REF!</f>
        <v>#REF!</v>
      </c>
      <c r="CJ363" s="235">
        <f t="shared" ref="CJ363:CS367" si="1342">BN363-DI363</f>
        <v>0</v>
      </c>
      <c r="CK363" s="235">
        <f t="shared" si="1342"/>
        <v>0</v>
      </c>
      <c r="CL363" s="235">
        <f t="shared" si="1342"/>
        <v>0</v>
      </c>
      <c r="CM363" s="235">
        <f t="shared" si="1342"/>
        <v>0</v>
      </c>
      <c r="CN363" s="235">
        <f t="shared" si="1342"/>
        <v>0</v>
      </c>
      <c r="CO363" s="235">
        <f t="shared" si="1342"/>
        <v>0</v>
      </c>
      <c r="CP363" s="235">
        <f t="shared" si="1342"/>
        <v>0</v>
      </c>
      <c r="CQ363" s="235">
        <f t="shared" si="1342"/>
        <v>0</v>
      </c>
      <c r="CR363" s="235">
        <f t="shared" si="1342"/>
        <v>0</v>
      </c>
      <c r="CS363" s="235">
        <f t="shared" si="1342"/>
        <v>0</v>
      </c>
      <c r="CT363" s="235">
        <f t="shared" ref="CT363:CZ367" si="1343">BX363-DS363</f>
        <v>0</v>
      </c>
      <c r="CU363" s="235">
        <f t="shared" si="1343"/>
        <v>0</v>
      </c>
      <c r="CV363" s="235">
        <f t="shared" si="1343"/>
        <v>0</v>
      </c>
      <c r="CW363" s="235">
        <f t="shared" si="1343"/>
        <v>0</v>
      </c>
      <c r="CX363" s="235">
        <f t="shared" si="1343"/>
        <v>0</v>
      </c>
      <c r="CY363" s="235">
        <f t="shared" si="1343"/>
        <v>0</v>
      </c>
      <c r="CZ363" s="235">
        <f t="shared" si="1343"/>
        <v>0</v>
      </c>
      <c r="DA363" s="38"/>
      <c r="DB363" s="236">
        <v>1.7424999999999999</v>
      </c>
      <c r="DC363" s="236">
        <v>2.7425000000000002</v>
      </c>
      <c r="DD363" s="236">
        <v>2.7450000000000001</v>
      </c>
      <c r="DE363" s="236">
        <v>2.7450000000000001</v>
      </c>
      <c r="DF363" s="259">
        <v>2.85</v>
      </c>
      <c r="DG363" s="236">
        <v>3.25</v>
      </c>
      <c r="DH363" s="492">
        <v>3.35</v>
      </c>
      <c r="DI363" s="236">
        <v>3.35</v>
      </c>
      <c r="DJ363" s="236">
        <v>3.35</v>
      </c>
      <c r="DK363" s="236">
        <v>4.2</v>
      </c>
      <c r="DL363" s="236">
        <v>4.2</v>
      </c>
      <c r="DM363" s="236">
        <v>4.2</v>
      </c>
      <c r="DN363" s="236">
        <v>4.2</v>
      </c>
      <c r="DO363" s="236">
        <v>4.2</v>
      </c>
      <c r="DP363" s="236">
        <v>4.2</v>
      </c>
      <c r="DQ363" s="259">
        <v>4.2</v>
      </c>
      <c r="DR363" s="259">
        <v>4.2</v>
      </c>
      <c r="DS363" s="259">
        <v>4.2</v>
      </c>
      <c r="DT363" s="259">
        <v>4.2</v>
      </c>
      <c r="DU363" s="259">
        <v>4.2</v>
      </c>
      <c r="DV363" s="259">
        <v>4.2</v>
      </c>
      <c r="DW363" s="259">
        <v>4.2</v>
      </c>
      <c r="DX363" s="259">
        <v>4.2</v>
      </c>
      <c r="DY363" s="259">
        <v>4.2</v>
      </c>
      <c r="DZ363" s="259"/>
      <c r="EA363" s="508"/>
    </row>
    <row r="364" spans="1:131" s="25" customFormat="1">
      <c r="A364" s="25" t="s">
        <v>4443</v>
      </c>
      <c r="B364" s="99" t="s">
        <v>1730</v>
      </c>
      <c r="C364" s="12" t="s">
        <v>4096</v>
      </c>
      <c r="D364" s="207" t="s">
        <v>817</v>
      </c>
      <c r="E364" s="207"/>
      <c r="F364" s="207"/>
      <c r="G364" s="207"/>
      <c r="H364" s="207"/>
      <c r="I364" s="207"/>
      <c r="J364" s="207"/>
      <c r="K364" s="207"/>
      <c r="L364" s="207"/>
      <c r="M364" s="207"/>
      <c r="N364" s="207"/>
      <c r="O364" s="207"/>
      <c r="P364" s="207"/>
      <c r="Q364" s="207"/>
      <c r="R364" s="207"/>
      <c r="S364" s="207"/>
      <c r="T364" s="207"/>
      <c r="U364" s="207"/>
      <c r="V364" s="207"/>
      <c r="W364" s="207"/>
      <c r="X364" s="207"/>
      <c r="Y364" s="207"/>
      <c r="Z364" s="207"/>
      <c r="AA364" s="207"/>
      <c r="AB364" s="207"/>
      <c r="AC364" s="207"/>
      <c r="AD364" s="207"/>
      <c r="AE364" s="207"/>
      <c r="AF364" s="207"/>
      <c r="AG364" s="207"/>
      <c r="AH364" s="207"/>
      <c r="AI364" s="207"/>
      <c r="AJ364" s="207"/>
      <c r="AK364" s="207"/>
      <c r="AL364" s="207"/>
      <c r="AM364" s="207"/>
      <c r="AN364" s="207"/>
      <c r="AO364" s="207"/>
      <c r="AP364" s="207"/>
      <c r="AQ364" s="207"/>
      <c r="AR364" s="207"/>
      <c r="AS364" s="207"/>
      <c r="AT364" s="207"/>
      <c r="AU364" s="12"/>
      <c r="AV364" s="40">
        <f>DataInput!AV766</f>
        <v>3.8</v>
      </c>
      <c r="AW364" s="40">
        <f>DataInput!AW766</f>
        <v>4</v>
      </c>
      <c r="AX364" s="40">
        <f>DataInput!AX766</f>
        <v>10.1</v>
      </c>
      <c r="AY364" s="40">
        <f>DataInput!AY766</f>
        <v>8.9</v>
      </c>
      <c r="AZ364" s="40">
        <f>DataInput!AZ766</f>
        <v>10.5</v>
      </c>
      <c r="BA364" s="40">
        <f>DataInput!BA766</f>
        <v>7.75</v>
      </c>
      <c r="BB364" s="40">
        <f>DataInput!BB766</f>
        <v>8.5</v>
      </c>
      <c r="BC364" s="40">
        <f>DataInput!BC766</f>
        <v>8.5</v>
      </c>
      <c r="BD364" s="40">
        <f>DataInput!BD766</f>
        <v>8.5</v>
      </c>
      <c r="BE364" s="40">
        <f>DataInput!BE766</f>
        <v>8.5</v>
      </c>
      <c r="BF364" s="40">
        <f>DataInput!BF766+SIM!N61</f>
        <v>7.25</v>
      </c>
      <c r="BG364" s="32">
        <f>BF364+SIM!O61</f>
        <v>7.25</v>
      </c>
      <c r="BH364" s="32">
        <f>BG364+SIM!P61</f>
        <v>7.25</v>
      </c>
      <c r="BI364" s="32">
        <f>BH364+SIM!Q61</f>
        <v>7.25</v>
      </c>
      <c r="BJ364" s="32">
        <f>BI364+SIM!R61</f>
        <v>7.25</v>
      </c>
      <c r="BK364" s="32">
        <f>BJ364+SIM!S61</f>
        <v>7.25</v>
      </c>
      <c r="BL364" s="32">
        <f>BK364+SIM!T61+finsim!BK327</f>
        <v>7.25</v>
      </c>
      <c r="BM364" s="32">
        <f>BL364+SIM!U61+finsim!BL327</f>
        <v>7.25</v>
      </c>
      <c r="BN364" s="32">
        <f>BM364+SIM!V61+finsim!BM327</f>
        <v>7.25</v>
      </c>
      <c r="BO364" s="32">
        <f>BN364+SIM!W61+finsim!BN327</f>
        <v>7.25</v>
      </c>
      <c r="BP364" s="32">
        <f>BO364+SIM!X61+finsim!BO327</f>
        <v>7.25</v>
      </c>
      <c r="BQ364" s="32">
        <f>BP364+SIM!Y61+finsim!BP327</f>
        <v>7.25</v>
      </c>
      <c r="BR364" s="32">
        <f>BQ364+SIM!Z61+finsim!BQ327</f>
        <v>7.25</v>
      </c>
      <c r="BS364" s="32">
        <f>BR364+SIM!AA61+finsim!BR327</f>
        <v>7.25</v>
      </c>
      <c r="BT364" s="32">
        <f>BS364+SIM!AB61+finsim!BS327</f>
        <v>7.25</v>
      </c>
      <c r="BU364" s="32">
        <f>BT364+SIM!AC61+finsim!BT327</f>
        <v>7.25</v>
      </c>
      <c r="BV364" s="32">
        <f>BU364+SIM!AD61+finsim!BU327</f>
        <v>7.25</v>
      </c>
      <c r="BW364" s="32">
        <f>BV364+SIM!AE61+finsim!BV327</f>
        <v>7.25</v>
      </c>
      <c r="BX364" s="32">
        <f>BW364+SIM!AF61+finsim!BW327</f>
        <v>7.25</v>
      </c>
      <c r="BY364" s="32">
        <f>BX364+SIM!AG61+finsim!BX327</f>
        <v>7.25</v>
      </c>
      <c r="BZ364" s="32">
        <f>BY364+SIM!AH61+finsim!BY327</f>
        <v>7.25</v>
      </c>
      <c r="CA364" s="32">
        <f>BZ364+SIM!AI61+finsim!BZ327</f>
        <v>7.25</v>
      </c>
      <c r="CB364" s="32">
        <f>CA364+SIM!AJ61+finsim!CA327</f>
        <v>7.25</v>
      </c>
      <c r="CC364" s="32">
        <f>CB364+SIM!AK61+finsim!CB327</f>
        <v>7.25</v>
      </c>
      <c r="CD364" s="32">
        <f>CC364+SIM!AL61+finsim!CC327</f>
        <v>7.25</v>
      </c>
      <c r="CE364" s="32"/>
      <c r="CF364" s="443"/>
      <c r="CG364" s="235">
        <f t="shared" si="1341"/>
        <v>0</v>
      </c>
      <c r="CH364" s="235">
        <f t="shared" si="1341"/>
        <v>0</v>
      </c>
      <c r="CI364" s="235" t="e">
        <f>BM364-#REF!</f>
        <v>#REF!</v>
      </c>
      <c r="CJ364" s="235">
        <f t="shared" si="1342"/>
        <v>0</v>
      </c>
      <c r="CK364" s="235">
        <f t="shared" si="1342"/>
        <v>0</v>
      </c>
      <c r="CL364" s="235">
        <f t="shared" si="1342"/>
        <v>0</v>
      </c>
      <c r="CM364" s="235">
        <f t="shared" si="1342"/>
        <v>0</v>
      </c>
      <c r="CN364" s="235">
        <f t="shared" si="1342"/>
        <v>0</v>
      </c>
      <c r="CO364" s="235">
        <f t="shared" si="1342"/>
        <v>0</v>
      </c>
      <c r="CP364" s="235">
        <f t="shared" si="1342"/>
        <v>0</v>
      </c>
      <c r="CQ364" s="235">
        <f t="shared" si="1342"/>
        <v>0</v>
      </c>
      <c r="CR364" s="235">
        <f t="shared" si="1342"/>
        <v>0</v>
      </c>
      <c r="CS364" s="235">
        <f t="shared" si="1342"/>
        <v>0</v>
      </c>
      <c r="CT364" s="235">
        <f t="shared" si="1343"/>
        <v>0</v>
      </c>
      <c r="CU364" s="235">
        <f t="shared" si="1343"/>
        <v>0</v>
      </c>
      <c r="CV364" s="235">
        <f t="shared" si="1343"/>
        <v>0</v>
      </c>
      <c r="CW364" s="235">
        <f t="shared" si="1343"/>
        <v>0</v>
      </c>
      <c r="CX364" s="235">
        <f t="shared" si="1343"/>
        <v>0</v>
      </c>
      <c r="CY364" s="235">
        <f t="shared" si="1343"/>
        <v>0</v>
      </c>
      <c r="CZ364" s="235">
        <f t="shared" si="1343"/>
        <v>0</v>
      </c>
      <c r="DA364" s="38"/>
      <c r="DB364" s="236">
        <v>6.25</v>
      </c>
      <c r="DC364" s="236">
        <v>7.25</v>
      </c>
      <c r="DD364" s="236">
        <v>7.25</v>
      </c>
      <c r="DE364" s="236">
        <v>7.25</v>
      </c>
      <c r="DF364" s="259">
        <v>7.25</v>
      </c>
      <c r="DG364" s="236">
        <v>7.25</v>
      </c>
      <c r="DH364" s="492">
        <v>7.25</v>
      </c>
      <c r="DI364" s="236">
        <v>7.25</v>
      </c>
      <c r="DJ364" s="236">
        <v>7.25</v>
      </c>
      <c r="DK364" s="236">
        <v>7.25</v>
      </c>
      <c r="DL364" s="236">
        <v>7.25</v>
      </c>
      <c r="DM364" s="236">
        <v>7.25</v>
      </c>
      <c r="DN364" s="236">
        <v>7.25</v>
      </c>
      <c r="DO364" s="236">
        <v>7.25</v>
      </c>
      <c r="DP364" s="236">
        <v>7.25</v>
      </c>
      <c r="DQ364" s="259">
        <v>7.25</v>
      </c>
      <c r="DR364" s="259">
        <v>7.25</v>
      </c>
      <c r="DS364" s="259">
        <v>7.25</v>
      </c>
      <c r="DT364" s="259">
        <v>7.25</v>
      </c>
      <c r="DU364" s="259">
        <v>7.25</v>
      </c>
      <c r="DV364" s="259">
        <v>7.25</v>
      </c>
      <c r="DW364" s="259">
        <v>7.25</v>
      </c>
      <c r="DX364" s="259">
        <v>7.25</v>
      </c>
      <c r="DY364" s="259">
        <v>7.25</v>
      </c>
      <c r="DZ364" s="259"/>
      <c r="EA364" s="508"/>
    </row>
    <row r="365" spans="1:131" s="25" customFormat="1">
      <c r="A365" s="25" t="s">
        <v>3891</v>
      </c>
      <c r="B365" s="99" t="s">
        <v>2422</v>
      </c>
      <c r="C365" s="12"/>
      <c r="D365" s="207"/>
      <c r="E365" s="207"/>
      <c r="F365" s="21">
        <f>mamiabc!F103*Model!$AV365/mamiabc!$AV103</f>
        <v>4</v>
      </c>
      <c r="G365" s="21">
        <f>mamiabc!G103*Model!$AV365/mamiabc!$AV103</f>
        <v>4</v>
      </c>
      <c r="H365" s="21">
        <f>mamiabc!H103*Model!$AV365/mamiabc!$AV103</f>
        <v>5</v>
      </c>
      <c r="I365" s="21">
        <f>mamiabc!I103*Model!$AV365/mamiabc!$AV103</f>
        <v>6</v>
      </c>
      <c r="J365" s="21">
        <f>mamiabc!J103*Model!$AV365/mamiabc!$AV103</f>
        <v>7</v>
      </c>
      <c r="K365" s="21">
        <f>mamiabc!K103*Model!$AV365/mamiabc!$AV103</f>
        <v>7</v>
      </c>
      <c r="L365" s="21">
        <f>mamiabc!L103*Model!$AV365/mamiabc!$AV103</f>
        <v>7</v>
      </c>
      <c r="M365" s="21">
        <f>mamiabc!M103*Model!$AV365/mamiabc!$AV103</f>
        <v>7</v>
      </c>
      <c r="N365" s="21">
        <f>mamiabc!N103*Model!$AV365/mamiabc!$AV103</f>
        <v>8</v>
      </c>
      <c r="O365" s="21">
        <f>mamiabc!O103*Model!$AV365/mamiabc!$AV103</f>
        <v>8</v>
      </c>
      <c r="P365" s="21">
        <f>mamiabc!P103*Model!$AV365/mamiabc!$AV103</f>
        <v>8</v>
      </c>
      <c r="Q365" s="21">
        <f>mamiabc!Q103*Model!$AV365/mamiabc!$AV103</f>
        <v>8</v>
      </c>
      <c r="R365" s="21">
        <f>mamiabc!R103*Model!$AV365/mamiabc!$AV103</f>
        <v>8</v>
      </c>
      <c r="S365" s="21">
        <f>mamiabc!S103*Model!$AV365/mamiabc!$AV103</f>
        <v>8</v>
      </c>
      <c r="T365" s="21">
        <f>mamiabc!T103*Model!$AV365/mamiabc!$AV103</f>
        <v>8</v>
      </c>
      <c r="U365" s="21">
        <f>mamiabc!U103*Model!$AV365/mamiabc!$AV103</f>
        <v>8</v>
      </c>
      <c r="V365" s="21">
        <f>mamiabc!V103*Model!$AV365/mamiabc!$AV103</f>
        <v>8</v>
      </c>
      <c r="W365" s="21">
        <f>mamiabc!W103*Model!$AV365/mamiabc!$AV103</f>
        <v>8</v>
      </c>
      <c r="X365" s="21">
        <f>mamiabc!X103*Model!$AV365/mamiabc!$AV103</f>
        <v>8</v>
      </c>
      <c r="Y365" s="21">
        <f>mamiabc!Y103*Model!$AV365/mamiabc!$AV103</f>
        <v>8.5</v>
      </c>
      <c r="Z365" s="21">
        <f>mamiabc!Z103*Model!$AV365/mamiabc!$AV103</f>
        <v>9</v>
      </c>
      <c r="AA365" s="21">
        <f>mamiabc!AA103*Model!$AV365/mamiabc!$AV103</f>
        <v>9</v>
      </c>
      <c r="AB365" s="21">
        <f>mamiabc!AB103*Model!$AV365/mamiabc!$AV103</f>
        <v>9</v>
      </c>
      <c r="AC365" s="21">
        <f>mamiabc!AC103*Model!$AV365/mamiabc!$AV103</f>
        <v>9</v>
      </c>
      <c r="AD365" s="21">
        <f>mamiabc!AD103*Model!$AV365/mamiabc!$AV103</f>
        <v>9.1999998092651367</v>
      </c>
      <c r="AE365" s="21">
        <f>mamiabc!AE103*Model!$AV365/mamiabc!$AV103</f>
        <v>9.3999996185302734</v>
      </c>
      <c r="AF365" s="21">
        <f>mamiabc!AF103*Model!$AV365/mamiabc!$AV103</f>
        <v>9.3000001907348633</v>
      </c>
      <c r="AG365" s="21">
        <f>mamiabc!AG103*Model!$AV365/mamiabc!$AV103</f>
        <v>9.3999996185302734</v>
      </c>
      <c r="AH365" s="21">
        <f>mamiabc!AH103*Model!$AV365/mamiabc!$AV103</f>
        <v>9.6000003814697266</v>
      </c>
      <c r="AI365" s="21">
        <f>mamiabc!AI103*Model!$AV365/mamiabc!$AV103</f>
        <v>9.3999996185302734</v>
      </c>
      <c r="AJ365" s="21">
        <f>mamiabc!AJ103*Model!$AV365/mamiabc!$AV103</f>
        <v>9.3999996185302734</v>
      </c>
      <c r="AK365" s="21">
        <f>mamiabc!AK103*Model!$AV365/mamiabc!$AV103</f>
        <v>9.3000001907348633</v>
      </c>
      <c r="AL365" s="21">
        <f>mamiabc!AL103*Model!$AV365/mamiabc!$AV103</f>
        <v>9.3000001907348633</v>
      </c>
      <c r="AM365" s="21">
        <f>mamiabc!AM103*Model!$AV365/mamiabc!$AV103</f>
        <v>9.5</v>
      </c>
      <c r="AN365" s="21">
        <f>mamiabc!AN103*Model!$AV365/mamiabc!$AV103</f>
        <v>8.551666259765625</v>
      </c>
      <c r="AO365" s="21">
        <f>mamiabc!AO103*Model!$AV365/mamiabc!$AV103</f>
        <v>8.7614336013793945</v>
      </c>
      <c r="AP365" s="21">
        <f>mamiabc!AP103*Model!$AV365/mamiabc!$AV103</f>
        <v>8.8000001907348633</v>
      </c>
      <c r="AQ365" s="21">
        <f>mamiabc!AQ103*Model!$AV365/mamiabc!$AV103</f>
        <v>9.1999998092651367</v>
      </c>
      <c r="AR365" s="21">
        <f>mamiabc!AR103*Model!$AV365/mamiabc!$AV103</f>
        <v>9</v>
      </c>
      <c r="AS365" s="21">
        <f>mamiabc!AS103*Model!$AV365/mamiabc!$AV103</f>
        <v>9.6999999999999993</v>
      </c>
      <c r="AT365" s="21">
        <f>mamiabc!AT103*Model!$AV365/mamiabc!$AV103</f>
        <v>32.200000000000003</v>
      </c>
      <c r="AU365" s="21">
        <f>mamiabc!AU103</f>
        <v>39.6</v>
      </c>
      <c r="AV365" s="40">
        <f>DataInput!AV765</f>
        <v>34.9</v>
      </c>
      <c r="AW365" s="40">
        <f>DataInput!AW765</f>
        <v>28.8</v>
      </c>
      <c r="AX365" s="40">
        <f>DataInput!AX765</f>
        <v>25.7</v>
      </c>
      <c r="AY365" s="40">
        <f>DataInput!AY765</f>
        <v>28.5</v>
      </c>
      <c r="AZ365" s="40">
        <f>DataInput!AZ765</f>
        <v>29</v>
      </c>
      <c r="BA365" s="40">
        <f>DataInput!BA765</f>
        <v>23.5</v>
      </c>
      <c r="BB365" s="40">
        <f>DataInput!BB765</f>
        <v>21.1</v>
      </c>
      <c r="BC365" s="40">
        <f>DataInput!BC765</f>
        <v>20.8</v>
      </c>
      <c r="BD365" s="40">
        <f>DataInput!BD765</f>
        <v>19</v>
      </c>
      <c r="BE365" s="40">
        <f>DataInput!BE765</f>
        <v>16.3</v>
      </c>
      <c r="BF365" s="40">
        <f>DataInput!BF765</f>
        <v>15.3</v>
      </c>
      <c r="BG365" s="40">
        <f>DataInput!BG765</f>
        <v>12.9</v>
      </c>
      <c r="BH365" s="40">
        <f>DataInput!BH765</f>
        <v>11.7</v>
      </c>
      <c r="BI365" s="40">
        <f>DataInput!BI765</f>
        <v>11.6</v>
      </c>
      <c r="BJ365" s="40">
        <f>DataInput!BJ765</f>
        <v>11.8</v>
      </c>
      <c r="BK365" s="40">
        <f>DataInput!BK765</f>
        <v>11.8</v>
      </c>
      <c r="BL365" s="40">
        <f>DataInput!BL765</f>
        <v>11.8</v>
      </c>
      <c r="BM365" s="40">
        <f>DataInput!BM765</f>
        <v>12</v>
      </c>
      <c r="BN365" s="40">
        <f>DataInput!BN765</f>
        <v>12.5</v>
      </c>
      <c r="BO365" s="40">
        <f>DataInput!BO765</f>
        <v>12.6</v>
      </c>
      <c r="BP365" s="32">
        <f>BO365+SIM!X62+finsim!BO328</f>
        <v>12.6</v>
      </c>
      <c r="BQ365" s="32">
        <f>BP365+SIM!Y62+finsim!BP328</f>
        <v>12.6</v>
      </c>
      <c r="BR365" s="32">
        <f>BQ365+SIM!Z62+finsim!BQ328</f>
        <v>12.6</v>
      </c>
      <c r="BS365" s="32">
        <f>BR365+SIM!AA62+finsim!BR328</f>
        <v>12.6</v>
      </c>
      <c r="BT365" s="32">
        <f>BS365+SIM!AB62+finsim!BS328</f>
        <v>12.6</v>
      </c>
      <c r="BU365" s="32">
        <f>BT365+SIM!AC62+finsim!BT328</f>
        <v>12.6</v>
      </c>
      <c r="BV365" s="32">
        <f>BU365+SIM!AD62+finsim!BU328</f>
        <v>12.6</v>
      </c>
      <c r="BW365" s="32">
        <f>BV365+SIM!AE62+finsim!BV328</f>
        <v>12.6</v>
      </c>
      <c r="BX365" s="32">
        <f>BW365+SIM!AF62+finsim!BW328</f>
        <v>12.6</v>
      </c>
      <c r="BY365" s="32">
        <f>BX365+SIM!AG62+finsim!BX328</f>
        <v>12.6</v>
      </c>
      <c r="BZ365" s="32">
        <f>BY365+SIM!AH62+finsim!BY328</f>
        <v>12.6</v>
      </c>
      <c r="CA365" s="32">
        <f>BZ365+SIM!AI62+finsim!BZ328</f>
        <v>12.6</v>
      </c>
      <c r="CB365" s="32">
        <f>CA365+SIM!AJ62+finsim!CA328</f>
        <v>12.6</v>
      </c>
      <c r="CC365" s="32">
        <f>CB365+SIM!AK62+finsim!CB328</f>
        <v>12.6</v>
      </c>
      <c r="CD365" s="32">
        <f>CC365+SIM!AL62+finsim!CC328</f>
        <v>12.6</v>
      </c>
      <c r="CE365" s="32"/>
      <c r="CF365" s="443"/>
      <c r="CG365" s="235">
        <f t="shared" si="1341"/>
        <v>0</v>
      </c>
      <c r="CH365" s="235">
        <f t="shared" si="1341"/>
        <v>0</v>
      </c>
      <c r="CI365" s="235" t="e">
        <f>BM365-#REF!</f>
        <v>#REF!</v>
      </c>
      <c r="CJ365" s="235">
        <f t="shared" si="1342"/>
        <v>0</v>
      </c>
      <c r="CK365" s="235">
        <f t="shared" si="1342"/>
        <v>0</v>
      </c>
      <c r="CL365" s="235">
        <f t="shared" si="1342"/>
        <v>0</v>
      </c>
      <c r="CM365" s="235">
        <f t="shared" si="1342"/>
        <v>0</v>
      </c>
      <c r="CN365" s="235">
        <f t="shared" si="1342"/>
        <v>0</v>
      </c>
      <c r="CO365" s="235">
        <f t="shared" si="1342"/>
        <v>0</v>
      </c>
      <c r="CP365" s="235">
        <f t="shared" si="1342"/>
        <v>0</v>
      </c>
      <c r="CQ365" s="235">
        <f t="shared" si="1342"/>
        <v>0</v>
      </c>
      <c r="CR365" s="235">
        <f t="shared" si="1342"/>
        <v>0</v>
      </c>
      <c r="CS365" s="235">
        <f t="shared" si="1342"/>
        <v>0</v>
      </c>
      <c r="CT365" s="235">
        <f t="shared" si="1343"/>
        <v>0</v>
      </c>
      <c r="CU365" s="235">
        <f t="shared" si="1343"/>
        <v>0</v>
      </c>
      <c r="CV365" s="235">
        <f t="shared" si="1343"/>
        <v>0</v>
      </c>
      <c r="CW365" s="235">
        <f t="shared" si="1343"/>
        <v>0</v>
      </c>
      <c r="CX365" s="235">
        <f t="shared" si="1343"/>
        <v>0</v>
      </c>
      <c r="CY365" s="235">
        <f t="shared" si="1343"/>
        <v>0</v>
      </c>
      <c r="CZ365" s="235">
        <f t="shared" si="1343"/>
        <v>0</v>
      </c>
      <c r="DA365" s="38"/>
      <c r="DB365" s="236">
        <v>14.3</v>
      </c>
      <c r="DC365" s="236">
        <v>15.3</v>
      </c>
      <c r="DD365" s="236">
        <v>12.9</v>
      </c>
      <c r="DE365" s="236">
        <v>11.7</v>
      </c>
      <c r="DF365" s="259">
        <v>11.6</v>
      </c>
      <c r="DG365" s="236">
        <v>11.8</v>
      </c>
      <c r="DH365" s="492">
        <v>11.8</v>
      </c>
      <c r="DI365" s="236">
        <v>12.5</v>
      </c>
      <c r="DJ365" s="236">
        <v>12.6</v>
      </c>
      <c r="DK365" s="236">
        <v>12.6</v>
      </c>
      <c r="DL365" s="236">
        <v>12.6</v>
      </c>
      <c r="DM365" s="236">
        <v>12.6</v>
      </c>
      <c r="DN365" s="236">
        <v>12.6</v>
      </c>
      <c r="DO365" s="236">
        <v>12.6</v>
      </c>
      <c r="DP365" s="236">
        <v>12.6</v>
      </c>
      <c r="DQ365" s="259">
        <v>12.6</v>
      </c>
      <c r="DR365" s="259">
        <v>12.6</v>
      </c>
      <c r="DS365" s="259">
        <v>12.6</v>
      </c>
      <c r="DT365" s="259">
        <v>12.6</v>
      </c>
      <c r="DU365" s="259">
        <v>12.6</v>
      </c>
      <c r="DV365" s="259">
        <v>12.6</v>
      </c>
      <c r="DW365" s="259">
        <v>12.6</v>
      </c>
      <c r="DX365" s="259">
        <v>12.6</v>
      </c>
      <c r="DY365" s="259">
        <v>12.6</v>
      </c>
      <c r="DZ365" s="259"/>
      <c r="EA365" s="508"/>
    </row>
    <row r="366" spans="1:131" s="25" customFormat="1">
      <c r="A366" s="25" t="s">
        <v>4445</v>
      </c>
      <c r="B366" s="99" t="s">
        <v>262</v>
      </c>
      <c r="C366" s="12" t="s">
        <v>4609</v>
      </c>
      <c r="D366" s="207"/>
      <c r="E366" s="207"/>
      <c r="F366" s="207"/>
      <c r="G366" s="207"/>
      <c r="H366" s="207"/>
      <c r="I366" s="207"/>
      <c r="J366" s="207"/>
      <c r="K366" s="207"/>
      <c r="L366" s="207"/>
      <c r="M366" s="207"/>
      <c r="N366" s="207"/>
      <c r="O366" s="207"/>
      <c r="P366" s="207"/>
      <c r="Q366" s="207"/>
      <c r="R366" s="207"/>
      <c r="S366" s="207"/>
      <c r="T366" s="207"/>
      <c r="U366" s="207"/>
      <c r="V366" s="207"/>
      <c r="W366" s="207"/>
      <c r="X366" s="207"/>
      <c r="Y366" s="207"/>
      <c r="Z366" s="207"/>
      <c r="AA366" s="207"/>
      <c r="AB366" s="207"/>
      <c r="AC366" s="207"/>
      <c r="AD366" s="207"/>
      <c r="AE366" s="207"/>
      <c r="AF366" s="207"/>
      <c r="AG366" s="207"/>
      <c r="AH366" s="207"/>
      <c r="AI366" s="207"/>
      <c r="AJ366" s="207"/>
      <c r="AK366" s="207"/>
      <c r="AL366" s="207"/>
      <c r="AM366" s="207"/>
      <c r="AN366" s="207"/>
      <c r="AO366" s="207"/>
      <c r="AP366" s="207"/>
      <c r="AQ366" s="207"/>
      <c r="AR366" s="207"/>
      <c r="AS366" s="207"/>
      <c r="AT366" s="207"/>
      <c r="AU366" s="12"/>
      <c r="AV366" s="119"/>
      <c r="AW366" s="119"/>
      <c r="AX366" s="119"/>
      <c r="AY366" s="119"/>
      <c r="AZ366" s="119"/>
      <c r="BA366" s="119"/>
      <c r="BB366" s="119"/>
      <c r="BC366" s="119"/>
      <c r="BD366" s="119"/>
      <c r="BE366" s="40">
        <f>DataInput!BE769</f>
        <v>3</v>
      </c>
      <c r="BF366" s="40">
        <f>DataInput!BF769</f>
        <v>3</v>
      </c>
      <c r="BG366" s="32">
        <f t="shared" ref="BG366:BI367" si="1344">BF366</f>
        <v>3</v>
      </c>
      <c r="BH366" s="32">
        <f t="shared" si="1344"/>
        <v>3</v>
      </c>
      <c r="BI366" s="32">
        <f t="shared" si="1344"/>
        <v>3</v>
      </c>
      <c r="BJ366" s="32">
        <f t="shared" ref="BJ366:BP367" si="1345">BI366</f>
        <v>3</v>
      </c>
      <c r="BK366" s="32">
        <f t="shared" si="1345"/>
        <v>3</v>
      </c>
      <c r="BL366" s="32">
        <f t="shared" si="1345"/>
        <v>3</v>
      </c>
      <c r="BM366" s="32">
        <f t="shared" si="1345"/>
        <v>3</v>
      </c>
      <c r="BN366" s="32">
        <f t="shared" si="1345"/>
        <v>3</v>
      </c>
      <c r="BO366" s="32">
        <f t="shared" si="1345"/>
        <v>3</v>
      </c>
      <c r="BP366" s="32">
        <f t="shared" si="1345"/>
        <v>3</v>
      </c>
      <c r="BQ366" s="32">
        <f t="shared" ref="BQ366:BU367" si="1346">BP366</f>
        <v>3</v>
      </c>
      <c r="BR366" s="32">
        <f t="shared" si="1346"/>
        <v>3</v>
      </c>
      <c r="BS366" s="32">
        <f t="shared" si="1346"/>
        <v>3</v>
      </c>
      <c r="BT366" s="32">
        <f t="shared" si="1346"/>
        <v>3</v>
      </c>
      <c r="BU366" s="32">
        <f t="shared" si="1346"/>
        <v>3</v>
      </c>
      <c r="BV366" s="32">
        <f t="shared" ref="BV366:BX366" si="1347">BU366</f>
        <v>3</v>
      </c>
      <c r="BW366" s="32">
        <f t="shared" si="1347"/>
        <v>3</v>
      </c>
      <c r="BX366" s="32">
        <f t="shared" si="1347"/>
        <v>3</v>
      </c>
      <c r="BY366" s="32">
        <f t="shared" ref="BY366:BY367" si="1348">BX366</f>
        <v>3</v>
      </c>
      <c r="BZ366" s="32">
        <f t="shared" ref="BZ366:BZ367" si="1349">BY366</f>
        <v>3</v>
      </c>
      <c r="CA366" s="32">
        <f t="shared" ref="CA366:CA367" si="1350">BZ366</f>
        <v>3</v>
      </c>
      <c r="CB366" s="32">
        <f t="shared" ref="CB366:CB367" si="1351">CA366</f>
        <v>3</v>
      </c>
      <c r="CC366" s="32">
        <f t="shared" ref="CC366:CC367" si="1352">CB366</f>
        <v>3</v>
      </c>
      <c r="CD366" s="32">
        <f t="shared" ref="CD366:CD367" si="1353">CC366</f>
        <v>3</v>
      </c>
      <c r="CE366" s="32"/>
      <c r="CF366" s="435"/>
      <c r="CG366" s="235">
        <f t="shared" si="1341"/>
        <v>0</v>
      </c>
      <c r="CH366" s="235">
        <f t="shared" si="1341"/>
        <v>0</v>
      </c>
      <c r="CI366" s="235" t="e">
        <f>BM366-#REF!</f>
        <v>#REF!</v>
      </c>
      <c r="CJ366" s="235">
        <f t="shared" si="1342"/>
        <v>0</v>
      </c>
      <c r="CK366" s="235">
        <f t="shared" si="1342"/>
        <v>0</v>
      </c>
      <c r="CL366" s="235">
        <f t="shared" si="1342"/>
        <v>0</v>
      </c>
      <c r="CM366" s="235">
        <f t="shared" si="1342"/>
        <v>0</v>
      </c>
      <c r="CN366" s="235">
        <f t="shared" si="1342"/>
        <v>0</v>
      </c>
      <c r="CO366" s="235">
        <f t="shared" si="1342"/>
        <v>0</v>
      </c>
      <c r="CP366" s="235">
        <f t="shared" si="1342"/>
        <v>0</v>
      </c>
      <c r="CQ366" s="235">
        <f t="shared" si="1342"/>
        <v>0</v>
      </c>
      <c r="CR366" s="235">
        <f t="shared" si="1342"/>
        <v>0</v>
      </c>
      <c r="CS366" s="235">
        <f t="shared" si="1342"/>
        <v>0</v>
      </c>
      <c r="CT366" s="235">
        <f t="shared" si="1343"/>
        <v>0</v>
      </c>
      <c r="CU366" s="235">
        <f t="shared" si="1343"/>
        <v>0</v>
      </c>
      <c r="CV366" s="235">
        <f t="shared" si="1343"/>
        <v>0</v>
      </c>
      <c r="CW366" s="235">
        <f t="shared" si="1343"/>
        <v>0</v>
      </c>
      <c r="CX366" s="235">
        <f t="shared" si="1343"/>
        <v>0</v>
      </c>
      <c r="CY366" s="235">
        <f t="shared" si="1343"/>
        <v>0</v>
      </c>
      <c r="CZ366" s="235">
        <f t="shared" si="1343"/>
        <v>0</v>
      </c>
      <c r="DA366" s="38"/>
      <c r="DB366" s="236">
        <v>2</v>
      </c>
      <c r="DC366" s="236">
        <v>3</v>
      </c>
      <c r="DD366" s="236">
        <v>3</v>
      </c>
      <c r="DE366" s="236">
        <v>3</v>
      </c>
      <c r="DF366" s="259">
        <v>3</v>
      </c>
      <c r="DG366" s="236">
        <v>3</v>
      </c>
      <c r="DH366" s="492">
        <v>3</v>
      </c>
      <c r="DI366" s="236">
        <v>3</v>
      </c>
      <c r="DJ366" s="236">
        <v>3</v>
      </c>
      <c r="DK366" s="236">
        <v>3</v>
      </c>
      <c r="DL366" s="236">
        <v>3</v>
      </c>
      <c r="DM366" s="236">
        <v>3</v>
      </c>
      <c r="DN366" s="236">
        <v>3</v>
      </c>
      <c r="DO366" s="236">
        <v>3</v>
      </c>
      <c r="DP366" s="236">
        <v>3</v>
      </c>
      <c r="DQ366" s="259">
        <v>3</v>
      </c>
      <c r="DR366" s="259">
        <v>3</v>
      </c>
      <c r="DS366" s="259">
        <v>3</v>
      </c>
      <c r="DT366" s="259">
        <v>3</v>
      </c>
      <c r="DU366" s="259">
        <v>3</v>
      </c>
      <c r="DV366" s="259">
        <v>3</v>
      </c>
      <c r="DW366" s="259">
        <v>3</v>
      </c>
      <c r="DX366" s="259">
        <v>3</v>
      </c>
      <c r="DY366" s="259">
        <v>3</v>
      </c>
      <c r="DZ366" s="259"/>
      <c r="EA366" s="508"/>
    </row>
    <row r="367" spans="1:131" s="25" customFormat="1">
      <c r="A367" s="25" t="s">
        <v>4444</v>
      </c>
      <c r="B367" s="99" t="s">
        <v>3410</v>
      </c>
      <c r="C367" s="12" t="s">
        <v>4011</v>
      </c>
      <c r="D367" s="207" t="s">
        <v>817</v>
      </c>
      <c r="E367" s="207"/>
      <c r="F367" s="21">
        <f>mamiabc!F102*Model!$AV367/mamiabc!$AV102</f>
        <v>0.70593749999999988</v>
      </c>
      <c r="G367" s="21">
        <f>mamiabc!G102*Model!$AV367/mamiabc!$AV102</f>
        <v>1.3334374999999998</v>
      </c>
      <c r="H367" s="21">
        <f>mamiabc!H102*Model!$AV367/mamiabc!$AV102</f>
        <v>2.0864375673234461</v>
      </c>
      <c r="I367" s="21">
        <f>mamiabc!I102*Model!$AV367/mamiabc!$AV102</f>
        <v>2.5570624925196164</v>
      </c>
      <c r="J367" s="21">
        <f>mamiabc!J102*Model!$AV367/mamiabc!$AV102</f>
        <v>1.4432500261813399</v>
      </c>
      <c r="K367" s="21">
        <f>mamiabc!K102*Model!$AV367/mamiabc!$AV102</f>
        <v>2.6825625598430629</v>
      </c>
      <c r="L367" s="21">
        <f>mamiabc!L102*Model!$AV367/mamiabc!$AV102</f>
        <v>2.3060625448822973</v>
      </c>
      <c r="M367" s="21">
        <f>mamiabc!M102*Model!$AV367/mamiabc!$AV102</f>
        <v>1.8668125897645949</v>
      </c>
      <c r="N367" s="21">
        <f>mamiabc!N102*Model!$AV367/mamiabc!$AV102</f>
        <v>2.1805624775588508</v>
      </c>
      <c r="O367" s="21">
        <f>mamiabc!O102*Model!$AV367/mamiabc!$AV102</f>
        <v>2.478625067323446</v>
      </c>
      <c r="P367" s="21">
        <f>mamiabc!P102*Model!$AV367/mamiabc!$AV102</f>
        <v>2.7845312125980852</v>
      </c>
      <c r="Q367" s="21">
        <f>mamiabc!Q102*Model!$AV367/mamiabc!$AV102</f>
        <v>3.0982812874019143</v>
      </c>
      <c r="R367" s="21">
        <f>mamiabc!R102*Model!$AV367/mamiabc!$AV102</f>
        <v>3.8277500897645949</v>
      </c>
      <c r="S367" s="21">
        <f>mamiabc!S102*Model!$AV367/mamiabc!$AV102</f>
        <v>3.3963436901569364</v>
      </c>
      <c r="T367" s="21">
        <f>mamiabc!T102*Model!$AV367/mamiabc!$AV102</f>
        <v>4.1964061751961701</v>
      </c>
      <c r="U367" s="21">
        <f>mamiabc!U102*Model!$AV367/mamiabc!$AV102</f>
        <v>5.2474687948822973</v>
      </c>
      <c r="V367" s="21">
        <f>mamiabc!V102*Model!$AV367/mamiabc!$AV102</f>
        <v>5.0513750448822963</v>
      </c>
      <c r="W367" s="21">
        <f>mamiabc!W102*Model!$AV367/mamiabc!$AV102</f>
        <v>3.4041876196861263</v>
      </c>
      <c r="X367" s="21">
        <f>mamiabc!X102*Model!$AV367/mamiabc!$AV102</f>
        <v>3.1924063846468922</v>
      </c>
      <c r="Y367" s="21">
        <f>mamiabc!Y102*Model!$AV367/mamiabc!$AV102</f>
        <v>5.5141564145684239</v>
      </c>
      <c r="Z367" s="21">
        <f>mamiabc!Z102*Model!$AV367/mamiabc!$AV102</f>
        <v>6.1730311602354044</v>
      </c>
      <c r="AA367" s="21">
        <f>mamiabc!AA102*Model!$AV367/mamiabc!$AV102</f>
        <v>4.5650626346468917</v>
      </c>
      <c r="AB367" s="21">
        <f>mamiabc!AB102*Model!$AV367/mamiabc!$AV102</f>
        <v>3.9140310704708097</v>
      </c>
      <c r="AC367" s="21">
        <f>mamiabc!AC102*Model!$AV367/mamiabc!$AV102</f>
        <v>4.1336562350392336</v>
      </c>
      <c r="AD367" s="21">
        <f>mamiabc!AD102*Model!$AV367/mamiabc!$AV102</f>
        <v>5.6631873354315747</v>
      </c>
      <c r="AE367" s="21">
        <f>mamiabc!AE102*Model!$AV367/mamiabc!$AV102</f>
        <v>7.8751249700784669</v>
      </c>
      <c r="AF367" s="21">
        <f>mamiabc!AF102*Model!$AV367/mamiabc!$AV102</f>
        <v>9.1144374102354035</v>
      </c>
      <c r="AG367" s="21">
        <f>mamiabc!AG102*Model!$AV367/mamiabc!$AV102</f>
        <v>9.1144374102354035</v>
      </c>
      <c r="AH367" s="21">
        <f>mamiabc!AH102*Model!$AV367/mamiabc!$AV102</f>
        <v>8.40850020945072</v>
      </c>
      <c r="AI367" s="21">
        <f>mamiabc!AI102*Model!$AV367/mamiabc!$AV102</f>
        <v>6.7613124102354032</v>
      </c>
      <c r="AJ367" s="21">
        <f>mamiabc!AJ102*Model!$AV367/mamiabc!$AV102</f>
        <v>7.5064685106277462</v>
      </c>
      <c r="AK367" s="21">
        <f>mamiabc!AK102*Model!$AV367/mamiabc!$AV102</f>
        <v>5.8749685704708092</v>
      </c>
      <c r="AL367" s="21">
        <f>mamiabc!AL102*Model!$AV367/mamiabc!$AV102</f>
        <v>4.6827185854315756</v>
      </c>
      <c r="AM367" s="21">
        <f>mamiabc!AM102*Model!$AV367/mamiabc!$AV102</f>
        <v>4.5729061901569361</v>
      </c>
      <c r="AN367" s="21">
        <f>mamiabc!AN102*Model!$AV367/mamiabc!$AV102</f>
        <v>5.2553123503923409</v>
      </c>
      <c r="AO367" s="21">
        <f>mamiabc!AO102*Model!$AV367/mamiabc!$AV102</f>
        <v>6.3534377992153157</v>
      </c>
      <c r="AP367" s="21">
        <f>mamiabc!AP102*Model!$AV367/mamiabc!$AV102</f>
        <v>5.8828124999999991</v>
      </c>
      <c r="AQ367" s="21">
        <f>mamiabc!AQ102*Model!$AV367/mamiabc!$AV102</f>
        <v>6.1965624999999998</v>
      </c>
      <c r="AR367" s="21">
        <f>mamiabc!AR102*Model!$AV367/mamiabc!$AV102</f>
        <v>5.4906249999999996</v>
      </c>
      <c r="AS367" s="21">
        <f>mamiabc!AS102*Model!$AV367/mamiabc!$AV102</f>
        <v>4.6278124999999992</v>
      </c>
      <c r="AT367" s="21">
        <f>mamiabc!AT102*Model!$AV367/mamiabc!$AV102</f>
        <v>5.5690624999999994</v>
      </c>
      <c r="AU367" s="21">
        <f>mamiabc!AU102</f>
        <v>6.6</v>
      </c>
      <c r="AV367" s="40">
        <f>DataInput!AV770</f>
        <v>5.0199999999999996</v>
      </c>
      <c r="AW367" s="40">
        <f>DataInput!AW770</f>
        <v>5.07</v>
      </c>
      <c r="AX367" s="40">
        <f>DataInput!AX770</f>
        <v>4.82</v>
      </c>
      <c r="AY367" s="40">
        <f>DataInput!AY770</f>
        <v>4.66</v>
      </c>
      <c r="AZ367" s="40">
        <f>DataInput!AZ770</f>
        <v>5.84</v>
      </c>
      <c r="BA367" s="40">
        <f>DataInput!BA770</f>
        <v>3.45</v>
      </c>
      <c r="BB367" s="40">
        <f>DataInput!BB770</f>
        <v>1.61</v>
      </c>
      <c r="BC367" s="40">
        <f>DataInput!BC770</f>
        <v>1.61</v>
      </c>
      <c r="BD367" s="40">
        <f>DataInput!BD770</f>
        <v>2.5</v>
      </c>
      <c r="BE367" s="40">
        <f>DataInput!BE770</f>
        <v>3.75</v>
      </c>
      <c r="BF367" s="40">
        <f>DataInput!BF770</f>
        <v>3.75</v>
      </c>
      <c r="BG367" s="32">
        <f t="shared" si="1344"/>
        <v>3.75</v>
      </c>
      <c r="BH367" s="32">
        <f t="shared" si="1344"/>
        <v>3.75</v>
      </c>
      <c r="BI367" s="32">
        <f t="shared" si="1344"/>
        <v>3.75</v>
      </c>
      <c r="BJ367" s="32">
        <f t="shared" si="1345"/>
        <v>3.75</v>
      </c>
      <c r="BK367" s="32">
        <f t="shared" si="1345"/>
        <v>3.75</v>
      </c>
      <c r="BL367" s="32">
        <f t="shared" si="1345"/>
        <v>3.75</v>
      </c>
      <c r="BM367" s="32">
        <f t="shared" si="1345"/>
        <v>3.75</v>
      </c>
      <c r="BN367" s="32">
        <f t="shared" si="1345"/>
        <v>3.75</v>
      </c>
      <c r="BO367" s="32">
        <f t="shared" si="1345"/>
        <v>3.75</v>
      </c>
      <c r="BP367" s="32">
        <f t="shared" si="1345"/>
        <v>3.75</v>
      </c>
      <c r="BQ367" s="32">
        <f t="shared" si="1346"/>
        <v>3.75</v>
      </c>
      <c r="BR367" s="32">
        <f t="shared" si="1346"/>
        <v>3.75</v>
      </c>
      <c r="BS367" s="32">
        <f t="shared" si="1346"/>
        <v>3.75</v>
      </c>
      <c r="BT367" s="32">
        <f t="shared" si="1346"/>
        <v>3.75</v>
      </c>
      <c r="BU367" s="32">
        <f t="shared" si="1346"/>
        <v>3.75</v>
      </c>
      <c r="BV367" s="32">
        <f t="shared" ref="BV367:BX367" si="1354">BU367</f>
        <v>3.75</v>
      </c>
      <c r="BW367" s="32">
        <f t="shared" si="1354"/>
        <v>3.75</v>
      </c>
      <c r="BX367" s="32">
        <f t="shared" si="1354"/>
        <v>3.75</v>
      </c>
      <c r="BY367" s="32">
        <f t="shared" si="1348"/>
        <v>3.75</v>
      </c>
      <c r="BZ367" s="32">
        <f t="shared" si="1349"/>
        <v>3.75</v>
      </c>
      <c r="CA367" s="32">
        <f t="shared" si="1350"/>
        <v>3.75</v>
      </c>
      <c r="CB367" s="32">
        <f t="shared" si="1351"/>
        <v>3.75</v>
      </c>
      <c r="CC367" s="32">
        <f t="shared" si="1352"/>
        <v>3.75</v>
      </c>
      <c r="CD367" s="32">
        <f t="shared" si="1353"/>
        <v>3.75</v>
      </c>
      <c r="CE367" s="32"/>
      <c r="CF367" s="435"/>
      <c r="CG367" s="235">
        <f t="shared" si="1341"/>
        <v>0</v>
      </c>
      <c r="CH367" s="235">
        <f t="shared" si="1341"/>
        <v>0</v>
      </c>
      <c r="CI367" s="235" t="e">
        <f>BM367-#REF!</f>
        <v>#REF!</v>
      </c>
      <c r="CJ367" s="235">
        <f t="shared" si="1342"/>
        <v>0</v>
      </c>
      <c r="CK367" s="235">
        <f t="shared" si="1342"/>
        <v>0</v>
      </c>
      <c r="CL367" s="235">
        <f t="shared" si="1342"/>
        <v>0</v>
      </c>
      <c r="CM367" s="235">
        <f t="shared" si="1342"/>
        <v>0</v>
      </c>
      <c r="CN367" s="235">
        <f t="shared" si="1342"/>
        <v>0</v>
      </c>
      <c r="CO367" s="235">
        <f t="shared" si="1342"/>
        <v>0</v>
      </c>
      <c r="CP367" s="235">
        <f t="shared" si="1342"/>
        <v>0</v>
      </c>
      <c r="CQ367" s="235">
        <f t="shared" si="1342"/>
        <v>0</v>
      </c>
      <c r="CR367" s="235">
        <f t="shared" si="1342"/>
        <v>0</v>
      </c>
      <c r="CS367" s="235">
        <f t="shared" si="1342"/>
        <v>0</v>
      </c>
      <c r="CT367" s="235">
        <f t="shared" si="1343"/>
        <v>0</v>
      </c>
      <c r="CU367" s="235">
        <f t="shared" si="1343"/>
        <v>0</v>
      </c>
      <c r="CV367" s="235">
        <f t="shared" si="1343"/>
        <v>0</v>
      </c>
      <c r="CW367" s="235">
        <f t="shared" si="1343"/>
        <v>0</v>
      </c>
      <c r="CX367" s="235">
        <f t="shared" si="1343"/>
        <v>0</v>
      </c>
      <c r="CY367" s="235">
        <f t="shared" si="1343"/>
        <v>0</v>
      </c>
      <c r="CZ367" s="235">
        <f t="shared" si="1343"/>
        <v>0</v>
      </c>
      <c r="DA367" s="38"/>
      <c r="DB367" s="236">
        <v>2.75</v>
      </c>
      <c r="DC367" s="236">
        <v>3.75</v>
      </c>
      <c r="DD367" s="236">
        <v>3.75</v>
      </c>
      <c r="DE367" s="236">
        <v>3.75</v>
      </c>
      <c r="DF367" s="259">
        <v>3.75</v>
      </c>
      <c r="DG367" s="236">
        <v>3.75</v>
      </c>
      <c r="DH367" s="492">
        <v>3.75</v>
      </c>
      <c r="DI367" s="236">
        <v>3.75</v>
      </c>
      <c r="DJ367" s="236">
        <v>3.75</v>
      </c>
      <c r="DK367" s="236">
        <v>3.75</v>
      </c>
      <c r="DL367" s="236">
        <v>3.75</v>
      </c>
      <c r="DM367" s="236">
        <v>3.75</v>
      </c>
      <c r="DN367" s="236">
        <v>3.75</v>
      </c>
      <c r="DO367" s="236">
        <v>3.75</v>
      </c>
      <c r="DP367" s="236">
        <v>3.75</v>
      </c>
      <c r="DQ367" s="259">
        <v>3.75</v>
      </c>
      <c r="DR367" s="259">
        <v>3.75</v>
      </c>
      <c r="DS367" s="259">
        <v>3.75</v>
      </c>
      <c r="DT367" s="259">
        <v>3.75</v>
      </c>
      <c r="DU367" s="259">
        <v>3.75</v>
      </c>
      <c r="DV367" s="259">
        <v>3.75</v>
      </c>
      <c r="DW367" s="259">
        <v>3.75</v>
      </c>
      <c r="DX367" s="259">
        <v>3.75</v>
      </c>
      <c r="DY367" s="259">
        <v>3.75</v>
      </c>
      <c r="DZ367" s="259"/>
      <c r="EA367" s="508"/>
    </row>
    <row r="368" spans="1:131" s="83" customFormat="1">
      <c r="B368" s="120"/>
      <c r="C368" s="121"/>
      <c r="D368" s="207"/>
      <c r="E368" s="207"/>
      <c r="F368" s="207"/>
      <c r="G368" s="207"/>
      <c r="H368" s="207"/>
      <c r="I368" s="207"/>
      <c r="J368" s="207"/>
      <c r="K368" s="207"/>
      <c r="L368" s="207"/>
      <c r="M368" s="207"/>
      <c r="N368" s="207"/>
      <c r="O368" s="207"/>
      <c r="P368" s="207"/>
      <c r="Q368" s="207"/>
      <c r="R368" s="207"/>
      <c r="S368" s="207"/>
      <c r="T368" s="207"/>
      <c r="U368" s="207"/>
      <c r="V368" s="207"/>
      <c r="W368" s="207"/>
      <c r="X368" s="207"/>
      <c r="Y368" s="207"/>
      <c r="Z368" s="207"/>
      <c r="AA368" s="207"/>
      <c r="AB368" s="207"/>
      <c r="AC368" s="207"/>
      <c r="AD368" s="207"/>
      <c r="AE368" s="207"/>
      <c r="AF368" s="207"/>
      <c r="AG368" s="207"/>
      <c r="AH368" s="207"/>
      <c r="AI368" s="207"/>
      <c r="AJ368" s="207"/>
      <c r="AK368" s="207"/>
      <c r="AL368" s="207"/>
      <c r="AM368" s="207"/>
      <c r="AN368" s="207"/>
      <c r="AO368" s="207"/>
      <c r="AP368" s="207"/>
      <c r="AQ368" s="207"/>
      <c r="AR368" s="207"/>
      <c r="AS368" s="207"/>
      <c r="AT368" s="207"/>
      <c r="AU368" s="121"/>
      <c r="AV368" s="121"/>
      <c r="AW368" s="121"/>
      <c r="AX368" s="121"/>
      <c r="AY368" s="121"/>
      <c r="AZ368" s="121"/>
      <c r="BA368" s="121"/>
      <c r="BB368" s="121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1"/>
      <c r="BN368" s="121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1"/>
      <c r="BZ368" s="121"/>
      <c r="CA368" s="121"/>
      <c r="CB368" s="121"/>
      <c r="CC368" s="121"/>
      <c r="CD368" s="121"/>
      <c r="CE368" s="121"/>
      <c r="CF368" s="435"/>
      <c r="CG368" s="235"/>
      <c r="CH368" s="235"/>
      <c r="CI368" s="235"/>
      <c r="CJ368" s="235"/>
      <c r="CK368" s="235"/>
      <c r="CL368" s="235"/>
      <c r="CM368" s="235"/>
      <c r="CN368" s="235"/>
      <c r="CO368" s="235"/>
      <c r="CP368" s="235"/>
      <c r="CQ368" s="235"/>
      <c r="CR368" s="235"/>
      <c r="CS368" s="235"/>
      <c r="CT368" s="235"/>
      <c r="CU368" s="235"/>
      <c r="CV368" s="235"/>
      <c r="CW368" s="235"/>
      <c r="CX368" s="235"/>
      <c r="CY368" s="235"/>
      <c r="CZ368" s="235"/>
      <c r="DA368" s="38"/>
      <c r="DB368" s="236"/>
      <c r="DC368" s="236"/>
      <c r="DD368" s="236"/>
      <c r="DE368" s="236"/>
      <c r="DF368" s="404"/>
      <c r="DG368" s="236"/>
      <c r="DH368" s="492"/>
      <c r="DI368" s="236"/>
      <c r="DJ368" s="236"/>
      <c r="DK368" s="236"/>
      <c r="DL368" s="236"/>
      <c r="DM368" s="236"/>
      <c r="DN368" s="236"/>
      <c r="DO368" s="236"/>
      <c r="DP368" s="236"/>
      <c r="DQ368" s="404"/>
      <c r="DR368" s="404"/>
      <c r="DS368" s="404"/>
      <c r="DT368" s="404"/>
      <c r="DU368" s="404"/>
      <c r="DV368" s="404"/>
      <c r="DW368" s="404"/>
      <c r="DX368" s="404"/>
      <c r="DY368" s="404"/>
      <c r="DZ368" s="404"/>
      <c r="EA368" s="994"/>
    </row>
    <row r="369" spans="1:131" s="66" customFormat="1">
      <c r="B369" s="70" t="s">
        <v>2602</v>
      </c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5"/>
      <c r="Q369" s="205"/>
      <c r="R369" s="304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5"/>
      <c r="AD369" s="205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70"/>
      <c r="AV369" s="71"/>
      <c r="AW369" s="71"/>
      <c r="AX369" s="71"/>
      <c r="AY369" s="71"/>
      <c r="AZ369" s="71"/>
      <c r="BA369" s="72"/>
      <c r="BB369" s="72"/>
      <c r="BC369" s="72"/>
      <c r="BD369" s="72"/>
      <c r="BE369" s="72"/>
      <c r="BF369" s="72"/>
      <c r="BG369" s="72"/>
      <c r="BH369" s="1082">
        <f>+BH374/100*BH377</f>
        <v>0</v>
      </c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/>
      <c r="CD369" s="72"/>
      <c r="CE369" s="72"/>
      <c r="CF369" s="435"/>
      <c r="CG369" s="235"/>
      <c r="CH369" s="235"/>
      <c r="CI369" s="235"/>
      <c r="CJ369" s="235"/>
      <c r="CK369" s="235"/>
      <c r="CL369" s="235"/>
      <c r="CM369" s="235"/>
      <c r="CN369" s="235"/>
      <c r="CO369" s="235"/>
      <c r="CP369" s="235"/>
      <c r="CQ369" s="235"/>
      <c r="CR369" s="235"/>
      <c r="CS369" s="235"/>
      <c r="CT369" s="235"/>
      <c r="CU369" s="235"/>
      <c r="CV369" s="235"/>
      <c r="CW369" s="235"/>
      <c r="CX369" s="235"/>
      <c r="CY369" s="235"/>
      <c r="CZ369" s="235"/>
      <c r="DA369" s="38"/>
      <c r="DB369" s="236"/>
      <c r="DC369" s="236"/>
      <c r="DD369" s="236"/>
      <c r="DE369" s="236"/>
      <c r="DF369" s="258"/>
      <c r="DG369" s="236"/>
      <c r="DH369" s="492"/>
      <c r="DI369" s="236"/>
      <c r="DJ369" s="236"/>
      <c r="DK369" s="236"/>
      <c r="DL369" s="236"/>
      <c r="DM369" s="236"/>
      <c r="DN369" s="236"/>
      <c r="DO369" s="236"/>
      <c r="DP369" s="236"/>
      <c r="DQ369" s="1084"/>
      <c r="DR369" s="1084"/>
      <c r="DS369" s="1084"/>
      <c r="DT369" s="1084"/>
      <c r="DU369" s="1084"/>
      <c r="DV369" s="1084"/>
      <c r="DW369" s="1084"/>
      <c r="DX369" s="1084"/>
      <c r="DY369" s="1084"/>
      <c r="DZ369" s="1084"/>
      <c r="EA369" s="988"/>
    </row>
    <row r="370" spans="1:131" s="76" customFormat="1">
      <c r="A370" s="76" t="s">
        <v>4423</v>
      </c>
      <c r="B370" s="80" t="s">
        <v>3533</v>
      </c>
      <c r="C370" s="51" t="s">
        <v>444</v>
      </c>
      <c r="D370" s="207"/>
      <c r="E370" s="207"/>
      <c r="F370" s="295">
        <f>mamiabc!F91*Model!$AV370/mamiabc!$AV91</f>
        <v>55.536445642935185</v>
      </c>
      <c r="G370" s="295">
        <f>mamiabc!G91*Model!$AV370/mamiabc!$AV91</f>
        <v>57.379979108260827</v>
      </c>
      <c r="H370" s="295">
        <f>mamiabc!H91*Model!$AV370/mamiabc!$AV91</f>
        <v>74.594532981121901</v>
      </c>
      <c r="I370" s="295">
        <f>mamiabc!I91*Model!$AV370/mamiabc!$AV91</f>
        <v>77.876690146721586</v>
      </c>
      <c r="J370" s="295">
        <f>mamiabc!J91*Model!$AV370/mamiabc!$AV91</f>
        <v>82.237776848188062</v>
      </c>
      <c r="K370" s="295">
        <f>mamiabc!K91*Model!$AV370/mamiabc!$AV91</f>
        <v>87.031240587778171</v>
      </c>
      <c r="L370" s="295">
        <f>mamiabc!L91*Model!$AV370/mamiabc!$AV91</f>
        <v>92.274082487594384</v>
      </c>
      <c r="M370" s="295">
        <f>mamiabc!M91*Model!$AV370/mamiabc!$AV91</f>
        <v>93.285209720060848</v>
      </c>
      <c r="N370" s="295">
        <f>mamiabc!N91*Model!$AV370/mamiabc!$AV91</f>
        <v>93.99674272172399</v>
      </c>
      <c r="O370" s="295">
        <f>mamiabc!O91*Model!$AV370/mamiabc!$AV91</f>
        <v>94.595913602025462</v>
      </c>
      <c r="P370" s="295">
        <f>mamiabc!P91*Model!$AV370/mamiabc!$AV91</f>
        <v>95.213078948171642</v>
      </c>
      <c r="Q370" s="295">
        <f>mamiabc!Q91*Model!$AV370/mamiabc!$AV91</f>
        <v>96.417433515143784</v>
      </c>
      <c r="R370" s="295">
        <f>mamiabc!R91*Model!$AV370/mamiabc!$AV91</f>
        <v>96.872806900433929</v>
      </c>
      <c r="S370" s="295">
        <f>mamiabc!S91*Model!$AV370/mamiabc!$AV91</f>
        <v>97.477964215146855</v>
      </c>
      <c r="T370" s="295">
        <f>mamiabc!T91*Model!$AV370/mamiabc!$AV91</f>
        <v>98.68232757277157</v>
      </c>
      <c r="U370" s="295">
        <f>mamiabc!U91*Model!$AV370/mamiabc!$AV91</f>
        <v>99.062804598024044</v>
      </c>
      <c r="V370" s="295">
        <f>mamiabc!V91*Model!$AV370/mamiabc!$AV91</f>
        <v>101.24082942679122</v>
      </c>
      <c r="W370" s="295">
        <f>mamiabc!W91*Model!$AV370/mamiabc!$AV91</f>
        <v>95.779276090620826</v>
      </c>
      <c r="X370" s="295">
        <f>mamiabc!X91*Model!$AV370/mamiabc!$AV91</f>
        <v>94.76666323786722</v>
      </c>
      <c r="Y370" s="295">
        <f>mamiabc!Y91*Model!$AV370/mamiabc!$AV91</f>
        <v>92.049367035523574</v>
      </c>
      <c r="Z370" s="295">
        <f>mamiabc!Z91*Model!$AV370/mamiabc!$AV91</f>
        <v>90.851007693615472</v>
      </c>
      <c r="AA370" s="295">
        <f>mamiabc!AA91*Model!$AV370/mamiabc!$AV91</f>
        <v>96.168754744121955</v>
      </c>
      <c r="AB370" s="295">
        <f>mamiabc!AB91*Model!$AV370/mamiabc!$AV91</f>
        <v>94.071612709803915</v>
      </c>
      <c r="AC370" s="295">
        <f>mamiabc!AC91*Model!$AV370/mamiabc!$AV91</f>
        <v>95.419764771787371</v>
      </c>
      <c r="AD370" s="295">
        <f>mamiabc!AD91*Model!$AV370/mamiabc!$AV91</f>
        <v>95.719350211938107</v>
      </c>
      <c r="AE370" s="295">
        <f>mamiabc!AE91*Model!$AV370/mamiabc!$AV91</f>
        <v>93.622208177620067</v>
      </c>
      <c r="AF370" s="295">
        <f>mamiabc!AF91*Model!$AV370/mamiabc!$AV91</f>
        <v>94.595887230067689</v>
      </c>
      <c r="AG370" s="295">
        <f>mamiabc!AG91*Model!$AV370/mamiabc!$AV91</f>
        <v>94.296301789916967</v>
      </c>
      <c r="AH370" s="295">
        <f>mamiabc!AH91*Model!$AV370/mamiabc!$AV91</f>
        <v>94.191438095211623</v>
      </c>
      <c r="AI370" s="295">
        <f>mamiabc!AI91*Model!$AV370/mamiabc!$AV91</f>
        <v>92.124263395561258</v>
      </c>
      <c r="AJ370" s="295">
        <f>mamiabc!AJ91*Model!$AV370/mamiabc!$AV91</f>
        <v>88.634022692584566</v>
      </c>
      <c r="AK370" s="295">
        <f>mamiabc!AK91*Model!$AV370/mamiabc!$AV91</f>
        <v>85.411923265456409</v>
      </c>
      <c r="AL370" s="295">
        <f>mamiabc!AL91*Model!$AV370/mamiabc!$AV91</f>
        <v>79.915928152451798</v>
      </c>
      <c r="AM370" s="295">
        <f>mamiabc!AM91*Model!$AV370/mamiabc!$AV91</f>
        <v>75.083249311672944</v>
      </c>
      <c r="AN370" s="295">
        <f>mamiabc!AN91*Model!$AV370/mamiabc!$AV91</f>
        <v>70.142599280499397</v>
      </c>
      <c r="AO370" s="295">
        <f>mamiabc!AO91*Model!$AV370/mamiabc!$AV91</f>
        <v>64.314044989491777</v>
      </c>
      <c r="AP370" s="295">
        <f>mamiabc!AP91*Model!$AV370/mamiabc!$AV91</f>
        <v>61.297488601143094</v>
      </c>
      <c r="AQ370" s="295">
        <f>mamiabc!AQ91*Model!$AV370/mamiabc!$AV91</f>
        <v>62.294652160313838</v>
      </c>
      <c r="AR370" s="295">
        <f>mamiabc!AR91*Model!$AV370/mamiabc!$AV91</f>
        <v>62.906851771708226</v>
      </c>
      <c r="AS370" s="295">
        <f>mamiabc!AS91*Model!$AV370/mamiabc!$AV91</f>
        <v>59.674758626835718</v>
      </c>
      <c r="AT370" s="295">
        <f>mamiabc!AT91*Model!$AV370/mamiabc!$AV91</f>
        <v>54.523192464578216</v>
      </c>
      <c r="AU370" s="295">
        <f>mamiabc!AU91*Model!$AV370/mamiabc!$AV91</f>
        <v>50.836627992469694</v>
      </c>
      <c r="AV370" s="1060">
        <f>DataInput!AV7/1000</f>
        <v>52.677513742556123</v>
      </c>
      <c r="AW370" s="1060">
        <f>DataInput!AW7/1000</f>
        <v>52.101464441136059</v>
      </c>
      <c r="AX370" s="1060">
        <f>DataInput!AX7/1000</f>
        <v>52.05368226065049</v>
      </c>
      <c r="AY370" s="1060">
        <f>DataInput!AY7/1000</f>
        <v>50.149551019239581</v>
      </c>
      <c r="AZ370" s="1060">
        <f>DataInput!AZ7/1000</f>
        <v>50.808303825011457</v>
      </c>
      <c r="BA370" s="1060">
        <f>DataInput!BA7/1000</f>
        <v>49.500999999999998</v>
      </c>
      <c r="BB370" s="1060">
        <f>DataInput!BB7</f>
        <v>49.113999999999997</v>
      </c>
      <c r="BC370" s="1060">
        <f>DataInput!BC7</f>
        <v>51.832000000000001</v>
      </c>
      <c r="BD370" s="1060">
        <f>DataInput!BD7</f>
        <v>55.411000000000001</v>
      </c>
      <c r="BE370" s="1060">
        <f>DataInput!BE7</f>
        <v>79.652000000000015</v>
      </c>
      <c r="BF370" s="1060">
        <f>DataInput!BF7</f>
        <v>80.521999999999991</v>
      </c>
      <c r="BG370" s="1060">
        <f>DataInput!BG7</f>
        <v>84.941000000000003</v>
      </c>
      <c r="BH370" s="1060">
        <f>DataInput!BH7</f>
        <v>88.542000000000002</v>
      </c>
      <c r="BI370" s="1060">
        <f>DataInput!BI7</f>
        <v>88.412999999999997</v>
      </c>
      <c r="BJ370" s="1060">
        <f>DataInput!BJ7</f>
        <v>91.263999999999996</v>
      </c>
      <c r="BK370" s="1060">
        <f>DataInput!BK7</f>
        <v>94.003684033334153</v>
      </c>
      <c r="BL370" s="1060">
        <f>DataInput!BL7</f>
        <v>96.762506714418421</v>
      </c>
      <c r="BM370" s="1060">
        <f>DataInput!BM7</f>
        <v>98.422891778866088</v>
      </c>
      <c r="BN370" s="1060">
        <f>DataInput!BN7</f>
        <v>99.617462666365299</v>
      </c>
      <c r="BO370" s="114">
        <f t="shared" ref="BO370:BU370" ca="1" si="1355">((BN370-BN166)*(1+0.5*BN320/100+0.5*BO320/100)+BO166)/(BO382/BN382)</f>
        <v>95.910920843233754</v>
      </c>
      <c r="BP370" s="114">
        <f t="shared" ca="1" si="1355"/>
        <v>89.539183281946663</v>
      </c>
      <c r="BQ370" s="114">
        <f t="shared" ca="1" si="1355"/>
        <v>91.368582583407445</v>
      </c>
      <c r="BR370" s="114">
        <f t="shared" ca="1" si="1355"/>
        <v>97.200887674760722</v>
      </c>
      <c r="BS370" s="114">
        <f t="shared" ca="1" si="1355"/>
        <v>98.085081535950266</v>
      </c>
      <c r="BT370" s="114">
        <f t="shared" ca="1" si="1355"/>
        <v>96.868933545732233</v>
      </c>
      <c r="BU370" s="114">
        <f t="shared" ca="1" si="1355"/>
        <v>96.114700737672635</v>
      </c>
      <c r="BV370" s="114">
        <f t="shared" ref="BV370:BX370" ca="1" si="1356">((BU370-BU166)*(1+0.5*BU320/100+0.5*BV320/100)+BV166)/(BV382/BU382)</f>
        <v>95.90966448419924</v>
      </c>
      <c r="BW370" s="114">
        <f t="shared" ca="1" si="1356"/>
        <v>95.737111233504336</v>
      </c>
      <c r="BX370" s="114">
        <f t="shared" ca="1" si="1356"/>
        <v>95.560302852071004</v>
      </c>
      <c r="BY370" s="114">
        <f t="shared" ref="BY370" ca="1" si="1357">((BX370-BX166)*(1+0.5*BX320/100+0.5*BY320/100)+BY166)/(BY382/BX382)</f>
        <v>95.40112941411337</v>
      </c>
      <c r="BZ370" s="114">
        <f t="shared" ref="BZ370" ca="1" si="1358">((BY370-BY166)*(1+0.5*BY320/100+0.5*BZ320/100)+BZ166)/(BZ382/BY382)</f>
        <v>95.352225076630475</v>
      </c>
      <c r="CA370" s="114">
        <f t="shared" ref="CA370" ca="1" si="1359">((BZ370-BZ166)*(1+0.5*BZ320/100+0.5*CA320/100)+CA166)/(CA382/BZ382)</f>
        <v>95.468808020425399</v>
      </c>
      <c r="CB370" s="114">
        <f t="shared" ref="CB370" ca="1" si="1360">((CA370-CA166)*(1+0.5*CA320/100+0.5*CB320/100)+CB166)/(CB382/CA382)</f>
        <v>95.667370305380757</v>
      </c>
      <c r="CC370" s="114">
        <f t="shared" ref="CC370" ca="1" si="1361">((CB370-CB166)*(1+0.5*CB320/100+0.5*CC320/100)+CC166)/(CC382/CB382)</f>
        <v>95.907531316467953</v>
      </c>
      <c r="CD370" s="114">
        <f t="shared" ref="CD370" ca="1" si="1362">((CC370-CC166)*(1+0.5*CC320/100+0.5*CD320/100)+CD166)/(CD382/CC382)</f>
        <v>96.204080499334509</v>
      </c>
      <c r="CE370" s="114"/>
      <c r="CF370" s="435"/>
      <c r="CG370" s="235">
        <f t="shared" ref="CG370:CG383" si="1363">BK370-DG370</f>
        <v>27.41075847285812</v>
      </c>
      <c r="CH370" s="235">
        <f t="shared" ref="CH370:CH383" si="1364">BL370-DH370</f>
        <v>0</v>
      </c>
      <c r="CI370" s="235" t="e">
        <f>BM370-#REF!</f>
        <v>#REF!</v>
      </c>
      <c r="CJ370" s="276">
        <f t="shared" ref="CJ370:CJ383" si="1365">BN370-DI370</f>
        <v>0</v>
      </c>
      <c r="CK370" s="276">
        <f t="shared" ref="CK370:CK383" ca="1" si="1366">BO370-DJ370</f>
        <v>0</v>
      </c>
      <c r="CL370" s="235">
        <f t="shared" ref="CL370:CL383" ca="1" si="1367">BP370-DK370</f>
        <v>0</v>
      </c>
      <c r="CM370" s="235">
        <f t="shared" ref="CM370:CM383" ca="1" si="1368">BQ370-DL370</f>
        <v>0</v>
      </c>
      <c r="CN370" s="235">
        <f t="shared" ref="CN370:CN383" ca="1" si="1369">BR370-DM370</f>
        <v>0</v>
      </c>
      <c r="CO370" s="235">
        <f t="shared" ref="CO370:CO383" ca="1" si="1370">BS370-DN370</f>
        <v>0</v>
      </c>
      <c r="CP370" s="235">
        <f t="shared" ref="CP370:CP383" ca="1" si="1371">BT370-DO370</f>
        <v>0</v>
      </c>
      <c r="CQ370" s="235">
        <f t="shared" ref="CQ370:CQ383" ca="1" si="1372">BU370-DP370</f>
        <v>0</v>
      </c>
      <c r="CR370" s="235">
        <f t="shared" ref="CR370:CR383" ca="1" si="1373">BV370-DQ370</f>
        <v>0</v>
      </c>
      <c r="CS370" s="235">
        <f t="shared" ref="CS370:CS383" ca="1" si="1374">BW370-DR370</f>
        <v>1.4210854715202004E-13</v>
      </c>
      <c r="CT370" s="235">
        <f t="shared" ref="CT370:CT383" ca="1" si="1375">BX370-DS370</f>
        <v>2.2737367544323206E-13</v>
      </c>
      <c r="CU370" s="235">
        <f t="shared" ref="CU370:CU383" ca="1" si="1376">BY370-DT370</f>
        <v>3.694822225952521E-13</v>
      </c>
      <c r="CV370" s="235">
        <f t="shared" ref="CV370:CV383" ca="1" si="1377">BZ370-DU370</f>
        <v>4.5474735088646412E-13</v>
      </c>
      <c r="CW370" s="235">
        <f t="shared" ref="CW370:CW383" ca="1" si="1378">CA370-DV370</f>
        <v>5.4001247917767614E-13</v>
      </c>
      <c r="CX370" s="235">
        <f t="shared" ref="CX370:CX383" ca="1" si="1379">CB370-DW370</f>
        <v>4.6895820560166612E-13</v>
      </c>
      <c r="CY370" s="235">
        <f t="shared" ref="CY370:CY383" ca="1" si="1380">CC370-DX370</f>
        <v>-1.1652900866465643E-12</v>
      </c>
      <c r="CZ370" s="235">
        <f t="shared" ref="CZ370:CZ383" ca="1" si="1381">CD370-DY370</f>
        <v>-1.467981292080367E-11</v>
      </c>
      <c r="DA370" s="38"/>
      <c r="DB370" s="236">
        <v>58.246000000000002</v>
      </c>
      <c r="DC370" s="236">
        <v>59.246000000000002</v>
      </c>
      <c r="DD370" s="236">
        <v>59.220999999999997</v>
      </c>
      <c r="DE370" s="236">
        <v>59.571999999999996</v>
      </c>
      <c r="DF370" s="403">
        <v>61.765112883373575</v>
      </c>
      <c r="DG370" s="236">
        <v>66.592925560476033</v>
      </c>
      <c r="DH370" s="492">
        <v>96.762506714418421</v>
      </c>
      <c r="DI370" s="259">
        <v>99.617462666365299</v>
      </c>
      <c r="DJ370" s="259">
        <v>95.910920843233754</v>
      </c>
      <c r="DK370" s="236">
        <v>89.539183281946649</v>
      </c>
      <c r="DL370" s="236">
        <v>91.368582583407445</v>
      </c>
      <c r="DM370" s="236">
        <v>97.200887674760736</v>
      </c>
      <c r="DN370" s="236">
        <v>98.085081535950323</v>
      </c>
      <c r="DO370" s="236">
        <v>96.868933545732318</v>
      </c>
      <c r="DP370" s="236">
        <v>96.114700737672663</v>
      </c>
      <c r="DQ370" s="401">
        <v>95.909664484199183</v>
      </c>
      <c r="DR370" s="401">
        <v>95.737111233504194</v>
      </c>
      <c r="DS370" s="401">
        <v>95.560302852070777</v>
      </c>
      <c r="DT370" s="401">
        <v>95.401129414113001</v>
      </c>
      <c r="DU370" s="401">
        <v>95.35222507663002</v>
      </c>
      <c r="DV370" s="401">
        <v>95.468808020424859</v>
      </c>
      <c r="DW370" s="401">
        <v>95.667370305380288</v>
      </c>
      <c r="DX370" s="401">
        <v>95.907531316469118</v>
      </c>
      <c r="DY370" s="401">
        <v>96.204080499349189</v>
      </c>
      <c r="DZ370" s="401"/>
      <c r="EA370" s="989"/>
    </row>
    <row r="371" spans="1:131" s="76" customFormat="1">
      <c r="A371" s="76" t="s">
        <v>4425</v>
      </c>
      <c r="B371" s="80" t="s">
        <v>1050</v>
      </c>
      <c r="C371" s="51" t="s">
        <v>445</v>
      </c>
      <c r="D371" s="207"/>
      <c r="E371" s="207"/>
      <c r="F371" s="295">
        <f>mamiabc!F92*Model!$AV371/mamiabc!$AV92</f>
        <v>6.1336608924291411</v>
      </c>
      <c r="G371" s="295">
        <f>mamiabc!G92*Model!$AV371/mamiabc!$AV92</f>
        <v>7.0630034518881022</v>
      </c>
      <c r="H371" s="295">
        <f>mamiabc!H92*Model!$AV371/mamiabc!$AV92</f>
        <v>7.7600107259983755</v>
      </c>
      <c r="I371" s="295">
        <f>mamiabc!I92*Model!$AV371/mamiabc!$AV92</f>
        <v>8.8287543148601273</v>
      </c>
      <c r="J371" s="295">
        <f>mamiabc!J92*Model!$AV371/mamiabc!$AV92</f>
        <v>8.8807972712995564</v>
      </c>
      <c r="K371" s="295">
        <f>mamiabc!K92*Model!$AV371/mamiabc!$AV92</f>
        <v>9.746015853555706</v>
      </c>
      <c r="L371" s="295">
        <f>mamiabc!L92*Model!$AV371/mamiabc!$AV92</f>
        <v>10.497853112048515</v>
      </c>
      <c r="M371" s="295">
        <f>mamiabc!M92*Model!$AV371/mamiabc!$AV92</f>
        <v>11.117725315330068</v>
      </c>
      <c r="N371" s="295">
        <f>mamiabc!N92*Model!$AV371/mamiabc!$AV92</f>
        <v>12.059148895552413</v>
      </c>
      <c r="O371" s="295">
        <f>mamiabc!O92*Model!$AV371/mamiabc!$AV92</f>
        <v>12.984774354205738</v>
      </c>
      <c r="P371" s="295">
        <f>mamiabc!P92*Model!$AV371/mamiabc!$AV92</f>
        <v>13.733824230239387</v>
      </c>
      <c r="Q371" s="295">
        <f>mamiabc!Q92*Model!$AV371/mamiabc!$AV92</f>
        <v>14.432689700236425</v>
      </c>
      <c r="R371" s="295">
        <f>mamiabc!R92*Model!$AV371/mamiabc!$AV92</f>
        <v>15.086946415405308</v>
      </c>
      <c r="S371" s="295">
        <f>mamiabc!S92*Model!$AV371/mamiabc!$AV92</f>
        <v>16.780209026700721</v>
      </c>
      <c r="T371" s="295">
        <f>mamiabc!T92*Model!$AV371/mamiabc!$AV92</f>
        <v>17.192837349990775</v>
      </c>
      <c r="U371" s="295">
        <f>mamiabc!U92*Model!$AV371/mamiabc!$AV92</f>
        <v>19.237391689832592</v>
      </c>
      <c r="V371" s="295">
        <f>mamiabc!V92*Model!$AV371/mamiabc!$AV92</f>
        <v>22.397156037477007</v>
      </c>
      <c r="W371" s="295">
        <f>mamiabc!W92*Model!$AV371/mamiabc!$AV92</f>
        <v>22.490090647938956</v>
      </c>
      <c r="X371" s="295">
        <f>mamiabc!X92*Model!$AV371/mamiabc!$AV92</f>
        <v>22.025419368209477</v>
      </c>
      <c r="Y371" s="295">
        <f>mamiabc!Y92*Model!$AV371/mamiabc!$AV92</f>
        <v>23.605300655741551</v>
      </c>
      <c r="Z371" s="295">
        <f>mamiabc!Z92*Model!$AV371/mamiabc!$AV92</f>
        <v>26.393328334118433</v>
      </c>
      <c r="AA371" s="295">
        <f>mamiabc!AA92*Model!$AV371/mamiabc!$AV92</f>
        <v>27.322670893577399</v>
      </c>
      <c r="AB371" s="295">
        <f>mamiabc!AB92*Model!$AV371/mamiabc!$AV92</f>
        <v>30.389502403340121</v>
      </c>
      <c r="AC371" s="295">
        <f>mamiabc!AC92*Model!$AV371/mamiabc!$AV92</f>
        <v>33.3633993026409</v>
      </c>
      <c r="AD371" s="295">
        <f>mamiabc!AD92*Model!$AV371/mamiabc!$AV92</f>
        <v>36.244359818899468</v>
      </c>
      <c r="AE371" s="295">
        <f>mamiabc!AE92*Model!$AV371/mamiabc!$AV92</f>
        <v>36.801963936510646</v>
      </c>
      <c r="AF371" s="295">
        <f>mamiabc!AF92*Model!$AV371/mamiabc!$AV92</f>
        <v>32.712858801987522</v>
      </c>
      <c r="AG371" s="295">
        <f>mamiabc!AG92*Model!$AV371/mamiabc!$AV92</f>
        <v>32.898728022911421</v>
      </c>
      <c r="AH371" s="295">
        <f>mamiabc!AH92*Model!$AV371/mamiabc!$AV92</f>
        <v>32.805791639869213</v>
      </c>
      <c r="AI371" s="295">
        <f>mamiabc!AI92*Model!$AV371/mamiabc!$AV92</f>
        <v>34.38567469998155</v>
      </c>
      <c r="AJ371" s="295">
        <f>mamiabc!AJ92*Model!$AV371/mamiabc!$AV92</f>
        <v>34.38567469998155</v>
      </c>
      <c r="AK371" s="295">
        <f>mamiabc!AK92*Model!$AV371/mamiabc!$AV92</f>
        <v>35.315017259440509</v>
      </c>
      <c r="AL371" s="295">
        <f>mamiabc!AL92*Model!$AV371/mamiabc!$AV92</f>
        <v>35.779688539169989</v>
      </c>
      <c r="AM371" s="295">
        <f>mamiabc!AM92*Model!$AV371/mamiabc!$AV92</f>
        <v>38.416426492338928</v>
      </c>
      <c r="AN371" s="295">
        <f>mamiabc!AN92*Model!$AV371/mamiabc!$AV92</f>
        <v>40.847846473969078</v>
      </c>
      <c r="AO371" s="295">
        <f>mamiabc!AO92*Model!$AV371/mamiabc!$AV92</f>
        <v>41.334132597391417</v>
      </c>
      <c r="AP371" s="295">
        <f>mamiabc!AP92*Model!$AV371/mamiabc!$AV92</f>
        <v>40.37528749569455</v>
      </c>
      <c r="AQ371" s="295">
        <f>mamiabc!AQ92*Model!$AV371/mamiabc!$AV92</f>
        <v>39.790731025794869</v>
      </c>
      <c r="AR371" s="295">
        <f>mamiabc!AR92*Model!$AV371/mamiabc!$AV92</f>
        <v>39.680139261219253</v>
      </c>
      <c r="AS371" s="295">
        <f>mamiabc!AS92*Model!$AV371/mamiabc!$AV92</f>
        <v>37.779633727125677</v>
      </c>
      <c r="AT371" s="295">
        <f>mamiabc!AT92*Model!$AV371/mamiabc!$AV92</f>
        <v>35.82801435226186</v>
      </c>
      <c r="AU371" s="295">
        <f>mamiabc!AU92*Model!$AV371/mamiabc!$AV92</f>
        <v>34.534369509494979</v>
      </c>
      <c r="AV371" s="1060">
        <f>DataInput!AV6/1000</f>
        <v>34.072486257443877</v>
      </c>
      <c r="AW371" s="1060">
        <f>DataInput!AW6/1000</f>
        <v>34.098535558863944</v>
      </c>
      <c r="AX371" s="1060">
        <f>DataInput!AX6/1000</f>
        <v>35.061317739349512</v>
      </c>
      <c r="AY371" s="1060">
        <f>DataInput!AY6/1000</f>
        <v>34.940448980760422</v>
      </c>
      <c r="AZ371" s="1060">
        <f>DataInput!AZ6/1000</f>
        <v>35.641696174988546</v>
      </c>
      <c r="BA371" s="1060">
        <f>DataInput!BA6/1000</f>
        <v>36.393999999999998</v>
      </c>
      <c r="BB371" s="1060">
        <f>DataInput!BB6</f>
        <v>36.761000000000003</v>
      </c>
      <c r="BC371" s="1060">
        <f>DataInput!BC6</f>
        <v>36.808</v>
      </c>
      <c r="BD371" s="1060">
        <f>DataInput!BD6</f>
        <v>37.073999999999998</v>
      </c>
      <c r="BE371" s="1060">
        <f>DataInput!BE6</f>
        <v>37.726999999999997</v>
      </c>
      <c r="BF371" s="1060">
        <f>DataInput!BF6</f>
        <v>38.726999999999997</v>
      </c>
      <c r="BG371" s="1060">
        <f>DataInput!BG6</f>
        <v>38.854999999999997</v>
      </c>
      <c r="BH371" s="1060">
        <f>DataInput!BH6</f>
        <v>38.131999999999998</v>
      </c>
      <c r="BI371" s="1060">
        <f>DataInput!BI6</f>
        <v>38.875</v>
      </c>
      <c r="BJ371" s="1060">
        <f>DataInput!BJ6</f>
        <v>40.085999999999999</v>
      </c>
      <c r="BK371" s="1060">
        <f>DataInput!BK6</f>
        <v>40.424999999999997</v>
      </c>
      <c r="BL371" s="1060">
        <f>DataInput!BL6</f>
        <v>40.89</v>
      </c>
      <c r="BM371" s="1060">
        <f>DataInput!BM6</f>
        <v>40.89</v>
      </c>
      <c r="BN371" s="1060">
        <f>DataInput!BN6</f>
        <v>43</v>
      </c>
      <c r="BO371" s="1060">
        <f>DataInput!BO6</f>
        <v>48</v>
      </c>
      <c r="BP371" s="1060">
        <f>DataInput!BP6</f>
        <v>48</v>
      </c>
      <c r="BQ371" s="1060">
        <f>DataInput!BQ6</f>
        <v>48</v>
      </c>
      <c r="BR371" s="1060">
        <f>DataInput!BR6</f>
        <v>48</v>
      </c>
      <c r="BS371" s="1060">
        <f>DataInput!BS6</f>
        <v>48</v>
      </c>
      <c r="BT371" s="117">
        <f>BS371*(1+SIM!AB52/100)*BT372/BS372</f>
        <v>48.676755412634449</v>
      </c>
      <c r="BU371" s="117">
        <f>BT371*(1+SIM!AC52/100)*BU372/BT372</f>
        <v>49.368786058554335</v>
      </c>
      <c r="BV371" s="117">
        <f>BU371*(1+SIM!AD52/100)*BV372/BU372</f>
        <v>50.076524814841626</v>
      </c>
      <c r="BW371" s="117">
        <f>BV371*(1+SIM!AE52/100)*BW372/BV372</f>
        <v>50.681971517283174</v>
      </c>
      <c r="BX371" s="117">
        <f>BW371*(1+SIM!AF52/100)*BX372/BW372</f>
        <v>51.300413191723621</v>
      </c>
      <c r="BY371" s="117">
        <f>BX371*(1+SIM!AG52/100)*BY372/BX372</f>
        <v>51.932197046081811</v>
      </c>
      <c r="BZ371" s="117">
        <f>BY371*(1+SIM!AH52/100)*BZ372/BY372</f>
        <v>52.577681364762505</v>
      </c>
      <c r="CA371" s="117">
        <f>BZ371*(1+SIM!AI52/100)*CA372/BZ372</f>
        <v>53.237235899670019</v>
      </c>
      <c r="CB371" s="117">
        <f>CA371*(1+SIM!AJ52/100)*CB372/CA372</f>
        <v>53.803166545547192</v>
      </c>
      <c r="CC371" s="117">
        <f>CB371*(1+SIM!AK52/100)*CC372/CB372</f>
        <v>54.380739612558045</v>
      </c>
      <c r="CD371" s="117">
        <f>CC371*(1+SIM!AL52/100)*CD372/CC372</f>
        <v>54.970245934228103</v>
      </c>
      <c r="CE371" s="117"/>
      <c r="CF371" s="438"/>
      <c r="CG371" s="235">
        <f t="shared" si="1363"/>
        <v>1.891536225000003</v>
      </c>
      <c r="CH371" s="235">
        <f t="shared" si="1364"/>
        <v>0</v>
      </c>
      <c r="CI371" s="235" t="e">
        <f>BM371-#REF!</f>
        <v>#REF!</v>
      </c>
      <c r="CJ371" s="235">
        <f t="shared" si="1365"/>
        <v>0</v>
      </c>
      <c r="CK371" s="235">
        <f t="shared" si="1366"/>
        <v>0</v>
      </c>
      <c r="CL371" s="235">
        <f t="shared" si="1367"/>
        <v>0</v>
      </c>
      <c r="CM371" s="235">
        <f t="shared" si="1368"/>
        <v>0</v>
      </c>
      <c r="CN371" s="235">
        <f t="shared" si="1369"/>
        <v>0</v>
      </c>
      <c r="CO371" s="235">
        <f t="shared" si="1370"/>
        <v>0</v>
      </c>
      <c r="CP371" s="235">
        <f t="shared" si="1371"/>
        <v>0</v>
      </c>
      <c r="CQ371" s="235">
        <f t="shared" si="1372"/>
        <v>0</v>
      </c>
      <c r="CR371" s="235">
        <f t="shared" si="1373"/>
        <v>0</v>
      </c>
      <c r="CS371" s="235">
        <f t="shared" si="1374"/>
        <v>0</v>
      </c>
      <c r="CT371" s="235">
        <f t="shared" si="1375"/>
        <v>0</v>
      </c>
      <c r="CU371" s="235">
        <f t="shared" si="1376"/>
        <v>0</v>
      </c>
      <c r="CV371" s="235">
        <f t="shared" si="1377"/>
        <v>0</v>
      </c>
      <c r="CW371" s="235">
        <f t="shared" si="1378"/>
        <v>0</v>
      </c>
      <c r="CX371" s="235">
        <f t="shared" si="1379"/>
        <v>0</v>
      </c>
      <c r="CY371" s="235">
        <f t="shared" si="1380"/>
        <v>0</v>
      </c>
      <c r="CZ371" s="235">
        <f t="shared" si="1381"/>
        <v>0</v>
      </c>
      <c r="DA371" s="38"/>
      <c r="DB371" s="236">
        <v>35.595999999999997</v>
      </c>
      <c r="DC371" s="236">
        <v>36.595999999999997</v>
      </c>
      <c r="DD371" s="236">
        <v>37.317</v>
      </c>
      <c r="DE371" s="236">
        <v>38.151000000000003</v>
      </c>
      <c r="DF371" s="403">
        <v>38.341754999999999</v>
      </c>
      <c r="DG371" s="236">
        <v>38.533463774999994</v>
      </c>
      <c r="DH371" s="492">
        <v>40.89</v>
      </c>
      <c r="DI371" s="236">
        <v>43</v>
      </c>
      <c r="DJ371" s="236">
        <v>48</v>
      </c>
      <c r="DK371" s="236">
        <v>48</v>
      </c>
      <c r="DL371" s="236">
        <v>48</v>
      </c>
      <c r="DM371" s="236">
        <v>48</v>
      </c>
      <c r="DN371" s="236">
        <v>48</v>
      </c>
      <c r="DO371" s="236">
        <v>48.676755412634449</v>
      </c>
      <c r="DP371" s="236">
        <v>49.368786058554335</v>
      </c>
      <c r="DQ371" s="401">
        <v>50.076524814841626</v>
      </c>
      <c r="DR371" s="401">
        <v>50.681971517283174</v>
      </c>
      <c r="DS371" s="401">
        <v>51.300413191723621</v>
      </c>
      <c r="DT371" s="401">
        <v>51.932197046081811</v>
      </c>
      <c r="DU371" s="401">
        <v>52.577681364762505</v>
      </c>
      <c r="DV371" s="401">
        <v>53.237235899670019</v>
      </c>
      <c r="DW371" s="401">
        <v>53.803166545547192</v>
      </c>
      <c r="DX371" s="401">
        <v>54.380739612558045</v>
      </c>
      <c r="DY371" s="401">
        <v>54.970245934228103</v>
      </c>
      <c r="DZ371" s="401"/>
      <c r="EA371" s="989"/>
    </row>
    <row r="372" spans="1:131" s="76" customFormat="1">
      <c r="A372" s="3" t="s">
        <v>4428</v>
      </c>
      <c r="B372" s="80" t="s">
        <v>1868</v>
      </c>
      <c r="C372" s="51" t="s">
        <v>446</v>
      </c>
      <c r="D372" s="207" t="s">
        <v>3782</v>
      </c>
      <c r="E372" s="207"/>
      <c r="F372" s="295">
        <f>mamiabc!F95*$AV372/mamiabc!$AV95</f>
        <v>247.83062347010846</v>
      </c>
      <c r="G372" s="295">
        <f>mamiabc!G95*$AV372/mamiabc!$AV95</f>
        <v>256.33982942616365</v>
      </c>
      <c r="H372" s="295">
        <f>mamiabc!H95*$AV372/mamiabc!$AV95</f>
        <v>260.94545532750362</v>
      </c>
      <c r="I372" s="295">
        <f>mamiabc!I95*$AV372/mamiabc!$AV95</f>
        <v>271.38327483900554</v>
      </c>
      <c r="J372" s="295">
        <f>mamiabc!J95*$AV372/mamiabc!$AV95</f>
        <v>281.82109435050745</v>
      </c>
      <c r="K372" s="295">
        <f>mamiabc!K95*$AV372/mamiabc!$AV95</f>
        <v>292.25891386200936</v>
      </c>
      <c r="L372" s="295">
        <f>mamiabc!L95*$AV372/mamiabc!$AV95</f>
        <v>302.69673337351134</v>
      </c>
      <c r="M372" s="295">
        <f>mamiabc!M95*$AV372/mamiabc!$AV95</f>
        <v>313.13455288501325</v>
      </c>
      <c r="N372" s="295">
        <f>mamiabc!N95*$AV372/mamiabc!$AV95</f>
        <v>323.57237239651516</v>
      </c>
      <c r="O372" s="295">
        <f>mamiabc!O95*$AV372/mamiabc!$AV95</f>
        <v>334.01019190801713</v>
      </c>
      <c r="P372" s="295">
        <f>mamiabc!P95*$AV372/mamiabc!$AV95</f>
        <v>345.49176415662907</v>
      </c>
      <c r="Q372" s="295">
        <f>mamiabc!Q95*$AV372/mamiabc!$AV95</f>
        <v>351.75447533955702</v>
      </c>
      <c r="R372" s="295">
        <f>mamiabc!R95*$AV372/mamiabc!$AV95</f>
        <v>362.19229485105893</v>
      </c>
      <c r="S372" s="295">
        <f>mamiabc!S95*$AV372/mamiabc!$AV95</f>
        <v>372.63011436256085</v>
      </c>
      <c r="T372" s="295">
        <f>mamiabc!T95*$AV372/mamiabc!$AV95</f>
        <v>380.98036347975346</v>
      </c>
      <c r="U372" s="295">
        <f>mamiabc!U95*$AV372/mamiabc!$AV95</f>
        <v>390.37439779410073</v>
      </c>
      <c r="V372" s="295">
        <f>mamiabc!V95*$AV372/mamiabc!$AV95</f>
        <v>392.46196818841003</v>
      </c>
      <c r="W372" s="295">
        <f>mamiabc!W95*$AV372/mamiabc!$AV95</f>
        <v>394.5495061226747</v>
      </c>
      <c r="X372" s="295">
        <f>mamiabc!X95*$AV372/mamiabc!$AV95</f>
        <v>398.72464691129335</v>
      </c>
      <c r="Y372" s="295">
        <f>mamiabc!Y95*$AV372/mamiabc!$AV95</f>
        <v>400.81221730560264</v>
      </c>
      <c r="Z372" s="295">
        <f>mamiabc!Z95*$AV372/mamiabc!$AV95</f>
        <v>397.68086171413864</v>
      </c>
      <c r="AA372" s="295">
        <f>mamiabc!AA95*$AV372/mamiabc!$AV95</f>
        <v>380.98036347975346</v>
      </c>
      <c r="AB372" s="295">
        <f>mamiabc!AB95*$AV372/mamiabc!$AV95</f>
        <v>370.54254396825155</v>
      </c>
      <c r="AC372" s="295">
        <f>mamiabc!AC95*$AV372/mamiabc!$AV95</f>
        <v>377.95339939202285</v>
      </c>
      <c r="AD372" s="295">
        <f>mamiabc!AD95*$AV372/mamiabc!$AV95</f>
        <v>383.38104346517343</v>
      </c>
      <c r="AE372" s="295">
        <f>mamiabc!AE95*$AV372/mamiabc!$AV95</f>
        <v>380.98036347975346</v>
      </c>
      <c r="AF372" s="295">
        <f>mamiabc!AF95*$AV372/mamiabc!$AV95</f>
        <v>372.10822176398352</v>
      </c>
      <c r="AG372" s="295">
        <f>mamiabc!AG95*$AV372/mamiabc!$AV95</f>
        <v>370.85565355936217</v>
      </c>
      <c r="AH372" s="295">
        <f>mamiabc!AH95*$AV372/mamiabc!$AV95</f>
        <v>378.89279308544417</v>
      </c>
      <c r="AI372" s="295">
        <f>mamiabc!AI95*$AV372/mamiabc!$AV95</f>
        <v>387.03429165521476</v>
      </c>
      <c r="AJ372" s="295">
        <f>mamiabc!AJ95*$AV372/mamiabc!$AV95</f>
        <v>394.96703967756343</v>
      </c>
      <c r="AK372" s="295">
        <f>mamiabc!AK95*$AV372/mamiabc!$AV95</f>
        <v>404.56982453933267</v>
      </c>
      <c r="AL372" s="295">
        <f>mamiabc!AL95*$AV372/mamiabc!$AV95</f>
        <v>414.17260940110191</v>
      </c>
      <c r="AM372" s="295">
        <f>mamiabc!AM95*$AV372/mamiabc!$AV95</f>
        <v>419.07839333571991</v>
      </c>
      <c r="AN372" s="295">
        <f>mamiabc!AN95*$AV372/mamiabc!$AV95</f>
        <v>422.26934556924056</v>
      </c>
      <c r="AO372" s="295">
        <f>mamiabc!AO95*$AV372/mamiabc!$AV95</f>
        <v>426.52394854726822</v>
      </c>
      <c r="AP372" s="295">
        <f>mamiabc!AP95*$AV372/mamiabc!$AV95</f>
        <v>427.23340359385429</v>
      </c>
      <c r="AQ372" s="295">
        <f>mamiabc!AQ95*$AV372/mamiabc!$AV95</f>
        <v>427.79607483769848</v>
      </c>
      <c r="AR372" s="295">
        <f>mamiabc!AR95*$AV372/mamiabc!$AV95</f>
        <v>428.97779081484566</v>
      </c>
      <c r="AS372" s="295">
        <f>mamiabc!AS95*$AV372/mamiabc!$AV95</f>
        <v>429.52450729752218</v>
      </c>
      <c r="AT372" s="295">
        <f>mamiabc!AT95*$AV372/mamiabc!$AV95</f>
        <v>430.79237898497433</v>
      </c>
      <c r="AU372" s="295">
        <f>mamiabc!AU95*$AV372/mamiabc!$AV95</f>
        <v>434.89062530355949</v>
      </c>
      <c r="AV372" s="1060">
        <f>DataInput!AV11</f>
        <v>439.74299999999999</v>
      </c>
      <c r="AW372" s="1060">
        <f>DataInput!AW11</f>
        <v>445.64699999999999</v>
      </c>
      <c r="AX372" s="1060">
        <f>DataInput!AX11</f>
        <v>451.62900000000002</v>
      </c>
      <c r="AY372" s="1060">
        <f>DataInput!AY11</f>
        <v>457.69200000000001</v>
      </c>
      <c r="AZ372" s="1060">
        <f>DataInput!AZ11</f>
        <v>463.83699999999999</v>
      </c>
      <c r="BA372" s="1060">
        <f>DataInput!BA11</f>
        <v>470.06400000000002</v>
      </c>
      <c r="BB372" s="1060">
        <f>DataInput!BB11</f>
        <v>476.37400000000002</v>
      </c>
      <c r="BC372" s="1060">
        <f>DataInput!BC11</f>
        <v>482.76900000000001</v>
      </c>
      <c r="BD372" s="1060">
        <f>DataInput!BD11</f>
        <v>492.82900000000001</v>
      </c>
      <c r="BE372" s="1060">
        <f>DataInput!BE11</f>
        <v>498.54300000000001</v>
      </c>
      <c r="BF372" s="1060">
        <f>DataInput!BF11</f>
        <v>504.25700000000001</v>
      </c>
      <c r="BG372" s="1060">
        <f>DataInput!BG11</f>
        <v>509.97</v>
      </c>
      <c r="BH372" s="1060">
        <f>DataInput!BH11</f>
        <v>517.05200000000002</v>
      </c>
      <c r="BI372" s="1060">
        <f>DataInput!BI11</f>
        <v>524.14300000000003</v>
      </c>
      <c r="BJ372" s="1060">
        <f>DataInput!BJ11</f>
        <v>531.16999999999996</v>
      </c>
      <c r="BK372" s="1060">
        <f>DataInput!BK11</f>
        <v>539.91</v>
      </c>
      <c r="BL372" s="1060">
        <f>DataInput!BL11</f>
        <v>550.36500000000001</v>
      </c>
      <c r="BM372" s="1060">
        <f>DataInput!BM11</f>
        <v>560.66999999999996</v>
      </c>
      <c r="BN372" s="1060">
        <f>DataInput!BN11</f>
        <v>571.1679501785178</v>
      </c>
      <c r="BO372" s="6">
        <f>DataInput!BO9</f>
        <v>565.9429013353282</v>
      </c>
      <c r="BP372" s="6">
        <f>DataInput!BP9</f>
        <v>574.58756342722461</v>
      </c>
      <c r="BQ372" s="6">
        <f>DataInput!BQ9</f>
        <v>583.524</v>
      </c>
      <c r="BR372" s="6">
        <f>DataInput!BR9</f>
        <v>591.61559984969927</v>
      </c>
      <c r="BS372" s="6">
        <f>DataInput!BS9</f>
        <v>599.88779395284018</v>
      </c>
      <c r="BT372" s="6">
        <f>DataInput!BT9</f>
        <v>608.34565460973442</v>
      </c>
      <c r="BU372" s="6">
        <f>DataInput!BU9</f>
        <v>616.99441997491442</v>
      </c>
      <c r="BV372" s="6">
        <f>DataInput!BV9</f>
        <v>625.83950000000004</v>
      </c>
      <c r="BW372" s="6">
        <f>DataInput!BW9</f>
        <v>633.40616847257672</v>
      </c>
      <c r="BX372" s="6">
        <f>DataInput!BX9</f>
        <v>641.13524371775554</v>
      </c>
      <c r="BY372" s="6">
        <f>DataInput!BY9</f>
        <v>649.03106502287972</v>
      </c>
      <c r="BZ372" s="6">
        <f>DataInput!BZ9</f>
        <v>657.09811010547378</v>
      </c>
      <c r="CA372" s="6">
        <f>DataInput!CA9</f>
        <v>665.34100000000001</v>
      </c>
      <c r="CB372" s="6">
        <f>DataInput!CB9</f>
        <v>672.41381013928253</v>
      </c>
      <c r="CC372" s="6">
        <f>DataInput!CC9</f>
        <v>679.63212332710998</v>
      </c>
      <c r="CD372" s="6">
        <f>DataInput!CD9</f>
        <v>686.99957430269126</v>
      </c>
      <c r="CE372" s="30"/>
      <c r="CF372" s="435"/>
      <c r="CG372" s="235">
        <f t="shared" si="1363"/>
        <v>8.8923529411764548</v>
      </c>
      <c r="CH372" s="235">
        <f t="shared" si="1364"/>
        <v>0</v>
      </c>
      <c r="CI372" s="235" t="e">
        <f>BM372-#REF!</f>
        <v>#REF!</v>
      </c>
      <c r="CJ372" s="235">
        <f t="shared" si="1365"/>
        <v>0</v>
      </c>
      <c r="CK372" s="235">
        <f t="shared" si="1366"/>
        <v>0</v>
      </c>
      <c r="CL372" s="235">
        <f t="shared" si="1367"/>
        <v>0</v>
      </c>
      <c r="CM372" s="235">
        <f t="shared" si="1368"/>
        <v>0</v>
      </c>
      <c r="CN372" s="235">
        <f t="shared" si="1369"/>
        <v>0</v>
      </c>
      <c r="CO372" s="235">
        <f t="shared" si="1370"/>
        <v>0</v>
      </c>
      <c r="CP372" s="235">
        <f t="shared" si="1371"/>
        <v>0</v>
      </c>
      <c r="CQ372" s="235">
        <f t="shared" si="1372"/>
        <v>0</v>
      </c>
      <c r="CR372" s="235">
        <f t="shared" si="1373"/>
        <v>0</v>
      </c>
      <c r="CS372" s="235">
        <f t="shared" si="1374"/>
        <v>0</v>
      </c>
      <c r="CT372" s="235">
        <f t="shared" si="1375"/>
        <v>0</v>
      </c>
      <c r="CU372" s="235">
        <f t="shared" si="1376"/>
        <v>0</v>
      </c>
      <c r="CV372" s="235">
        <f t="shared" si="1377"/>
        <v>0</v>
      </c>
      <c r="CW372" s="235">
        <f t="shared" si="1378"/>
        <v>0</v>
      </c>
      <c r="CX372" s="235">
        <f t="shared" si="1379"/>
        <v>0</v>
      </c>
      <c r="CY372" s="235">
        <f t="shared" si="1380"/>
        <v>0</v>
      </c>
      <c r="CZ372" s="235">
        <f t="shared" si="1381"/>
        <v>0</v>
      </c>
      <c r="DA372" s="38"/>
      <c r="DB372" s="236">
        <v>503.25700000000001</v>
      </c>
      <c r="DC372" s="236">
        <v>504.25700000000001</v>
      </c>
      <c r="DD372" s="236">
        <v>509.97</v>
      </c>
      <c r="DE372" s="236">
        <v>517.05200000000002</v>
      </c>
      <c r="DF372" s="403">
        <v>529.87099999999998</v>
      </c>
      <c r="DG372" s="236">
        <v>531.01764705882351</v>
      </c>
      <c r="DH372" s="492">
        <v>550.36500000000001</v>
      </c>
      <c r="DI372" s="236">
        <v>571.1679501785178</v>
      </c>
      <c r="DJ372" s="236">
        <v>565.9429013353282</v>
      </c>
      <c r="DK372" s="236">
        <v>574.58756342722461</v>
      </c>
      <c r="DL372" s="236">
        <v>583.524</v>
      </c>
      <c r="DM372" s="236">
        <v>591.61559984969927</v>
      </c>
      <c r="DN372" s="236">
        <v>599.88779395284018</v>
      </c>
      <c r="DO372" s="236">
        <v>608.34565460973442</v>
      </c>
      <c r="DP372" s="236">
        <v>616.99441997491442</v>
      </c>
      <c r="DQ372" s="401">
        <v>625.83950000000004</v>
      </c>
      <c r="DR372" s="401">
        <v>633.40616847257672</v>
      </c>
      <c r="DS372" s="401">
        <v>641.13524371775554</v>
      </c>
      <c r="DT372" s="401">
        <v>649.03106502287972</v>
      </c>
      <c r="DU372" s="401">
        <v>657.09811010547378</v>
      </c>
      <c r="DV372" s="401">
        <v>665.34100000000001</v>
      </c>
      <c r="DW372" s="401">
        <v>672.41381013928253</v>
      </c>
      <c r="DX372" s="401">
        <v>679.63212332710998</v>
      </c>
      <c r="DY372" s="401">
        <v>686.99957430269126</v>
      </c>
      <c r="DZ372" s="401"/>
      <c r="EA372" s="989"/>
    </row>
    <row r="373" spans="1:131" s="76" customFormat="1">
      <c r="A373" s="3" t="s">
        <v>4432</v>
      </c>
      <c r="B373" s="80" t="s">
        <v>1599</v>
      </c>
      <c r="C373" s="51" t="s">
        <v>447</v>
      </c>
      <c r="D373" s="207"/>
      <c r="E373" s="207"/>
      <c r="F373" s="28">
        <f t="shared" ref="F373:AU373" si="1382">G373*232/237</f>
        <v>121.7007605833242</v>
      </c>
      <c r="G373" s="28">
        <f t="shared" si="1382"/>
        <v>124.32362180279239</v>
      </c>
      <c r="H373" s="28">
        <f t="shared" si="1382"/>
        <v>127.00301020371464</v>
      </c>
      <c r="I373" s="28">
        <f t="shared" si="1382"/>
        <v>129.74014404431193</v>
      </c>
      <c r="J373" s="28">
        <f t="shared" si="1382"/>
        <v>132.53626783837038</v>
      </c>
      <c r="K373" s="28">
        <f t="shared" si="1382"/>
        <v>135.39265292109388</v>
      </c>
      <c r="L373" s="28">
        <f t="shared" si="1382"/>
        <v>138.31059802715194</v>
      </c>
      <c r="M373" s="28">
        <f t="shared" si="1382"/>
        <v>141.29142988118539</v>
      </c>
      <c r="N373" s="28">
        <f t="shared" si="1382"/>
        <v>144.33650380103853</v>
      </c>
      <c r="O373" s="28">
        <f t="shared" si="1382"/>
        <v>147.44720431399193</v>
      </c>
      <c r="P373" s="28">
        <f t="shared" si="1382"/>
        <v>150.62494578627624</v>
      </c>
      <c r="Q373" s="28">
        <f t="shared" si="1382"/>
        <v>153.87117306615289</v>
      </c>
      <c r="R373" s="28">
        <f t="shared" si="1382"/>
        <v>157.18736214085445</v>
      </c>
      <c r="S373" s="28">
        <f t="shared" si="1382"/>
        <v>160.57502080768319</v>
      </c>
      <c r="T373" s="28">
        <f t="shared" si="1382"/>
        <v>164.03568935957293</v>
      </c>
      <c r="U373" s="28">
        <f t="shared" si="1382"/>
        <v>167.57094128542579</v>
      </c>
      <c r="V373" s="28">
        <f t="shared" si="1382"/>
        <v>171.18238398554271</v>
      </c>
      <c r="W373" s="28">
        <f t="shared" si="1382"/>
        <v>174.87165950247251</v>
      </c>
      <c r="X373" s="28">
        <f t="shared" si="1382"/>
        <v>178.64044526761199</v>
      </c>
      <c r="Y373" s="28">
        <f t="shared" si="1382"/>
        <v>182.49045486389673</v>
      </c>
      <c r="Z373" s="28">
        <f t="shared" si="1382"/>
        <v>186.42343880492899</v>
      </c>
      <c r="AA373" s="28">
        <f t="shared" si="1382"/>
        <v>190.44118533089727</v>
      </c>
      <c r="AB373" s="28">
        <f t="shared" si="1382"/>
        <v>194.54552122164935</v>
      </c>
      <c r="AC373" s="28">
        <f t="shared" si="1382"/>
        <v>198.73831262728834</v>
      </c>
      <c r="AD373" s="28">
        <f t="shared" si="1382"/>
        <v>203.02146591666954</v>
      </c>
      <c r="AE373" s="28">
        <f t="shared" si="1382"/>
        <v>207.39692854418399</v>
      </c>
      <c r="AF373" s="28">
        <f t="shared" si="1382"/>
        <v>211.86668993522244</v>
      </c>
      <c r="AG373" s="28">
        <f t="shared" si="1382"/>
        <v>216.43278239072293</v>
      </c>
      <c r="AH373" s="28">
        <f t="shared" si="1382"/>
        <v>221.09728201121266</v>
      </c>
      <c r="AI373" s="28">
        <f t="shared" si="1382"/>
        <v>225.86230964076464</v>
      </c>
      <c r="AJ373" s="28">
        <f t="shared" si="1382"/>
        <v>230.73003183129833</v>
      </c>
      <c r="AK373" s="28">
        <f t="shared" si="1382"/>
        <v>235.70266182766252</v>
      </c>
      <c r="AL373" s="28">
        <f t="shared" si="1382"/>
        <v>240.78246057394836</v>
      </c>
      <c r="AM373" s="28">
        <f t="shared" si="1382"/>
        <v>245.97173774149033</v>
      </c>
      <c r="AN373" s="28">
        <f t="shared" si="1382"/>
        <v>251.27285277902246</v>
      </c>
      <c r="AO373" s="28">
        <f t="shared" si="1382"/>
        <v>256.68821598546691</v>
      </c>
      <c r="AP373" s="28">
        <f t="shared" si="1382"/>
        <v>262.22028960584333</v>
      </c>
      <c r="AQ373" s="28">
        <f t="shared" si="1382"/>
        <v>267.87158895079688</v>
      </c>
      <c r="AR373" s="28">
        <f t="shared" si="1382"/>
        <v>273.64468354025371</v>
      </c>
      <c r="AS373" s="28">
        <f t="shared" si="1382"/>
        <v>279.54219827172471</v>
      </c>
      <c r="AT373" s="28">
        <f t="shared" si="1382"/>
        <v>285.5668146137877</v>
      </c>
      <c r="AU373" s="28">
        <f t="shared" si="1382"/>
        <v>291.72127182529175</v>
      </c>
      <c r="AV373" s="28">
        <f>AW373*232/237</f>
        <v>298.00836820083686</v>
      </c>
      <c r="AW373" s="28">
        <f>AX373*237/238</f>
        <v>304.43096234309627</v>
      </c>
      <c r="AX373" s="28">
        <f>AY373*238/236</f>
        <v>305.71548117154816</v>
      </c>
      <c r="AY373" s="28">
        <f>AZ373*236/239</f>
        <v>303.14644351464437</v>
      </c>
      <c r="AZ373" s="113">
        <f>DataInput!AZ13</f>
        <v>307</v>
      </c>
      <c r="BA373" s="113">
        <f>DataInput!BA13</f>
        <v>306.63900000000001</v>
      </c>
      <c r="BB373" s="113">
        <f>DataInput!BB13</f>
        <v>281</v>
      </c>
      <c r="BC373" s="113">
        <f>DataInput!BC13</f>
        <v>296</v>
      </c>
      <c r="BD373" s="113">
        <f>DataInput!BD13</f>
        <v>313.43900000000002</v>
      </c>
      <c r="BE373" s="113">
        <f>DataInput!BE13</f>
        <v>318.01499999999999</v>
      </c>
      <c r="BF373" s="113">
        <f>DataInput!BF13</f>
        <v>322.65800000000002</v>
      </c>
      <c r="BG373" s="113">
        <f>DataInput!BG13</f>
        <v>327.36900000000003</v>
      </c>
      <c r="BH373" s="113">
        <f>DataInput!BH13</f>
        <v>332.149</v>
      </c>
      <c r="BI373" s="113">
        <f>DataInput!BI13</f>
        <v>342.3</v>
      </c>
      <c r="BJ373" s="113">
        <f>DataInput!BJ13</f>
        <v>348.12</v>
      </c>
      <c r="BK373" s="113">
        <f>DataInput!BK13</f>
        <v>355.76100000000002</v>
      </c>
      <c r="BL373" s="113">
        <f>DataInput!BL13</f>
        <v>353.45800000000003</v>
      </c>
      <c r="BM373" s="113">
        <f>DataInput!BM13</f>
        <v>357.11399999999998</v>
      </c>
      <c r="BN373" s="113">
        <f>DataInput!BN13</f>
        <v>362.32799999999997</v>
      </c>
      <c r="BO373" s="6">
        <f>DataInput!BO10</f>
        <v>371.69100666671352</v>
      </c>
      <c r="BP373" s="6">
        <f>DataInput!BP10</f>
        <v>378.09074827681087</v>
      </c>
      <c r="BQ373" s="6">
        <f>DataInput!BQ10</f>
        <v>384.70049999999998</v>
      </c>
      <c r="BR373" s="6">
        <f>DataInput!BR10</f>
        <v>389.84382409505656</v>
      </c>
      <c r="BS373" s="6">
        <f>DataInput!BS10</f>
        <v>395.08433270532231</v>
      </c>
      <c r="BT373" s="6">
        <f>DataInput!BT10</f>
        <v>400.42434723437577</v>
      </c>
      <c r="BU373" s="6">
        <f>DataInput!BU10</f>
        <v>405.86625277390846</v>
      </c>
      <c r="BV373" s="6">
        <f>DataInput!BV10</f>
        <v>411.41250000000002</v>
      </c>
      <c r="BW373" s="6">
        <f>DataInput!BW10</f>
        <v>415.7657796162552</v>
      </c>
      <c r="BX373" s="6">
        <f>DataInput!BX10</f>
        <v>420.18751886019936</v>
      </c>
      <c r="BY373" s="6">
        <f>DataInput!BY10</f>
        <v>424.67910184102004</v>
      </c>
      <c r="BZ373" s="6">
        <f>DataInput!BZ10</f>
        <v>429.24194540696533</v>
      </c>
      <c r="CA373" s="6">
        <f>DataInput!CA10</f>
        <v>433.8775</v>
      </c>
      <c r="CB373" s="6">
        <f>DataInput!CB10</f>
        <v>438.22247806508369</v>
      </c>
      <c r="CC373" s="6">
        <f>DataInput!CC10</f>
        <v>442.62783336620646</v>
      </c>
      <c r="CD373" s="6">
        <f>DataInput!CD10</f>
        <v>447.09458974302981</v>
      </c>
      <c r="CE373" s="29"/>
      <c r="CF373" s="435"/>
      <c r="CG373" s="235">
        <f t="shared" si="1363"/>
        <v>14.640608911790025</v>
      </c>
      <c r="CH373" s="235">
        <f t="shared" si="1364"/>
        <v>0</v>
      </c>
      <c r="CI373" s="235" t="e">
        <f>BM373-#REF!</f>
        <v>#REF!</v>
      </c>
      <c r="CJ373" s="235">
        <f t="shared" si="1365"/>
        <v>0</v>
      </c>
      <c r="CK373" s="235">
        <f t="shared" si="1366"/>
        <v>0</v>
      </c>
      <c r="CL373" s="235">
        <f t="shared" si="1367"/>
        <v>0</v>
      </c>
      <c r="CM373" s="235">
        <f t="shared" si="1368"/>
        <v>0</v>
      </c>
      <c r="CN373" s="235">
        <f t="shared" si="1369"/>
        <v>0</v>
      </c>
      <c r="CO373" s="235">
        <f t="shared" si="1370"/>
        <v>0</v>
      </c>
      <c r="CP373" s="235">
        <f t="shared" si="1371"/>
        <v>0</v>
      </c>
      <c r="CQ373" s="235">
        <f t="shared" si="1372"/>
        <v>0</v>
      </c>
      <c r="CR373" s="235">
        <f t="shared" si="1373"/>
        <v>0</v>
      </c>
      <c r="CS373" s="235">
        <f t="shared" si="1374"/>
        <v>0</v>
      </c>
      <c r="CT373" s="235">
        <f t="shared" si="1375"/>
        <v>0</v>
      </c>
      <c r="CU373" s="235">
        <f t="shared" si="1376"/>
        <v>0</v>
      </c>
      <c r="CV373" s="235">
        <f t="shared" si="1377"/>
        <v>0</v>
      </c>
      <c r="CW373" s="235">
        <f t="shared" si="1378"/>
        <v>0</v>
      </c>
      <c r="CX373" s="235">
        <f t="shared" si="1379"/>
        <v>0</v>
      </c>
      <c r="CY373" s="235">
        <f t="shared" si="1380"/>
        <v>0</v>
      </c>
      <c r="CZ373" s="235">
        <f t="shared" si="1381"/>
        <v>0</v>
      </c>
      <c r="DA373" s="38"/>
      <c r="DB373" s="236">
        <v>321.65800000000002</v>
      </c>
      <c r="DC373" s="236">
        <v>322.65800000000002</v>
      </c>
      <c r="DD373" s="236">
        <v>327.36900000000003</v>
      </c>
      <c r="DE373" s="236">
        <v>332.149</v>
      </c>
      <c r="DF373" s="403">
        <v>336.99799999999999</v>
      </c>
      <c r="DG373" s="236">
        <v>341.12039108821</v>
      </c>
      <c r="DH373" s="492">
        <v>353.45800000000003</v>
      </c>
      <c r="DI373" s="236">
        <v>362.32799999999997</v>
      </c>
      <c r="DJ373" s="236">
        <v>371.69100666671352</v>
      </c>
      <c r="DK373" s="236">
        <v>378.09074827681087</v>
      </c>
      <c r="DL373" s="236">
        <v>384.70049999999998</v>
      </c>
      <c r="DM373" s="236">
        <v>389.84382409505656</v>
      </c>
      <c r="DN373" s="236">
        <v>395.08433270532231</v>
      </c>
      <c r="DO373" s="236">
        <v>400.42434723437577</v>
      </c>
      <c r="DP373" s="236">
        <v>405.86625277390846</v>
      </c>
      <c r="DQ373" s="401">
        <v>411.41250000000002</v>
      </c>
      <c r="DR373" s="401">
        <v>415.7657796162552</v>
      </c>
      <c r="DS373" s="401">
        <v>420.18751886019936</v>
      </c>
      <c r="DT373" s="401">
        <v>424.67910184102004</v>
      </c>
      <c r="DU373" s="401">
        <v>429.24194540696533</v>
      </c>
      <c r="DV373" s="401">
        <v>433.8775</v>
      </c>
      <c r="DW373" s="401">
        <v>438.22247806508369</v>
      </c>
      <c r="DX373" s="401">
        <v>442.62783336620646</v>
      </c>
      <c r="DY373" s="401">
        <v>447.09458974302981</v>
      </c>
      <c r="DZ373" s="401"/>
      <c r="EA373" s="989"/>
    </row>
    <row r="374" spans="1:131" s="76" customFormat="1">
      <c r="A374" s="76" t="s">
        <v>4426</v>
      </c>
      <c r="B374" s="80" t="s">
        <v>849</v>
      </c>
      <c r="C374" s="51" t="s">
        <v>448</v>
      </c>
      <c r="D374" s="207" t="s">
        <v>2462</v>
      </c>
      <c r="E374" s="207"/>
      <c r="F374" s="295">
        <f>mamiabc!F93</f>
        <v>6.8</v>
      </c>
      <c r="G374" s="295">
        <f>mamiabc!G93</f>
        <v>5</v>
      </c>
      <c r="H374" s="295">
        <f>mamiabc!H93</f>
        <v>2.2332546710968018</v>
      </c>
      <c r="I374" s="295">
        <f>mamiabc!I93</f>
        <v>1.8155162334442139</v>
      </c>
      <c r="J374" s="295">
        <f>mamiabc!J93</f>
        <v>3.1251304149627686</v>
      </c>
      <c r="K374" s="295">
        <f>mamiabc!K93</f>
        <v>2.8608658313751221</v>
      </c>
      <c r="L374" s="295">
        <f>mamiabc!L93</f>
        <v>2.0745680332183838</v>
      </c>
      <c r="M374" s="295">
        <f>mamiabc!M93</f>
        <v>3.02626633644104</v>
      </c>
      <c r="N374" s="295">
        <f>mamiabc!N93</f>
        <v>3.9044175148010254</v>
      </c>
      <c r="O374" s="295">
        <f>mamiabc!O93</f>
        <v>4.7262697219848633</v>
      </c>
      <c r="P374" s="295">
        <f>mamiabc!P93</f>
        <v>5.5056672096252441</v>
      </c>
      <c r="Q374" s="295">
        <f>mamiabc!Q93</f>
        <v>4.5107326507568359</v>
      </c>
      <c r="R374" s="295">
        <f>mamiabc!R93</f>
        <v>4.2866334915161133</v>
      </c>
      <c r="S374" s="295">
        <f>mamiabc!S93</f>
        <v>4.1740665435791016</v>
      </c>
      <c r="T374" s="295">
        <f>mamiabc!T93</f>
        <v>4.2769827842712402</v>
      </c>
      <c r="U374" s="295">
        <f>mamiabc!U93</f>
        <v>5.0960192680358887</v>
      </c>
      <c r="V374" s="295">
        <f>mamiabc!V93</f>
        <v>4.4430961608886719</v>
      </c>
      <c r="W374" s="295">
        <f>mamiabc!W93</f>
        <v>6.0136995315551758</v>
      </c>
      <c r="X374" s="295">
        <f>mamiabc!X93</f>
        <v>7.3302769660949707</v>
      </c>
      <c r="Y374" s="295">
        <f>mamiabc!Y93</f>
        <v>9.13018798828125</v>
      </c>
      <c r="Z374" s="295">
        <f>mamiabc!Z93</f>
        <v>9.9718894958496094</v>
      </c>
      <c r="AA374" s="295">
        <f>mamiabc!AA93</f>
        <v>7.9798069000244141</v>
      </c>
      <c r="AB374" s="295">
        <f>mamiabc!AB93</f>
        <v>6.6932039260864258</v>
      </c>
      <c r="AC374" s="295">
        <f>mamiabc!AC93</f>
        <v>5.5827469825744629</v>
      </c>
      <c r="AD374" s="295">
        <f>mamiabc!AD93</f>
        <v>4.6354036331176758</v>
      </c>
      <c r="AE374" s="295">
        <f>mamiabc!AE93</f>
        <v>6.7064113616943359</v>
      </c>
      <c r="AF374" s="295">
        <f>mamiabc!AF93</f>
        <v>9.093388557434082</v>
      </c>
      <c r="AG374" s="295">
        <f>mamiabc!AG93</f>
        <v>9.2074041366577148</v>
      </c>
      <c r="AH374" s="295">
        <f>mamiabc!AH93</f>
        <v>9.3345565795898437</v>
      </c>
      <c r="AI374" s="295">
        <f>mamiabc!AI93</f>
        <v>11.461581230163574</v>
      </c>
      <c r="AJ374" s="295">
        <f>mamiabc!AJ93</f>
        <v>13.025559425354004</v>
      </c>
      <c r="AK374" s="295">
        <f>mamiabc!AK93</f>
        <v>13.790704727172852</v>
      </c>
      <c r="AL374" s="295">
        <f>mamiabc!AL93</f>
        <v>15.991020202636719</v>
      </c>
      <c r="AM374" s="295">
        <f>mamiabc!AM93</f>
        <v>17.700000762939453</v>
      </c>
      <c r="AN374" s="295">
        <f>mamiabc!AN93</f>
        <v>19.899999618530273</v>
      </c>
      <c r="AO374" s="295">
        <f>mamiabc!AO93</f>
        <v>17.200000762939453</v>
      </c>
      <c r="AP374" s="295">
        <f>mamiabc!AP93</f>
        <v>15.5</v>
      </c>
      <c r="AQ374" s="295">
        <f>mamiabc!AQ93</f>
        <v>15.5</v>
      </c>
      <c r="AR374" s="295">
        <f>mamiabc!AR93</f>
        <v>18.084440231323242</v>
      </c>
      <c r="AS374" s="295">
        <f>mamiabc!AS93</f>
        <v>15</v>
      </c>
      <c r="AT374" s="295">
        <f>mamiabc!AT93</f>
        <v>12</v>
      </c>
      <c r="AU374" s="295">
        <f>mamiabc!AU93</f>
        <v>8</v>
      </c>
      <c r="AV374" s="1060">
        <f>DataInput!AV12</f>
        <v>11</v>
      </c>
      <c r="AW374" s="1060">
        <f>DataInput!AW12</f>
        <v>10</v>
      </c>
      <c r="AX374" s="1060">
        <f>DataInput!AX12</f>
        <v>11</v>
      </c>
      <c r="AY374" s="1060">
        <f>DataInput!AY12</f>
        <v>12</v>
      </c>
      <c r="AZ374" s="1060">
        <f>DataInput!AZ12</f>
        <v>14</v>
      </c>
      <c r="BA374" s="1060">
        <f>DataInput!BA12</f>
        <v>14</v>
      </c>
      <c r="BB374" s="1060">
        <f>DataInput!BB12</f>
        <v>10</v>
      </c>
      <c r="BC374" s="1060">
        <f>DataInput!BC12</f>
        <v>7</v>
      </c>
      <c r="BD374" s="1060">
        <f>DataInput!BD12</f>
        <v>8</v>
      </c>
      <c r="BE374" s="1060">
        <f>DataInput!BE12</f>
        <v>11.358556109349029</v>
      </c>
      <c r="BF374" s="1060">
        <f>DataInput!BF12</f>
        <v>12.280792090860938</v>
      </c>
      <c r="BG374" s="1060">
        <f>DataInput!BG12</f>
        <v>10.681096681096673</v>
      </c>
      <c r="BH374" s="1060">
        <f>DataInput!BH12</f>
        <v>9.3605999026875377</v>
      </c>
      <c r="BI374" s="1060">
        <f>DataInput!BI12</f>
        <v>9.0176120768526999</v>
      </c>
      <c r="BJ374" s="1060">
        <f>DataInput!BJ12</f>
        <v>7.5644445069986395</v>
      </c>
      <c r="BK374" s="1060">
        <f>DataInput!BK12</f>
        <v>6.9292759258812353</v>
      </c>
      <c r="BL374" s="1060">
        <f>DataInput!BL12</f>
        <v>6.5077021844590774</v>
      </c>
      <c r="BM374" s="1060">
        <f>DataInput!BM12</f>
        <v>7.119080696705689</v>
      </c>
      <c r="BN374" s="1060">
        <f>DataInput!BN12</f>
        <v>7.7768161347772313</v>
      </c>
      <c r="BO374" s="1083">
        <f ca="1">100*BO376/(BO370+BO371+BO376)</f>
        <v>8.1740138021385427</v>
      </c>
      <c r="BP374" s="1083">
        <f t="shared" ref="BP374:BV374" ca="1" si="1383">100*BP376/(BP370+BP371+BP376)</f>
        <v>9.4849296215264705</v>
      </c>
      <c r="BQ374" s="1083">
        <f t="shared" ca="1" si="1383"/>
        <v>9.5730410928386345</v>
      </c>
      <c r="BR374" s="1083">
        <f t="shared" ca="1" si="1383"/>
        <v>8.9836688947135546</v>
      </c>
      <c r="BS374" s="1083">
        <f t="shared" ca="1" si="1383"/>
        <v>9.1376842323208578</v>
      </c>
      <c r="BT374" s="1083">
        <f t="shared" ca="1" si="1383"/>
        <v>9.5022347321916687</v>
      </c>
      <c r="BU374" s="1083">
        <f t="shared" ca="1" si="1383"/>
        <v>9.8011352688635647</v>
      </c>
      <c r="BV374" s="1083">
        <f t="shared" ca="1" si="1383"/>
        <v>10.019780951740255</v>
      </c>
      <c r="BW374" s="1083">
        <f t="shared" ref="BW374:BX374" ca="1" si="1384">100*BW376/(BW370+BW371+BW376)</f>
        <v>10.18391979961546</v>
      </c>
      <c r="BX374" s="1083">
        <f t="shared" ca="1" si="1384"/>
        <v>10.348755697517481</v>
      </c>
      <c r="BY374" s="1083">
        <f t="shared" ref="BY374:CD374" ca="1" si="1385">100*BY376/(BY370+BY371+BY376)</f>
        <v>10.511001323531234</v>
      </c>
      <c r="BZ374" s="1083">
        <f t="shared" ca="1" si="1385"/>
        <v>10.656846471545812</v>
      </c>
      <c r="CA374" s="1083">
        <f t="shared" ca="1" si="1385"/>
        <v>10.778106405250069</v>
      </c>
      <c r="CB374" s="1083">
        <f t="shared" ca="1" si="1385"/>
        <v>10.884855429710907</v>
      </c>
      <c r="CC374" s="1083">
        <f t="shared" ca="1" si="1385"/>
        <v>10.985440254223926</v>
      </c>
      <c r="CD374" s="1083">
        <f t="shared" ca="1" si="1385"/>
        <v>11.077728167746331</v>
      </c>
      <c r="CE374" s="117"/>
      <c r="CF374" s="435"/>
      <c r="CG374" s="235">
        <f t="shared" si="1363"/>
        <v>-1.2574786137709602</v>
      </c>
      <c r="CH374" s="235">
        <f t="shared" si="1364"/>
        <v>0</v>
      </c>
      <c r="CI374" s="235" t="e">
        <f>BM374-#REF!</f>
        <v>#REF!</v>
      </c>
      <c r="CJ374" s="235">
        <f t="shared" si="1365"/>
        <v>0</v>
      </c>
      <c r="CK374" s="235">
        <f t="shared" ca="1" si="1366"/>
        <v>0</v>
      </c>
      <c r="CL374" s="235">
        <f t="shared" ca="1" si="1367"/>
        <v>0</v>
      </c>
      <c r="CM374" s="235">
        <f t="shared" ca="1" si="1368"/>
        <v>0</v>
      </c>
      <c r="CN374" s="235">
        <f t="shared" ca="1" si="1369"/>
        <v>0</v>
      </c>
      <c r="CO374" s="235">
        <f t="shared" ca="1" si="1370"/>
        <v>0</v>
      </c>
      <c r="CP374" s="235">
        <f t="shared" ca="1" si="1371"/>
        <v>0</v>
      </c>
      <c r="CQ374" s="235">
        <f t="shared" ca="1" si="1372"/>
        <v>0</v>
      </c>
      <c r="CR374" s="235">
        <f t="shared" ca="1" si="1373"/>
        <v>0</v>
      </c>
      <c r="CS374" s="235">
        <f t="shared" ca="1" si="1374"/>
        <v>1.4210854715202004E-14</v>
      </c>
      <c r="CT374" s="235">
        <f t="shared" ca="1" si="1375"/>
        <v>2.4868995751603507E-14</v>
      </c>
      <c r="CU374" s="235">
        <f t="shared" ca="1" si="1376"/>
        <v>3.1974423109204508E-14</v>
      </c>
      <c r="CV374" s="235">
        <f t="shared" ca="1" si="1377"/>
        <v>3.1974423109204508E-14</v>
      </c>
      <c r="CW374" s="235">
        <f t="shared" ca="1" si="1378"/>
        <v>3.1974423109204508E-14</v>
      </c>
      <c r="CX374" s="235">
        <f t="shared" ca="1" si="1379"/>
        <v>-1.0480505352461478E-13</v>
      </c>
      <c r="CY374" s="235">
        <f t="shared" ca="1" si="1380"/>
        <v>-1.5560885913146194E-12</v>
      </c>
      <c r="CZ374" s="235">
        <f t="shared" ca="1" si="1381"/>
        <v>-1.2386536241137946E-11</v>
      </c>
      <c r="DA374" s="38"/>
      <c r="DB374" s="236">
        <v>11</v>
      </c>
      <c r="DC374" s="236">
        <v>12</v>
      </c>
      <c r="DD374" s="236">
        <v>11</v>
      </c>
      <c r="DE374" s="236">
        <v>9</v>
      </c>
      <c r="DF374" s="403">
        <v>8.6081894614622332</v>
      </c>
      <c r="DG374" s="236">
        <v>8.1867545396521955</v>
      </c>
      <c r="DH374" s="492">
        <v>6.5077021844590774</v>
      </c>
      <c r="DI374" s="236">
        <v>7.7768161347772313</v>
      </c>
      <c r="DJ374" s="236">
        <v>8.1740138021385427</v>
      </c>
      <c r="DK374" s="236">
        <v>9.4849296215264722</v>
      </c>
      <c r="DL374" s="236">
        <v>9.5730410928386256</v>
      </c>
      <c r="DM374" s="236">
        <v>8.9836688947135546</v>
      </c>
      <c r="DN374" s="236">
        <v>9.1376842323208542</v>
      </c>
      <c r="DO374" s="236">
        <v>9.5022347321916634</v>
      </c>
      <c r="DP374" s="236">
        <v>9.801135268863554</v>
      </c>
      <c r="DQ374" s="401">
        <v>10.019780951740245</v>
      </c>
      <c r="DR374" s="401">
        <v>10.183919799615445</v>
      </c>
      <c r="DS374" s="401">
        <v>10.348755697517456</v>
      </c>
      <c r="DT374" s="401">
        <v>10.511001323531202</v>
      </c>
      <c r="DU374" s="401">
        <v>10.65684647154578</v>
      </c>
      <c r="DV374" s="401">
        <v>10.778106405250037</v>
      </c>
      <c r="DW374" s="401">
        <v>10.884855429711012</v>
      </c>
      <c r="DX374" s="401">
        <v>10.985440254225482</v>
      </c>
      <c r="DY374" s="401">
        <v>11.077728167758718</v>
      </c>
      <c r="DZ374" s="401"/>
      <c r="EA374" s="989"/>
    </row>
    <row r="375" spans="1:131" s="76" customFormat="1">
      <c r="A375" s="76" t="s">
        <v>4433</v>
      </c>
      <c r="B375" s="3" t="s">
        <v>1538</v>
      </c>
      <c r="C375" s="51"/>
      <c r="D375" s="207"/>
      <c r="E375" s="207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5"/>
      <c r="X375" s="295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  <c r="AJ375" s="295"/>
      <c r="AK375" s="295"/>
      <c r="AL375" s="295"/>
      <c r="AM375" s="295"/>
      <c r="AN375" s="295"/>
      <c r="AO375" s="295"/>
      <c r="AP375" s="295"/>
      <c r="AQ375" s="295"/>
      <c r="AR375" s="295"/>
      <c r="AS375" s="295"/>
      <c r="AT375" s="295"/>
      <c r="AU375" s="295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28">
        <f>+BI377-BI376-BI370-BI371</f>
        <v>68.198233759561234</v>
      </c>
      <c r="BJ375" s="117">
        <f t="shared" ref="BJ375:BO375" si="1386">BI375*(BJ377-BJ370-BJ371)/(BI377-BI370-BI371)</f>
        <v>67.756276602138669</v>
      </c>
      <c r="BK375" s="117">
        <f t="shared" si="1386"/>
        <v>69.078383055357747</v>
      </c>
      <c r="BL375" s="117">
        <f t="shared" si="1386"/>
        <v>65.176293236489514</v>
      </c>
      <c r="BM375" s="117">
        <f t="shared" si="1386"/>
        <v>65.650803745581911</v>
      </c>
      <c r="BN375" s="117">
        <f t="shared" si="1386"/>
        <v>65.537127578533116</v>
      </c>
      <c r="BO375" s="117">
        <f t="shared" ca="1" si="1386"/>
        <v>69.249232492695171</v>
      </c>
      <c r="BP375" s="117">
        <f t="shared" ref="BP375:BV375" ca="1" si="1387">BO375*(BP377-BP370-BP371)/(BO377-BO370-BO371)</f>
        <v>77.909623805666968</v>
      </c>
      <c r="BQ375" s="117">
        <f t="shared" ca="1" si="1387"/>
        <v>79.756911413473659</v>
      </c>
      <c r="BR375" s="117">
        <f t="shared" ca="1" si="1387"/>
        <v>77.473848552663867</v>
      </c>
      <c r="BS375" s="117">
        <f t="shared" ca="1" si="1387"/>
        <v>79.416301758847041</v>
      </c>
      <c r="BT375" s="117">
        <f t="shared" ca="1" si="1387"/>
        <v>82.611154713094507</v>
      </c>
      <c r="BU375" s="117">
        <f t="shared" ca="1" si="1387"/>
        <v>85.455586610356221</v>
      </c>
      <c r="BV375" s="117">
        <f t="shared" ca="1" si="1387"/>
        <v>87.876833676361628</v>
      </c>
      <c r="BW375" s="117">
        <f t="shared" ref="BW375:BX375" ca="1" si="1388">BV375*(BW377-BW370-BW371)/(BV377-BV370-BV371)</f>
        <v>89.744946249212916</v>
      </c>
      <c r="BX375" s="117">
        <f t="shared" ca="1" si="1388"/>
        <v>91.640806208615345</v>
      </c>
      <c r="BY375" s="117">
        <f t="shared" ref="BY375" ca="1" si="1389">BX375*(BY377-BY370-BY371)/(BX377-BX370-BX371)</f>
        <v>93.54635786903323</v>
      </c>
      <c r="BZ375" s="117">
        <f t="shared" ref="BZ375" ca="1" si="1390">BY375*(BZ377-BZ370-BZ371)/(BY377-BY370-BY371)</f>
        <v>95.383852848940947</v>
      </c>
      <c r="CA375" s="117">
        <f t="shared" ref="CA375" ca="1" si="1391">BZ375*(CA377-CA370-CA371)/(BZ377-BZ370-BZ371)</f>
        <v>97.10712525109011</v>
      </c>
      <c r="CB375" s="117">
        <f t="shared" ref="CB375" ca="1" si="1392">CA375*(CB377-CB370-CB371)/(CA377-CA370-CA371)</f>
        <v>98.691145642796144</v>
      </c>
      <c r="CC375" s="117">
        <f t="shared" ref="CC375" ca="1" si="1393">CB375*(CC377-CC370-CC371)/(CB377-CB370-CB371)</f>
        <v>100.26121263617875</v>
      </c>
      <c r="CD375" s="117">
        <f t="shared" ref="CD375" ca="1" si="1394">CC375*(CD377-CD370-CD371)/(CC377-CC370-CC371)</f>
        <v>101.80512542663203</v>
      </c>
      <c r="CE375" s="117"/>
      <c r="CF375" s="435"/>
      <c r="CG375" s="235">
        <f t="shared" si="1363"/>
        <v>9.3350252254321404</v>
      </c>
      <c r="CH375" s="235">
        <f t="shared" si="1364"/>
        <v>58.272581199181069</v>
      </c>
      <c r="CI375" s="235" t="e">
        <f>BM375-#REF!</f>
        <v>#REF!</v>
      </c>
      <c r="CJ375" s="235">
        <f t="shared" si="1365"/>
        <v>0</v>
      </c>
      <c r="CK375" s="235">
        <f t="shared" ca="1" si="1366"/>
        <v>0</v>
      </c>
      <c r="CL375" s="235">
        <f t="shared" ca="1" si="1367"/>
        <v>0</v>
      </c>
      <c r="CM375" s="235">
        <f t="shared" ca="1" si="1368"/>
        <v>0</v>
      </c>
      <c r="CN375" s="235">
        <f t="shared" ca="1" si="1369"/>
        <v>0</v>
      </c>
      <c r="CO375" s="235">
        <f t="shared" ca="1" si="1370"/>
        <v>0</v>
      </c>
      <c r="CP375" s="235">
        <f t="shared" ca="1" si="1371"/>
        <v>0</v>
      </c>
      <c r="CQ375" s="235">
        <f t="shared" ca="1" si="1372"/>
        <v>0</v>
      </c>
      <c r="CR375" s="235">
        <f t="shared" ca="1" si="1373"/>
        <v>0</v>
      </c>
      <c r="CS375" s="235">
        <f t="shared" ca="1" si="1374"/>
        <v>0</v>
      </c>
      <c r="CT375" s="235">
        <f t="shared" ca="1" si="1375"/>
        <v>-1.7053025658242404E-13</v>
      </c>
      <c r="CU375" s="235">
        <f t="shared" ca="1" si="1376"/>
        <v>-2.8421709430404007E-13</v>
      </c>
      <c r="CV375" s="235">
        <f t="shared" ca="1" si="1377"/>
        <v>-3.5527136788005009E-13</v>
      </c>
      <c r="CW375" s="235">
        <f t="shared" ca="1" si="1378"/>
        <v>-4.2632564145606011E-13</v>
      </c>
      <c r="CX375" s="235">
        <f t="shared" ca="1" si="1379"/>
        <v>-3.5527136788005009E-13</v>
      </c>
      <c r="CY375" s="235">
        <f t="shared" ca="1" si="1380"/>
        <v>1.0089706847793423E-12</v>
      </c>
      <c r="CZ375" s="235">
        <f t="shared" ca="1" si="1381"/>
        <v>1.2391865311656147E-11</v>
      </c>
      <c r="DA375" s="38"/>
      <c r="DB375" s="236"/>
      <c r="DC375" s="236"/>
      <c r="DD375" s="236"/>
      <c r="DE375" s="236"/>
      <c r="DF375" s="403"/>
      <c r="DG375" s="236">
        <v>59.743357829925607</v>
      </c>
      <c r="DH375" s="492">
        <v>6.9037120373084448</v>
      </c>
      <c r="DI375" s="236">
        <v>65.537127578533116</v>
      </c>
      <c r="DJ375" s="236">
        <v>69.249232492695171</v>
      </c>
      <c r="DK375" s="236">
        <v>77.909623805666968</v>
      </c>
      <c r="DL375" s="236">
        <v>79.756911413473659</v>
      </c>
      <c r="DM375" s="236">
        <v>77.473848552663853</v>
      </c>
      <c r="DN375" s="236">
        <v>79.416301758846984</v>
      </c>
      <c r="DO375" s="236">
        <v>82.611154713094422</v>
      </c>
      <c r="DP375" s="236">
        <v>85.455586610356164</v>
      </c>
      <c r="DQ375" s="401">
        <v>87.876833676361656</v>
      </c>
      <c r="DR375" s="401">
        <v>89.744946249213001</v>
      </c>
      <c r="DS375" s="401">
        <v>91.640806208615516</v>
      </c>
      <c r="DT375" s="401">
        <v>93.546357869033514</v>
      </c>
      <c r="DU375" s="401">
        <v>95.383852848941302</v>
      </c>
      <c r="DV375" s="401">
        <v>97.107125251090537</v>
      </c>
      <c r="DW375" s="401">
        <v>98.691145642796499</v>
      </c>
      <c r="DX375" s="401">
        <v>100.26121263617775</v>
      </c>
      <c r="DY375" s="401">
        <v>101.80512542661964</v>
      </c>
      <c r="DZ375" s="401"/>
      <c r="EA375" s="989"/>
    </row>
    <row r="376" spans="1:131">
      <c r="A376" s="76" t="s">
        <v>4434</v>
      </c>
      <c r="B376" s="3" t="s">
        <v>848</v>
      </c>
      <c r="C376" s="251" t="s">
        <v>3728</v>
      </c>
      <c r="BI376" s="32">
        <f t="shared" ref="BI376:BN376" si="1395">+(BI374/100)/(1-BI374/100)*(BI370+BI371)</f>
        <v>12.616000000000001</v>
      </c>
      <c r="BJ376" s="32">
        <f t="shared" si="1395"/>
        <v>10.748999999999995</v>
      </c>
      <c r="BK376" s="32">
        <f t="shared" si="1395"/>
        <v>10.008447374689638</v>
      </c>
      <c r="BL376" s="32">
        <f t="shared" si="1395"/>
        <v>9.581554198283726</v>
      </c>
      <c r="BM376" s="32">
        <f t="shared" si="1395"/>
        <v>10.677970525104371</v>
      </c>
      <c r="BN376" s="32">
        <f t="shared" si="1395"/>
        <v>12.026366237644316</v>
      </c>
      <c r="BO376" s="117">
        <f t="shared" ref="BO376:BV376" ca="1" si="1396">BO377-BO370-BO371-BO375</f>
        <v>12.810424390285021</v>
      </c>
      <c r="BP376" s="117">
        <f t="shared" ca="1" si="1396"/>
        <v>14.412511288747169</v>
      </c>
      <c r="BQ376" s="117">
        <f t="shared" ca="1" si="1396"/>
        <v>14.754241259969803</v>
      </c>
      <c r="BR376" s="117">
        <f t="shared" ca="1" si="1396"/>
        <v>14.331897168867329</v>
      </c>
      <c r="BS376" s="117">
        <f t="shared" ca="1" si="1396"/>
        <v>14.691231836325201</v>
      </c>
      <c r="BT376" s="117">
        <f t="shared" ca="1" si="1396"/>
        <v>15.282248093621376</v>
      </c>
      <c r="BU376" s="117">
        <f t="shared" ca="1" si="1396"/>
        <v>15.808439914693608</v>
      </c>
      <c r="BV376" s="117">
        <f t="shared" ca="1" si="1396"/>
        <v>16.256346719617881</v>
      </c>
      <c r="BW376" s="117">
        <f t="shared" ref="BW376:BX376" ca="1" si="1397">BW377-BW370-BW371-BW375</f>
        <v>16.601929103791988</v>
      </c>
      <c r="BX376" s="117">
        <f t="shared" ca="1" si="1397"/>
        <v>16.952644480558874</v>
      </c>
      <c r="BY376" s="117">
        <f t="shared" ref="BY376:CD376" ca="1" si="1398">BY377-BY370-BY371-BY375</f>
        <v>17.305152726338207</v>
      </c>
      <c r="BZ376" s="117">
        <f t="shared" ca="1" si="1398"/>
        <v>17.645071158071275</v>
      </c>
      <c r="CA376" s="117">
        <f t="shared" ca="1" si="1398"/>
        <v>17.963859540511834</v>
      </c>
      <c r="CB376" s="117">
        <f t="shared" ca="1" si="1398"/>
        <v>18.256887675701066</v>
      </c>
      <c r="CC376" s="117">
        <f t="shared" ca="1" si="1398"/>
        <v>18.547334569946884</v>
      </c>
      <c r="CD376" s="117">
        <f t="shared" ca="1" si="1398"/>
        <v>18.832943194842215</v>
      </c>
      <c r="CE376" s="117"/>
      <c r="CF376" s="435"/>
      <c r="CG376" s="235">
        <f t="shared" si="1363"/>
        <v>-41.631369463356229</v>
      </c>
      <c r="CH376" s="235">
        <f t="shared" si="1364"/>
        <v>6.9037120373084448</v>
      </c>
      <c r="CI376" s="235" t="e">
        <f>BM376-#REF!</f>
        <v>#REF!</v>
      </c>
      <c r="CJ376" s="235">
        <f t="shared" si="1365"/>
        <v>0</v>
      </c>
      <c r="CK376" s="235">
        <f t="shared" ca="1" si="1366"/>
        <v>0</v>
      </c>
      <c r="CL376" s="235">
        <f t="shared" ca="1" si="1367"/>
        <v>0</v>
      </c>
      <c r="CM376" s="235">
        <f t="shared" ca="1" si="1368"/>
        <v>0</v>
      </c>
      <c r="CN376" s="235">
        <f t="shared" ca="1" si="1369"/>
        <v>1.4210854715202004E-14</v>
      </c>
      <c r="CO376" s="235">
        <f t="shared" ca="1" si="1370"/>
        <v>0</v>
      </c>
      <c r="CP376" s="235">
        <f t="shared" ca="1" si="1371"/>
        <v>0</v>
      </c>
      <c r="CQ376" s="235">
        <f t="shared" ca="1" si="1372"/>
        <v>0</v>
      </c>
      <c r="CR376" s="235">
        <f t="shared" ca="1" si="1373"/>
        <v>-2.8421709430404007E-14</v>
      </c>
      <c r="CS376" s="235">
        <f t="shared" ca="1" si="1374"/>
        <v>-2.8421709430404007E-14</v>
      </c>
      <c r="CT376" s="235">
        <f t="shared" ca="1" si="1375"/>
        <v>-5.6843418860808015E-14</v>
      </c>
      <c r="CU376" s="235">
        <f t="shared" ca="1" si="1376"/>
        <v>-8.5265128291212022E-14</v>
      </c>
      <c r="CV376" s="235">
        <f t="shared" ca="1" si="1377"/>
        <v>-9.9475983006414026E-14</v>
      </c>
      <c r="CW376" s="235">
        <f t="shared" ca="1" si="1378"/>
        <v>-1.1368683772161603E-13</v>
      </c>
      <c r="CX376" s="235">
        <f t="shared" ca="1" si="1379"/>
        <v>-9.9475983006414026E-14</v>
      </c>
      <c r="CY376" s="235">
        <f t="shared" ca="1" si="1380"/>
        <v>1.5631940186722204E-13</v>
      </c>
      <c r="CZ376" s="235">
        <f t="shared" ca="1" si="1381"/>
        <v>2.2737367544323206E-12</v>
      </c>
      <c r="DF376" s="258"/>
      <c r="DG376" s="236">
        <v>51.639816838045867</v>
      </c>
      <c r="DH376" s="492">
        <v>2.6778421609752812</v>
      </c>
      <c r="DI376" s="236">
        <v>12.026366237644316</v>
      </c>
      <c r="DJ376" s="236">
        <v>12.810424390285021</v>
      </c>
      <c r="DK376" s="236">
        <v>14.412511288747169</v>
      </c>
      <c r="DL376" s="236">
        <v>14.754241259969803</v>
      </c>
      <c r="DM376" s="236">
        <v>14.331897168867314</v>
      </c>
      <c r="DN376" s="236">
        <v>14.691231836325201</v>
      </c>
      <c r="DO376" s="236">
        <v>15.282248093621376</v>
      </c>
      <c r="DP376" s="236">
        <v>15.808439914693608</v>
      </c>
      <c r="DQ376" s="258">
        <v>16.256346719617909</v>
      </c>
      <c r="DR376" s="258">
        <v>16.601929103792017</v>
      </c>
      <c r="DS376" s="258">
        <v>16.952644480558931</v>
      </c>
      <c r="DT376" s="258">
        <v>17.305152726338292</v>
      </c>
      <c r="DU376" s="258">
        <v>17.645071158071374</v>
      </c>
      <c r="DV376" s="258">
        <v>17.963859540511947</v>
      </c>
      <c r="DW376" s="258">
        <v>18.256887675701165</v>
      </c>
      <c r="DX376" s="258">
        <v>18.547334569946727</v>
      </c>
      <c r="DY376" s="258">
        <v>18.832943194839942</v>
      </c>
    </row>
    <row r="377" spans="1:131">
      <c r="A377" s="76" t="s">
        <v>4433</v>
      </c>
      <c r="B377" s="3" t="s">
        <v>2887</v>
      </c>
      <c r="C377" s="251" t="s">
        <v>3729</v>
      </c>
      <c r="BI377" s="421">
        <f>+DataInput!BI18</f>
        <v>208.10223375956124</v>
      </c>
      <c r="BJ377" s="195">
        <f t="shared" ref="BJ377:BV377" si="1399">+BI377*BJ373/BI373</f>
        <v>211.64051889096831</v>
      </c>
      <c r="BK377" s="195">
        <f t="shared" si="1399"/>
        <v>216.2858860196765</v>
      </c>
      <c r="BL377" s="195">
        <f t="shared" si="1399"/>
        <v>214.88577078640662</v>
      </c>
      <c r="BM377" s="195">
        <f t="shared" si="1399"/>
        <v>217.10844611981284</v>
      </c>
      <c r="BN377" s="195">
        <f t="shared" si="1399"/>
        <v>220.27831187155795</v>
      </c>
      <c r="BO377" s="195">
        <f t="shared" si="1399"/>
        <v>225.97057772621395</v>
      </c>
      <c r="BP377" s="195">
        <f t="shared" si="1399"/>
        <v>229.8613183763608</v>
      </c>
      <c r="BQ377" s="195">
        <f t="shared" si="1399"/>
        <v>233.87973525685092</v>
      </c>
      <c r="BR377" s="195">
        <f t="shared" si="1399"/>
        <v>237.0066333962919</v>
      </c>
      <c r="BS377" s="195">
        <f t="shared" si="1399"/>
        <v>240.19261513112249</v>
      </c>
      <c r="BT377" s="195">
        <f t="shared" si="1399"/>
        <v>243.43909176508257</v>
      </c>
      <c r="BU377" s="195">
        <f t="shared" si="1399"/>
        <v>246.74751332127678</v>
      </c>
      <c r="BV377" s="195">
        <f t="shared" si="1399"/>
        <v>250.11936969502037</v>
      </c>
      <c r="BW377" s="195">
        <f t="shared" ref="BW377:BX377" si="1400">+BV377*BW373/BV373</f>
        <v>252.7659581037924</v>
      </c>
      <c r="BX377" s="195">
        <f t="shared" si="1400"/>
        <v>255.45416673296884</v>
      </c>
      <c r="BY377" s="195">
        <f t="shared" ref="BY377" si="1401">+BX377*BY373/BX373</f>
        <v>258.18483705556662</v>
      </c>
      <c r="BZ377" s="195">
        <f t="shared" ref="BZ377" si="1402">+BY377*BZ373/BY373</f>
        <v>260.95883044840519</v>
      </c>
      <c r="CA377" s="195">
        <f t="shared" ref="CA377" si="1403">+BZ377*CA373/BZ373</f>
        <v>263.77702871169737</v>
      </c>
      <c r="CB377" s="195">
        <f t="shared" ref="CB377" si="1404">+CA377*CB373/CA373</f>
        <v>266.41857016942515</v>
      </c>
      <c r="CC377" s="195">
        <f t="shared" ref="CC377" si="1405">+CB377*CC373/CB373</f>
        <v>269.09681813515164</v>
      </c>
      <c r="CD377" s="195">
        <f t="shared" ref="CD377" si="1406">+CC377*CD373/CC373</f>
        <v>271.81239505503686</v>
      </c>
      <c r="CE377" s="195"/>
      <c r="CF377" s="435"/>
      <c r="CG377" s="235">
        <f t="shared" si="1363"/>
        <v>-0.22367798377101167</v>
      </c>
      <c r="CH377" s="235">
        <f t="shared" si="1364"/>
        <v>67.651709873704476</v>
      </c>
      <c r="CI377" s="235" t="e">
        <f>BM377-#REF!</f>
        <v>#REF!</v>
      </c>
      <c r="CJ377" s="235">
        <f t="shared" si="1365"/>
        <v>0</v>
      </c>
      <c r="CK377" s="235">
        <f t="shared" si="1366"/>
        <v>0</v>
      </c>
      <c r="CL377" s="235">
        <f t="shared" si="1367"/>
        <v>0</v>
      </c>
      <c r="CM377" s="235">
        <f t="shared" si="1368"/>
        <v>0</v>
      </c>
      <c r="CN377" s="235">
        <f t="shared" si="1369"/>
        <v>0</v>
      </c>
      <c r="CO377" s="235">
        <f t="shared" si="1370"/>
        <v>0</v>
      </c>
      <c r="CP377" s="235">
        <f t="shared" si="1371"/>
        <v>0</v>
      </c>
      <c r="CQ377" s="235">
        <f t="shared" si="1372"/>
        <v>0</v>
      </c>
      <c r="CR377" s="235">
        <f t="shared" si="1373"/>
        <v>0</v>
      </c>
      <c r="CS377" s="235">
        <f t="shared" si="1374"/>
        <v>0</v>
      </c>
      <c r="CT377" s="235">
        <f t="shared" si="1375"/>
        <v>0</v>
      </c>
      <c r="CU377" s="235">
        <f t="shared" si="1376"/>
        <v>0</v>
      </c>
      <c r="CV377" s="235">
        <f t="shared" si="1377"/>
        <v>0</v>
      </c>
      <c r="CW377" s="235">
        <f t="shared" si="1378"/>
        <v>0</v>
      </c>
      <c r="CX377" s="235">
        <f t="shared" si="1379"/>
        <v>0</v>
      </c>
      <c r="CY377" s="235">
        <f t="shared" si="1380"/>
        <v>0</v>
      </c>
      <c r="CZ377" s="235">
        <f t="shared" si="1381"/>
        <v>0</v>
      </c>
      <c r="DG377" s="236">
        <v>216.50956400344751</v>
      </c>
      <c r="DH377" s="492">
        <v>147.23406091270215</v>
      </c>
      <c r="DI377" s="236">
        <v>220.27831187155795</v>
      </c>
      <c r="DJ377" s="236">
        <v>225.97057772621395</v>
      </c>
      <c r="DK377" s="236">
        <v>229.8613183763608</v>
      </c>
      <c r="DL377" s="236">
        <v>233.87973525685092</v>
      </c>
      <c r="DM377" s="236">
        <v>237.0066333962919</v>
      </c>
      <c r="DN377" s="236">
        <v>240.19261513112249</v>
      </c>
      <c r="DO377" s="236">
        <v>243.43909176508257</v>
      </c>
      <c r="DP377" s="236">
        <v>246.74751332127678</v>
      </c>
      <c r="DQ377" s="258">
        <v>250.11936969502037</v>
      </c>
      <c r="DR377" s="258">
        <v>252.7659581037924</v>
      </c>
      <c r="DS377" s="258">
        <v>255.45416673296884</v>
      </c>
      <c r="DT377" s="258">
        <v>258.18483705556662</v>
      </c>
      <c r="DU377" s="258">
        <v>260.95883044840519</v>
      </c>
      <c r="DV377" s="258">
        <v>263.77702871169737</v>
      </c>
      <c r="DW377" s="258">
        <v>266.41857016942515</v>
      </c>
      <c r="DX377" s="258">
        <v>269.09681813515164</v>
      </c>
      <c r="DY377" s="258">
        <v>271.81239505503686</v>
      </c>
    </row>
    <row r="378" spans="1:131" s="25" customFormat="1">
      <c r="A378" s="165" t="s">
        <v>4422</v>
      </c>
      <c r="B378" s="99" t="s">
        <v>2155</v>
      </c>
      <c r="C378" s="12" t="s">
        <v>443</v>
      </c>
      <c r="D378" s="225"/>
      <c r="E378" s="225"/>
      <c r="F378" s="28">
        <f t="shared" ref="F378:AV378" si="1407">((((1-F284/100)*F335)/((1-4.62798/100)*63200))/(1+F302/100)-1)*100</f>
        <v>-99.999911655454227</v>
      </c>
      <c r="G378" s="28">
        <f t="shared" si="1407"/>
        <v>-99.999904440149905</v>
      </c>
      <c r="H378" s="28">
        <f t="shared" si="1407"/>
        <v>-99.999898698020274</v>
      </c>
      <c r="I378" s="28">
        <f t="shared" si="1407"/>
        <v>-99.999888677172407</v>
      </c>
      <c r="J378" s="28">
        <f t="shared" si="1407"/>
        <v>-99.999870848528857</v>
      </c>
      <c r="K378" s="28">
        <f t="shared" si="1407"/>
        <v>-99.999858682236791</v>
      </c>
      <c r="L378" s="28">
        <f t="shared" si="1407"/>
        <v>-99.999850907315874</v>
      </c>
      <c r="M378" s="28">
        <f t="shared" si="1407"/>
        <v>-99.999835700301205</v>
      </c>
      <c r="N378" s="28">
        <f t="shared" si="1407"/>
        <v>-99.999828504917986</v>
      </c>
      <c r="O378" s="28">
        <f t="shared" si="1407"/>
        <v>-99.999820298840731</v>
      </c>
      <c r="P378" s="28">
        <f t="shared" si="1407"/>
        <v>-99.999800787628757</v>
      </c>
      <c r="Q378" s="28">
        <f t="shared" si="1407"/>
        <v>-99.999792143169358</v>
      </c>
      <c r="R378" s="28">
        <f t="shared" si="1407"/>
        <v>-99.999756743961157</v>
      </c>
      <c r="S378" s="28">
        <f t="shared" si="1407"/>
        <v>-99.99974499832183</v>
      </c>
      <c r="T378" s="28">
        <f t="shared" si="1407"/>
        <v>-99.999702765780924</v>
      </c>
      <c r="U378" s="28">
        <f t="shared" si="1407"/>
        <v>-99.999677981698497</v>
      </c>
      <c r="V378" s="28">
        <f t="shared" si="1407"/>
        <v>-99.999629482354266</v>
      </c>
      <c r="W378" s="28">
        <f t="shared" si="1407"/>
        <v>-99.999603441526659</v>
      </c>
      <c r="X378" s="28">
        <f t="shared" si="1407"/>
        <v>-99.999571997332069</v>
      </c>
      <c r="Y378" s="28">
        <f t="shared" si="1407"/>
        <v>-99.999575983316433</v>
      </c>
      <c r="Z378" s="28">
        <f t="shared" si="1407"/>
        <v>-99.999539501391354</v>
      </c>
      <c r="AA378" s="28">
        <f t="shared" si="1407"/>
        <v>-99.999379658359018</v>
      </c>
      <c r="AB378" s="28">
        <f t="shared" si="1407"/>
        <v>-99.999270882606965</v>
      </c>
      <c r="AC378" s="28">
        <f t="shared" si="1407"/>
        <v>-99.999062770218387</v>
      </c>
      <c r="AD378" s="28">
        <f t="shared" si="1407"/>
        <v>-99.998891445470633</v>
      </c>
      <c r="AE378" s="28">
        <f t="shared" si="1407"/>
        <v>-99.998905710817468</v>
      </c>
      <c r="AF378" s="28">
        <f t="shared" si="1407"/>
        <v>-99.99875321073155</v>
      </c>
      <c r="AG378" s="28">
        <f t="shared" si="1407"/>
        <v>-99.998465201086972</v>
      </c>
      <c r="AH378" s="28">
        <f t="shared" si="1407"/>
        <v>-99.99820249312981</v>
      </c>
      <c r="AI378" s="28">
        <f t="shared" si="1407"/>
        <v>-99.998023333941816</v>
      </c>
      <c r="AJ378" s="28">
        <f t="shared" si="1407"/>
        <v>-99.997971009576972</v>
      </c>
      <c r="AK378" s="28">
        <f t="shared" si="1407"/>
        <v>-99.998120262561031</v>
      </c>
      <c r="AL378" s="28">
        <f t="shared" si="1407"/>
        <v>-99.998366672341518</v>
      </c>
      <c r="AM378" s="28">
        <f t="shared" si="1407"/>
        <v>-99.998883047415703</v>
      </c>
      <c r="AN378" s="28">
        <f t="shared" si="1407"/>
        <v>-99.99801476372825</v>
      </c>
      <c r="AO378" s="28">
        <f t="shared" si="1407"/>
        <v>-99.997931903639511</v>
      </c>
      <c r="AP378" s="28">
        <f t="shared" si="1407"/>
        <v>-99.99785831733368</v>
      </c>
      <c r="AQ378" s="28">
        <f t="shared" si="1407"/>
        <v>-99.997447633974019</v>
      </c>
      <c r="AR378" s="28">
        <f t="shared" si="1407"/>
        <v>-99.997116347801608</v>
      </c>
      <c r="AS378" s="28">
        <f t="shared" si="1407"/>
        <v>-99.997468370405699</v>
      </c>
      <c r="AT378" s="28">
        <f t="shared" si="1407"/>
        <v>-99.997285563103958</v>
      </c>
      <c r="AU378" s="28">
        <f t="shared" si="1407"/>
        <v>-99.959556945742179</v>
      </c>
      <c r="AV378" s="28">
        <f t="shared" si="1407"/>
        <v>-99.745249398133879</v>
      </c>
      <c r="AW378" s="28">
        <f t="shared" ref="AW378:BB378" si="1408">((((1-AW284/100)*AW335)/((1-AV284/100)*AV335))/(1+AW302/100)-1)*100</f>
        <v>1.6874246950934646</v>
      </c>
      <c r="AX378" s="28">
        <f t="shared" si="1408"/>
        <v>11.998576448002197</v>
      </c>
      <c r="AY378" s="28">
        <f t="shared" si="1408"/>
        <v>-16.315614973184722</v>
      </c>
      <c r="AZ378" s="28">
        <f t="shared" si="1408"/>
        <v>-6.9425677002526109</v>
      </c>
      <c r="BA378" s="30">
        <f t="shared" si="1408"/>
        <v>11.87853043603042</v>
      </c>
      <c r="BB378" s="30">
        <f t="shared" si="1408"/>
        <v>9.9373804802052703</v>
      </c>
      <c r="BC378" s="30">
        <f t="shared" ref="BC378:BQ378" ca="1" si="1409">((((1-BC284/100)*BC335)/((1-BB284/100)*BB335))/(1+BC302/100)-1)*100</f>
        <v>-3.3768093811043731</v>
      </c>
      <c r="BD378" s="30">
        <f t="shared" ca="1" si="1409"/>
        <v>12.659366397629102</v>
      </c>
      <c r="BE378" s="30">
        <f t="shared" ca="1" si="1409"/>
        <v>24.718930771006864</v>
      </c>
      <c r="BF378" s="30">
        <f t="shared" ca="1" si="1409"/>
        <v>-1.0237859004819216</v>
      </c>
      <c r="BG378" s="30">
        <f t="shared" ca="1" si="1409"/>
        <v>9.6210938615752148</v>
      </c>
      <c r="BH378" s="30">
        <f t="shared" ca="1" si="1409"/>
        <v>-4.7812716287031538</v>
      </c>
      <c r="BI378" s="30">
        <f t="shared" ca="1" si="1409"/>
        <v>11.593260618951785</v>
      </c>
      <c r="BJ378" s="30">
        <f t="shared" ca="1" si="1409"/>
        <v>2.3471230196747683E-2</v>
      </c>
      <c r="BK378" s="30">
        <f t="shared" ref="BK378:BP378" ca="1" si="1410">((((1-BK284/100)*BK335)/((1-BJ284/100)*BJ335))/(1+BK302/100)-1)*100</f>
        <v>-2.0880267011914144</v>
      </c>
      <c r="BL378" s="30">
        <f t="shared" ca="1" si="1410"/>
        <v>7.5322507536151884</v>
      </c>
      <c r="BM378" s="30">
        <f t="shared" ca="1" si="1410"/>
        <v>8.3424589059048593</v>
      </c>
      <c r="BN378" s="30">
        <f t="shared" ca="1" si="1410"/>
        <v>-1.3575439044519411</v>
      </c>
      <c r="BO378" s="30">
        <f t="shared" ca="1" si="1410"/>
        <v>-2.2996164005254727</v>
      </c>
      <c r="BP378" s="30">
        <f t="shared" ca="1" si="1410"/>
        <v>-13.593436965988182</v>
      </c>
      <c r="BQ378" s="30">
        <f t="shared" ca="1" si="1409"/>
        <v>10.631244735640632</v>
      </c>
      <c r="BR378" s="30">
        <f t="shared" ref="BR378:BX378" ca="1" si="1411">((((1-BR284/100)*BR335)/((1-BQ284/100)*BQ335))/(1+BR302/100)-1)*100</f>
        <v>7.3466910674323538</v>
      </c>
      <c r="BS378" s="30">
        <f t="shared" ca="1" si="1411"/>
        <v>2.0588911916583852</v>
      </c>
      <c r="BT378" s="30">
        <f t="shared" ca="1" si="1411"/>
        <v>-0.16654296064323448</v>
      </c>
      <c r="BU378" s="30">
        <f t="shared" ca="1" si="1411"/>
        <v>0.21660145367115025</v>
      </c>
      <c r="BV378" s="30">
        <f t="shared" ca="1" si="1411"/>
        <v>0.60672083420862943</v>
      </c>
      <c r="BW378" s="30">
        <f t="shared" ca="1" si="1411"/>
        <v>0.55092907271363512</v>
      </c>
      <c r="BX378" s="30">
        <f t="shared" ca="1" si="1411"/>
        <v>0.52998608038572481</v>
      </c>
      <c r="BY378" s="30">
        <f t="shared" ref="BY378" ca="1" si="1412">((((1-BY284/100)*BY335)/((1-BX284/100)*BX335))/(1+BY302/100)-1)*100</f>
        <v>0.51368715465296422</v>
      </c>
      <c r="BZ378" s="30">
        <f t="shared" ref="BZ378" ca="1" si="1413">((((1-BZ284/100)*BZ335)/((1-BY284/100)*BY335))/(1+BZ302/100)-1)*100</f>
        <v>0.56371105339025895</v>
      </c>
      <c r="CA378" s="30">
        <f t="shared" ref="CA378" ca="1" si="1414">((((1-CA284/100)*CA335)/((1-BZ284/100)*BZ335))/(1+CA302/100)-1)*100</f>
        <v>0.65140726857477738</v>
      </c>
      <c r="CB378" s="30">
        <f t="shared" ref="CB378" ca="1" si="1415">((((1-CB284/100)*CB335)/((1-CA284/100)*CA335))/(1+CB302/100)-1)*100</f>
        <v>0.6080894771423484</v>
      </c>
      <c r="CC378" s="30">
        <f t="shared" ref="CC378" ca="1" si="1416">((((1-CC284/100)*CC335)/((1-CB284/100)*CB335))/(1+CC302/100)-1)*100</f>
        <v>0.62162861618306753</v>
      </c>
      <c r="CD378" s="30">
        <f t="shared" ref="CD378" ca="1" si="1417">((((1-CD284/100)*CD335)/((1-CC284/100)*CC335))/(1+CD302/100)-1)*100</f>
        <v>0.64302005261287487</v>
      </c>
      <c r="CE378" s="30"/>
      <c r="CF378" s="435"/>
      <c r="CG378" s="235">
        <f t="shared" ca="1" si="1363"/>
        <v>-1.3561022313426041</v>
      </c>
      <c r="CH378" s="235">
        <f t="shared" ca="1" si="1364"/>
        <v>1.0816553479342517E-3</v>
      </c>
      <c r="CI378" s="235" t="e">
        <f ca="1">BM378-#REF!</f>
        <v>#REF!</v>
      </c>
      <c r="CJ378" s="235">
        <f t="shared" ca="1" si="1365"/>
        <v>0</v>
      </c>
      <c r="CK378" s="235">
        <f t="shared" ca="1" si="1366"/>
        <v>0</v>
      </c>
      <c r="CL378" s="235">
        <f t="shared" ca="1" si="1367"/>
        <v>2.1316282072803006E-14</v>
      </c>
      <c r="CM378" s="235">
        <f t="shared" ca="1" si="1368"/>
        <v>-2.3092638912203256E-14</v>
      </c>
      <c r="CN378" s="235">
        <f t="shared" ca="1" si="1369"/>
        <v>-2.2204460492503131E-14</v>
      </c>
      <c r="CO378" s="235">
        <f t="shared" ca="1" si="1370"/>
        <v>-2.2204460492503131E-14</v>
      </c>
      <c r="CP378" s="235">
        <f t="shared" ca="1" si="1371"/>
        <v>-2.2204460492503131E-14</v>
      </c>
      <c r="CQ378" s="235">
        <f t="shared" ca="1" si="1372"/>
        <v>-2.2204460492503131E-14</v>
      </c>
      <c r="CR378" s="235">
        <f t="shared" ca="1" si="1373"/>
        <v>-2.2204460492503131E-14</v>
      </c>
      <c r="CS378" s="235">
        <f t="shared" ca="1" si="1374"/>
        <v>-8.8817841970012523E-14</v>
      </c>
      <c r="CT378" s="235">
        <f t="shared" ca="1" si="1375"/>
        <v>-1.3322676295501878E-13</v>
      </c>
      <c r="CU378" s="235">
        <f t="shared" ca="1" si="1376"/>
        <v>-1.7763568394002505E-13</v>
      </c>
      <c r="CV378" s="235">
        <f t="shared" ca="1" si="1377"/>
        <v>-1.5543122344752192E-13</v>
      </c>
      <c r="CW378" s="235">
        <f t="shared" ca="1" si="1378"/>
        <v>-2.2204460492503131E-14</v>
      </c>
      <c r="CX378" s="235">
        <f t="shared" ca="1" si="1379"/>
        <v>2.1316282072803006E-12</v>
      </c>
      <c r="CY378" s="235">
        <f t="shared" ca="1" si="1380"/>
        <v>2.2137847111025621E-11</v>
      </c>
      <c r="CZ378" s="235">
        <f t="shared" ca="1" si="1381"/>
        <v>1.6291412663349547E-10</v>
      </c>
      <c r="DA378" s="38"/>
      <c r="DB378" s="236">
        <v>4.2126982196956098</v>
      </c>
      <c r="DC378" s="236">
        <v>5.2126982196956106</v>
      </c>
      <c r="DD378" s="236">
        <v>9.610863584917805</v>
      </c>
      <c r="DE378" s="236">
        <v>-6.1981434029599107</v>
      </c>
      <c r="DF378" s="403">
        <v>14.302203854371221</v>
      </c>
      <c r="DG378" s="236">
        <v>-0.73192446984881032</v>
      </c>
      <c r="DH378" s="492">
        <v>7.5311690982672541</v>
      </c>
      <c r="DI378" s="236">
        <v>-1.3575439044519411</v>
      </c>
      <c r="DJ378" s="236">
        <v>-2.2996164005254727</v>
      </c>
      <c r="DK378" s="236">
        <v>-13.593436965988204</v>
      </c>
      <c r="DL378" s="236">
        <v>10.631244735640655</v>
      </c>
      <c r="DM378" s="236">
        <v>7.346691067432376</v>
      </c>
      <c r="DN378" s="236">
        <v>2.0588911916584074</v>
      </c>
      <c r="DO378" s="236">
        <v>-0.16654296064321228</v>
      </c>
      <c r="DP378" s="236">
        <v>0.21660145367117245</v>
      </c>
      <c r="DQ378" s="259">
        <v>0.60672083420865164</v>
      </c>
      <c r="DR378" s="259">
        <v>0.55092907271372393</v>
      </c>
      <c r="DS378" s="259">
        <v>0.52998608038585804</v>
      </c>
      <c r="DT378" s="259">
        <v>0.51368715465314185</v>
      </c>
      <c r="DU378" s="259">
        <v>0.56371105339041438</v>
      </c>
      <c r="DV378" s="259">
        <v>0.65140726857479958</v>
      </c>
      <c r="DW378" s="259">
        <v>0.60808947714021677</v>
      </c>
      <c r="DX378" s="259">
        <v>0.62162861616092968</v>
      </c>
      <c r="DY378" s="259">
        <v>0.64302005244996074</v>
      </c>
      <c r="DZ378" s="259"/>
      <c r="EA378" s="508"/>
    </row>
    <row r="379" spans="1:131" s="76" customFormat="1">
      <c r="A379" s="76" t="s">
        <v>4430</v>
      </c>
      <c r="B379" s="80" t="s">
        <v>1362</v>
      </c>
      <c r="C379" s="122" t="s">
        <v>2603</v>
      </c>
      <c r="D379" s="207" t="s">
        <v>818</v>
      </c>
      <c r="E379" s="207"/>
      <c r="F379" s="295">
        <f>mamiabc!F98*Model!$AV379/mamiabc!$AV98</f>
        <v>0</v>
      </c>
      <c r="G379" s="295">
        <f>mamiabc!G98*Model!$AV379/mamiabc!$AV98</f>
        <v>0</v>
      </c>
      <c r="H379" s="295">
        <f>mamiabc!H98*Model!$AV379/mamiabc!$AV98</f>
        <v>8.5835577204488228E-2</v>
      </c>
      <c r="I379" s="295">
        <f>mamiabc!I98*Model!$AV379/mamiabc!$AV98</f>
        <v>8.5835577204488228E-2</v>
      </c>
      <c r="J379" s="295">
        <f>mamiabc!J98*Model!$AV379/mamiabc!$AV98</f>
        <v>8.5835577204488228E-2</v>
      </c>
      <c r="K379" s="295">
        <f>mamiabc!K98*Model!$AV379/mamiabc!$AV98</f>
        <v>8.5835577204488228E-2</v>
      </c>
      <c r="L379" s="295">
        <f>mamiabc!L98*Model!$AV379/mamiabc!$AV98</f>
        <v>8.5835577204488228E-2</v>
      </c>
      <c r="M379" s="295">
        <f>mamiabc!M98*Model!$AV379/mamiabc!$AV98</f>
        <v>0.37195413946278844</v>
      </c>
      <c r="N379" s="295">
        <f>mamiabc!N98*Model!$AV379/mamiabc!$AV98</f>
        <v>0.37195413946278844</v>
      </c>
      <c r="O379" s="295">
        <f>mamiabc!O98*Model!$AV379/mamiabc!$AV98</f>
        <v>0.37195413946278844</v>
      </c>
      <c r="P379" s="295">
        <f>mamiabc!P98*Model!$AV379/mamiabc!$AV98</f>
        <v>0.37195413946278844</v>
      </c>
      <c r="Q379" s="295">
        <f>mamiabc!Q98*Model!$AV379/mamiabc!$AV98</f>
        <v>0.37195413946278844</v>
      </c>
      <c r="R379" s="295">
        <f>mamiabc!R98*Model!$AV379/mamiabc!$AV98</f>
        <v>0.30900807793615759</v>
      </c>
      <c r="S379" s="295">
        <f>mamiabc!S98*Model!$AV379/mamiabc!$AV98</f>
        <v>0.4692344659792072</v>
      </c>
      <c r="T379" s="295">
        <f>mamiabc!T98*Model!$AV379/mamiabc!$AV98</f>
        <v>0.80971555762468406</v>
      </c>
      <c r="U379" s="295">
        <f>mamiabc!U98*Model!$AV379/mamiabc!$AV98</f>
        <v>1.2932559730343016</v>
      </c>
      <c r="V379" s="295">
        <f>mamiabc!V98*Model!$AV379/mamiabc!$AV98</f>
        <v>1.8540483994009607</v>
      </c>
      <c r="W379" s="295">
        <f>mamiabc!W98*Model!$AV379/mamiabc!$AV98</f>
        <v>2.0600537164757471</v>
      </c>
      <c r="X379" s="295">
        <f>mamiabc!X98*Model!$AV379/mamiabc!$AV98</f>
        <v>1.6809466534597424</v>
      </c>
      <c r="Y379" s="295">
        <f>mamiabc!Y98*Model!$AV379/mamiabc!$AV98</f>
        <v>2.4766424618196465</v>
      </c>
      <c r="Z379" s="295">
        <f>mamiabc!Z98*Model!$AV379/mamiabc!$AV98</f>
        <v>4.2448553692861006</v>
      </c>
      <c r="AA379" s="295">
        <f>mamiabc!AA98*Model!$AV379/mamiabc!$AV98</f>
        <v>10.225878504862013</v>
      </c>
      <c r="AB379" s="295">
        <f>mamiabc!AB98*Model!$AV379/mamiabc!$AV98</f>
        <v>0.11788085481309815</v>
      </c>
      <c r="AC379" s="295">
        <f>mamiabc!AC98*Model!$AV379/mamiabc!$AV98</f>
        <v>0.38797677826709348</v>
      </c>
      <c r="AD379" s="295">
        <f>mamiabc!AD98*Model!$AV379/mamiabc!$AV98</f>
        <v>1.3467600895185456</v>
      </c>
      <c r="AE379" s="295">
        <f>mamiabc!AE98*Model!$AV379/mamiabc!$AV98</f>
        <v>4.5178123564266048</v>
      </c>
      <c r="AF379" s="295">
        <f>mamiabc!AF98*Model!$AV379/mamiabc!$AV98</f>
        <v>4.7798968069924817</v>
      </c>
      <c r="AG379" s="295">
        <f>mamiabc!AG98*Model!$AV379/mamiabc!$AV98</f>
        <v>0.31301372058323756</v>
      </c>
      <c r="AH379" s="295">
        <f>mamiabc!AH98*Model!$AV379/mamiabc!$AV98</f>
        <v>-7.8682611016281184E-2</v>
      </c>
      <c r="AI379" s="295">
        <f>mamiabc!AI98*Model!$AV379/mamiabc!$AV98</f>
        <v>0.69240698376487286</v>
      </c>
      <c r="AJ379" s="295">
        <f>mamiabc!AJ98*Model!$AV379/mamiabc!$AV98</f>
        <v>2.7181264693588246E-2</v>
      </c>
      <c r="AK379" s="295">
        <f>mamiabc!AK98*Model!$AV379/mamiabc!$AV98</f>
        <v>-0.25750671455946839</v>
      </c>
      <c r="AL379" s="295">
        <f>mamiabc!AL98*Model!$AV379/mamiabc!$AV98</f>
        <v>-0.31473044406512474</v>
      </c>
      <c r="AM379" s="295">
        <f>mamiabc!AM98*Model!$AV379/mamiabc!$AV98</f>
        <v>1.3988337167945257</v>
      </c>
      <c r="AN379" s="295">
        <f>mamiabc!AN98*Model!$AV379/mamiabc!$AV98</f>
        <v>0.68439563025472783</v>
      </c>
      <c r="AO379" s="295">
        <f>mamiabc!AO98*Model!$AV379/mamiabc!$AV98</f>
        <v>0</v>
      </c>
      <c r="AP379" s="295">
        <f>mamiabc!AP98*Model!$AV379/mamiabc!$AV98</f>
        <v>1.7836632234328567</v>
      </c>
      <c r="AQ379" s="295">
        <f>mamiabc!AQ98*Model!$AV379/mamiabc!$AV98</f>
        <v>1.7141364086599686</v>
      </c>
      <c r="AR379" s="295">
        <f>mamiabc!AR98*Model!$AV379/mamiabc!$AV98</f>
        <v>1.5516210556105841</v>
      </c>
      <c r="AS379" s="295">
        <f>mamiabc!AS98*Model!$AV379/mamiabc!$AV98</f>
        <v>2.1736428470355169</v>
      </c>
      <c r="AT379" s="295">
        <f>mamiabc!AT98*Model!$AV379/mamiabc!$AV98</f>
        <v>0.72788566577048242</v>
      </c>
      <c r="AU379" s="295">
        <f>mamiabc!AU98*Model!$AV379/mamiabc!$AV98</f>
        <v>-0.28611857931229656</v>
      </c>
      <c r="AV379" s="113">
        <f>DataInput!AV14</f>
        <v>2.0219999999999998</v>
      </c>
      <c r="AW379" s="113">
        <f>DataInput!AW14</f>
        <v>1.407</v>
      </c>
      <c r="AX379" s="113">
        <f>DataInput!AX14</f>
        <v>2.577</v>
      </c>
      <c r="AY379" s="113">
        <f>DataInput!AY14</f>
        <v>0.64</v>
      </c>
      <c r="AZ379" s="113">
        <f>DataInput!AZ14</f>
        <v>2.1549999999999998</v>
      </c>
      <c r="BA379" s="113">
        <f>DataInput!BA14</f>
        <v>2.5329999999999999</v>
      </c>
      <c r="BB379" s="113">
        <f>DataInput!BB14</f>
        <v>2.1139999999999999</v>
      </c>
      <c r="BC379" s="113">
        <f>DataInput!BC14</f>
        <v>1.859</v>
      </c>
      <c r="BD379" s="113">
        <f>DataInput!BD14</f>
        <v>1.488</v>
      </c>
      <c r="BE379" s="113">
        <f>DataInput!BE14</f>
        <v>3.4</v>
      </c>
      <c r="BF379" s="113">
        <f>DataInput!BF14</f>
        <v>4.2</v>
      </c>
      <c r="BG379" s="113">
        <f>DataInput!BG14</f>
        <v>2.09</v>
      </c>
      <c r="BH379" s="113">
        <f>DataInput!BH14</f>
        <v>3.7669999999999999</v>
      </c>
      <c r="BI379" s="113">
        <f>DataInput!BI14</f>
        <v>3.51</v>
      </c>
      <c r="BJ379" s="113">
        <f>DataInput!BJ14</f>
        <v>6.8310000000000004</v>
      </c>
      <c r="BK379" s="113">
        <f>DataInput!BK14</f>
        <v>4.476</v>
      </c>
      <c r="BL379" s="29">
        <f>SIM!T76+finsim!BK342</f>
        <v>0</v>
      </c>
      <c r="BM379" s="29">
        <f>SIM!U76+finsim!BL342</f>
        <v>0</v>
      </c>
      <c r="BN379" s="29">
        <f>SIM!V76+finsim!BM342</f>
        <v>0</v>
      </c>
      <c r="BO379" s="29">
        <f>SIM!W76+finsim!BN342</f>
        <v>0</v>
      </c>
      <c r="BP379" s="29">
        <f>SIM!X76+finsim!BO342</f>
        <v>0</v>
      </c>
      <c r="BQ379" s="29">
        <f>SIM!Y76+finsim!BP342</f>
        <v>0</v>
      </c>
      <c r="BR379" s="29">
        <f>SIM!Z76+finsim!BQ342</f>
        <v>0</v>
      </c>
      <c r="BS379" s="29">
        <f>SIM!AA76+finsim!BR342</f>
        <v>0</v>
      </c>
      <c r="BT379" s="29">
        <f>SIM!AB76+finsim!BS342</f>
        <v>0</v>
      </c>
      <c r="BU379" s="29">
        <f>SIM!AC76+finsim!BT342</f>
        <v>0</v>
      </c>
      <c r="BV379" s="29">
        <f>SIM!AD76+finsim!BU342</f>
        <v>0</v>
      </c>
      <c r="BW379" s="29">
        <f>SIM!AE76+finsim!BV342</f>
        <v>0</v>
      </c>
      <c r="BX379" s="29">
        <f>SIM!AF76+finsim!BW342</f>
        <v>0</v>
      </c>
      <c r="BY379" s="29">
        <f>SIM!AG76+finsim!BX342</f>
        <v>0</v>
      </c>
      <c r="BZ379" s="29">
        <f>SIM!AH76+finsim!BY342</f>
        <v>0</v>
      </c>
      <c r="CA379" s="29">
        <f>SIM!AI76+finsim!BZ342</f>
        <v>0</v>
      </c>
      <c r="CB379" s="29">
        <f>SIM!AJ76+finsim!CA342</f>
        <v>0</v>
      </c>
      <c r="CC379" s="29">
        <f>SIM!AK76+finsim!CB342</f>
        <v>0</v>
      </c>
      <c r="CD379" s="29">
        <f>SIM!AL76+finsim!CC342</f>
        <v>0</v>
      </c>
      <c r="CE379" s="29"/>
      <c r="CF379" s="438"/>
      <c r="CG379" s="235">
        <f t="shared" si="1363"/>
        <v>0</v>
      </c>
      <c r="CH379" s="235">
        <f t="shared" si="1364"/>
        <v>0</v>
      </c>
      <c r="CI379" s="235" t="e">
        <f>BM379-#REF!</f>
        <v>#REF!</v>
      </c>
      <c r="CJ379" s="235">
        <f t="shared" si="1365"/>
        <v>0</v>
      </c>
      <c r="CK379" s="235">
        <f t="shared" si="1366"/>
        <v>0</v>
      </c>
      <c r="CL379" s="235">
        <f t="shared" si="1367"/>
        <v>0</v>
      </c>
      <c r="CM379" s="235">
        <f t="shared" si="1368"/>
        <v>0</v>
      </c>
      <c r="CN379" s="235">
        <f t="shared" si="1369"/>
        <v>0</v>
      </c>
      <c r="CO379" s="235">
        <f t="shared" si="1370"/>
        <v>0</v>
      </c>
      <c r="CP379" s="235">
        <f t="shared" si="1371"/>
        <v>0</v>
      </c>
      <c r="CQ379" s="235">
        <f t="shared" si="1372"/>
        <v>0</v>
      </c>
      <c r="CR379" s="235">
        <f t="shared" si="1373"/>
        <v>0</v>
      </c>
      <c r="CS379" s="235">
        <f t="shared" si="1374"/>
        <v>0</v>
      </c>
      <c r="CT379" s="235">
        <f t="shared" si="1375"/>
        <v>0</v>
      </c>
      <c r="CU379" s="235">
        <f t="shared" si="1376"/>
        <v>0</v>
      </c>
      <c r="CV379" s="235">
        <f t="shared" si="1377"/>
        <v>0</v>
      </c>
      <c r="CW379" s="235">
        <f t="shared" si="1378"/>
        <v>0</v>
      </c>
      <c r="CX379" s="235">
        <f t="shared" si="1379"/>
        <v>0</v>
      </c>
      <c r="CY379" s="235">
        <f t="shared" si="1380"/>
        <v>0</v>
      </c>
      <c r="CZ379" s="235">
        <f t="shared" si="1381"/>
        <v>0</v>
      </c>
      <c r="DA379" s="38"/>
      <c r="DB379" s="236">
        <v>3.2</v>
      </c>
      <c r="DC379" s="236">
        <v>4.2</v>
      </c>
      <c r="DD379" s="236">
        <v>4.2</v>
      </c>
      <c r="DE379" s="236">
        <v>4.2</v>
      </c>
      <c r="DF379" s="403">
        <v>4.2</v>
      </c>
      <c r="DG379" s="236">
        <v>4.476</v>
      </c>
      <c r="DH379" s="492">
        <v>0</v>
      </c>
      <c r="DI379" s="236">
        <v>0</v>
      </c>
      <c r="DJ379" s="236">
        <v>0</v>
      </c>
      <c r="DK379" s="236">
        <v>0</v>
      </c>
      <c r="DL379" s="236">
        <v>0</v>
      </c>
      <c r="DM379" s="236">
        <v>0</v>
      </c>
      <c r="DN379" s="236">
        <v>0</v>
      </c>
      <c r="DO379" s="236">
        <v>0</v>
      </c>
      <c r="DP379" s="236">
        <v>0</v>
      </c>
      <c r="DQ379" s="401">
        <v>0</v>
      </c>
      <c r="DR379" s="401">
        <v>0</v>
      </c>
      <c r="DS379" s="401">
        <v>0</v>
      </c>
      <c r="DT379" s="401">
        <v>0</v>
      </c>
      <c r="DU379" s="401">
        <v>0</v>
      </c>
      <c r="DV379" s="401">
        <v>0</v>
      </c>
      <c r="DW379" s="401">
        <v>0</v>
      </c>
      <c r="DX379" s="401">
        <v>0</v>
      </c>
      <c r="DY379" s="401">
        <v>0</v>
      </c>
      <c r="DZ379" s="401"/>
      <c r="EA379" s="989"/>
    </row>
    <row r="380" spans="1:131" s="76" customFormat="1">
      <c r="A380" s="76" t="s">
        <v>4431</v>
      </c>
      <c r="B380" s="80" t="s">
        <v>128</v>
      </c>
      <c r="C380" s="51" t="s">
        <v>2297</v>
      </c>
      <c r="D380" s="207"/>
      <c r="E380" s="207"/>
      <c r="F380" s="306">
        <f>mamiabc!F150</f>
        <v>-0.44899755716323853</v>
      </c>
      <c r="G380" s="307">
        <f t="shared" ref="G380:AL380" si="1418">F380+G379</f>
        <v>-0.44899755716323853</v>
      </c>
      <c r="H380" s="307">
        <f t="shared" si="1418"/>
        <v>-0.36316197995875033</v>
      </c>
      <c r="I380" s="307">
        <f t="shared" si="1418"/>
        <v>-0.27732640275426212</v>
      </c>
      <c r="J380" s="307">
        <f t="shared" si="1418"/>
        <v>-0.1914908255497739</v>
      </c>
      <c r="K380" s="307">
        <f t="shared" si="1418"/>
        <v>-0.10565524834528567</v>
      </c>
      <c r="L380" s="307">
        <f t="shared" si="1418"/>
        <v>-1.981967114079744E-2</v>
      </c>
      <c r="M380" s="307">
        <f t="shared" si="1418"/>
        <v>0.35213446832199102</v>
      </c>
      <c r="N380" s="307">
        <f t="shared" si="1418"/>
        <v>0.72408860778477946</v>
      </c>
      <c r="O380" s="307">
        <f t="shared" si="1418"/>
        <v>1.096042747247568</v>
      </c>
      <c r="P380" s="307">
        <f t="shared" si="1418"/>
        <v>1.4679968867103566</v>
      </c>
      <c r="Q380" s="307">
        <f t="shared" si="1418"/>
        <v>1.8399510261731451</v>
      </c>
      <c r="R380" s="307">
        <f t="shared" si="1418"/>
        <v>2.1489591041093026</v>
      </c>
      <c r="S380" s="307">
        <f t="shared" si="1418"/>
        <v>2.6181935700885099</v>
      </c>
      <c r="T380" s="307">
        <f t="shared" si="1418"/>
        <v>3.4279091277131939</v>
      </c>
      <c r="U380" s="307">
        <f t="shared" si="1418"/>
        <v>4.7211651007474957</v>
      </c>
      <c r="V380" s="307">
        <f t="shared" si="1418"/>
        <v>6.5752135001484566</v>
      </c>
      <c r="W380" s="307">
        <f t="shared" si="1418"/>
        <v>8.6352672166242037</v>
      </c>
      <c r="X380" s="307">
        <f t="shared" si="1418"/>
        <v>10.316213870083946</v>
      </c>
      <c r="Y380" s="307">
        <f t="shared" si="1418"/>
        <v>12.792856331903593</v>
      </c>
      <c r="Z380" s="307">
        <f t="shared" si="1418"/>
        <v>17.037711701189693</v>
      </c>
      <c r="AA380" s="307">
        <f t="shared" si="1418"/>
        <v>27.263590206051706</v>
      </c>
      <c r="AB380" s="307">
        <f t="shared" si="1418"/>
        <v>27.381471060864804</v>
      </c>
      <c r="AC380" s="307">
        <f t="shared" si="1418"/>
        <v>27.769447839131896</v>
      </c>
      <c r="AD380" s="307">
        <f t="shared" si="1418"/>
        <v>29.116207928650443</v>
      </c>
      <c r="AE380" s="307">
        <f t="shared" si="1418"/>
        <v>33.63402028507705</v>
      </c>
      <c r="AF380" s="307">
        <f t="shared" si="1418"/>
        <v>38.413917092069532</v>
      </c>
      <c r="AG380" s="307">
        <f t="shared" si="1418"/>
        <v>38.726930812652768</v>
      </c>
      <c r="AH380" s="307">
        <f t="shared" si="1418"/>
        <v>38.648248201636484</v>
      </c>
      <c r="AI380" s="25">
        <f t="shared" si="1418"/>
        <v>39.34065518540136</v>
      </c>
      <c r="AJ380" s="25">
        <f t="shared" si="1418"/>
        <v>39.367836450094948</v>
      </c>
      <c r="AK380" s="25">
        <f t="shared" si="1418"/>
        <v>39.11032973553548</v>
      </c>
      <c r="AL380" s="25">
        <f t="shared" si="1418"/>
        <v>38.795599291470353</v>
      </c>
      <c r="AM380" s="25">
        <f t="shared" ref="AM380:BQ380" si="1419">AL380+AM379</f>
        <v>40.19443300826488</v>
      </c>
      <c r="AN380" s="25">
        <f t="shared" si="1419"/>
        <v>40.878828638519607</v>
      </c>
      <c r="AO380" s="25">
        <f t="shared" si="1419"/>
        <v>40.878828638519607</v>
      </c>
      <c r="AP380" s="25">
        <f t="shared" si="1419"/>
        <v>42.662491861952461</v>
      </c>
      <c r="AQ380" s="25">
        <f t="shared" si="1419"/>
        <v>44.376628270612429</v>
      </c>
      <c r="AR380" s="25">
        <f t="shared" si="1419"/>
        <v>45.92824932622301</v>
      </c>
      <c r="AS380" s="25">
        <f t="shared" si="1419"/>
        <v>48.101892173258527</v>
      </c>
      <c r="AT380" s="25">
        <f t="shared" si="1419"/>
        <v>48.829777839029006</v>
      </c>
      <c r="AU380" s="25">
        <f t="shared" si="1419"/>
        <v>48.543659259716712</v>
      </c>
      <c r="AV380" s="28">
        <f t="shared" si="1419"/>
        <v>50.56565925971671</v>
      </c>
      <c r="AW380" s="28">
        <f t="shared" si="1419"/>
        <v>51.972659259716707</v>
      </c>
      <c r="AX380" s="28">
        <f t="shared" si="1419"/>
        <v>54.549659259716705</v>
      </c>
      <c r="AY380" s="28">
        <f t="shared" si="1419"/>
        <v>55.189659259716706</v>
      </c>
      <c r="AZ380" s="28">
        <f t="shared" si="1419"/>
        <v>57.344659259716707</v>
      </c>
      <c r="BA380" s="30">
        <f t="shared" si="1419"/>
        <v>59.877659259716708</v>
      </c>
      <c r="BB380" s="30">
        <f t="shared" si="1419"/>
        <v>61.991659259716705</v>
      </c>
      <c r="BC380" s="30">
        <f t="shared" si="1419"/>
        <v>63.850659259716707</v>
      </c>
      <c r="BD380" s="30">
        <f t="shared" si="1419"/>
        <v>65.338659259716707</v>
      </c>
      <c r="BE380" s="30">
        <f t="shared" si="1419"/>
        <v>68.738659259716712</v>
      </c>
      <c r="BF380" s="30">
        <f t="shared" si="1419"/>
        <v>72.938659259716715</v>
      </c>
      <c r="BG380" s="30">
        <f t="shared" si="1419"/>
        <v>75.028659259716719</v>
      </c>
      <c r="BH380" s="30">
        <f t="shared" si="1419"/>
        <v>78.795659259716714</v>
      </c>
      <c r="BI380" s="30">
        <f t="shared" si="1419"/>
        <v>82.30565925971672</v>
      </c>
      <c r="BJ380" s="30">
        <f t="shared" si="1419"/>
        <v>89.136659259716723</v>
      </c>
      <c r="BK380" s="30">
        <f t="shared" ref="BK380:BP380" si="1420">BJ380+BK379</f>
        <v>93.612659259716722</v>
      </c>
      <c r="BL380" s="30">
        <f t="shared" si="1420"/>
        <v>93.612659259716722</v>
      </c>
      <c r="BM380" s="30">
        <f t="shared" si="1420"/>
        <v>93.612659259716722</v>
      </c>
      <c r="BN380" s="30">
        <f t="shared" si="1420"/>
        <v>93.612659259716722</v>
      </c>
      <c r="BO380" s="30">
        <f t="shared" si="1420"/>
        <v>93.612659259716722</v>
      </c>
      <c r="BP380" s="30">
        <f t="shared" si="1420"/>
        <v>93.612659259716722</v>
      </c>
      <c r="BQ380" s="30">
        <f t="shared" si="1419"/>
        <v>93.612659259716722</v>
      </c>
      <c r="BR380" s="30">
        <f t="shared" ref="BR380:BX380" si="1421">BQ380+BR379</f>
        <v>93.612659259716722</v>
      </c>
      <c r="BS380" s="30">
        <f t="shared" si="1421"/>
        <v>93.612659259716722</v>
      </c>
      <c r="BT380" s="30">
        <f t="shared" si="1421"/>
        <v>93.612659259716722</v>
      </c>
      <c r="BU380" s="30">
        <f t="shared" si="1421"/>
        <v>93.612659259716722</v>
      </c>
      <c r="BV380" s="30">
        <f t="shared" si="1421"/>
        <v>93.612659259716722</v>
      </c>
      <c r="BW380" s="30">
        <f t="shared" si="1421"/>
        <v>93.612659259716722</v>
      </c>
      <c r="BX380" s="30">
        <f t="shared" si="1421"/>
        <v>93.612659259716722</v>
      </c>
      <c r="BY380" s="30">
        <f t="shared" ref="BY380" si="1422">BX380+BY379</f>
        <v>93.612659259716722</v>
      </c>
      <c r="BZ380" s="30">
        <f t="shared" ref="BZ380" si="1423">BY380+BZ379</f>
        <v>93.612659259716722</v>
      </c>
      <c r="CA380" s="30">
        <f t="shared" ref="CA380" si="1424">BZ380+CA379</f>
        <v>93.612659259716722</v>
      </c>
      <c r="CB380" s="30">
        <f t="shared" ref="CB380" si="1425">CA380+CB379</f>
        <v>93.612659259716722</v>
      </c>
      <c r="CC380" s="30">
        <f t="shared" ref="CC380" si="1426">CB380+CC379</f>
        <v>93.612659259716722</v>
      </c>
      <c r="CD380" s="30">
        <f t="shared" ref="CD380" si="1427">CC380+CD379</f>
        <v>93.612659259716722</v>
      </c>
      <c r="CE380" s="30"/>
      <c r="CF380" s="435"/>
      <c r="CG380" s="235">
        <f t="shared" si="1363"/>
        <v>0</v>
      </c>
      <c r="CH380" s="235">
        <f t="shared" si="1364"/>
        <v>0</v>
      </c>
      <c r="CI380" s="235" t="e">
        <f>BM380-#REF!</f>
        <v>#REF!</v>
      </c>
      <c r="CJ380" s="235">
        <f t="shared" si="1365"/>
        <v>0</v>
      </c>
      <c r="CK380" s="235">
        <f t="shared" si="1366"/>
        <v>0</v>
      </c>
      <c r="CL380" s="235">
        <f t="shared" si="1367"/>
        <v>0</v>
      </c>
      <c r="CM380" s="235">
        <f t="shared" si="1368"/>
        <v>0</v>
      </c>
      <c r="CN380" s="235">
        <f t="shared" si="1369"/>
        <v>0</v>
      </c>
      <c r="CO380" s="235">
        <f t="shared" si="1370"/>
        <v>0</v>
      </c>
      <c r="CP380" s="235">
        <f t="shared" si="1371"/>
        <v>0</v>
      </c>
      <c r="CQ380" s="235">
        <f t="shared" si="1372"/>
        <v>0</v>
      </c>
      <c r="CR380" s="235">
        <f t="shared" si="1373"/>
        <v>0</v>
      </c>
      <c r="CS380" s="235">
        <f t="shared" si="1374"/>
        <v>0</v>
      </c>
      <c r="CT380" s="235">
        <f t="shared" si="1375"/>
        <v>0</v>
      </c>
      <c r="CU380" s="235">
        <f t="shared" si="1376"/>
        <v>0</v>
      </c>
      <c r="CV380" s="235">
        <f t="shared" si="1377"/>
        <v>0</v>
      </c>
      <c r="CW380" s="235">
        <f t="shared" si="1378"/>
        <v>0</v>
      </c>
      <c r="CX380" s="235">
        <f t="shared" si="1379"/>
        <v>0</v>
      </c>
      <c r="CY380" s="235">
        <f t="shared" si="1380"/>
        <v>0</v>
      </c>
      <c r="CZ380" s="235">
        <f t="shared" si="1381"/>
        <v>0</v>
      </c>
      <c r="DA380" s="38"/>
      <c r="DB380" s="236">
        <v>71.938659259716701</v>
      </c>
      <c r="DC380" s="236">
        <v>72.938659259716715</v>
      </c>
      <c r="DD380" s="236">
        <v>77.138659259716718</v>
      </c>
      <c r="DE380" s="236">
        <v>81.338659259716721</v>
      </c>
      <c r="DF380" s="403">
        <v>85.538659259716724</v>
      </c>
      <c r="DG380" s="236">
        <v>93.612659259716722</v>
      </c>
      <c r="DH380" s="492">
        <v>93.612659259716722</v>
      </c>
      <c r="DI380" s="236">
        <v>93.612659259716722</v>
      </c>
      <c r="DJ380" s="236">
        <v>93.612659259716722</v>
      </c>
      <c r="DK380" s="236">
        <v>93.612659259716722</v>
      </c>
      <c r="DL380" s="236">
        <v>93.612659259716722</v>
      </c>
      <c r="DM380" s="236">
        <v>93.612659259716722</v>
      </c>
      <c r="DN380" s="236">
        <v>93.612659259716722</v>
      </c>
      <c r="DO380" s="236">
        <v>93.612659259716722</v>
      </c>
      <c r="DP380" s="236">
        <v>93.612659259716722</v>
      </c>
      <c r="DQ380" s="401">
        <v>93.612659259716722</v>
      </c>
      <c r="DR380" s="401">
        <v>93.612659259716722</v>
      </c>
      <c r="DS380" s="401">
        <v>93.612659259716722</v>
      </c>
      <c r="DT380" s="401">
        <v>93.612659259716722</v>
      </c>
      <c r="DU380" s="401">
        <v>93.612659259716722</v>
      </c>
      <c r="DV380" s="401">
        <v>93.612659259716722</v>
      </c>
      <c r="DW380" s="401">
        <v>93.612659259716722</v>
      </c>
      <c r="DX380" s="401">
        <v>93.612659259716722</v>
      </c>
      <c r="DY380" s="401">
        <v>93.612659259716722</v>
      </c>
      <c r="DZ380" s="401"/>
      <c r="EA380" s="989"/>
    </row>
    <row r="381" spans="1:131" s="76" customFormat="1">
      <c r="A381" s="76" t="s">
        <v>4427</v>
      </c>
      <c r="B381" s="80" t="s">
        <v>2688</v>
      </c>
      <c r="C381" s="122"/>
      <c r="D381" s="207" t="s">
        <v>2462</v>
      </c>
      <c r="E381" s="207"/>
      <c r="F381" s="30"/>
      <c r="G381" s="30">
        <f t="shared" ref="G381:AV381" si="1428">((1+G320/100)/(G370/F370)-1)*100</f>
        <v>-3.2128514056224744</v>
      </c>
      <c r="H381" s="30">
        <f t="shared" si="1428"/>
        <v>-23.077500702655605</v>
      </c>
      <c r="I381" s="30">
        <f t="shared" si="1428"/>
        <v>-4.2145565758072268</v>
      </c>
      <c r="J381" s="30">
        <f t="shared" si="1428"/>
        <v>-5.3030211523313664</v>
      </c>
      <c r="K381" s="30">
        <f t="shared" si="1428"/>
        <v>-5.5077506734555914</v>
      </c>
      <c r="L381" s="30">
        <f t="shared" si="1428"/>
        <v>-5.6818141762840941</v>
      </c>
      <c r="M381" s="30">
        <f t="shared" si="1428"/>
        <v>-1.0839094809356853</v>
      </c>
      <c r="N381" s="30">
        <f t="shared" si="1428"/>
        <v>-0.75697623243140555</v>
      </c>
      <c r="O381" s="30">
        <f t="shared" si="1428"/>
        <v>-0.63340038431495271</v>
      </c>
      <c r="P381" s="30">
        <f t="shared" si="1428"/>
        <v>-0.64819387521553029</v>
      </c>
      <c r="Q381" s="30">
        <f t="shared" si="1428"/>
        <v>-1.249104568607895</v>
      </c>
      <c r="R381" s="30">
        <f t="shared" si="1428"/>
        <v>-0.47007349106564789</v>
      </c>
      <c r="S381" s="30">
        <f t="shared" si="1428"/>
        <v>-0.62081447800577116</v>
      </c>
      <c r="T381" s="30">
        <f t="shared" si="1428"/>
        <v>-1.2204448225408782</v>
      </c>
      <c r="U381" s="30">
        <f t="shared" si="1428"/>
        <v>-0.38407657323692446</v>
      </c>
      <c r="V381" s="30">
        <f t="shared" si="1428"/>
        <v>-2.1513304870167449</v>
      </c>
      <c r="W381" s="30">
        <f t="shared" si="1428"/>
        <v>5.7022286647927745</v>
      </c>
      <c r="X381" s="30">
        <f t="shared" si="1428"/>
        <v>1.0685327710778569</v>
      </c>
      <c r="Y381" s="30">
        <f t="shared" si="1428"/>
        <v>2.9519987913604995</v>
      </c>
      <c r="Z381" s="30">
        <f t="shared" si="1428"/>
        <v>1.3190380297700477</v>
      </c>
      <c r="AA381" s="30">
        <f t="shared" si="1428"/>
        <v>-5.529599571768939</v>
      </c>
      <c r="AB381" s="30">
        <f t="shared" si="1428"/>
        <v>2.2293037972968444</v>
      </c>
      <c r="AC381" s="30">
        <f t="shared" si="1428"/>
        <v>-1.4128645833573206</v>
      </c>
      <c r="AD381" s="30">
        <f t="shared" si="1428"/>
        <v>-0.31298315281853561</v>
      </c>
      <c r="AE381" s="30">
        <f t="shared" si="1428"/>
        <v>2.2400048825374386</v>
      </c>
      <c r="AF381" s="30">
        <f t="shared" si="1428"/>
        <v>-1.0293037900046542</v>
      </c>
      <c r="AG381" s="30">
        <f t="shared" si="1428"/>
        <v>0.31770645769138017</v>
      </c>
      <c r="AH381" s="30">
        <f t="shared" si="1428"/>
        <v>0.11133038928585748</v>
      </c>
      <c r="AI381" s="30">
        <f t="shared" si="1428"/>
        <v>2.2438982125418727</v>
      </c>
      <c r="AJ381" s="30">
        <f t="shared" si="1428"/>
        <v>3.9378114599200043</v>
      </c>
      <c r="AK381" s="30">
        <f t="shared" si="1428"/>
        <v>3.7724234555801095</v>
      </c>
      <c r="AL381" s="30">
        <f t="shared" si="1428"/>
        <v>6.8772211498565827</v>
      </c>
      <c r="AM381" s="30">
        <f t="shared" si="1428"/>
        <v>6.4364274123489773</v>
      </c>
      <c r="AN381" s="30">
        <f t="shared" si="1428"/>
        <v>7.0437224765736772</v>
      </c>
      <c r="AO381" s="30">
        <f t="shared" si="1428"/>
        <v>9.0626461015784976</v>
      </c>
      <c r="AP381" s="30">
        <f t="shared" si="1428"/>
        <v>43.311310945263905</v>
      </c>
      <c r="AQ381" s="30">
        <f t="shared" si="1428"/>
        <v>5.8281662961038982</v>
      </c>
      <c r="AR381" s="30">
        <f t="shared" si="1428"/>
        <v>-12.265673088267693</v>
      </c>
      <c r="AS381" s="30">
        <f t="shared" si="1428"/>
        <v>48.451444622602182</v>
      </c>
      <c r="AT381" s="30">
        <f t="shared" si="1428"/>
        <v>-106.34012309594247</v>
      </c>
      <c r="AU381" s="30">
        <f t="shared" si="1428"/>
        <v>-5.4124652539373823</v>
      </c>
      <c r="AV381" s="30">
        <f t="shared" si="1428"/>
        <v>25.04002704229864</v>
      </c>
      <c r="AW381" s="30">
        <f t="shared" ref="AW381:BB381" si="1429">((1+AW320/100)/(AW370/AV370)-1)*100</f>
        <v>7.7703487599663612</v>
      </c>
      <c r="AX381" s="30">
        <f t="shared" si="1429"/>
        <v>0.97196735518059185</v>
      </c>
      <c r="AY381" s="30">
        <f t="shared" si="1429"/>
        <v>2.5626477145116455</v>
      </c>
      <c r="AZ381" s="30">
        <f t="shared" si="1429"/>
        <v>1.657689746847324</v>
      </c>
      <c r="BA381" s="30">
        <f t="shared" si="1429"/>
        <v>5.7834308630233755</v>
      </c>
      <c r="BB381" s="30">
        <f t="shared" si="1429"/>
        <v>3.7030111299164226</v>
      </c>
      <c r="BC381" s="30">
        <f t="shared" ref="BC381:BQ381" ca="1" si="1430">((1+BC320/100)/(BC370/BB370)-1)*100</f>
        <v>14.954201393771239</v>
      </c>
      <c r="BD381" s="30">
        <f t="shared" ca="1" si="1430"/>
        <v>2.2526136100541105</v>
      </c>
      <c r="BE381" s="30">
        <f t="shared" ca="1" si="1430"/>
        <v>-8.7181173289189058</v>
      </c>
      <c r="BF381" s="30">
        <f t="shared" ca="1" si="1430"/>
        <v>2.7995342731108153</v>
      </c>
      <c r="BG381" s="30">
        <f t="shared" ca="1" si="1430"/>
        <v>3.1087713415844931E-2</v>
      </c>
      <c r="BH381" s="30">
        <f t="shared" ca="1" si="1430"/>
        <v>0.42985580365768605</v>
      </c>
      <c r="BI381" s="30">
        <f t="shared" ca="1" si="1430"/>
        <v>3.25679778871657</v>
      </c>
      <c r="BJ381" s="30">
        <f t="shared" ca="1" si="1430"/>
        <v>2.0272122807154958</v>
      </c>
      <c r="BK381" s="30">
        <f t="shared" ref="BK381:BP381" ca="1" si="1431">((1+BK320/100)/(BK370/BJ370)-1)*100</f>
        <v>2.6440374205622508</v>
      </c>
      <c r="BL381" s="30">
        <f t="shared" ca="1" si="1431"/>
        <v>0.31389711468892134</v>
      </c>
      <c r="BM381" s="30">
        <f t="shared" ca="1" si="1431"/>
        <v>1.2906089731336667</v>
      </c>
      <c r="BN381" s="30">
        <f t="shared" ca="1" si="1431"/>
        <v>0.28812534483453334</v>
      </c>
      <c r="BO381" s="30">
        <f t="shared" ca="1" si="1431"/>
        <v>-0.8119143696118214</v>
      </c>
      <c r="BP381" s="30">
        <f t="shared" ca="1" si="1431"/>
        <v>3.0522731399872383</v>
      </c>
      <c r="BQ381" s="30">
        <f t="shared" ca="1" si="1430"/>
        <v>9.7201495398239857</v>
      </c>
      <c r="BR381" s="30">
        <f t="shared" ref="BR381:BX381" ca="1" si="1432">((1+BR320/100)/(BR370/BQ370)-1)*100</f>
        <v>-1.2438692552096065</v>
      </c>
      <c r="BS381" s="30">
        <f t="shared" ca="1" si="1432"/>
        <v>-0.11293341343490138</v>
      </c>
      <c r="BT381" s="30">
        <f t="shared" ca="1" si="1432"/>
        <v>1.9388577557170716</v>
      </c>
      <c r="BU381" s="30">
        <f t="shared" ca="1" si="1432"/>
        <v>2.5350549656784072</v>
      </c>
      <c r="BV381" s="30">
        <f t="shared" ca="1" si="1432"/>
        <v>2.0458015888116465</v>
      </c>
      <c r="BW381" s="30">
        <f t="shared" ca="1" si="1432"/>
        <v>1.9883556982841277</v>
      </c>
      <c r="BX381" s="30">
        <f t="shared" ca="1" si="1432"/>
        <v>2.0067716143029823</v>
      </c>
      <c r="BY381" s="30">
        <f t="shared" ref="BY381" ca="1" si="1433">((1+BY320/100)/(BY370/BX370)-1)*100</f>
        <v>2.011735244459123</v>
      </c>
      <c r="BZ381" s="30">
        <f t="shared" ref="BZ381" ca="1" si="1434">((1+BZ320/100)/(BZ370/BY370)-1)*100</f>
        <v>2.1059515282217722</v>
      </c>
      <c r="CA381" s="30">
        <f t="shared" ref="CA381" ca="1" si="1435">((1+CA320/100)/(CA370/BZ370)-1)*100</f>
        <v>2.0710138804667766</v>
      </c>
      <c r="CB381" s="30">
        <f t="shared" ref="CB381" ca="1" si="1436">((1+CB320/100)/(CB370/CA370)-1)*100</f>
        <v>2.0163007931392807</v>
      </c>
      <c r="CC381" s="30">
        <f t="shared" ref="CC381" ca="1" si="1437">((1+CC320/100)/(CC370/CB370)-1)*100</f>
        <v>2.0275082502704267</v>
      </c>
      <c r="CD381" s="30">
        <f t="shared" ref="CD381" ca="1" si="1438">((1+CD320/100)/(CD370/CC370)-1)*100</f>
        <v>2.0316538233017267</v>
      </c>
      <c r="CE381" s="30"/>
      <c r="CF381" s="435"/>
      <c r="CG381" s="235">
        <f t="shared" ca="1" si="1363"/>
        <v>2.0732962068197081</v>
      </c>
      <c r="CH381" s="235">
        <f t="shared" ca="1" si="1364"/>
        <v>0.10721886688898064</v>
      </c>
      <c r="CI381" s="235" t="e">
        <f ca="1">BM381-#REF!</f>
        <v>#REF!</v>
      </c>
      <c r="CJ381" s="235">
        <f t="shared" ca="1" si="1365"/>
        <v>0</v>
      </c>
      <c r="CK381" s="235">
        <f t="shared" ca="1" si="1366"/>
        <v>0</v>
      </c>
      <c r="CL381" s="235">
        <f t="shared" ca="1" si="1367"/>
        <v>-2.2204460492503131E-14</v>
      </c>
      <c r="CM381" s="235">
        <f t="shared" ca="1" si="1368"/>
        <v>0</v>
      </c>
      <c r="CN381" s="235">
        <f t="shared" ca="1" si="1369"/>
        <v>0</v>
      </c>
      <c r="CO381" s="235">
        <f t="shared" ca="1" si="1370"/>
        <v>0</v>
      </c>
      <c r="CP381" s="235">
        <f t="shared" ca="1" si="1371"/>
        <v>2.2204460492503131E-14</v>
      </c>
      <c r="CQ381" s="235">
        <f t="shared" ca="1" si="1372"/>
        <v>6.6613381477509392E-14</v>
      </c>
      <c r="CR381" s="235">
        <f t="shared" ca="1" si="1373"/>
        <v>-2.2204460492503131E-14</v>
      </c>
      <c r="CS381" s="235">
        <f t="shared" ca="1" si="1374"/>
        <v>4.4408920985006262E-14</v>
      </c>
      <c r="CT381" s="235">
        <f t="shared" ca="1" si="1375"/>
        <v>0</v>
      </c>
      <c r="CU381" s="235">
        <f t="shared" ca="1" si="1376"/>
        <v>-4.4408920985006262E-14</v>
      </c>
      <c r="CV381" s="235">
        <f t="shared" ca="1" si="1377"/>
        <v>-2.2204460492503131E-14</v>
      </c>
      <c r="CW381" s="235">
        <f t="shared" ca="1" si="1378"/>
        <v>0</v>
      </c>
      <c r="CX381" s="235">
        <f t="shared" ca="1" si="1379"/>
        <v>-1.1102230246251565E-13</v>
      </c>
      <c r="CY381" s="235">
        <f t="shared" ca="1" si="1380"/>
        <v>-1.532107773982716E-12</v>
      </c>
      <c r="CZ381" s="235">
        <f t="shared" ca="1" si="1381"/>
        <v>-1.1102230246251565E-11</v>
      </c>
      <c r="DA381" s="38"/>
      <c r="DB381" s="236">
        <v>-8.2545183255479593</v>
      </c>
      <c r="DC381" s="236">
        <v>-7.2545183255479646</v>
      </c>
      <c r="DD381" s="236">
        <v>4.8220973699387049</v>
      </c>
      <c r="DE381" s="236">
        <v>4.6536321260570057</v>
      </c>
      <c r="DF381" s="403">
        <v>-0.28986985654746444</v>
      </c>
      <c r="DG381" s="236">
        <v>0.57074121374254272</v>
      </c>
      <c r="DH381" s="492">
        <v>0.20667824779994071</v>
      </c>
      <c r="DI381" s="236">
        <v>0.28812534483453334</v>
      </c>
      <c r="DJ381" s="236">
        <v>-0.8119143696118214</v>
      </c>
      <c r="DK381" s="236">
        <v>3.0522731399872605</v>
      </c>
      <c r="DL381" s="236">
        <v>9.7201495398239857</v>
      </c>
      <c r="DM381" s="236">
        <v>-1.2438692552096065</v>
      </c>
      <c r="DN381" s="236">
        <v>-0.11293341343490138</v>
      </c>
      <c r="DO381" s="236">
        <v>1.9388577557170494</v>
      </c>
      <c r="DP381" s="236">
        <v>2.5350549656783405</v>
      </c>
      <c r="DQ381" s="401">
        <v>2.0458015888116687</v>
      </c>
      <c r="DR381" s="401">
        <v>1.9883556982840833</v>
      </c>
      <c r="DS381" s="401">
        <v>2.0067716143029823</v>
      </c>
      <c r="DT381" s="401">
        <v>2.0117352444591674</v>
      </c>
      <c r="DU381" s="401">
        <v>2.1059515282217944</v>
      </c>
      <c r="DV381" s="401">
        <v>2.0710138804667766</v>
      </c>
      <c r="DW381" s="401">
        <v>2.0163007931393917</v>
      </c>
      <c r="DX381" s="401">
        <v>2.0275082502719588</v>
      </c>
      <c r="DY381" s="401">
        <v>2.031653823312829</v>
      </c>
      <c r="DZ381" s="401"/>
      <c r="EA381" s="989"/>
    </row>
    <row r="382" spans="1:131" s="76" customFormat="1">
      <c r="A382" s="76" t="s">
        <v>4424</v>
      </c>
      <c r="B382" s="80" t="s">
        <v>1363</v>
      </c>
      <c r="C382" s="122" t="s">
        <v>2604</v>
      </c>
      <c r="D382" s="207" t="s">
        <v>819</v>
      </c>
      <c r="E382" s="207"/>
      <c r="F382" s="207"/>
      <c r="G382" s="207"/>
      <c r="H382" s="207"/>
      <c r="I382" s="207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07"/>
      <c r="V382" s="207"/>
      <c r="W382" s="207"/>
      <c r="X382" s="207"/>
      <c r="Y382" s="207"/>
      <c r="Z382" s="207"/>
      <c r="AA382" s="207"/>
      <c r="AB382" s="207"/>
      <c r="AC382" s="207"/>
      <c r="AD382" s="207"/>
      <c r="AE382" s="207"/>
      <c r="AF382" s="207"/>
      <c r="AG382" s="207"/>
      <c r="AH382" s="207"/>
      <c r="AI382" s="207"/>
      <c r="AJ382" s="207"/>
      <c r="AK382" s="207"/>
      <c r="AL382" s="207"/>
      <c r="AM382" s="207"/>
      <c r="AN382" s="207"/>
      <c r="AO382" s="207"/>
      <c r="AP382" s="207"/>
      <c r="AQ382" s="207"/>
      <c r="AR382" s="207"/>
      <c r="AS382" s="207"/>
      <c r="AT382" s="309">
        <v>94</v>
      </c>
      <c r="AU382" s="51"/>
      <c r="AV382" s="11">
        <v>100</v>
      </c>
      <c r="AW382" s="86">
        <f>AV382</f>
        <v>100</v>
      </c>
      <c r="AX382" s="86">
        <f t="shared" ref="AX382:BE382" si="1439">AW382</f>
        <v>100</v>
      </c>
      <c r="AY382" s="86">
        <f t="shared" si="1439"/>
        <v>100</v>
      </c>
      <c r="AZ382" s="86">
        <f t="shared" si="1439"/>
        <v>100</v>
      </c>
      <c r="BA382" s="86">
        <f t="shared" si="1439"/>
        <v>100</v>
      </c>
      <c r="BB382" s="86">
        <f t="shared" si="1439"/>
        <v>100</v>
      </c>
      <c r="BC382" s="86">
        <f t="shared" si="1439"/>
        <v>100</v>
      </c>
      <c r="BD382" s="86">
        <f t="shared" si="1439"/>
        <v>100</v>
      </c>
      <c r="BE382" s="86">
        <f t="shared" si="1439"/>
        <v>100</v>
      </c>
      <c r="BF382" s="154">
        <v>101</v>
      </c>
      <c r="BG382" s="154">
        <f>BF382</f>
        <v>101</v>
      </c>
      <c r="BH382" s="154">
        <f>BG382</f>
        <v>101</v>
      </c>
      <c r="BI382" s="154">
        <f>BH382</f>
        <v>101</v>
      </c>
      <c r="BJ382" s="154">
        <f>BI382</f>
        <v>101</v>
      </c>
      <c r="BK382" s="154">
        <f>BJ382*(1+SIM!S56/100)+finsim!BJ345</f>
        <v>101</v>
      </c>
      <c r="BL382" s="154">
        <f>BK382*(1+SIM!T56/100)+finsim!BK345</f>
        <v>101</v>
      </c>
      <c r="BM382" s="154">
        <f>BL382*(1+SIM!U56/100)+finsim!BL345</f>
        <v>101</v>
      </c>
      <c r="BN382" s="154">
        <f>BM382*(1+SIM!V56/100)*(1+DataInput!BN821/100)+finsim!BM345</f>
        <v>103.02</v>
      </c>
      <c r="BO382" s="154">
        <f>BN382*(1+SIM!W56/100)*(1+DataInput!BO821/100)+finsim!BN345</f>
        <v>105.0804</v>
      </c>
      <c r="BP382" s="154">
        <f>BO382*(1+SIM!X56/100)*(1+DataInput!BP821/100)+finsim!BO345</f>
        <v>107.182008</v>
      </c>
      <c r="BQ382" s="154">
        <f>BP382*(1+SIM!Y56/100)*(1+DataInput!BQ821/100)+finsim!BP345</f>
        <v>109.32564816</v>
      </c>
      <c r="BR382" s="154">
        <f>BQ382*(1+SIM!Z56/100)*(1+DataInput!BR821/100)+finsim!BQ345</f>
        <v>111.5121611232</v>
      </c>
      <c r="BS382" s="154">
        <f>BR382*(1+SIM!AA56/100)*(1+DataInput!BS821/100)+finsim!BR345</f>
        <v>113.742404345664</v>
      </c>
      <c r="BT382" s="154">
        <f>BS382*(1+SIM!AB56/100)*(1+DataInput!BT821/100)+finsim!BS345</f>
        <v>116.01725243257728</v>
      </c>
      <c r="BU382" s="154">
        <f>BT382*(1+SIM!AC56/100)*(1+DataInput!BU821/100)+finsim!BT345</f>
        <v>118.33759748122883</v>
      </c>
      <c r="BV382" s="154">
        <f>BU382*(1+SIM!AD56/100)*(1+DataInput!BV821/100)+finsim!BU345</f>
        <v>120.7043494308534</v>
      </c>
      <c r="BW382" s="154">
        <f>BV382*(1+SIM!AE56/100)*(1+DataInput!BW821/100)+finsim!BV345</f>
        <v>123.11843641947047</v>
      </c>
      <c r="BX382" s="154">
        <f>BW382*(1+SIM!AF56/100)*(1+DataInput!BX821/100)+finsim!BW345</f>
        <v>125.58080514785988</v>
      </c>
      <c r="BY382" s="154">
        <f>BX382*(1+SIM!AG56/100)*(1+DataInput!BY821/100)+finsim!BX345</f>
        <v>128.09242125081707</v>
      </c>
      <c r="BZ382" s="154">
        <f>BY382*(1+SIM!AH56/100)*(1+DataInput!BZ821/100)+finsim!BY345</f>
        <v>130.6542696758334</v>
      </c>
      <c r="CA382" s="154">
        <f>BZ382*(1+SIM!AI56/100)*(1+DataInput!CA821/100)+finsim!BZ345</f>
        <v>133.26735506935009</v>
      </c>
      <c r="CB382" s="154">
        <f>CA382*(1+SIM!AJ56/100)*(1+DataInput!CB821/100)+finsim!CA345</f>
        <v>135.93270217073709</v>
      </c>
      <c r="CC382" s="154">
        <f>CB382*(1+SIM!AK56/100)*(1+DataInput!CC821/100)+finsim!CB345</f>
        <v>138.65135621415183</v>
      </c>
      <c r="CD382" s="154">
        <f>CC382*(1+SIM!AL56/100)*(1+DataInput!CD821/100)+finsim!CC345</f>
        <v>141.42438333843486</v>
      </c>
      <c r="CE382" s="154"/>
      <c r="CF382" s="438"/>
      <c r="CG382" s="235">
        <f t="shared" si="1363"/>
        <v>0</v>
      </c>
      <c r="CH382" s="235">
        <f t="shared" si="1364"/>
        <v>0</v>
      </c>
      <c r="CI382" s="235" t="e">
        <f>BM382-#REF!</f>
        <v>#REF!</v>
      </c>
      <c r="CJ382" s="235">
        <f t="shared" si="1365"/>
        <v>0</v>
      </c>
      <c r="CK382" s="235">
        <f t="shared" si="1366"/>
        <v>0</v>
      </c>
      <c r="CL382" s="235">
        <f t="shared" si="1367"/>
        <v>0</v>
      </c>
      <c r="CM382" s="235">
        <f t="shared" si="1368"/>
        <v>0</v>
      </c>
      <c r="CN382" s="235">
        <f t="shared" si="1369"/>
        <v>0</v>
      </c>
      <c r="CO382" s="235">
        <f t="shared" si="1370"/>
        <v>0</v>
      </c>
      <c r="CP382" s="235">
        <f t="shared" si="1371"/>
        <v>0</v>
      </c>
      <c r="CQ382" s="235">
        <f t="shared" si="1372"/>
        <v>0</v>
      </c>
      <c r="CR382" s="235">
        <f t="shared" si="1373"/>
        <v>0</v>
      </c>
      <c r="CS382" s="235">
        <f t="shared" si="1374"/>
        <v>0</v>
      </c>
      <c r="CT382" s="235">
        <f t="shared" si="1375"/>
        <v>0</v>
      </c>
      <c r="CU382" s="235">
        <f t="shared" si="1376"/>
        <v>0</v>
      </c>
      <c r="CV382" s="235">
        <f t="shared" si="1377"/>
        <v>0</v>
      </c>
      <c r="CW382" s="235">
        <f t="shared" si="1378"/>
        <v>0</v>
      </c>
      <c r="CX382" s="235">
        <f t="shared" si="1379"/>
        <v>0</v>
      </c>
      <c r="CY382" s="235">
        <f t="shared" si="1380"/>
        <v>0</v>
      </c>
      <c r="CZ382" s="235">
        <f t="shared" si="1381"/>
        <v>0</v>
      </c>
      <c r="DA382" s="38"/>
      <c r="DB382" s="236">
        <v>99</v>
      </c>
      <c r="DC382" s="236">
        <v>100</v>
      </c>
      <c r="DD382" s="236">
        <v>100</v>
      </c>
      <c r="DE382" s="236">
        <v>102</v>
      </c>
      <c r="DF382" s="401">
        <v>102</v>
      </c>
      <c r="DG382" s="236">
        <v>101</v>
      </c>
      <c r="DH382" s="492">
        <v>101</v>
      </c>
      <c r="DI382" s="236">
        <v>103.02</v>
      </c>
      <c r="DJ382" s="236">
        <v>105.0804</v>
      </c>
      <c r="DK382" s="236">
        <v>107.182008</v>
      </c>
      <c r="DL382" s="236">
        <v>109.32564816</v>
      </c>
      <c r="DM382" s="236">
        <v>111.5121611232</v>
      </c>
      <c r="DN382" s="236">
        <v>113.742404345664</v>
      </c>
      <c r="DO382" s="236">
        <v>116.01725243257728</v>
      </c>
      <c r="DP382" s="236">
        <v>118.33759748122883</v>
      </c>
      <c r="DQ382" s="401">
        <v>120.7043494308534</v>
      </c>
      <c r="DR382" s="401">
        <v>123.11843641947047</v>
      </c>
      <c r="DS382" s="401">
        <v>125.58080514785988</v>
      </c>
      <c r="DT382" s="401">
        <v>128.09242125081707</v>
      </c>
      <c r="DU382" s="401">
        <v>130.6542696758334</v>
      </c>
      <c r="DV382" s="401">
        <v>133.26735506935009</v>
      </c>
      <c r="DW382" s="401">
        <v>135.93270217073709</v>
      </c>
      <c r="DX382" s="401">
        <v>138.65135621415183</v>
      </c>
      <c r="DY382" s="401">
        <v>141.42438333843486</v>
      </c>
      <c r="DZ382" s="401"/>
      <c r="EA382" s="989"/>
    </row>
    <row r="383" spans="1:131" s="76" customFormat="1">
      <c r="A383" s="25" t="s">
        <v>4429</v>
      </c>
      <c r="B383" s="80" t="s">
        <v>4471</v>
      </c>
      <c r="C383" s="122" t="s">
        <v>2605</v>
      </c>
      <c r="D383" s="207" t="s">
        <v>2462</v>
      </c>
      <c r="E383" s="207"/>
      <c r="F383" s="28"/>
      <c r="G383" s="28">
        <f t="shared" ref="G383:AL383" si="1440">((G372+G379)/F372-1)*100</f>
        <v>3.433476394849766</v>
      </c>
      <c r="H383" s="28">
        <f t="shared" si="1440"/>
        <v>1.8301726614418978</v>
      </c>
      <c r="I383" s="28">
        <f t="shared" si="1440"/>
        <v>4.0328945662220894</v>
      </c>
      <c r="J383" s="28">
        <f t="shared" si="1440"/>
        <v>3.8777832181992045</v>
      </c>
      <c r="K383" s="28">
        <f t="shared" si="1440"/>
        <v>3.7341616009828771</v>
      </c>
      <c r="L383" s="28">
        <f t="shared" si="1440"/>
        <v>3.6007986718499918</v>
      </c>
      <c r="M383" s="28">
        <f t="shared" si="1440"/>
        <v>3.5711563618448627</v>
      </c>
      <c r="N383" s="28">
        <f t="shared" si="1440"/>
        <v>3.4521178041102996</v>
      </c>
      <c r="O383" s="28">
        <f t="shared" si="1440"/>
        <v>3.3407591540967951</v>
      </c>
      <c r="P383" s="28">
        <f t="shared" si="1440"/>
        <v>3.5488517043033907</v>
      </c>
      <c r="Q383" s="28">
        <f t="shared" si="1440"/>
        <v>1.9203541185956796</v>
      </c>
      <c r="R383" s="28">
        <f t="shared" si="1440"/>
        <v>3.0552070671066467</v>
      </c>
      <c r="S383" s="28">
        <f t="shared" si="1440"/>
        <v>3.0113986775909485</v>
      </c>
      <c r="T383" s="28">
        <f t="shared" si="1440"/>
        <v>2.4581922721105709</v>
      </c>
      <c r="U383" s="28">
        <f t="shared" si="1440"/>
        <v>2.8052076463383147</v>
      </c>
      <c r="V383" s="28">
        <f t="shared" si="1440"/>
        <v>1.0097021771876546</v>
      </c>
      <c r="W383" s="28">
        <f t="shared" si="1440"/>
        <v>1.0568136499660152</v>
      </c>
      <c r="X383" s="28">
        <f t="shared" si="1440"/>
        <v>1.4842465523851267</v>
      </c>
      <c r="Y383" s="28">
        <f t="shared" si="1440"/>
        <v>1.1447029651880047</v>
      </c>
      <c r="Z383" s="28">
        <f t="shared" si="1440"/>
        <v>0.27781083753071201</v>
      </c>
      <c r="AA383" s="28">
        <f t="shared" si="1440"/>
        <v>-1.6280943723606334</v>
      </c>
      <c r="AB383" s="28">
        <f t="shared" si="1440"/>
        <v>-2.7087849259289309</v>
      </c>
      <c r="AC383" s="28">
        <f t="shared" si="1440"/>
        <v>2.1047062824468998</v>
      </c>
      <c r="AD383" s="28">
        <f t="shared" si="1440"/>
        <v>1.7923913830558247</v>
      </c>
      <c r="AE383" s="28">
        <f t="shared" si="1440"/>
        <v>0.55222667033065775</v>
      </c>
      <c r="AF383" s="28">
        <f t="shared" si="1440"/>
        <v>-1.0741353888689131</v>
      </c>
      <c r="AG383" s="28">
        <f t="shared" si="1440"/>
        <v>-0.25249495417869472</v>
      </c>
      <c r="AH383" s="28">
        <f t="shared" si="1440"/>
        <v>2.1459715764564402</v>
      </c>
      <c r="AI383" s="28">
        <f t="shared" si="1440"/>
        <v>2.3315053003774899</v>
      </c>
      <c r="AJ383" s="28">
        <f t="shared" si="1440"/>
        <v>2.0566470358480027</v>
      </c>
      <c r="AK383" s="28">
        <f t="shared" si="1440"/>
        <v>2.3660906375476243</v>
      </c>
      <c r="AL383" s="28">
        <f t="shared" si="1440"/>
        <v>2.295785264825434</v>
      </c>
      <c r="AM383" s="28">
        <f t="shared" ref="AM383:BF383" si="1441">((AM372+AM379)/AL372-1)*100</f>
        <v>1.5222198446510182</v>
      </c>
      <c r="AN383" s="28">
        <f t="shared" si="1441"/>
        <v>0.92473101104759703</v>
      </c>
      <c r="AO383" s="28">
        <f t="shared" si="1441"/>
        <v>1.0075566750629816</v>
      </c>
      <c r="AP383" s="28">
        <f t="shared" si="1441"/>
        <v>0.58452011393743675</v>
      </c>
      <c r="AQ383" s="28">
        <f t="shared" si="1441"/>
        <v>0.53291892285383113</v>
      </c>
      <c r="AR383" s="28">
        <f t="shared" si="1441"/>
        <v>0.63893457502965934</v>
      </c>
      <c r="AS383" s="28">
        <f t="shared" si="1441"/>
        <v>0.63414922356346271</v>
      </c>
      <c r="AT383" s="28">
        <f t="shared" si="1441"/>
        <v>0.46464341831844447</v>
      </c>
      <c r="AU383" s="28">
        <f t="shared" si="1441"/>
        <v>0.88491067280598301</v>
      </c>
      <c r="AV383" s="28">
        <f t="shared" si="1441"/>
        <v>1.580713470574846</v>
      </c>
      <c r="AW383" s="28">
        <f t="shared" si="1441"/>
        <v>1.6625619964388161</v>
      </c>
      <c r="AX383" s="28">
        <f t="shared" si="1441"/>
        <v>1.9205783950077215</v>
      </c>
      <c r="AY383" s="28">
        <f t="shared" si="1441"/>
        <v>1.4841828137696966</v>
      </c>
      <c r="AZ383" s="28">
        <f t="shared" si="1441"/>
        <v>1.8134465972750036</v>
      </c>
      <c r="BA383" s="28">
        <f t="shared" si="1441"/>
        <v>1.8885944847004454</v>
      </c>
      <c r="BB383" s="28">
        <f t="shared" si="1441"/>
        <v>1.792096395384446</v>
      </c>
      <c r="BC383" s="28">
        <f t="shared" si="1441"/>
        <v>1.7326722281232776</v>
      </c>
      <c r="BD383" s="28">
        <f t="shared" si="1441"/>
        <v>2.3920342855485721</v>
      </c>
      <c r="BE383" s="28">
        <f t="shared" si="1441"/>
        <v>1.8493229903272734</v>
      </c>
      <c r="BF383" s="28">
        <f t="shared" si="1441"/>
        <v>1.9885947651456348</v>
      </c>
      <c r="BG383" s="28">
        <f t="shared" ref="BG383:BN383" si="1442">((BG372+BG379)/BF372-1)*100</f>
        <v>1.5474252216627793</v>
      </c>
      <c r="BH383" s="28">
        <f t="shared" si="1442"/>
        <v>2.1273800419632671</v>
      </c>
      <c r="BI383" s="28">
        <f t="shared" si="1442"/>
        <v>2.0502773415439934</v>
      </c>
      <c r="BJ383" s="28">
        <f t="shared" si="1442"/>
        <v>2.6439349566816484</v>
      </c>
      <c r="BK383" s="28">
        <f t="shared" si="1442"/>
        <v>2.488092324491209</v>
      </c>
      <c r="BL383" s="28">
        <f t="shared" si="1442"/>
        <v>1.9364338500861278</v>
      </c>
      <c r="BM383" s="28">
        <f t="shared" si="1442"/>
        <v>1.872393775040182</v>
      </c>
      <c r="BN383" s="28">
        <f t="shared" si="1442"/>
        <v>1.872393775040182</v>
      </c>
      <c r="BO383" s="29">
        <f t="shared" ref="BO383:BU383" si="1443">SUM(BG383:BN383)/8</f>
        <v>2.0672914108136737</v>
      </c>
      <c r="BP383" s="29">
        <f t="shared" si="1443"/>
        <v>2.1322746844575353</v>
      </c>
      <c r="BQ383" s="29">
        <f t="shared" si="1443"/>
        <v>2.1328865147693188</v>
      </c>
      <c r="BR383" s="29">
        <f t="shared" si="1443"/>
        <v>2.1432126614224845</v>
      </c>
      <c r="BS383" s="29">
        <f t="shared" si="1443"/>
        <v>2.0806223745150891</v>
      </c>
      <c r="BT383" s="29">
        <f t="shared" si="1443"/>
        <v>2.0296886307680744</v>
      </c>
      <c r="BU383" s="29">
        <f t="shared" si="1443"/>
        <v>2.0413454783533176</v>
      </c>
      <c r="BV383" s="29">
        <f t="shared" ref="BV383:BX383" si="1444">SUM(BN383:BU383)/8</f>
        <v>2.0624644412674593</v>
      </c>
      <c r="BW383" s="29">
        <f t="shared" si="1444"/>
        <v>2.0862232745458691</v>
      </c>
      <c r="BX383" s="29">
        <f t="shared" si="1444"/>
        <v>2.0885897575123935</v>
      </c>
      <c r="BY383" s="29">
        <f t="shared" ref="BY383" si="1445">SUM(BQ383:BX383)/8</f>
        <v>2.083129141644251</v>
      </c>
      <c r="BZ383" s="29">
        <f t="shared" ref="BZ383" si="1446">SUM(BR383:BY383)/8</f>
        <v>2.0769094700036175</v>
      </c>
      <c r="CA383" s="29">
        <f t="shared" ref="CA383" si="1447">SUM(BS383:BZ383)/8</f>
        <v>2.068621571076259</v>
      </c>
      <c r="CB383" s="29">
        <f t="shared" ref="CB383" si="1448">SUM(BT383:CA383)/8</f>
        <v>2.0671214706464052</v>
      </c>
      <c r="CC383" s="29">
        <f t="shared" ref="CC383" si="1449">SUM(BU383:CB383)/8</f>
        <v>2.0718005756311966</v>
      </c>
      <c r="CD383" s="29">
        <f t="shared" ref="CD383" si="1450">SUM(BV383:CC383)/8</f>
        <v>2.0756074627909316</v>
      </c>
      <c r="CE383" s="29"/>
      <c r="CF383" s="435"/>
      <c r="CG383" s="235">
        <f t="shared" si="1363"/>
        <v>0.56309550788347273</v>
      </c>
      <c r="CH383" s="235">
        <f t="shared" si="1364"/>
        <v>0</v>
      </c>
      <c r="CI383" s="235" t="e">
        <f>BM383-#REF!</f>
        <v>#REF!</v>
      </c>
      <c r="CJ383" s="235">
        <f t="shared" si="1365"/>
        <v>0</v>
      </c>
      <c r="CK383" s="235">
        <f t="shared" si="1366"/>
        <v>0</v>
      </c>
      <c r="CL383" s="235">
        <f t="shared" si="1367"/>
        <v>0</v>
      </c>
      <c r="CM383" s="235">
        <f t="shared" si="1368"/>
        <v>0</v>
      </c>
      <c r="CN383" s="235">
        <f t="shared" si="1369"/>
        <v>0</v>
      </c>
      <c r="CO383" s="235">
        <f t="shared" si="1370"/>
        <v>0</v>
      </c>
      <c r="CP383" s="235">
        <f t="shared" si="1371"/>
        <v>0</v>
      </c>
      <c r="CQ383" s="235">
        <f t="shared" si="1372"/>
        <v>0</v>
      </c>
      <c r="CR383" s="235">
        <f t="shared" si="1373"/>
        <v>0</v>
      </c>
      <c r="CS383" s="235">
        <f t="shared" si="1374"/>
        <v>0</v>
      </c>
      <c r="CT383" s="235">
        <f t="shared" si="1375"/>
        <v>0</v>
      </c>
      <c r="CU383" s="235">
        <f t="shared" si="1376"/>
        <v>0</v>
      </c>
      <c r="CV383" s="235">
        <f t="shared" si="1377"/>
        <v>0</v>
      </c>
      <c r="CW383" s="235">
        <f t="shared" si="1378"/>
        <v>0</v>
      </c>
      <c r="CX383" s="235">
        <f t="shared" si="1379"/>
        <v>0</v>
      </c>
      <c r="CY383" s="235">
        <f t="shared" si="1380"/>
        <v>0</v>
      </c>
      <c r="CZ383" s="235">
        <f t="shared" si="1381"/>
        <v>0</v>
      </c>
      <c r="DA383" s="38"/>
      <c r="DB383" s="236">
        <v>0.85911602376705498</v>
      </c>
      <c r="DC383" s="236">
        <v>1.8591160237670545</v>
      </c>
      <c r="DD383" s="236">
        <v>1.8514332273619711</v>
      </c>
      <c r="DE383" s="236">
        <v>1.8973395290610056</v>
      </c>
      <c r="DF383" s="403">
        <v>1.9078261455342558</v>
      </c>
      <c r="DG383" s="236">
        <v>1.9249968166077362</v>
      </c>
      <c r="DH383" s="492">
        <v>1.9364338500861278</v>
      </c>
      <c r="DI383" s="236">
        <v>1.872393775040182</v>
      </c>
      <c r="DJ383" s="236">
        <v>2.0672914108136737</v>
      </c>
      <c r="DK383" s="236">
        <v>2.1322746844575353</v>
      </c>
      <c r="DL383" s="236">
        <v>2.1328865147693188</v>
      </c>
      <c r="DM383" s="236">
        <v>2.1432126614224845</v>
      </c>
      <c r="DN383" s="236">
        <v>2.0806223745150891</v>
      </c>
      <c r="DO383" s="236">
        <v>2.0296886307680744</v>
      </c>
      <c r="DP383" s="236">
        <v>2.0413454783533176</v>
      </c>
      <c r="DQ383" s="401">
        <v>2.0624644412674593</v>
      </c>
      <c r="DR383" s="401">
        <v>2.0862232745458691</v>
      </c>
      <c r="DS383" s="401">
        <v>2.0885897575123935</v>
      </c>
      <c r="DT383" s="401">
        <v>2.083129141644251</v>
      </c>
      <c r="DU383" s="401">
        <v>2.0769094700036175</v>
      </c>
      <c r="DV383" s="401">
        <v>2.068621571076259</v>
      </c>
      <c r="DW383" s="401">
        <v>2.0671214706464052</v>
      </c>
      <c r="DX383" s="401">
        <v>2.0718005756311966</v>
      </c>
      <c r="DY383" s="401">
        <v>2.0756074627909316</v>
      </c>
      <c r="DZ383" s="401"/>
      <c r="EA383" s="989"/>
    </row>
    <row r="384" spans="1:131">
      <c r="B384" s="3" t="s">
        <v>4575</v>
      </c>
      <c r="BG384" s="3">
        <v>4.9000000000000004</v>
      </c>
      <c r="BH384" s="3">
        <v>8.1</v>
      </c>
      <c r="BI384" s="3">
        <v>7.5</v>
      </c>
      <c r="BJ384" s="3">
        <v>7.4</v>
      </c>
      <c r="BK384" s="3">
        <v>9.1</v>
      </c>
      <c r="BL384" s="3">
        <v>7.8</v>
      </c>
      <c r="BM384" s="3">
        <v>7.4</v>
      </c>
      <c r="CF384" s="435"/>
      <c r="DF384" s="258"/>
      <c r="DH384" s="492">
        <v>7.8</v>
      </c>
    </row>
    <row r="385" spans="1:131" s="123" customFormat="1">
      <c r="D385" s="228"/>
      <c r="E385" s="228"/>
      <c r="F385" s="228"/>
      <c r="G385" s="228"/>
      <c r="H385" s="228"/>
      <c r="I385" s="228"/>
      <c r="J385" s="228"/>
      <c r="K385" s="228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8"/>
      <c r="Z385" s="228"/>
      <c r="AA385" s="228"/>
      <c r="AB385" s="228"/>
      <c r="AC385" s="228"/>
      <c r="AD385" s="228"/>
      <c r="AE385" s="228"/>
      <c r="AF385" s="228"/>
      <c r="AG385" s="228"/>
      <c r="AH385" s="228"/>
      <c r="AI385" s="228"/>
      <c r="AJ385" s="228"/>
      <c r="AK385" s="228"/>
      <c r="AL385" s="228"/>
      <c r="AM385" s="228"/>
      <c r="AN385" s="228"/>
      <c r="AO385" s="228"/>
      <c r="AP385" s="228"/>
      <c r="AQ385" s="228"/>
      <c r="AR385" s="228"/>
      <c r="AS385" s="228"/>
      <c r="AT385" s="228"/>
      <c r="CF385" s="435"/>
      <c r="CG385" s="235"/>
      <c r="CH385" s="235"/>
      <c r="CI385" s="235"/>
      <c r="CJ385" s="235"/>
      <c r="CK385" s="235"/>
      <c r="CL385" s="235"/>
      <c r="CM385" s="235"/>
      <c r="CN385" s="235"/>
      <c r="CO385" s="235"/>
      <c r="CP385" s="235"/>
      <c r="CQ385" s="235"/>
      <c r="CR385" s="235"/>
      <c r="CS385" s="235"/>
      <c r="CT385" s="235"/>
      <c r="CU385" s="235"/>
      <c r="CV385" s="235"/>
      <c r="CW385" s="235"/>
      <c r="CX385" s="235"/>
      <c r="CY385" s="235"/>
      <c r="CZ385" s="235"/>
      <c r="DA385" s="38"/>
      <c r="DB385" s="236"/>
      <c r="DC385" s="236"/>
      <c r="DD385" s="236"/>
      <c r="DE385" s="236"/>
      <c r="DF385" s="258"/>
      <c r="DG385" s="236"/>
      <c r="DH385" s="492"/>
      <c r="DI385" s="236"/>
      <c r="DJ385" s="236"/>
      <c r="DK385" s="236"/>
      <c r="DL385" s="236"/>
      <c r="DM385" s="236"/>
      <c r="DN385" s="236"/>
      <c r="DO385" s="236"/>
      <c r="DP385" s="236"/>
      <c r="DQ385" s="258"/>
      <c r="DR385" s="258"/>
      <c r="DS385" s="258"/>
      <c r="DT385" s="258"/>
      <c r="DU385" s="258"/>
      <c r="DV385" s="258"/>
      <c r="DW385" s="258"/>
      <c r="DX385" s="258"/>
      <c r="DY385" s="258"/>
      <c r="DZ385" s="258"/>
      <c r="EA385" s="967"/>
    </row>
    <row r="386" spans="1:131" s="14" customFormat="1">
      <c r="A386" s="147" t="s">
        <v>4239</v>
      </c>
      <c r="B386" s="147" t="s">
        <v>3602</v>
      </c>
      <c r="D386" s="226"/>
      <c r="E386" s="226"/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14">
        <f t="shared" ref="AL386:BE386" si="1451">+AL6</f>
        <v>1986</v>
      </c>
      <c r="AM386" s="14">
        <f t="shared" si="1451"/>
        <v>1987</v>
      </c>
      <c r="AN386" s="14">
        <f t="shared" si="1451"/>
        <v>1988</v>
      </c>
      <c r="AO386" s="14">
        <f t="shared" si="1451"/>
        <v>1989</v>
      </c>
      <c r="AP386" s="14">
        <f t="shared" si="1451"/>
        <v>1990</v>
      </c>
      <c r="AQ386" s="14">
        <f t="shared" si="1451"/>
        <v>1991</v>
      </c>
      <c r="AR386" s="14">
        <f t="shared" si="1451"/>
        <v>1992</v>
      </c>
      <c r="AS386" s="14">
        <f t="shared" si="1451"/>
        <v>1993</v>
      </c>
      <c r="AT386" s="14">
        <f t="shared" si="1451"/>
        <v>1994</v>
      </c>
      <c r="AU386" s="14">
        <f t="shared" si="1451"/>
        <v>1995</v>
      </c>
      <c r="AV386" s="14">
        <f t="shared" si="1451"/>
        <v>1996</v>
      </c>
      <c r="AW386" s="14">
        <f t="shared" si="1451"/>
        <v>1997</v>
      </c>
      <c r="AX386" s="14">
        <f t="shared" si="1451"/>
        <v>1998</v>
      </c>
      <c r="AY386" s="14">
        <f t="shared" si="1451"/>
        <v>1999</v>
      </c>
      <c r="AZ386" s="14">
        <f t="shared" si="1451"/>
        <v>2000</v>
      </c>
      <c r="BA386" s="14">
        <f t="shared" si="1451"/>
        <v>2001</v>
      </c>
      <c r="BB386" s="14">
        <f t="shared" si="1451"/>
        <v>2002</v>
      </c>
      <c r="BC386" s="14">
        <f t="shared" si="1451"/>
        <v>2003</v>
      </c>
      <c r="BD386" s="14">
        <f t="shared" si="1451"/>
        <v>2004</v>
      </c>
      <c r="BE386" s="14">
        <f t="shared" si="1451"/>
        <v>2005</v>
      </c>
      <c r="BF386" s="14">
        <f>+BF6</f>
        <v>2006</v>
      </c>
      <c r="BG386" s="14">
        <f>+BG6</f>
        <v>2007</v>
      </c>
      <c r="BH386" s="14">
        <f>+BH6</f>
        <v>2008</v>
      </c>
      <c r="BI386" s="14">
        <f>+BI6</f>
        <v>2009</v>
      </c>
      <c r="BJ386" s="14">
        <f>+BJ6</f>
        <v>2010</v>
      </c>
      <c r="BK386" s="14">
        <f t="shared" ref="BK386:BP386" si="1452">+BK6</f>
        <v>2011</v>
      </c>
      <c r="BL386" s="14">
        <f t="shared" si="1452"/>
        <v>2012</v>
      </c>
      <c r="BM386" s="14">
        <f>+BM6</f>
        <v>2013</v>
      </c>
      <c r="BN386" s="14">
        <f t="shared" si="1452"/>
        <v>2014</v>
      </c>
      <c r="BO386" s="14">
        <f t="shared" si="1452"/>
        <v>2015</v>
      </c>
      <c r="BP386" s="14">
        <f t="shared" si="1452"/>
        <v>2016</v>
      </c>
      <c r="BQ386" s="14">
        <f t="shared" ref="BQ386:BV386" si="1453">+BQ6</f>
        <v>2017</v>
      </c>
      <c r="BR386" s="14">
        <f t="shared" si="1453"/>
        <v>2018</v>
      </c>
      <c r="BS386" s="14">
        <f t="shared" si="1453"/>
        <v>2019</v>
      </c>
      <c r="BT386" s="14">
        <f t="shared" si="1453"/>
        <v>2020</v>
      </c>
      <c r="BU386" s="14">
        <f t="shared" si="1453"/>
        <v>2021</v>
      </c>
      <c r="BV386" s="14">
        <f t="shared" si="1453"/>
        <v>2022</v>
      </c>
      <c r="BW386" s="14">
        <f t="shared" ref="BW386:BX386" si="1454">+BW6</f>
        <v>2023</v>
      </c>
      <c r="BX386" s="14">
        <f t="shared" si="1454"/>
        <v>2024</v>
      </c>
      <c r="BY386" s="14">
        <f t="shared" ref="BY386:CD386" si="1455">+BY6</f>
        <v>2025</v>
      </c>
      <c r="BZ386" s="14">
        <f t="shared" si="1455"/>
        <v>2026</v>
      </c>
      <c r="CA386" s="14">
        <f t="shared" si="1455"/>
        <v>2027</v>
      </c>
      <c r="CB386" s="14">
        <f t="shared" si="1455"/>
        <v>2028</v>
      </c>
      <c r="CC386" s="14">
        <f t="shared" si="1455"/>
        <v>2029</v>
      </c>
      <c r="CD386" s="14">
        <f t="shared" si="1455"/>
        <v>2030</v>
      </c>
      <c r="CE386" s="14" t="str">
        <f>CE6</f>
        <v>gem15-30</v>
      </c>
      <c r="CF386" s="436"/>
      <c r="CG386" s="23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38"/>
      <c r="DB386" s="236">
        <v>2005</v>
      </c>
      <c r="DC386" s="236">
        <v>2006</v>
      </c>
      <c r="DD386" s="236">
        <v>2007</v>
      </c>
      <c r="DE386" s="236">
        <v>2008</v>
      </c>
      <c r="DF386" s="258">
        <v>2009</v>
      </c>
      <c r="DG386" s="236">
        <v>2011</v>
      </c>
      <c r="DH386" s="492">
        <v>2012</v>
      </c>
      <c r="DI386" s="236">
        <v>2014</v>
      </c>
      <c r="DJ386" s="236">
        <v>2015</v>
      </c>
      <c r="DK386" s="236">
        <v>2016</v>
      </c>
      <c r="DL386" s="236">
        <v>2017</v>
      </c>
      <c r="DM386" s="236">
        <v>2018</v>
      </c>
      <c r="DN386" s="236">
        <v>2019</v>
      </c>
      <c r="DO386" s="236">
        <v>2020</v>
      </c>
      <c r="DP386" s="236">
        <v>2021</v>
      </c>
      <c r="DQ386" s="258">
        <v>2022</v>
      </c>
      <c r="DR386" s="258">
        <v>2023</v>
      </c>
      <c r="DS386" s="258">
        <v>2024</v>
      </c>
      <c r="DT386" s="258">
        <v>2025</v>
      </c>
      <c r="DU386" s="258">
        <v>2026</v>
      </c>
      <c r="DV386" s="258">
        <v>2027</v>
      </c>
      <c r="DW386" s="258">
        <v>2028</v>
      </c>
      <c r="DX386" s="258">
        <v>2029</v>
      </c>
      <c r="DY386" s="258">
        <v>2030</v>
      </c>
      <c r="DZ386" s="258" t="s">
        <v>4164</v>
      </c>
      <c r="EA386" s="967"/>
    </row>
    <row r="387" spans="1:131">
      <c r="B387" s="124" t="s">
        <v>3179</v>
      </c>
      <c r="BG387" s="3" t="s">
        <v>3467</v>
      </c>
      <c r="CF387" s="435"/>
      <c r="DD387" s="236" t="s">
        <v>3467</v>
      </c>
      <c r="DF387" s="258"/>
    </row>
    <row r="388" spans="1:131" s="76" customFormat="1">
      <c r="A388" s="38" t="str">
        <f>A302</f>
        <v>Consumer price (change)</v>
      </c>
      <c r="B388" s="255" t="s">
        <v>4041</v>
      </c>
      <c r="D388" s="227" t="s">
        <v>2462</v>
      </c>
      <c r="E388" s="227"/>
      <c r="F388" s="38">
        <f t="shared" ref="F388:AN388" si="1456">F302</f>
        <v>2</v>
      </c>
      <c r="G388" s="38">
        <f t="shared" si="1456"/>
        <v>1</v>
      </c>
      <c r="H388" s="38">
        <f t="shared" si="1456"/>
        <v>1.9801980257034302</v>
      </c>
      <c r="I388" s="38">
        <f t="shared" si="1456"/>
        <v>8.7378644943237305</v>
      </c>
      <c r="J388" s="38">
        <f t="shared" si="1456"/>
        <v>0</v>
      </c>
      <c r="K388" s="38">
        <f t="shared" si="1456"/>
        <v>0</v>
      </c>
      <c r="L388" s="38">
        <f t="shared" si="1456"/>
        <v>2.6785714626312256</v>
      </c>
      <c r="M388" s="38">
        <f t="shared" si="1456"/>
        <v>1.7391303777694702</v>
      </c>
      <c r="N388" s="38">
        <f t="shared" si="1456"/>
        <v>0.85470086336135864</v>
      </c>
      <c r="O388" s="38">
        <f t="shared" si="1456"/>
        <v>0.8474576473236084</v>
      </c>
      <c r="P388" s="38">
        <f t="shared" si="1456"/>
        <v>0.8403361439704895</v>
      </c>
      <c r="Q388" s="38">
        <f t="shared" si="1456"/>
        <v>1.6666666269302368</v>
      </c>
      <c r="R388" s="38">
        <f t="shared" si="1456"/>
        <v>1.6393442153930664</v>
      </c>
      <c r="S388" s="38">
        <f t="shared" si="1456"/>
        <v>7.2580647468566895</v>
      </c>
      <c r="T388" s="38">
        <f t="shared" si="1456"/>
        <v>0</v>
      </c>
      <c r="U388" s="38">
        <f t="shared" si="1456"/>
        <v>3.0075187683105469</v>
      </c>
      <c r="V388" s="38">
        <f t="shared" si="1456"/>
        <v>1.7561022043228149</v>
      </c>
      <c r="W388" s="38">
        <f t="shared" si="1456"/>
        <v>-0.59355843067169189</v>
      </c>
      <c r="X388" s="38">
        <f t="shared" si="1456"/>
        <v>2.4373531341552734</v>
      </c>
      <c r="Y388" s="38">
        <f t="shared" si="1456"/>
        <v>12.087912559509277</v>
      </c>
      <c r="Z388" s="38">
        <f t="shared" si="1456"/>
        <v>15.959079742431641</v>
      </c>
      <c r="AA388" s="38">
        <f t="shared" si="1456"/>
        <v>7.4915452003479004</v>
      </c>
      <c r="AB388" s="38">
        <f t="shared" si="1456"/>
        <v>9.3085289001464844</v>
      </c>
      <c r="AC388" s="38">
        <f t="shared" si="1456"/>
        <v>8.8286819458007812</v>
      </c>
      <c r="AD388" s="38">
        <f t="shared" si="1456"/>
        <v>7.9859714508056641</v>
      </c>
      <c r="AE388" s="38">
        <f t="shared" si="1456"/>
        <v>13.954850196838379</v>
      </c>
      <c r="AF388" s="38">
        <f t="shared" si="1456"/>
        <v>13.208428382873535</v>
      </c>
      <c r="AG388" s="38">
        <f t="shared" si="1456"/>
        <v>8.7082128524780273</v>
      </c>
      <c r="AH388" s="38">
        <f t="shared" si="1456"/>
        <v>7.2892937660217285</v>
      </c>
      <c r="AI388" s="38">
        <f t="shared" si="1456"/>
        <v>4.3878273963928223</v>
      </c>
      <c r="AJ388" s="38">
        <f t="shared" si="1456"/>
        <v>4.1999998092651367</v>
      </c>
      <c r="AK388" s="38">
        <f t="shared" si="1456"/>
        <v>16.299999237060547</v>
      </c>
      <c r="AL388" s="38">
        <f t="shared" si="1456"/>
        <v>30.700000762939453</v>
      </c>
      <c r="AM388" s="38">
        <f t="shared" si="1456"/>
        <v>88.800003051757813</v>
      </c>
      <c r="AN388" s="38">
        <f t="shared" si="1456"/>
        <v>15</v>
      </c>
      <c r="AO388" s="38">
        <f>AO302</f>
        <v>19.700000762939453</v>
      </c>
      <c r="AP388" s="38">
        <f>AP302</f>
        <v>21.746293245469506</v>
      </c>
      <c r="AQ388" s="38">
        <f>AQ302</f>
        <v>25.968753844261293</v>
      </c>
      <c r="AR388" s="38">
        <f>AR302</f>
        <v>43.662109374999993</v>
      </c>
      <c r="AS388" s="38">
        <f>AS302</f>
        <v>143.51845557745909</v>
      </c>
      <c r="AT388" s="38">
        <f t="shared" ref="AT388:BG388" si="1457">AT302</f>
        <v>368.47923179991062</v>
      </c>
      <c r="AU388" s="38">
        <f t="shared" si="1457"/>
        <v>235.55783301951999</v>
      </c>
      <c r="AV388" s="38">
        <f t="shared" si="1457"/>
        <v>-0.7</v>
      </c>
      <c r="AW388" s="38">
        <f t="shared" si="1457"/>
        <v>7.1</v>
      </c>
      <c r="AX388" s="38">
        <f t="shared" si="1457"/>
        <v>19</v>
      </c>
      <c r="AY388" s="38">
        <f t="shared" si="1457"/>
        <v>97.9</v>
      </c>
      <c r="AZ388" s="38">
        <f t="shared" si="1457"/>
        <v>59.3</v>
      </c>
      <c r="BA388" s="101">
        <f t="shared" si="1457"/>
        <v>38.6</v>
      </c>
      <c r="BB388" s="101">
        <f t="shared" si="1457"/>
        <v>15.5</v>
      </c>
      <c r="BC388" s="101">
        <f t="shared" si="1457"/>
        <v>22.7</v>
      </c>
      <c r="BD388" s="101">
        <f t="shared" si="1457"/>
        <v>10</v>
      </c>
      <c r="BE388" s="101">
        <f t="shared" si="1457"/>
        <v>9.5</v>
      </c>
      <c r="BF388" s="101">
        <f t="shared" si="1457"/>
        <v>11.2</v>
      </c>
      <c r="BG388" s="350">
        <f t="shared" si="1457"/>
        <v>6.4262793447052768</v>
      </c>
      <c r="BH388" s="350">
        <f t="shared" ref="BH388:BP388" si="1458">BH302</f>
        <v>14.702848528128264</v>
      </c>
      <c r="BI388" s="345">
        <f t="shared" si="1458"/>
        <v>-0.19406604311096309</v>
      </c>
      <c r="BJ388" s="99">
        <f t="shared" si="1458"/>
        <v>6.9447872953180445</v>
      </c>
      <c r="BK388" s="99">
        <f t="shared" si="1458"/>
        <v>17.70408555820573</v>
      </c>
      <c r="BL388" s="99">
        <f t="shared" si="1458"/>
        <v>5.0137272846123571</v>
      </c>
      <c r="BM388" s="99">
        <f t="shared" si="1458"/>
        <v>1.9309056956115844</v>
      </c>
      <c r="BN388" s="99">
        <f t="shared" si="1458"/>
        <v>3.3697298353607907</v>
      </c>
      <c r="BO388" s="99">
        <f t="shared" si="1458"/>
        <v>6.9</v>
      </c>
      <c r="BP388" s="99">
        <f t="shared" ca="1" si="1458"/>
        <v>36.355508223363913</v>
      </c>
      <c r="BQ388" s="99">
        <f t="shared" ref="BQ388:BV388" ca="1" si="1459">BQ302</f>
        <v>11.415029893225288</v>
      </c>
      <c r="BR388" s="99">
        <f t="shared" ca="1" si="1459"/>
        <v>5.2989819773361937</v>
      </c>
      <c r="BS388" s="99">
        <f t="shared" ca="1" si="1459"/>
        <v>3.0289202942350908</v>
      </c>
      <c r="BT388" s="99">
        <f t="shared" ca="1" si="1459"/>
        <v>3.4377051520660764</v>
      </c>
      <c r="BU388" s="99">
        <f t="shared" ca="1" si="1459"/>
        <v>3.5632337731411203</v>
      </c>
      <c r="BV388" s="99">
        <f t="shared" ca="1" si="1459"/>
        <v>3.5957763287793041</v>
      </c>
      <c r="BW388" s="99">
        <f t="shared" ref="BW388:BX388" ca="1" si="1460">BW302</f>
        <v>3.6133304026611688</v>
      </c>
      <c r="BX388" s="99">
        <f t="shared" ca="1" si="1460"/>
        <v>3.595798877852789</v>
      </c>
      <c r="BY388" s="99">
        <f t="shared" ref="BY388:CD388" ca="1" si="1461">BY302</f>
        <v>3.5724579753935144</v>
      </c>
      <c r="BZ388" s="99">
        <f t="shared" ca="1" si="1461"/>
        <v>3.5543549220490229</v>
      </c>
      <c r="CA388" s="99">
        <f t="shared" ca="1" si="1461"/>
        <v>3.5502200406161348</v>
      </c>
      <c r="CB388" s="99">
        <f t="shared" ca="1" si="1461"/>
        <v>3.5505695900456731</v>
      </c>
      <c r="CC388" s="99">
        <f t="shared" ca="1" si="1461"/>
        <v>3.5415276278586445</v>
      </c>
      <c r="CD388" s="99">
        <f t="shared" ca="1" si="1461"/>
        <v>3.5327192142120261</v>
      </c>
      <c r="CE388" s="101">
        <f ca="1">SUM(BO388:CD388)/16</f>
        <v>6.3816333933022475</v>
      </c>
      <c r="CF388" s="444"/>
      <c r="CG388" s="235">
        <f t="shared" ref="CG388:CG396" si="1462">BK388-DG388</f>
        <v>-1.6684931207322506E-2</v>
      </c>
      <c r="CH388" s="235">
        <f t="shared" ref="CH388:CH396" si="1463">BL388-DH388</f>
        <v>0</v>
      </c>
      <c r="CI388" s="276" t="e">
        <f>BM388-#REF!</f>
        <v>#REF!</v>
      </c>
      <c r="CJ388" s="235">
        <f t="shared" ref="CJ388:CJ396" si="1464">BN388-DI388</f>
        <v>0</v>
      </c>
      <c r="CK388" s="276">
        <f t="shared" ref="CK388:CK396" si="1465">BO388-DJ388</f>
        <v>0</v>
      </c>
      <c r="CL388" s="276">
        <f t="shared" ref="CL388:CL396" ca="1" si="1466">BP388-DK388</f>
        <v>0</v>
      </c>
      <c r="CM388" s="276">
        <f t="shared" ref="CM388:CM396" ca="1" si="1467">BQ388-DL388</f>
        <v>0</v>
      </c>
      <c r="CN388" s="276">
        <f t="shared" ref="CN388:CN396" ca="1" si="1468">BR388-DM388</f>
        <v>0</v>
      </c>
      <c r="CO388" s="276">
        <f t="shared" ref="CO388:CO396" ca="1" si="1469">BS388-DN388</f>
        <v>0</v>
      </c>
      <c r="CP388" s="235">
        <f t="shared" ref="CP388:CP396" ca="1" si="1470">BT388-DO388</f>
        <v>7.9936057773011271E-15</v>
      </c>
      <c r="CQ388" s="235">
        <f t="shared" ref="CQ388:CQ396" ca="1" si="1471">BU388-DP388</f>
        <v>-7.9936057773011271E-15</v>
      </c>
      <c r="CR388" s="235">
        <f t="shared" ref="CR388:CR396" ca="1" si="1472">BV388-DQ388</f>
        <v>-7.9936057773011271E-15</v>
      </c>
      <c r="CS388" s="235">
        <f t="shared" ref="CS388:CS396" ca="1" si="1473">BW388-DR388</f>
        <v>0</v>
      </c>
      <c r="CT388" s="235">
        <f t="shared" ref="CT388:CT396" ca="1" si="1474">BX388-DS388</f>
        <v>-3.5527136788005009E-15</v>
      </c>
      <c r="CU388" s="235">
        <f t="shared" ref="CU388:CU396" ca="1" si="1475">BY388-DT388</f>
        <v>1.9539925233402755E-14</v>
      </c>
      <c r="CV388" s="235">
        <f t="shared" ref="CV388:CV396" ca="1" si="1476">BZ388-DU388</f>
        <v>2.3092638912203256E-14</v>
      </c>
      <c r="CW388" s="235">
        <f t="shared" ref="CW388:CW396" ca="1" si="1477">CA388-DV388</f>
        <v>-3.9968028886505635E-14</v>
      </c>
      <c r="CX388" s="235">
        <f t="shared" ref="CX388:CX396" ca="1" si="1478">CB388-DW388</f>
        <v>-7.0166095156309893E-13</v>
      </c>
      <c r="CY388" s="235">
        <f t="shared" ref="CY388:CY396" ca="1" si="1479">CC388-DX388</f>
        <v>-6.6187055836053332E-12</v>
      </c>
      <c r="CZ388" s="235">
        <f t="shared" ref="CZ388:CZ396" ca="1" si="1480">CD388-DY388</f>
        <v>-4.5637271739451535E-11</v>
      </c>
      <c r="DA388" s="38"/>
      <c r="DB388" s="236">
        <v>10.3</v>
      </c>
      <c r="DC388" s="236">
        <v>11.3</v>
      </c>
      <c r="DD388" s="236">
        <v>6.4</v>
      </c>
      <c r="DE388" s="236">
        <v>14.6</v>
      </c>
      <c r="DF388" s="259">
        <v>-0.1</v>
      </c>
      <c r="DG388" s="236">
        <v>17.720770489413052</v>
      </c>
      <c r="DH388" s="492">
        <v>5.0137272846123571</v>
      </c>
      <c r="DI388" s="236">
        <v>3.3697298353607907</v>
      </c>
      <c r="DJ388" s="236">
        <v>6.9</v>
      </c>
      <c r="DK388" s="236">
        <v>36.355508223363927</v>
      </c>
      <c r="DL388" s="236">
        <v>11.415029893225299</v>
      </c>
      <c r="DM388" s="236">
        <v>5.2989819773361893</v>
      </c>
      <c r="DN388" s="236">
        <v>3.0289202942350935</v>
      </c>
      <c r="DO388" s="236">
        <v>3.4377051520660684</v>
      </c>
      <c r="DP388" s="236">
        <v>3.5632337731411283</v>
      </c>
      <c r="DQ388" s="401">
        <v>3.5957763287793121</v>
      </c>
      <c r="DR388" s="401">
        <v>3.6133304026611688</v>
      </c>
      <c r="DS388" s="401">
        <v>3.5957988778527925</v>
      </c>
      <c r="DT388" s="401">
        <v>3.5724579753934949</v>
      </c>
      <c r="DU388" s="401">
        <v>3.5543549220489998</v>
      </c>
      <c r="DV388" s="401">
        <v>3.5502200406161748</v>
      </c>
      <c r="DW388" s="401">
        <v>3.5505695900463747</v>
      </c>
      <c r="DX388" s="401">
        <v>3.5415276278652632</v>
      </c>
      <c r="DY388" s="401">
        <v>3.5327192142576633</v>
      </c>
      <c r="DZ388" s="401">
        <v>5.9919821921664784</v>
      </c>
      <c r="EA388" s="989"/>
    </row>
    <row r="389" spans="1:131" s="76" customFormat="1">
      <c r="A389" s="38" t="str">
        <f>A304</f>
        <v>Export price (change)</v>
      </c>
      <c r="B389" s="255" t="s">
        <v>4040</v>
      </c>
      <c r="D389" s="227" t="s">
        <v>2462</v>
      </c>
      <c r="E389" s="227"/>
      <c r="F389" s="38"/>
      <c r="G389" s="38">
        <f t="shared" ref="G389:AP389" si="1481">G304</f>
        <v>-100</v>
      </c>
      <c r="H389" s="38">
        <f t="shared" si="1481"/>
        <v>-100</v>
      </c>
      <c r="I389" s="38">
        <f t="shared" si="1481"/>
        <v>-100</v>
      </c>
      <c r="J389" s="38"/>
      <c r="K389" s="38">
        <f t="shared" si="1481"/>
        <v>-100</v>
      </c>
      <c r="L389" s="38">
        <f t="shared" si="1481"/>
        <v>-100</v>
      </c>
      <c r="M389" s="38">
        <f t="shared" si="1481"/>
        <v>-100</v>
      </c>
      <c r="N389" s="38">
        <f t="shared" si="1481"/>
        <v>-100</v>
      </c>
      <c r="O389" s="38">
        <f t="shared" si="1481"/>
        <v>-100</v>
      </c>
      <c r="P389" s="38">
        <f t="shared" si="1481"/>
        <v>-100</v>
      </c>
      <c r="Q389" s="38">
        <f t="shared" si="1481"/>
        <v>-100</v>
      </c>
      <c r="R389" s="38">
        <f t="shared" si="1481"/>
        <v>-100</v>
      </c>
      <c r="S389" s="38">
        <f t="shared" si="1481"/>
        <v>-100</v>
      </c>
      <c r="T389" s="38">
        <f t="shared" si="1481"/>
        <v>-100</v>
      </c>
      <c r="U389" s="38">
        <f t="shared" si="1481"/>
        <v>-100</v>
      </c>
      <c r="V389" s="38">
        <f t="shared" si="1481"/>
        <v>-100</v>
      </c>
      <c r="W389" s="38">
        <f t="shared" si="1481"/>
        <v>-100</v>
      </c>
      <c r="X389" s="38">
        <f t="shared" si="1481"/>
        <v>-100</v>
      </c>
      <c r="Y389" s="38">
        <f t="shared" si="1481"/>
        <v>-100</v>
      </c>
      <c r="Z389" s="38">
        <f t="shared" si="1481"/>
        <v>-100</v>
      </c>
      <c r="AA389" s="38">
        <f t="shared" si="1481"/>
        <v>-100</v>
      </c>
      <c r="AB389" s="38">
        <f t="shared" si="1481"/>
        <v>-100</v>
      </c>
      <c r="AC389" s="38">
        <f t="shared" si="1481"/>
        <v>-100</v>
      </c>
      <c r="AD389" s="38">
        <f t="shared" si="1481"/>
        <v>-100</v>
      </c>
      <c r="AE389" s="38">
        <f t="shared" si="1481"/>
        <v>-100</v>
      </c>
      <c r="AF389" s="38">
        <f t="shared" si="1481"/>
        <v>-100</v>
      </c>
      <c r="AG389" s="38">
        <f t="shared" si="1481"/>
        <v>-100</v>
      </c>
      <c r="AH389" s="38">
        <f t="shared" si="1481"/>
        <v>-100</v>
      </c>
      <c r="AI389" s="38">
        <f t="shared" si="1481"/>
        <v>-100</v>
      </c>
      <c r="AJ389" s="38">
        <f t="shared" si="1481"/>
        <v>-100</v>
      </c>
      <c r="AK389" s="38">
        <f t="shared" si="1481"/>
        <v>-100</v>
      </c>
      <c r="AL389" s="38">
        <f t="shared" si="1481"/>
        <v>-100</v>
      </c>
      <c r="AM389" s="38">
        <f t="shared" si="1481"/>
        <v>-100</v>
      </c>
      <c r="AN389" s="38">
        <f t="shared" si="1481"/>
        <v>-100</v>
      </c>
      <c r="AO389" s="38">
        <f t="shared" si="1481"/>
        <v>-100</v>
      </c>
      <c r="AP389" s="38">
        <f t="shared" si="1481"/>
        <v>-11.020949769520294</v>
      </c>
      <c r="AQ389" s="38">
        <f t="shared" ref="AQ389:AU390" si="1482">AQ304</f>
        <v>-18.051064720265074</v>
      </c>
      <c r="AR389" s="38">
        <f t="shared" si="1482"/>
        <v>-2.7425586909587296</v>
      </c>
      <c r="AS389" s="38">
        <f t="shared" si="1482"/>
        <v>231.89930751960651</v>
      </c>
      <c r="AT389" s="38">
        <f t="shared" si="1482"/>
        <v>2730.8110036201206</v>
      </c>
      <c r="AU389" s="38">
        <f t="shared" si="1482"/>
        <v>201.92827198668567</v>
      </c>
      <c r="AV389" s="38">
        <f t="shared" ref="AV389:BI389" si="1483">AV304</f>
        <v>-6.7599244933730489</v>
      </c>
      <c r="AW389" s="38">
        <f t="shared" si="1483"/>
        <v>-2.9192909841230796</v>
      </c>
      <c r="AX389" s="38">
        <f t="shared" si="1483"/>
        <v>-11.903977550842558</v>
      </c>
      <c r="AY389" s="38">
        <f t="shared" si="1483"/>
        <v>108.66930337321551</v>
      </c>
      <c r="AZ389" s="38">
        <f t="shared" si="1483"/>
        <v>66.10221465011243</v>
      </c>
      <c r="BA389" s="101">
        <f t="shared" si="1483"/>
        <v>54.894307933115137</v>
      </c>
      <c r="BB389" s="101">
        <f t="shared" si="1483"/>
        <v>-1.5969552135791099</v>
      </c>
      <c r="BC389" s="101">
        <f t="shared" si="1483"/>
        <v>19.751999647820639</v>
      </c>
      <c r="BD389" s="101">
        <f t="shared" si="1483"/>
        <v>23.974977191511606</v>
      </c>
      <c r="BE389" s="101">
        <f t="shared" si="1483"/>
        <v>9.0180532268404168</v>
      </c>
      <c r="BF389" s="101">
        <f t="shared" si="1483"/>
        <v>26.348055602624278</v>
      </c>
      <c r="BG389" s="101">
        <f t="shared" si="1483"/>
        <v>9.1385854773770028</v>
      </c>
      <c r="BH389" s="99">
        <f t="shared" si="1483"/>
        <v>11.629238208087145</v>
      </c>
      <c r="BI389" s="99">
        <f t="shared" si="1483"/>
        <v>-10.391835928831405</v>
      </c>
      <c r="BJ389" s="99">
        <f>BJ304</f>
        <v>31.32974326733504</v>
      </c>
      <c r="BK389" s="99">
        <f t="shared" ref="BK389:BP389" si="1484">BK304</f>
        <v>33.068402160241028</v>
      </c>
      <c r="BL389" s="99">
        <f t="shared" si="1484"/>
        <v>3.6795621159532166</v>
      </c>
      <c r="BM389" s="99">
        <f t="shared" si="1484"/>
        <v>-10.787656362292664</v>
      </c>
      <c r="BN389" s="99">
        <f t="shared" si="1484"/>
        <v>-6.2118941810674011</v>
      </c>
      <c r="BO389" s="99">
        <f t="shared" si="1484"/>
        <v>-6.3604523129361601</v>
      </c>
      <c r="BP389" s="99">
        <f t="shared" si="1484"/>
        <v>23.69428725895839</v>
      </c>
      <c r="BQ389" s="99">
        <f t="shared" ref="BQ389:BS390" si="1485">BQ304</f>
        <v>4.4632735038023119</v>
      </c>
      <c r="BR389" s="99">
        <f t="shared" si="1485"/>
        <v>2.6441579102857826</v>
      </c>
      <c r="BS389" s="99">
        <f t="shared" si="1485"/>
        <v>2.8848821881009679</v>
      </c>
      <c r="BT389" s="99">
        <f t="shared" ref="BT389:BV390" si="1486">BT304</f>
        <v>1.307622296704114</v>
      </c>
      <c r="BU389" s="99">
        <f t="shared" si="1486"/>
        <v>0.77052936971451214</v>
      </c>
      <c r="BV389" s="99">
        <f t="shared" si="1486"/>
        <v>0.78854912436139291</v>
      </c>
      <c r="BW389" s="99">
        <f t="shared" ref="BW389:BX389" si="1487">BW304</f>
        <v>0.8068808292683638</v>
      </c>
      <c r="BX389" s="99">
        <f t="shared" si="1487"/>
        <v>0.82552715040351554</v>
      </c>
      <c r="BY389" s="99">
        <f t="shared" ref="BY389:CD389" si="1488">BY304</f>
        <v>0.84449057340638678</v>
      </c>
      <c r="BZ389" s="99">
        <f t="shared" si="1488"/>
        <v>2.7226601168911735</v>
      </c>
      <c r="CA389" s="99">
        <f t="shared" si="1488"/>
        <v>2.7393036267006954</v>
      </c>
      <c r="CB389" s="99">
        <f t="shared" si="1488"/>
        <v>2.7550576090511036</v>
      </c>
      <c r="CC389" s="99">
        <f t="shared" si="1488"/>
        <v>2.7699578643432199</v>
      </c>
      <c r="CD389" s="99">
        <f t="shared" si="1488"/>
        <v>2.7840400952054756</v>
      </c>
      <c r="CE389" s="101">
        <f t="shared" ref="CE389:CE454" si="1489">SUM(BO389:CD389)/16</f>
        <v>2.9025479502663281</v>
      </c>
      <c r="CF389" s="444"/>
      <c r="CG389" s="235">
        <f t="shared" si="1462"/>
        <v>2.4090440203754042</v>
      </c>
      <c r="CH389" s="235">
        <f t="shared" si="1463"/>
        <v>0</v>
      </c>
      <c r="CI389" s="235" t="e">
        <f>BM389-#REF!</f>
        <v>#REF!</v>
      </c>
      <c r="CJ389" s="235">
        <f t="shared" si="1464"/>
        <v>0</v>
      </c>
      <c r="CK389" s="235">
        <f t="shared" si="1465"/>
        <v>0</v>
      </c>
      <c r="CL389" s="235">
        <f t="shared" si="1466"/>
        <v>0</v>
      </c>
      <c r="CM389" s="235">
        <f t="shared" si="1467"/>
        <v>0</v>
      </c>
      <c r="CN389" s="235">
        <f t="shared" si="1468"/>
        <v>0</v>
      </c>
      <c r="CO389" s="235">
        <f t="shared" si="1469"/>
        <v>0</v>
      </c>
      <c r="CP389" s="235">
        <f t="shared" si="1470"/>
        <v>0</v>
      </c>
      <c r="CQ389" s="235">
        <f t="shared" si="1471"/>
        <v>0</v>
      </c>
      <c r="CR389" s="235">
        <f t="shared" si="1472"/>
        <v>0</v>
      </c>
      <c r="CS389" s="235">
        <f t="shared" si="1473"/>
        <v>0</v>
      </c>
      <c r="CT389" s="235">
        <f t="shared" si="1474"/>
        <v>0</v>
      </c>
      <c r="CU389" s="235">
        <f t="shared" si="1475"/>
        <v>0</v>
      </c>
      <c r="CV389" s="235">
        <f t="shared" si="1476"/>
        <v>0</v>
      </c>
      <c r="CW389" s="235">
        <f t="shared" si="1477"/>
        <v>0</v>
      </c>
      <c r="CX389" s="235">
        <f t="shared" si="1478"/>
        <v>0</v>
      </c>
      <c r="CY389" s="235">
        <f t="shared" si="1479"/>
        <v>0</v>
      </c>
      <c r="CZ389" s="235">
        <f t="shared" si="1480"/>
        <v>0</v>
      </c>
      <c r="DA389" s="38"/>
      <c r="DB389" s="236">
        <v>25.4617816017949</v>
      </c>
      <c r="DC389" s="236">
        <v>26.461781601794911</v>
      </c>
      <c r="DD389" s="236">
        <v>10.099023103244864</v>
      </c>
      <c r="DE389" s="236">
        <v>11.947995688222356</v>
      </c>
      <c r="DF389" s="259">
        <v>-9.8821987064634307</v>
      </c>
      <c r="DG389" s="236">
        <v>30.659358139865624</v>
      </c>
      <c r="DH389" s="492">
        <v>3.6795621159532166</v>
      </c>
      <c r="DI389" s="236">
        <v>-6.2118941810674011</v>
      </c>
      <c r="DJ389" s="236">
        <v>-6.3604523129361601</v>
      </c>
      <c r="DK389" s="236">
        <v>23.69428725895839</v>
      </c>
      <c r="DL389" s="236">
        <v>4.4632735038023119</v>
      </c>
      <c r="DM389" s="236">
        <v>2.6441579102857826</v>
      </c>
      <c r="DN389" s="236">
        <v>2.8848821881009679</v>
      </c>
      <c r="DO389" s="236">
        <v>1.307622296704114</v>
      </c>
      <c r="DP389" s="236">
        <v>0.77052936971451214</v>
      </c>
      <c r="DQ389" s="401">
        <v>0.78854912436139291</v>
      </c>
      <c r="DR389" s="401">
        <v>0.8068808292683638</v>
      </c>
      <c r="DS389" s="401">
        <v>0.82552715040351554</v>
      </c>
      <c r="DT389" s="401">
        <v>0.84449057340638678</v>
      </c>
      <c r="DU389" s="401">
        <v>2.7226601168911735</v>
      </c>
      <c r="DV389" s="401">
        <v>2.7393036267006954</v>
      </c>
      <c r="DW389" s="401">
        <v>2.7550576090511036</v>
      </c>
      <c r="DX389" s="401">
        <v>2.7699578643432199</v>
      </c>
      <c r="DY389" s="401">
        <v>2.7840400952054756</v>
      </c>
      <c r="DZ389" s="401">
        <v>3.3775629367446283</v>
      </c>
      <c r="EA389" s="989"/>
    </row>
    <row r="390" spans="1:131" s="76" customFormat="1">
      <c r="A390" s="38" t="str">
        <f>A305</f>
        <v>Import price (change)</v>
      </c>
      <c r="B390" s="255" t="s">
        <v>4042</v>
      </c>
      <c r="D390" s="227" t="s">
        <v>2462</v>
      </c>
      <c r="E390" s="227"/>
      <c r="F390" s="38">
        <f t="shared" ref="F390:AP390" si="1490">F305</f>
        <v>1.8</v>
      </c>
      <c r="G390" s="38">
        <f t="shared" si="1490"/>
        <v>0.5</v>
      </c>
      <c r="H390" s="38">
        <f t="shared" si="1490"/>
        <v>3.0221829414367676</v>
      </c>
      <c r="I390" s="38">
        <f t="shared" si="1490"/>
        <v>2.2277793884277344</v>
      </c>
      <c r="J390" s="38">
        <f t="shared" si="1490"/>
        <v>-1.626257061958313</v>
      </c>
      <c r="K390" s="38">
        <f t="shared" si="1490"/>
        <v>-0.89552080631256104</v>
      </c>
      <c r="L390" s="38">
        <f t="shared" si="1490"/>
        <v>0.76559323072433472</v>
      </c>
      <c r="M390" s="38">
        <f t="shared" si="1490"/>
        <v>1.8154700994491577</v>
      </c>
      <c r="N390" s="38">
        <f t="shared" si="1490"/>
        <v>0.49572989344596863</v>
      </c>
      <c r="O390" s="38">
        <f t="shared" si="1490"/>
        <v>0.31003996729850769</v>
      </c>
      <c r="P390" s="38">
        <f t="shared" si="1490"/>
        <v>2.2613492012023926</v>
      </c>
      <c r="Q390" s="38">
        <f t="shared" si="1490"/>
        <v>1.6288275718688965</v>
      </c>
      <c r="R390" s="38">
        <f t="shared" si="1490"/>
        <v>1.1620020866394043</v>
      </c>
      <c r="S390" s="38">
        <f t="shared" si="1490"/>
        <v>1.3401436805725098</v>
      </c>
      <c r="T390" s="38">
        <f t="shared" si="1490"/>
        <v>0.38416191935539246</v>
      </c>
      <c r="U390" s="38">
        <f t="shared" si="1490"/>
        <v>2.3576428890228271</v>
      </c>
      <c r="V390" s="38">
        <f t="shared" si="1490"/>
        <v>4.3976931571960449</v>
      </c>
      <c r="W390" s="38">
        <f t="shared" si="1490"/>
        <v>6.8055276870727539</v>
      </c>
      <c r="X390" s="38">
        <f t="shared" si="1490"/>
        <v>1.0620815753936768</v>
      </c>
      <c r="Y390" s="38">
        <f t="shared" si="1490"/>
        <v>23.262006759643555</v>
      </c>
      <c r="Z390" s="38">
        <f t="shared" si="1490"/>
        <v>51.418785095214844</v>
      </c>
      <c r="AA390" s="38">
        <f t="shared" si="1490"/>
        <v>9.6750164031982422</v>
      </c>
      <c r="AB390" s="38">
        <f t="shared" si="1490"/>
        <v>2.2336657047271729</v>
      </c>
      <c r="AC390" s="38">
        <f t="shared" si="1490"/>
        <v>8.1954889297485352</v>
      </c>
      <c r="AD390" s="38">
        <f t="shared" si="1490"/>
        <v>8.4418277740478516</v>
      </c>
      <c r="AE390" s="38">
        <f t="shared" si="1490"/>
        <v>21.756065368652344</v>
      </c>
      <c r="AF390" s="38">
        <f t="shared" si="1490"/>
        <v>29.74290657043457</v>
      </c>
      <c r="AG390" s="38">
        <f t="shared" si="1490"/>
        <v>5.1207904815673828</v>
      </c>
      <c r="AH390" s="38">
        <f t="shared" si="1490"/>
        <v>-1.4226530790328979</v>
      </c>
      <c r="AI390" s="38">
        <f t="shared" si="1490"/>
        <v>-5.799159049987793</v>
      </c>
      <c r="AJ390" s="38">
        <f t="shared" si="1490"/>
        <v>-1.4299999475479126</v>
      </c>
      <c r="AK390" s="38">
        <f t="shared" si="1490"/>
        <v>4.3000001907348633</v>
      </c>
      <c r="AL390" s="38">
        <f t="shared" si="1490"/>
        <v>2.3299999237060547</v>
      </c>
      <c r="AM390" s="38">
        <f t="shared" si="1490"/>
        <v>66.589996337890625</v>
      </c>
      <c r="AN390" s="38">
        <f t="shared" si="1490"/>
        <v>12.100000381469727</v>
      </c>
      <c r="AO390" s="38">
        <f t="shared" si="1490"/>
        <v>21</v>
      </c>
      <c r="AP390" s="38">
        <f t="shared" si="1490"/>
        <v>47</v>
      </c>
      <c r="AQ390" s="38">
        <f t="shared" si="1482"/>
        <v>38.306300283925985</v>
      </c>
      <c r="AR390" s="38">
        <f t="shared" si="1482"/>
        <v>30.387615455445705</v>
      </c>
      <c r="AS390" s="38">
        <f t="shared" si="1482"/>
        <v>449.54631502796258</v>
      </c>
      <c r="AT390" s="38">
        <f t="shared" si="1482"/>
        <v>426.50594858796609</v>
      </c>
      <c r="AU390" s="38">
        <f t="shared" si="1482"/>
        <v>113.05936131309264</v>
      </c>
      <c r="AV390" s="38">
        <f t="shared" ref="AV390:BI390" si="1491">AV305</f>
        <v>-6</v>
      </c>
      <c r="AW390" s="38">
        <f t="shared" si="1491"/>
        <v>1.870674066222211E-2</v>
      </c>
      <c r="AX390" s="38">
        <f t="shared" si="1491"/>
        <v>0</v>
      </c>
      <c r="AY390" s="38">
        <f t="shared" si="1491"/>
        <v>116.45262866771448</v>
      </c>
      <c r="AZ390" s="38">
        <f t="shared" si="1491"/>
        <v>59.344518852335412</v>
      </c>
      <c r="BA390" s="101">
        <f t="shared" si="1491"/>
        <v>60.273813624983489</v>
      </c>
      <c r="BB390" s="101">
        <f t="shared" si="1491"/>
        <v>9.5020603613891144</v>
      </c>
      <c r="BC390" s="101">
        <f t="shared" si="1491"/>
        <v>26.146035492253837</v>
      </c>
      <c r="BD390" s="101">
        <f t="shared" si="1491"/>
        <v>19.087389010382807</v>
      </c>
      <c r="BE390" s="101">
        <f t="shared" si="1491"/>
        <v>10.644595339014602</v>
      </c>
      <c r="BF390" s="101">
        <f t="shared" si="1491"/>
        <v>8.265163698192854</v>
      </c>
      <c r="BG390" s="101">
        <f t="shared" si="1491"/>
        <v>8.8395932332093548</v>
      </c>
      <c r="BH390" s="99">
        <f t="shared" si="1491"/>
        <v>14.39638928051075</v>
      </c>
      <c r="BI390" s="99">
        <f t="shared" si="1491"/>
        <v>-0.29945901391304375</v>
      </c>
      <c r="BJ390" s="99">
        <f>BJ305</f>
        <v>12.730784144341271</v>
      </c>
      <c r="BK390" s="99">
        <f t="shared" ref="BK390:BP390" si="1492">BK305</f>
        <v>17.353986329017417</v>
      </c>
      <c r="BL390" s="99">
        <f t="shared" si="1492"/>
        <v>3.8667529293760854</v>
      </c>
      <c r="BM390" s="99">
        <f t="shared" si="1492"/>
        <v>2.4685623583623086</v>
      </c>
      <c r="BN390" s="99">
        <f t="shared" si="1492"/>
        <v>-4.924487713808734E-2</v>
      </c>
      <c r="BO390" s="99">
        <f t="shared" si="1492"/>
        <v>-10.243754484139728</v>
      </c>
      <c r="BP390" s="99">
        <f t="shared" si="1492"/>
        <v>27.196461808614071</v>
      </c>
      <c r="BQ390" s="99">
        <f t="shared" si="1485"/>
        <v>4.5647332788181867</v>
      </c>
      <c r="BR390" s="99">
        <f t="shared" si="1485"/>
        <v>3.8071513833502246</v>
      </c>
      <c r="BS390" s="99">
        <f t="shared" si="1485"/>
        <v>3.2874793468550547</v>
      </c>
      <c r="BT390" s="99">
        <f t="shared" si="1486"/>
        <v>4.7663040163181751</v>
      </c>
      <c r="BU390" s="99">
        <f t="shared" si="1486"/>
        <v>4.7663040163181751</v>
      </c>
      <c r="BV390" s="99">
        <f t="shared" si="1486"/>
        <v>4.7663040163181751</v>
      </c>
      <c r="BW390" s="99">
        <f t="shared" ref="BW390:BX390" si="1493">BW305</f>
        <v>4.7663040163181751</v>
      </c>
      <c r="BX390" s="99">
        <f t="shared" si="1493"/>
        <v>4.7663040163181751</v>
      </c>
      <c r="BY390" s="99">
        <f t="shared" ref="BY390:CD390" si="1494">BY305</f>
        <v>4.7663040163181751</v>
      </c>
      <c r="BZ390" s="99">
        <f t="shared" si="1494"/>
        <v>4.7663040163181751</v>
      </c>
      <c r="CA390" s="99">
        <f t="shared" si="1494"/>
        <v>4.7663040163181751</v>
      </c>
      <c r="CB390" s="99">
        <f t="shared" si="1494"/>
        <v>4.7663040163181751</v>
      </c>
      <c r="CC390" s="99">
        <f t="shared" si="1494"/>
        <v>4.7663040163181751</v>
      </c>
      <c r="CD390" s="99">
        <f t="shared" si="1494"/>
        <v>4.7663040163181751</v>
      </c>
      <c r="CE390" s="101">
        <f t="shared" si="1489"/>
        <v>5.0650884695623573</v>
      </c>
      <c r="CF390" s="444"/>
      <c r="CG390" s="235">
        <f t="shared" si="1462"/>
        <v>-1.1358579293693936</v>
      </c>
      <c r="CH390" s="235">
        <f t="shared" si="1463"/>
        <v>0</v>
      </c>
      <c r="CI390" s="235" t="e">
        <f>BM390-#REF!</f>
        <v>#REF!</v>
      </c>
      <c r="CJ390" s="235">
        <f t="shared" si="1464"/>
        <v>0</v>
      </c>
      <c r="CK390" s="235">
        <f t="shared" si="1465"/>
        <v>0</v>
      </c>
      <c r="CL390" s="235">
        <f t="shared" si="1466"/>
        <v>0</v>
      </c>
      <c r="CM390" s="235">
        <f t="shared" si="1467"/>
        <v>0</v>
      </c>
      <c r="CN390" s="235">
        <f t="shared" si="1468"/>
        <v>0</v>
      </c>
      <c r="CO390" s="235">
        <f t="shared" si="1469"/>
        <v>0</v>
      </c>
      <c r="CP390" s="235">
        <f t="shared" si="1470"/>
        <v>0</v>
      </c>
      <c r="CQ390" s="235">
        <f t="shared" si="1471"/>
        <v>0</v>
      </c>
      <c r="CR390" s="235">
        <f t="shared" si="1472"/>
        <v>0</v>
      </c>
      <c r="CS390" s="235">
        <f t="shared" si="1473"/>
        <v>0</v>
      </c>
      <c r="CT390" s="235">
        <f t="shared" si="1474"/>
        <v>0</v>
      </c>
      <c r="CU390" s="235">
        <f t="shared" si="1475"/>
        <v>0</v>
      </c>
      <c r="CV390" s="235">
        <f t="shared" si="1476"/>
        <v>0</v>
      </c>
      <c r="CW390" s="235">
        <f t="shared" si="1477"/>
        <v>0</v>
      </c>
      <c r="CX390" s="235">
        <f t="shared" si="1478"/>
        <v>0</v>
      </c>
      <c r="CY390" s="235">
        <f t="shared" si="1479"/>
        <v>0</v>
      </c>
      <c r="CZ390" s="235">
        <f t="shared" si="1480"/>
        <v>0</v>
      </c>
      <c r="DA390" s="38"/>
      <c r="DB390" s="236">
        <v>7.2651636981928496</v>
      </c>
      <c r="DC390" s="236">
        <v>8.265163698192854</v>
      </c>
      <c r="DD390" s="236">
        <v>8.8886978880226373</v>
      </c>
      <c r="DE390" s="236">
        <v>16.665061404094125</v>
      </c>
      <c r="DF390" s="259">
        <v>-1.1929258294134257</v>
      </c>
      <c r="DG390" s="236">
        <v>18.48984425838681</v>
      </c>
      <c r="DH390" s="492">
        <v>3.8667529293760854</v>
      </c>
      <c r="DI390" s="236">
        <v>-4.924487713808734E-2</v>
      </c>
      <c r="DJ390" s="236">
        <v>-10.243754484139728</v>
      </c>
      <c r="DK390" s="236">
        <v>27.196461808614071</v>
      </c>
      <c r="DL390" s="236">
        <v>4.5647332788181867</v>
      </c>
      <c r="DM390" s="236">
        <v>3.8071513833502246</v>
      </c>
      <c r="DN390" s="236">
        <v>3.2874793468550547</v>
      </c>
      <c r="DO390" s="236">
        <v>4.7663040163181751</v>
      </c>
      <c r="DP390" s="236">
        <v>4.7663040163181751</v>
      </c>
      <c r="DQ390" s="401">
        <v>4.7663040163181751</v>
      </c>
      <c r="DR390" s="401">
        <v>4.7663040163181751</v>
      </c>
      <c r="DS390" s="401">
        <v>4.7663040163181751</v>
      </c>
      <c r="DT390" s="401">
        <v>4.7663040163181751</v>
      </c>
      <c r="DU390" s="401">
        <v>4.7663040163181751</v>
      </c>
      <c r="DV390" s="401">
        <v>4.7663040163181751</v>
      </c>
      <c r="DW390" s="401">
        <v>4.7663040163181751</v>
      </c>
      <c r="DX390" s="401">
        <v>4.7663040163181751</v>
      </c>
      <c r="DY390" s="401">
        <v>4.7663040163181751</v>
      </c>
      <c r="DZ390" s="401">
        <v>5.4382227979205666</v>
      </c>
      <c r="EA390" s="989"/>
    </row>
    <row r="391" spans="1:131" s="76" customFormat="1">
      <c r="A391" s="38" t="str">
        <f>A310</f>
        <v>Percentage change of the average labour costs private sector</v>
      </c>
      <c r="B391" s="255" t="s">
        <v>3107</v>
      </c>
      <c r="D391" s="227" t="s">
        <v>2462</v>
      </c>
      <c r="E391" s="227"/>
      <c r="F391" s="38">
        <f t="shared" ref="F391:AP391" si="1495">F310</f>
        <v>65.3</v>
      </c>
      <c r="G391" s="38">
        <f t="shared" si="1495"/>
        <v>65.3</v>
      </c>
      <c r="H391" s="38">
        <f t="shared" si="1495"/>
        <v>65.3</v>
      </c>
      <c r="I391" s="38">
        <f t="shared" si="1495"/>
        <v>65.3</v>
      </c>
      <c r="J391" s="38">
        <f t="shared" si="1495"/>
        <v>65.3</v>
      </c>
      <c r="K391" s="38">
        <f t="shared" si="1495"/>
        <v>65.3</v>
      </c>
      <c r="L391" s="38">
        <f t="shared" si="1495"/>
        <v>65.3</v>
      </c>
      <c r="M391" s="38">
        <f t="shared" si="1495"/>
        <v>65.3</v>
      </c>
      <c r="N391" s="38">
        <f t="shared" si="1495"/>
        <v>65.3</v>
      </c>
      <c r="O391" s="38">
        <f t="shared" si="1495"/>
        <v>65.3</v>
      </c>
      <c r="P391" s="38">
        <f t="shared" si="1495"/>
        <v>65.3</v>
      </c>
      <c r="Q391" s="38">
        <f t="shared" si="1495"/>
        <v>65.3</v>
      </c>
      <c r="R391" s="38">
        <f t="shared" si="1495"/>
        <v>65.3</v>
      </c>
      <c r="S391" s="38">
        <f t="shared" si="1495"/>
        <v>65.3</v>
      </c>
      <c r="T391" s="38">
        <f t="shared" si="1495"/>
        <v>65.3</v>
      </c>
      <c r="U391" s="38">
        <f t="shared" si="1495"/>
        <v>65.3</v>
      </c>
      <c r="V391" s="38">
        <f t="shared" si="1495"/>
        <v>65.3</v>
      </c>
      <c r="W391" s="38">
        <f t="shared" si="1495"/>
        <v>65.3</v>
      </c>
      <c r="X391" s="38">
        <f t="shared" si="1495"/>
        <v>65.3</v>
      </c>
      <c r="Y391" s="38">
        <f t="shared" si="1495"/>
        <v>65.3</v>
      </c>
      <c r="Z391" s="38">
        <f t="shared" si="1495"/>
        <v>65.3</v>
      </c>
      <c r="AA391" s="38">
        <f t="shared" si="1495"/>
        <v>65.3</v>
      </c>
      <c r="AB391" s="38">
        <f t="shared" si="1495"/>
        <v>65.3</v>
      </c>
      <c r="AC391" s="38">
        <f t="shared" si="1495"/>
        <v>65.3</v>
      </c>
      <c r="AD391" s="38">
        <f t="shared" si="1495"/>
        <v>65.3</v>
      </c>
      <c r="AE391" s="38">
        <f t="shared" si="1495"/>
        <v>65.3</v>
      </c>
      <c r="AF391" s="38">
        <f t="shared" si="1495"/>
        <v>65.3</v>
      </c>
      <c r="AG391" s="38">
        <f t="shared" si="1495"/>
        <v>65.3</v>
      </c>
      <c r="AH391" s="38">
        <f t="shared" si="1495"/>
        <v>65.3</v>
      </c>
      <c r="AI391" s="38">
        <f t="shared" si="1495"/>
        <v>65.3</v>
      </c>
      <c r="AJ391" s="38">
        <f t="shared" si="1495"/>
        <v>65.3</v>
      </c>
      <c r="AK391" s="38">
        <f t="shared" si="1495"/>
        <v>65.3</v>
      </c>
      <c r="AL391" s="38">
        <f t="shared" si="1495"/>
        <v>65.3</v>
      </c>
      <c r="AM391" s="38">
        <f t="shared" si="1495"/>
        <v>65.3</v>
      </c>
      <c r="AN391" s="38">
        <f t="shared" si="1495"/>
        <v>65.3</v>
      </c>
      <c r="AO391" s="38">
        <f t="shared" si="1495"/>
        <v>65.3</v>
      </c>
      <c r="AP391" s="38">
        <f t="shared" si="1495"/>
        <v>65.3</v>
      </c>
      <c r="AQ391" s="38">
        <f>AQ310</f>
        <v>65.3</v>
      </c>
      <c r="AR391" s="38">
        <f>AR310</f>
        <v>65.3</v>
      </c>
      <c r="AS391" s="38">
        <f>AS310</f>
        <v>65.3</v>
      </c>
      <c r="AT391" s="38">
        <f>AT310</f>
        <v>65.3</v>
      </c>
      <c r="AU391" s="38">
        <f>AU310</f>
        <v>65.3</v>
      </c>
      <c r="AV391" s="38">
        <f t="shared" ref="AV391:BB391" si="1496">AV310</f>
        <v>65.3</v>
      </c>
      <c r="AW391" s="38">
        <f t="shared" si="1496"/>
        <v>34.125073770962743</v>
      </c>
      <c r="AX391" s="38">
        <f t="shared" si="1496"/>
        <v>19.2417997901277</v>
      </c>
      <c r="AY391" s="38">
        <f t="shared" si="1496"/>
        <v>86.298164227566645</v>
      </c>
      <c r="AZ391" s="38">
        <f t="shared" si="1496"/>
        <v>34.353231388908647</v>
      </c>
      <c r="BA391" s="101">
        <f t="shared" si="1496"/>
        <v>67.168223442018643</v>
      </c>
      <c r="BB391" s="101">
        <f t="shared" si="1496"/>
        <v>21.176895433469699</v>
      </c>
      <c r="BC391" s="101">
        <f t="shared" ref="BC391:BQ391" ca="1" si="1497">BC310</f>
        <v>20.963444160494603</v>
      </c>
      <c r="BD391" s="101">
        <f t="shared" ca="1" si="1497"/>
        <v>12.065800599648057</v>
      </c>
      <c r="BE391" s="101">
        <f t="shared" ca="1" si="1497"/>
        <v>2.1463760113450414</v>
      </c>
      <c r="BF391" s="101">
        <f t="shared" ca="1" si="1497"/>
        <v>4.8748282673215737</v>
      </c>
      <c r="BG391" s="101">
        <f t="shared" ca="1" si="1497"/>
        <v>6.0646227938293995</v>
      </c>
      <c r="BH391" s="350">
        <f t="shared" ca="1" si="1497"/>
        <v>7.9791388947431763</v>
      </c>
      <c r="BI391" s="350">
        <f t="shared" ca="1" si="1497"/>
        <v>6.7468791925761717</v>
      </c>
      <c r="BJ391" s="350">
        <f t="shared" ca="1" si="1497"/>
        <v>5.6683485373864473</v>
      </c>
      <c r="BK391" s="99">
        <f t="shared" ref="BK391:BP391" ca="1" si="1498">BK310</f>
        <v>11.474987468496511</v>
      </c>
      <c r="BL391" s="99">
        <f t="shared" ca="1" si="1498"/>
        <v>11.443933712616339</v>
      </c>
      <c r="BM391" s="99">
        <f t="shared" ca="1" si="1498"/>
        <v>2.9269221671393009</v>
      </c>
      <c r="BN391" s="99">
        <f t="shared" ca="1" si="1498"/>
        <v>1.285583096075249</v>
      </c>
      <c r="BO391" s="99">
        <f t="shared" ca="1" si="1498"/>
        <v>4.2350530219785298</v>
      </c>
      <c r="BP391" s="99">
        <f t="shared" ca="1" si="1498"/>
        <v>20.962450987774872</v>
      </c>
      <c r="BQ391" s="99">
        <f t="shared" ca="1" si="1497"/>
        <v>24.294056406262033</v>
      </c>
      <c r="BR391" s="99">
        <f ca="1">BR310</f>
        <v>9.5523402451792361</v>
      </c>
      <c r="BS391" s="99">
        <f ca="1">BS310</f>
        <v>4.6440320622428199</v>
      </c>
      <c r="BT391" s="99">
        <f ca="1">BT310</f>
        <v>3.4145468536093793</v>
      </c>
      <c r="BU391" s="99">
        <f ca="1">BU310</f>
        <v>3.6511183989398122</v>
      </c>
      <c r="BV391" s="99">
        <f ca="1">BV310</f>
        <v>3.736789650849115</v>
      </c>
      <c r="BW391" s="99">
        <f t="shared" ref="BW391:BX391" ca="1" si="1499">BW310</f>
        <v>3.7616524627478665</v>
      </c>
      <c r="BX391" s="99">
        <f t="shared" ca="1" si="1499"/>
        <v>3.711585622889868</v>
      </c>
      <c r="BY391" s="99">
        <f t="shared" ref="BY391:CD391" ca="1" si="1500">BY310</f>
        <v>3.6448069661513705</v>
      </c>
      <c r="BZ391" s="99">
        <f t="shared" ca="1" si="1500"/>
        <v>3.5950918740443649</v>
      </c>
      <c r="CA391" s="99">
        <f t="shared" ca="1" si="1500"/>
        <v>3.5697216194236159</v>
      </c>
      <c r="CB391" s="99">
        <f t="shared" ca="1" si="1500"/>
        <v>3.5488640644027569</v>
      </c>
      <c r="CC391" s="99">
        <f t="shared" ca="1" si="1500"/>
        <v>3.5198901906230207</v>
      </c>
      <c r="CD391" s="99">
        <f t="shared" ca="1" si="1500"/>
        <v>3.4907458485409437</v>
      </c>
      <c r="CE391" s="101">
        <f t="shared" ca="1" si="1489"/>
        <v>6.4582966422287242</v>
      </c>
      <c r="CF391" s="444"/>
      <c r="CG391" s="235">
        <f t="shared" ca="1" si="1462"/>
        <v>1.4352376763732355</v>
      </c>
      <c r="CH391" s="235">
        <f t="shared" ca="1" si="1463"/>
        <v>-2.0265466883273575E-5</v>
      </c>
      <c r="CI391" s="235" t="e">
        <f ca="1">BM391-#REF!</f>
        <v>#REF!</v>
      </c>
      <c r="CJ391" s="235">
        <f t="shared" ca="1" si="1464"/>
        <v>0</v>
      </c>
      <c r="CK391" s="235">
        <f t="shared" ca="1" si="1465"/>
        <v>0</v>
      </c>
      <c r="CL391" s="235">
        <f t="shared" ca="1" si="1466"/>
        <v>0</v>
      </c>
      <c r="CM391" s="235">
        <f t="shared" ca="1" si="1467"/>
        <v>0</v>
      </c>
      <c r="CN391" s="235">
        <f t="shared" ca="1" si="1468"/>
        <v>-2.3092638912203256E-14</v>
      </c>
      <c r="CO391" s="235">
        <f t="shared" ca="1" si="1469"/>
        <v>2.2204460492503131E-14</v>
      </c>
      <c r="CP391" s="235">
        <f t="shared" ca="1" si="1470"/>
        <v>0</v>
      </c>
      <c r="CQ391" s="235">
        <f t="shared" ca="1" si="1471"/>
        <v>0</v>
      </c>
      <c r="CR391" s="235">
        <f t="shared" ca="1" si="1472"/>
        <v>0</v>
      </c>
      <c r="CS391" s="235">
        <f t="shared" ca="1" si="1473"/>
        <v>-4.4408920985006262E-14</v>
      </c>
      <c r="CT391" s="235">
        <f t="shared" ca="1" si="1474"/>
        <v>-6.6613381477509392E-14</v>
      </c>
      <c r="CU391" s="235">
        <f t="shared" ca="1" si="1475"/>
        <v>-2.2204460492503131E-14</v>
      </c>
      <c r="CV391" s="235">
        <f t="shared" ca="1" si="1476"/>
        <v>-4.4408920985006262E-14</v>
      </c>
      <c r="CW391" s="235">
        <f t="shared" ca="1" si="1477"/>
        <v>-6.6613381477509392E-14</v>
      </c>
      <c r="CX391" s="235">
        <f t="shared" ca="1" si="1478"/>
        <v>3.3306690738754696E-13</v>
      </c>
      <c r="CY391" s="235">
        <f t="shared" ca="1" si="1479"/>
        <v>4.1744385725905886E-12</v>
      </c>
      <c r="CZ391" s="235">
        <f t="shared" ca="1" si="1480"/>
        <v>3.3928415632544784E-11</v>
      </c>
      <c r="DA391" s="38"/>
      <c r="DB391" s="236">
        <v>8.3462076519507296</v>
      </c>
      <c r="DC391" s="236">
        <v>9.3462076519507331</v>
      </c>
      <c r="DD391" s="236">
        <v>8.8706217059189676</v>
      </c>
      <c r="DE391" s="236">
        <v>11.147967414144521</v>
      </c>
      <c r="DF391" s="399">
        <v>8.5861758406540201</v>
      </c>
      <c r="DG391" s="236">
        <v>10.039749792123276</v>
      </c>
      <c r="DH391" s="492">
        <v>11.443953978083222</v>
      </c>
      <c r="DI391" s="236">
        <v>1.285583096075249</v>
      </c>
      <c r="DJ391" s="236">
        <v>4.2350530219785298</v>
      </c>
      <c r="DK391" s="236">
        <v>20.962450987774872</v>
      </c>
      <c r="DL391" s="236">
        <v>24.294056406262055</v>
      </c>
      <c r="DM391" s="236">
        <v>9.5523402451792592</v>
      </c>
      <c r="DN391" s="236">
        <v>4.6440320622427977</v>
      </c>
      <c r="DO391" s="236">
        <v>3.4145468536093793</v>
      </c>
      <c r="DP391" s="236">
        <v>3.6511183989398122</v>
      </c>
      <c r="DQ391" s="401">
        <v>3.736789650849115</v>
      </c>
      <c r="DR391" s="401">
        <v>3.7616524627479109</v>
      </c>
      <c r="DS391" s="401">
        <v>3.7115856228899347</v>
      </c>
      <c r="DT391" s="401">
        <v>3.6448069661513927</v>
      </c>
      <c r="DU391" s="401">
        <v>3.5950918740444093</v>
      </c>
      <c r="DV391" s="401">
        <v>3.5697216194236825</v>
      </c>
      <c r="DW391" s="401">
        <v>3.5488640644024239</v>
      </c>
      <c r="DX391" s="401">
        <v>3.5198901906188462</v>
      </c>
      <c r="DY391" s="401">
        <v>3.4907458485070153</v>
      </c>
      <c r="DZ391" s="401">
        <v>4.8369121099575576</v>
      </c>
      <c r="EA391" s="989"/>
    </row>
    <row r="392" spans="1:131" s="76" customFormat="1">
      <c r="A392" s="16" t="s">
        <v>4222</v>
      </c>
      <c r="B392" s="16" t="s">
        <v>1102</v>
      </c>
      <c r="D392" s="227" t="s">
        <v>2462</v>
      </c>
      <c r="E392" s="227"/>
      <c r="F392" s="101"/>
      <c r="G392" s="101">
        <f t="shared" ref="G392:AU392" si="1501">+((G419/F419)/(1+G396/100)-1)*100</f>
        <v>4.4054778949810247</v>
      </c>
      <c r="H392" s="101">
        <f t="shared" si="1501"/>
        <v>8.1643037596618839</v>
      </c>
      <c r="I392" s="101">
        <f t="shared" si="1501"/>
        <v>15.517428854573833</v>
      </c>
      <c r="J392" s="101">
        <f t="shared" si="1501"/>
        <v>6.2834229132427533</v>
      </c>
      <c r="K392" s="101">
        <f t="shared" si="1501"/>
        <v>10.31194908298505</v>
      </c>
      <c r="L392" s="101">
        <f t="shared" si="1501"/>
        <v>8.5459267159996077</v>
      </c>
      <c r="M392" s="101">
        <f t="shared" si="1501"/>
        <v>4.5983256728761468</v>
      </c>
      <c r="N392" s="101">
        <f t="shared" si="1501"/>
        <v>5.2371560493440938</v>
      </c>
      <c r="O392" s="101">
        <f t="shared" si="1501"/>
        <v>6.7049293411752586</v>
      </c>
      <c r="P392" s="101">
        <f t="shared" si="1501"/>
        <v>9.9891582370081231</v>
      </c>
      <c r="Q392" s="101">
        <f t="shared" si="1501"/>
        <v>14.529031278219007</v>
      </c>
      <c r="R392" s="101">
        <f t="shared" si="1501"/>
        <v>26.300796396420068</v>
      </c>
      <c r="S392" s="101">
        <f t="shared" si="1501"/>
        <v>15.991529696917173</v>
      </c>
      <c r="T392" s="101">
        <f t="shared" si="1501"/>
        <v>9.5456783032658485</v>
      </c>
      <c r="U392" s="101">
        <f t="shared" si="1501"/>
        <v>4.4803446497119648</v>
      </c>
      <c r="V392" s="101">
        <f t="shared" si="1501"/>
        <v>5.3239627082720009</v>
      </c>
      <c r="W392" s="101">
        <f t="shared" si="1501"/>
        <v>8.5959081779814372</v>
      </c>
      <c r="X392" s="101">
        <f t="shared" si="1501"/>
        <v>5.2910913179125441</v>
      </c>
      <c r="Y392" s="101">
        <f t="shared" si="1501"/>
        <v>8.2958510336983426</v>
      </c>
      <c r="Z392" s="101">
        <f t="shared" si="1501"/>
        <v>21.649703834146948</v>
      </c>
      <c r="AA392" s="101">
        <f t="shared" si="1501"/>
        <v>20.141906959886668</v>
      </c>
      <c r="AB392" s="101">
        <f t="shared" si="1501"/>
        <v>8.7103163435811037</v>
      </c>
      <c r="AC392" s="101">
        <f t="shared" si="1501"/>
        <v>26.825117910659777</v>
      </c>
      <c r="AD392" s="101">
        <f t="shared" si="1501"/>
        <v>14.680743808713427</v>
      </c>
      <c r="AE392" s="101">
        <f t="shared" si="1501"/>
        <v>6.4080067364808535</v>
      </c>
      <c r="AF392" s="101">
        <f t="shared" si="1501"/>
        <v>2.3633527819725053</v>
      </c>
      <c r="AG392" s="101">
        <f t="shared" si="1501"/>
        <v>12.265702338419127</v>
      </c>
      <c r="AH392" s="101">
        <f t="shared" si="1501"/>
        <v>2.9042139164772829</v>
      </c>
      <c r="AI392" s="101">
        <f t="shared" si="1501"/>
        <v>-3.291915801318912</v>
      </c>
      <c r="AJ392" s="101">
        <f t="shared" si="1501"/>
        <v>-2.3406971439517199</v>
      </c>
      <c r="AK392" s="101">
        <f t="shared" si="1501"/>
        <v>-0.18530702237158359</v>
      </c>
      <c r="AL392" s="101">
        <f t="shared" si="1501"/>
        <v>2.8474992277034206</v>
      </c>
      <c r="AM392" s="101">
        <f t="shared" si="1501"/>
        <v>10.141777670434982</v>
      </c>
      <c r="AN392" s="101">
        <f t="shared" si="1501"/>
        <v>18.514674970496038</v>
      </c>
      <c r="AO392" s="101">
        <f t="shared" si="1501"/>
        <v>17.822433874508192</v>
      </c>
      <c r="AP392" s="101">
        <f t="shared" si="1501"/>
        <v>1.2880747863786013E-2</v>
      </c>
      <c r="AQ392" s="101">
        <f t="shared" si="1501"/>
        <v>11.569948866978619</v>
      </c>
      <c r="AR392" s="101">
        <f t="shared" si="1501"/>
        <v>43.568885223503507</v>
      </c>
      <c r="AS392" s="101">
        <f t="shared" si="1501"/>
        <v>68.276807811728716</v>
      </c>
      <c r="AT392" s="101">
        <f t="shared" si="1501"/>
        <v>15078.089673298029</v>
      </c>
      <c r="AU392" s="101">
        <f t="shared" si="1501"/>
        <v>440.68215298195099</v>
      </c>
      <c r="AV392" s="101">
        <f t="shared" ref="AV392:BB392" si="1502">+((AV419/AU419)/(1+AV396/100)-1)*100</f>
        <v>2.5796245276401564</v>
      </c>
      <c r="AW392" s="101">
        <f t="shared" si="1502"/>
        <v>6.7343481432053043</v>
      </c>
      <c r="AX392" s="101">
        <f t="shared" si="1502"/>
        <v>20.495589024219619</v>
      </c>
      <c r="AY392" s="101">
        <f t="shared" si="1502"/>
        <v>87.980106172572789</v>
      </c>
      <c r="AZ392" s="101">
        <f t="shared" si="1502"/>
        <v>61.304367526064055</v>
      </c>
      <c r="BA392" s="101">
        <f t="shared" si="1502"/>
        <v>39.91263018680322</v>
      </c>
      <c r="BB392" s="101">
        <f t="shared" si="1502"/>
        <v>15.725042520152677</v>
      </c>
      <c r="BC392" s="101">
        <f t="shared" ref="BC392:BQ392" ca="1" si="1503">+((BC419/BB419)/(1+BC396/100)-1)*100</f>
        <v>18.935447898401627</v>
      </c>
      <c r="BD392" s="101">
        <f t="shared" ca="1" si="1503"/>
        <v>13.953606965640475</v>
      </c>
      <c r="BE392" s="101">
        <f t="shared" ca="1" si="1503"/>
        <v>7.6277151341788807</v>
      </c>
      <c r="BF392" s="101">
        <f t="shared" ca="1" si="1503"/>
        <v>18.080674794774154</v>
      </c>
      <c r="BG392" s="101">
        <f t="shared" ca="1" si="1503"/>
        <v>8.0356792321391701</v>
      </c>
      <c r="BH392" s="381">
        <f t="shared" ca="1" si="1503"/>
        <v>12.332921500194161</v>
      </c>
      <c r="BI392" s="381">
        <f t="shared" ca="1" si="1503"/>
        <v>-3.4065858841504593</v>
      </c>
      <c r="BJ392" s="84">
        <f t="shared" ca="1" si="1503"/>
        <v>18.581110343228403</v>
      </c>
      <c r="BK392" s="99">
        <f t="shared" ref="BK392:BP392" ca="1" si="1504">+((BK419/BJ419)/(1+BK396/100)-1)*100</f>
        <v>25.328082442656608</v>
      </c>
      <c r="BL392" s="84">
        <f t="shared" ca="1" si="1504"/>
        <v>4.7471023912021737</v>
      </c>
      <c r="BM392" s="99">
        <f t="shared" ca="1" si="1504"/>
        <v>-3.9545201528938589</v>
      </c>
      <c r="BN392" s="99">
        <f t="shared" ca="1" si="1504"/>
        <v>-1.8534630184727119</v>
      </c>
      <c r="BO392" s="99">
        <f t="shared" ca="1" si="1504"/>
        <v>4.7661092587349962</v>
      </c>
      <c r="BP392" s="99">
        <f t="shared" ca="1" si="1504"/>
        <v>30.104155374632491</v>
      </c>
      <c r="BQ392" s="99">
        <f t="shared" ca="1" si="1503"/>
        <v>11.724123932111507</v>
      </c>
      <c r="BR392" s="99">
        <f t="shared" ref="BR392:BX392" ca="1" si="1505">+((BR419/BQ419)/(1+BR396/100)-1)*100</f>
        <v>5.1085898332215773</v>
      </c>
      <c r="BS392" s="99">
        <f t="shared" ca="1" si="1505"/>
        <v>3.0601169152034258</v>
      </c>
      <c r="BT392" s="99">
        <f t="shared" ca="1" si="1505"/>
        <v>2.3105274804007037</v>
      </c>
      <c r="BU392" s="99">
        <f t="shared" ca="1" si="1505"/>
        <v>2.234177260148007</v>
      </c>
      <c r="BV392" s="99">
        <f t="shared" ca="1" si="1505"/>
        <v>2.2643474477237913</v>
      </c>
      <c r="BW392" s="99">
        <f t="shared" ca="1" si="1505"/>
        <v>2.2774049748929492</v>
      </c>
      <c r="BX392" s="99">
        <f t="shared" ca="1" si="1505"/>
        <v>2.2522446617252667</v>
      </c>
      <c r="BY392" s="99">
        <f t="shared" ref="BY392" ca="1" si="1506">+((BY419/BX419)/(1+BY396/100)-1)*100</f>
        <v>2.2194503049157932</v>
      </c>
      <c r="BZ392" s="99">
        <f t="shared" ref="BZ392" ca="1" si="1507">+((BZ419/BY419)/(1+BZ396/100)-1)*100</f>
        <v>2.8717794987582312</v>
      </c>
      <c r="CA392" s="99">
        <f t="shared" ref="CA392" ca="1" si="1508">+((CA419/BZ419)/(1+CA396/100)-1)*100</f>
        <v>2.8610931384273064</v>
      </c>
      <c r="CB392" s="99">
        <f t="shared" ref="CB392" ca="1" si="1509">+((CB419/CA419)/(1+CB396/100)-1)*100</f>
        <v>2.8546449857562051</v>
      </c>
      <c r="CC392" s="99">
        <f t="shared" ref="CC392" ca="1" si="1510">+((CC419/CB419)/(1+CC396/100)-1)*100</f>
        <v>2.8376574093792462</v>
      </c>
      <c r="CD392" s="99">
        <f t="shared" ref="CD392" ca="1" si="1511">+((CD419/CC419)/(1+CD396/100)-1)*100</f>
        <v>2.8204278041697117</v>
      </c>
      <c r="CE392" s="101">
        <f t="shared" ca="1" si="1489"/>
        <v>5.1604281425125764</v>
      </c>
      <c r="CF392" s="444"/>
      <c r="CG392" s="235">
        <f t="shared" ca="1" si="1462"/>
        <v>0.72344438656186583</v>
      </c>
      <c r="CH392" s="235">
        <f t="shared" ca="1" si="1463"/>
        <v>-0.10531141915133269</v>
      </c>
      <c r="CI392" s="235" t="e">
        <f ca="1">BM392-#REF!</f>
        <v>#REF!</v>
      </c>
      <c r="CJ392" s="235">
        <f t="shared" ca="1" si="1464"/>
        <v>0</v>
      </c>
      <c r="CK392" s="235">
        <f t="shared" ca="1" si="1465"/>
        <v>0</v>
      </c>
      <c r="CL392" s="235">
        <f t="shared" ca="1" si="1466"/>
        <v>0</v>
      </c>
      <c r="CM392" s="235">
        <f t="shared" ca="1" si="1467"/>
        <v>2.1316282072803006E-14</v>
      </c>
      <c r="CN392" s="235">
        <f t="shared" ca="1" si="1468"/>
        <v>0</v>
      </c>
      <c r="CO392" s="235">
        <f t="shared" ca="1" si="1469"/>
        <v>-4.4408920985006262E-14</v>
      </c>
      <c r="CP392" s="235">
        <f t="shared" ca="1" si="1470"/>
        <v>4.4408920985006262E-14</v>
      </c>
      <c r="CQ392" s="235">
        <f t="shared" ca="1" si="1471"/>
        <v>6.6613381477509392E-14</v>
      </c>
      <c r="CR392" s="235">
        <f t="shared" ca="1" si="1472"/>
        <v>1.1102230246251565E-13</v>
      </c>
      <c r="CS392" s="235">
        <f t="shared" ca="1" si="1473"/>
        <v>1.3322676295501878E-13</v>
      </c>
      <c r="CT392" s="235">
        <f t="shared" ca="1" si="1474"/>
        <v>1.1102230246251565E-13</v>
      </c>
      <c r="CU392" s="235">
        <f t="shared" ca="1" si="1475"/>
        <v>1.5543122344752192E-13</v>
      </c>
      <c r="CV392" s="235">
        <f t="shared" ca="1" si="1476"/>
        <v>8.8817841970012523E-14</v>
      </c>
      <c r="CW392" s="235">
        <f t="shared" ca="1" si="1477"/>
        <v>-2.886579864025407E-13</v>
      </c>
      <c r="CX392" s="235">
        <f t="shared" ca="1" si="1478"/>
        <v>-5.595524044110789E-12</v>
      </c>
      <c r="CY392" s="235">
        <f t="shared" ca="1" si="1479"/>
        <v>-5.4556359430080192E-11</v>
      </c>
      <c r="CZ392" s="235">
        <f t="shared" ca="1" si="1480"/>
        <v>-4.18420853520729E-10</v>
      </c>
      <c r="DA392" s="38"/>
      <c r="DB392" s="236">
        <v>22.7453471651136</v>
      </c>
      <c r="DC392" s="236">
        <v>23.74534716511365</v>
      </c>
      <c r="DD392" s="236">
        <v>8.626424607405081</v>
      </c>
      <c r="DE392" s="236">
        <v>11.027423768660704</v>
      </c>
      <c r="DF392" s="404">
        <v>-2.0294635259593741</v>
      </c>
      <c r="DG392" s="236">
        <v>24.604638056094743</v>
      </c>
      <c r="DH392" s="492">
        <v>4.8524138103535064</v>
      </c>
      <c r="DI392" s="236">
        <v>-1.8534630184727119</v>
      </c>
      <c r="DJ392" s="236">
        <v>4.7661092587349962</v>
      </c>
      <c r="DK392" s="236">
        <v>30.104155374632469</v>
      </c>
      <c r="DL392" s="236">
        <v>11.724123932111485</v>
      </c>
      <c r="DM392" s="236">
        <v>5.1085898332215773</v>
      </c>
      <c r="DN392" s="236">
        <v>3.0601169152034702</v>
      </c>
      <c r="DO392" s="236">
        <v>2.3105274804006593</v>
      </c>
      <c r="DP392" s="236">
        <v>2.2341772601479404</v>
      </c>
      <c r="DQ392" s="401">
        <v>2.2643474477236802</v>
      </c>
      <c r="DR392" s="401">
        <v>2.277404974892816</v>
      </c>
      <c r="DS392" s="401">
        <v>2.2522446617251557</v>
      </c>
      <c r="DT392" s="401">
        <v>2.2194503049156378</v>
      </c>
      <c r="DU392" s="401">
        <v>2.8717794987581424</v>
      </c>
      <c r="DV392" s="401">
        <v>2.8610931384275951</v>
      </c>
      <c r="DW392" s="401">
        <v>2.8546449857618006</v>
      </c>
      <c r="DX392" s="401">
        <v>2.8376574094338025</v>
      </c>
      <c r="DY392" s="401">
        <v>2.8204278045881326</v>
      </c>
      <c r="DZ392" s="401">
        <v>4.7667599563424528</v>
      </c>
      <c r="EA392" s="989"/>
    </row>
    <row r="393" spans="1:131" s="76" customFormat="1">
      <c r="A393" s="227"/>
      <c r="B393" s="16"/>
      <c r="D393" s="227"/>
      <c r="E393" s="227"/>
      <c r="F393" s="227"/>
      <c r="G393" s="227"/>
      <c r="H393" s="227"/>
      <c r="I393" s="227"/>
      <c r="J393" s="227"/>
      <c r="K393" s="227"/>
      <c r="L393" s="227"/>
      <c r="M393" s="227"/>
      <c r="N393" s="227"/>
      <c r="O393" s="227"/>
      <c r="P393" s="227"/>
      <c r="Q393" s="227"/>
      <c r="R393" s="227"/>
      <c r="S393" s="227"/>
      <c r="T393" s="227"/>
      <c r="U393" s="227"/>
      <c r="V393" s="227"/>
      <c r="W393" s="227"/>
      <c r="X393" s="227"/>
      <c r="Y393" s="227"/>
      <c r="Z393" s="227"/>
      <c r="AA393" s="227"/>
      <c r="AB393" s="227"/>
      <c r="AC393" s="227"/>
      <c r="AD393" s="227"/>
      <c r="AE393" s="227"/>
      <c r="AF393" s="227"/>
      <c r="AG393" s="227"/>
      <c r="AH393" s="227"/>
      <c r="AI393" s="227"/>
      <c r="AJ393" s="227"/>
      <c r="AK393" s="227"/>
      <c r="AL393" s="227"/>
      <c r="AM393" s="227"/>
      <c r="AN393" s="227"/>
      <c r="AO393" s="227"/>
      <c r="AP393" s="227"/>
      <c r="AQ393" s="227"/>
      <c r="AR393" s="227"/>
      <c r="AS393" s="227"/>
      <c r="AT393" s="227"/>
      <c r="AU393" s="16"/>
      <c r="AV393" s="38"/>
      <c r="AW393" s="38"/>
      <c r="AX393" s="38"/>
      <c r="AY393" s="38"/>
      <c r="AZ393" s="38"/>
      <c r="BA393" s="101"/>
      <c r="BB393" s="101"/>
      <c r="BC393" s="101"/>
      <c r="BD393" s="101"/>
      <c r="BE393" s="101"/>
      <c r="BF393" s="101"/>
      <c r="BG393" s="101"/>
      <c r="BH393" s="99"/>
      <c r="BI393" s="99"/>
      <c r="BJ393" s="99"/>
      <c r="BK393" s="99"/>
      <c r="BL393" s="99"/>
      <c r="BM393" s="99"/>
      <c r="BN393" s="99"/>
      <c r="BO393" s="99"/>
      <c r="BP393" s="99"/>
      <c r="BQ393" s="99"/>
      <c r="BR393" s="99"/>
      <c r="BS393" s="99"/>
      <c r="BT393" s="99"/>
      <c r="BU393" s="99"/>
      <c r="BV393" s="99"/>
      <c r="BW393" s="99"/>
      <c r="BX393" s="99"/>
      <c r="BY393" s="99"/>
      <c r="BZ393" s="99"/>
      <c r="CA393" s="99"/>
      <c r="CB393" s="99"/>
      <c r="CC393" s="99"/>
      <c r="CD393" s="99"/>
      <c r="CE393" s="101"/>
      <c r="CF393" s="444"/>
      <c r="CG393" s="235">
        <f t="shared" si="1462"/>
        <v>0</v>
      </c>
      <c r="CH393" s="235">
        <f t="shared" si="1463"/>
        <v>0</v>
      </c>
      <c r="CI393" s="235" t="e">
        <f>BM393-#REF!</f>
        <v>#REF!</v>
      </c>
      <c r="CJ393" s="235">
        <f t="shared" si="1464"/>
        <v>0</v>
      </c>
      <c r="CK393" s="235">
        <f t="shared" si="1465"/>
        <v>0</v>
      </c>
      <c r="CL393" s="235">
        <f t="shared" si="1466"/>
        <v>0</v>
      </c>
      <c r="CM393" s="235">
        <f t="shared" si="1467"/>
        <v>0</v>
      </c>
      <c r="CN393" s="235">
        <f t="shared" si="1468"/>
        <v>0</v>
      </c>
      <c r="CO393" s="235">
        <f t="shared" si="1469"/>
        <v>0</v>
      </c>
      <c r="CP393" s="235">
        <f t="shared" si="1470"/>
        <v>0</v>
      </c>
      <c r="CQ393" s="235">
        <f t="shared" si="1471"/>
        <v>0</v>
      </c>
      <c r="CR393" s="235">
        <f t="shared" si="1472"/>
        <v>0</v>
      </c>
      <c r="CS393" s="235">
        <f t="shared" si="1473"/>
        <v>0</v>
      </c>
      <c r="CT393" s="235">
        <f t="shared" si="1474"/>
        <v>0</v>
      </c>
      <c r="CU393" s="235">
        <f t="shared" si="1475"/>
        <v>0</v>
      </c>
      <c r="CV393" s="235">
        <f t="shared" si="1476"/>
        <v>0</v>
      </c>
      <c r="CW393" s="235">
        <f t="shared" si="1477"/>
        <v>0</v>
      </c>
      <c r="CX393" s="235">
        <f t="shared" si="1478"/>
        <v>0</v>
      </c>
      <c r="CY393" s="235">
        <f t="shared" si="1479"/>
        <v>0</v>
      </c>
      <c r="CZ393" s="235">
        <f t="shared" si="1480"/>
        <v>0</v>
      </c>
      <c r="DA393" s="38"/>
      <c r="DB393" s="236"/>
      <c r="DC393" s="236"/>
      <c r="DD393" s="236"/>
      <c r="DE393" s="236"/>
      <c r="DF393" s="259"/>
      <c r="DG393" s="236"/>
      <c r="DH393" s="492"/>
      <c r="DI393" s="236"/>
      <c r="DJ393" s="236"/>
      <c r="DK393" s="236"/>
      <c r="DL393" s="236"/>
      <c r="DM393" s="236"/>
      <c r="DN393" s="236"/>
      <c r="DO393" s="236"/>
      <c r="DP393" s="236"/>
      <c r="DQ393" s="401"/>
      <c r="DR393" s="401"/>
      <c r="DS393" s="401"/>
      <c r="DT393" s="401"/>
      <c r="DU393" s="401"/>
      <c r="DV393" s="401"/>
      <c r="DW393" s="401"/>
      <c r="DX393" s="401"/>
      <c r="DY393" s="401"/>
      <c r="DZ393" s="401"/>
      <c r="EA393" s="989"/>
    </row>
    <row r="394" spans="1:131" s="76" customFormat="1">
      <c r="A394" s="227" t="s">
        <v>775</v>
      </c>
      <c r="B394" s="125" t="s">
        <v>3180</v>
      </c>
      <c r="D394" s="227"/>
      <c r="E394" s="227"/>
      <c r="F394" s="227"/>
      <c r="G394" s="227"/>
      <c r="H394" s="227"/>
      <c r="I394" s="227"/>
      <c r="J394" s="227"/>
      <c r="K394" s="227"/>
      <c r="L394" s="227"/>
      <c r="M394" s="227"/>
      <c r="N394" s="227"/>
      <c r="O394" s="227"/>
      <c r="P394" s="227"/>
      <c r="Q394" s="227"/>
      <c r="R394" s="227"/>
      <c r="S394" s="227"/>
      <c r="T394" s="227"/>
      <c r="U394" s="227"/>
      <c r="V394" s="227"/>
      <c r="W394" s="227"/>
      <c r="X394" s="227"/>
      <c r="Y394" s="227"/>
      <c r="Z394" s="227"/>
      <c r="AA394" s="227"/>
      <c r="AB394" s="227"/>
      <c r="AC394" s="227"/>
      <c r="AD394" s="227"/>
      <c r="AE394" s="227"/>
      <c r="AF394" s="227"/>
      <c r="AG394" s="227"/>
      <c r="AH394" s="227"/>
      <c r="AI394" s="227"/>
      <c r="AJ394" s="227"/>
      <c r="AK394" s="227"/>
      <c r="AL394" s="227"/>
      <c r="AM394" s="227"/>
      <c r="AN394" s="227"/>
      <c r="AO394" s="227"/>
      <c r="AP394" s="227"/>
      <c r="AQ394" s="227"/>
      <c r="AR394" s="227"/>
      <c r="AS394" s="227"/>
      <c r="AT394" s="227"/>
      <c r="AU394" s="16"/>
      <c r="AV394" s="38"/>
      <c r="AW394" s="38"/>
      <c r="AX394" s="38"/>
      <c r="AY394" s="38"/>
      <c r="AZ394" s="38"/>
      <c r="BA394" s="101"/>
      <c r="BB394" s="101"/>
      <c r="BC394" s="101"/>
      <c r="BD394" s="101"/>
      <c r="BE394" s="101"/>
      <c r="BH394" s="25"/>
      <c r="BI394" s="25"/>
      <c r="BJ394" s="25"/>
      <c r="BK394" s="25"/>
      <c r="BL394" s="25"/>
      <c r="BM394" s="25"/>
      <c r="BN394" s="25"/>
      <c r="BO394" s="25"/>
      <c r="BP394" s="25"/>
      <c r="BQ394" s="25"/>
      <c r="BR394" s="25"/>
      <c r="BS394" s="25"/>
      <c r="BT394" s="25"/>
      <c r="BU394" s="25"/>
      <c r="BV394" s="25"/>
      <c r="BW394" s="25"/>
      <c r="BX394" s="25"/>
      <c r="BY394" s="25"/>
      <c r="BZ394" s="25"/>
      <c r="CA394" s="25"/>
      <c r="CB394" s="25"/>
      <c r="CC394" s="25"/>
      <c r="CD394" s="25"/>
      <c r="CE394" s="101"/>
      <c r="CF394" s="444"/>
      <c r="CG394" s="235">
        <f t="shared" si="1462"/>
        <v>0</v>
      </c>
      <c r="CH394" s="235">
        <f t="shared" si="1463"/>
        <v>0</v>
      </c>
      <c r="CI394" s="235" t="e">
        <f>BM394-#REF!</f>
        <v>#REF!</v>
      </c>
      <c r="CJ394" s="235">
        <f t="shared" si="1464"/>
        <v>0</v>
      </c>
      <c r="CK394" s="235">
        <f t="shared" si="1465"/>
        <v>0</v>
      </c>
      <c r="CL394" s="235">
        <f t="shared" si="1466"/>
        <v>0</v>
      </c>
      <c r="CM394" s="235">
        <f t="shared" si="1467"/>
        <v>0</v>
      </c>
      <c r="CN394" s="235">
        <f t="shared" si="1468"/>
        <v>0</v>
      </c>
      <c r="CO394" s="235">
        <f t="shared" si="1469"/>
        <v>0</v>
      </c>
      <c r="CP394" s="235">
        <f t="shared" si="1470"/>
        <v>0</v>
      </c>
      <c r="CQ394" s="235">
        <f t="shared" si="1471"/>
        <v>0</v>
      </c>
      <c r="CR394" s="235">
        <f t="shared" si="1472"/>
        <v>0</v>
      </c>
      <c r="CS394" s="235">
        <f t="shared" si="1473"/>
        <v>0</v>
      </c>
      <c r="CT394" s="235">
        <f t="shared" si="1474"/>
        <v>0</v>
      </c>
      <c r="CU394" s="235">
        <f t="shared" si="1475"/>
        <v>0</v>
      </c>
      <c r="CV394" s="235">
        <f t="shared" si="1476"/>
        <v>0</v>
      </c>
      <c r="CW394" s="235">
        <f t="shared" si="1477"/>
        <v>0</v>
      </c>
      <c r="CX394" s="235">
        <f t="shared" si="1478"/>
        <v>0</v>
      </c>
      <c r="CY394" s="235">
        <f t="shared" si="1479"/>
        <v>0</v>
      </c>
      <c r="CZ394" s="235">
        <f t="shared" si="1480"/>
        <v>0</v>
      </c>
      <c r="DA394" s="38"/>
      <c r="DB394" s="236"/>
      <c r="DC394" s="236"/>
      <c r="DD394" s="236"/>
      <c r="DE394" s="236"/>
      <c r="DF394" s="259"/>
      <c r="DG394" s="236"/>
      <c r="DH394" s="492"/>
      <c r="DI394" s="236"/>
      <c r="DJ394" s="236"/>
      <c r="DK394" s="236"/>
      <c r="DL394" s="236"/>
      <c r="DM394" s="236"/>
      <c r="DN394" s="236"/>
      <c r="DO394" s="236"/>
      <c r="DP394" s="236"/>
      <c r="DQ394" s="401"/>
      <c r="DR394" s="401"/>
      <c r="DS394" s="401"/>
      <c r="DT394" s="401"/>
      <c r="DU394" s="401"/>
      <c r="DV394" s="401"/>
      <c r="DW394" s="401"/>
      <c r="DX394" s="401"/>
      <c r="DY394" s="401"/>
      <c r="DZ394" s="401"/>
      <c r="EA394" s="989"/>
    </row>
    <row r="395" spans="1:131" s="38" customFormat="1">
      <c r="A395" s="101" t="s">
        <v>4223</v>
      </c>
      <c r="B395" s="255" t="s">
        <v>594</v>
      </c>
      <c r="D395" s="227" t="s">
        <v>2462</v>
      </c>
      <c r="E395" s="227"/>
      <c r="F395" s="101">
        <f t="shared" ref="F395:AZ395" si="1512">+F310-F302-(F285-E285)</f>
        <v>63.3</v>
      </c>
      <c r="G395" s="101">
        <f t="shared" si="1512"/>
        <v>64.3</v>
      </c>
      <c r="H395" s="101">
        <f t="shared" si="1512"/>
        <v>63.319801974296567</v>
      </c>
      <c r="I395" s="101">
        <f t="shared" si="1512"/>
        <v>56.562135505676267</v>
      </c>
      <c r="J395" s="101">
        <f t="shared" si="1512"/>
        <v>65.3</v>
      </c>
      <c r="K395" s="101">
        <f t="shared" si="1512"/>
        <v>65.3</v>
      </c>
      <c r="L395" s="101">
        <f t="shared" si="1512"/>
        <v>62.621428537368772</v>
      </c>
      <c r="M395" s="101">
        <f t="shared" si="1512"/>
        <v>63.560869622230527</v>
      </c>
      <c r="N395" s="101">
        <f t="shared" si="1512"/>
        <v>64.445299136638639</v>
      </c>
      <c r="O395" s="101">
        <f t="shared" si="1512"/>
        <v>64.452542352676389</v>
      </c>
      <c r="P395" s="101">
        <f t="shared" si="1512"/>
        <v>64.459663856029508</v>
      </c>
      <c r="Q395" s="101">
        <f t="shared" si="1512"/>
        <v>63.63333337306976</v>
      </c>
      <c r="R395" s="101">
        <f t="shared" si="1512"/>
        <v>63.660655784606931</v>
      </c>
      <c r="S395" s="101">
        <f t="shared" si="1512"/>
        <v>58.041935253143308</v>
      </c>
      <c r="T395" s="101">
        <f t="shared" si="1512"/>
        <v>65.3</v>
      </c>
      <c r="U395" s="101">
        <f t="shared" si="1512"/>
        <v>62.29248123168945</v>
      </c>
      <c r="V395" s="101">
        <f t="shared" si="1512"/>
        <v>63.543897795677182</v>
      </c>
      <c r="W395" s="101">
        <f t="shared" si="1512"/>
        <v>65.893558430671689</v>
      </c>
      <c r="X395" s="101">
        <f t="shared" si="1512"/>
        <v>62.862646865844724</v>
      </c>
      <c r="Y395" s="101">
        <f t="shared" si="1512"/>
        <v>53.21208744049072</v>
      </c>
      <c r="Z395" s="101">
        <f t="shared" si="1512"/>
        <v>49.340920257568357</v>
      </c>
      <c r="AA395" s="101">
        <f t="shared" si="1512"/>
        <v>57.808454799652097</v>
      </c>
      <c r="AB395" s="101">
        <f t="shared" si="1512"/>
        <v>55.991471099853513</v>
      </c>
      <c r="AC395" s="101">
        <f t="shared" si="1512"/>
        <v>56.471318054199216</v>
      </c>
      <c r="AD395" s="101">
        <f t="shared" si="1512"/>
        <v>57.314028549194333</v>
      </c>
      <c r="AE395" s="101">
        <f t="shared" si="1512"/>
        <v>51.345149803161618</v>
      </c>
      <c r="AF395" s="101">
        <f t="shared" si="1512"/>
        <v>52.091571617126462</v>
      </c>
      <c r="AG395" s="101">
        <f t="shared" si="1512"/>
        <v>56.59178714752197</v>
      </c>
      <c r="AH395" s="101">
        <f t="shared" si="1512"/>
        <v>58.010706233978269</v>
      </c>
      <c r="AI395" s="101">
        <f t="shared" si="1512"/>
        <v>60.912172603607175</v>
      </c>
      <c r="AJ395" s="101">
        <f t="shared" si="1512"/>
        <v>61.10000019073486</v>
      </c>
      <c r="AK395" s="101">
        <f t="shared" si="1512"/>
        <v>49.00000076293945</v>
      </c>
      <c r="AL395" s="101">
        <f t="shared" si="1512"/>
        <v>34.599999237060544</v>
      </c>
      <c r="AM395" s="101">
        <f t="shared" si="1512"/>
        <v>-23.500003051757815</v>
      </c>
      <c r="AN395" s="101">
        <f t="shared" si="1512"/>
        <v>50.3</v>
      </c>
      <c r="AO395" s="101">
        <f t="shared" si="1512"/>
        <v>45.599999237060544</v>
      </c>
      <c r="AP395" s="101">
        <f t="shared" si="1512"/>
        <v>43.553706754530495</v>
      </c>
      <c r="AQ395" s="101">
        <f t="shared" si="1512"/>
        <v>39.331246155738704</v>
      </c>
      <c r="AR395" s="101">
        <f t="shared" si="1512"/>
        <v>21.637890625000004</v>
      </c>
      <c r="AS395" s="101">
        <f t="shared" si="1512"/>
        <v>-78.218455577459096</v>
      </c>
      <c r="AT395" s="101">
        <f t="shared" si="1512"/>
        <v>-303.17923179991061</v>
      </c>
      <c r="AU395" s="101">
        <f t="shared" si="1512"/>
        <v>-170.25783301951998</v>
      </c>
      <c r="AV395" s="101">
        <f t="shared" si="1512"/>
        <v>66</v>
      </c>
      <c r="AW395" s="101">
        <f t="shared" si="1512"/>
        <v>27.025073770962742</v>
      </c>
      <c r="AX395" s="101">
        <f t="shared" si="1512"/>
        <v>0.24179979012770048</v>
      </c>
      <c r="AY395" s="101">
        <f t="shared" si="1512"/>
        <v>-11.601835772433361</v>
      </c>
      <c r="AZ395" s="101">
        <f t="shared" si="1512"/>
        <v>-33.232842962444984</v>
      </c>
      <c r="BA395" s="101">
        <f>+BA310-BA302-(BA285-AZ285)</f>
        <v>30.582495476135882</v>
      </c>
      <c r="BB395" s="101">
        <f>+BB310-BB302-(BB285-BA285)</f>
        <v>2.7198627535595312</v>
      </c>
      <c r="BC395" s="101">
        <f t="shared" ref="BC395:BQ395" ca="1" si="1513">+BC310-BC302-(BC285-BB285)</f>
        <v>-3.7934441604946016</v>
      </c>
      <c r="BD395" s="101">
        <f t="shared" ca="1" si="1513"/>
        <v>4.1291994003520518</v>
      </c>
      <c r="BE395" s="101">
        <f t="shared" ca="1" si="1513"/>
        <v>-6.962178005001582</v>
      </c>
      <c r="BF395" s="101">
        <f t="shared" ca="1" si="1513"/>
        <v>-6.9852787975926667</v>
      </c>
      <c r="BG395" s="101">
        <f t="shared" ca="1" si="1513"/>
        <v>0.74491301606653781</v>
      </c>
      <c r="BH395" s="99">
        <f t="shared" ca="1" si="1513"/>
        <v>-4.5944143546640515</v>
      </c>
      <c r="BI395" s="99">
        <f t="shared" ca="1" si="1513"/>
        <v>4.7653283109673925</v>
      </c>
      <c r="BJ395" s="99">
        <f t="shared" ca="1" si="1513"/>
        <v>-3.2753212551887128</v>
      </c>
      <c r="BK395" s="99">
        <f t="shared" ref="BK395:BP395" ca="1" si="1514">+BK310-BK302-(BK285-BJ285)</f>
        <v>-4.9569243217819157</v>
      </c>
      <c r="BL395" s="99">
        <f t="shared" ca="1" si="1514"/>
        <v>6.4974487217002581</v>
      </c>
      <c r="BM395" s="99">
        <f t="shared" ca="1" si="1514"/>
        <v>1.7302835943252797</v>
      </c>
      <c r="BN395" s="99">
        <f t="shared" ca="1" si="1514"/>
        <v>0.58803443876265504</v>
      </c>
      <c r="BO395" s="99">
        <f t="shared" ca="1" si="1514"/>
        <v>-2.5051467444553221</v>
      </c>
      <c r="BP395" s="99">
        <f t="shared" ca="1" si="1514"/>
        <v>-15.393057235589039</v>
      </c>
      <c r="BQ395" s="99">
        <f t="shared" ca="1" si="1513"/>
        <v>12.879026513036745</v>
      </c>
      <c r="BR395" s="99">
        <f t="shared" ref="BR395:BX395" ca="1" si="1515">+BR310-BR302-(BR285-BQ285)</f>
        <v>4.2533582678430424</v>
      </c>
      <c r="BS395" s="99">
        <f t="shared" ca="1" si="1515"/>
        <v>1.6151117680077283</v>
      </c>
      <c r="BT395" s="99">
        <f t="shared" ca="1" si="1515"/>
        <v>-2.3158298456698923E-2</v>
      </c>
      <c r="BU395" s="99">
        <f t="shared" ca="1" si="1515"/>
        <v>8.7884625798691829E-2</v>
      </c>
      <c r="BV395" s="99">
        <f t="shared" ca="1" si="1515"/>
        <v>0.14101332206981088</v>
      </c>
      <c r="BW395" s="99">
        <f t="shared" ca="1" si="1515"/>
        <v>0.14832206008669768</v>
      </c>
      <c r="BX395" s="99">
        <f t="shared" ca="1" si="1515"/>
        <v>0.1157867450370782</v>
      </c>
      <c r="BY395" s="99">
        <f t="shared" ref="BY395" ca="1" si="1516">+BY310-BY302-(BY285-BX285)</f>
        <v>7.2348990757855169E-2</v>
      </c>
      <c r="BZ395" s="99">
        <f t="shared" ref="BZ395" ca="1" si="1517">+BZ310-BZ302-(BZ285-BY285)</f>
        <v>4.0736951995339332E-2</v>
      </c>
      <c r="CA395" s="99">
        <f t="shared" ref="CA395" ca="1" si="1518">+CA310-CA302-(CA285-BZ285)</f>
        <v>1.950157880747927E-2</v>
      </c>
      <c r="CB395" s="99">
        <f t="shared" ref="CB395" ca="1" si="1519">+CB310-CB302-(CB285-CA285)</f>
        <v>-1.705525642919703E-3</v>
      </c>
      <c r="CC395" s="99">
        <f t="shared" ref="CC395" ca="1" si="1520">+CC310-CC302-(CC285-CB285)</f>
        <v>-2.1637437235629164E-2</v>
      </c>
      <c r="CD395" s="99">
        <f t="shared" ref="CD395" ca="1" si="1521">+CD310-CD302-(CD285-CC285)</f>
        <v>-4.1973365671091223E-2</v>
      </c>
      <c r="CE395" s="101">
        <f t="shared" ca="1" si="1489"/>
        <v>8.6650763524360519E-2</v>
      </c>
      <c r="CF395" s="444"/>
      <c r="CG395" s="235">
        <f t="shared" ca="1" si="1462"/>
        <v>1.0481967319073053</v>
      </c>
      <c r="CH395" s="235">
        <f t="shared" ca="1" si="1463"/>
        <v>2.0265466856628223E-5</v>
      </c>
      <c r="CI395" s="235" t="e">
        <f ca="1">BM395-#REF!</f>
        <v>#REF!</v>
      </c>
      <c r="CJ395" s="235">
        <f t="shared" ca="1" si="1464"/>
        <v>0</v>
      </c>
      <c r="CK395" s="235">
        <f t="shared" ca="1" si="1465"/>
        <v>0</v>
      </c>
      <c r="CL395" s="235">
        <f t="shared" ca="1" si="1466"/>
        <v>1.5987211554602254E-14</v>
      </c>
      <c r="CM395" s="235">
        <f t="shared" ca="1" si="1467"/>
        <v>0</v>
      </c>
      <c r="CN395" s="235">
        <f t="shared" ca="1" si="1468"/>
        <v>-2.9309887850104133E-14</v>
      </c>
      <c r="CO395" s="235">
        <f t="shared" ca="1" si="1469"/>
        <v>2.4868995751603507E-14</v>
      </c>
      <c r="CP395" s="235">
        <f t="shared" ca="1" si="1470"/>
        <v>-1.0658141036401503E-14</v>
      </c>
      <c r="CQ395" s="235">
        <f t="shared" ca="1" si="1471"/>
        <v>8.8817841970012523E-15</v>
      </c>
      <c r="CR395" s="235">
        <f t="shared" ca="1" si="1472"/>
        <v>7.1054273576010019E-15</v>
      </c>
      <c r="CS395" s="235">
        <f t="shared" ca="1" si="1473"/>
        <v>-4.2632564145606011E-14</v>
      </c>
      <c r="CT395" s="235">
        <f t="shared" ca="1" si="1474"/>
        <v>-6.4837024638109142E-14</v>
      </c>
      <c r="CU395" s="235">
        <f t="shared" ca="1" si="1475"/>
        <v>-4.1744385725905886E-14</v>
      </c>
      <c r="CV395" s="235">
        <f t="shared" ca="1" si="1476"/>
        <v>-6.9277916736609768E-14</v>
      </c>
      <c r="CW395" s="235">
        <f t="shared" ca="1" si="1477"/>
        <v>-2.7533531010703882E-14</v>
      </c>
      <c r="CX395" s="235">
        <f t="shared" ca="1" si="1478"/>
        <v>1.0453859999870474E-12</v>
      </c>
      <c r="CY395" s="235">
        <f t="shared" ca="1" si="1479"/>
        <v>1.0891731960782636E-11</v>
      </c>
      <c r="CZ395" s="235">
        <f t="shared" ca="1" si="1480"/>
        <v>8.0169648697392404E-11</v>
      </c>
      <c r="DB395" s="236">
        <v>-3.1712076519507302</v>
      </c>
      <c r="DC395" s="236">
        <v>-2.1712076519507324</v>
      </c>
      <c r="DD395" s="236">
        <v>3.5743782940810434</v>
      </c>
      <c r="DE395" s="236">
        <v>-0.97796741414445432</v>
      </c>
      <c r="DF395" s="259">
        <v>6.5440831287140151</v>
      </c>
      <c r="DG395" s="236">
        <v>-6.005121053689221</v>
      </c>
      <c r="DH395" s="492">
        <v>6.4974284562334015</v>
      </c>
      <c r="DI395" s="236">
        <v>0.58803443876265504</v>
      </c>
      <c r="DJ395" s="236">
        <v>-2.5051467444553221</v>
      </c>
      <c r="DK395" s="236">
        <v>-15.393057235589055</v>
      </c>
      <c r="DL395" s="236">
        <v>12.879026513036754</v>
      </c>
      <c r="DM395" s="236">
        <v>4.2533582678430717</v>
      </c>
      <c r="DN395" s="236">
        <v>1.6151117680077034</v>
      </c>
      <c r="DO395" s="236">
        <v>-2.3158298456688264E-2</v>
      </c>
      <c r="DP395" s="236">
        <v>8.7884625798682947E-2</v>
      </c>
      <c r="DQ395" s="236">
        <v>0.14101332206980377</v>
      </c>
      <c r="DR395" s="236">
        <v>0.14832206008674031</v>
      </c>
      <c r="DS395" s="236">
        <v>0.11578674503714304</v>
      </c>
      <c r="DT395" s="236">
        <v>7.2348990757896914E-2</v>
      </c>
      <c r="DU395" s="236">
        <v>4.073695199540861E-2</v>
      </c>
      <c r="DV395" s="236">
        <v>1.9501578807506803E-2</v>
      </c>
      <c r="DW395" s="236">
        <v>-1.705525643965089E-3</v>
      </c>
      <c r="DX395" s="236">
        <v>-2.1637437246520896E-2</v>
      </c>
      <c r="DY395" s="236">
        <v>-4.1973365751260872E-2</v>
      </c>
      <c r="DZ395" s="236">
        <v>-1.1450784606161153</v>
      </c>
      <c r="EA395" s="492"/>
    </row>
    <row r="396" spans="1:131" s="38" customFormat="1">
      <c r="A396" s="38" t="s">
        <v>4240</v>
      </c>
      <c r="B396" s="255" t="s">
        <v>2704</v>
      </c>
      <c r="D396" s="227" t="s">
        <v>2462</v>
      </c>
      <c r="E396" s="227"/>
      <c r="AP396" s="38">
        <f t="shared" ref="AP396:AV396" si="1522">(((AP298+AP255+AP184+AP331-AP231-AP232-AP256)/(1+AP302/100)+(AP293+AP256)/(1+AP303/100)+AP242/(1+AP311/100)+AP181/(1+AP304/100)-(AP182+AP183+AP184)/(1+AP305/100))/(AO292+AO242+AO255)-1)*100</f>
        <v>28.467076982880556</v>
      </c>
      <c r="AQ396" s="38">
        <f t="shared" si="1522"/>
        <v>6.1811089224881544</v>
      </c>
      <c r="AR396" s="38">
        <f t="shared" si="1522"/>
        <v>-9.56732471074816</v>
      </c>
      <c r="AS396" s="38">
        <f t="shared" si="1522"/>
        <v>33.607119811730634</v>
      </c>
      <c r="AT396" s="38">
        <f t="shared" si="1522"/>
        <v>-97.408425091231081</v>
      </c>
      <c r="AU396" s="38">
        <f t="shared" si="1522"/>
        <v>-11.21314271325261</v>
      </c>
      <c r="AV396" s="38">
        <f t="shared" si="1522"/>
        <v>27.774362203042525</v>
      </c>
      <c r="AW396" s="38">
        <f t="shared" ref="AW396:BB396" si="1523">(((AW298+AW255+AW184+AW331-AW231-AW232-AW256)/(1+AW302/100)+(AW293+AW256)/(1+AW303/100)+AW242/(1+AW311/100)+AW181/(1+AW304/100)-(AW182+AW183+AW184)/(1+AW305/100))/(AV292+AV242+AV255)-1)*100</f>
        <v>6.0292260744650772</v>
      </c>
      <c r="AX396" s="38">
        <f t="shared" si="1523"/>
        <v>1.0789343983461874</v>
      </c>
      <c r="AY396" s="38">
        <f t="shared" si="1523"/>
        <v>-1.048892886286179</v>
      </c>
      <c r="AZ396" s="38">
        <f t="shared" si="1523"/>
        <v>2.8691660507083716</v>
      </c>
      <c r="BA396" s="101">
        <f t="shared" si="1523"/>
        <v>2.9469036641168289</v>
      </c>
      <c r="BB396" s="101">
        <f t="shared" si="1523"/>
        <v>2.6985035245150613</v>
      </c>
      <c r="BC396" s="101">
        <f t="shared" ref="BC396:BQ396" ca="1" si="1524">(((BC298+BC255+BC184+BC331-BC231-BC232-BC256)/(1+BC302/100)+(BC293+BC256)/(1+BC303/100)+BC242/(1+BC311/100)+BC181/(1+BC304/100)-(BC182+BC183+BC184)/(1+BC305/100))/(BB292+BB242+BB255)-1)*100</f>
        <v>18.073560645445831</v>
      </c>
      <c r="BD396" s="101">
        <f t="shared" ca="1" si="1524"/>
        <v>8.2714831741820696</v>
      </c>
      <c r="BE396" s="367">
        <f t="shared" ca="1" si="1524"/>
        <v>28.095125773438379</v>
      </c>
      <c r="BF396" s="367">
        <f t="shared" ca="1" si="1524"/>
        <v>3.8169812418778148</v>
      </c>
      <c r="BG396" s="367">
        <f t="shared" ca="1" si="1524"/>
        <v>5.098973563644682</v>
      </c>
      <c r="BH396" s="368">
        <f t="shared" ca="1" si="1524"/>
        <v>4.1493735028929057</v>
      </c>
      <c r="BI396" s="368">
        <f t="shared" ca="1" si="1524"/>
        <v>3.0172646389609037</v>
      </c>
      <c r="BJ396" s="115">
        <f t="shared" ca="1" si="1524"/>
        <v>5.1000000000000156</v>
      </c>
      <c r="BK396" s="115">
        <f t="shared" ref="BK396:BP396" ca="1" si="1525">(((BK298+BK255+BK184+BK331-BK231-BK232-BK256)/(1+BK302/100)+(BK293+BK256)/(1+BK303/100)+BK242/(1+BK311/100)+BK181/(1+BK304/100)-(BK182+BK183+BK184)/(1+BK305/100))/(BJ292+BJ242+BJ255)-1)*100</f>
        <v>5.2961467650488148</v>
      </c>
      <c r="BL396" s="115">
        <f t="shared" ca="1" si="1525"/>
        <v>3.1000000000000139</v>
      </c>
      <c r="BM396" s="115">
        <f t="shared" ca="1" si="1525"/>
        <v>2.8000000000000025</v>
      </c>
      <c r="BN396" s="195">
        <f t="shared" ca="1" si="1525"/>
        <v>1.8380236712362663</v>
      </c>
      <c r="BO396" s="115">
        <f t="shared" ca="1" si="1525"/>
        <v>-3.0851487294900948</v>
      </c>
      <c r="BP396" s="115">
        <f t="shared" ca="1" si="1525"/>
        <v>-3.4235844071977217</v>
      </c>
      <c r="BQ396" s="115">
        <f t="shared" ca="1" si="1524"/>
        <v>10.837873666678966</v>
      </c>
      <c r="BR396" s="115">
        <f t="shared" ref="BR396:BX396" ca="1" si="1526">(((BR298+BR255+BR184+BR331-BR231-BR232-BR256)/(1+BR302/100)+(BR293+BR256)/(1+BR303/100)+BR242/(1+BR311/100)+BR181/(1+BR304/100)-(BR182+BR183+BR184)/(1+BR305/100))/(BQ292+BQ242+BQ255)-1)*100</f>
        <v>4.5827680121705683</v>
      </c>
      <c r="BS396" s="115">
        <f t="shared" ca="1" si="1526"/>
        <v>0.72090401757061162</v>
      </c>
      <c r="BT396" s="115">
        <f t="shared" ca="1" si="1526"/>
        <v>0.74457129514420295</v>
      </c>
      <c r="BU396" s="115">
        <f t="shared" ca="1" si="1526"/>
        <v>1.7063335959144554</v>
      </c>
      <c r="BV396" s="115">
        <f t="shared" ca="1" si="1526"/>
        <v>1.7896555973269335</v>
      </c>
      <c r="BW396" s="115">
        <f t="shared" ca="1" si="1526"/>
        <v>1.7461585909936961</v>
      </c>
      <c r="BX396" s="115">
        <f t="shared" ca="1" si="1526"/>
        <v>1.7589084504769481</v>
      </c>
      <c r="BY396" s="115">
        <f t="shared" ref="BY396" ca="1" si="1527">(((BY298+BY255+BY184+BY331-BY231-BY232-BY256)/(1+BY302/100)+(BY293+BY256)/(1+BY303/100)+BY242/(1+BY311/100)+BY181/(1+BY304/100)-(BY182+BY183+BY184)/(1+BY305/100))/(BX292+BX242+BX255)-1)*100</f>
        <v>1.7805930850340657</v>
      </c>
      <c r="BZ396" s="115">
        <f t="shared" ref="BZ396" ca="1" si="1528">(((BZ298+BZ255+BZ184+BZ331-BZ231-BZ232-BZ256)/(1+BZ302/100)+(BZ293+BZ256)/(1+BZ303/100)+BZ242/(1+BZ311/100)+BZ181/(1+BZ304/100)-(BZ182+BZ183+BZ184)/(1+BZ305/100))/(BY292+BY242+BY255)-1)*100</f>
        <v>1.971594816436828</v>
      </c>
      <c r="CA396" s="115">
        <f t="shared" ref="CA396" ca="1" si="1529">(((CA298+CA255+CA184+CA331-CA231-CA232-CA256)/(1+CA302/100)+(CA293+CA256)/(1+CA303/100)+CA242/(1+CA311/100)+CA181/(1+CA304/100)-(CA182+CA183+CA184)/(1+CA305/100))/(BZ292+BZ242+BZ255)-1)*100</f>
        <v>2.100589090655669</v>
      </c>
      <c r="CB396" s="115">
        <f t="shared" ref="CB396" ca="1" si="1530">(((CB298+CB255+CB184+CB331-CB231-CB232-CB256)/(1+CB302/100)+(CB293+CB256)/(1+CB303/100)+CB242/(1+CB311/100)+CB181/(1+CB304/100)-(CB182+CB183+CB184)/(1+CB305/100))/(CA292+CA242+CA255)-1)*100</f>
        <v>2.1107645269323516</v>
      </c>
      <c r="CC396" s="115">
        <f t="shared" ref="CC396" ca="1" si="1531">(((CC298+CC255+CC184+CC331-CC231-CC232-CC256)/(1+CC302/100)+(CC293+CC256)/(1+CC303/100)+CC242/(1+CC311/100)+CC181/(1+CC304/100)-(CC182+CC183+CC184)/(1+CC305/100))/(CB292+CB242+CB255)-1)*100</f>
        <v>2.1618421096319507</v>
      </c>
      <c r="CD396" s="115">
        <f t="shared" ref="CD396" ca="1" si="1532">(((CD298+CD255+CD184+CD331-CD231-CD232-CD256)/(1+CD302/100)+(CD293+CD256)/(1+CD303/100)+CD242/(1+CD311/100)+CD181/(1+CD304/100)-(CD182+CD183+CD184)/(1+CD305/100))/(CC292+CC242+CC255)-1)*100</f>
        <v>2.2205352163193748</v>
      </c>
      <c r="CE396" s="101">
        <f t="shared" ca="1" si="1489"/>
        <v>1.8577724334124253</v>
      </c>
      <c r="CF396" s="444"/>
      <c r="CG396" s="235">
        <f t="shared" ca="1" si="1462"/>
        <v>-4.4408920985006262E-14</v>
      </c>
      <c r="CH396" s="276">
        <f t="shared" ca="1" si="1463"/>
        <v>0.10000000000001119</v>
      </c>
      <c r="CI396" s="276" t="e">
        <f ca="1">BM396-#REF!</f>
        <v>#REF!</v>
      </c>
      <c r="CJ396" s="276">
        <f t="shared" ca="1" si="1464"/>
        <v>0</v>
      </c>
      <c r="CK396" s="276">
        <f t="shared" ca="1" si="1465"/>
        <v>0</v>
      </c>
      <c r="CL396" s="276">
        <f t="shared" ca="1" si="1466"/>
        <v>4.4408920985006262E-14</v>
      </c>
      <c r="CM396" s="276">
        <f t="shared" ca="1" si="1467"/>
        <v>-4.2632564145606011E-14</v>
      </c>
      <c r="CN396" s="276">
        <f t="shared" ca="1" si="1468"/>
        <v>-2.2204460492503131E-14</v>
      </c>
      <c r="CO396" s="276">
        <f t="shared" ca="1" si="1469"/>
        <v>-4.4408920985006262E-14</v>
      </c>
      <c r="CP396" s="276">
        <f t="shared" ca="1" si="1470"/>
        <v>0</v>
      </c>
      <c r="CQ396" s="276">
        <f t="shared" ca="1" si="1471"/>
        <v>1.1102230246251565E-13</v>
      </c>
      <c r="CR396" s="276">
        <f t="shared" ca="1" si="1472"/>
        <v>8.8817841970012523E-14</v>
      </c>
      <c r="CS396" s="276">
        <f t="shared" ca="1" si="1473"/>
        <v>1.1102230246251565E-13</v>
      </c>
      <c r="CT396" s="276">
        <f t="shared" ca="1" si="1474"/>
        <v>8.8817841970012523E-14</v>
      </c>
      <c r="CU396" s="276">
        <f t="shared" ca="1" si="1475"/>
        <v>1.3322676295501878E-13</v>
      </c>
      <c r="CV396" s="276">
        <f t="shared" ca="1" si="1476"/>
        <v>6.6613381477509392E-14</v>
      </c>
      <c r="CW396" s="276">
        <f t="shared" ca="1" si="1477"/>
        <v>8.8817841970012523E-14</v>
      </c>
      <c r="CX396" s="276">
        <f t="shared" ca="1" si="1478"/>
        <v>6.6613381477509392E-14</v>
      </c>
      <c r="CY396" s="276">
        <f t="shared" ca="1" si="1479"/>
        <v>-1.021405182655144E-12</v>
      </c>
      <c r="CZ396" s="276">
        <f t="shared" ca="1" si="1480"/>
        <v>-9.4146912488213275E-12</v>
      </c>
      <c r="DB396" s="236">
        <v>-4.4862837904884998</v>
      </c>
      <c r="DC396" s="236">
        <v>-3.486283790488498</v>
      </c>
      <c r="DD396" s="236">
        <v>4.4884883819240606</v>
      </c>
      <c r="DE396" s="236">
        <v>4.9570421833860179</v>
      </c>
      <c r="DF396" s="259">
        <v>3.0994354376777</v>
      </c>
      <c r="DG396" s="236">
        <v>5.2961467650488592</v>
      </c>
      <c r="DH396" s="492">
        <v>3.0000000000000027</v>
      </c>
      <c r="DI396" s="236">
        <v>1.8380236712362663</v>
      </c>
      <c r="DJ396" s="236">
        <v>-3.0851487294900948</v>
      </c>
      <c r="DK396" s="236">
        <v>-3.4235844071977661</v>
      </c>
      <c r="DL396" s="236">
        <v>10.837873666679009</v>
      </c>
      <c r="DM396" s="236">
        <v>4.5827680121705905</v>
      </c>
      <c r="DN396" s="236">
        <v>0.72090401757065603</v>
      </c>
      <c r="DO396" s="236">
        <v>0.74457129514420295</v>
      </c>
      <c r="DP396" s="236">
        <v>1.7063335959143444</v>
      </c>
      <c r="DQ396" s="236">
        <v>1.7896555973268446</v>
      </c>
      <c r="DR396" s="236">
        <v>1.7461585909935851</v>
      </c>
      <c r="DS396" s="236">
        <v>1.7589084504768593</v>
      </c>
      <c r="DT396" s="236">
        <v>1.7805930850339324</v>
      </c>
      <c r="DU396" s="236">
        <v>1.9715948164367614</v>
      </c>
      <c r="DV396" s="236">
        <v>2.1005890906555802</v>
      </c>
      <c r="DW396" s="236">
        <v>2.110764526932285</v>
      </c>
      <c r="DX396" s="236">
        <v>2.1618421096329721</v>
      </c>
      <c r="DY396" s="236">
        <v>2.2205352163287895</v>
      </c>
      <c r="DZ396" s="236">
        <v>2.211329520104107</v>
      </c>
      <c r="EA396" s="492"/>
    </row>
    <row r="397" spans="1:131" s="76" customFormat="1">
      <c r="A397" s="38" t="s">
        <v>4241</v>
      </c>
      <c r="B397" s="16" t="s">
        <v>2665</v>
      </c>
      <c r="D397" s="227" t="s">
        <v>2462</v>
      </c>
      <c r="E397" s="227"/>
      <c r="F397" s="38">
        <f>DataInput!F120</f>
        <v>0</v>
      </c>
      <c r="G397" s="38">
        <f>DataInput!G120</f>
        <v>0</v>
      </c>
      <c r="H397" s="38">
        <f>DataInput!H120</f>
        <v>0</v>
      </c>
      <c r="I397" s="38">
        <f>DataInput!I120</f>
        <v>0</v>
      </c>
      <c r="J397" s="38">
        <f>DataInput!J120</f>
        <v>0</v>
      </c>
      <c r="K397" s="38">
        <f>DataInput!K120</f>
        <v>0</v>
      </c>
      <c r="L397" s="38">
        <f>DataInput!L120</f>
        <v>0</v>
      </c>
      <c r="M397" s="38">
        <f>DataInput!M120</f>
        <v>0</v>
      </c>
      <c r="N397" s="38">
        <f>DataInput!N120</f>
        <v>0</v>
      </c>
      <c r="O397" s="38">
        <f>DataInput!O120</f>
        <v>0</v>
      </c>
      <c r="P397" s="38">
        <f>DataInput!P120</f>
        <v>0</v>
      </c>
      <c r="Q397" s="38">
        <f>DataInput!Q120</f>
        <v>0</v>
      </c>
      <c r="R397" s="38">
        <f>DataInput!R120</f>
        <v>0</v>
      </c>
      <c r="S397" s="38">
        <f>DataInput!S120</f>
        <v>0</v>
      </c>
      <c r="T397" s="38">
        <f>DataInput!T120</f>
        <v>0</v>
      </c>
      <c r="U397" s="38">
        <f>DataInput!U120</f>
        <v>0</v>
      </c>
      <c r="V397" s="38">
        <f>DataInput!V120</f>
        <v>0</v>
      </c>
      <c r="W397" s="38">
        <f>DataInput!W120</f>
        <v>0</v>
      </c>
      <c r="X397" s="38">
        <f>DataInput!X120</f>
        <v>0</v>
      </c>
      <c r="Y397" s="38">
        <f>DataInput!Y120</f>
        <v>0</v>
      </c>
      <c r="Z397" s="38">
        <f>DataInput!Z120</f>
        <v>0</v>
      </c>
      <c r="AA397" s="38">
        <f>DataInput!AA120</f>
        <v>0</v>
      </c>
      <c r="AB397" s="38">
        <f>DataInput!AB120</f>
        <v>0</v>
      </c>
      <c r="AC397" s="38">
        <f>DataInput!AC120</f>
        <v>0</v>
      </c>
      <c r="AD397" s="38">
        <f>DataInput!AD120</f>
        <v>0</v>
      </c>
      <c r="AE397" s="38">
        <f>DataInput!AE120</f>
        <v>0</v>
      </c>
      <c r="AF397" s="38">
        <f>DataInput!AF120</f>
        <v>0</v>
      </c>
      <c r="AG397" s="38">
        <f>DataInput!AG120</f>
        <v>0</v>
      </c>
      <c r="AH397" s="38">
        <f>DataInput!AH120</f>
        <v>0</v>
      </c>
      <c r="AI397" s="38">
        <f>DataInput!AI120</f>
        <v>0</v>
      </c>
      <c r="AJ397" s="38">
        <f>DataInput!AJ120</f>
        <v>0</v>
      </c>
      <c r="AK397" s="38">
        <f>DataInput!AK120</f>
        <v>0</v>
      </c>
      <c r="AL397" s="38">
        <f>DataInput!AL120</f>
        <v>0</v>
      </c>
      <c r="AM397" s="38">
        <f>DataInput!AM120</f>
        <v>0</v>
      </c>
      <c r="AN397" s="38">
        <f>DataInput!AN120</f>
        <v>0</v>
      </c>
      <c r="AO397" s="38">
        <f>DataInput!AO120</f>
        <v>0</v>
      </c>
      <c r="AP397" s="38">
        <f>DataInput!AP120</f>
        <v>0</v>
      </c>
      <c r="AQ397" s="38">
        <f>DataInput!AQ120</f>
        <v>0</v>
      </c>
      <c r="AR397" s="38">
        <f>DataInput!AR120</f>
        <v>0</v>
      </c>
      <c r="AS397" s="38">
        <f>DataInput!AS120</f>
        <v>0</v>
      </c>
      <c r="AT397" s="38">
        <f>DataInput!AT120</f>
        <v>0</v>
      </c>
      <c r="AU397" s="38">
        <f>DataInput!AU120</f>
        <v>0</v>
      </c>
      <c r="AV397" s="38">
        <f>DataInput!AV120</f>
        <v>1</v>
      </c>
      <c r="AW397" s="38">
        <f>DataInput!AW120</f>
        <v>5.8</v>
      </c>
      <c r="AX397" s="38">
        <f>DataInput!AX120</f>
        <v>2.2999999999999998</v>
      </c>
      <c r="AY397" s="38">
        <f>DataInput!AY120</f>
        <v>-1.4</v>
      </c>
      <c r="AZ397" s="38">
        <f>DataInput!AZ120</f>
        <v>1.8</v>
      </c>
      <c r="BA397" s="38">
        <f>DataInput!BA120</f>
        <v>4.4000000000000004</v>
      </c>
      <c r="BB397" s="38">
        <f>DataInput!BB120</f>
        <v>2.8</v>
      </c>
      <c r="BC397" s="38">
        <f>DataInput!BC120</f>
        <v>6.3</v>
      </c>
      <c r="BD397" s="38">
        <f>DataInput!BD120</f>
        <v>7.9</v>
      </c>
      <c r="BE397" s="25">
        <f>DataInput!BE120</f>
        <v>4.5</v>
      </c>
      <c r="BF397" s="25">
        <f>DataInput!BF120</f>
        <v>3.8169812418777695</v>
      </c>
      <c r="BG397" s="25">
        <f>DataInput!BG120</f>
        <v>5.0989735636447477</v>
      </c>
      <c r="BH397" s="25">
        <f>DataInput!BH120</f>
        <v>4.1493735028929057</v>
      </c>
      <c r="BI397" s="25">
        <f>DataInput!BI120</f>
        <v>3.0172646389609037</v>
      </c>
      <c r="BJ397" s="25">
        <f>DataInput!BJ120</f>
        <v>5.0999999999999996</v>
      </c>
      <c r="BK397" s="25">
        <f>DataInput!BK120</f>
        <v>5.296146765048837</v>
      </c>
      <c r="BL397" s="25">
        <f>DataInput!BL120</f>
        <v>3.1</v>
      </c>
      <c r="BM397" s="25">
        <f>DataInput!BM120</f>
        <v>2.8</v>
      </c>
      <c r="BN397" s="25">
        <f>DataInput!BN120</f>
        <v>1.8380236712362663</v>
      </c>
      <c r="BO397" s="25">
        <f>DataInput!BO120</f>
        <v>2.2000000000000002</v>
      </c>
      <c r="BP397" s="25">
        <f>DataInput!BP120</f>
        <v>2.6</v>
      </c>
      <c r="BQ397" s="25">
        <f>DataInput!BQ120</f>
        <v>5.3</v>
      </c>
      <c r="BR397" s="25">
        <f>DataInput!BR120</f>
        <v>3.3</v>
      </c>
      <c r="BS397" s="25">
        <f>DataInput!BS120</f>
        <v>3.1</v>
      </c>
      <c r="BT397" s="25">
        <f>DataInput!BT120</f>
        <v>3.1</v>
      </c>
      <c r="BU397" s="25">
        <f>DataInput!BU120</f>
        <v>3.1</v>
      </c>
      <c r="BV397" s="25">
        <f>DataInput!BV120</f>
        <v>3.1</v>
      </c>
      <c r="BW397" s="25">
        <f>DataInput!BW120</f>
        <v>3.1</v>
      </c>
      <c r="BX397" s="25">
        <f>DataInput!BX120</f>
        <v>3.1</v>
      </c>
      <c r="BY397" s="25">
        <f>DataInput!BY120</f>
        <v>3.1</v>
      </c>
      <c r="BZ397" s="25">
        <f>DataInput!BZ120</f>
        <v>3.1</v>
      </c>
      <c r="CA397" s="25">
        <f>DataInput!CA120</f>
        <v>3.1</v>
      </c>
      <c r="CB397" s="25">
        <f>DataInput!CB120</f>
        <v>3.1</v>
      </c>
      <c r="CC397" s="25">
        <f>DataInput!CC120</f>
        <v>3.1</v>
      </c>
      <c r="CD397" s="25">
        <f>DataInput!CD120</f>
        <v>3.1</v>
      </c>
      <c r="CE397" s="101"/>
      <c r="CF397" s="444"/>
      <c r="CG397" s="235"/>
      <c r="CH397" s="235"/>
      <c r="CI397" s="235"/>
      <c r="CJ397" s="235"/>
      <c r="CK397" s="235"/>
      <c r="CL397" s="235"/>
      <c r="CM397" s="235"/>
      <c r="CN397" s="235"/>
      <c r="CO397" s="235"/>
      <c r="CP397" s="235"/>
      <c r="CQ397" s="235"/>
      <c r="CR397" s="235"/>
      <c r="CS397" s="235"/>
      <c r="CT397" s="235"/>
      <c r="CU397" s="235"/>
      <c r="CV397" s="235"/>
      <c r="CW397" s="235"/>
      <c r="CX397" s="235"/>
      <c r="CY397" s="235"/>
      <c r="CZ397" s="235"/>
      <c r="DA397" s="38"/>
      <c r="DB397" s="236">
        <v>2.81698124187777</v>
      </c>
      <c r="DC397" s="236">
        <v>3.8169812418777695</v>
      </c>
      <c r="DD397" s="236">
        <v>5.1818337634083775</v>
      </c>
      <c r="DE397" s="236">
        <v>4.7</v>
      </c>
      <c r="DF397" s="259">
        <v>3.1</v>
      </c>
      <c r="DG397" s="236">
        <v>5.296146765048837</v>
      </c>
      <c r="DH397" s="492">
        <v>3</v>
      </c>
      <c r="DI397" s="236">
        <v>1.8380236712362663</v>
      </c>
      <c r="DJ397" s="236">
        <v>2.2000000000000002</v>
      </c>
      <c r="DK397" s="236">
        <v>2.6</v>
      </c>
      <c r="DL397" s="236">
        <v>5.3</v>
      </c>
      <c r="DM397" s="236">
        <v>3.3</v>
      </c>
      <c r="DN397" s="236">
        <v>3.1</v>
      </c>
      <c r="DO397" s="236">
        <v>3.1</v>
      </c>
      <c r="DP397" s="236">
        <v>3.1</v>
      </c>
      <c r="DQ397" s="401">
        <v>3.1</v>
      </c>
      <c r="DR397" s="401">
        <v>3.1</v>
      </c>
      <c r="DS397" s="401">
        <v>3.1</v>
      </c>
      <c r="DT397" s="401">
        <v>3.1</v>
      </c>
      <c r="DU397" s="401">
        <v>3.1</v>
      </c>
      <c r="DV397" s="401">
        <v>3.1</v>
      </c>
      <c r="DW397" s="401">
        <v>3.1</v>
      </c>
      <c r="DX397" s="401">
        <v>3.1</v>
      </c>
      <c r="DY397" s="401">
        <v>3.1</v>
      </c>
      <c r="DZ397" s="401"/>
      <c r="EA397" s="989"/>
    </row>
    <row r="398" spans="1:131" s="76" customFormat="1">
      <c r="A398" s="38" t="str">
        <f t="shared" ref="A398:B402" si="1533">A320</f>
        <v>gross value added enterprises volume change</v>
      </c>
      <c r="B398" s="76" t="str">
        <f t="shared" si="1533"/>
        <v>bruto toegev.waarde bedr.(vol.)</v>
      </c>
      <c r="D398" s="227" t="s">
        <v>2462</v>
      </c>
      <c r="E398" s="227"/>
      <c r="F398" s="38">
        <f t="shared" ref="F398:AN398" si="1534">F320</f>
        <v>0</v>
      </c>
      <c r="G398" s="38">
        <f t="shared" si="1534"/>
        <v>0</v>
      </c>
      <c r="H398" s="38">
        <f t="shared" si="1534"/>
        <v>0</v>
      </c>
      <c r="I398" s="38">
        <f t="shared" si="1534"/>
        <v>0</v>
      </c>
      <c r="J398" s="38">
        <f t="shared" si="1534"/>
        <v>0</v>
      </c>
      <c r="K398" s="38">
        <f t="shared" si="1534"/>
        <v>0</v>
      </c>
      <c r="L398" s="38">
        <f t="shared" si="1534"/>
        <v>0</v>
      </c>
      <c r="M398" s="38">
        <f t="shared" si="1534"/>
        <v>0</v>
      </c>
      <c r="N398" s="38">
        <f t="shared" si="1534"/>
        <v>0</v>
      </c>
      <c r="O398" s="38">
        <f t="shared" si="1534"/>
        <v>0</v>
      </c>
      <c r="P398" s="38">
        <f t="shared" si="1534"/>
        <v>0</v>
      </c>
      <c r="Q398" s="38">
        <f t="shared" si="1534"/>
        <v>0</v>
      </c>
      <c r="R398" s="38">
        <f t="shared" si="1534"/>
        <v>0</v>
      </c>
      <c r="S398" s="38">
        <f t="shared" si="1534"/>
        <v>0</v>
      </c>
      <c r="T398" s="38">
        <f t="shared" si="1534"/>
        <v>0</v>
      </c>
      <c r="U398" s="38">
        <f t="shared" si="1534"/>
        <v>0</v>
      </c>
      <c r="V398" s="38">
        <f t="shared" si="1534"/>
        <v>0</v>
      </c>
      <c r="W398" s="38">
        <f t="shared" si="1534"/>
        <v>0</v>
      </c>
      <c r="X398" s="38">
        <f t="shared" si="1534"/>
        <v>0</v>
      </c>
      <c r="Y398" s="38">
        <f t="shared" si="1534"/>
        <v>0</v>
      </c>
      <c r="Z398" s="38">
        <f t="shared" si="1534"/>
        <v>0</v>
      </c>
      <c r="AA398" s="38">
        <f t="shared" si="1534"/>
        <v>0</v>
      </c>
      <c r="AB398" s="38">
        <f t="shared" si="1534"/>
        <v>0</v>
      </c>
      <c r="AC398" s="38">
        <f t="shared" si="1534"/>
        <v>0</v>
      </c>
      <c r="AD398" s="38">
        <f t="shared" si="1534"/>
        <v>0</v>
      </c>
      <c r="AE398" s="38">
        <f t="shared" si="1534"/>
        <v>0</v>
      </c>
      <c r="AF398" s="38">
        <f t="shared" si="1534"/>
        <v>0</v>
      </c>
      <c r="AG398" s="38">
        <f t="shared" si="1534"/>
        <v>0</v>
      </c>
      <c r="AH398" s="38">
        <f t="shared" si="1534"/>
        <v>0</v>
      </c>
      <c r="AI398" s="38">
        <f t="shared" si="1534"/>
        <v>0</v>
      </c>
      <c r="AJ398" s="38">
        <f t="shared" si="1534"/>
        <v>0</v>
      </c>
      <c r="AK398" s="38">
        <f t="shared" si="1534"/>
        <v>0</v>
      </c>
      <c r="AL398" s="38">
        <f t="shared" si="1534"/>
        <v>0</v>
      </c>
      <c r="AM398" s="38">
        <f t="shared" si="1534"/>
        <v>0</v>
      </c>
      <c r="AN398" s="38">
        <f t="shared" si="1534"/>
        <v>0</v>
      </c>
      <c r="AO398" s="38">
        <f t="shared" ref="AO398:AT398" si="1535">AO320</f>
        <v>0</v>
      </c>
      <c r="AP398" s="38">
        <f t="shared" si="1535"/>
        <v>36.589503125133874</v>
      </c>
      <c r="AQ398" s="38">
        <f t="shared" si="1535"/>
        <v>7.5497374953906515</v>
      </c>
      <c r="AR398" s="38">
        <f t="shared" si="1535"/>
        <v>-11.403465515407563</v>
      </c>
      <c r="AS398" s="38">
        <f t="shared" si="1535"/>
        <v>40.824153111458351</v>
      </c>
      <c r="AT398" s="38">
        <f t="shared" si="1535"/>
        <v>-105.79279681667175</v>
      </c>
      <c r="AU398" s="38">
        <f t="shared" ref="AU398:BB398" si="1536">AU320</f>
        <v>-11.807964661381376</v>
      </c>
      <c r="AV398" s="38">
        <f t="shared" si="1536"/>
        <v>29.567951357158506</v>
      </c>
      <c r="AW398" s="38">
        <f t="shared" si="1536"/>
        <v>6.5918376703888226</v>
      </c>
      <c r="AX398" s="38">
        <f t="shared" si="1536"/>
        <v>0.87936610452670205</v>
      </c>
      <c r="AY398" s="38">
        <f t="shared" si="1536"/>
        <v>-1.1891088036367847</v>
      </c>
      <c r="AZ398" s="38">
        <f t="shared" si="1536"/>
        <v>2.9930414496637914</v>
      </c>
      <c r="BA398" s="38">
        <f t="shared" si="1536"/>
        <v>3.0616103459214283</v>
      </c>
      <c r="BB398" s="38">
        <f t="shared" si="1536"/>
        <v>2.8922585126505584</v>
      </c>
      <c r="BC398" s="38">
        <f t="shared" ref="BC398:BQ398" ca="1" si="1537">BC320</f>
        <v>21.315840017957232</v>
      </c>
      <c r="BD398" s="38">
        <f t="shared" ca="1" si="1537"/>
        <v>9.3131573689363414</v>
      </c>
      <c r="BE398" s="38">
        <f t="shared" ca="1" si="1537"/>
        <v>31.215544179259581</v>
      </c>
      <c r="BF398" s="38">
        <f t="shared" ca="1" si="1537"/>
        <v>3.9223635155354097</v>
      </c>
      <c r="BG398" s="38">
        <f t="shared" ca="1" si="1537"/>
        <v>5.5207349726193566</v>
      </c>
      <c r="BH398" s="25">
        <f t="shared" ca="1" si="1537"/>
        <v>4.6874924072880964</v>
      </c>
      <c r="BI398" s="25">
        <f t="shared" ca="1" si="1537"/>
        <v>3.1063592746244373</v>
      </c>
      <c r="BJ398" s="25">
        <f t="shared" ca="1" si="1537"/>
        <v>5.3172214672867035</v>
      </c>
      <c r="BK398" s="25">
        <f t="shared" ref="BK398:BP398" ca="1" si="1538">BK320</f>
        <v>5.7253425401939451</v>
      </c>
      <c r="BL398" s="25">
        <f t="shared" ca="1" si="1538"/>
        <v>3.2579121012698886</v>
      </c>
      <c r="BM398" s="25">
        <f t="shared" ca="1" si="1538"/>
        <v>3.0286934856005088</v>
      </c>
      <c r="BN398" s="25">
        <f t="shared" ca="1" si="1538"/>
        <v>1.505334804275904</v>
      </c>
      <c r="BO398" s="25">
        <f t="shared" ca="1" si="1538"/>
        <v>-4.5024800385717656</v>
      </c>
      <c r="BP398" s="25">
        <f t="shared" ca="1" si="1538"/>
        <v>-3.7938923828662041</v>
      </c>
      <c r="BQ398" s="25">
        <f t="shared" ca="1" si="1537"/>
        <v>11.961871628044074</v>
      </c>
      <c r="BR398" s="25">
        <f t="shared" ref="BR398:BS402" ca="1" si="1539">BR320</f>
        <v>5.0600031247673982</v>
      </c>
      <c r="BS398" s="25">
        <f t="shared" ca="1" si="1539"/>
        <v>0.79569543966357958</v>
      </c>
      <c r="BT398" s="25">
        <f t="shared" ref="BT398:BU402" ca="1" si="1540">BT320</f>
        <v>0.67492714523684771</v>
      </c>
      <c r="BU398" s="25">
        <f t="shared" ca="1" si="1540"/>
        <v>1.7367050757748581</v>
      </c>
      <c r="BV398" s="25">
        <f ca="1">BV320</f>
        <v>1.8281128410979619</v>
      </c>
      <c r="BW398" s="25">
        <f t="shared" ref="BW398:BX398" ca="1" si="1541">BW320</f>
        <v>1.8048661364822971</v>
      </c>
      <c r="BX398" s="25">
        <f t="shared" ca="1" si="1541"/>
        <v>1.8183843530624078</v>
      </c>
      <c r="BY398" s="25">
        <f t="shared" ref="BY398:CD398" ca="1" si="1542">BY320</f>
        <v>1.8418157472802621</v>
      </c>
      <c r="BZ398" s="25">
        <f t="shared" ca="1" si="1542"/>
        <v>2.0536101781432725</v>
      </c>
      <c r="CA398" s="25">
        <f t="shared" ca="1" si="1542"/>
        <v>2.1958115898516928</v>
      </c>
      <c r="CB398" s="25">
        <f t="shared" ca="1" si="1542"/>
        <v>2.2284809827551877</v>
      </c>
      <c r="CC398" s="25">
        <f t="shared" ca="1" si="1542"/>
        <v>2.2836355950681009</v>
      </c>
      <c r="CD398" s="25">
        <f t="shared" ca="1" si="1542"/>
        <v>2.3471389906550844</v>
      </c>
      <c r="CE398" s="101">
        <f t="shared" ca="1" si="1489"/>
        <v>1.8959179004028157</v>
      </c>
      <c r="CF398" s="444"/>
      <c r="CG398" s="235">
        <f t="shared" ref="CG398:CG426" ca="1" si="1543">BK398-DG398</f>
        <v>-0.1701673252228364</v>
      </c>
      <c r="CH398" s="235">
        <f t="shared" ref="CH398:CH426" ca="1" si="1544">BL398-DH398</f>
        <v>0.11036552911669606</v>
      </c>
      <c r="CI398" s="235" t="e">
        <f ca="1">BM398-#REF!</f>
        <v>#REF!</v>
      </c>
      <c r="CJ398" s="235">
        <f t="shared" ref="CJ398:CJ431" ca="1" si="1545">BN398-DI398</f>
        <v>0</v>
      </c>
      <c r="CK398" s="235">
        <f t="shared" ref="CK398:CK431" ca="1" si="1546">BO398-DJ398</f>
        <v>0</v>
      </c>
      <c r="CL398" s="235">
        <f t="shared" ref="CL398:CL431" ca="1" si="1547">BP398-DK398</f>
        <v>1.1102230246251565E-14</v>
      </c>
      <c r="CM398" s="235">
        <f t="shared" ref="CM398:CM431" ca="1" si="1548">BQ398-DL398</f>
        <v>-2.3092638912203256E-14</v>
      </c>
      <c r="CN398" s="235">
        <f t="shared" ref="CN398:CN431" ca="1" si="1549">BR398-DM398</f>
        <v>-2.2204460492503131E-14</v>
      </c>
      <c r="CO398" s="235">
        <f t="shared" ref="CO398:CO431" ca="1" si="1550">BS398-DN398</f>
        <v>-4.4408920985006262E-14</v>
      </c>
      <c r="CP398" s="235">
        <f t="shared" ref="CP398:CP431" ca="1" si="1551">BT398-DO398</f>
        <v>0</v>
      </c>
      <c r="CQ398" s="235">
        <f t="shared" ref="CQ398:CQ431" ca="1" si="1552">BU398-DP398</f>
        <v>1.1102230246251565E-13</v>
      </c>
      <c r="CR398" s="235">
        <f t="shared" ref="CR398:CR431" ca="1" si="1553">BV398-DQ398</f>
        <v>6.6613381477509392E-14</v>
      </c>
      <c r="CS398" s="235">
        <f t="shared" ref="CS398:CS431" ca="1" si="1554">BW398-DR398</f>
        <v>1.3322676295501878E-13</v>
      </c>
      <c r="CT398" s="235">
        <f t="shared" ref="CT398:CT431" ca="1" si="1555">BX398-DS398</f>
        <v>8.8817841970012523E-14</v>
      </c>
      <c r="CU398" s="235">
        <f t="shared" ref="CU398:CU431" ca="1" si="1556">BY398-DT398</f>
        <v>1.3322676295501878E-13</v>
      </c>
      <c r="CV398" s="235">
        <f t="shared" ref="CV398:CV431" ca="1" si="1557">BZ398-DU398</f>
        <v>6.6613381477509392E-14</v>
      </c>
      <c r="CW398" s="235">
        <f t="shared" ref="CW398:CW431" ca="1" si="1558">CA398-DV398</f>
        <v>8.8817841970012523E-14</v>
      </c>
      <c r="CX398" s="235">
        <f t="shared" ref="CX398:CX431" ca="1" si="1559">CB398-DW398</f>
        <v>-1.9984014443252818E-13</v>
      </c>
      <c r="CY398" s="235">
        <f t="shared" ref="CY398:CY431" ca="1" si="1560">CC398-DX398</f>
        <v>-3.2640556923979602E-12</v>
      </c>
      <c r="CZ398" s="235">
        <f t="shared" ref="CZ398:CZ431" ca="1" si="1561">CD398-DY398</f>
        <v>-2.5512925105886097E-11</v>
      </c>
      <c r="DA398" s="38"/>
      <c r="DB398" s="236">
        <v>-5.0544996108855198</v>
      </c>
      <c r="DC398" s="236">
        <v>-4.0544996108855198</v>
      </c>
      <c r="DD398" s="236">
        <v>4.7778656507635908</v>
      </c>
      <c r="DE398" s="236">
        <v>5.2739091371889701</v>
      </c>
      <c r="DF398" s="259">
        <v>3.3809078749448718</v>
      </c>
      <c r="DG398" s="236">
        <v>5.8955098654167815</v>
      </c>
      <c r="DH398" s="492">
        <v>3.1475465721531926</v>
      </c>
      <c r="DI398" s="236">
        <v>1.505334804275904</v>
      </c>
      <c r="DJ398" s="236">
        <v>-4.5024800385717656</v>
      </c>
      <c r="DK398" s="236">
        <v>-3.7938923828662152</v>
      </c>
      <c r="DL398" s="236">
        <v>11.961871628044097</v>
      </c>
      <c r="DM398" s="236">
        <v>5.0600031247674204</v>
      </c>
      <c r="DN398" s="236">
        <v>0.79569543966362399</v>
      </c>
      <c r="DO398" s="236">
        <v>0.67492714523684771</v>
      </c>
      <c r="DP398" s="236">
        <v>1.7367050757747471</v>
      </c>
      <c r="DQ398" s="401">
        <v>1.8281128410978953</v>
      </c>
      <c r="DR398" s="401">
        <v>1.8048661364821639</v>
      </c>
      <c r="DS398" s="401">
        <v>1.8183843530623189</v>
      </c>
      <c r="DT398" s="401">
        <v>1.8418157472801289</v>
      </c>
      <c r="DU398" s="401">
        <v>2.0536101781432059</v>
      </c>
      <c r="DV398" s="401">
        <v>2.195811589851604</v>
      </c>
      <c r="DW398" s="401">
        <v>2.2284809827553875</v>
      </c>
      <c r="DX398" s="401">
        <v>2.2836355950713649</v>
      </c>
      <c r="DY398" s="401">
        <v>2.3471389906805973</v>
      </c>
      <c r="DZ398" s="401">
        <v>2.258055005712253</v>
      </c>
      <c r="EA398" s="989"/>
    </row>
    <row r="399" spans="1:131" s="76" customFormat="1">
      <c r="A399" s="38" t="str">
        <f t="shared" si="1533"/>
        <v>private consumption volume change in %</v>
      </c>
      <c r="B399" s="256" t="str">
        <f t="shared" si="1533"/>
        <v>gezinsconsumptie (vol.)</v>
      </c>
      <c r="D399" s="227" t="s">
        <v>2462</v>
      </c>
      <c r="E399" s="227"/>
      <c r="F399" s="38">
        <f t="shared" ref="F399:AT399" si="1562">F321</f>
        <v>0</v>
      </c>
      <c r="G399" s="38">
        <f t="shared" si="1562"/>
        <v>7.3390040228963116</v>
      </c>
      <c r="H399" s="38">
        <f t="shared" si="1562"/>
        <v>2.6388795455772884</v>
      </c>
      <c r="I399" s="38">
        <f t="shared" si="1562"/>
        <v>-0.32933130397060362</v>
      </c>
      <c r="J399" s="38">
        <f t="shared" si="1562"/>
        <v>12.571346689881825</v>
      </c>
      <c r="K399" s="38">
        <f t="shared" si="1562"/>
        <v>10.081482820506604</v>
      </c>
      <c r="L399" s="38">
        <f t="shared" si="1562"/>
        <v>8.8673386326018075</v>
      </c>
      <c r="M399" s="38">
        <f t="shared" si="1562"/>
        <v>1.3019023107636807</v>
      </c>
      <c r="N399" s="38">
        <f t="shared" si="1562"/>
        <v>3.8906708851035532</v>
      </c>
      <c r="O399" s="38">
        <f t="shared" si="1562"/>
        <v>3.4032291347809052</v>
      </c>
      <c r="P399" s="38">
        <f t="shared" si="1562"/>
        <v>-1.2253642083992711</v>
      </c>
      <c r="Q399" s="38">
        <f t="shared" si="1562"/>
        <v>15.179955720948769</v>
      </c>
      <c r="R399" s="38">
        <f t="shared" si="1562"/>
        <v>20.23428046930109</v>
      </c>
      <c r="S399" s="38">
        <f t="shared" si="1562"/>
        <v>20.410849927940955</v>
      </c>
      <c r="T399" s="38">
        <f t="shared" si="1562"/>
        <v>5.5686416278327489</v>
      </c>
      <c r="U399" s="38">
        <f t="shared" si="1562"/>
        <v>-0.42705407948863128</v>
      </c>
      <c r="V399" s="38">
        <f t="shared" si="1562"/>
        <v>3.2803776323282241</v>
      </c>
      <c r="W399" s="38">
        <f t="shared" si="1562"/>
        <v>5.1159334232486087</v>
      </c>
      <c r="X399" s="38">
        <f t="shared" si="1562"/>
        <v>-2.6387691217976017</v>
      </c>
      <c r="Y399" s="38">
        <f t="shared" si="1562"/>
        <v>1.7971793272973713</v>
      </c>
      <c r="Z399" s="38">
        <f t="shared" si="1562"/>
        <v>-7.4577776208422435</v>
      </c>
      <c r="AA399" s="38">
        <f t="shared" si="1562"/>
        <v>12.310251728476263</v>
      </c>
      <c r="AB399" s="38">
        <f t="shared" si="1562"/>
        <v>13.370247992216111</v>
      </c>
      <c r="AC399" s="38">
        <f t="shared" si="1562"/>
        <v>27.398637813167692</v>
      </c>
      <c r="AD399" s="38">
        <f t="shared" si="1562"/>
        <v>4.1445553198673935</v>
      </c>
      <c r="AE399" s="38">
        <f t="shared" si="1562"/>
        <v>-8.73661927596312</v>
      </c>
      <c r="AF399" s="38">
        <f t="shared" si="1562"/>
        <v>-11.262380887123602</v>
      </c>
      <c r="AG399" s="38">
        <f t="shared" si="1562"/>
        <v>6.6350962051543227</v>
      </c>
      <c r="AH399" s="38">
        <f t="shared" si="1562"/>
        <v>-0.51357111361332031</v>
      </c>
      <c r="AI399" s="38">
        <f t="shared" si="1562"/>
        <v>-7.5541766252895659E-2</v>
      </c>
      <c r="AJ399" s="38">
        <f t="shared" si="1562"/>
        <v>-8.5749848830396154</v>
      </c>
      <c r="AK399" s="38">
        <f t="shared" si="1562"/>
        <v>-15.612115599293618</v>
      </c>
      <c r="AL399" s="38">
        <f t="shared" si="1562"/>
        <v>-18.24505087266899</v>
      </c>
      <c r="AM399" s="38">
        <f t="shared" si="1562"/>
        <v>-35.919250742109973</v>
      </c>
      <c r="AN399" s="38">
        <f t="shared" si="1562"/>
        <v>9.350262849456481</v>
      </c>
      <c r="AO399" s="38">
        <f t="shared" si="1562"/>
        <v>11.219381646507376</v>
      </c>
      <c r="AP399" s="38">
        <f t="shared" si="1562"/>
        <v>16.402826393167324</v>
      </c>
      <c r="AQ399" s="38">
        <f t="shared" si="1562"/>
        <v>9.6136580182167428</v>
      </c>
      <c r="AR399" s="38">
        <f t="shared" si="1562"/>
        <v>-6.7391282409310698</v>
      </c>
      <c r="AS399" s="38">
        <f t="shared" si="1562"/>
        <v>-38.10454956931126</v>
      </c>
      <c r="AT399" s="38">
        <f t="shared" si="1562"/>
        <v>-604.80875454706995</v>
      </c>
      <c r="AU399" s="38">
        <f t="shared" ref="AU399:BG399" si="1563">AU321</f>
        <v>-118.71973962012612</v>
      </c>
      <c r="AV399" s="38">
        <f t="shared" si="1563"/>
        <v>-7.244456639527197</v>
      </c>
      <c r="AW399" s="38">
        <f t="shared" si="1563"/>
        <v>25.851320950081668</v>
      </c>
      <c r="AX399" s="38">
        <f t="shared" si="1563"/>
        <v>27.466711710812231</v>
      </c>
      <c r="AY399" s="38">
        <f t="shared" si="1563"/>
        <v>-21.346895857753502</v>
      </c>
      <c r="AZ399" s="38">
        <f t="shared" si="1563"/>
        <v>11.502393297964364</v>
      </c>
      <c r="BA399" s="38">
        <f t="shared" si="1563"/>
        <v>-2.5958125979159363</v>
      </c>
      <c r="BB399" s="38">
        <f t="shared" si="1563"/>
        <v>17.775577565311917</v>
      </c>
      <c r="BC399" s="38">
        <f t="shared" si="1563"/>
        <v>7.7352441656345805</v>
      </c>
      <c r="BD399" s="38">
        <f t="shared" si="1563"/>
        <v>-2.081055631001083</v>
      </c>
      <c r="BE399" s="38">
        <f t="shared" ca="1" si="1563"/>
        <v>9.4627693376795996</v>
      </c>
      <c r="BF399" s="38">
        <f t="shared" ca="1" si="1563"/>
        <v>21.224212931532136</v>
      </c>
      <c r="BG399" s="38">
        <f t="shared" ca="1" si="1563"/>
        <v>7.2528083023283507</v>
      </c>
      <c r="BH399" s="25">
        <f ca="1">BH321</f>
        <v>3.5402991153023144</v>
      </c>
      <c r="BI399" s="25">
        <f ca="1">BI321</f>
        <v>-1.9102231373065215</v>
      </c>
      <c r="BJ399" s="25">
        <f ca="1">BJ321</f>
        <v>-5.625367033844797</v>
      </c>
      <c r="BK399" s="25">
        <f t="shared" ref="BK399:BP399" ca="1" si="1564">BK321</f>
        <v>28.527500341343483</v>
      </c>
      <c r="BL399" s="25">
        <f t="shared" ca="1" si="1564"/>
        <v>1.0752539396325034</v>
      </c>
      <c r="BM399" s="25">
        <f t="shared" ca="1" si="1564"/>
        <v>14.755016667196074</v>
      </c>
      <c r="BN399" s="25">
        <f t="shared" ca="1" si="1564"/>
        <v>-0.8572203348437557</v>
      </c>
      <c r="BO399" s="25">
        <f t="shared" ca="1" si="1564"/>
        <v>0.55025478091603741</v>
      </c>
      <c r="BP399" s="25">
        <f t="shared" ca="1" si="1564"/>
        <v>-12.880640768921525</v>
      </c>
      <c r="BQ399" s="25">
        <f ca="1">BQ321</f>
        <v>12.067421226812192</v>
      </c>
      <c r="BR399" s="25">
        <f t="shared" ca="1" si="1539"/>
        <v>8.3276482389694984</v>
      </c>
      <c r="BS399" s="25">
        <f t="shared" ca="1" si="1539"/>
        <v>2.517187182193914</v>
      </c>
      <c r="BT399" s="25">
        <f t="shared" ca="1" si="1540"/>
        <v>0.20419344570181686</v>
      </c>
      <c r="BU399" s="25">
        <f t="shared" ca="1" si="1540"/>
        <v>0.67685147857550199</v>
      </c>
      <c r="BV399" s="25">
        <f ca="1">BV321</f>
        <v>1.1047090988301589</v>
      </c>
      <c r="BW399" s="25">
        <f t="shared" ref="BW399:BX399" ca="1" si="1565">BW321</f>
        <v>1.0880088118082831</v>
      </c>
      <c r="BX399" s="25">
        <f t="shared" ca="1" si="1565"/>
        <v>1.1189389564121521</v>
      </c>
      <c r="BY399" s="25">
        <f t="shared" ref="BY399:CD399" ca="1" si="1566">BY321</f>
        <v>1.1640948848801402</v>
      </c>
      <c r="BZ399" s="25">
        <f t="shared" ca="1" si="1566"/>
        <v>1.3316998768982069</v>
      </c>
      <c r="CA399" s="25">
        <f t="shared" ca="1" si="1566"/>
        <v>1.5304948941178065</v>
      </c>
      <c r="CB399" s="25">
        <f t="shared" ca="1" si="1566"/>
        <v>1.5693843911199101</v>
      </c>
      <c r="CC399" s="25">
        <f t="shared" ca="1" si="1566"/>
        <v>1.6354946438722928</v>
      </c>
      <c r="CD399" s="25">
        <f t="shared" ca="1" si="1566"/>
        <v>1.714845448516189</v>
      </c>
      <c r="CE399" s="101">
        <f t="shared" ca="1" si="1489"/>
        <v>1.4825366619189106</v>
      </c>
      <c r="CF399" s="444"/>
      <c r="CG399" s="235">
        <f t="shared" ca="1" si="1543"/>
        <v>-1.3608881550072098</v>
      </c>
      <c r="CH399" s="235">
        <f t="shared" ca="1" si="1544"/>
        <v>6.5098899514347996</v>
      </c>
      <c r="CI399" s="235" t="e">
        <f ca="1">BM399-#REF!</f>
        <v>#REF!</v>
      </c>
      <c r="CJ399" s="235">
        <f t="shared" ca="1" si="1545"/>
        <v>2.2204460492503131E-14</v>
      </c>
      <c r="CK399" s="235">
        <f t="shared" ca="1" si="1546"/>
        <v>0</v>
      </c>
      <c r="CL399" s="235">
        <f t="shared" ca="1" si="1547"/>
        <v>0</v>
      </c>
      <c r="CM399" s="235">
        <f t="shared" ca="1" si="1548"/>
        <v>-2.3092638912203256E-14</v>
      </c>
      <c r="CN399" s="235">
        <f t="shared" ca="1" si="1549"/>
        <v>-2.1316282072803006E-14</v>
      </c>
      <c r="CO399" s="235">
        <f t="shared" ca="1" si="1550"/>
        <v>0</v>
      </c>
      <c r="CP399" s="235">
        <f t="shared" ca="1" si="1551"/>
        <v>2.2204460492503131E-14</v>
      </c>
      <c r="CQ399" s="235">
        <f t="shared" ca="1" si="1552"/>
        <v>6.6613381477509392E-14</v>
      </c>
      <c r="CR399" s="235">
        <f t="shared" ca="1" si="1553"/>
        <v>6.6613381477509392E-14</v>
      </c>
      <c r="CS399" s="235">
        <f t="shared" ca="1" si="1554"/>
        <v>2.2204460492503131E-14</v>
      </c>
      <c r="CT399" s="235">
        <f t="shared" ca="1" si="1555"/>
        <v>0</v>
      </c>
      <c r="CU399" s="235">
        <f t="shared" ca="1" si="1556"/>
        <v>4.4408920985006262E-14</v>
      </c>
      <c r="CV399" s="235">
        <f t="shared" ca="1" si="1557"/>
        <v>4.4408920985006262E-14</v>
      </c>
      <c r="CW399" s="235">
        <f t="shared" ca="1" si="1558"/>
        <v>-8.8817841970012523E-14</v>
      </c>
      <c r="CX399" s="235">
        <f t="shared" ca="1" si="1559"/>
        <v>-2.375877272697835E-12</v>
      </c>
      <c r="CY399" s="235">
        <f t="shared" ca="1" si="1560"/>
        <v>-2.1604940059205546E-11</v>
      </c>
      <c r="CZ399" s="235">
        <f t="shared" ca="1" si="1561"/>
        <v>-1.4477308241112041E-10</v>
      </c>
      <c r="DA399" s="38"/>
      <c r="DB399" s="236">
        <v>-5.7923055159865697</v>
      </c>
      <c r="DC399" s="236">
        <v>-4.7923055159865724</v>
      </c>
      <c r="DD399" s="236">
        <v>2.066692334835718</v>
      </c>
      <c r="DE399" s="236">
        <v>-4.643291129464389</v>
      </c>
      <c r="DF399" s="259">
        <v>13.266149227100543</v>
      </c>
      <c r="DG399" s="236">
        <v>29.888388496350693</v>
      </c>
      <c r="DH399" s="492">
        <v>-5.4346360118022963</v>
      </c>
      <c r="DI399" s="236">
        <v>-0.85722033484377791</v>
      </c>
      <c r="DJ399" s="236">
        <v>0.55025478091603741</v>
      </c>
      <c r="DK399" s="236">
        <v>-12.880640768921525</v>
      </c>
      <c r="DL399" s="236">
        <v>12.067421226812215</v>
      </c>
      <c r="DM399" s="236">
        <v>8.3276482389695197</v>
      </c>
      <c r="DN399" s="236">
        <v>2.517187182193914</v>
      </c>
      <c r="DO399" s="236">
        <v>0.20419344570179465</v>
      </c>
      <c r="DP399" s="236">
        <v>0.67685147857543537</v>
      </c>
      <c r="DQ399" s="401">
        <v>1.1047090988300923</v>
      </c>
      <c r="DR399" s="401">
        <v>1.0880088118082609</v>
      </c>
      <c r="DS399" s="401">
        <v>1.1189389564121521</v>
      </c>
      <c r="DT399" s="401">
        <v>1.1640948848800958</v>
      </c>
      <c r="DU399" s="401">
        <v>1.3316998768981625</v>
      </c>
      <c r="DV399" s="401">
        <v>1.5304948941178953</v>
      </c>
      <c r="DW399" s="401">
        <v>1.569384391122286</v>
      </c>
      <c r="DX399" s="401">
        <v>1.6354946438938978</v>
      </c>
      <c r="DY399" s="401">
        <v>1.7148454486609621</v>
      </c>
      <c r="DZ399" s="401">
        <v>1.4360758768652437</v>
      </c>
      <c r="EA399" s="989"/>
    </row>
    <row r="400" spans="1:131" s="76" customFormat="1">
      <c r="A400" s="38" t="str">
        <f t="shared" si="1533"/>
        <v>public consumption voolume change in %</v>
      </c>
      <c r="B400" s="256" t="str">
        <f t="shared" si="1533"/>
        <v>overheidsconsumptie (vol.)</v>
      </c>
      <c r="D400" s="227" t="s">
        <v>2462</v>
      </c>
      <c r="E400" s="227"/>
      <c r="F400" s="38">
        <f t="shared" ref="F400:AR400" si="1567">F322</f>
        <v>0</v>
      </c>
      <c r="G400" s="38">
        <f t="shared" si="1567"/>
        <v>0</v>
      </c>
      <c r="H400" s="38">
        <f t="shared" si="1567"/>
        <v>0</v>
      </c>
      <c r="I400" s="38">
        <f t="shared" si="1567"/>
        <v>0</v>
      </c>
      <c r="J400" s="38">
        <f t="shared" si="1567"/>
        <v>0</v>
      </c>
      <c r="K400" s="38">
        <f t="shared" si="1567"/>
        <v>0</v>
      </c>
      <c r="L400" s="38">
        <f t="shared" si="1567"/>
        <v>0</v>
      </c>
      <c r="M400" s="38">
        <f t="shared" si="1567"/>
        <v>0</v>
      </c>
      <c r="N400" s="38">
        <f t="shared" si="1567"/>
        <v>0</v>
      </c>
      <c r="O400" s="38">
        <f t="shared" si="1567"/>
        <v>0</v>
      </c>
      <c r="P400" s="38">
        <f t="shared" si="1567"/>
        <v>0</v>
      </c>
      <c r="Q400" s="38">
        <f t="shared" si="1567"/>
        <v>0</v>
      </c>
      <c r="R400" s="38">
        <f t="shared" si="1567"/>
        <v>0</v>
      </c>
      <c r="S400" s="38">
        <f t="shared" si="1567"/>
        <v>0</v>
      </c>
      <c r="T400" s="38">
        <f t="shared" si="1567"/>
        <v>0</v>
      </c>
      <c r="U400" s="38">
        <f t="shared" si="1567"/>
        <v>0</v>
      </c>
      <c r="V400" s="38">
        <f t="shared" si="1567"/>
        <v>0</v>
      </c>
      <c r="W400" s="38">
        <f t="shared" si="1567"/>
        <v>0</v>
      </c>
      <c r="X400" s="38">
        <f t="shared" si="1567"/>
        <v>0</v>
      </c>
      <c r="Y400" s="38">
        <f t="shared" si="1567"/>
        <v>0</v>
      </c>
      <c r="Z400" s="38">
        <f t="shared" si="1567"/>
        <v>0</v>
      </c>
      <c r="AA400" s="38">
        <f t="shared" si="1567"/>
        <v>0</v>
      </c>
      <c r="AB400" s="38">
        <f t="shared" si="1567"/>
        <v>0</v>
      </c>
      <c r="AC400" s="38">
        <f t="shared" si="1567"/>
        <v>0</v>
      </c>
      <c r="AD400" s="38">
        <f t="shared" si="1567"/>
        <v>0</v>
      </c>
      <c r="AE400" s="38">
        <f t="shared" si="1567"/>
        <v>0</v>
      </c>
      <c r="AF400" s="38">
        <f t="shared" si="1567"/>
        <v>0</v>
      </c>
      <c r="AG400" s="38">
        <f t="shared" si="1567"/>
        <v>0</v>
      </c>
      <c r="AH400" s="38">
        <f t="shared" si="1567"/>
        <v>0</v>
      </c>
      <c r="AI400" s="38">
        <f t="shared" si="1567"/>
        <v>0</v>
      </c>
      <c r="AJ400" s="38">
        <f t="shared" si="1567"/>
        <v>0</v>
      </c>
      <c r="AK400" s="38">
        <f t="shared" si="1567"/>
        <v>0</v>
      </c>
      <c r="AL400" s="38">
        <f t="shared" si="1567"/>
        <v>0</v>
      </c>
      <c r="AM400" s="38">
        <f t="shared" si="1567"/>
        <v>0</v>
      </c>
      <c r="AN400" s="38">
        <f t="shared" si="1567"/>
        <v>0</v>
      </c>
      <c r="AO400" s="38">
        <f t="shared" si="1567"/>
        <v>0</v>
      </c>
      <c r="AP400" s="38">
        <f t="shared" si="1567"/>
        <v>0</v>
      </c>
      <c r="AQ400" s="38">
        <f t="shared" si="1567"/>
        <v>0</v>
      </c>
      <c r="AR400" s="38">
        <f t="shared" si="1567"/>
        <v>0</v>
      </c>
      <c r="AS400" s="38">
        <f>AS322</f>
        <v>0</v>
      </c>
      <c r="AT400" s="38">
        <f>AT322</f>
        <v>0</v>
      </c>
      <c r="AU400" s="38">
        <f>AU322</f>
        <v>0</v>
      </c>
      <c r="AV400" s="38" t="str">
        <f t="shared" ref="AV400:BG400" si="1568">AV322</f>
        <v xml:space="preserve"> </v>
      </c>
      <c r="AW400" s="38">
        <f t="shared" si="1568"/>
        <v>30.214390130680748</v>
      </c>
      <c r="AX400" s="38">
        <f t="shared" si="1568"/>
        <v>39.390043006718976</v>
      </c>
      <c r="AY400" s="38">
        <f t="shared" si="1568"/>
        <v>-25.650314152133813</v>
      </c>
      <c r="AZ400" s="38">
        <f t="shared" si="1568"/>
        <v>-46.368201387673246</v>
      </c>
      <c r="BA400" s="38">
        <f t="shared" si="1568"/>
        <v>-2.1717023579539863</v>
      </c>
      <c r="BB400" s="38">
        <f t="shared" si="1568"/>
        <v>-53.320268478895329</v>
      </c>
      <c r="BC400" s="38">
        <f t="shared" si="1568"/>
        <v>-43.550497843337347</v>
      </c>
      <c r="BD400" s="38">
        <f t="shared" si="1568"/>
        <v>256.7695064787697</v>
      </c>
      <c r="BE400" s="38">
        <f t="shared" si="1568"/>
        <v>42.448649906830042</v>
      </c>
      <c r="BF400" s="38">
        <f t="shared" si="1568"/>
        <v>32.404841100590851</v>
      </c>
      <c r="BG400" s="38">
        <f t="shared" si="1568"/>
        <v>11.001302754798758</v>
      </c>
      <c r="BH400" s="25">
        <f t="shared" ref="BH400:BP400" si="1569">BH322</f>
        <v>-14.702266722584589</v>
      </c>
      <c r="BI400" s="25">
        <f t="shared" si="1569"/>
        <v>44.965000487588114</v>
      </c>
      <c r="BJ400" s="25">
        <f t="shared" si="1569"/>
        <v>-1.5709657568311886</v>
      </c>
      <c r="BK400" s="25">
        <f t="shared" si="1569"/>
        <v>-11.610143518832761</v>
      </c>
      <c r="BL400" s="25">
        <f t="shared" si="1569"/>
        <v>77.667400868458685</v>
      </c>
      <c r="BM400" s="25">
        <f t="shared" si="1569"/>
        <v>-12.149853662980926</v>
      </c>
      <c r="BN400" s="25">
        <f t="shared" si="1569"/>
        <v>-14.85891349902232</v>
      </c>
      <c r="BO400" s="25">
        <f t="shared" si="1569"/>
        <v>3.75480892324771</v>
      </c>
      <c r="BP400" s="25">
        <f t="shared" ca="1" si="1569"/>
        <v>1.8136366901820855</v>
      </c>
      <c r="BQ400" s="25">
        <f ca="1">BQ322</f>
        <v>1.8414532516263016</v>
      </c>
      <c r="BR400" s="25">
        <f t="shared" ca="1" si="1539"/>
        <v>1.6372165664217286</v>
      </c>
      <c r="BS400" s="25">
        <f t="shared" ca="1" si="1539"/>
        <v>1.6467955555437674</v>
      </c>
      <c r="BT400" s="25">
        <f t="shared" ca="1" si="1540"/>
        <v>1.6564785014951955</v>
      </c>
      <c r="BU400" s="25">
        <f t="shared" ca="1" si="1540"/>
        <v>1.6662659971220961</v>
      </c>
      <c r="BV400" s="25">
        <f ca="1">BV322</f>
        <v>1.6761586020277441</v>
      </c>
      <c r="BW400" s="25">
        <f t="shared" ref="BW400:BX400" ca="1" si="1570">BW322</f>
        <v>1.4102591296428102</v>
      </c>
      <c r="BX400" s="25">
        <f t="shared" ca="1" si="1570"/>
        <v>1.420495481692341</v>
      </c>
      <c r="BY400" s="25">
        <f t="shared" ref="BY400:CD400" ca="1" si="1571">BY322</f>
        <v>1.4308163836212584</v>
      </c>
      <c r="BZ400" s="25">
        <f t="shared" ca="1" si="1571"/>
        <v>1.4412229075636329</v>
      </c>
      <c r="CA400" s="25">
        <f t="shared" ca="1" si="1571"/>
        <v>1.451716105670986</v>
      </c>
      <c r="CB400" s="25">
        <f t="shared" ca="1" si="1571"/>
        <v>1.2278202695786611</v>
      </c>
      <c r="CC400" s="25">
        <f t="shared" ca="1" si="1571"/>
        <v>1.2378802515546461</v>
      </c>
      <c r="CD400" s="25">
        <f t="shared" ca="1" si="1571"/>
        <v>1.2480072971162492</v>
      </c>
      <c r="CE400" s="101">
        <f t="shared" ca="1" si="1489"/>
        <v>1.6600644946317007</v>
      </c>
      <c r="CF400" s="444"/>
      <c r="CG400" s="235">
        <f t="shared" si="1543"/>
        <v>1.3773716898601407E-2</v>
      </c>
      <c r="CH400" s="235">
        <f t="shared" si="1544"/>
        <v>0</v>
      </c>
      <c r="CI400" s="235" t="e">
        <f>BM400-#REF!</f>
        <v>#REF!</v>
      </c>
      <c r="CJ400" s="235">
        <f t="shared" si="1545"/>
        <v>0</v>
      </c>
      <c r="CK400" s="235">
        <f t="shared" si="1546"/>
        <v>0</v>
      </c>
      <c r="CL400" s="235">
        <f t="shared" ca="1" si="1547"/>
        <v>2.2204460492503131E-14</v>
      </c>
      <c r="CM400" s="235">
        <f t="shared" ca="1" si="1548"/>
        <v>0</v>
      </c>
      <c r="CN400" s="235">
        <f t="shared" ca="1" si="1549"/>
        <v>0</v>
      </c>
      <c r="CO400" s="235">
        <f t="shared" ca="1" si="1550"/>
        <v>0</v>
      </c>
      <c r="CP400" s="235">
        <f t="shared" ca="1" si="1551"/>
        <v>-2.2204460492503131E-14</v>
      </c>
      <c r="CQ400" s="235">
        <f t="shared" ca="1" si="1552"/>
        <v>2.2204460492503131E-14</v>
      </c>
      <c r="CR400" s="235">
        <f t="shared" ca="1" si="1553"/>
        <v>2.2204460492503131E-14</v>
      </c>
      <c r="CS400" s="235">
        <f t="shared" ca="1" si="1554"/>
        <v>2.2204460492503131E-14</v>
      </c>
      <c r="CT400" s="235">
        <f t="shared" ca="1" si="1555"/>
        <v>-2.2204460492503131E-14</v>
      </c>
      <c r="CU400" s="235">
        <f t="shared" ca="1" si="1556"/>
        <v>0</v>
      </c>
      <c r="CV400" s="235">
        <f t="shared" ca="1" si="1557"/>
        <v>0</v>
      </c>
      <c r="CW400" s="235">
        <f t="shared" ca="1" si="1558"/>
        <v>4.4408920985006262E-14</v>
      </c>
      <c r="CX400" s="235">
        <f t="shared" ca="1" si="1559"/>
        <v>1.0658141036401503E-12</v>
      </c>
      <c r="CY400" s="235">
        <f t="shared" ca="1" si="1560"/>
        <v>9.3258734068513149E-12</v>
      </c>
      <c r="CZ400" s="235">
        <f t="shared" ca="1" si="1561"/>
        <v>5.6221693967017927E-11</v>
      </c>
      <c r="DA400" s="38"/>
      <c r="DB400" s="236">
        <v>29.519901394705599</v>
      </c>
      <c r="DC400" s="236">
        <v>30.519901394705595</v>
      </c>
      <c r="DD400" s="236">
        <v>-17.273772166716117</v>
      </c>
      <c r="DE400" s="236">
        <v>-0.30009763459823979</v>
      </c>
      <c r="DF400" s="259">
        <v>44.887700914133099</v>
      </c>
      <c r="DG400" s="236">
        <v>-11.623917235731362</v>
      </c>
      <c r="DH400" s="492">
        <v>77.667400868458685</v>
      </c>
      <c r="DI400" s="236">
        <v>-14.85891349902232</v>
      </c>
      <c r="DJ400" s="236">
        <v>3.75480892324771</v>
      </c>
      <c r="DK400" s="236">
        <v>1.8136366901820633</v>
      </c>
      <c r="DL400" s="236">
        <v>1.8414532516263016</v>
      </c>
      <c r="DM400" s="236">
        <v>1.6372165664217286</v>
      </c>
      <c r="DN400" s="236">
        <v>1.6467955555437674</v>
      </c>
      <c r="DO400" s="236">
        <v>1.6564785014952177</v>
      </c>
      <c r="DP400" s="236">
        <v>1.6662659971220739</v>
      </c>
      <c r="DQ400" s="401">
        <v>1.6761586020277219</v>
      </c>
      <c r="DR400" s="401">
        <v>1.410259129642788</v>
      </c>
      <c r="DS400" s="401">
        <v>1.4204954816923632</v>
      </c>
      <c r="DT400" s="401">
        <v>1.4308163836212584</v>
      </c>
      <c r="DU400" s="401">
        <v>1.4412229075636329</v>
      </c>
      <c r="DV400" s="401">
        <v>1.4517161056709416</v>
      </c>
      <c r="DW400" s="401">
        <v>1.2278202695775953</v>
      </c>
      <c r="DX400" s="401">
        <v>1.2378802515453202</v>
      </c>
      <c r="DY400" s="401">
        <v>1.2480072970600276</v>
      </c>
      <c r="DZ400" s="401">
        <v>1.6600644946316983</v>
      </c>
      <c r="EA400" s="989"/>
    </row>
    <row r="401" spans="1:131" s="76" customFormat="1">
      <c r="A401" s="38" t="str">
        <f t="shared" si="1533"/>
        <v>investments of enterprises volume  % change</v>
      </c>
      <c r="B401" s="256" t="str">
        <f t="shared" si="1533"/>
        <v>investeringen van bedrijven (vol.)</v>
      </c>
      <c r="D401" s="227" t="s">
        <v>2462</v>
      </c>
      <c r="E401" s="227"/>
      <c r="F401" s="38"/>
      <c r="G401" s="38">
        <f t="shared" ref="G401:AV401" si="1572">G323</f>
        <v>5.7224366504446955</v>
      </c>
      <c r="H401" s="38">
        <f t="shared" si="1572"/>
        <v>9.7105538551955028</v>
      </c>
      <c r="I401" s="38">
        <f t="shared" si="1572"/>
        <v>36.030681391408905</v>
      </c>
      <c r="J401" s="38">
        <f t="shared" si="1572"/>
        <v>1.5587459364294398</v>
      </c>
      <c r="K401" s="38">
        <f t="shared" si="1572"/>
        <v>10.954348551685467</v>
      </c>
      <c r="L401" s="38">
        <f t="shared" si="1572"/>
        <v>-8.3644222740997911</v>
      </c>
      <c r="M401" s="38">
        <f t="shared" si="1572"/>
        <v>14.458143426626258</v>
      </c>
      <c r="N401" s="38">
        <f t="shared" si="1572"/>
        <v>3.648409496722671</v>
      </c>
      <c r="O401" s="38">
        <f t="shared" si="1572"/>
        <v>21.860930873855743</v>
      </c>
      <c r="P401" s="38">
        <f t="shared" si="1572"/>
        <v>105.41498726752492</v>
      </c>
      <c r="Q401" s="38">
        <f t="shared" si="1572"/>
        <v>-2.4604942967234256</v>
      </c>
      <c r="R401" s="38">
        <f t="shared" si="1572"/>
        <v>-28.930510496641094</v>
      </c>
      <c r="S401" s="38">
        <f t="shared" si="1572"/>
        <v>-27.819482133059282</v>
      </c>
      <c r="T401" s="38">
        <f t="shared" si="1572"/>
        <v>-12.979040835457523</v>
      </c>
      <c r="U401" s="38">
        <f t="shared" si="1572"/>
        <v>-24.772856761643279</v>
      </c>
      <c r="V401" s="38">
        <f t="shared" si="1572"/>
        <v>-15.15809105381225</v>
      </c>
      <c r="W401" s="38">
        <f t="shared" si="1572"/>
        <v>17.240387117295452</v>
      </c>
      <c r="X401" s="38">
        <f t="shared" si="1572"/>
        <v>22.138835994223506</v>
      </c>
      <c r="Y401" s="38">
        <f t="shared" si="1572"/>
        <v>-0.5636700901471503</v>
      </c>
      <c r="Z401" s="38">
        <f t="shared" si="1572"/>
        <v>52.641575991198543</v>
      </c>
      <c r="AA401" s="38">
        <f t="shared" si="1572"/>
        <v>8.4544017206354951</v>
      </c>
      <c r="AB401" s="38">
        <f t="shared" si="1572"/>
        <v>-47.79770986053893</v>
      </c>
      <c r="AC401" s="38">
        <f t="shared" si="1572"/>
        <v>19.73656089996112</v>
      </c>
      <c r="AD401" s="38">
        <f t="shared" si="1572"/>
        <v>-16.278428019076905</v>
      </c>
      <c r="AE401" s="38">
        <f t="shared" si="1572"/>
        <v>-16.043022546341202</v>
      </c>
      <c r="AF401" s="38">
        <f t="shared" si="1572"/>
        <v>43.796543054372265</v>
      </c>
      <c r="AG401" s="38">
        <f t="shared" si="1572"/>
        <v>29.901741734713649</v>
      </c>
      <c r="AH401" s="38">
        <f t="shared" si="1572"/>
        <v>-19.36093472733441</v>
      </c>
      <c r="AI401" s="38">
        <f t="shared" si="1572"/>
        <v>-51.303451421207114</v>
      </c>
      <c r="AJ401" s="38">
        <f t="shared" si="1572"/>
        <v>-19.10408132358452</v>
      </c>
      <c r="AK401" s="38">
        <f t="shared" si="1572"/>
        <v>22.885281542066259</v>
      </c>
      <c r="AL401" s="38">
        <f t="shared" si="1572"/>
        <v>-10.766413721185097</v>
      </c>
      <c r="AM401" s="38">
        <f t="shared" si="1572"/>
        <v>-22.787918593717716</v>
      </c>
      <c r="AN401" s="38">
        <f t="shared" si="1572"/>
        <v>10.580547876350854</v>
      </c>
      <c r="AO401" s="38">
        <f t="shared" si="1572"/>
        <v>-15.470492638901822</v>
      </c>
      <c r="AP401" s="38">
        <f t="shared" si="1572"/>
        <v>109.0054738578591</v>
      </c>
      <c r="AQ401" s="38">
        <f t="shared" si="1572"/>
        <v>-0.33106868716012983</v>
      </c>
      <c r="AR401" s="38">
        <f t="shared" si="1572"/>
        <v>2.4741186031544293</v>
      </c>
      <c r="AS401" s="38">
        <f t="shared" si="1572"/>
        <v>-12.617055651521136</v>
      </c>
      <c r="AT401" s="38">
        <f t="shared" si="1572"/>
        <v>96.792203710165722</v>
      </c>
      <c r="AU401" s="38">
        <f t="shared" si="1572"/>
        <v>-52.446240840195927</v>
      </c>
      <c r="AV401" s="38">
        <f t="shared" si="1572"/>
        <v>325.35479681063413</v>
      </c>
      <c r="AW401" s="38">
        <f t="shared" ref="AW401:BB401" si="1573">AW323</f>
        <v>-25.32317602409384</v>
      </c>
      <c r="AX401" s="38">
        <f t="shared" si="1573"/>
        <v>-58.521881138016539</v>
      </c>
      <c r="AY401" s="38">
        <f t="shared" si="1573"/>
        <v>-13.643085999461125</v>
      </c>
      <c r="AZ401" s="38">
        <f t="shared" si="1573"/>
        <v>-9.451386914309678</v>
      </c>
      <c r="BA401" s="38">
        <f t="shared" si="1573"/>
        <v>129.6136265396529</v>
      </c>
      <c r="BB401" s="38">
        <f t="shared" si="1573"/>
        <v>0.25391506441179157</v>
      </c>
      <c r="BC401" s="38">
        <f t="shared" ref="BC401:BP402" ca="1" si="1574">BC323</f>
        <v>60.792437006468994</v>
      </c>
      <c r="BD401" s="38">
        <f t="shared" ca="1" si="1574"/>
        <v>-13.526705361499936</v>
      </c>
      <c r="BE401" s="38">
        <f t="shared" ca="1" si="1574"/>
        <v>84.650703354627652</v>
      </c>
      <c r="BF401" s="38">
        <f t="shared" ca="1" si="1574"/>
        <v>-30.006612400688169</v>
      </c>
      <c r="BG401" s="38">
        <f t="shared" ca="1" si="1574"/>
        <v>10.811282470541794</v>
      </c>
      <c r="BH401" s="25">
        <f t="shared" ca="1" si="1574"/>
        <v>13.952418831384117</v>
      </c>
      <c r="BI401" s="25">
        <f t="shared" ca="1" si="1574"/>
        <v>3.8596160334663621</v>
      </c>
      <c r="BJ401" s="25">
        <f t="shared" ca="1" si="1574"/>
        <v>9.771792016883829E-2</v>
      </c>
      <c r="BK401" s="25">
        <f t="shared" ca="1" si="1574"/>
        <v>16.265388444023742</v>
      </c>
      <c r="BL401" s="25">
        <f t="shared" ca="1" si="1574"/>
        <v>26.410604518225899</v>
      </c>
      <c r="BM401" s="25">
        <f t="shared" ca="1" si="1574"/>
        <v>-11.3408771544242</v>
      </c>
      <c r="BN401" s="25">
        <f t="shared" ca="1" si="1574"/>
        <v>16.694782114039832</v>
      </c>
      <c r="BO401" s="25">
        <f ca="1">BO323</f>
        <v>29.363453775279737</v>
      </c>
      <c r="BP401" s="25">
        <f t="shared" ca="1" si="1574"/>
        <v>2.8062100698504011</v>
      </c>
      <c r="BQ401" s="25">
        <f ca="1">BQ323</f>
        <v>0.14687971744493655</v>
      </c>
      <c r="BR401" s="25">
        <f t="shared" ca="1" si="1539"/>
        <v>-1.0053090897165551</v>
      </c>
      <c r="BS401" s="25">
        <f t="shared" ca="1" si="1539"/>
        <v>1.6742706132401919</v>
      </c>
      <c r="BT401" s="25">
        <f t="shared" ca="1" si="1540"/>
        <v>0.37982994381122737</v>
      </c>
      <c r="BU401" s="25">
        <f t="shared" ca="1" si="1540"/>
        <v>2.1880019869032985</v>
      </c>
      <c r="BV401" s="25">
        <f ca="1">BV323</f>
        <v>1.2147232704763367</v>
      </c>
      <c r="BW401" s="25">
        <f t="shared" ref="BW401:BX401" ca="1" si="1575">BW323</f>
        <v>1.2614573697690812</v>
      </c>
      <c r="BX401" s="25">
        <f t="shared" ca="1" si="1575"/>
        <v>1.2770315716250424</v>
      </c>
      <c r="BY401" s="25">
        <f t="shared" ref="BY401:CD401" ca="1" si="1576">BY323</f>
        <v>1.3109133047727761</v>
      </c>
      <c r="BZ401" s="25">
        <f t="shared" ca="1" si="1576"/>
        <v>1.4257711207288359</v>
      </c>
      <c r="CA401" s="25">
        <f t="shared" ca="1" si="1576"/>
        <v>1.5901262948854855</v>
      </c>
      <c r="CB401" s="25">
        <f t="shared" ca="1" si="1576"/>
        <v>1.6810123308701685</v>
      </c>
      <c r="CC401" s="25">
        <f t="shared" ca="1" si="1576"/>
        <v>1.7364935529115222</v>
      </c>
      <c r="CD401" s="25">
        <f t="shared" ca="1" si="1576"/>
        <v>1.8046842570796695</v>
      </c>
      <c r="CE401" s="101">
        <f t="shared" ca="1" si="1489"/>
        <v>3.0534718806207604</v>
      </c>
      <c r="CF401" s="444"/>
      <c r="CG401" s="235">
        <f t="shared" ca="1" si="1543"/>
        <v>-31.64464047215214</v>
      </c>
      <c r="CH401" s="235">
        <f t="shared" ca="1" si="1544"/>
        <v>8.021589725233369E-2</v>
      </c>
      <c r="CI401" s="235" t="e">
        <f ca="1">BM401-#REF!</f>
        <v>#REF!</v>
      </c>
      <c r="CJ401" s="235">
        <f t="shared" ca="1" si="1545"/>
        <v>0</v>
      </c>
      <c r="CK401" s="235">
        <f t="shared" ca="1" si="1546"/>
        <v>0</v>
      </c>
      <c r="CL401" s="235">
        <f t="shared" ca="1" si="1547"/>
        <v>0</v>
      </c>
      <c r="CM401" s="235">
        <f t="shared" ca="1" si="1548"/>
        <v>0</v>
      </c>
      <c r="CN401" s="235">
        <f t="shared" ca="1" si="1549"/>
        <v>-2.2204460492503131E-14</v>
      </c>
      <c r="CO401" s="235">
        <f t="shared" ca="1" si="1550"/>
        <v>-2.2204460492503131E-14</v>
      </c>
      <c r="CP401" s="235">
        <f t="shared" ca="1" si="1551"/>
        <v>0</v>
      </c>
      <c r="CQ401" s="235">
        <f t="shared" ca="1" si="1552"/>
        <v>-2.2204460492503131E-14</v>
      </c>
      <c r="CR401" s="235">
        <f t="shared" ca="1" si="1553"/>
        <v>-8.8817841970012523E-14</v>
      </c>
      <c r="CS401" s="235">
        <f t="shared" ca="1" si="1554"/>
        <v>-6.6613381477509392E-14</v>
      </c>
      <c r="CT401" s="235">
        <f t="shared" ca="1" si="1555"/>
        <v>-1.1102230246251565E-13</v>
      </c>
      <c r="CU401" s="235">
        <f t="shared" ca="1" si="1556"/>
        <v>-1.5543122344752192E-13</v>
      </c>
      <c r="CV401" s="235">
        <f t="shared" ca="1" si="1557"/>
        <v>-2.2204460492503131E-13</v>
      </c>
      <c r="CW401" s="235">
        <f t="shared" ca="1" si="1558"/>
        <v>2.2204460492503131E-14</v>
      </c>
      <c r="CX401" s="235">
        <f t="shared" ca="1" si="1559"/>
        <v>2.7311486405778851E-12</v>
      </c>
      <c r="CY401" s="235">
        <f t="shared" ca="1" si="1560"/>
        <v>2.744471316873387E-11</v>
      </c>
      <c r="CZ401" s="235">
        <f t="shared" ca="1" si="1561"/>
        <v>2.0328183580886616E-10</v>
      </c>
      <c r="DA401" s="38"/>
      <c r="DB401" s="236">
        <v>-32.840376447947797</v>
      </c>
      <c r="DC401" s="236">
        <v>-31.840376447947772</v>
      </c>
      <c r="DD401" s="236">
        <v>11.158982817948338</v>
      </c>
      <c r="DE401" s="236">
        <v>13.35856955557313</v>
      </c>
      <c r="DF401" s="259">
        <v>2.2282216841718716</v>
      </c>
      <c r="DG401" s="236">
        <v>47.910028916175882</v>
      </c>
      <c r="DH401" s="492">
        <v>26.330388620973565</v>
      </c>
      <c r="DI401" s="236">
        <v>16.694782114039853</v>
      </c>
      <c r="DJ401" s="236">
        <v>29.363453775279758</v>
      </c>
      <c r="DK401" s="236">
        <v>2.8062100698504011</v>
      </c>
      <c r="DL401" s="236">
        <v>0.14687971744493655</v>
      </c>
      <c r="DM401" s="236">
        <v>-1.0053090897165329</v>
      </c>
      <c r="DN401" s="236">
        <v>1.6742706132402141</v>
      </c>
      <c r="DO401" s="236">
        <v>0.37982994381122737</v>
      </c>
      <c r="DP401" s="236">
        <v>2.1880019869033207</v>
      </c>
      <c r="DQ401" s="401">
        <v>1.2147232704764255</v>
      </c>
      <c r="DR401" s="401">
        <v>1.2614573697691478</v>
      </c>
      <c r="DS401" s="401">
        <v>1.2770315716251535</v>
      </c>
      <c r="DT401" s="401">
        <v>1.3109133047729316</v>
      </c>
      <c r="DU401" s="401">
        <v>1.425771120729058</v>
      </c>
      <c r="DV401" s="401">
        <v>1.5901262948854633</v>
      </c>
      <c r="DW401" s="401">
        <v>1.6810123308674374</v>
      </c>
      <c r="DX401" s="401">
        <v>1.7364935528840775</v>
      </c>
      <c r="DY401" s="401">
        <v>1.8046842568763877</v>
      </c>
      <c r="DZ401" s="401">
        <v>3.3525691343961563</v>
      </c>
      <c r="EA401" s="989"/>
    </row>
    <row r="402" spans="1:131" s="76" customFormat="1">
      <c r="A402" s="38" t="str">
        <f t="shared" si="1533"/>
        <v>public investments volume % change</v>
      </c>
      <c r="B402" s="256" t="str">
        <f t="shared" si="1533"/>
        <v>overheidsinvesteringen (vol.)</v>
      </c>
      <c r="D402" s="227" t="s">
        <v>2462</v>
      </c>
      <c r="E402" s="227"/>
      <c r="F402" s="38">
        <f t="shared" ref="F402:AV402" si="1577">F324</f>
        <v>0</v>
      </c>
      <c r="G402" s="38">
        <f t="shared" si="1577"/>
        <v>0</v>
      </c>
      <c r="H402" s="38">
        <f t="shared" si="1577"/>
        <v>0</v>
      </c>
      <c r="I402" s="38">
        <f t="shared" si="1577"/>
        <v>0</v>
      </c>
      <c r="J402" s="38">
        <f t="shared" si="1577"/>
        <v>0</v>
      </c>
      <c r="K402" s="38">
        <f t="shared" si="1577"/>
        <v>0</v>
      </c>
      <c r="L402" s="38">
        <f t="shared" si="1577"/>
        <v>0</v>
      </c>
      <c r="M402" s="38">
        <f t="shared" si="1577"/>
        <v>0</v>
      </c>
      <c r="N402" s="38">
        <f t="shared" si="1577"/>
        <v>0</v>
      </c>
      <c r="O402" s="38">
        <f t="shared" si="1577"/>
        <v>0</v>
      </c>
      <c r="P402" s="38">
        <f t="shared" si="1577"/>
        <v>0</v>
      </c>
      <c r="Q402" s="38">
        <f t="shared" si="1577"/>
        <v>0</v>
      </c>
      <c r="R402" s="38">
        <f t="shared" si="1577"/>
        <v>0</v>
      </c>
      <c r="S402" s="38">
        <f t="shared" si="1577"/>
        <v>0</v>
      </c>
      <c r="T402" s="38">
        <f t="shared" si="1577"/>
        <v>0</v>
      </c>
      <c r="U402" s="38">
        <f t="shared" si="1577"/>
        <v>0</v>
      </c>
      <c r="V402" s="38">
        <f t="shared" si="1577"/>
        <v>0</v>
      </c>
      <c r="W402" s="38">
        <f t="shared" si="1577"/>
        <v>0</v>
      </c>
      <c r="X402" s="38">
        <f t="shared" si="1577"/>
        <v>0</v>
      </c>
      <c r="Y402" s="38">
        <f t="shared" si="1577"/>
        <v>0</v>
      </c>
      <c r="Z402" s="38">
        <f t="shared" si="1577"/>
        <v>0</v>
      </c>
      <c r="AA402" s="38">
        <f t="shared" si="1577"/>
        <v>0</v>
      </c>
      <c r="AB402" s="38">
        <f t="shared" si="1577"/>
        <v>0</v>
      </c>
      <c r="AC402" s="38">
        <f t="shared" si="1577"/>
        <v>0</v>
      </c>
      <c r="AD402" s="38">
        <f t="shared" si="1577"/>
        <v>0</v>
      </c>
      <c r="AE402" s="38">
        <f t="shared" si="1577"/>
        <v>0</v>
      </c>
      <c r="AF402" s="38">
        <f t="shared" si="1577"/>
        <v>0</v>
      </c>
      <c r="AG402" s="38">
        <f t="shared" si="1577"/>
        <v>0</v>
      </c>
      <c r="AH402" s="38">
        <f t="shared" si="1577"/>
        <v>0</v>
      </c>
      <c r="AI402" s="38">
        <f t="shared" si="1577"/>
        <v>0</v>
      </c>
      <c r="AJ402" s="38">
        <f t="shared" si="1577"/>
        <v>0</v>
      </c>
      <c r="AK402" s="38">
        <f t="shared" si="1577"/>
        <v>0</v>
      </c>
      <c r="AL402" s="38">
        <f t="shared" si="1577"/>
        <v>0</v>
      </c>
      <c r="AM402" s="38">
        <f t="shared" si="1577"/>
        <v>0</v>
      </c>
      <c r="AN402" s="38">
        <f t="shared" si="1577"/>
        <v>0</v>
      </c>
      <c r="AO402" s="38">
        <f t="shared" si="1577"/>
        <v>0</v>
      </c>
      <c r="AP402" s="38">
        <f t="shared" si="1577"/>
        <v>0</v>
      </c>
      <c r="AQ402" s="38">
        <f t="shared" si="1577"/>
        <v>0</v>
      </c>
      <c r="AR402" s="38">
        <f t="shared" si="1577"/>
        <v>0</v>
      </c>
      <c r="AS402" s="38">
        <f t="shared" si="1577"/>
        <v>0</v>
      </c>
      <c r="AT402" s="38">
        <f t="shared" si="1577"/>
        <v>0</v>
      </c>
      <c r="AU402" s="38">
        <f t="shared" si="1577"/>
        <v>0</v>
      </c>
      <c r="AV402" s="38" t="str">
        <f t="shared" si="1577"/>
        <v xml:space="preserve"> </v>
      </c>
      <c r="AW402" s="38">
        <f t="shared" ref="AW402:BB402" si="1578">AW324</f>
        <v>-38.437720577534272</v>
      </c>
      <c r="AX402" s="38">
        <f t="shared" si="1578"/>
        <v>5.7177099863149783</v>
      </c>
      <c r="AY402" s="38">
        <f t="shared" si="1578"/>
        <v>8.6480960523020336</v>
      </c>
      <c r="AZ402" s="38">
        <f t="shared" si="1578"/>
        <v>8.2863404604936122</v>
      </c>
      <c r="BA402" s="38">
        <f t="shared" si="1578"/>
        <v>-56.540709233196019</v>
      </c>
      <c r="BB402" s="38">
        <f t="shared" si="1578"/>
        <v>10.346673370994374</v>
      </c>
      <c r="BC402" s="38">
        <f t="shared" ca="1" si="1574"/>
        <v>-3.2787957691865932</v>
      </c>
      <c r="BD402" s="38">
        <f t="shared" ca="1" si="1574"/>
        <v>48.277882861836588</v>
      </c>
      <c r="BE402" s="38">
        <f t="shared" ca="1" si="1574"/>
        <v>43.501865350551896</v>
      </c>
      <c r="BF402" s="38">
        <f t="shared" ca="1" si="1574"/>
        <v>18.453108853506105</v>
      </c>
      <c r="BG402" s="38">
        <f t="shared" ca="1" si="1574"/>
        <v>6.5757272246530496</v>
      </c>
      <c r="BH402" s="25">
        <f t="shared" ca="1" si="1574"/>
        <v>16.401245373503336</v>
      </c>
      <c r="BI402" s="25">
        <f t="shared" ca="1" si="1574"/>
        <v>29.486697365913983</v>
      </c>
      <c r="BJ402" s="25">
        <f t="shared" ca="1" si="1574"/>
        <v>-18.276901785715882</v>
      </c>
      <c r="BK402" s="25">
        <f t="shared" ca="1" si="1574"/>
        <v>8.1396418019765715</v>
      </c>
      <c r="BL402" s="25">
        <f t="shared" ca="1" si="1574"/>
        <v>0.5229380575309639</v>
      </c>
      <c r="BM402" s="25">
        <f t="shared" ca="1" si="1574"/>
        <v>1.5265525888813025</v>
      </c>
      <c r="BN402" s="25">
        <f t="shared" ca="1" si="1574"/>
        <v>18.729791971901587</v>
      </c>
      <c r="BO402" s="25">
        <f t="shared" ca="1" si="1574"/>
        <v>-46.588196866267062</v>
      </c>
      <c r="BP402" s="25">
        <f t="shared" ca="1" si="1574"/>
        <v>1.5274795516472484</v>
      </c>
      <c r="BQ402" s="25">
        <f ca="1">BQ324</f>
        <v>1.5552784539004882</v>
      </c>
      <c r="BR402" s="25">
        <f t="shared" ca="1" si="1539"/>
        <v>1.3866781571451048</v>
      </c>
      <c r="BS402" s="25">
        <f t="shared" ca="1" si="1539"/>
        <v>1.3982379952865331</v>
      </c>
      <c r="BT402" s="25">
        <f t="shared" ca="1" si="1540"/>
        <v>1.4099071096551175</v>
      </c>
      <c r="BU402" s="25">
        <f t="shared" ca="1" si="1540"/>
        <v>1.421686059503191</v>
      </c>
      <c r="BV402" s="25">
        <f ca="1">BV324</f>
        <v>1.4335753677391816</v>
      </c>
      <c r="BW402" s="25">
        <f t="shared" ref="BW402:BX402" ca="1" si="1579">BW324</f>
        <v>1.2090429690961635</v>
      </c>
      <c r="BX402" s="25">
        <f t="shared" ca="1" si="1579"/>
        <v>1.2202399707942346</v>
      </c>
      <c r="BY402" s="25">
        <f t="shared" ref="BY402:CD402" ca="1" si="1580">BY324</f>
        <v>1.2315375550622454</v>
      </c>
      <c r="BZ402" s="25">
        <f t="shared" ca="1" si="1580"/>
        <v>1.2429366662610075</v>
      </c>
      <c r="CA402" s="25">
        <f t="shared" ca="1" si="1580"/>
        <v>1.2544382288975031</v>
      </c>
      <c r="CB402" s="25">
        <f t="shared" ca="1" si="1580"/>
        <v>1.063035366719034</v>
      </c>
      <c r="CC402" s="25">
        <f t="shared" ca="1" si="1580"/>
        <v>1.0734927033000163</v>
      </c>
      <c r="CD402" s="25">
        <f t="shared" ca="1" si="1580"/>
        <v>1.0840351305811957</v>
      </c>
      <c r="CE402" s="101">
        <f t="shared" ca="1" si="1489"/>
        <v>-1.6922872237924251</v>
      </c>
      <c r="CF402" s="444"/>
      <c r="CG402" s="235">
        <f t="shared" ca="1" si="1543"/>
        <v>4.1921822785484508E-2</v>
      </c>
      <c r="CH402" s="235">
        <f t="shared" ca="1" si="1544"/>
        <v>0.30205222311370239</v>
      </c>
      <c r="CI402" s="235" t="e">
        <f ca="1">BM402-#REF!</f>
        <v>#REF!</v>
      </c>
      <c r="CJ402" s="235">
        <f t="shared" ca="1" si="1545"/>
        <v>0</v>
      </c>
      <c r="CK402" s="235">
        <f t="shared" ca="1" si="1546"/>
        <v>0</v>
      </c>
      <c r="CL402" s="235">
        <f t="shared" ca="1" si="1547"/>
        <v>0</v>
      </c>
      <c r="CM402" s="235">
        <f t="shared" ca="1" si="1548"/>
        <v>0</v>
      </c>
      <c r="CN402" s="235">
        <f t="shared" ca="1" si="1549"/>
        <v>0</v>
      </c>
      <c r="CO402" s="235">
        <f t="shared" ca="1" si="1550"/>
        <v>0</v>
      </c>
      <c r="CP402" s="235">
        <f t="shared" ca="1" si="1551"/>
        <v>0</v>
      </c>
      <c r="CQ402" s="235">
        <f t="shared" ca="1" si="1552"/>
        <v>4.4408920985006262E-14</v>
      </c>
      <c r="CR402" s="235">
        <f t="shared" ca="1" si="1553"/>
        <v>0</v>
      </c>
      <c r="CS402" s="235">
        <f t="shared" ca="1" si="1554"/>
        <v>0</v>
      </c>
      <c r="CT402" s="235">
        <f t="shared" ca="1" si="1555"/>
        <v>0</v>
      </c>
      <c r="CU402" s="235">
        <f t="shared" ca="1" si="1556"/>
        <v>-2.2204460492503131E-14</v>
      </c>
      <c r="CV402" s="235">
        <f t="shared" ca="1" si="1557"/>
        <v>-4.4408920985006262E-14</v>
      </c>
      <c r="CW402" s="235">
        <f t="shared" ca="1" si="1558"/>
        <v>6.6613381477509392E-14</v>
      </c>
      <c r="CX402" s="235">
        <f t="shared" ca="1" si="1559"/>
        <v>8.8817841970012523E-13</v>
      </c>
      <c r="CY402" s="235">
        <f t="shared" ca="1" si="1560"/>
        <v>7.5051076464660582E-12</v>
      </c>
      <c r="CZ402" s="235">
        <f t="shared" ca="1" si="1561"/>
        <v>4.6496140271301556E-11</v>
      </c>
      <c r="DA402" s="38"/>
      <c r="DB402" s="236">
        <v>14.3497435249815</v>
      </c>
      <c r="DC402" s="236">
        <v>15.34974352498153</v>
      </c>
      <c r="DD402" s="236">
        <v>71.245842497161789</v>
      </c>
      <c r="DE402" s="236">
        <v>-29.118085316424647</v>
      </c>
      <c r="DF402" s="259">
        <v>28.87176003765908</v>
      </c>
      <c r="DG402" s="236">
        <v>8.097719979191087</v>
      </c>
      <c r="DH402" s="492">
        <v>0.22088583441726151</v>
      </c>
      <c r="DI402" s="236">
        <v>18.729791971901587</v>
      </c>
      <c r="DJ402" s="236">
        <v>-46.588196866267062</v>
      </c>
      <c r="DK402" s="236">
        <v>1.5274795516472484</v>
      </c>
      <c r="DL402" s="236">
        <v>1.5552784539004882</v>
      </c>
      <c r="DM402" s="236">
        <v>1.3866781571451048</v>
      </c>
      <c r="DN402" s="236">
        <v>1.3982379952865331</v>
      </c>
      <c r="DO402" s="236">
        <v>1.4099071096551175</v>
      </c>
      <c r="DP402" s="236">
        <v>1.4216860595031466</v>
      </c>
      <c r="DQ402" s="401">
        <v>1.4335753677391816</v>
      </c>
      <c r="DR402" s="401">
        <v>1.2090429690961635</v>
      </c>
      <c r="DS402" s="401">
        <v>1.2202399707942346</v>
      </c>
      <c r="DT402" s="401">
        <v>1.2315375550622676</v>
      </c>
      <c r="DU402" s="401">
        <v>1.2429366662610519</v>
      </c>
      <c r="DV402" s="401">
        <v>1.2544382288974365</v>
      </c>
      <c r="DW402" s="401">
        <v>1.0630353667181458</v>
      </c>
      <c r="DX402" s="401">
        <v>1.0734927032925112</v>
      </c>
      <c r="DY402" s="401">
        <v>1.0840351305346996</v>
      </c>
      <c r="DZ402" s="401">
        <v>-1.6922872634096069</v>
      </c>
      <c r="EA402" s="989"/>
    </row>
    <row r="403" spans="1:131" s="76" customFormat="1">
      <c r="A403" s="38" t="str">
        <f>A326</f>
        <v>exports volume  change</v>
      </c>
      <c r="B403" s="256" t="str">
        <f>B326</f>
        <v>uitvoer (vol.)</v>
      </c>
      <c r="D403" s="227" t="s">
        <v>2462</v>
      </c>
      <c r="E403" s="227"/>
      <c r="F403" s="38">
        <f t="shared" ref="F403:AV404" si="1581">F326</f>
        <v>0</v>
      </c>
      <c r="G403" s="38">
        <f t="shared" si="1581"/>
        <v>0</v>
      </c>
      <c r="H403" s="38">
        <f t="shared" si="1581"/>
        <v>0</v>
      </c>
      <c r="I403" s="38">
        <f t="shared" si="1581"/>
        <v>0</v>
      </c>
      <c r="J403" s="38">
        <f t="shared" si="1581"/>
        <v>0</v>
      </c>
      <c r="K403" s="38">
        <f t="shared" si="1581"/>
        <v>0</v>
      </c>
      <c r="L403" s="38">
        <f t="shared" si="1581"/>
        <v>0</v>
      </c>
      <c r="M403" s="38">
        <f t="shared" si="1581"/>
        <v>0</v>
      </c>
      <c r="N403" s="38">
        <f t="shared" si="1581"/>
        <v>0</v>
      </c>
      <c r="O403" s="38">
        <f t="shared" si="1581"/>
        <v>0</v>
      </c>
      <c r="P403" s="38">
        <f t="shared" si="1581"/>
        <v>0</v>
      </c>
      <c r="Q403" s="38">
        <f t="shared" si="1581"/>
        <v>0</v>
      </c>
      <c r="R403" s="38">
        <f t="shared" si="1581"/>
        <v>0</v>
      </c>
      <c r="S403" s="38">
        <f t="shared" si="1581"/>
        <v>0</v>
      </c>
      <c r="T403" s="38">
        <f t="shared" si="1581"/>
        <v>0</v>
      </c>
      <c r="U403" s="38">
        <f t="shared" si="1581"/>
        <v>0</v>
      </c>
      <c r="V403" s="38">
        <f t="shared" si="1581"/>
        <v>0</v>
      </c>
      <c r="W403" s="38">
        <f t="shared" si="1581"/>
        <v>0</v>
      </c>
      <c r="X403" s="38">
        <f t="shared" si="1581"/>
        <v>0</v>
      </c>
      <c r="Y403" s="38">
        <f t="shared" si="1581"/>
        <v>0</v>
      </c>
      <c r="Z403" s="38">
        <f t="shared" si="1581"/>
        <v>0</v>
      </c>
      <c r="AA403" s="38">
        <f t="shared" si="1581"/>
        <v>0</v>
      </c>
      <c r="AB403" s="38">
        <f t="shared" si="1581"/>
        <v>0</v>
      </c>
      <c r="AC403" s="38">
        <f t="shared" si="1581"/>
        <v>0</v>
      </c>
      <c r="AD403" s="38">
        <f t="shared" si="1581"/>
        <v>0</v>
      </c>
      <c r="AE403" s="38">
        <f t="shared" si="1581"/>
        <v>0</v>
      </c>
      <c r="AF403" s="38">
        <f t="shared" si="1581"/>
        <v>0</v>
      </c>
      <c r="AG403" s="38">
        <f t="shared" si="1581"/>
        <v>0</v>
      </c>
      <c r="AH403" s="38">
        <f t="shared" si="1581"/>
        <v>0</v>
      </c>
      <c r="AI403" s="38">
        <f t="shared" si="1581"/>
        <v>0</v>
      </c>
      <c r="AJ403" s="38">
        <f t="shared" si="1581"/>
        <v>0</v>
      </c>
      <c r="AK403" s="38">
        <f t="shared" si="1581"/>
        <v>0</v>
      </c>
      <c r="AL403" s="38">
        <f t="shared" si="1581"/>
        <v>0</v>
      </c>
      <c r="AM403" s="38">
        <f t="shared" si="1581"/>
        <v>0</v>
      </c>
      <c r="AN403" s="38">
        <f t="shared" si="1581"/>
        <v>0</v>
      </c>
      <c r="AO403" s="38">
        <f t="shared" si="1581"/>
        <v>0</v>
      </c>
      <c r="AP403" s="38">
        <f t="shared" si="1581"/>
        <v>-2.8671800017577298</v>
      </c>
      <c r="AQ403" s="38">
        <f t="shared" si="1581"/>
        <v>-7.6577415874863881</v>
      </c>
      <c r="AR403" s="38">
        <f t="shared" si="1581"/>
        <v>1.537189243040582</v>
      </c>
      <c r="AS403" s="38">
        <f t="shared" si="1581"/>
        <v>589.76916583398622</v>
      </c>
      <c r="AT403" s="38">
        <f t="shared" si="1581"/>
        <v>-82.013441280344907</v>
      </c>
      <c r="AU403" s="38">
        <f t="shared" si="1581"/>
        <v>0.44794790162032694</v>
      </c>
      <c r="AV403" s="38">
        <f t="shared" si="1581"/>
        <v>-8.9870717291801405</v>
      </c>
      <c r="AW403" s="38">
        <f t="shared" ref="AW403:BI403" si="1582">AW326</f>
        <v>4.6808761226592832</v>
      </c>
      <c r="AX403" s="38">
        <f t="shared" si="1582"/>
        <v>-3.0025887435973564</v>
      </c>
      <c r="AY403" s="38">
        <f t="shared" si="1582"/>
        <v>26.502028173696822</v>
      </c>
      <c r="AZ403" s="38">
        <f t="shared" si="1582"/>
        <v>-6.3197228931494269</v>
      </c>
      <c r="BA403" s="38">
        <f t="shared" si="1582"/>
        <v>0.51393155267254187</v>
      </c>
      <c r="BB403" s="38">
        <f t="shared" si="1582"/>
        <v>-10.826571169990661</v>
      </c>
      <c r="BC403" s="38">
        <f t="shared" si="1582"/>
        <v>38.830770300503239</v>
      </c>
      <c r="BD403" s="38">
        <f t="shared" si="1582"/>
        <v>12.94681447587358</v>
      </c>
      <c r="BE403" s="38">
        <f t="shared" si="1582"/>
        <v>13.018492963092365</v>
      </c>
      <c r="BF403" s="38">
        <f t="shared" si="1582"/>
        <v>-6.2959990575568998</v>
      </c>
      <c r="BG403" s="38">
        <f t="shared" si="1582"/>
        <v>25.857542823249101</v>
      </c>
      <c r="BH403" s="25">
        <f t="shared" si="1582"/>
        <v>12.648656595590978</v>
      </c>
      <c r="BI403" s="25">
        <f t="shared" si="1582"/>
        <v>-3.5166674584251045</v>
      </c>
      <c r="BJ403" s="25">
        <f>BJ326</f>
        <v>12.229534852170643</v>
      </c>
      <c r="BK403" s="25">
        <f t="shared" ref="BK403:BP403" si="1583">BK326</f>
        <v>-1.9377798780687017</v>
      </c>
      <c r="BL403" s="25">
        <f t="shared" si="1583"/>
        <v>0.38577541653745939</v>
      </c>
      <c r="BM403" s="25">
        <f t="shared" si="1583"/>
        <v>1.1460276735719255</v>
      </c>
      <c r="BN403" s="25">
        <f t="shared" si="1583"/>
        <v>-3.1855083281545404</v>
      </c>
      <c r="BO403" s="25">
        <f t="shared" si="1583"/>
        <v>-11.175486511854139</v>
      </c>
      <c r="BP403" s="25">
        <f t="shared" si="1583"/>
        <v>3.1635942133788397</v>
      </c>
      <c r="BQ403" s="25">
        <f t="shared" ref="BQ403:BS404" si="1584">BQ326</f>
        <v>18.930801985246436</v>
      </c>
      <c r="BR403" s="25">
        <f t="shared" si="1584"/>
        <v>3.1428941338053296</v>
      </c>
      <c r="BS403" s="25">
        <f t="shared" si="1584"/>
        <v>-2.678240801129661</v>
      </c>
      <c r="BT403" s="25">
        <f t="shared" ref="BT403:BV404" si="1585">BT326</f>
        <v>1.208070285536933</v>
      </c>
      <c r="BU403" s="25">
        <f t="shared" si="1585"/>
        <v>3.4408033756390566</v>
      </c>
      <c r="BV403" s="25">
        <f t="shared" si="1585"/>
        <v>3.4641068743827219</v>
      </c>
      <c r="BW403" s="25">
        <f t="shared" ref="BW403:BX403" si="1586">BW326</f>
        <v>3.4871492489962241</v>
      </c>
      <c r="BX403" s="25">
        <f t="shared" si="1586"/>
        <v>3.5099534016056255</v>
      </c>
      <c r="BY403" s="25">
        <f t="shared" ref="BY403:CD403" si="1587">BY326</f>
        <v>3.5325429602011793</v>
      </c>
      <c r="BZ403" s="25">
        <f t="shared" si="1587"/>
        <v>3.5549422288973176</v>
      </c>
      <c r="CA403" s="25">
        <f t="shared" si="1587"/>
        <v>3.5848598025183476</v>
      </c>
      <c r="CB403" s="25">
        <f t="shared" si="1587"/>
        <v>3.6137161615546809</v>
      </c>
      <c r="CC403" s="25">
        <f t="shared" si="1587"/>
        <v>3.6415571683406256</v>
      </c>
      <c r="CD403" s="25">
        <f t="shared" si="1587"/>
        <v>3.6684290976859435</v>
      </c>
      <c r="CE403" s="101">
        <f t="shared" si="1489"/>
        <v>3.0056058515503414</v>
      </c>
      <c r="CF403" s="444"/>
      <c r="CG403" s="235">
        <f t="shared" si="1543"/>
        <v>4.5114501912790992</v>
      </c>
      <c r="CH403" s="235">
        <f t="shared" si="1544"/>
        <v>-6.5799428281268835</v>
      </c>
      <c r="CI403" s="235" t="e">
        <f>BM403-#REF!</f>
        <v>#REF!</v>
      </c>
      <c r="CJ403" s="235">
        <f t="shared" si="1545"/>
        <v>0</v>
      </c>
      <c r="CK403" s="235">
        <f t="shared" si="1546"/>
        <v>0</v>
      </c>
      <c r="CL403" s="235">
        <f t="shared" si="1547"/>
        <v>0</v>
      </c>
      <c r="CM403" s="235">
        <f t="shared" si="1548"/>
        <v>0</v>
      </c>
      <c r="CN403" s="235">
        <f t="shared" si="1549"/>
        <v>0</v>
      </c>
      <c r="CO403" s="235">
        <f t="shared" si="1550"/>
        <v>0</v>
      </c>
      <c r="CP403" s="235">
        <f t="shared" si="1551"/>
        <v>0</v>
      </c>
      <c r="CQ403" s="235">
        <f t="shared" si="1552"/>
        <v>0</v>
      </c>
      <c r="CR403" s="235">
        <f t="shared" si="1553"/>
        <v>0</v>
      </c>
      <c r="CS403" s="235">
        <f t="shared" si="1554"/>
        <v>0</v>
      </c>
      <c r="CT403" s="235">
        <f t="shared" si="1555"/>
        <v>0</v>
      </c>
      <c r="CU403" s="235">
        <f t="shared" si="1556"/>
        <v>0</v>
      </c>
      <c r="CV403" s="235">
        <f t="shared" si="1557"/>
        <v>0</v>
      </c>
      <c r="CW403" s="235">
        <f t="shared" si="1558"/>
        <v>0</v>
      </c>
      <c r="CX403" s="235">
        <f t="shared" si="1559"/>
        <v>0</v>
      </c>
      <c r="CY403" s="235">
        <f t="shared" si="1560"/>
        <v>0</v>
      </c>
      <c r="CZ403" s="235">
        <f t="shared" si="1561"/>
        <v>0</v>
      </c>
      <c r="DA403" s="38"/>
      <c r="DB403" s="236">
        <v>-5.9047355731377396</v>
      </c>
      <c r="DC403" s="236">
        <v>-4.9047355731377422</v>
      </c>
      <c r="DD403" s="236">
        <v>3.6696668056038328</v>
      </c>
      <c r="DE403" s="236">
        <v>13.535826541479778</v>
      </c>
      <c r="DF403" s="259">
        <v>-7.3292771668714281</v>
      </c>
      <c r="DG403" s="236">
        <v>-6.4492300693478004</v>
      </c>
      <c r="DH403" s="492">
        <v>6.9657182446643429</v>
      </c>
      <c r="DI403" s="236">
        <v>-3.1855083281545404</v>
      </c>
      <c r="DJ403" s="236">
        <v>-11.175486511854139</v>
      </c>
      <c r="DK403" s="236">
        <v>3.1635942133788397</v>
      </c>
      <c r="DL403" s="236">
        <v>18.930801985246436</v>
      </c>
      <c r="DM403" s="236">
        <v>3.1428941338053296</v>
      </c>
      <c r="DN403" s="236">
        <v>-2.678240801129661</v>
      </c>
      <c r="DO403" s="236">
        <v>1.208070285536933</v>
      </c>
      <c r="DP403" s="236">
        <v>3.4408033756390566</v>
      </c>
      <c r="DQ403" s="401">
        <v>3.4641068743827219</v>
      </c>
      <c r="DR403" s="401">
        <v>3.4871492489962241</v>
      </c>
      <c r="DS403" s="401">
        <v>3.5099534016056255</v>
      </c>
      <c r="DT403" s="401">
        <v>3.5325429602011793</v>
      </c>
      <c r="DU403" s="401">
        <v>3.5549422288973176</v>
      </c>
      <c r="DV403" s="401">
        <v>3.5848598025183476</v>
      </c>
      <c r="DW403" s="401">
        <v>3.6137161615546809</v>
      </c>
      <c r="DX403" s="401">
        <v>3.6415571683406256</v>
      </c>
      <c r="DY403" s="401">
        <v>3.6684290976859435</v>
      </c>
      <c r="DZ403" s="401">
        <v>3.11278579015748</v>
      </c>
      <c r="EA403" s="989"/>
    </row>
    <row r="404" spans="1:131" s="76" customFormat="1">
      <c r="A404" s="38" t="str">
        <f>A327</f>
        <v>imports volume change</v>
      </c>
      <c r="B404" s="256" t="str">
        <f>B327</f>
        <v>invoer (vol.)</v>
      </c>
      <c r="D404" s="227" t="s">
        <v>2462</v>
      </c>
      <c r="E404" s="227"/>
      <c r="F404" s="38">
        <f>F327</f>
        <v>0</v>
      </c>
      <c r="G404" s="38">
        <f t="shared" si="1581"/>
        <v>-1.1190028922842932</v>
      </c>
      <c r="H404" s="38">
        <f t="shared" si="1581"/>
        <v>20.025472788276332</v>
      </c>
      <c r="I404" s="38">
        <f t="shared" si="1581"/>
        <v>13.840262786804235</v>
      </c>
      <c r="J404" s="38">
        <f t="shared" si="1581"/>
        <v>-6.8692595571018256E-2</v>
      </c>
      <c r="K404" s="38">
        <f t="shared" si="1581"/>
        <v>23.17610345961527</v>
      </c>
      <c r="L404" s="38">
        <f t="shared" si="1581"/>
        <v>16.255207721775665</v>
      </c>
      <c r="M404" s="38">
        <f t="shared" si="1581"/>
        <v>-0.91981128583942251</v>
      </c>
      <c r="N404" s="38">
        <f t="shared" si="1581"/>
        <v>2.3768259040310102</v>
      </c>
      <c r="O404" s="38">
        <f t="shared" si="1581"/>
        <v>7.9299739574933747</v>
      </c>
      <c r="P404" s="38">
        <f t="shared" si="1581"/>
        <v>32.251209069400048</v>
      </c>
      <c r="Q404" s="38">
        <f t="shared" si="1581"/>
        <v>13.084507657058353</v>
      </c>
      <c r="R404" s="38">
        <f t="shared" si="1581"/>
        <v>-1.5304115144569641</v>
      </c>
      <c r="S404" s="38">
        <f t="shared" si="1581"/>
        <v>10.739613755038246</v>
      </c>
      <c r="T404" s="38">
        <f t="shared" si="1581"/>
        <v>-0.81190645217915636</v>
      </c>
      <c r="U404" s="38">
        <f t="shared" si="1581"/>
        <v>8.477309626146635</v>
      </c>
      <c r="V404" s="38">
        <f t="shared" si="1581"/>
        <v>3.1347870422498536</v>
      </c>
      <c r="W404" s="38">
        <f t="shared" si="1581"/>
        <v>3.0608326114761608</v>
      </c>
      <c r="X404" s="38">
        <f t="shared" si="1581"/>
        <v>8.7630179582287795</v>
      </c>
      <c r="Y404" s="38">
        <f t="shared" si="1581"/>
        <v>-10.410466235519033</v>
      </c>
      <c r="Z404" s="38">
        <f t="shared" si="1581"/>
        <v>1.4384244152967796</v>
      </c>
      <c r="AA404" s="38">
        <f t="shared" si="1581"/>
        <v>5.3663186431297527</v>
      </c>
      <c r="AB404" s="38">
        <f t="shared" si="1581"/>
        <v>0.54058583819864836</v>
      </c>
      <c r="AC404" s="38">
        <f t="shared" si="1581"/>
        <v>24.422135801646029</v>
      </c>
      <c r="AD404" s="38">
        <f t="shared" si="1581"/>
        <v>-4.855001516738211</v>
      </c>
      <c r="AE404" s="38">
        <f t="shared" si="1581"/>
        <v>-14.202452829332547</v>
      </c>
      <c r="AF404" s="38">
        <f t="shared" si="1581"/>
        <v>-6.8075180724469497E-2</v>
      </c>
      <c r="AG404" s="38">
        <f t="shared" si="1581"/>
        <v>-1.109069240158489</v>
      </c>
      <c r="AH404" s="38">
        <f t="shared" si="1581"/>
        <v>-2.3405864154893319</v>
      </c>
      <c r="AI404" s="38">
        <f t="shared" si="1581"/>
        <v>-10.363537761998987</v>
      </c>
      <c r="AJ404" s="38">
        <f t="shared" si="1581"/>
        <v>-10.015009373360851</v>
      </c>
      <c r="AK404" s="38">
        <f t="shared" si="1581"/>
        <v>-16.047603498971995</v>
      </c>
      <c r="AL404" s="38">
        <f t="shared" si="1581"/>
        <v>7.6251208779084312</v>
      </c>
      <c r="AM404" s="38">
        <f t="shared" si="1581"/>
        <v>-21.206800100083399</v>
      </c>
      <c r="AN404" s="38">
        <f t="shared" si="1581"/>
        <v>10.687886110606893</v>
      </c>
      <c r="AO404" s="38">
        <f t="shared" si="1581"/>
        <v>23.613356707074761</v>
      </c>
      <c r="AP404" s="38">
        <f t="shared" si="1581"/>
        <v>-11.244316634660489</v>
      </c>
      <c r="AQ404" s="38">
        <f t="shared" si="1581"/>
        <v>3.8330388520154912</v>
      </c>
      <c r="AR404" s="38">
        <f t="shared" si="1581"/>
        <v>3.4149776241596097</v>
      </c>
      <c r="AS404" s="38">
        <f t="shared" si="1581"/>
        <v>-33.316136355553908</v>
      </c>
      <c r="AT404" s="38">
        <f t="shared" si="1581"/>
        <v>-12.132744847279998</v>
      </c>
      <c r="AU404" s="38">
        <f t="shared" si="1581"/>
        <v>33.432189387913766</v>
      </c>
      <c r="AV404" s="38">
        <f t="shared" si="1581"/>
        <v>14.618778066975114</v>
      </c>
      <c r="AW404" s="38">
        <f t="shared" ref="AW404:BG404" si="1588">AW327</f>
        <v>-3.3857315598548987</v>
      </c>
      <c r="AX404" s="38">
        <f t="shared" si="1588"/>
        <v>2.5925263722510472</v>
      </c>
      <c r="AY404" s="38">
        <f t="shared" si="1588"/>
        <v>-17.90140217502395</v>
      </c>
      <c r="AZ404" s="38">
        <f t="shared" si="1588"/>
        <v>-7.9679912655094887</v>
      </c>
      <c r="BA404" s="38">
        <f t="shared" si="1588"/>
        <v>6.970843320442488</v>
      </c>
      <c r="BB404" s="38">
        <f t="shared" si="1588"/>
        <v>0.87327194785014051</v>
      </c>
      <c r="BC404" s="38">
        <f t="shared" si="1588"/>
        <v>27.944710442743581</v>
      </c>
      <c r="BD404" s="38">
        <f t="shared" si="1588"/>
        <v>-7.3036626954648405</v>
      </c>
      <c r="BE404" s="38">
        <f t="shared" si="1588"/>
        <v>13.174918003307123</v>
      </c>
      <c r="BF404" s="38">
        <f t="shared" si="1588"/>
        <v>-9.7109618693361313</v>
      </c>
      <c r="BG404" s="38">
        <f t="shared" si="1588"/>
        <v>38.778218495503445</v>
      </c>
      <c r="BH404" s="25">
        <f t="shared" ref="BH404:BP404" si="1589">BH327</f>
        <v>16.359211051973443</v>
      </c>
      <c r="BI404" s="25">
        <f t="shared" si="1589"/>
        <v>-3.7799297007103161</v>
      </c>
      <c r="BJ404" s="25">
        <f t="shared" si="1589"/>
        <v>-6.1442368057735619</v>
      </c>
      <c r="BK404" s="25">
        <f t="shared" si="1589"/>
        <v>22.834760861926817</v>
      </c>
      <c r="BL404" s="25">
        <f t="shared" si="1589"/>
        <v>14.557602399334924</v>
      </c>
      <c r="BM404" s="25">
        <f t="shared" si="1589"/>
        <v>2.4033205628761101</v>
      </c>
      <c r="BN404" s="25">
        <f t="shared" si="1589"/>
        <v>1.4126394100571149</v>
      </c>
      <c r="BO404" s="25">
        <f t="shared" si="1589"/>
        <v>10.686893705095169</v>
      </c>
      <c r="BP404" s="25">
        <f t="shared" ca="1" si="1589"/>
        <v>-4.5066037851657299</v>
      </c>
      <c r="BQ404" s="25">
        <f t="shared" ca="1" si="1584"/>
        <v>7.3952058839506618</v>
      </c>
      <c r="BR404" s="25">
        <f t="shared" ca="1" si="1584"/>
        <v>3.074788447465826</v>
      </c>
      <c r="BS404" s="25">
        <f t="shared" ca="1" si="1584"/>
        <v>1.0165972408484381</v>
      </c>
      <c r="BT404" s="25">
        <f t="shared" ca="1" si="1585"/>
        <v>0.39829479813935365</v>
      </c>
      <c r="BU404" s="25">
        <f t="shared" ca="1" si="1585"/>
        <v>1.8525396659168969</v>
      </c>
      <c r="BV404" s="25">
        <f t="shared" ca="1" si="1585"/>
        <v>1.6509285337137136</v>
      </c>
      <c r="BW404" s="25">
        <f t="shared" ref="BW404:BX404" ca="1" si="1590">BW327</f>
        <v>1.6714395628796286</v>
      </c>
      <c r="BX404" s="25">
        <f t="shared" ca="1" si="1590"/>
        <v>1.7094283059273518</v>
      </c>
      <c r="BY404" s="25">
        <f t="shared" ref="BY404:CD404" ca="1" si="1591">BY327</f>
        <v>1.7589374764692911</v>
      </c>
      <c r="BZ404" s="25">
        <f t="shared" ca="1" si="1591"/>
        <v>1.685793456482787</v>
      </c>
      <c r="CA404" s="25">
        <f t="shared" ca="1" si="1591"/>
        <v>1.8300535163812803</v>
      </c>
      <c r="CB404" s="25">
        <f t="shared" ca="1" si="1591"/>
        <v>1.8791811691923677</v>
      </c>
      <c r="CC404" s="25">
        <f t="shared" ca="1" si="1591"/>
        <v>1.9364148615989674</v>
      </c>
      <c r="CD404" s="25">
        <f t="shared" ca="1" si="1591"/>
        <v>2.0024883986924813</v>
      </c>
      <c r="CE404" s="101">
        <f t="shared" ca="1" si="1489"/>
        <v>2.2526488273492813</v>
      </c>
      <c r="CF404" s="444"/>
      <c r="CG404" s="235">
        <f t="shared" si="1543"/>
        <v>1.1775088236504203</v>
      </c>
      <c r="CH404" s="235">
        <f t="shared" si="1544"/>
        <v>0</v>
      </c>
      <c r="CI404" s="235" t="e">
        <f>BM404-#REF!</f>
        <v>#REF!</v>
      </c>
      <c r="CJ404" s="235">
        <f t="shared" si="1545"/>
        <v>0</v>
      </c>
      <c r="CK404" s="235">
        <f t="shared" si="1546"/>
        <v>0</v>
      </c>
      <c r="CL404" s="235">
        <f t="shared" ca="1" si="1547"/>
        <v>3.3750779948604759E-14</v>
      </c>
      <c r="CM404" s="235">
        <f t="shared" ca="1" si="1548"/>
        <v>2.2204460492503131E-14</v>
      </c>
      <c r="CN404" s="235">
        <f t="shared" ca="1" si="1549"/>
        <v>0</v>
      </c>
      <c r="CO404" s="235">
        <f t="shared" ca="1" si="1550"/>
        <v>0</v>
      </c>
      <c r="CP404" s="235">
        <f t="shared" ca="1" si="1551"/>
        <v>-2.2204460492503131E-14</v>
      </c>
      <c r="CQ404" s="235">
        <f t="shared" ca="1" si="1552"/>
        <v>0</v>
      </c>
      <c r="CR404" s="235">
        <f t="shared" ca="1" si="1553"/>
        <v>2.2204460492503131E-14</v>
      </c>
      <c r="CS404" s="235">
        <f t="shared" ca="1" si="1554"/>
        <v>4.4408920985006262E-14</v>
      </c>
      <c r="CT404" s="235">
        <f t="shared" ca="1" si="1555"/>
        <v>-2.2204460492503131E-14</v>
      </c>
      <c r="CU404" s="235">
        <f t="shared" ca="1" si="1556"/>
        <v>-2.2204460492503131E-14</v>
      </c>
      <c r="CV404" s="235">
        <f t="shared" ca="1" si="1557"/>
        <v>-2.2204460492503131E-14</v>
      </c>
      <c r="CW404" s="235">
        <f t="shared" ca="1" si="1558"/>
        <v>-1.3322676295501878E-13</v>
      </c>
      <c r="CX404" s="235">
        <f t="shared" ca="1" si="1559"/>
        <v>-1.8207657603852567E-12</v>
      </c>
      <c r="CY404" s="235">
        <f t="shared" ca="1" si="1560"/>
        <v>-1.6386891843467311E-11</v>
      </c>
      <c r="CZ404" s="235">
        <f t="shared" ca="1" si="1561"/>
        <v>-1.1906031716080179E-10</v>
      </c>
      <c r="DA404" s="38"/>
      <c r="DB404" s="236">
        <v>-17.1098320757194</v>
      </c>
      <c r="DC404" s="236">
        <v>-16.109832075719389</v>
      </c>
      <c r="DD404" s="236">
        <v>7.8051866222687893</v>
      </c>
      <c r="DE404" s="236">
        <v>4.8082635336609725</v>
      </c>
      <c r="DF404" s="259">
        <v>3.8837227313974543</v>
      </c>
      <c r="DG404" s="236">
        <v>21.657252038276397</v>
      </c>
      <c r="DH404" s="492">
        <v>14.557602399334924</v>
      </c>
      <c r="DI404" s="236">
        <v>1.4126394100571149</v>
      </c>
      <c r="DJ404" s="236">
        <v>10.686893705095169</v>
      </c>
      <c r="DK404" s="236">
        <v>-4.5066037851657637</v>
      </c>
      <c r="DL404" s="236">
        <v>7.3952058839506396</v>
      </c>
      <c r="DM404" s="236">
        <v>3.074788447465826</v>
      </c>
      <c r="DN404" s="236">
        <v>1.0165972408484381</v>
      </c>
      <c r="DO404" s="236">
        <v>0.39829479813937585</v>
      </c>
      <c r="DP404" s="236">
        <v>1.8525396659168969</v>
      </c>
      <c r="DQ404" s="401">
        <v>1.6509285337136914</v>
      </c>
      <c r="DR404" s="401">
        <v>1.6714395628795842</v>
      </c>
      <c r="DS404" s="401">
        <v>1.709428305927374</v>
      </c>
      <c r="DT404" s="401">
        <v>1.7589374764693133</v>
      </c>
      <c r="DU404" s="401">
        <v>1.6857934564828092</v>
      </c>
      <c r="DV404" s="401">
        <v>1.8300535163814136</v>
      </c>
      <c r="DW404" s="401">
        <v>1.8791811691941884</v>
      </c>
      <c r="DX404" s="401">
        <v>1.9364148616153543</v>
      </c>
      <c r="DY404" s="401">
        <v>2.0024883988115416</v>
      </c>
      <c r="DZ404" s="401">
        <v>1.7869639002140663</v>
      </c>
      <c r="EA404" s="989"/>
    </row>
    <row r="405" spans="1:131" s="76" customFormat="1">
      <c r="A405" s="101" t="str">
        <f>A370</f>
        <v>employment of enterprises*1000</v>
      </c>
      <c r="B405" s="255" t="s">
        <v>3109</v>
      </c>
      <c r="D405" s="227" t="s">
        <v>2462</v>
      </c>
      <c r="E405" s="227"/>
      <c r="F405" s="101"/>
      <c r="G405" s="101">
        <f t="shared" ref="G405:AV405" si="1592">(G370/F370-1)*100</f>
        <v>3.3195020746887849</v>
      </c>
      <c r="H405" s="101">
        <f t="shared" si="1592"/>
        <v>30.000976194818364</v>
      </c>
      <c r="I405" s="101">
        <f t="shared" si="1592"/>
        <v>4.3999969360091207</v>
      </c>
      <c r="J405" s="101">
        <f t="shared" si="1592"/>
        <v>5.5999897957271783</v>
      </c>
      <c r="K405" s="101">
        <f t="shared" si="1592"/>
        <v>5.8287856546011652</v>
      </c>
      <c r="L405" s="101">
        <f t="shared" si="1592"/>
        <v>6.0240918828778245</v>
      </c>
      <c r="M405" s="101">
        <f t="shared" si="1592"/>
        <v>1.0957868181484365</v>
      </c>
      <c r="N405" s="101">
        <f t="shared" si="1592"/>
        <v>0.76275006916786126</v>
      </c>
      <c r="O405" s="101">
        <f t="shared" si="1592"/>
        <v>0.63743791854076193</v>
      </c>
      <c r="P405" s="101">
        <f t="shared" si="1592"/>
        <v>0.65242284010560425</v>
      </c>
      <c r="Q405" s="101">
        <f t="shared" si="1592"/>
        <v>1.2649045491194721</v>
      </c>
      <c r="R405" s="101">
        <f t="shared" si="1592"/>
        <v>0.472293618164632</v>
      </c>
      <c r="S405" s="101">
        <f t="shared" si="1592"/>
        <v>0.62469266048510441</v>
      </c>
      <c r="T405" s="101">
        <f t="shared" si="1592"/>
        <v>1.2355237076623116</v>
      </c>
      <c r="U405" s="101">
        <f t="shared" si="1592"/>
        <v>0.38555740892096679</v>
      </c>
      <c r="V405" s="101">
        <f t="shared" si="1592"/>
        <v>2.1986302907586186</v>
      </c>
      <c r="W405" s="101">
        <f t="shared" si="1592"/>
        <v>-5.3946153613051218</v>
      </c>
      <c r="X405" s="101">
        <f t="shared" si="1592"/>
        <v>-1.0572358594520326</v>
      </c>
      <c r="Y405" s="101">
        <f t="shared" si="1592"/>
        <v>-2.8673545205692763</v>
      </c>
      <c r="Z405" s="101">
        <f t="shared" si="1592"/>
        <v>-1.3018659231471275</v>
      </c>
      <c r="AA405" s="101">
        <f t="shared" si="1592"/>
        <v>5.8532614942918171</v>
      </c>
      <c r="AB405" s="101">
        <f t="shared" si="1592"/>
        <v>-2.1806896012098176</v>
      </c>
      <c r="AC405" s="101">
        <f t="shared" si="1592"/>
        <v>1.4331125226292096</v>
      </c>
      <c r="AD405" s="101">
        <f t="shared" si="1592"/>
        <v>0.31396581291858183</v>
      </c>
      <c r="AE405" s="101">
        <f t="shared" si="1592"/>
        <v>-2.1909279886194732</v>
      </c>
      <c r="AF405" s="101">
        <f t="shared" si="1592"/>
        <v>1.0400086383354212</v>
      </c>
      <c r="AG405" s="101">
        <f t="shared" si="1592"/>
        <v>-0.31670028044886722</v>
      </c>
      <c r="AH405" s="101">
        <f t="shared" si="1592"/>
        <v>-0.11120658256457139</v>
      </c>
      <c r="AI405" s="101">
        <f t="shared" si="1592"/>
        <v>-2.1946524455447869</v>
      </c>
      <c r="AJ405" s="101">
        <f t="shared" si="1592"/>
        <v>-3.7886226432990444</v>
      </c>
      <c r="AK405" s="101">
        <f t="shared" si="1592"/>
        <v>-3.6352851075072912</v>
      </c>
      <c r="AL405" s="101">
        <f t="shared" si="1592"/>
        <v>-6.4346930766601584</v>
      </c>
      <c r="AM405" s="101">
        <f t="shared" si="1592"/>
        <v>-6.0472035456558544</v>
      </c>
      <c r="AN405" s="101">
        <f t="shared" si="1592"/>
        <v>-6.5802293806768386</v>
      </c>
      <c r="AO405" s="101">
        <f t="shared" si="1592"/>
        <v>-8.30957841710328</v>
      </c>
      <c r="AP405" s="101">
        <f t="shared" si="1592"/>
        <v>-4.6903540102967494</v>
      </c>
      <c r="AQ405" s="101">
        <f t="shared" si="1592"/>
        <v>1.6267608705132997</v>
      </c>
      <c r="AR405" s="101">
        <f t="shared" si="1592"/>
        <v>0.98274826195177134</v>
      </c>
      <c r="AS405" s="101">
        <f t="shared" si="1592"/>
        <v>-5.1379031915345541</v>
      </c>
      <c r="AT405" s="101">
        <f t="shared" si="1592"/>
        <v>-8.632739001881518</v>
      </c>
      <c r="AU405" s="101">
        <f t="shared" si="1592"/>
        <v>-6.7614611424368647</v>
      </c>
      <c r="AV405" s="101">
        <f t="shared" si="1592"/>
        <v>3.6211798909225656</v>
      </c>
      <c r="AW405" s="101">
        <f t="shared" ref="AW405:BG405" si="1593">(AW370/AV370-1)*100</f>
        <v>-1.093539274148958</v>
      </c>
      <c r="AX405" s="101">
        <f t="shared" si="1593"/>
        <v>-9.1709860745958771E-2</v>
      </c>
      <c r="AY405" s="101">
        <f t="shared" si="1593"/>
        <v>-3.6580144933383907</v>
      </c>
      <c r="AZ405" s="101">
        <f t="shared" si="1593"/>
        <v>1.313576676926087</v>
      </c>
      <c r="BA405" s="101">
        <f t="shared" si="1593"/>
        <v>-2.5730121389486604</v>
      </c>
      <c r="BB405" s="101">
        <f t="shared" si="1593"/>
        <v>-0.78180238783055467</v>
      </c>
      <c r="BC405" s="101">
        <f t="shared" si="1593"/>
        <v>5.5340636071181448</v>
      </c>
      <c r="BD405" s="101">
        <f t="shared" si="1593"/>
        <v>6.9050007717240236</v>
      </c>
      <c r="BE405" s="101">
        <f t="shared" si="1593"/>
        <v>43.747631336738223</v>
      </c>
      <c r="BF405" s="101">
        <f t="shared" si="1593"/>
        <v>1.0922512931250683</v>
      </c>
      <c r="BG405" s="101">
        <f t="shared" si="1593"/>
        <v>5.4879411837758685</v>
      </c>
      <c r="BH405" s="99">
        <f t="shared" ref="BH405:BQ405" si="1594">(BH370/BG370-1)*100</f>
        <v>4.2394132397781892</v>
      </c>
      <c r="BI405" s="99">
        <f t="shared" si="1594"/>
        <v>-0.14569356915362652</v>
      </c>
      <c r="BJ405" s="99">
        <f t="shared" si="1594"/>
        <v>3.2246389105674567</v>
      </c>
      <c r="BK405" s="99">
        <f t="shared" si="1594"/>
        <v>3.0019328906624176</v>
      </c>
      <c r="BL405" s="99">
        <f t="shared" si="1594"/>
        <v>2.9348027255037934</v>
      </c>
      <c r="BM405" s="99">
        <f t="shared" si="1594"/>
        <v>1.7159384567703162</v>
      </c>
      <c r="BN405" s="99">
        <f t="shared" si="1594"/>
        <v>1.2137124462702653</v>
      </c>
      <c r="BO405" s="99">
        <f t="shared" ca="1" si="1594"/>
        <v>-3.7207751772852737</v>
      </c>
      <c r="BP405" s="99">
        <f t="shared" ca="1" si="1594"/>
        <v>-6.6433910812947801</v>
      </c>
      <c r="BQ405" s="99">
        <f t="shared" ca="1" si="1594"/>
        <v>2.0431270806885227</v>
      </c>
      <c r="BR405" s="99">
        <f t="shared" ref="BR405:BX405" ca="1" si="1595">(BR370/BQ370-1)*100</f>
        <v>6.3832719370787494</v>
      </c>
      <c r="BS405" s="99">
        <f t="shared" ca="1" si="1595"/>
        <v>0.90965615884919249</v>
      </c>
      <c r="BT405" s="99">
        <f t="shared" ca="1" si="1595"/>
        <v>-1.2398908898008987</v>
      </c>
      <c r="BU405" s="99">
        <f t="shared" ca="1" si="1595"/>
        <v>-0.77861165644351749</v>
      </c>
      <c r="BV405" s="99">
        <f t="shared" ca="1" si="1595"/>
        <v>-0.21332455066681577</v>
      </c>
      <c r="BW405" s="99">
        <f t="shared" ca="1" si="1595"/>
        <v>-0.17991226600874155</v>
      </c>
      <c r="BX405" s="99">
        <f t="shared" ca="1" si="1595"/>
        <v>-0.18468113269273223</v>
      </c>
      <c r="BY405" s="99">
        <f t="shared" ref="BY405" ca="1" si="1596">(BY370/BX370-1)*100</f>
        <v>-0.1665685783813764</v>
      </c>
      <c r="BZ405" s="99">
        <f t="shared" ref="BZ405" ca="1" si="1597">(BZ370/BY370-1)*100</f>
        <v>-5.1261801388757799E-2</v>
      </c>
      <c r="CA405" s="99">
        <f t="shared" ref="CA405" ca="1" si="1598">(CA370/BZ370-1)*100</f>
        <v>0.12226557240928582</v>
      </c>
      <c r="CB405" s="99">
        <f t="shared" ref="CB405" ca="1" si="1599">(CB370/CA370-1)*100</f>
        <v>0.20798655505667174</v>
      </c>
      <c r="CC405" s="99">
        <f t="shared" ref="CC405" ca="1" si="1600">(CC370/CB370-1)*100</f>
        <v>0.25103753800337358</v>
      </c>
      <c r="CD405" s="99">
        <f t="shared" ref="CD405" ca="1" si="1601">(CD370/CC370-1)*100</f>
        <v>0.30920322814693701</v>
      </c>
      <c r="CE405" s="101">
        <f t="shared" ca="1" si="1489"/>
        <v>-0.18449181648313509</v>
      </c>
      <c r="CF405" s="444"/>
      <c r="CG405" s="235">
        <f t="shared" si="1543"/>
        <v>-2.2926175793968051</v>
      </c>
      <c r="CH405" s="235">
        <f t="shared" si="1544"/>
        <v>0</v>
      </c>
      <c r="CI405" s="235" t="e">
        <f>BM405-#REF!</f>
        <v>#REF!</v>
      </c>
      <c r="CJ405" s="276">
        <f t="shared" si="1545"/>
        <v>0</v>
      </c>
      <c r="CK405" s="276">
        <f t="shared" ca="1" si="1546"/>
        <v>0</v>
      </c>
      <c r="CL405" s="235">
        <f t="shared" ca="1" si="1547"/>
        <v>2.3092638912203256E-14</v>
      </c>
      <c r="CM405" s="235">
        <f t="shared" ca="1" si="1548"/>
        <v>-2.2204460492503131E-14</v>
      </c>
      <c r="CN405" s="235">
        <f t="shared" ca="1" si="1549"/>
        <v>-2.2204460492503131E-14</v>
      </c>
      <c r="CO405" s="235">
        <f t="shared" ca="1" si="1550"/>
        <v>-4.4408920985006262E-14</v>
      </c>
      <c r="CP405" s="235">
        <f t="shared" ca="1" si="1551"/>
        <v>-2.2204460492503131E-14</v>
      </c>
      <c r="CQ405" s="235">
        <f t="shared" ca="1" si="1552"/>
        <v>5.5511151231257827E-14</v>
      </c>
      <c r="CR405" s="235">
        <f t="shared" ca="1" si="1553"/>
        <v>8.8817841970012523E-14</v>
      </c>
      <c r="CS405" s="235">
        <f t="shared" ca="1" si="1554"/>
        <v>8.8817841970012523E-14</v>
      </c>
      <c r="CT405" s="235">
        <f t="shared" ca="1" si="1555"/>
        <v>8.8817841970012523E-14</v>
      </c>
      <c r="CU405" s="235">
        <f t="shared" ca="1" si="1556"/>
        <v>1.5543122344752192E-13</v>
      </c>
      <c r="CV405" s="235">
        <f t="shared" ca="1" si="1557"/>
        <v>8.8817841970012523E-14</v>
      </c>
      <c r="CW405" s="235">
        <f t="shared" ca="1" si="1558"/>
        <v>8.8817841970012523E-14</v>
      </c>
      <c r="CX405" s="235">
        <f t="shared" ca="1" si="1559"/>
        <v>-8.8817841970012523E-14</v>
      </c>
      <c r="CY405" s="235">
        <f t="shared" ca="1" si="1560"/>
        <v>-1.7097434579227411E-12</v>
      </c>
      <c r="CZ405" s="235">
        <f t="shared" ca="1" si="1561"/>
        <v>-1.4099832412739488E-11</v>
      </c>
      <c r="DA405" s="38"/>
      <c r="DB405" s="236">
        <v>2.45032303125548</v>
      </c>
      <c r="DC405" s="236">
        <v>3.4503230312554756</v>
      </c>
      <c r="DD405" s="236">
        <v>-4.219694156568643E-2</v>
      </c>
      <c r="DE405" s="236">
        <v>0.59269515881190671</v>
      </c>
      <c r="DF405" s="259">
        <v>3.6814491428415641</v>
      </c>
      <c r="DG405" s="236">
        <v>5.2945504700592227</v>
      </c>
      <c r="DH405" s="492">
        <v>2.9348027255037934</v>
      </c>
      <c r="DI405" s="236">
        <v>1.2137124462702653</v>
      </c>
      <c r="DJ405" s="236">
        <v>-3.7207751772852737</v>
      </c>
      <c r="DK405" s="236">
        <v>-6.6433910812948032</v>
      </c>
      <c r="DL405" s="236">
        <v>2.0431270806885449</v>
      </c>
      <c r="DM405" s="236">
        <v>6.3832719370787716</v>
      </c>
      <c r="DN405" s="236">
        <v>0.9096561588492369</v>
      </c>
      <c r="DO405" s="236">
        <v>-1.2398908898008765</v>
      </c>
      <c r="DP405" s="236">
        <v>-0.778611656443573</v>
      </c>
      <c r="DQ405" s="401">
        <v>-0.21332455066690459</v>
      </c>
      <c r="DR405" s="401">
        <v>-0.17991226600883037</v>
      </c>
      <c r="DS405" s="401">
        <v>-0.18468113269282105</v>
      </c>
      <c r="DT405" s="401">
        <v>-0.16656857838153183</v>
      </c>
      <c r="DU405" s="401">
        <v>-5.1261801388846617E-2</v>
      </c>
      <c r="DV405" s="401">
        <v>0.122265572409197</v>
      </c>
      <c r="DW405" s="401">
        <v>0.20798655505676056</v>
      </c>
      <c r="DX405" s="401">
        <v>0.25103753800508333</v>
      </c>
      <c r="DY405" s="401">
        <v>0.30920322816103685</v>
      </c>
      <c r="DZ405" s="401">
        <v>0.17324803119580018</v>
      </c>
      <c r="EA405" s="989"/>
    </row>
    <row r="406" spans="1:131">
      <c r="A406" s="124" t="s">
        <v>3181</v>
      </c>
      <c r="B406" s="124" t="s">
        <v>3181</v>
      </c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01"/>
      <c r="CF406" s="444"/>
      <c r="CG406" s="235">
        <f t="shared" si="1543"/>
        <v>0</v>
      </c>
      <c r="CH406" s="235">
        <f t="shared" si="1544"/>
        <v>0</v>
      </c>
      <c r="CI406" s="235" t="e">
        <f>BM406-#REF!</f>
        <v>#REF!</v>
      </c>
      <c r="CJ406" s="235">
        <f t="shared" si="1545"/>
        <v>0</v>
      </c>
      <c r="CK406" s="235">
        <f t="shared" si="1546"/>
        <v>0</v>
      </c>
      <c r="CL406" s="235">
        <f t="shared" si="1547"/>
        <v>0</v>
      </c>
      <c r="CM406" s="235">
        <f t="shared" si="1548"/>
        <v>0</v>
      </c>
      <c r="CN406" s="235">
        <f t="shared" si="1549"/>
        <v>0</v>
      </c>
      <c r="CO406" s="235">
        <f t="shared" si="1550"/>
        <v>0</v>
      </c>
      <c r="CP406" s="235">
        <f t="shared" si="1551"/>
        <v>0</v>
      </c>
      <c r="CQ406" s="235">
        <f t="shared" si="1552"/>
        <v>0</v>
      </c>
      <c r="CR406" s="235">
        <f t="shared" si="1553"/>
        <v>0</v>
      </c>
      <c r="CS406" s="235">
        <f t="shared" si="1554"/>
        <v>0</v>
      </c>
      <c r="CT406" s="235">
        <f t="shared" si="1555"/>
        <v>0</v>
      </c>
      <c r="CU406" s="235">
        <f t="shared" si="1556"/>
        <v>0</v>
      </c>
      <c r="CV406" s="235">
        <f t="shared" si="1557"/>
        <v>0</v>
      </c>
      <c r="CW406" s="235">
        <f t="shared" si="1558"/>
        <v>0</v>
      </c>
      <c r="CX406" s="235">
        <f t="shared" si="1559"/>
        <v>0</v>
      </c>
      <c r="CY406" s="235">
        <f t="shared" si="1560"/>
        <v>0</v>
      </c>
      <c r="CZ406" s="235">
        <f t="shared" si="1561"/>
        <v>0</v>
      </c>
    </row>
    <row r="407" spans="1:131" s="383" customFormat="1">
      <c r="A407" s="307" t="s">
        <v>4224</v>
      </c>
      <c r="B407" s="382" t="s">
        <v>3397</v>
      </c>
      <c r="D407" s="384" t="s">
        <v>817</v>
      </c>
      <c r="E407" s="384"/>
      <c r="F407" s="383">
        <f t="shared" ref="F407:AK407" si="1602">F422/F419*100</f>
        <v>-4.5241676062622407</v>
      </c>
      <c r="G407" s="383">
        <f t="shared" si="1602"/>
        <v>-3.0623506135613798</v>
      </c>
      <c r="H407" s="383">
        <f t="shared" si="1602"/>
        <v>-2.229279355924537</v>
      </c>
      <c r="I407" s="383">
        <f t="shared" si="1602"/>
        <v>-0.69066622276431766</v>
      </c>
      <c r="J407" s="383">
        <f t="shared" si="1602"/>
        <v>7.4575279872471326E-2</v>
      </c>
      <c r="K407" s="383">
        <f t="shared" si="1602"/>
        <v>0.59110034798237332</v>
      </c>
      <c r="L407" s="383">
        <f t="shared" si="1602"/>
        <v>1.326861217766597</v>
      </c>
      <c r="M407" s="383">
        <f t="shared" si="1602"/>
        <v>3.7194653562883602</v>
      </c>
      <c r="N407" s="383">
        <f t="shared" si="1602"/>
        <v>3.3478450811702261</v>
      </c>
      <c r="O407" s="383">
        <f t="shared" si="1602"/>
        <v>2.4083116987086362</v>
      </c>
      <c r="P407" s="383">
        <f t="shared" si="1602"/>
        <v>1.8345467979071939</v>
      </c>
      <c r="Q407" s="383">
        <f t="shared" si="1602"/>
        <v>1.7517038380431222</v>
      </c>
      <c r="R407" s="383">
        <f t="shared" si="1602"/>
        <v>1.3493426380346614</v>
      </c>
      <c r="S407" s="383">
        <f t="shared" si="1602"/>
        <v>0.32168575577876551</v>
      </c>
      <c r="T407" s="383">
        <f t="shared" si="1602"/>
        <v>0.85762025910917505</v>
      </c>
      <c r="U407" s="383">
        <f t="shared" si="1602"/>
        <v>2.5715685333553515</v>
      </c>
      <c r="V407" s="383">
        <f t="shared" si="1602"/>
        <v>4.1018160347156449</v>
      </c>
      <c r="W407" s="307">
        <f t="shared" si="1602"/>
        <v>2.797649522266314</v>
      </c>
      <c r="X407" s="307">
        <f t="shared" si="1602"/>
        <v>5.7557766419396961</v>
      </c>
      <c r="Y407" s="307">
        <f t="shared" si="1602"/>
        <v>7.0778392080929011</v>
      </c>
      <c r="Z407" s="307">
        <f t="shared" si="1602"/>
        <v>6.9658807123214164</v>
      </c>
      <c r="AA407" s="307">
        <f t="shared" si="1602"/>
        <v>11.449790990511062</v>
      </c>
      <c r="AB407" s="307">
        <f t="shared" si="1602"/>
        <v>12.68942192446093</v>
      </c>
      <c r="AC407" s="307">
        <f t="shared" si="1602"/>
        <v>11.306295480860708</v>
      </c>
      <c r="AD407" s="307">
        <f t="shared" si="1602"/>
        <v>9.7371051523858974</v>
      </c>
      <c r="AE407" s="307">
        <f t="shared" si="1602"/>
        <v>9.3213325155610764</v>
      </c>
      <c r="AF407" s="307">
        <f t="shared" si="1602"/>
        <v>8.5063194278492915</v>
      </c>
      <c r="AG407" s="307">
        <f t="shared" si="1602"/>
        <v>10.639397544502947</v>
      </c>
      <c r="AH407" s="307">
        <f t="shared" si="1602"/>
        <v>14.740304970198878</v>
      </c>
      <c r="AI407" s="307">
        <f t="shared" si="1602"/>
        <v>16.977866313248242</v>
      </c>
      <c r="AJ407" s="307">
        <f t="shared" si="1602"/>
        <v>16.115253260456385</v>
      </c>
      <c r="AK407" s="307">
        <f t="shared" si="1602"/>
        <v>15.83099542118474</v>
      </c>
      <c r="AL407" s="307">
        <f t="shared" ref="AL407:BI407" si="1603">AL422/AL419*100</f>
        <v>18.60819556785933</v>
      </c>
      <c r="AM407" s="307">
        <f t="shared" si="1603"/>
        <v>19.586657236897885</v>
      </c>
      <c r="AN407" s="307">
        <f t="shared" si="1603"/>
        <v>16.203100377423933</v>
      </c>
      <c r="AO407" s="307">
        <f t="shared" si="1603"/>
        <v>15.395923536174344</v>
      </c>
      <c r="AP407" s="307">
        <f t="shared" si="1603"/>
        <v>10.423793789556935</v>
      </c>
      <c r="AQ407" s="307">
        <f t="shared" si="1603"/>
        <v>12.184510932875714</v>
      </c>
      <c r="AR407" s="307">
        <f t="shared" si="1603"/>
        <v>13.122629801199921</v>
      </c>
      <c r="AS407" s="307">
        <f t="shared" si="1603"/>
        <v>9.6072838625384591</v>
      </c>
      <c r="AT407" s="307">
        <f t="shared" si="1603"/>
        <v>218.57194555903868</v>
      </c>
      <c r="AU407" s="307">
        <f t="shared" si="1603"/>
        <v>5.2556953018404764</v>
      </c>
      <c r="AV407" s="307">
        <f t="shared" si="1603"/>
        <v>14.164672479670212</v>
      </c>
      <c r="AW407" s="307">
        <f t="shared" si="1603"/>
        <v>9.7274554274355154</v>
      </c>
      <c r="AX407" s="307">
        <f t="shared" si="1603"/>
        <v>14.832304912530189</v>
      </c>
      <c r="AY407" s="307">
        <f t="shared" si="1603"/>
        <v>8.1395733570480999</v>
      </c>
      <c r="AZ407" s="307">
        <f t="shared" si="1603"/>
        <v>6.7163030606109704</v>
      </c>
      <c r="BA407" s="307">
        <f t="shared" si="1603"/>
        <v>-0.27742094296155834</v>
      </c>
      <c r="BB407" s="307">
        <f t="shared" si="1603"/>
        <v>4.4512485572626135</v>
      </c>
      <c r="BC407" s="307">
        <f t="shared" si="1603"/>
        <v>-0.66207194329005992</v>
      </c>
      <c r="BD407" s="307">
        <f t="shared" si="1603"/>
        <v>0.75940351343866752</v>
      </c>
      <c r="BE407" s="307">
        <f t="shared" ca="1" si="1603"/>
        <v>0.52022949039318045</v>
      </c>
      <c r="BF407" s="307">
        <f t="shared" ca="1" si="1603"/>
        <v>-1.1474582448604465</v>
      </c>
      <c r="BG407" s="307">
        <f t="shared" ca="1" si="1603"/>
        <v>-5.4380819153987163</v>
      </c>
      <c r="BH407" s="307">
        <f t="shared" ca="1" si="1603"/>
        <v>-1.5859058712802976</v>
      </c>
      <c r="BI407" s="307">
        <f t="shared" ca="1" si="1603"/>
        <v>2.2676892064022369</v>
      </c>
      <c r="BJ407" s="307">
        <f ca="1">BJ422/BJ419*100</f>
        <v>2.5020859092168659</v>
      </c>
      <c r="BK407" s="307">
        <f t="shared" ref="BK407:BP407" ca="1" si="1604">BK422/BK419*100</f>
        <v>1.7644964373648393</v>
      </c>
      <c r="BL407" s="307">
        <f t="shared" ca="1" si="1604"/>
        <v>2.5546546577188378</v>
      </c>
      <c r="BM407" s="307">
        <f t="shared" ca="1" si="1604"/>
        <v>5.9711722859288336</v>
      </c>
      <c r="BN407" s="307">
        <f t="shared" si="1604"/>
        <v>5.5896948529606352</v>
      </c>
      <c r="BO407" s="307">
        <f t="shared" ca="1" si="1604"/>
        <v>7.8640700652151283</v>
      </c>
      <c r="BP407" s="307">
        <f t="shared" ca="1" si="1604"/>
        <v>8.450257219074178</v>
      </c>
      <c r="BQ407" s="307">
        <f t="shared" ref="BQ407:BV407" ca="1" si="1605">BQ422/BQ419*100</f>
        <v>7.3726272711479508</v>
      </c>
      <c r="BR407" s="307">
        <f t="shared" ca="1" si="1605"/>
        <v>7.3986972259791912</v>
      </c>
      <c r="BS407" s="307">
        <f t="shared" ca="1" si="1605"/>
        <v>8.2574708260523053</v>
      </c>
      <c r="BT407" s="307">
        <f t="shared" ca="1" si="1605"/>
        <v>9.4515102997227078</v>
      </c>
      <c r="BU407" s="307">
        <f t="shared" ca="1" si="1605"/>
        <v>10.525074639218101</v>
      </c>
      <c r="BV407" s="307">
        <f t="shared" ca="1" si="1605"/>
        <v>11.677898010976801</v>
      </c>
      <c r="BW407" s="307">
        <f t="shared" ref="BW407:BX407" ca="1" si="1606">BW422/BW419*100</f>
        <v>12.892094272556678</v>
      </c>
      <c r="BX407" s="307">
        <f t="shared" ca="1" si="1606"/>
        <v>14.215894558094751</v>
      </c>
      <c r="BY407" s="307">
        <f t="shared" ref="BY407:CD407" ca="1" si="1607">BY422/BY419*100</f>
        <v>15.653549929277291</v>
      </c>
      <c r="BZ407" s="307">
        <f t="shared" ca="1" si="1607"/>
        <v>16.988245139311875</v>
      </c>
      <c r="CA407" s="307">
        <f t="shared" ca="1" si="1607"/>
        <v>18.380025914190654</v>
      </c>
      <c r="CB407" s="307">
        <f t="shared" ca="1" si="1607"/>
        <v>19.822378885038592</v>
      </c>
      <c r="CC407" s="307">
        <f t="shared" ca="1" si="1607"/>
        <v>21.35595962514795</v>
      </c>
      <c r="CD407" s="307">
        <f t="shared" ca="1" si="1607"/>
        <v>22.982839956077157</v>
      </c>
      <c r="CE407" s="101">
        <f t="shared" ca="1" si="1489"/>
        <v>13.330537114817584</v>
      </c>
      <c r="CF407" s="444"/>
      <c r="CG407" s="235">
        <f t="shared" ca="1" si="1543"/>
        <v>-0.46749278975726938</v>
      </c>
      <c r="CH407" s="235">
        <f t="shared" ca="1" si="1544"/>
        <v>3.5877830410774525E-2</v>
      </c>
      <c r="CI407" s="235" t="e">
        <f ca="1">BM407-#REF!</f>
        <v>#REF!</v>
      </c>
      <c r="CJ407" s="276">
        <f t="shared" si="1545"/>
        <v>0</v>
      </c>
      <c r="CK407" s="276">
        <f t="shared" ca="1" si="1546"/>
        <v>0</v>
      </c>
      <c r="CL407" s="276">
        <f t="shared" ca="1" si="1547"/>
        <v>0</v>
      </c>
      <c r="CM407" s="276">
        <f t="shared" ca="1" si="1548"/>
        <v>0</v>
      </c>
      <c r="CN407" s="276">
        <f t="shared" ca="1" si="1549"/>
        <v>0</v>
      </c>
      <c r="CO407" s="235">
        <f t="shared" ca="1" si="1550"/>
        <v>0</v>
      </c>
      <c r="CP407" s="235">
        <f t="shared" ca="1" si="1551"/>
        <v>0</v>
      </c>
      <c r="CQ407" s="235">
        <f t="shared" ca="1" si="1552"/>
        <v>0</v>
      </c>
      <c r="CR407" s="235">
        <f t="shared" ca="1" si="1553"/>
        <v>0</v>
      </c>
      <c r="CS407" s="235">
        <f t="shared" ca="1" si="1554"/>
        <v>0</v>
      </c>
      <c r="CT407" s="235">
        <f t="shared" ca="1" si="1555"/>
        <v>0</v>
      </c>
      <c r="CU407" s="235">
        <f t="shared" ca="1" si="1556"/>
        <v>0</v>
      </c>
      <c r="CV407" s="235">
        <f t="shared" ca="1" si="1557"/>
        <v>0</v>
      </c>
      <c r="CW407" s="235">
        <f t="shared" ca="1" si="1558"/>
        <v>0</v>
      </c>
      <c r="CX407" s="235">
        <f t="shared" ca="1" si="1559"/>
        <v>4.5830006456526462E-13</v>
      </c>
      <c r="CY407" s="235">
        <f t="shared" ca="1" si="1560"/>
        <v>4.6647130602650577E-12</v>
      </c>
      <c r="CZ407" s="235">
        <f t="shared" ca="1" si="1561"/>
        <v>3.8305358884827001E-11</v>
      </c>
      <c r="DA407" s="38"/>
      <c r="DB407" s="487">
        <v>-0.56075356864514403</v>
      </c>
      <c r="DC407" s="487">
        <v>0.43924643135485641</v>
      </c>
      <c r="DD407" s="487">
        <v>-1.3787295155838102</v>
      </c>
      <c r="DE407" s="487">
        <v>-6.63355215028899</v>
      </c>
      <c r="DF407" s="487">
        <v>-0.22414607474599774</v>
      </c>
      <c r="DG407" s="487">
        <v>2.2319892271221087</v>
      </c>
      <c r="DH407" s="463">
        <v>2.5187768273080633</v>
      </c>
      <c r="DI407" s="487">
        <v>5.5896948529606352</v>
      </c>
      <c r="DJ407" s="487">
        <v>7.8640700652151283</v>
      </c>
      <c r="DK407" s="487">
        <v>8.4502572190741816</v>
      </c>
      <c r="DL407" s="487">
        <v>7.3726272711479481</v>
      </c>
      <c r="DM407" s="487">
        <v>7.3986972259791939</v>
      </c>
      <c r="DN407" s="487">
        <v>8.2574708260523035</v>
      </c>
      <c r="DO407" s="487">
        <v>9.4515102997227078</v>
      </c>
      <c r="DP407" s="487">
        <v>10.525074639218101</v>
      </c>
      <c r="DQ407" s="1088">
        <v>11.67789801097681</v>
      </c>
      <c r="DR407" s="1088">
        <v>12.892094272556676</v>
      </c>
      <c r="DS407" s="1088">
        <v>14.215894558094751</v>
      </c>
      <c r="DT407" s="1088">
        <v>15.653549929277291</v>
      </c>
      <c r="DU407" s="1088">
        <v>16.988245139311871</v>
      </c>
      <c r="DV407" s="1088">
        <v>18.380025914190632</v>
      </c>
      <c r="DW407" s="1088">
        <v>19.822378885038134</v>
      </c>
      <c r="DX407" s="1088">
        <v>21.355959625143285</v>
      </c>
      <c r="DY407" s="1088">
        <v>22.982839956038852</v>
      </c>
      <c r="DZ407" s="1088">
        <v>10.686488495646694</v>
      </c>
      <c r="EA407" s="995"/>
    </row>
    <row r="408" spans="1:131" s="76" customFormat="1">
      <c r="A408" s="38" t="s">
        <v>4225</v>
      </c>
      <c r="B408" s="16" t="s">
        <v>3814</v>
      </c>
      <c r="D408" s="227" t="s">
        <v>817</v>
      </c>
      <c r="E408" s="227"/>
      <c r="F408" s="38">
        <f t="shared" ref="F408:AK408" si="1608">100*(F276+F277)/F419</f>
        <v>0</v>
      </c>
      <c r="G408" s="38">
        <f t="shared" si="1608"/>
        <v>0</v>
      </c>
      <c r="H408" s="38">
        <f t="shared" si="1608"/>
        <v>0</v>
      </c>
      <c r="I408" s="38">
        <f t="shared" si="1608"/>
        <v>0</v>
      </c>
      <c r="J408" s="38">
        <f t="shared" si="1608"/>
        <v>0</v>
      </c>
      <c r="K408" s="38">
        <f t="shared" si="1608"/>
        <v>0</v>
      </c>
      <c r="L408" s="38">
        <f t="shared" si="1608"/>
        <v>0</v>
      </c>
      <c r="M408" s="38">
        <f t="shared" si="1608"/>
        <v>0</v>
      </c>
      <c r="N408" s="38">
        <f t="shared" si="1608"/>
        <v>0</v>
      </c>
      <c r="O408" s="38">
        <f t="shared" si="1608"/>
        <v>0</v>
      </c>
      <c r="P408" s="38">
        <f t="shared" si="1608"/>
        <v>0</v>
      </c>
      <c r="Q408" s="38">
        <f t="shared" si="1608"/>
        <v>0</v>
      </c>
      <c r="R408" s="38">
        <f t="shared" si="1608"/>
        <v>0</v>
      </c>
      <c r="S408" s="38">
        <f t="shared" si="1608"/>
        <v>0</v>
      </c>
      <c r="T408" s="38">
        <f t="shared" si="1608"/>
        <v>0</v>
      </c>
      <c r="U408" s="38">
        <f t="shared" si="1608"/>
        <v>0</v>
      </c>
      <c r="V408" s="38">
        <f t="shared" si="1608"/>
        <v>0</v>
      </c>
      <c r="W408" s="38">
        <f t="shared" si="1608"/>
        <v>0</v>
      </c>
      <c r="X408" s="38">
        <f t="shared" si="1608"/>
        <v>0</v>
      </c>
      <c r="Y408" s="38">
        <f t="shared" si="1608"/>
        <v>0</v>
      </c>
      <c r="Z408" s="38">
        <f t="shared" si="1608"/>
        <v>0</v>
      </c>
      <c r="AA408" s="38">
        <f t="shared" si="1608"/>
        <v>0</v>
      </c>
      <c r="AB408" s="38">
        <f t="shared" si="1608"/>
        <v>0</v>
      </c>
      <c r="AC408" s="38">
        <f t="shared" si="1608"/>
        <v>0</v>
      </c>
      <c r="AD408" s="38">
        <f t="shared" si="1608"/>
        <v>0</v>
      </c>
      <c r="AE408" s="38">
        <f t="shared" si="1608"/>
        <v>0</v>
      </c>
      <c r="AF408" s="38">
        <f t="shared" si="1608"/>
        <v>0</v>
      </c>
      <c r="AG408" s="38">
        <f t="shared" si="1608"/>
        <v>0</v>
      </c>
      <c r="AH408" s="38">
        <f t="shared" si="1608"/>
        <v>0</v>
      </c>
      <c r="AI408" s="38">
        <f t="shared" si="1608"/>
        <v>0</v>
      </c>
      <c r="AJ408" s="38">
        <f t="shared" si="1608"/>
        <v>0</v>
      </c>
      <c r="AK408" s="38">
        <f t="shared" si="1608"/>
        <v>0</v>
      </c>
      <c r="AL408" s="38">
        <f t="shared" ref="AL408:BI408" si="1609">100*(AL276+AL277)/AL419</f>
        <v>0</v>
      </c>
      <c r="AM408" s="38">
        <f t="shared" si="1609"/>
        <v>0</v>
      </c>
      <c r="AN408" s="38">
        <f t="shared" si="1609"/>
        <v>0</v>
      </c>
      <c r="AO408" s="38">
        <f t="shared" si="1609"/>
        <v>137.7137818338459</v>
      </c>
      <c r="AP408" s="38">
        <f t="shared" si="1609"/>
        <v>120.45068666724853</v>
      </c>
      <c r="AQ408" s="38">
        <f t="shared" si="1609"/>
        <v>121.76621085178856</v>
      </c>
      <c r="AR408" s="38">
        <f t="shared" si="1609"/>
        <v>103.64912810960166</v>
      </c>
      <c r="AS408" s="38">
        <f t="shared" si="1609"/>
        <v>64.759930080413284</v>
      </c>
      <c r="AT408" s="38">
        <f t="shared" si="1609"/>
        <v>16.381641912151711</v>
      </c>
      <c r="AU408" s="38">
        <f t="shared" si="1609"/>
        <v>28.382772965785897</v>
      </c>
      <c r="AV408" s="38">
        <f t="shared" si="1609"/>
        <v>19.298033518219341</v>
      </c>
      <c r="AW408" s="38">
        <f t="shared" si="1609"/>
        <v>19.656077887678197</v>
      </c>
      <c r="AX408" s="38">
        <f t="shared" si="1609"/>
        <v>22.2839672903653</v>
      </c>
      <c r="AY408" s="38">
        <f t="shared" si="1609"/>
        <v>29.570769887807732</v>
      </c>
      <c r="AZ408" s="38">
        <f t="shared" si="1609"/>
        <v>51.251288203189411</v>
      </c>
      <c r="BA408" s="38">
        <f t="shared" si="1609"/>
        <v>53.168516834292873</v>
      </c>
      <c r="BB408" s="38">
        <f t="shared" si="1609"/>
        <v>53.770680817788346</v>
      </c>
      <c r="BC408" s="38">
        <f t="shared" si="1609"/>
        <v>44.947292942006264</v>
      </c>
      <c r="BD408" s="38">
        <f t="shared" si="1609"/>
        <v>47.333915733223527</v>
      </c>
      <c r="BE408" s="38">
        <f t="shared" ca="1" si="1609"/>
        <v>35.168967913646895</v>
      </c>
      <c r="BF408" s="38">
        <f t="shared" ca="1" si="1609"/>
        <v>28.099945801252424</v>
      </c>
      <c r="BG408" s="38">
        <f t="shared" ca="1" si="1609"/>
        <v>21.84642506150503</v>
      </c>
      <c r="BH408" s="38">
        <f t="shared" ca="1" si="1609"/>
        <v>27.180459506859012</v>
      </c>
      <c r="BI408" s="38">
        <f t="shared" ca="1" si="1609"/>
        <v>30.42344284815622</v>
      </c>
      <c r="BJ408" s="38">
        <f ca="1">100*(BJ276+BJ277)/BJ419</f>
        <v>28.421177385169457</v>
      </c>
      <c r="BK408" s="38">
        <f t="shared" ref="BK408:BP408" ca="1" si="1610">100*(BK276+BK277)/BK419</f>
        <v>23.615204744081968</v>
      </c>
      <c r="BL408" s="38">
        <f t="shared" ca="1" si="1610"/>
        <v>25.746740588559391</v>
      </c>
      <c r="BM408" s="38">
        <f t="shared" ca="1" si="1610"/>
        <v>35.146729124603155</v>
      </c>
      <c r="BN408" s="38">
        <f t="shared" si="1610"/>
        <v>33.727019855663592</v>
      </c>
      <c r="BO408" s="38">
        <f t="shared" ca="1" si="1610"/>
        <v>43.711948452029837</v>
      </c>
      <c r="BP408" s="38">
        <f t="shared" ca="1" si="1610"/>
        <v>47.721466652482782</v>
      </c>
      <c r="BQ408" s="38">
        <f t="shared" ref="BQ408:BV408" ca="1" si="1611">100*(BQ276+BQ277)/BQ419</f>
        <v>45.909692592294512</v>
      </c>
      <c r="BR408" s="38">
        <f t="shared" ca="1" si="1611"/>
        <v>49.163077654643132</v>
      </c>
      <c r="BS408" s="38">
        <f t="shared" ca="1" si="1611"/>
        <v>55.619338097538993</v>
      </c>
      <c r="BT408" s="38">
        <f t="shared" ca="1" si="1611"/>
        <v>63.412988656626119</v>
      </c>
      <c r="BU408" s="38">
        <f t="shared" ca="1" si="1611"/>
        <v>71.511631780238702</v>
      </c>
      <c r="BV408" s="38">
        <f t="shared" ca="1" si="1611"/>
        <v>80.376641159088535</v>
      </c>
      <c r="BW408" s="38">
        <f t="shared" ref="BW408:BX408" ca="1" si="1612">100*(BW276+BW277)/BW419</f>
        <v>90.130292053413243</v>
      </c>
      <c r="BX408" s="38">
        <f t="shared" ca="1" si="1612"/>
        <v>100.8373522911732</v>
      </c>
      <c r="BY408" s="38">
        <f t="shared" ref="BY408:CD408" ca="1" si="1613">100*(BY276+BY277)/BY419</f>
        <v>112.57567225253831</v>
      </c>
      <c r="BZ408" s="38">
        <f t="shared" ca="1" si="1613"/>
        <v>124.30538385058654</v>
      </c>
      <c r="CA408" s="38">
        <f t="shared" ca="1" si="1613"/>
        <v>136.74155191069823</v>
      </c>
      <c r="CB408" s="38">
        <f t="shared" ca="1" si="1613"/>
        <v>150.02060496782593</v>
      </c>
      <c r="CC408" s="38">
        <f t="shared" ca="1" si="1613"/>
        <v>164.14998026521326</v>
      </c>
      <c r="CD408" s="38">
        <f t="shared" ca="1" si="1613"/>
        <v>179.1620701287456</v>
      </c>
      <c r="CE408" s="101">
        <f t="shared" ca="1" si="1489"/>
        <v>94.709355797821061</v>
      </c>
      <c r="CF408" s="444"/>
      <c r="CG408" s="235">
        <f t="shared" ca="1" si="1543"/>
        <v>-6.3831616446279646</v>
      </c>
      <c r="CH408" s="235">
        <f t="shared" ca="1" si="1544"/>
        <v>0.36158984920935566</v>
      </c>
      <c r="CI408" s="235" t="e">
        <f ca="1">BM408-#REF!</f>
        <v>#REF!</v>
      </c>
      <c r="CJ408" s="235">
        <f t="shared" si="1545"/>
        <v>0</v>
      </c>
      <c r="CK408" s="235">
        <f t="shared" ca="1" si="1546"/>
        <v>0</v>
      </c>
      <c r="CL408" s="235">
        <f t="shared" ca="1" si="1547"/>
        <v>0</v>
      </c>
      <c r="CM408" s="235">
        <f t="shared" ca="1" si="1548"/>
        <v>0</v>
      </c>
      <c r="CN408" s="235">
        <f t="shared" ca="1" si="1549"/>
        <v>0</v>
      </c>
      <c r="CO408" s="235">
        <f t="shared" ca="1" si="1550"/>
        <v>9.9475983006414026E-14</v>
      </c>
      <c r="CP408" s="235">
        <f t="shared" ca="1" si="1551"/>
        <v>1.1368683772161603E-13</v>
      </c>
      <c r="CQ408" s="235">
        <f t="shared" ca="1" si="1552"/>
        <v>1.1368683772161603E-13</v>
      </c>
      <c r="CR408" s="235">
        <f t="shared" ca="1" si="1553"/>
        <v>0</v>
      </c>
      <c r="CS408" s="235">
        <f t="shared" ca="1" si="1554"/>
        <v>0</v>
      </c>
      <c r="CT408" s="235">
        <f t="shared" ca="1" si="1555"/>
        <v>0</v>
      </c>
      <c r="CU408" s="235">
        <f t="shared" ca="1" si="1556"/>
        <v>0</v>
      </c>
      <c r="CV408" s="235">
        <f t="shared" ca="1" si="1557"/>
        <v>1.1368683772161603E-13</v>
      </c>
      <c r="CW408" s="235">
        <f t="shared" ca="1" si="1558"/>
        <v>4.2632564145606011E-13</v>
      </c>
      <c r="CX408" s="235">
        <f t="shared" ca="1" si="1559"/>
        <v>4.8885340220294893E-12</v>
      </c>
      <c r="CY408" s="235">
        <f t="shared" ca="1" si="1560"/>
        <v>5.0391690820106305E-11</v>
      </c>
      <c r="CZ408" s="235">
        <f t="shared" ca="1" si="1561"/>
        <v>4.4559556044987403E-10</v>
      </c>
      <c r="DA408" s="38"/>
      <c r="DB408" s="236">
        <v>34.675955655140399</v>
      </c>
      <c r="DC408" s="236">
        <v>35.675955655140356</v>
      </c>
      <c r="DD408" s="236">
        <v>27.656446738221558</v>
      </c>
      <c r="DE408" s="236">
        <v>34.639021319154025</v>
      </c>
      <c r="DF408" s="236">
        <v>38.063647414031045</v>
      </c>
      <c r="DG408" s="236">
        <v>29.998366388709933</v>
      </c>
      <c r="DH408" s="492">
        <v>25.385150739350035</v>
      </c>
      <c r="DI408" s="236">
        <v>33.727019855663592</v>
      </c>
      <c r="DJ408" s="236">
        <v>43.711948452029837</v>
      </c>
      <c r="DK408" s="236">
        <v>47.721466652482775</v>
      </c>
      <c r="DL408" s="236">
        <v>45.909692592294491</v>
      </c>
      <c r="DM408" s="236">
        <v>49.163077654643082</v>
      </c>
      <c r="DN408" s="236">
        <v>55.619338097538893</v>
      </c>
      <c r="DO408" s="236">
        <v>63.412988656626005</v>
      </c>
      <c r="DP408" s="236">
        <v>71.511631780238588</v>
      </c>
      <c r="DQ408" s="401">
        <v>80.376641159088479</v>
      </c>
      <c r="DR408" s="401">
        <v>90.130292053413257</v>
      </c>
      <c r="DS408" s="401">
        <v>100.8373522911732</v>
      </c>
      <c r="DT408" s="401">
        <v>112.57567225253825</v>
      </c>
      <c r="DU408" s="401">
        <v>124.30538385058642</v>
      </c>
      <c r="DV408" s="401">
        <v>136.74155191069781</v>
      </c>
      <c r="DW408" s="401">
        <v>150.02060496782104</v>
      </c>
      <c r="DX408" s="401">
        <v>164.14998026516287</v>
      </c>
      <c r="DY408" s="401">
        <v>179.1620701283</v>
      </c>
      <c r="DZ408" s="401">
        <v>83.113796370554269</v>
      </c>
      <c r="EA408" s="989"/>
    </row>
    <row r="409" spans="1:131" s="76" customFormat="1">
      <c r="A409" s="38" t="str">
        <f>A374</f>
        <v>unemployment rate %</v>
      </c>
      <c r="B409" s="16" t="s">
        <v>3112</v>
      </c>
      <c r="D409" s="227" t="s">
        <v>817</v>
      </c>
      <c r="E409" s="227"/>
      <c r="F409" s="38">
        <f t="shared" ref="F409:AT409" si="1614">F374</f>
        <v>6.8</v>
      </c>
      <c r="G409" s="38">
        <f t="shared" si="1614"/>
        <v>5</v>
      </c>
      <c r="H409" s="38">
        <f t="shared" si="1614"/>
        <v>2.2332546710968018</v>
      </c>
      <c r="I409" s="38">
        <f t="shared" si="1614"/>
        <v>1.8155162334442139</v>
      </c>
      <c r="J409" s="38">
        <f t="shared" si="1614"/>
        <v>3.1251304149627686</v>
      </c>
      <c r="K409" s="38">
        <f t="shared" si="1614"/>
        <v>2.8608658313751221</v>
      </c>
      <c r="L409" s="38">
        <f t="shared" si="1614"/>
        <v>2.0745680332183838</v>
      </c>
      <c r="M409" s="38">
        <f t="shared" si="1614"/>
        <v>3.02626633644104</v>
      </c>
      <c r="N409" s="38">
        <f t="shared" si="1614"/>
        <v>3.9044175148010254</v>
      </c>
      <c r="O409" s="38">
        <f t="shared" si="1614"/>
        <v>4.7262697219848633</v>
      </c>
      <c r="P409" s="38">
        <f t="shared" si="1614"/>
        <v>5.5056672096252441</v>
      </c>
      <c r="Q409" s="38">
        <f t="shared" si="1614"/>
        <v>4.5107326507568359</v>
      </c>
      <c r="R409" s="38">
        <f t="shared" si="1614"/>
        <v>4.2866334915161133</v>
      </c>
      <c r="S409" s="38">
        <f t="shared" si="1614"/>
        <v>4.1740665435791016</v>
      </c>
      <c r="T409" s="38">
        <f t="shared" si="1614"/>
        <v>4.2769827842712402</v>
      </c>
      <c r="U409" s="38">
        <f t="shared" si="1614"/>
        <v>5.0960192680358887</v>
      </c>
      <c r="V409" s="38">
        <f t="shared" si="1614"/>
        <v>4.4430961608886719</v>
      </c>
      <c r="W409" s="38">
        <f t="shared" si="1614"/>
        <v>6.0136995315551758</v>
      </c>
      <c r="X409" s="38">
        <f t="shared" si="1614"/>
        <v>7.3302769660949707</v>
      </c>
      <c r="Y409" s="38">
        <f t="shared" si="1614"/>
        <v>9.13018798828125</v>
      </c>
      <c r="Z409" s="38">
        <f t="shared" si="1614"/>
        <v>9.9718894958496094</v>
      </c>
      <c r="AA409" s="38">
        <f t="shared" si="1614"/>
        <v>7.9798069000244141</v>
      </c>
      <c r="AB409" s="38">
        <f t="shared" si="1614"/>
        <v>6.6932039260864258</v>
      </c>
      <c r="AC409" s="38">
        <f t="shared" si="1614"/>
        <v>5.5827469825744629</v>
      </c>
      <c r="AD409" s="38">
        <f t="shared" si="1614"/>
        <v>4.6354036331176758</v>
      </c>
      <c r="AE409" s="38">
        <f t="shared" si="1614"/>
        <v>6.7064113616943359</v>
      </c>
      <c r="AF409" s="38">
        <f t="shared" si="1614"/>
        <v>9.093388557434082</v>
      </c>
      <c r="AG409" s="38">
        <f t="shared" si="1614"/>
        <v>9.2074041366577148</v>
      </c>
      <c r="AH409" s="38">
        <f t="shared" si="1614"/>
        <v>9.3345565795898437</v>
      </c>
      <c r="AI409" s="38">
        <f t="shared" si="1614"/>
        <v>11.461581230163574</v>
      </c>
      <c r="AJ409" s="38">
        <f t="shared" si="1614"/>
        <v>13.025559425354004</v>
      </c>
      <c r="AK409" s="38">
        <f t="shared" si="1614"/>
        <v>13.790704727172852</v>
      </c>
      <c r="AL409" s="38">
        <f t="shared" si="1614"/>
        <v>15.991020202636719</v>
      </c>
      <c r="AM409" s="38">
        <f t="shared" si="1614"/>
        <v>17.700000762939453</v>
      </c>
      <c r="AN409" s="38">
        <f t="shared" si="1614"/>
        <v>19.899999618530273</v>
      </c>
      <c r="AO409" s="38">
        <f t="shared" si="1614"/>
        <v>17.200000762939453</v>
      </c>
      <c r="AP409" s="38">
        <f t="shared" si="1614"/>
        <v>15.5</v>
      </c>
      <c r="AQ409" s="38">
        <f t="shared" si="1614"/>
        <v>15.5</v>
      </c>
      <c r="AR409" s="38">
        <f t="shared" si="1614"/>
        <v>18.084440231323242</v>
      </c>
      <c r="AS409" s="38">
        <f t="shared" si="1614"/>
        <v>15</v>
      </c>
      <c r="AT409" s="38">
        <f t="shared" si="1614"/>
        <v>12</v>
      </c>
      <c r="AU409" s="38">
        <f>AU374</f>
        <v>8</v>
      </c>
      <c r="AV409" s="38">
        <f t="shared" ref="AV409:BG409" si="1615">AV374</f>
        <v>11</v>
      </c>
      <c r="AW409" s="38">
        <f t="shared" si="1615"/>
        <v>10</v>
      </c>
      <c r="AX409" s="38">
        <f t="shared" si="1615"/>
        <v>11</v>
      </c>
      <c r="AY409" s="38">
        <f t="shared" si="1615"/>
        <v>12</v>
      </c>
      <c r="AZ409" s="38">
        <f t="shared" si="1615"/>
        <v>14</v>
      </c>
      <c r="BA409" s="101">
        <f t="shared" si="1615"/>
        <v>14</v>
      </c>
      <c r="BB409" s="101">
        <f t="shared" si="1615"/>
        <v>10</v>
      </c>
      <c r="BC409" s="101">
        <f t="shared" si="1615"/>
        <v>7</v>
      </c>
      <c r="BD409" s="101">
        <f t="shared" si="1615"/>
        <v>8</v>
      </c>
      <c r="BE409" s="101">
        <f t="shared" si="1615"/>
        <v>11.358556109349029</v>
      </c>
      <c r="BF409" s="101">
        <f t="shared" si="1615"/>
        <v>12.280792090860938</v>
      </c>
      <c r="BG409" s="101">
        <f t="shared" si="1615"/>
        <v>10.681096681096673</v>
      </c>
      <c r="BH409" s="101">
        <f>BH374</f>
        <v>9.3605999026875377</v>
      </c>
      <c r="BI409" s="101">
        <f>BI374</f>
        <v>9.0176120768526999</v>
      </c>
      <c r="BJ409" s="101">
        <f>BJ374</f>
        <v>7.5644445069986395</v>
      </c>
      <c r="BK409" s="101">
        <f t="shared" ref="BK409:BP409" si="1616">BK374</f>
        <v>6.9292759258812353</v>
      </c>
      <c r="BL409" s="101">
        <f t="shared" si="1616"/>
        <v>6.5077021844590774</v>
      </c>
      <c r="BM409" s="101">
        <f t="shared" si="1616"/>
        <v>7.119080696705689</v>
      </c>
      <c r="BN409" s="101">
        <f t="shared" si="1616"/>
        <v>7.7768161347772313</v>
      </c>
      <c r="BO409" s="101">
        <f t="shared" ca="1" si="1616"/>
        <v>8.1740138021385427</v>
      </c>
      <c r="BP409" s="101">
        <f t="shared" ca="1" si="1616"/>
        <v>9.4849296215264705</v>
      </c>
      <c r="BQ409" s="101">
        <f t="shared" ref="BQ409:BV409" ca="1" si="1617">BQ374</f>
        <v>9.5730410928386345</v>
      </c>
      <c r="BR409" s="101">
        <f t="shared" ca="1" si="1617"/>
        <v>8.9836688947135546</v>
      </c>
      <c r="BS409" s="101">
        <f t="shared" ca="1" si="1617"/>
        <v>9.1376842323208578</v>
      </c>
      <c r="BT409" s="101">
        <f t="shared" ca="1" si="1617"/>
        <v>9.5022347321916687</v>
      </c>
      <c r="BU409" s="101">
        <f t="shared" ca="1" si="1617"/>
        <v>9.8011352688635647</v>
      </c>
      <c r="BV409" s="101">
        <f t="shared" ca="1" si="1617"/>
        <v>10.019780951740255</v>
      </c>
      <c r="BW409" s="101">
        <f t="shared" ref="BW409:BX409" ca="1" si="1618">BW374</f>
        <v>10.18391979961546</v>
      </c>
      <c r="BX409" s="101">
        <f t="shared" ca="1" si="1618"/>
        <v>10.348755697517481</v>
      </c>
      <c r="BY409" s="101">
        <f t="shared" ref="BY409:CD409" ca="1" si="1619">BY374</f>
        <v>10.511001323531234</v>
      </c>
      <c r="BZ409" s="101">
        <f t="shared" ca="1" si="1619"/>
        <v>10.656846471545812</v>
      </c>
      <c r="CA409" s="101">
        <f t="shared" ca="1" si="1619"/>
        <v>10.778106405250069</v>
      </c>
      <c r="CB409" s="101">
        <f t="shared" ca="1" si="1619"/>
        <v>10.884855429710907</v>
      </c>
      <c r="CC409" s="101">
        <f t="shared" ca="1" si="1619"/>
        <v>10.985440254223926</v>
      </c>
      <c r="CD409" s="101">
        <f t="shared" ca="1" si="1619"/>
        <v>11.077728167746331</v>
      </c>
      <c r="CE409" s="101">
        <f t="shared" ca="1" si="1489"/>
        <v>10.006446384092174</v>
      </c>
      <c r="CF409" s="444"/>
      <c r="CG409" s="235">
        <f t="shared" si="1543"/>
        <v>-1.2574786137709602</v>
      </c>
      <c r="CH409" s="235">
        <f t="shared" si="1544"/>
        <v>0</v>
      </c>
      <c r="CI409" s="235" t="e">
        <f>BM409-#REF!</f>
        <v>#REF!</v>
      </c>
      <c r="CJ409" s="235">
        <f t="shared" si="1545"/>
        <v>0</v>
      </c>
      <c r="CK409" s="235">
        <f t="shared" ca="1" si="1546"/>
        <v>0</v>
      </c>
      <c r="CL409" s="235">
        <f t="shared" ca="1" si="1547"/>
        <v>0</v>
      </c>
      <c r="CM409" s="235">
        <f t="shared" ca="1" si="1548"/>
        <v>0</v>
      </c>
      <c r="CN409" s="235">
        <f t="shared" ca="1" si="1549"/>
        <v>0</v>
      </c>
      <c r="CO409" s="235">
        <f t="shared" ca="1" si="1550"/>
        <v>0</v>
      </c>
      <c r="CP409" s="235">
        <f t="shared" ca="1" si="1551"/>
        <v>0</v>
      </c>
      <c r="CQ409" s="235">
        <f t="shared" ca="1" si="1552"/>
        <v>0</v>
      </c>
      <c r="CR409" s="235">
        <f t="shared" ca="1" si="1553"/>
        <v>0</v>
      </c>
      <c r="CS409" s="235">
        <f t="shared" ca="1" si="1554"/>
        <v>1.4210854715202004E-14</v>
      </c>
      <c r="CT409" s="235">
        <f t="shared" ca="1" si="1555"/>
        <v>2.4868995751603507E-14</v>
      </c>
      <c r="CU409" s="235">
        <f t="shared" ca="1" si="1556"/>
        <v>3.1974423109204508E-14</v>
      </c>
      <c r="CV409" s="235">
        <f t="shared" ca="1" si="1557"/>
        <v>3.1974423109204508E-14</v>
      </c>
      <c r="CW409" s="235">
        <f t="shared" ca="1" si="1558"/>
        <v>3.1974423109204508E-14</v>
      </c>
      <c r="CX409" s="235">
        <f t="shared" ca="1" si="1559"/>
        <v>-1.0480505352461478E-13</v>
      </c>
      <c r="CY409" s="235">
        <f t="shared" ca="1" si="1560"/>
        <v>-1.5560885913146194E-12</v>
      </c>
      <c r="CZ409" s="235">
        <f t="shared" ca="1" si="1561"/>
        <v>-1.2386536241137946E-11</v>
      </c>
      <c r="DA409" s="38"/>
      <c r="DB409" s="236">
        <v>11</v>
      </c>
      <c r="DC409" s="236">
        <v>12</v>
      </c>
      <c r="DD409" s="236">
        <v>11</v>
      </c>
      <c r="DE409" s="236">
        <v>9</v>
      </c>
      <c r="DF409" s="236">
        <v>8.6081894614622332</v>
      </c>
      <c r="DG409" s="236">
        <v>8.1867545396521955</v>
      </c>
      <c r="DH409" s="492">
        <v>6.5077021844590774</v>
      </c>
      <c r="DI409" s="236">
        <v>7.7768161347772313</v>
      </c>
      <c r="DJ409" s="236">
        <v>8.1740138021385427</v>
      </c>
      <c r="DK409" s="236">
        <v>9.4849296215264722</v>
      </c>
      <c r="DL409" s="236">
        <v>9.5730410928386256</v>
      </c>
      <c r="DM409" s="236">
        <v>8.9836688947135546</v>
      </c>
      <c r="DN409" s="236">
        <v>9.1376842323208542</v>
      </c>
      <c r="DO409" s="236">
        <v>9.5022347321916634</v>
      </c>
      <c r="DP409" s="236">
        <v>9.801135268863554</v>
      </c>
      <c r="DQ409" s="401">
        <v>10.019780951740245</v>
      </c>
      <c r="DR409" s="401">
        <v>10.183919799615445</v>
      </c>
      <c r="DS409" s="401">
        <v>10.348755697517456</v>
      </c>
      <c r="DT409" s="401">
        <v>10.511001323531202</v>
      </c>
      <c r="DU409" s="401">
        <v>10.65684647154578</v>
      </c>
      <c r="DV409" s="401">
        <v>10.778106405250037</v>
      </c>
      <c r="DW409" s="401">
        <v>10.884855429711012</v>
      </c>
      <c r="DX409" s="401">
        <v>10.985440254225482</v>
      </c>
      <c r="DY409" s="401">
        <v>11.077728167758718</v>
      </c>
      <c r="DZ409" s="401">
        <v>9.5927753696032507</v>
      </c>
      <c r="EA409" s="989"/>
    </row>
    <row r="410" spans="1:131" s="76" customFormat="1">
      <c r="A410" s="101" t="s">
        <v>4226</v>
      </c>
      <c r="B410" s="255" t="s">
        <v>1449</v>
      </c>
      <c r="D410" s="227" t="s">
        <v>817</v>
      </c>
      <c r="E410" s="227"/>
      <c r="F410" s="101">
        <f t="shared" ref="F410:AS410" si="1620">F357/(F182/12)</f>
        <v>81.725501604123735</v>
      </c>
      <c r="G410" s="101">
        <f t="shared" si="1620"/>
        <v>83.460314049332922</v>
      </c>
      <c r="H410" s="101">
        <f t="shared" si="1620"/>
        <v>68.841045764089984</v>
      </c>
      <c r="I410" s="101">
        <f t="shared" si="1620"/>
        <v>59.272798941908924</v>
      </c>
      <c r="J410" s="101">
        <f t="shared" si="1620"/>
        <v>61.983370517714441</v>
      </c>
      <c r="K410" s="101">
        <f t="shared" si="1620"/>
        <v>50.281144861265801</v>
      </c>
      <c r="L410" s="101">
        <f t="shared" si="1620"/>
        <v>44.165165874312635</v>
      </c>
      <c r="M410" s="101">
        <f t="shared" si="1620"/>
        <v>42.927149100397656</v>
      </c>
      <c r="N410" s="101">
        <f t="shared" si="1620"/>
        <v>41.890211729438136</v>
      </c>
      <c r="O410" s="101">
        <f t="shared" si="1620"/>
        <v>38.979347527876179</v>
      </c>
      <c r="P410" s="101">
        <f t="shared" si="1620"/>
        <v>29.047831847361046</v>
      </c>
      <c r="Q410" s="101">
        <f t="shared" si="1620"/>
        <v>25.111207673226353</v>
      </c>
      <c r="R410" s="101">
        <f t="shared" si="1620"/>
        <v>25.064067200875368</v>
      </c>
      <c r="S410" s="101">
        <f t="shared" si="1620"/>
        <v>22.235698705315528</v>
      </c>
      <c r="T410" s="101">
        <f t="shared" si="1620"/>
        <v>21.859723987820512</v>
      </c>
      <c r="U410" s="101">
        <f t="shared" si="1620"/>
        <v>19.719435591431449</v>
      </c>
      <c r="V410" s="101">
        <f t="shared" si="1620"/>
        <v>18.061860682075647</v>
      </c>
      <c r="W410" s="101">
        <f t="shared" si="1620"/>
        <v>16.411742817412971</v>
      </c>
      <c r="X410" s="101">
        <f t="shared" si="1620"/>
        <v>14.363556187986685</v>
      </c>
      <c r="Y410" s="101">
        <f t="shared" si="1620"/>
        <v>14.114185336874488</v>
      </c>
      <c r="Z410" s="101">
        <f t="shared" si="1620"/>
        <v>10.119575108324222</v>
      </c>
      <c r="AA410" s="101">
        <f t="shared" si="1620"/>
        <v>9.5313497829731855</v>
      </c>
      <c r="AB410" s="101">
        <f t="shared" si="1620"/>
        <v>11.083997898991429</v>
      </c>
      <c r="AC410" s="101">
        <f t="shared" si="1620"/>
        <v>8.7979394151193073</v>
      </c>
      <c r="AD410" s="101">
        <f t="shared" si="1620"/>
        <v>6.9633625976736111</v>
      </c>
      <c r="AE410" s="101">
        <f t="shared" si="1620"/>
        <v>6.9759284886299815</v>
      </c>
      <c r="AF410" s="101">
        <f t="shared" si="1620"/>
        <v>6.0377301355410991</v>
      </c>
      <c r="AG410" s="101">
        <f t="shared" si="1620"/>
        <v>6.5205066399913312</v>
      </c>
      <c r="AH410" s="101">
        <f t="shared" si="1620"/>
        <v>7.4916966555555167</v>
      </c>
      <c r="AI410" s="101">
        <f t="shared" si="1620"/>
        <v>8.3386318318982156</v>
      </c>
      <c r="AJ410" s="101">
        <f t="shared" si="1620"/>
        <v>5.0048476754065092</v>
      </c>
      <c r="AK410" s="101">
        <f t="shared" si="1620"/>
        <v>3.8026510867402621</v>
      </c>
      <c r="AL410" s="101">
        <f t="shared" si="1620"/>
        <v>3.4778262881211215</v>
      </c>
      <c r="AM410" s="101">
        <f t="shared" si="1620"/>
        <v>1.3409278706158885</v>
      </c>
      <c r="AN410" s="101">
        <f t="shared" si="1620"/>
        <v>1.711206707251101</v>
      </c>
      <c r="AO410" s="101">
        <f t="shared" si="1620"/>
        <v>1.8905139657107641</v>
      </c>
      <c r="AP410" s="101">
        <f t="shared" si="1620"/>
        <v>0.18742457741495519</v>
      </c>
      <c r="AQ410" s="101">
        <f t="shared" si="1620"/>
        <v>-0.17246350527503551</v>
      </c>
      <c r="AR410" s="101">
        <f t="shared" si="1620"/>
        <v>-0.14272281324364336</v>
      </c>
      <c r="AS410" s="101">
        <f t="shared" si="1620"/>
        <v>1.7629434700967923</v>
      </c>
      <c r="AT410" s="101">
        <f t="shared" ref="AT410:BE410" si="1621">AT357/(AT182/12)</f>
        <v>4.178698925491056</v>
      </c>
      <c r="AU410" s="101">
        <f t="shared" si="1621"/>
        <v>4.3694854372347329</v>
      </c>
      <c r="AV410" s="101">
        <f t="shared" si="1621"/>
        <v>3.9457179534201363</v>
      </c>
      <c r="AW410" s="101">
        <f t="shared" si="1621"/>
        <v>4.49404198978627</v>
      </c>
      <c r="AX410" s="101">
        <f t="shared" si="1621"/>
        <v>2.7473625763464744</v>
      </c>
      <c r="AY410" s="101">
        <f t="shared" si="1621"/>
        <v>3.4136312849162009</v>
      </c>
      <c r="AZ410" s="101">
        <f t="shared" si="1621"/>
        <v>0.626888604353393</v>
      </c>
      <c r="BA410" s="101">
        <f t="shared" si="1621"/>
        <v>3.1800958685231677</v>
      </c>
      <c r="BB410" s="101">
        <f t="shared" si="1621"/>
        <v>2.5968992248062017</v>
      </c>
      <c r="BC410" s="101">
        <f t="shared" si="1621"/>
        <v>1.8721183123096998</v>
      </c>
      <c r="BD410" s="101">
        <f t="shared" si="1621"/>
        <v>2.4187101346562723</v>
      </c>
      <c r="BE410" s="101">
        <f t="shared" si="1621"/>
        <v>2.1649415692821372</v>
      </c>
      <c r="BF410" s="99">
        <f t="shared" ref="BF410:BQ410" si="1622">BF356/(BF182/12)</f>
        <v>3.2856977952210547</v>
      </c>
      <c r="BG410" s="99">
        <f t="shared" si="1622"/>
        <v>3.5514786820283271</v>
      </c>
      <c r="BH410" s="99">
        <f t="shared" si="1622"/>
        <v>3.985886763327636</v>
      </c>
      <c r="BI410" s="99">
        <f t="shared" si="1622"/>
        <v>4.7040572792362765</v>
      </c>
      <c r="BJ410" s="99">
        <f t="shared" si="1622"/>
        <v>5.002776101388049</v>
      </c>
      <c r="BK410" s="99">
        <f t="shared" si="1622"/>
        <v>4.3731263383297643</v>
      </c>
      <c r="BL410" s="99">
        <f t="shared" si="1622"/>
        <v>4.6764569485237288</v>
      </c>
      <c r="BM410" s="99">
        <f t="shared" si="1622"/>
        <v>3.4269298762522098</v>
      </c>
      <c r="BN410" s="99">
        <f t="shared" si="1622"/>
        <v>2.7255286679747108</v>
      </c>
      <c r="BO410" s="99">
        <f t="shared" si="1622"/>
        <v>1.6220802652752719</v>
      </c>
      <c r="BP410" s="99">
        <f t="shared" ca="1" si="1622"/>
        <v>1.218171832779968</v>
      </c>
      <c r="BQ410" s="99">
        <f t="shared" ca="1" si="1622"/>
        <v>1.004203520613109</v>
      </c>
      <c r="BR410" s="99">
        <f ca="1">BR356/(BR182/12)</f>
        <v>0.81251007678252496</v>
      </c>
      <c r="BS410" s="99">
        <f ca="1">BS356/(BS182/12)</f>
        <v>0.45105217432479355</v>
      </c>
      <c r="BT410" s="99">
        <f ca="1">BT356/(BT182/12)</f>
        <v>-2.544551484796707E-2</v>
      </c>
      <c r="BU410" s="99">
        <f ca="1">BU356/(BU182/12)</f>
        <v>-0.59639238178527121</v>
      </c>
      <c r="BV410" s="99">
        <f ca="1">BV356/(BV182/12)</f>
        <v>-1.2414934670330406</v>
      </c>
      <c r="BW410" s="99">
        <f t="shared" ref="BW410:BX410" ca="1" si="1623">BW356/(BW182/12)</f>
        <v>-1.9561244640714224</v>
      </c>
      <c r="BX410" s="99">
        <f t="shared" ca="1" si="1623"/>
        <v>-2.7333038885039374</v>
      </c>
      <c r="BY410" s="99">
        <f t="shared" ref="BY410:CD410" ca="1" si="1624">BY356/(BY182/12)</f>
        <v>-3.5697156009672475</v>
      </c>
      <c r="BZ410" s="99">
        <f t="shared" ca="1" si="1624"/>
        <v>-4.4439941514720589</v>
      </c>
      <c r="CA410" s="99">
        <f t="shared" ca="1" si="1624"/>
        <v>-5.3498685391014416</v>
      </c>
      <c r="CB410" s="99">
        <f t="shared" ca="1" si="1624"/>
        <v>-6.2877394877075155</v>
      </c>
      <c r="CC410" s="99">
        <f t="shared" ca="1" si="1624"/>
        <v>-7.2545918416548112</v>
      </c>
      <c r="CD410" s="99">
        <f t="shared" ca="1" si="1624"/>
        <v>-8.247672836891482</v>
      </c>
      <c r="CE410" s="101">
        <f t="shared" ca="1" si="1489"/>
        <v>-2.2873952690162831</v>
      </c>
      <c r="CF410" s="444"/>
      <c r="CG410" s="235">
        <f t="shared" si="1543"/>
        <v>0</v>
      </c>
      <c r="CH410" s="235">
        <f t="shared" si="1544"/>
        <v>0</v>
      </c>
      <c r="CI410" s="235" t="e">
        <f>BM410-#REF!</f>
        <v>#REF!</v>
      </c>
      <c r="CJ410" s="235">
        <f t="shared" si="1545"/>
        <v>0</v>
      </c>
      <c r="CK410" s="235">
        <f t="shared" si="1546"/>
        <v>0</v>
      </c>
      <c r="CL410" s="276">
        <f t="shared" ca="1" si="1547"/>
        <v>-1.9984014443252818E-15</v>
      </c>
      <c r="CM410" s="276">
        <f t="shared" ca="1" si="1548"/>
        <v>-5.5511151231257827E-15</v>
      </c>
      <c r="CN410" s="276">
        <f t="shared" ca="1" si="1549"/>
        <v>-9.4368957093138306E-15</v>
      </c>
      <c r="CO410" s="276">
        <f t="shared" ca="1" si="1550"/>
        <v>-1.4876988529977098E-14</v>
      </c>
      <c r="CP410" s="276">
        <f t="shared" ca="1" si="1551"/>
        <v>-2.1316282072803006E-14</v>
      </c>
      <c r="CQ410" s="276">
        <f t="shared" ca="1" si="1552"/>
        <v>-2.8643754035329039E-14</v>
      </c>
      <c r="CR410" s="276">
        <f t="shared" ca="1" si="1553"/>
        <v>-3.3528735343679728E-14</v>
      </c>
      <c r="CS410" s="276">
        <f t="shared" ca="1" si="1554"/>
        <v>-3.8191672047105385E-14</v>
      </c>
      <c r="CT410" s="276">
        <f t="shared" ca="1" si="1555"/>
        <v>-3.8635761256955448E-14</v>
      </c>
      <c r="CU410" s="276">
        <f t="shared" ca="1" si="1556"/>
        <v>-4.2188474935755949E-14</v>
      </c>
      <c r="CV410" s="276">
        <f t="shared" ca="1" si="1557"/>
        <v>-4.7073456244106637E-14</v>
      </c>
      <c r="CW410" s="276">
        <f t="shared" ca="1" si="1558"/>
        <v>-6.3948846218409017E-14</v>
      </c>
      <c r="CX410" s="276">
        <f t="shared" ca="1" si="1559"/>
        <v>-2.2293278334473143E-13</v>
      </c>
      <c r="CY410" s="276">
        <f t="shared" ca="1" si="1560"/>
        <v>-1.84385839929746E-12</v>
      </c>
      <c r="CZ410" s="276">
        <f t="shared" ca="1" si="1561"/>
        <v>-1.5432988220709376E-11</v>
      </c>
      <c r="DA410" s="38"/>
      <c r="DB410" s="236">
        <v>1.4684742725117901</v>
      </c>
      <c r="DC410" s="236">
        <v>2.4684742725117901</v>
      </c>
      <c r="DD410" s="236">
        <v>3.5218540171229478</v>
      </c>
      <c r="DE410" s="236">
        <v>3.3007897972708835</v>
      </c>
      <c r="DF410" s="259">
        <v>6.2355140186915889</v>
      </c>
      <c r="DG410" s="236">
        <v>4.3731263383297643</v>
      </c>
      <c r="DH410" s="492">
        <v>4.6764569485237288</v>
      </c>
      <c r="DI410" s="236">
        <v>2.7255286679747108</v>
      </c>
      <c r="DJ410" s="236">
        <v>1.6220802652752719</v>
      </c>
      <c r="DK410" s="236">
        <v>1.21817183277997</v>
      </c>
      <c r="DL410" s="236">
        <v>1.0042035206131146</v>
      </c>
      <c r="DM410" s="236">
        <v>0.8125100767825344</v>
      </c>
      <c r="DN410" s="236">
        <v>0.45105217432480843</v>
      </c>
      <c r="DO410" s="236">
        <v>-2.5445514847945754E-2</v>
      </c>
      <c r="DP410" s="236">
        <v>-0.59639238178524256</v>
      </c>
      <c r="DQ410" s="401">
        <v>-1.2414934670330071</v>
      </c>
      <c r="DR410" s="401">
        <v>-1.9561244640713842</v>
      </c>
      <c r="DS410" s="401">
        <v>-2.7333038885038987</v>
      </c>
      <c r="DT410" s="401">
        <v>-3.5697156009672053</v>
      </c>
      <c r="DU410" s="401">
        <v>-4.4439941514720118</v>
      </c>
      <c r="DV410" s="401">
        <v>-5.3498685391013776</v>
      </c>
      <c r="DW410" s="401">
        <v>-6.2877394877072925</v>
      </c>
      <c r="DX410" s="401">
        <v>-7.2545918416529673</v>
      </c>
      <c r="DY410" s="401">
        <v>-8.247672836876049</v>
      </c>
      <c r="DZ410" s="401">
        <v>1.7321354239252877</v>
      </c>
      <c r="EA410" s="989"/>
    </row>
    <row r="411" spans="1:131" s="76" customFormat="1">
      <c r="A411" s="101" t="s">
        <v>4229</v>
      </c>
      <c r="B411" s="16" t="s">
        <v>1668</v>
      </c>
      <c r="D411" s="227" t="s">
        <v>817</v>
      </c>
      <c r="E411" s="227"/>
      <c r="F411" s="101">
        <f t="shared" ref="F411:AT411" si="1625">100*F337/F292</f>
        <v>52.686170972338694</v>
      </c>
      <c r="G411" s="101">
        <f t="shared" si="1625"/>
        <v>52.372782449887772</v>
      </c>
      <c r="H411" s="101">
        <f t="shared" si="1625"/>
        <v>51.275091002081723</v>
      </c>
      <c r="I411" s="101">
        <f t="shared" si="1625"/>
        <v>50.20323626385418</v>
      </c>
      <c r="J411" s="101">
        <f t="shared" si="1625"/>
        <v>51.775040614777495</v>
      </c>
      <c r="K411" s="101">
        <f t="shared" si="1625"/>
        <v>51.68314292876893</v>
      </c>
      <c r="L411" s="101">
        <f t="shared" si="1625"/>
        <v>52.459122834684116</v>
      </c>
      <c r="M411" s="101">
        <f t="shared" si="1625"/>
        <v>49.849930564198772</v>
      </c>
      <c r="N411" s="101">
        <f t="shared" si="1625"/>
        <v>50.284349442859288</v>
      </c>
      <c r="O411" s="101">
        <f t="shared" si="1625"/>
        <v>49.961844805047406</v>
      </c>
      <c r="P411" s="101">
        <f t="shared" si="1625"/>
        <v>49.11757740945977</v>
      </c>
      <c r="Q411" s="101">
        <f t="shared" si="1625"/>
        <v>52.542592867752127</v>
      </c>
      <c r="R411" s="101">
        <f t="shared" si="1625"/>
        <v>55.338676589099691</v>
      </c>
      <c r="S411" s="101">
        <f t="shared" si="1625"/>
        <v>56.888363348512478</v>
      </c>
      <c r="T411" s="101">
        <f t="shared" si="1625"/>
        <v>57.627837409410937</v>
      </c>
      <c r="U411" s="101">
        <f t="shared" si="1625"/>
        <v>55.145442262380698</v>
      </c>
      <c r="V411" s="101">
        <f t="shared" si="1625"/>
        <v>52.259051347362707</v>
      </c>
      <c r="W411" s="101">
        <f t="shared" si="1625"/>
        <v>52.583153619475532</v>
      </c>
      <c r="X411" s="101">
        <f t="shared" si="1625"/>
        <v>50.75130873228342</v>
      </c>
      <c r="Y411" s="101">
        <f t="shared" si="1625"/>
        <v>51.251231802673637</v>
      </c>
      <c r="Z411" s="101">
        <f t="shared" si="1625"/>
        <v>54.729978558332853</v>
      </c>
      <c r="AA411" s="101">
        <f t="shared" si="1625"/>
        <v>57.358067016926221</v>
      </c>
      <c r="AB411" s="101">
        <f t="shared" si="1625"/>
        <v>51.449939942860809</v>
      </c>
      <c r="AC411" s="101">
        <f t="shared" si="1625"/>
        <v>50.15583597336645</v>
      </c>
      <c r="AD411" s="101">
        <f t="shared" si="1625"/>
        <v>48.149034517961915</v>
      </c>
      <c r="AE411" s="101">
        <f t="shared" si="1625"/>
        <v>48.381530720352174</v>
      </c>
      <c r="AF411" s="101">
        <f t="shared" si="1625"/>
        <v>42.759748965151658</v>
      </c>
      <c r="AG411" s="101">
        <f t="shared" si="1625"/>
        <v>41.272465703898938</v>
      </c>
      <c r="AH411" s="101">
        <f t="shared" si="1625"/>
        <v>36.676815070328622</v>
      </c>
      <c r="AI411" s="101">
        <f t="shared" si="1625"/>
        <v>31.070280719385241</v>
      </c>
      <c r="AJ411" s="101">
        <f t="shared" si="1625"/>
        <v>27.525624492991017</v>
      </c>
      <c r="AK411" s="101">
        <f t="shared" si="1625"/>
        <v>25.081670475510368</v>
      </c>
      <c r="AL411" s="101">
        <f t="shared" si="1625"/>
        <v>32.168879407464452</v>
      </c>
      <c r="AM411" s="101">
        <f t="shared" si="1625"/>
        <v>42.586355040852226</v>
      </c>
      <c r="AN411" s="101">
        <f t="shared" si="1625"/>
        <v>47.73984105608546</v>
      </c>
      <c r="AO411" s="101">
        <f t="shared" si="1625"/>
        <v>49.600436284019665</v>
      </c>
      <c r="AP411" s="101">
        <f t="shared" si="1625"/>
        <v>58.331137373648701</v>
      </c>
      <c r="AQ411" s="101">
        <f t="shared" si="1625"/>
        <v>56.911512852818774</v>
      </c>
      <c r="AR411" s="101">
        <f t="shared" si="1625"/>
        <v>57.744724068310575</v>
      </c>
      <c r="AS411" s="101">
        <f t="shared" si="1625"/>
        <v>70.335241531367458</v>
      </c>
      <c r="AT411" s="101">
        <f t="shared" si="1625"/>
        <v>-39.123067504455008</v>
      </c>
      <c r="AU411" s="101">
        <f>100*AU337/AU292</f>
        <v>54.870881067350368</v>
      </c>
      <c r="AV411" s="101">
        <f t="shared" ref="AV411:BB411" si="1626">100*AV337/AV292</f>
        <v>27.391351116777884</v>
      </c>
      <c r="AW411" s="101">
        <f t="shared" si="1626"/>
        <v>22.808454194365986</v>
      </c>
      <c r="AX411" s="101">
        <f t="shared" si="1626"/>
        <v>16.568198768481583</v>
      </c>
      <c r="AY411" s="101">
        <f t="shared" si="1626"/>
        <v>26.163686456831165</v>
      </c>
      <c r="AZ411" s="101">
        <f t="shared" si="1626"/>
        <v>37.434133088263778</v>
      </c>
      <c r="BA411" s="101">
        <f t="shared" si="1626"/>
        <v>42.646137992757019</v>
      </c>
      <c r="BB411" s="101">
        <f t="shared" si="1626"/>
        <v>42.143465177425419</v>
      </c>
      <c r="BC411" s="101">
        <f t="shared" ref="BC411:BQ411" ca="1" si="1627">100*BC337/BC292</f>
        <v>47.226071066626304</v>
      </c>
      <c r="BD411" s="101">
        <f t="shared" ca="1" si="1627"/>
        <v>48.019568052031424</v>
      </c>
      <c r="BE411" s="101">
        <f t="shared" ca="1" si="1627"/>
        <v>48.8863323454772</v>
      </c>
      <c r="BF411" s="101">
        <f t="shared" ca="1" si="1627"/>
        <v>53.946490806768779</v>
      </c>
      <c r="BG411" s="101">
        <f t="shared" ca="1" si="1627"/>
        <v>51.4134006543499</v>
      </c>
      <c r="BH411" s="101">
        <f t="shared" ca="1" si="1627"/>
        <v>52.300430563546399</v>
      </c>
      <c r="BI411" s="101">
        <f t="shared" ca="1" si="1627"/>
        <v>47.331640581165239</v>
      </c>
      <c r="BJ411" s="101">
        <f t="shared" ca="1" si="1627"/>
        <v>55.503097109205846</v>
      </c>
      <c r="BK411" s="101">
        <f t="shared" ref="BK411:BP411" ca="1" si="1628">100*BK337/BK292</f>
        <v>58.125097987503764</v>
      </c>
      <c r="BL411" s="101">
        <f t="shared" ca="1" si="1628"/>
        <v>55.25450379374238</v>
      </c>
      <c r="BM411" s="101">
        <f t="shared" ca="1" si="1628"/>
        <v>50.754865800614887</v>
      </c>
      <c r="BN411" s="101">
        <f t="shared" ca="1" si="1628"/>
        <v>49.155821145898642</v>
      </c>
      <c r="BO411" s="101">
        <f t="shared" ca="1" si="1628"/>
        <v>48.942513190953306</v>
      </c>
      <c r="BP411" s="101">
        <f t="shared" ca="1" si="1628"/>
        <v>51.345670832677882</v>
      </c>
      <c r="BQ411" s="101">
        <f t="shared" ca="1" si="1627"/>
        <v>51.615606406700699</v>
      </c>
      <c r="BR411" s="101">
        <f ca="1">100*BR337/BR292</f>
        <v>49.923198617362615</v>
      </c>
      <c r="BS411" s="101">
        <f ca="1">100*BS337/BS292</f>
        <v>48.505301099481009</v>
      </c>
      <c r="BT411" s="101">
        <f ca="1">100*BT337/BT292</f>
        <v>47.572174276891353</v>
      </c>
      <c r="BU411" s="101">
        <f ca="1">100*BU337/BU292</f>
        <v>46.795261523150714</v>
      </c>
      <c r="BV411" s="101">
        <f ca="1">100*BV337/BV292</f>
        <v>45.985502423294854</v>
      </c>
      <c r="BW411" s="101">
        <f t="shared" ref="BW411:BX411" ca="1" si="1629">100*BW337/BW292</f>
        <v>45.199904221310653</v>
      </c>
      <c r="BX411" s="101">
        <f t="shared" ca="1" si="1629"/>
        <v>44.461247827689739</v>
      </c>
      <c r="BY411" s="101">
        <f t="shared" ref="BY411:CD411" ca="1" si="1630">100*BY337/BY292</f>
        <v>43.760991926506684</v>
      </c>
      <c r="BZ411" s="101">
        <f t="shared" ca="1" si="1630"/>
        <v>43.496138333799706</v>
      </c>
      <c r="CA411" s="101">
        <f t="shared" ca="1" si="1630"/>
        <v>43.271859796184287</v>
      </c>
      <c r="CB411" s="101">
        <f t="shared" ca="1" si="1630"/>
        <v>43.055444334611558</v>
      </c>
      <c r="CC411" s="101">
        <f t="shared" ca="1" si="1630"/>
        <v>42.864135573919896</v>
      </c>
      <c r="CD411" s="101">
        <f t="shared" ca="1" si="1630"/>
        <v>42.693244412371222</v>
      </c>
      <c r="CE411" s="101">
        <f t="shared" ca="1" si="1489"/>
        <v>46.218012174806638</v>
      </c>
      <c r="CF411" s="444"/>
      <c r="CG411" s="235">
        <f t="shared" ca="1" si="1543"/>
        <v>4.8412946624652378</v>
      </c>
      <c r="CH411" s="235">
        <f t="shared" ca="1" si="1544"/>
        <v>-0.7292647336641167</v>
      </c>
      <c r="CI411" s="235" t="e">
        <f ca="1">BM411-#REF!</f>
        <v>#REF!</v>
      </c>
      <c r="CJ411" s="235">
        <f t="shared" ca="1" si="1545"/>
        <v>0</v>
      </c>
      <c r="CK411" s="235">
        <f t="shared" ca="1" si="1546"/>
        <v>0</v>
      </c>
      <c r="CL411" s="235">
        <f t="shared" ca="1" si="1547"/>
        <v>0</v>
      </c>
      <c r="CM411" s="235">
        <f t="shared" ca="1" si="1548"/>
        <v>0</v>
      </c>
      <c r="CN411" s="235">
        <f t="shared" ca="1" si="1549"/>
        <v>0</v>
      </c>
      <c r="CO411" s="235">
        <f t="shared" ca="1" si="1550"/>
        <v>0</v>
      </c>
      <c r="CP411" s="235">
        <f t="shared" ca="1" si="1551"/>
        <v>0</v>
      </c>
      <c r="CQ411" s="235">
        <f t="shared" ca="1" si="1552"/>
        <v>0</v>
      </c>
      <c r="CR411" s="235">
        <f t="shared" ca="1" si="1553"/>
        <v>0</v>
      </c>
      <c r="CS411" s="235">
        <f t="shared" ca="1" si="1554"/>
        <v>0</v>
      </c>
      <c r="CT411" s="235">
        <f t="shared" ca="1" si="1555"/>
        <v>0</v>
      </c>
      <c r="CU411" s="235">
        <f t="shared" ca="1" si="1556"/>
        <v>1.0658141036401503E-13</v>
      </c>
      <c r="CV411" s="235">
        <f t="shared" ca="1" si="1557"/>
        <v>1.5631940186722204E-13</v>
      </c>
      <c r="CW411" s="235">
        <f t="shared" ca="1" si="1558"/>
        <v>4.4764192352886312E-13</v>
      </c>
      <c r="CX411" s="235">
        <f t="shared" ca="1" si="1559"/>
        <v>3.666400516522117E-12</v>
      </c>
      <c r="CY411" s="235">
        <f t="shared" ca="1" si="1560"/>
        <v>3.2216007639362942E-11</v>
      </c>
      <c r="CZ411" s="235">
        <f t="shared" ca="1" si="1561"/>
        <v>2.3507595869887155E-10</v>
      </c>
      <c r="DA411" s="38"/>
      <c r="DB411" s="236">
        <v>37.706741577122102</v>
      </c>
      <c r="DC411" s="236">
        <v>38.706741577122088</v>
      </c>
      <c r="DD411" s="236">
        <v>37.252596475019317</v>
      </c>
      <c r="DE411" s="236">
        <v>31.852469280122978</v>
      </c>
      <c r="DF411" s="236">
        <v>31.42580608057165</v>
      </c>
      <c r="DG411" s="236">
        <v>53.283803325038527</v>
      </c>
      <c r="DH411" s="492">
        <v>55.983768527406497</v>
      </c>
      <c r="DI411" s="236">
        <v>49.155821145898642</v>
      </c>
      <c r="DJ411" s="236">
        <v>48.942513190953321</v>
      </c>
      <c r="DK411" s="236">
        <v>51.345670832677882</v>
      </c>
      <c r="DL411" s="236">
        <v>51.615606406700685</v>
      </c>
      <c r="DM411" s="236">
        <v>49.923198617362608</v>
      </c>
      <c r="DN411" s="236">
        <v>48.505301099480988</v>
      </c>
      <c r="DO411" s="236">
        <v>47.572174276891353</v>
      </c>
      <c r="DP411" s="236">
        <v>46.7952615231507</v>
      </c>
      <c r="DQ411" s="401">
        <v>45.985502423294903</v>
      </c>
      <c r="DR411" s="401">
        <v>45.199904221310675</v>
      </c>
      <c r="DS411" s="401">
        <v>44.461247827689718</v>
      </c>
      <c r="DT411" s="401">
        <v>43.760991926506577</v>
      </c>
      <c r="DU411" s="401">
        <v>43.49613833379955</v>
      </c>
      <c r="DV411" s="401">
        <v>43.27185979618384</v>
      </c>
      <c r="DW411" s="401">
        <v>43.055444334607891</v>
      </c>
      <c r="DX411" s="401">
        <v>42.86413557388768</v>
      </c>
      <c r="DY411" s="401">
        <v>42.693244412136146</v>
      </c>
      <c r="DZ411" s="401">
        <v>48.628548194964701</v>
      </c>
      <c r="EA411" s="989"/>
    </row>
    <row r="412" spans="1:131" s="76" customFormat="1">
      <c r="A412" s="101" t="s">
        <v>4230</v>
      </c>
      <c r="B412" s="16" t="s">
        <v>1300</v>
      </c>
      <c r="D412" s="227" t="s">
        <v>817</v>
      </c>
      <c r="E412" s="227"/>
      <c r="F412" s="101">
        <f t="shared" ref="F412:AS412" si="1631">100*F337/F329</f>
        <v>14.516741428120685</v>
      </c>
      <c r="G412" s="101">
        <f t="shared" si="1631"/>
        <v>14.113422631704699</v>
      </c>
      <c r="H412" s="101">
        <f t="shared" si="1631"/>
        <v>14.131993566901413</v>
      </c>
      <c r="I412" s="101">
        <f t="shared" si="1631"/>
        <v>14.867440157378741</v>
      </c>
      <c r="J412" s="101">
        <f t="shared" si="1631"/>
        <v>15.09765103673535</v>
      </c>
      <c r="K412" s="101">
        <f t="shared" si="1631"/>
        <v>15.409206785769888</v>
      </c>
      <c r="L412" s="101">
        <f t="shared" si="1631"/>
        <v>15.756099751607527</v>
      </c>
      <c r="M412" s="101">
        <f t="shared" si="1631"/>
        <v>14.037638001734015</v>
      </c>
      <c r="N412" s="101">
        <f t="shared" si="1631"/>
        <v>14.010778228408583</v>
      </c>
      <c r="O412" s="101">
        <f t="shared" si="1631"/>
        <v>13.880528543305061</v>
      </c>
      <c r="P412" s="101">
        <f t="shared" si="1631"/>
        <v>13.755290412837594</v>
      </c>
      <c r="Q412" s="101">
        <f t="shared" si="1631"/>
        <v>14.415434079818512</v>
      </c>
      <c r="R412" s="101">
        <f t="shared" si="1631"/>
        <v>16.722940433993351</v>
      </c>
      <c r="S412" s="101">
        <f t="shared" si="1631"/>
        <v>18.623255689111495</v>
      </c>
      <c r="T412" s="101">
        <f t="shared" si="1631"/>
        <v>19.837373960279834</v>
      </c>
      <c r="U412" s="101">
        <f t="shared" si="1631"/>
        <v>18.681107402954794</v>
      </c>
      <c r="V412" s="101">
        <f t="shared" si="1631"/>
        <v>17.90813972932084</v>
      </c>
      <c r="W412" s="101">
        <f t="shared" si="1631"/>
        <v>19.36766795043518</v>
      </c>
      <c r="X412" s="101">
        <f t="shared" si="1631"/>
        <v>18.962217476538896</v>
      </c>
      <c r="Y412" s="101">
        <f t="shared" si="1631"/>
        <v>20.254227120583042</v>
      </c>
      <c r="Z412" s="101">
        <f t="shared" si="1631"/>
        <v>25.366152011019576</v>
      </c>
      <c r="AA412" s="101">
        <f t="shared" si="1631"/>
        <v>28.424994913721953</v>
      </c>
      <c r="AB412" s="101">
        <f t="shared" si="1631"/>
        <v>23.449485554183386</v>
      </c>
      <c r="AC412" s="101">
        <f t="shared" si="1631"/>
        <v>27.89270579979954</v>
      </c>
      <c r="AD412" s="101">
        <f t="shared" si="1631"/>
        <v>28.457297724698286</v>
      </c>
      <c r="AE412" s="101">
        <f t="shared" si="1631"/>
        <v>29.038844235782136</v>
      </c>
      <c r="AF412" s="101">
        <f t="shared" si="1631"/>
        <v>25.767020306546367</v>
      </c>
      <c r="AG412" s="101">
        <f t="shared" si="1631"/>
        <v>25.537939420927984</v>
      </c>
      <c r="AH412" s="101">
        <f t="shared" si="1631"/>
        <v>20.100658790849238</v>
      </c>
      <c r="AI412" s="101">
        <f t="shared" si="1631"/>
        <v>14.903138756434526</v>
      </c>
      <c r="AJ412" s="101">
        <f t="shared" si="1631"/>
        <v>12.976946008905324</v>
      </c>
      <c r="AK412" s="101">
        <f t="shared" si="1631"/>
        <v>12.037221066941534</v>
      </c>
      <c r="AL412" s="101">
        <f t="shared" si="1631"/>
        <v>15.95004905812306</v>
      </c>
      <c r="AM412" s="101">
        <f t="shared" si="1631"/>
        <v>23.038508750287836</v>
      </c>
      <c r="AN412" s="101">
        <f t="shared" si="1631"/>
        <v>31.457291745399701</v>
      </c>
      <c r="AO412" s="101">
        <f t="shared" si="1631"/>
        <v>38.794400552946193</v>
      </c>
      <c r="AP412" s="101">
        <f t="shared" si="1631"/>
        <v>64.998987056001212</v>
      </c>
      <c r="AQ412" s="101">
        <f t="shared" si="1631"/>
        <v>53.190988659553305</v>
      </c>
      <c r="AR412" s="101">
        <f t="shared" si="1631"/>
        <v>44.271535661848546</v>
      </c>
      <c r="AS412" s="101">
        <f t="shared" si="1631"/>
        <v>50.182398788999137</v>
      </c>
      <c r="AT412" s="101">
        <f t="shared" ref="AT412:BB412" si="1632">100*AT337/AT329</f>
        <v>-18.716874487179137</v>
      </c>
      <c r="AU412" s="101">
        <f t="shared" si="1632"/>
        <v>36.331167595526516</v>
      </c>
      <c r="AV412" s="101">
        <f t="shared" si="1632"/>
        <v>17.671839430179279</v>
      </c>
      <c r="AW412" s="101">
        <f t="shared" si="1632"/>
        <v>14.597510716997226</v>
      </c>
      <c r="AX412" s="101">
        <f t="shared" si="1632"/>
        <v>12.097134600242757</v>
      </c>
      <c r="AY412" s="101">
        <f t="shared" si="1632"/>
        <v>35.054468011645966</v>
      </c>
      <c r="AZ412" s="101">
        <f t="shared" si="1632"/>
        <v>75.330709211876666</v>
      </c>
      <c r="BA412" s="101">
        <f t="shared" si="1632"/>
        <v>79.167273153784137</v>
      </c>
      <c r="BB412" s="101">
        <f t="shared" si="1632"/>
        <v>63.336838077673875</v>
      </c>
      <c r="BC412" s="101">
        <f t="shared" ref="BC412:BQ412" ca="1" si="1633">100*BC337/BC329</f>
        <v>64.58785115420784</v>
      </c>
      <c r="BD412" s="101">
        <f t="shared" ca="1" si="1633"/>
        <v>61.187825486224561</v>
      </c>
      <c r="BE412" s="101">
        <f t="shared" ca="1" si="1633"/>
        <v>56.774120306249429</v>
      </c>
      <c r="BF412" s="101">
        <f t="shared" ca="1" si="1633"/>
        <v>62.911478231810534</v>
      </c>
      <c r="BG412" s="101">
        <f t="shared" ca="1" si="1633"/>
        <v>55.796014480752127</v>
      </c>
      <c r="BH412" s="101">
        <f t="shared" ca="1" si="1633"/>
        <v>54.042504686151823</v>
      </c>
      <c r="BI412" s="101">
        <f t="shared" ca="1" si="1633"/>
        <v>40.100635389416013</v>
      </c>
      <c r="BJ412" s="101">
        <f t="shared" ca="1" si="1633"/>
        <v>50.720346898149877</v>
      </c>
      <c r="BK412" s="101">
        <f t="shared" ref="BK412:BP412" ca="1" si="1634">100*BK337/BK329</f>
        <v>58.733991501897961</v>
      </c>
      <c r="BL412" s="101">
        <f t="shared" ca="1" si="1634"/>
        <v>48.724322944280821</v>
      </c>
      <c r="BM412" s="101">
        <f t="shared" ca="1" si="1634"/>
        <v>37.810295275310146</v>
      </c>
      <c r="BN412" s="101">
        <f t="shared" ca="1" si="1634"/>
        <v>31.89361448203632</v>
      </c>
      <c r="BO412" s="101">
        <f t="shared" ca="1" si="1634"/>
        <v>27.531875468188463</v>
      </c>
      <c r="BP412" s="101">
        <f t="shared" ca="1" si="1634"/>
        <v>30.717025881219218</v>
      </c>
      <c r="BQ412" s="101">
        <f t="shared" ca="1" si="1633"/>
        <v>32.922796895195376</v>
      </c>
      <c r="BR412" s="101">
        <f ca="1">100*BR337/BR329</f>
        <v>30.887895009782369</v>
      </c>
      <c r="BS412" s="101">
        <f ca="1">100*BS337/BS329</f>
        <v>27.866168090100075</v>
      </c>
      <c r="BT412" s="101">
        <f ca="1">100*BT337/BT329</f>
        <v>25.474515963415328</v>
      </c>
      <c r="BU412" s="101">
        <f ca="1">100*BU337/BU329</f>
        <v>23.722855986489204</v>
      </c>
      <c r="BV412" s="101">
        <f ca="1">100*BV337/BV329</f>
        <v>22.238507521273082</v>
      </c>
      <c r="BW412" s="101">
        <f t="shared" ref="BW412:BX412" ca="1" si="1635">100*BW337/BW329</f>
        <v>20.956822557306474</v>
      </c>
      <c r="BX412" s="101">
        <f t="shared" ca="1" si="1635"/>
        <v>19.845014531296123</v>
      </c>
      <c r="BY412" s="101">
        <f t="shared" ref="BY412:CD412" ca="1" si="1636">100*BY337/BY329</f>
        <v>18.866624238659998</v>
      </c>
      <c r="BZ412" s="101">
        <f t="shared" ca="1" si="1636"/>
        <v>18.329615638681254</v>
      </c>
      <c r="CA412" s="101">
        <f t="shared" ca="1" si="1636"/>
        <v>17.882800992191154</v>
      </c>
      <c r="CB412" s="101">
        <f t="shared" ca="1" si="1636"/>
        <v>17.48116992988836</v>
      </c>
      <c r="CC412" s="101">
        <f t="shared" ca="1" si="1636"/>
        <v>17.125623627621209</v>
      </c>
      <c r="CD412" s="101">
        <f t="shared" ca="1" si="1636"/>
        <v>16.808564185430786</v>
      </c>
      <c r="CE412" s="101">
        <f t="shared" ca="1" si="1489"/>
        <v>23.041117282296156</v>
      </c>
      <c r="CF412" s="444"/>
      <c r="CG412" s="235">
        <f t="shared" ca="1" si="1543"/>
        <v>18.402595968533006</v>
      </c>
      <c r="CH412" s="235">
        <f t="shared" ca="1" si="1544"/>
        <v>-1.5622380333485353</v>
      </c>
      <c r="CI412" s="235" t="e">
        <f ca="1">BM412-#REF!</f>
        <v>#REF!</v>
      </c>
      <c r="CJ412" s="235">
        <f t="shared" ca="1" si="1545"/>
        <v>0</v>
      </c>
      <c r="CK412" s="235">
        <f t="shared" ca="1" si="1546"/>
        <v>0</v>
      </c>
      <c r="CL412" s="235">
        <f t="shared" ca="1" si="1547"/>
        <v>0</v>
      </c>
      <c r="CM412" s="235">
        <f t="shared" ca="1" si="1548"/>
        <v>0</v>
      </c>
      <c r="CN412" s="235">
        <f t="shared" ca="1" si="1549"/>
        <v>0</v>
      </c>
      <c r="CO412" s="235">
        <f t="shared" ca="1" si="1550"/>
        <v>2.8421709430404007E-14</v>
      </c>
      <c r="CP412" s="235">
        <f t="shared" ca="1" si="1551"/>
        <v>0</v>
      </c>
      <c r="CQ412" s="235">
        <f t="shared" ca="1" si="1552"/>
        <v>0</v>
      </c>
      <c r="CR412" s="235">
        <f t="shared" ca="1" si="1553"/>
        <v>-4.6185277824406512E-14</v>
      </c>
      <c r="CS412" s="235">
        <f t="shared" ca="1" si="1554"/>
        <v>-2.8421709430404007E-14</v>
      </c>
      <c r="CT412" s="235">
        <f t="shared" ca="1" si="1555"/>
        <v>0</v>
      </c>
      <c r="CU412" s="235">
        <f t="shared" ca="1" si="1556"/>
        <v>4.6185277824406512E-14</v>
      </c>
      <c r="CV412" s="235">
        <f t="shared" ca="1" si="1557"/>
        <v>8.5265128291212022E-14</v>
      </c>
      <c r="CW412" s="235">
        <f t="shared" ca="1" si="1558"/>
        <v>2.8776980798284058E-13</v>
      </c>
      <c r="CX412" s="235">
        <f t="shared" ca="1" si="1559"/>
        <v>2.4726887204451486E-12</v>
      </c>
      <c r="CY412" s="235">
        <f t="shared" ca="1" si="1560"/>
        <v>2.1625368162858649E-11</v>
      </c>
      <c r="CZ412" s="235">
        <f t="shared" ca="1" si="1561"/>
        <v>1.5520384977207868E-10</v>
      </c>
      <c r="DA412" s="38"/>
      <c r="DB412" s="236">
        <v>19.257899353305099</v>
      </c>
      <c r="DC412" s="236">
        <v>20.257899353305074</v>
      </c>
      <c r="DD412" s="236">
        <v>18.914544171256878</v>
      </c>
      <c r="DE412" s="236">
        <v>15.128823054585528</v>
      </c>
      <c r="DF412" s="236">
        <v>13.826944593185146</v>
      </c>
      <c r="DG412" s="236">
        <v>40.331395533364955</v>
      </c>
      <c r="DH412" s="492">
        <v>50.286560977629357</v>
      </c>
      <c r="DI412" s="236">
        <v>31.893614482036316</v>
      </c>
      <c r="DJ412" s="236">
        <v>27.531875468188471</v>
      </c>
      <c r="DK412" s="236">
        <v>30.717025881219215</v>
      </c>
      <c r="DL412" s="236">
        <v>32.922796895195354</v>
      </c>
      <c r="DM412" s="236">
        <v>30.887895009782362</v>
      </c>
      <c r="DN412" s="236">
        <v>27.866168090100047</v>
      </c>
      <c r="DO412" s="236">
        <v>25.474515963415339</v>
      </c>
      <c r="DP412" s="236">
        <v>23.722855986489204</v>
      </c>
      <c r="DQ412" s="401">
        <v>22.238507521273128</v>
      </c>
      <c r="DR412" s="401">
        <v>20.956822557306502</v>
      </c>
      <c r="DS412" s="401">
        <v>19.845014531296123</v>
      </c>
      <c r="DT412" s="401">
        <v>18.866624238659952</v>
      </c>
      <c r="DU412" s="401">
        <v>18.329615638681169</v>
      </c>
      <c r="DV412" s="401">
        <v>17.882800992190866</v>
      </c>
      <c r="DW412" s="401">
        <v>17.481169929885887</v>
      </c>
      <c r="DX412" s="401">
        <v>17.125623627599584</v>
      </c>
      <c r="DY412" s="401">
        <v>16.808564185275582</v>
      </c>
      <c r="DZ412" s="401">
        <v>24.030729995595237</v>
      </c>
      <c r="EA412" s="989"/>
    </row>
    <row r="413" spans="1:131" s="38" customFormat="1">
      <c r="A413" s="38" t="str">
        <f>A363</f>
        <v>Exchange rate SRD/US$</v>
      </c>
      <c r="B413" s="255" t="s">
        <v>1729</v>
      </c>
      <c r="D413" s="227" t="s">
        <v>817</v>
      </c>
      <c r="E413" s="227"/>
      <c r="F413" s="38">
        <f t="shared" ref="F413:AT413" si="1637">F363</f>
        <v>9.4167793283907533E-4</v>
      </c>
      <c r="G413" s="38">
        <f t="shared" si="1637"/>
        <v>9.4167793283907533E-4</v>
      </c>
      <c r="H413" s="38">
        <f t="shared" si="1637"/>
        <v>9.4167793283907533E-4</v>
      </c>
      <c r="I413" s="38">
        <f t="shared" si="1637"/>
        <v>9.4167793283907533E-4</v>
      </c>
      <c r="J413" s="38">
        <f t="shared" si="1637"/>
        <v>9.4167793283907533E-4</v>
      </c>
      <c r="K413" s="38">
        <f t="shared" si="1637"/>
        <v>9.4167793283907533E-4</v>
      </c>
      <c r="L413" s="38">
        <f t="shared" si="1637"/>
        <v>9.4167793283907533E-4</v>
      </c>
      <c r="M413" s="38">
        <f t="shared" si="1637"/>
        <v>9.4167793283907533E-4</v>
      </c>
      <c r="N413" s="38">
        <f t="shared" si="1637"/>
        <v>9.4167793283907533E-4</v>
      </c>
      <c r="O413" s="38">
        <f t="shared" si="1637"/>
        <v>9.4167793283907533E-4</v>
      </c>
      <c r="P413" s="38">
        <f t="shared" si="1637"/>
        <v>9.4167793283907533E-4</v>
      </c>
      <c r="Q413" s="38">
        <f t="shared" si="1637"/>
        <v>9.4167793283907533E-4</v>
      </c>
      <c r="R413" s="38">
        <f t="shared" si="1637"/>
        <v>9.4167793283907533E-4</v>
      </c>
      <c r="S413" s="38">
        <f t="shared" si="1637"/>
        <v>9.4167793283907533E-4</v>
      </c>
      <c r="T413" s="38">
        <f t="shared" si="1637"/>
        <v>9.4167793283907533E-4</v>
      </c>
      <c r="U413" s="38">
        <f t="shared" si="1637"/>
        <v>9.4167793283907533E-4</v>
      </c>
      <c r="V413" s="38">
        <f t="shared" si="1637"/>
        <v>9.4167793283907533E-4</v>
      </c>
      <c r="W413" s="38">
        <f t="shared" si="1637"/>
        <v>9.4167793283907533E-4</v>
      </c>
      <c r="X413" s="38">
        <f t="shared" si="1637"/>
        <v>8.9172154382904478E-4</v>
      </c>
      <c r="Y413" s="38">
        <f t="shared" si="1637"/>
        <v>8.9172154382904478E-4</v>
      </c>
      <c r="Z413" s="38">
        <f t="shared" si="1637"/>
        <v>8.9172154382904478E-4</v>
      </c>
      <c r="AA413" s="38">
        <f t="shared" si="1637"/>
        <v>8.9172154382904478E-4</v>
      </c>
      <c r="AB413" s="38">
        <f t="shared" si="1637"/>
        <v>8.9172154382904478E-4</v>
      </c>
      <c r="AC413" s="38">
        <f t="shared" si="1637"/>
        <v>8.9172154382904478E-4</v>
      </c>
      <c r="AD413" s="38">
        <f t="shared" si="1637"/>
        <v>8.9172154382904478E-4</v>
      </c>
      <c r="AE413" s="38">
        <f t="shared" si="1637"/>
        <v>8.9172154382904478E-4</v>
      </c>
      <c r="AF413" s="38">
        <f t="shared" si="1637"/>
        <v>8.9172154382904478E-4</v>
      </c>
      <c r="AG413" s="38">
        <f t="shared" si="1637"/>
        <v>8.9172154382904478E-4</v>
      </c>
      <c r="AH413" s="38">
        <f t="shared" si="1637"/>
        <v>8.9172154382904478E-4</v>
      </c>
      <c r="AI413" s="38">
        <f t="shared" si="1637"/>
        <v>8.9172154382904478E-4</v>
      </c>
      <c r="AJ413" s="38">
        <f t="shared" si="1637"/>
        <v>8.9172154382904478E-4</v>
      </c>
      <c r="AK413" s="38">
        <f t="shared" si="1637"/>
        <v>8.9172154382904478E-4</v>
      </c>
      <c r="AL413" s="38">
        <f t="shared" si="1637"/>
        <v>8.9172154382904478E-4</v>
      </c>
      <c r="AM413" s="38">
        <f t="shared" si="1637"/>
        <v>5.7951903352496982E-3</v>
      </c>
      <c r="AN413" s="38">
        <f t="shared" si="1637"/>
        <v>5.6744152418649529E-3</v>
      </c>
      <c r="AO413" s="38">
        <f t="shared" si="1637"/>
        <v>8.0609310871475152E-3</v>
      </c>
      <c r="AP413" s="38">
        <f t="shared" si="1637"/>
        <v>9.0271318342254776E-3</v>
      </c>
      <c r="AQ413" s="38">
        <f t="shared" si="1637"/>
        <v>9.5875282675306935E-3</v>
      </c>
      <c r="AR413" s="38">
        <f t="shared" si="1637"/>
        <v>1.2505454523706137E-2</v>
      </c>
      <c r="AS413" s="38">
        <f t="shared" si="1637"/>
        <v>3.096471979663059E-2</v>
      </c>
      <c r="AT413" s="38">
        <f t="shared" si="1637"/>
        <v>0.18086075682073988</v>
      </c>
      <c r="AU413" s="38">
        <f>AU363</f>
        <v>0.46142715955471381</v>
      </c>
      <c r="AV413" s="38">
        <f t="shared" ref="AV413:BO413" si="1638">AV363</f>
        <v>0.40092499999999998</v>
      </c>
      <c r="AW413" s="38">
        <f t="shared" si="1638"/>
        <v>0.40100000000000002</v>
      </c>
      <c r="AX413" s="38">
        <f t="shared" si="1638"/>
        <v>0.40100000000000002</v>
      </c>
      <c r="AY413" s="38">
        <f t="shared" si="1638"/>
        <v>0.85990999999999995</v>
      </c>
      <c r="AZ413" s="38">
        <f t="shared" si="1638"/>
        <v>1.3263099999999999</v>
      </c>
      <c r="BA413" s="38">
        <f t="shared" si="1638"/>
        <v>2.1785000000000001</v>
      </c>
      <c r="BB413" s="38">
        <f t="shared" si="1638"/>
        <v>2.3269450000000003</v>
      </c>
      <c r="BC413" s="38">
        <f t="shared" si="1638"/>
        <v>2.6033299999999997</v>
      </c>
      <c r="BD413" s="38">
        <f t="shared" si="1638"/>
        <v>2.734</v>
      </c>
      <c r="BE413" s="277">
        <f t="shared" si="1638"/>
        <v>2.73</v>
      </c>
      <c r="BF413" s="38">
        <f t="shared" si="1638"/>
        <v>2.7425000000000002</v>
      </c>
      <c r="BG413" s="38">
        <f t="shared" si="1638"/>
        <v>2.7450000000000001</v>
      </c>
      <c r="BH413" s="38">
        <f t="shared" si="1638"/>
        <v>2.7450000000000001</v>
      </c>
      <c r="BI413" s="38">
        <f t="shared" si="1638"/>
        <v>2.85</v>
      </c>
      <c r="BJ413" s="38">
        <f t="shared" si="1638"/>
        <v>3.05</v>
      </c>
      <c r="BK413" s="38">
        <f t="shared" si="1638"/>
        <v>3.25</v>
      </c>
      <c r="BL413" s="38">
        <f t="shared" si="1638"/>
        <v>3.35</v>
      </c>
      <c r="BM413" s="25">
        <f t="shared" si="1638"/>
        <v>3.35</v>
      </c>
      <c r="BN413" s="25">
        <f t="shared" si="1638"/>
        <v>3.35</v>
      </c>
      <c r="BO413" s="25">
        <f t="shared" si="1638"/>
        <v>3.35</v>
      </c>
      <c r="BP413" s="83">
        <f t="shared" ref="BP413:BU413" si="1639">BP363</f>
        <v>4.2</v>
      </c>
      <c r="BQ413" s="25">
        <f t="shared" si="1639"/>
        <v>4.2</v>
      </c>
      <c r="BR413" s="25">
        <f t="shared" si="1639"/>
        <v>4.2</v>
      </c>
      <c r="BS413" s="25">
        <f t="shared" si="1639"/>
        <v>4.2</v>
      </c>
      <c r="BT413" s="25">
        <f t="shared" si="1639"/>
        <v>4.2</v>
      </c>
      <c r="BU413" s="25">
        <f t="shared" si="1639"/>
        <v>4.2</v>
      </c>
      <c r="BV413" s="25">
        <f>BV363</f>
        <v>4.2</v>
      </c>
      <c r="BW413" s="25">
        <f t="shared" ref="BW413:BX413" si="1640">BW363</f>
        <v>4.2</v>
      </c>
      <c r="BX413" s="25">
        <f t="shared" si="1640"/>
        <v>4.2</v>
      </c>
      <c r="BY413" s="25">
        <f t="shared" ref="BY413:CD413" si="1641">BY363</f>
        <v>4.2</v>
      </c>
      <c r="BZ413" s="25">
        <f t="shared" si="1641"/>
        <v>4.2</v>
      </c>
      <c r="CA413" s="25">
        <f t="shared" si="1641"/>
        <v>4.2</v>
      </c>
      <c r="CB413" s="25">
        <f t="shared" si="1641"/>
        <v>4.2</v>
      </c>
      <c r="CC413" s="25">
        <f t="shared" si="1641"/>
        <v>4.2</v>
      </c>
      <c r="CD413" s="25">
        <f t="shared" si="1641"/>
        <v>4.2</v>
      </c>
      <c r="CE413" s="99">
        <f t="shared" si="1489"/>
        <v>4.1468750000000014</v>
      </c>
      <c r="CF413" s="445"/>
      <c r="CG413" s="235">
        <f t="shared" si="1543"/>
        <v>0</v>
      </c>
      <c r="CH413" s="235">
        <f t="shared" si="1544"/>
        <v>0</v>
      </c>
      <c r="CI413" s="235" t="e">
        <f>BM413-#REF!</f>
        <v>#REF!</v>
      </c>
      <c r="CJ413" s="235">
        <f t="shared" si="1545"/>
        <v>0</v>
      </c>
      <c r="CK413" s="235">
        <f t="shared" si="1546"/>
        <v>0</v>
      </c>
      <c r="CL413" s="235">
        <f t="shared" si="1547"/>
        <v>0</v>
      </c>
      <c r="CM413" s="235">
        <f t="shared" si="1548"/>
        <v>0</v>
      </c>
      <c r="CN413" s="235">
        <f t="shared" si="1549"/>
        <v>0</v>
      </c>
      <c r="CO413" s="235">
        <f t="shared" si="1550"/>
        <v>0</v>
      </c>
      <c r="CP413" s="235">
        <f t="shared" si="1551"/>
        <v>0</v>
      </c>
      <c r="CQ413" s="235">
        <f t="shared" si="1552"/>
        <v>0</v>
      </c>
      <c r="CR413" s="235">
        <f t="shared" si="1553"/>
        <v>0</v>
      </c>
      <c r="CS413" s="235">
        <f t="shared" si="1554"/>
        <v>0</v>
      </c>
      <c r="CT413" s="235">
        <f t="shared" si="1555"/>
        <v>0</v>
      </c>
      <c r="CU413" s="235">
        <f t="shared" si="1556"/>
        <v>0</v>
      </c>
      <c r="CV413" s="235">
        <f t="shared" si="1557"/>
        <v>0</v>
      </c>
      <c r="CW413" s="235">
        <f t="shared" si="1558"/>
        <v>0</v>
      </c>
      <c r="CX413" s="235">
        <f t="shared" si="1559"/>
        <v>0</v>
      </c>
      <c r="CY413" s="235">
        <f t="shared" si="1560"/>
        <v>0</v>
      </c>
      <c r="CZ413" s="235">
        <f t="shared" si="1561"/>
        <v>0</v>
      </c>
      <c r="DB413" s="236">
        <v>1.7424999999999999</v>
      </c>
      <c r="DC413" s="236">
        <v>2.7425000000000002</v>
      </c>
      <c r="DD413" s="236">
        <v>2.7450000000000001</v>
      </c>
      <c r="DE413" s="236">
        <v>2.7450000000000001</v>
      </c>
      <c r="DF413" s="236">
        <v>2.85</v>
      </c>
      <c r="DG413" s="236">
        <v>3.25</v>
      </c>
      <c r="DH413" s="492">
        <v>3.35</v>
      </c>
      <c r="DI413" s="236">
        <v>3.35</v>
      </c>
      <c r="DJ413" s="236">
        <v>3.35</v>
      </c>
      <c r="DK413" s="236">
        <v>4.2</v>
      </c>
      <c r="DL413" s="236">
        <v>4.2</v>
      </c>
      <c r="DM413" s="236">
        <v>4.2</v>
      </c>
      <c r="DN413" s="236">
        <v>4.2</v>
      </c>
      <c r="DO413" s="236">
        <v>4.2</v>
      </c>
      <c r="DP413" s="236">
        <v>4.2</v>
      </c>
      <c r="DQ413" s="236">
        <v>4.2</v>
      </c>
      <c r="DR413" s="236">
        <v>4.2</v>
      </c>
      <c r="DS413" s="236">
        <v>4.2</v>
      </c>
      <c r="DT413" s="236">
        <v>4.2</v>
      </c>
      <c r="DU413" s="236">
        <v>4.2</v>
      </c>
      <c r="DV413" s="236">
        <v>4.2</v>
      </c>
      <c r="DW413" s="236">
        <v>4.2</v>
      </c>
      <c r="DX413" s="236">
        <v>4.2</v>
      </c>
      <c r="DY413" s="236">
        <v>4.2</v>
      </c>
      <c r="DZ413" s="236">
        <v>4.3343749999999996</v>
      </c>
      <c r="EA413" s="492"/>
    </row>
    <row r="414" spans="1:131" s="76" customFormat="1">
      <c r="A414" s="16" t="str">
        <f>A378</f>
        <v>purchasing power of wage income and unemployment benefits</v>
      </c>
      <c r="B414" s="16" t="str">
        <f>B378</f>
        <v>Koopkrachtmutatie loon- en steuntrekkers</v>
      </c>
      <c r="C414" s="16" t="str">
        <f>C378</f>
        <v>REELP</v>
      </c>
      <c r="D414" s="227" t="s">
        <v>817</v>
      </c>
      <c r="E414" s="227"/>
      <c r="F414" s="16">
        <f t="shared" ref="F414:AK414" si="1642">F378</f>
        <v>-99.999911655454227</v>
      </c>
      <c r="G414" s="16">
        <f t="shared" si="1642"/>
        <v>-99.999904440149905</v>
      </c>
      <c r="H414" s="16">
        <f t="shared" si="1642"/>
        <v>-99.999898698020274</v>
      </c>
      <c r="I414" s="16">
        <f t="shared" si="1642"/>
        <v>-99.999888677172407</v>
      </c>
      <c r="J414" s="16">
        <f t="shared" si="1642"/>
        <v>-99.999870848528857</v>
      </c>
      <c r="K414" s="16">
        <f t="shared" si="1642"/>
        <v>-99.999858682236791</v>
      </c>
      <c r="L414" s="16">
        <f t="shared" si="1642"/>
        <v>-99.999850907315874</v>
      </c>
      <c r="M414" s="16">
        <f t="shared" si="1642"/>
        <v>-99.999835700301205</v>
      </c>
      <c r="N414" s="16">
        <f t="shared" si="1642"/>
        <v>-99.999828504917986</v>
      </c>
      <c r="O414" s="16">
        <f t="shared" si="1642"/>
        <v>-99.999820298840731</v>
      </c>
      <c r="P414" s="16">
        <f t="shared" si="1642"/>
        <v>-99.999800787628757</v>
      </c>
      <c r="Q414" s="16">
        <f t="shared" si="1642"/>
        <v>-99.999792143169358</v>
      </c>
      <c r="R414" s="16">
        <f t="shared" si="1642"/>
        <v>-99.999756743961157</v>
      </c>
      <c r="S414" s="16">
        <f t="shared" si="1642"/>
        <v>-99.99974499832183</v>
      </c>
      <c r="T414" s="16">
        <f t="shared" si="1642"/>
        <v>-99.999702765780924</v>
      </c>
      <c r="U414" s="16">
        <f t="shared" si="1642"/>
        <v>-99.999677981698497</v>
      </c>
      <c r="V414" s="16">
        <f t="shared" si="1642"/>
        <v>-99.999629482354266</v>
      </c>
      <c r="W414" s="16">
        <f t="shared" si="1642"/>
        <v>-99.999603441526659</v>
      </c>
      <c r="X414" s="16">
        <f t="shared" si="1642"/>
        <v>-99.999571997332069</v>
      </c>
      <c r="Y414" s="16">
        <f t="shared" si="1642"/>
        <v>-99.999575983316433</v>
      </c>
      <c r="Z414" s="16">
        <f t="shared" si="1642"/>
        <v>-99.999539501391354</v>
      </c>
      <c r="AA414" s="16">
        <f t="shared" si="1642"/>
        <v>-99.999379658359018</v>
      </c>
      <c r="AB414" s="16">
        <f t="shared" si="1642"/>
        <v>-99.999270882606965</v>
      </c>
      <c r="AC414" s="16">
        <f t="shared" si="1642"/>
        <v>-99.999062770218387</v>
      </c>
      <c r="AD414" s="16">
        <f t="shared" si="1642"/>
        <v>-99.998891445470633</v>
      </c>
      <c r="AE414" s="16">
        <f t="shared" si="1642"/>
        <v>-99.998905710817468</v>
      </c>
      <c r="AF414" s="16">
        <f t="shared" si="1642"/>
        <v>-99.99875321073155</v>
      </c>
      <c r="AG414" s="16">
        <f t="shared" si="1642"/>
        <v>-99.998465201086972</v>
      </c>
      <c r="AH414" s="16">
        <f t="shared" si="1642"/>
        <v>-99.99820249312981</v>
      </c>
      <c r="AI414" s="16">
        <f t="shared" si="1642"/>
        <v>-99.998023333941816</v>
      </c>
      <c r="AJ414" s="16">
        <f t="shared" si="1642"/>
        <v>-99.997971009576972</v>
      </c>
      <c r="AK414" s="16">
        <f t="shared" si="1642"/>
        <v>-99.998120262561031</v>
      </c>
      <c r="AL414" s="16">
        <f t="shared" ref="AL414:BB414" si="1643">AL378</f>
        <v>-99.998366672341518</v>
      </c>
      <c r="AM414" s="16">
        <f t="shared" si="1643"/>
        <v>-99.998883047415703</v>
      </c>
      <c r="AN414" s="16">
        <f t="shared" si="1643"/>
        <v>-99.99801476372825</v>
      </c>
      <c r="AO414" s="16">
        <f t="shared" si="1643"/>
        <v>-99.997931903639511</v>
      </c>
      <c r="AP414" s="16">
        <f t="shared" si="1643"/>
        <v>-99.99785831733368</v>
      </c>
      <c r="AQ414" s="16">
        <f t="shared" si="1643"/>
        <v>-99.997447633974019</v>
      </c>
      <c r="AR414" s="16">
        <f t="shared" si="1643"/>
        <v>-99.997116347801608</v>
      </c>
      <c r="AS414" s="16">
        <f t="shared" si="1643"/>
        <v>-99.997468370405699</v>
      </c>
      <c r="AT414" s="16">
        <f t="shared" si="1643"/>
        <v>-99.997285563103958</v>
      </c>
      <c r="AU414" s="16">
        <f t="shared" si="1643"/>
        <v>-99.959556945742179</v>
      </c>
      <c r="AV414" s="16">
        <f t="shared" si="1643"/>
        <v>-99.745249398133879</v>
      </c>
      <c r="AW414" s="16">
        <f t="shared" si="1643"/>
        <v>1.6874246950934646</v>
      </c>
      <c r="AX414" s="16">
        <f t="shared" si="1643"/>
        <v>11.998576448002197</v>
      </c>
      <c r="AY414" s="16">
        <f t="shared" si="1643"/>
        <v>-16.315614973184722</v>
      </c>
      <c r="AZ414" s="16">
        <f t="shared" si="1643"/>
        <v>-6.9425677002526109</v>
      </c>
      <c r="BA414" s="16">
        <f t="shared" si="1643"/>
        <v>11.87853043603042</v>
      </c>
      <c r="BB414" s="16">
        <f t="shared" si="1643"/>
        <v>9.9373804802052703</v>
      </c>
      <c r="BC414" s="16">
        <f t="shared" ref="BC414:BQ414" ca="1" si="1644">BC378</f>
        <v>-3.3768093811043731</v>
      </c>
      <c r="BD414" s="16">
        <f t="shared" ca="1" si="1644"/>
        <v>12.659366397629102</v>
      </c>
      <c r="BE414" s="16">
        <f t="shared" ca="1" si="1644"/>
        <v>24.718930771006864</v>
      </c>
      <c r="BF414" s="16">
        <f t="shared" ca="1" si="1644"/>
        <v>-1.0237859004819216</v>
      </c>
      <c r="BG414" s="16">
        <f t="shared" ca="1" si="1644"/>
        <v>9.6210938615752148</v>
      </c>
      <c r="BH414" s="16">
        <f t="shared" ca="1" si="1644"/>
        <v>-4.7812716287031538</v>
      </c>
      <c r="BI414" s="16">
        <f t="shared" ca="1" si="1644"/>
        <v>11.593260618951785</v>
      </c>
      <c r="BJ414" s="16">
        <f t="shared" ca="1" si="1644"/>
        <v>2.3471230196747683E-2</v>
      </c>
      <c r="BK414" s="16">
        <f t="shared" ref="BK414:BP414" ca="1" si="1645">BK378</f>
        <v>-2.0880267011914144</v>
      </c>
      <c r="BL414" s="16">
        <f t="shared" ca="1" si="1645"/>
        <v>7.5322507536151884</v>
      </c>
      <c r="BM414" s="16">
        <f t="shared" ca="1" si="1645"/>
        <v>8.3424589059048593</v>
      </c>
      <c r="BN414" s="16">
        <f t="shared" ca="1" si="1645"/>
        <v>-1.3575439044519411</v>
      </c>
      <c r="BO414" s="16">
        <f t="shared" ca="1" si="1645"/>
        <v>-2.2996164005254727</v>
      </c>
      <c r="BP414" s="16">
        <f t="shared" ca="1" si="1645"/>
        <v>-13.593436965988182</v>
      </c>
      <c r="BQ414" s="16">
        <f t="shared" ca="1" si="1644"/>
        <v>10.631244735640632</v>
      </c>
      <c r="BR414" s="16">
        <f ca="1">BR378</f>
        <v>7.3466910674323538</v>
      </c>
      <c r="BS414" s="16">
        <f ca="1">BS378</f>
        <v>2.0588911916583852</v>
      </c>
      <c r="BT414" s="16">
        <f ca="1">BT378</f>
        <v>-0.16654296064323448</v>
      </c>
      <c r="BU414" s="16">
        <f ca="1">BU378</f>
        <v>0.21660145367115025</v>
      </c>
      <c r="BV414" s="16">
        <f ca="1">BV378</f>
        <v>0.60672083420862943</v>
      </c>
      <c r="BW414" s="16">
        <f t="shared" ref="BW414:BX414" ca="1" si="1646">BW378</f>
        <v>0.55092907271363512</v>
      </c>
      <c r="BX414" s="16">
        <f t="shared" ca="1" si="1646"/>
        <v>0.52998608038572481</v>
      </c>
      <c r="BY414" s="16">
        <f t="shared" ref="BY414:CD414" ca="1" si="1647">BY378</f>
        <v>0.51368715465296422</v>
      </c>
      <c r="BZ414" s="16">
        <f t="shared" ca="1" si="1647"/>
        <v>0.56371105339025895</v>
      </c>
      <c r="CA414" s="16">
        <f t="shared" ca="1" si="1647"/>
        <v>0.65140726857477738</v>
      </c>
      <c r="CB414" s="16">
        <f t="shared" ca="1" si="1647"/>
        <v>0.6080894771423484</v>
      </c>
      <c r="CC414" s="16">
        <f t="shared" ca="1" si="1647"/>
        <v>0.62162861618306753</v>
      </c>
      <c r="CD414" s="16">
        <f t="shared" ca="1" si="1647"/>
        <v>0.64302005261287487</v>
      </c>
      <c r="CE414" s="101">
        <f t="shared" ca="1" si="1489"/>
        <v>0.59268823319436947</v>
      </c>
      <c r="CF414" s="444"/>
      <c r="CG414" s="235">
        <f t="shared" ca="1" si="1543"/>
        <v>-1.3561022313426041</v>
      </c>
      <c r="CH414" s="235">
        <f t="shared" ca="1" si="1544"/>
        <v>1.0816553479342517E-3</v>
      </c>
      <c r="CI414" s="235" t="e">
        <f ca="1">BM414-#REF!</f>
        <v>#REF!</v>
      </c>
      <c r="CJ414" s="235">
        <f t="shared" ca="1" si="1545"/>
        <v>0</v>
      </c>
      <c r="CK414" s="235">
        <f t="shared" ca="1" si="1546"/>
        <v>0</v>
      </c>
      <c r="CL414" s="235">
        <f t="shared" ca="1" si="1547"/>
        <v>2.1316282072803006E-14</v>
      </c>
      <c r="CM414" s="235">
        <f t="shared" ca="1" si="1548"/>
        <v>-2.3092638912203256E-14</v>
      </c>
      <c r="CN414" s="235">
        <f t="shared" ca="1" si="1549"/>
        <v>-2.2204460492503131E-14</v>
      </c>
      <c r="CO414" s="235">
        <f t="shared" ca="1" si="1550"/>
        <v>-2.2204460492503131E-14</v>
      </c>
      <c r="CP414" s="235">
        <f t="shared" ca="1" si="1551"/>
        <v>-2.2204460492503131E-14</v>
      </c>
      <c r="CQ414" s="235">
        <f t="shared" ca="1" si="1552"/>
        <v>-2.2204460492503131E-14</v>
      </c>
      <c r="CR414" s="235">
        <f t="shared" ca="1" si="1553"/>
        <v>-2.2204460492503131E-14</v>
      </c>
      <c r="CS414" s="235">
        <f t="shared" ca="1" si="1554"/>
        <v>-8.8817841970012523E-14</v>
      </c>
      <c r="CT414" s="235">
        <f t="shared" ca="1" si="1555"/>
        <v>-1.3322676295501878E-13</v>
      </c>
      <c r="CU414" s="235">
        <f t="shared" ca="1" si="1556"/>
        <v>-1.7763568394002505E-13</v>
      </c>
      <c r="CV414" s="235">
        <f t="shared" ca="1" si="1557"/>
        <v>-1.5543122344752192E-13</v>
      </c>
      <c r="CW414" s="235">
        <f t="shared" ca="1" si="1558"/>
        <v>-2.2204460492503131E-14</v>
      </c>
      <c r="CX414" s="235">
        <f t="shared" ca="1" si="1559"/>
        <v>2.1316282072803006E-12</v>
      </c>
      <c r="CY414" s="235">
        <f t="shared" ca="1" si="1560"/>
        <v>2.2137847111025621E-11</v>
      </c>
      <c r="CZ414" s="235">
        <f t="shared" ca="1" si="1561"/>
        <v>1.6291412663349547E-10</v>
      </c>
      <c r="DA414" s="38"/>
      <c r="DB414" s="236">
        <v>4.2126982196956098</v>
      </c>
      <c r="DC414" s="236">
        <v>5.2126982196956106</v>
      </c>
      <c r="DD414" s="236">
        <v>9.610863584917805</v>
      </c>
      <c r="DE414" s="236">
        <v>-6.1981434029599107</v>
      </c>
      <c r="DF414" s="236">
        <v>14.302203854371221</v>
      </c>
      <c r="DG414" s="236">
        <v>-0.73192446984881032</v>
      </c>
      <c r="DH414" s="492">
        <v>7.5311690982672541</v>
      </c>
      <c r="DI414" s="236">
        <v>-1.3575439044519411</v>
      </c>
      <c r="DJ414" s="236">
        <v>-2.2996164005254727</v>
      </c>
      <c r="DK414" s="236">
        <v>-13.593436965988204</v>
      </c>
      <c r="DL414" s="236">
        <v>10.631244735640655</v>
      </c>
      <c r="DM414" s="236">
        <v>7.346691067432376</v>
      </c>
      <c r="DN414" s="236">
        <v>2.0588911916584074</v>
      </c>
      <c r="DO414" s="236">
        <v>-0.16654296064321228</v>
      </c>
      <c r="DP414" s="236">
        <v>0.21660145367117245</v>
      </c>
      <c r="DQ414" s="401">
        <v>0.60672083420865164</v>
      </c>
      <c r="DR414" s="401">
        <v>0.55092907271372393</v>
      </c>
      <c r="DS414" s="401">
        <v>0.52998608038585804</v>
      </c>
      <c r="DT414" s="401">
        <v>0.51368715465314185</v>
      </c>
      <c r="DU414" s="401">
        <v>0.56371105339041438</v>
      </c>
      <c r="DV414" s="401">
        <v>0.65140726857479958</v>
      </c>
      <c r="DW414" s="401">
        <v>0.60808947714021677</v>
      </c>
      <c r="DX414" s="401">
        <v>0.62162861616092968</v>
      </c>
      <c r="DY414" s="401">
        <v>0.64302005244996074</v>
      </c>
      <c r="DZ414" s="401">
        <v>1.3836455701982719E-2</v>
      </c>
      <c r="EA414" s="989"/>
    </row>
    <row r="415" spans="1:131" s="76" customFormat="1">
      <c r="A415" s="16" t="str">
        <f>A423</f>
        <v>Broad Money/monetary supply</v>
      </c>
      <c r="B415" s="16" t="s">
        <v>3543</v>
      </c>
      <c r="C415" s="16"/>
      <c r="D415" s="227" t="s">
        <v>817</v>
      </c>
      <c r="E415" s="227"/>
      <c r="F415" s="16">
        <f t="shared" ref="F415:AS415" si="1648">100*F423/F424</f>
        <v>17.065020290455898</v>
      </c>
      <c r="G415" s="16">
        <f t="shared" si="1648"/>
        <v>16.355141822229037</v>
      </c>
      <c r="H415" s="16">
        <f t="shared" si="1648"/>
        <v>16.160447775270683</v>
      </c>
      <c r="I415" s="16">
        <f t="shared" si="1648"/>
        <v>17.565985854367778</v>
      </c>
      <c r="J415" s="16">
        <f t="shared" si="1648"/>
        <v>18.088678282656563</v>
      </c>
      <c r="K415" s="16">
        <f t="shared" si="1648"/>
        <v>18.059656870661442</v>
      </c>
      <c r="L415" s="16">
        <f t="shared" si="1648"/>
        <v>19.859893806600947</v>
      </c>
      <c r="M415" s="16">
        <f t="shared" si="1648"/>
        <v>21.619072166766063</v>
      </c>
      <c r="N415" s="16">
        <f t="shared" si="1648"/>
        <v>22.500707059253518</v>
      </c>
      <c r="O415" s="16">
        <f t="shared" si="1648"/>
        <v>22.728290581911441</v>
      </c>
      <c r="P415" s="16">
        <f t="shared" si="1648"/>
        <v>25.758812716050738</v>
      </c>
      <c r="Q415" s="16">
        <f t="shared" si="1648"/>
        <v>27.252212155581038</v>
      </c>
      <c r="R415" s="16">
        <f t="shared" si="1648"/>
        <v>31.252847224303974</v>
      </c>
      <c r="S415" s="16">
        <f t="shared" si="1648"/>
        <v>34.592504175817297</v>
      </c>
      <c r="T415" s="16">
        <f t="shared" si="1648"/>
        <v>38.272216731944653</v>
      </c>
      <c r="U415" s="16">
        <f t="shared" si="1648"/>
        <v>43.199093057941973</v>
      </c>
      <c r="V415" s="16">
        <f t="shared" si="1648"/>
        <v>48.263422612203733</v>
      </c>
      <c r="W415" s="16">
        <f t="shared" si="1648"/>
        <v>52.450607348203498</v>
      </c>
      <c r="X415" s="16">
        <f t="shared" si="1648"/>
        <v>58.138251389248232</v>
      </c>
      <c r="Y415" s="16">
        <f t="shared" si="1648"/>
        <v>55.942822457575154</v>
      </c>
      <c r="Z415" s="16">
        <f t="shared" si="1648"/>
        <v>60.613803151084483</v>
      </c>
      <c r="AA415" s="16">
        <f t="shared" si="1648"/>
        <v>59.117560391951926</v>
      </c>
      <c r="AB415" s="16">
        <f t="shared" si="1648"/>
        <v>54.015131170736382</v>
      </c>
      <c r="AC415" s="16">
        <f t="shared" si="1648"/>
        <v>57.919289357429214</v>
      </c>
      <c r="AD415" s="16">
        <f t="shared" si="1648"/>
        <v>76.590673142276671</v>
      </c>
      <c r="AE415" s="16">
        <f t="shared" si="1648"/>
        <v>82.318373240969677</v>
      </c>
      <c r="AF415" s="16">
        <f t="shared" si="1648"/>
        <v>78.799636458087747</v>
      </c>
      <c r="AG415" s="16">
        <f t="shared" si="1648"/>
        <v>101.60239515120065</v>
      </c>
      <c r="AH415" s="16">
        <f t="shared" si="1648"/>
        <v>139.19020429925126</v>
      </c>
      <c r="AI415" s="16">
        <f t="shared" si="1648"/>
        <v>158.25547489014258</v>
      </c>
      <c r="AJ415" s="16">
        <f t="shared" si="1648"/>
        <v>351.39530470375456</v>
      </c>
      <c r="AK415" s="16">
        <f t="shared" si="1648"/>
        <v>723.08427340443359</v>
      </c>
      <c r="AL415" s="16">
        <f t="shared" si="1648"/>
        <v>917.71416110363157</v>
      </c>
      <c r="AM415" s="16">
        <f t="shared" si="1648"/>
        <v>2066.6769887073365</v>
      </c>
      <c r="AN415" s="16">
        <f t="shared" si="1648"/>
        <v>1448.677131742417</v>
      </c>
      <c r="AO415" s="16">
        <f t="shared" si="1648"/>
        <v>598.2999835350513</v>
      </c>
      <c r="AP415" s="16">
        <f t="shared" si="1648"/>
        <v>6794.1452514757593</v>
      </c>
      <c r="AQ415" s="16">
        <f t="shared" si="1648"/>
        <v>-6720.9121047334365</v>
      </c>
      <c r="AR415" s="16">
        <f t="shared" si="1648"/>
        <v>-6665.0638736276323</v>
      </c>
      <c r="AS415" s="16">
        <f t="shared" si="1648"/>
        <v>281.44057150569358</v>
      </c>
      <c r="AT415" s="16">
        <f>100*AT423/AT424</f>
        <v>92.209804341466054</v>
      </c>
      <c r="AU415" s="16">
        <f>100*AU423/AU424</f>
        <v>81.39630677753982</v>
      </c>
      <c r="AV415" s="16">
        <f>100*AV423/AV424</f>
        <v>108.3036470910601</v>
      </c>
      <c r="AW415" s="16">
        <f t="shared" ref="AW415:BH415" si="1649">100*AW423/AW424</f>
        <v>114.13398322375878</v>
      </c>
      <c r="AX415" s="16">
        <f t="shared" si="1649"/>
        <v>235.10403457806575</v>
      </c>
      <c r="AY415" s="16">
        <f t="shared" si="1649"/>
        <v>146.99377142109989</v>
      </c>
      <c r="AZ415" s="16">
        <f t="shared" si="1649"/>
        <v>1149.067418509351</v>
      </c>
      <c r="BA415" s="16">
        <f t="shared" si="1649"/>
        <v>168.5092172999897</v>
      </c>
      <c r="BB415" s="16">
        <f t="shared" si="1649"/>
        <v>252.76025173783628</v>
      </c>
      <c r="BC415" s="16">
        <f t="shared" si="1649"/>
        <v>219.33589574587896</v>
      </c>
      <c r="BD415" s="16">
        <f t="shared" si="1649"/>
        <v>202.09643217615957</v>
      </c>
      <c r="BE415" s="16">
        <f t="shared" si="1649"/>
        <v>198.90042098555364</v>
      </c>
      <c r="BF415" s="16">
        <f t="shared" si="1649"/>
        <v>195.61624649859945</v>
      </c>
      <c r="BG415" s="16">
        <f t="shared" si="1649"/>
        <v>168.8653114877236</v>
      </c>
      <c r="BH415" s="16">
        <f t="shared" si="1649"/>
        <v>165.76583463934867</v>
      </c>
      <c r="BI415" s="16">
        <f t="shared" ref="BI415:BP415" si="1650">100*BI423/BI424</f>
        <v>175.41616913675634</v>
      </c>
      <c r="BJ415" s="16">
        <f t="shared" si="1650"/>
        <v>186.17157490396926</v>
      </c>
      <c r="BK415" s="16">
        <f t="shared" si="1650"/>
        <v>152.50693213327878</v>
      </c>
      <c r="BL415" s="16">
        <f t="shared" si="1650"/>
        <v>159.68606958332515</v>
      </c>
      <c r="BM415" s="16">
        <f t="shared" si="1650"/>
        <v>196.88365499945479</v>
      </c>
      <c r="BN415" s="16">
        <f t="shared" si="1650"/>
        <v>248.14158369389568</v>
      </c>
      <c r="BO415" s="16">
        <f t="shared" si="1650"/>
        <v>359.81553176952855</v>
      </c>
      <c r="BP415" s="16">
        <f t="shared" ca="1" si="1650"/>
        <v>453.12595234484871</v>
      </c>
      <c r="BQ415" s="16">
        <f t="shared" ref="BQ415:BV415" ca="1" si="1651">100*BQ423/BQ424</f>
        <v>567.14988117737732</v>
      </c>
      <c r="BR415" s="16">
        <f t="shared" ca="1" si="1651"/>
        <v>747.1576671458248</v>
      </c>
      <c r="BS415" s="16">
        <f t="shared" ca="1" si="1651"/>
        <v>1432.6222208119968</v>
      </c>
      <c r="BT415" s="16">
        <f t="shared" ca="1" si="1651"/>
        <v>-26710.06597159235</v>
      </c>
      <c r="BU415" s="16">
        <f t="shared" ca="1" si="1651"/>
        <v>-1173.9025864278456</v>
      </c>
      <c r="BV415" s="16">
        <f t="shared" ca="1" si="1651"/>
        <v>-580.33754258316742</v>
      </c>
      <c r="BW415" s="16">
        <f t="shared" ref="BW415:BX415" ca="1" si="1652">100*BW423/BW424</f>
        <v>-378.10320226875626</v>
      </c>
      <c r="BX415" s="16">
        <f t="shared" ca="1" si="1652"/>
        <v>-277.33300030136172</v>
      </c>
      <c r="BY415" s="16">
        <f t="shared" ref="BY415:CD415" ca="1" si="1653">100*BY423/BY424</f>
        <v>-217.42987646781242</v>
      </c>
      <c r="BZ415" s="16">
        <f t="shared" ca="1" si="1653"/>
        <v>-179.30883308469137</v>
      </c>
      <c r="CA415" s="16">
        <f t="shared" ca="1" si="1653"/>
        <v>-152.92083138404209</v>
      </c>
      <c r="CB415" s="16">
        <f t="shared" ca="1" si="1653"/>
        <v>-133.68789919860922</v>
      </c>
      <c r="CC415" s="16">
        <f t="shared" ca="1" si="1653"/>
        <v>-119.17574421791048</v>
      </c>
      <c r="CD415" s="16">
        <f t="shared" ca="1" si="1653"/>
        <v>-107.9335652680155</v>
      </c>
      <c r="CE415" s="101">
        <f t="shared" ca="1" si="1489"/>
        <v>-1654.3954874715619</v>
      </c>
      <c r="CF415" s="444"/>
      <c r="CG415" s="235">
        <f t="shared" si="1543"/>
        <v>0</v>
      </c>
      <c r="CH415" s="235">
        <f t="shared" si="1544"/>
        <v>0</v>
      </c>
      <c r="CI415" s="235" t="e">
        <f>BM415-#REF!</f>
        <v>#REF!</v>
      </c>
      <c r="CJ415" s="235">
        <f t="shared" si="1545"/>
        <v>0</v>
      </c>
      <c r="CK415" s="235">
        <f t="shared" si="1546"/>
        <v>0</v>
      </c>
      <c r="CL415" s="235">
        <f t="shared" ca="1" si="1547"/>
        <v>8.5265128291212022E-13</v>
      </c>
      <c r="CM415" s="235">
        <f t="shared" ca="1" si="1548"/>
        <v>3.4106051316484809E-12</v>
      </c>
      <c r="CN415" s="235">
        <f t="shared" ca="1" si="1549"/>
        <v>9.4360075308941305E-12</v>
      </c>
      <c r="CO415" s="235">
        <f t="shared" ca="1" si="1550"/>
        <v>4.8657966544851661E-11</v>
      </c>
      <c r="CP415" s="235">
        <f t="shared" ca="1" si="1551"/>
        <v>2.2359017748385668E-8</v>
      </c>
      <c r="CQ415" s="235">
        <f t="shared" ca="1" si="1552"/>
        <v>5.525180313270539E-11</v>
      </c>
      <c r="CR415" s="235">
        <f t="shared" ca="1" si="1553"/>
        <v>1.546140993013978E-11</v>
      </c>
      <c r="CS415" s="235">
        <f t="shared" ca="1" si="1554"/>
        <v>7.2191141953226179E-12</v>
      </c>
      <c r="CT415" s="235">
        <f t="shared" ca="1" si="1555"/>
        <v>3.865352482534945E-12</v>
      </c>
      <c r="CU415" s="235">
        <f t="shared" ca="1" si="1556"/>
        <v>2.4158453015843406E-12</v>
      </c>
      <c r="CV415" s="235">
        <f t="shared" ca="1" si="1557"/>
        <v>1.8189894035458565E-12</v>
      </c>
      <c r="CW415" s="235">
        <f t="shared" ca="1" si="1558"/>
        <v>1.8474111129762605E-12</v>
      </c>
      <c r="CX415" s="235">
        <f t="shared" ca="1" si="1559"/>
        <v>5.2295945351943374E-12</v>
      </c>
      <c r="CY415" s="235">
        <f t="shared" ca="1" si="1560"/>
        <v>3.241495960537577E-11</v>
      </c>
      <c r="CZ415" s="235">
        <f t="shared" ca="1" si="1561"/>
        <v>2.0601476080628345E-10</v>
      </c>
      <c r="DA415" s="38"/>
      <c r="DB415" s="236">
        <v>150.045382017782</v>
      </c>
      <c r="DC415" s="236">
        <v>151.04538201778203</v>
      </c>
      <c r="DD415" s="236">
        <v>113.68560577094645</v>
      </c>
      <c r="DE415" s="236">
        <v>114.49808282194505</v>
      </c>
      <c r="DF415" s="236">
        <v>95.263060806415595</v>
      </c>
      <c r="DG415" s="236">
        <v>152.50693213327878</v>
      </c>
      <c r="DH415" s="492">
        <v>159.68606958332515</v>
      </c>
      <c r="DI415" s="236">
        <v>248.14158369389568</v>
      </c>
      <c r="DJ415" s="236">
        <v>359.81553176952855</v>
      </c>
      <c r="DK415" s="236">
        <v>453.12595234484786</v>
      </c>
      <c r="DL415" s="236">
        <v>567.14988117737391</v>
      </c>
      <c r="DM415" s="236">
        <v>747.15766714581537</v>
      </c>
      <c r="DN415" s="236">
        <v>1432.6222208119482</v>
      </c>
      <c r="DO415" s="236">
        <v>-26710.065971614709</v>
      </c>
      <c r="DP415" s="236">
        <v>-1173.9025864279008</v>
      </c>
      <c r="DQ415" s="401">
        <v>-580.33754258318288</v>
      </c>
      <c r="DR415" s="401">
        <v>-378.10320226876348</v>
      </c>
      <c r="DS415" s="401">
        <v>-277.33300030136559</v>
      </c>
      <c r="DT415" s="401">
        <v>-217.42987646781484</v>
      </c>
      <c r="DU415" s="401">
        <v>-179.30883308469319</v>
      </c>
      <c r="DV415" s="401">
        <v>-152.92083138404394</v>
      </c>
      <c r="DW415" s="401">
        <v>-133.68789919861445</v>
      </c>
      <c r="DX415" s="401">
        <v>-119.17574421794289</v>
      </c>
      <c r="DY415" s="401">
        <v>-107.93356526822151</v>
      </c>
      <c r="DZ415" s="401">
        <v>-436.09986693238886</v>
      </c>
      <c r="EA415" s="989"/>
    </row>
    <row r="416" spans="1:131" s="76" customFormat="1">
      <c r="A416" s="984" t="s">
        <v>4231</v>
      </c>
      <c r="B416" s="126" t="s">
        <v>1301</v>
      </c>
      <c r="C416" s="16"/>
      <c r="D416" s="227"/>
      <c r="E416" s="227"/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  <c r="AL416" s="227"/>
      <c r="AM416" s="227"/>
      <c r="AN416" s="227"/>
      <c r="AO416" s="227"/>
      <c r="AP416" s="227"/>
      <c r="AQ416" s="227"/>
      <c r="AR416" s="227"/>
      <c r="AS416" s="227"/>
      <c r="AT416" s="227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52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01"/>
      <c r="CF416" s="444"/>
      <c r="CG416" s="235">
        <f t="shared" si="1543"/>
        <v>0</v>
      </c>
      <c r="CH416" s="235">
        <f t="shared" si="1544"/>
        <v>0</v>
      </c>
      <c r="CI416" s="235" t="e">
        <f>BM416-#REF!</f>
        <v>#REF!</v>
      </c>
      <c r="CJ416" s="235">
        <f t="shared" si="1545"/>
        <v>0</v>
      </c>
      <c r="CK416" s="235">
        <f t="shared" si="1546"/>
        <v>0</v>
      </c>
      <c r="CL416" s="235">
        <f t="shared" si="1547"/>
        <v>0</v>
      </c>
      <c r="CM416" s="235">
        <f t="shared" si="1548"/>
        <v>0</v>
      </c>
      <c r="CN416" s="235">
        <f t="shared" si="1549"/>
        <v>0</v>
      </c>
      <c r="CO416" s="235">
        <f t="shared" si="1550"/>
        <v>0</v>
      </c>
      <c r="CP416" s="235">
        <f t="shared" si="1551"/>
        <v>0</v>
      </c>
      <c r="CQ416" s="235">
        <f t="shared" si="1552"/>
        <v>0</v>
      </c>
      <c r="CR416" s="235">
        <f t="shared" si="1553"/>
        <v>0</v>
      </c>
      <c r="CS416" s="235">
        <f t="shared" si="1554"/>
        <v>0</v>
      </c>
      <c r="CT416" s="235">
        <f t="shared" si="1555"/>
        <v>0</v>
      </c>
      <c r="CU416" s="235">
        <f t="shared" si="1556"/>
        <v>0</v>
      </c>
      <c r="CV416" s="235">
        <f t="shared" si="1557"/>
        <v>0</v>
      </c>
      <c r="CW416" s="235">
        <f t="shared" si="1558"/>
        <v>0</v>
      </c>
      <c r="CX416" s="235">
        <f t="shared" si="1559"/>
        <v>0</v>
      </c>
      <c r="CY416" s="235">
        <f t="shared" si="1560"/>
        <v>0</v>
      </c>
      <c r="CZ416" s="235">
        <f t="shared" si="1561"/>
        <v>0</v>
      </c>
      <c r="DA416" s="38"/>
      <c r="DB416" s="236"/>
      <c r="DC416" s="236"/>
      <c r="DD416" s="236"/>
      <c r="DE416" s="236"/>
      <c r="DF416" s="236"/>
      <c r="DG416" s="236"/>
      <c r="DH416" s="492"/>
      <c r="DI416" s="236"/>
      <c r="DJ416" s="236"/>
      <c r="DK416" s="236"/>
      <c r="DL416" s="236"/>
      <c r="DM416" s="236"/>
      <c r="DN416" s="236"/>
      <c r="DO416" s="236"/>
      <c r="DP416" s="236"/>
      <c r="DQ416" s="401"/>
      <c r="DR416" s="401"/>
      <c r="DS416" s="401"/>
      <c r="DT416" s="401"/>
      <c r="DU416" s="401"/>
      <c r="DV416" s="401"/>
      <c r="DW416" s="401"/>
      <c r="DX416" s="401"/>
      <c r="DY416" s="401"/>
      <c r="DZ416" s="401"/>
      <c r="EA416" s="989"/>
    </row>
    <row r="417" spans="1:131" s="76" customFormat="1">
      <c r="A417" s="76" t="s">
        <v>4232</v>
      </c>
      <c r="B417" s="76" t="s">
        <v>3570</v>
      </c>
      <c r="D417" s="127"/>
      <c r="E417" s="127"/>
      <c r="F417" s="163">
        <f t="shared" ref="F417:BG417" si="1654">0.025*F419</f>
        <v>3.3966336433120764E-3</v>
      </c>
      <c r="G417" s="163">
        <f t="shared" si="1654"/>
        <v>3.5462715876416785E-3</v>
      </c>
      <c r="H417" s="163">
        <f t="shared" si="1654"/>
        <v>3.8357999721993297E-3</v>
      </c>
      <c r="I417" s="163">
        <f t="shared" si="1654"/>
        <v>4.4310175038891238E-3</v>
      </c>
      <c r="J417" s="163">
        <f t="shared" si="1654"/>
        <v>4.7094370730182897E-3</v>
      </c>
      <c r="K417" s="163">
        <f t="shared" si="1654"/>
        <v>5.1950718260831575E-3</v>
      </c>
      <c r="L417" s="163">
        <f t="shared" si="1654"/>
        <v>5.6390388571837665E-3</v>
      </c>
      <c r="M417" s="163">
        <f t="shared" si="1654"/>
        <v>5.8983402286571091E-3</v>
      </c>
      <c r="N417" s="163">
        <f t="shared" si="1654"/>
        <v>6.2072455107531213E-3</v>
      </c>
      <c r="O417" s="163">
        <f t="shared" si="1654"/>
        <v>6.6234369362823918E-3</v>
      </c>
      <c r="P417" s="163">
        <f t="shared" si="1654"/>
        <v>7.2850625325760823E-3</v>
      </c>
      <c r="Q417" s="163">
        <f t="shared" si="1654"/>
        <v>8.3435115465718742E-3</v>
      </c>
      <c r="R417" s="163">
        <f t="shared" si="1654"/>
        <v>1.0537921530747544E-2</v>
      </c>
      <c r="S417" s="163">
        <f t="shared" si="1654"/>
        <v>1.2223096381774866E-2</v>
      </c>
      <c r="T417" s="163">
        <f t="shared" si="1654"/>
        <v>1.3389873841077222E-2</v>
      </c>
      <c r="U417" s="163">
        <f t="shared" si="1654"/>
        <v>1.3989786337319107E-2</v>
      </c>
      <c r="V417" s="163">
        <f t="shared" si="1654"/>
        <v>1.4734597344884909E-2</v>
      </c>
      <c r="W417" s="163">
        <f t="shared" si="1654"/>
        <v>1.6001169803046507E-2</v>
      </c>
      <c r="X417" s="163">
        <f t="shared" si="1654"/>
        <v>1.684780630925994E-2</v>
      </c>
      <c r="Y417" s="163">
        <f t="shared" si="1654"/>
        <v>1.8245475223122178E-2</v>
      </c>
      <c r="Z417" s="163">
        <f t="shared" si="1654"/>
        <v>2.2195566572060791E-2</v>
      </c>
      <c r="AA417" s="163">
        <f t="shared" si="1654"/>
        <v>2.6666176940224984E-2</v>
      </c>
      <c r="AB417" s="163">
        <f t="shared" si="1654"/>
        <v>2.8988885308457658E-2</v>
      </c>
      <c r="AC417" s="163">
        <f t="shared" si="1654"/>
        <v>3.6765187973437356E-2</v>
      </c>
      <c r="AD417" s="163">
        <f t="shared" si="1654"/>
        <v>4.2162591030609611E-2</v>
      </c>
      <c r="AE417" s="163">
        <f t="shared" si="1654"/>
        <v>4.4864372704125945E-2</v>
      </c>
      <c r="AF417" s="163">
        <f t="shared" si="1654"/>
        <v>4.592467610454342E-2</v>
      </c>
      <c r="AG417" s="163">
        <f t="shared" si="1654"/>
        <v>5.1557660175409803E-2</v>
      </c>
      <c r="AH417" s="163">
        <f t="shared" si="1654"/>
        <v>5.3055004917234118E-2</v>
      </c>
      <c r="AI417" s="163">
        <f t="shared" si="1654"/>
        <v>5.1308478826973161E-2</v>
      </c>
      <c r="AJ417" s="163">
        <f t="shared" si="1654"/>
        <v>5.0107502728465127E-2</v>
      </c>
      <c r="AK417" s="163">
        <f t="shared" si="1654"/>
        <v>5.0014650007174248E-2</v>
      </c>
      <c r="AL417" s="163">
        <f t="shared" si="1654"/>
        <v>5.1438816779867107E-2</v>
      </c>
      <c r="AM417" s="163">
        <f t="shared" si="1654"/>
        <v>5.6655627213983629E-2</v>
      </c>
      <c r="AN417" s="163">
        <f t="shared" si="1654"/>
        <v>6.7145232445148598E-2</v>
      </c>
      <c r="AO417" s="163">
        <f t="shared" si="1654"/>
        <v>7.9112147097570029E-2</v>
      </c>
      <c r="AP417" s="163">
        <f t="shared" si="1654"/>
        <v>0.10164615401322526</v>
      </c>
      <c r="AQ417" s="163">
        <f t="shared" si="1654"/>
        <v>0.12041634518384786</v>
      </c>
      <c r="AR417" s="163">
        <f t="shared" si="1654"/>
        <v>0.15634037475643189</v>
      </c>
      <c r="AS417" s="163">
        <f t="shared" si="1654"/>
        <v>0.35149974598755906</v>
      </c>
      <c r="AT417" s="163">
        <f t="shared" si="1654"/>
        <v>1.3826297469048823</v>
      </c>
      <c r="AU417" s="163">
        <f t="shared" si="1654"/>
        <v>6.6373789666859668</v>
      </c>
      <c r="AV417" s="163">
        <f t="shared" si="1654"/>
        <v>8.6996432093196567</v>
      </c>
      <c r="AW417" s="163">
        <f t="shared" si="1654"/>
        <v>9.8453517077947943</v>
      </c>
      <c r="AX417" s="163">
        <f t="shared" si="1654"/>
        <v>11.991210834146742</v>
      </c>
      <c r="AY417" s="163">
        <f t="shared" si="1654"/>
        <v>22.30465895891146</v>
      </c>
      <c r="AZ417" s="163">
        <f t="shared" si="1654"/>
        <v>37.010668787091248</v>
      </c>
      <c r="BA417" s="163">
        <f t="shared" si="1654"/>
        <v>53.308583490933408</v>
      </c>
      <c r="BB417" s="163">
        <f t="shared" si="1654"/>
        <v>63.356124999999999</v>
      </c>
      <c r="BC417" s="163">
        <f t="shared" si="1654"/>
        <v>88.971841500000011</v>
      </c>
      <c r="BD417" s="163">
        <f t="shared" si="1654"/>
        <v>109.77280000000002</v>
      </c>
      <c r="BE417" s="163">
        <f t="shared" ca="1" si="1654"/>
        <v>151.3392115477659</v>
      </c>
      <c r="BF417" s="163">
        <f t="shared" ca="1" si="1654"/>
        <v>185.52339786960181</v>
      </c>
      <c r="BG417" s="163">
        <f t="shared" ca="1" si="1654"/>
        <v>210.65141033573593</v>
      </c>
      <c r="BH417" s="163">
        <f ca="1">0.025*BH419</f>
        <v>246.44958258743196</v>
      </c>
      <c r="BI417" s="163">
        <f ca="1">0.025*BI419</f>
        <v>245.23678704733325</v>
      </c>
      <c r="BJ417" s="163">
        <f ca="1">0.025*BJ419</f>
        <v>305.63553480837641</v>
      </c>
      <c r="BK417" s="163">
        <f t="shared" ref="BK417:BP417" ca="1" si="1655">0.025*BK419</f>
        <v>403.33389454888987</v>
      </c>
      <c r="BL417" s="163">
        <f t="shared" ca="1" si="1655"/>
        <v>435.57746509409708</v>
      </c>
      <c r="BM417" s="163">
        <f t="shared" ca="1" si="1655"/>
        <v>430.06633551624049</v>
      </c>
      <c r="BN417" s="163">
        <f t="shared" si="1655"/>
        <v>429.85342500000002</v>
      </c>
      <c r="BO417" s="163">
        <f t="shared" ca="1" si="1655"/>
        <v>436.4470282292823</v>
      </c>
      <c r="BP417" s="163">
        <f t="shared" ca="1" si="1655"/>
        <v>548.3953845760318</v>
      </c>
      <c r="BQ417" s="163">
        <f t="shared" ref="BQ417:BV417" ca="1" si="1656">0.025*BQ419</f>
        <v>679.09250067000039</v>
      </c>
      <c r="BR417" s="163">
        <f t="shared" ca="1" si="1656"/>
        <v>746.4956412018214</v>
      </c>
      <c r="BS417" s="163">
        <f t="shared" ca="1" si="1656"/>
        <v>774.88547837201349</v>
      </c>
      <c r="BT417" s="163">
        <f t="shared" ca="1" si="1656"/>
        <v>798.69230274586334</v>
      </c>
      <c r="BU417" s="163">
        <f t="shared" ca="1" si="1656"/>
        <v>830.46934125244593</v>
      </c>
      <c r="BV417" s="163">
        <f t="shared" ca="1" si="1656"/>
        <v>864.4731332039612</v>
      </c>
      <c r="BW417" s="163">
        <f t="shared" ref="BW417:BX417" ca="1" si="1657">0.025*BW419</f>
        <v>899.59953514644485</v>
      </c>
      <c r="BX417" s="163">
        <f t="shared" ca="1" si="1657"/>
        <v>936.04022554911489</v>
      </c>
      <c r="BY417" s="163">
        <f t="shared" ref="BY417:CD417" ca="1" si="1658">0.025*BY419</f>
        <v>973.85215799956313</v>
      </c>
      <c r="BZ417" s="163">
        <f t="shared" ca="1" si="1658"/>
        <v>1021.5708569750392</v>
      </c>
      <c r="CA417" s="163">
        <f t="shared" ca="1" si="1658"/>
        <v>1072.8719187905861</v>
      </c>
      <c r="CB417" s="163">
        <f t="shared" ca="1" si="1658"/>
        <v>1126.7908602959722</v>
      </c>
      <c r="CC417" s="163">
        <f t="shared" ca="1" si="1658"/>
        <v>1183.816001371061</v>
      </c>
      <c r="CD417" s="163">
        <f t="shared" ca="1" si="1658"/>
        <v>1244.2331355319375</v>
      </c>
      <c r="CE417" s="101">
        <f t="shared" ca="1" si="1489"/>
        <v>883.60784386944601</v>
      </c>
      <c r="CF417" s="445"/>
      <c r="CG417" s="235">
        <f t="shared" ca="1" si="1543"/>
        <v>85.822854894919828</v>
      </c>
      <c r="CH417" s="235">
        <f t="shared" ca="1" si="1544"/>
        <v>-6.2044299653585995</v>
      </c>
      <c r="CI417" s="235" t="e">
        <f ca="1">BM417-#REF!</f>
        <v>#REF!</v>
      </c>
      <c r="CJ417" s="235">
        <f t="shared" si="1545"/>
        <v>0</v>
      </c>
      <c r="CK417" s="235">
        <f t="shared" ca="1" si="1546"/>
        <v>0</v>
      </c>
      <c r="CL417" s="235">
        <f t="shared" ca="1" si="1547"/>
        <v>0</v>
      </c>
      <c r="CM417" s="235">
        <f t="shared" ca="1" si="1548"/>
        <v>0</v>
      </c>
      <c r="CN417" s="235">
        <f t="shared" ca="1" si="1549"/>
        <v>0</v>
      </c>
      <c r="CO417" s="235">
        <f t="shared" ca="1" si="1550"/>
        <v>0</v>
      </c>
      <c r="CP417" s="235">
        <f t="shared" ca="1" si="1551"/>
        <v>-9.0949470177292824E-13</v>
      </c>
      <c r="CQ417" s="235">
        <f t="shared" ca="1" si="1552"/>
        <v>-9.0949470177292824E-13</v>
      </c>
      <c r="CR417" s="235">
        <f t="shared" ca="1" si="1553"/>
        <v>0</v>
      </c>
      <c r="CS417" s="235">
        <f t="shared" ca="1" si="1554"/>
        <v>0</v>
      </c>
      <c r="CT417" s="235">
        <f t="shared" ca="1" si="1555"/>
        <v>0</v>
      </c>
      <c r="CU417" s="235">
        <f t="shared" ca="1" si="1556"/>
        <v>0</v>
      </c>
      <c r="CV417" s="235">
        <f t="shared" ca="1" si="1557"/>
        <v>-1.4779288903810084E-12</v>
      </c>
      <c r="CW417" s="235">
        <f t="shared" ca="1" si="1558"/>
        <v>-3.637978807091713E-12</v>
      </c>
      <c r="CX417" s="235">
        <f t="shared" ca="1" si="1559"/>
        <v>-3.1832314562052488E-11</v>
      </c>
      <c r="CY417" s="235">
        <f t="shared" ca="1" si="1560"/>
        <v>-3.1241143005900085E-10</v>
      </c>
      <c r="CZ417" s="235">
        <f t="shared" ca="1" si="1561"/>
        <v>-2.7112037059850991E-9</v>
      </c>
      <c r="DA417" s="38"/>
      <c r="DB417" s="236">
        <v>145.274</v>
      </c>
      <c r="DC417" s="236">
        <v>146.274</v>
      </c>
      <c r="DD417" s="236">
        <v>166.02407500000001</v>
      </c>
      <c r="DE417" s="236">
        <v>193.46968086232496</v>
      </c>
      <c r="DF417" s="236">
        <v>196.0501359428107</v>
      </c>
      <c r="DG417" s="236">
        <v>317.51103965397004</v>
      </c>
      <c r="DH417" s="492">
        <v>441.78189505945568</v>
      </c>
      <c r="DI417" s="236">
        <v>429.85342500000002</v>
      </c>
      <c r="DJ417" s="236">
        <v>436.4470282292823</v>
      </c>
      <c r="DK417" s="236">
        <v>548.39538457603192</v>
      </c>
      <c r="DL417" s="236">
        <v>679.09250067000062</v>
      </c>
      <c r="DM417" s="236">
        <v>746.49564120182185</v>
      </c>
      <c r="DN417" s="236">
        <v>774.88547837201429</v>
      </c>
      <c r="DO417" s="236">
        <v>798.69230274586425</v>
      </c>
      <c r="DP417" s="236">
        <v>830.46934125244684</v>
      </c>
      <c r="DQ417" s="401">
        <v>864.47313320396177</v>
      </c>
      <c r="DR417" s="401">
        <v>899.59953514644496</v>
      </c>
      <c r="DS417" s="401">
        <v>936.04022554911523</v>
      </c>
      <c r="DT417" s="401">
        <v>973.85215799956393</v>
      </c>
      <c r="DU417" s="401">
        <v>1021.5708569750407</v>
      </c>
      <c r="DV417" s="401">
        <v>1072.8719187905897</v>
      </c>
      <c r="DW417" s="401">
        <v>1126.790860296004</v>
      </c>
      <c r="DX417" s="401">
        <v>1183.8160013713734</v>
      </c>
      <c r="DY417" s="401">
        <v>1244.2331355346487</v>
      </c>
      <c r="DZ417" s="401">
        <v>887.03365231603016</v>
      </c>
      <c r="EA417" s="989"/>
    </row>
    <row r="418" spans="1:131" s="76" customFormat="1">
      <c r="A418" s="76" t="s">
        <v>4233</v>
      </c>
      <c r="B418" s="76" t="s">
        <v>666</v>
      </c>
      <c r="D418" s="127"/>
      <c r="E418" s="127"/>
      <c r="F418" s="163">
        <f t="shared" ref="F418:BG418" si="1659">0.05*F419</f>
        <v>6.7932672866241528E-3</v>
      </c>
      <c r="G418" s="163">
        <f t="shared" si="1659"/>
        <v>7.092543175283357E-3</v>
      </c>
      <c r="H418" s="163">
        <f t="shared" si="1659"/>
        <v>7.6715999443986594E-3</v>
      </c>
      <c r="I418" s="163">
        <f t="shared" si="1659"/>
        <v>8.8620350077782475E-3</v>
      </c>
      <c r="J418" s="163">
        <f t="shared" si="1659"/>
        <v>9.4188741460365794E-3</v>
      </c>
      <c r="K418" s="163">
        <f t="shared" si="1659"/>
        <v>1.0390143652166315E-2</v>
      </c>
      <c r="L418" s="163">
        <f t="shared" si="1659"/>
        <v>1.1278077714367533E-2</v>
      </c>
      <c r="M418" s="163">
        <f t="shared" si="1659"/>
        <v>1.1796680457314218E-2</v>
      </c>
      <c r="N418" s="163">
        <f t="shared" si="1659"/>
        <v>1.2414491021506243E-2</v>
      </c>
      <c r="O418" s="163">
        <f t="shared" si="1659"/>
        <v>1.3246873872564784E-2</v>
      </c>
      <c r="P418" s="163">
        <f t="shared" si="1659"/>
        <v>1.4570125065152165E-2</v>
      </c>
      <c r="Q418" s="163">
        <f t="shared" si="1659"/>
        <v>1.6687023093143748E-2</v>
      </c>
      <c r="R418" s="163">
        <f t="shared" si="1659"/>
        <v>2.1075843061495087E-2</v>
      </c>
      <c r="S418" s="163">
        <f t="shared" si="1659"/>
        <v>2.4446192763549732E-2</v>
      </c>
      <c r="T418" s="163">
        <f t="shared" si="1659"/>
        <v>2.6779747682154444E-2</v>
      </c>
      <c r="U418" s="163">
        <f t="shared" si="1659"/>
        <v>2.7979572674638215E-2</v>
      </c>
      <c r="V418" s="163">
        <f t="shared" si="1659"/>
        <v>2.9469194689769818E-2</v>
      </c>
      <c r="W418" s="163">
        <f t="shared" si="1659"/>
        <v>3.2002339606093014E-2</v>
      </c>
      <c r="X418" s="163">
        <f t="shared" si="1659"/>
        <v>3.3695612618519881E-2</v>
      </c>
      <c r="Y418" s="163">
        <f t="shared" si="1659"/>
        <v>3.6490950446244355E-2</v>
      </c>
      <c r="Z418" s="163">
        <f t="shared" si="1659"/>
        <v>4.4391133144121582E-2</v>
      </c>
      <c r="AA418" s="163">
        <f t="shared" si="1659"/>
        <v>5.3332353880449969E-2</v>
      </c>
      <c r="AB418" s="163">
        <f t="shared" si="1659"/>
        <v>5.7977770616915315E-2</v>
      </c>
      <c r="AC418" s="163">
        <f t="shared" si="1659"/>
        <v>7.3530375946874713E-2</v>
      </c>
      <c r="AD418" s="163">
        <f t="shared" si="1659"/>
        <v>8.4325182061219223E-2</v>
      </c>
      <c r="AE418" s="163">
        <f t="shared" si="1659"/>
        <v>8.9728745408251889E-2</v>
      </c>
      <c r="AF418" s="163">
        <f t="shared" si="1659"/>
        <v>9.184935220908684E-2</v>
      </c>
      <c r="AG418" s="163">
        <f t="shared" si="1659"/>
        <v>0.10311532035081961</v>
      </c>
      <c r="AH418" s="163">
        <f t="shared" si="1659"/>
        <v>0.10611000983446824</v>
      </c>
      <c r="AI418" s="163">
        <f t="shared" si="1659"/>
        <v>0.10261695765394632</v>
      </c>
      <c r="AJ418" s="163">
        <f t="shared" si="1659"/>
        <v>0.10021500545693025</v>
      </c>
      <c r="AK418" s="163">
        <f t="shared" si="1659"/>
        <v>0.1000293000143485</v>
      </c>
      <c r="AL418" s="163">
        <f t="shared" si="1659"/>
        <v>0.10287763355973421</v>
      </c>
      <c r="AM418" s="163">
        <f t="shared" si="1659"/>
        <v>0.11331125442796726</v>
      </c>
      <c r="AN418" s="163">
        <f t="shared" si="1659"/>
        <v>0.1342904648902972</v>
      </c>
      <c r="AO418" s="163">
        <f t="shared" si="1659"/>
        <v>0.15822429419514006</v>
      </c>
      <c r="AP418" s="163">
        <f t="shared" si="1659"/>
        <v>0.20329230802645051</v>
      </c>
      <c r="AQ418" s="163">
        <f t="shared" si="1659"/>
        <v>0.24083269036769572</v>
      </c>
      <c r="AR418" s="163">
        <f t="shared" si="1659"/>
        <v>0.31268074951286379</v>
      </c>
      <c r="AS418" s="163">
        <f t="shared" si="1659"/>
        <v>0.70299949197511813</v>
      </c>
      <c r="AT418" s="163">
        <f t="shared" si="1659"/>
        <v>2.7652594938097645</v>
      </c>
      <c r="AU418" s="163">
        <f t="shared" si="1659"/>
        <v>13.274757933371934</v>
      </c>
      <c r="AV418" s="163">
        <f t="shared" si="1659"/>
        <v>17.399286418639313</v>
      </c>
      <c r="AW418" s="163">
        <f t="shared" si="1659"/>
        <v>19.690703415589589</v>
      </c>
      <c r="AX418" s="163">
        <f t="shared" si="1659"/>
        <v>23.982421668293483</v>
      </c>
      <c r="AY418" s="163">
        <f t="shared" si="1659"/>
        <v>44.609317917822921</v>
      </c>
      <c r="AZ418" s="163">
        <f t="shared" si="1659"/>
        <v>74.021337574182496</v>
      </c>
      <c r="BA418" s="163">
        <f t="shared" si="1659"/>
        <v>106.61716698186682</v>
      </c>
      <c r="BB418" s="163">
        <f t="shared" si="1659"/>
        <v>126.71225</v>
      </c>
      <c r="BC418" s="163">
        <f t="shared" si="1659"/>
        <v>177.94368300000002</v>
      </c>
      <c r="BD418" s="163">
        <f t="shared" si="1659"/>
        <v>219.54560000000004</v>
      </c>
      <c r="BE418" s="163">
        <f t="shared" ca="1" si="1659"/>
        <v>302.6784230955318</v>
      </c>
      <c r="BF418" s="163">
        <f t="shared" ca="1" si="1659"/>
        <v>371.04679573920362</v>
      </c>
      <c r="BG418" s="163">
        <f t="shared" ca="1" si="1659"/>
        <v>421.30282067147186</v>
      </c>
      <c r="BH418" s="163">
        <f ca="1">0.05*BH419</f>
        <v>492.89916517486392</v>
      </c>
      <c r="BI418" s="163">
        <f ca="1">0.05*BI419</f>
        <v>490.4735740946665</v>
      </c>
      <c r="BJ418" s="163">
        <f t="shared" ref="BJ418:CD418" ca="1" si="1660">0.05*BJ419</f>
        <v>611.27106961675281</v>
      </c>
      <c r="BK418" s="163">
        <f t="shared" ca="1" si="1660"/>
        <v>806.66778909777975</v>
      </c>
      <c r="BL418" s="163">
        <f t="shared" ca="1" si="1660"/>
        <v>871.15493018819416</v>
      </c>
      <c r="BM418" s="163">
        <f t="shared" ca="1" si="1660"/>
        <v>860.13267103248097</v>
      </c>
      <c r="BN418" s="163">
        <f t="shared" si="1660"/>
        <v>859.70685000000003</v>
      </c>
      <c r="BO418" s="163">
        <f t="shared" ca="1" si="1660"/>
        <v>872.89405645856459</v>
      </c>
      <c r="BP418" s="163">
        <f t="shared" ca="1" si="1660"/>
        <v>1096.7907691520636</v>
      </c>
      <c r="BQ418" s="163">
        <f t="shared" ca="1" si="1660"/>
        <v>1358.1850013400008</v>
      </c>
      <c r="BR418" s="163">
        <f t="shared" ca="1" si="1660"/>
        <v>1492.9912824036428</v>
      </c>
      <c r="BS418" s="163">
        <f t="shared" ca="1" si="1660"/>
        <v>1549.770956744027</v>
      </c>
      <c r="BT418" s="163">
        <f t="shared" ca="1" si="1660"/>
        <v>1597.3846054917267</v>
      </c>
      <c r="BU418" s="163">
        <f t="shared" ca="1" si="1660"/>
        <v>1660.9386825048919</v>
      </c>
      <c r="BV418" s="163">
        <f t="shared" ca="1" si="1660"/>
        <v>1728.9462664079224</v>
      </c>
      <c r="BW418" s="163">
        <f t="shared" ca="1" si="1660"/>
        <v>1799.1990702928897</v>
      </c>
      <c r="BX418" s="163">
        <f t="shared" ca="1" si="1660"/>
        <v>1872.0804510982298</v>
      </c>
      <c r="BY418" s="163">
        <f t="shared" ca="1" si="1660"/>
        <v>1947.7043159991263</v>
      </c>
      <c r="BZ418" s="163">
        <f t="shared" ca="1" si="1660"/>
        <v>2043.1417139500784</v>
      </c>
      <c r="CA418" s="163">
        <f t="shared" ca="1" si="1660"/>
        <v>2145.7438375811721</v>
      </c>
      <c r="CB418" s="163">
        <f t="shared" ca="1" si="1660"/>
        <v>2253.5817205919443</v>
      </c>
      <c r="CC418" s="163">
        <f t="shared" ca="1" si="1660"/>
        <v>2367.632002742122</v>
      </c>
      <c r="CD418" s="163">
        <f t="shared" ca="1" si="1660"/>
        <v>2488.466271063875</v>
      </c>
      <c r="CE418" s="101">
        <f t="shared" ca="1" si="1489"/>
        <v>1767.215687738892</v>
      </c>
      <c r="CF418" s="445"/>
      <c r="CG418" s="235">
        <f t="shared" ca="1" si="1543"/>
        <v>171.64570978983966</v>
      </c>
      <c r="CH418" s="235">
        <f t="shared" ca="1" si="1544"/>
        <v>-12.408859930717199</v>
      </c>
      <c r="CI418" s="235" t="e">
        <f ca="1">BM418-#REF!</f>
        <v>#REF!</v>
      </c>
      <c r="CJ418" s="235">
        <f t="shared" si="1545"/>
        <v>0</v>
      </c>
      <c r="CK418" s="235">
        <f t="shared" ca="1" si="1546"/>
        <v>0</v>
      </c>
      <c r="CL418" s="235">
        <f t="shared" ca="1" si="1547"/>
        <v>0</v>
      </c>
      <c r="CM418" s="235">
        <f t="shared" ca="1" si="1548"/>
        <v>0</v>
      </c>
      <c r="CN418" s="235">
        <f t="shared" ca="1" si="1549"/>
        <v>0</v>
      </c>
      <c r="CO418" s="235">
        <f t="shared" ca="1" si="1550"/>
        <v>0</v>
      </c>
      <c r="CP418" s="235">
        <f t="shared" ca="1" si="1551"/>
        <v>-1.8189894035458565E-12</v>
      </c>
      <c r="CQ418" s="235">
        <f t="shared" ca="1" si="1552"/>
        <v>-1.8189894035458565E-12</v>
      </c>
      <c r="CR418" s="235">
        <f t="shared" ca="1" si="1553"/>
        <v>0</v>
      </c>
      <c r="CS418" s="235">
        <f t="shared" ca="1" si="1554"/>
        <v>0</v>
      </c>
      <c r="CT418" s="235">
        <f t="shared" ca="1" si="1555"/>
        <v>0</v>
      </c>
      <c r="CU418" s="235">
        <f t="shared" ca="1" si="1556"/>
        <v>0</v>
      </c>
      <c r="CV418" s="235">
        <f t="shared" ca="1" si="1557"/>
        <v>-2.9558577807620168E-12</v>
      </c>
      <c r="CW418" s="235">
        <f t="shared" ca="1" si="1558"/>
        <v>-7.2759576141834259E-12</v>
      </c>
      <c r="CX418" s="235">
        <f t="shared" ca="1" si="1559"/>
        <v>-6.3664629124104977E-11</v>
      </c>
      <c r="CY418" s="235">
        <f t="shared" ca="1" si="1560"/>
        <v>-6.248228601180017E-10</v>
      </c>
      <c r="CZ418" s="235">
        <f t="shared" ca="1" si="1561"/>
        <v>-5.4224074119701982E-9</v>
      </c>
      <c r="DA418" s="38"/>
      <c r="DB418" s="236">
        <v>291.548</v>
      </c>
      <c r="DC418" s="236">
        <v>292.548</v>
      </c>
      <c r="DD418" s="236">
        <v>332.04815000000002</v>
      </c>
      <c r="DE418" s="236">
        <v>386.93936172464993</v>
      </c>
      <c r="DF418" s="236">
        <v>392.1002718856214</v>
      </c>
      <c r="DG418" s="236">
        <v>635.02207930794009</v>
      </c>
      <c r="DH418" s="492">
        <v>883.56379011891136</v>
      </c>
      <c r="DI418" s="236">
        <v>859.70685000000003</v>
      </c>
      <c r="DJ418" s="236">
        <v>872.89405645856459</v>
      </c>
      <c r="DK418" s="236">
        <v>1096.7907691520638</v>
      </c>
      <c r="DL418" s="236">
        <v>1358.1850013400012</v>
      </c>
      <c r="DM418" s="236">
        <v>1492.9912824036437</v>
      </c>
      <c r="DN418" s="236">
        <v>1549.7709567440286</v>
      </c>
      <c r="DO418" s="236">
        <v>1597.3846054917285</v>
      </c>
      <c r="DP418" s="236">
        <v>1660.9386825048937</v>
      </c>
      <c r="DQ418" s="401">
        <v>1728.9462664079235</v>
      </c>
      <c r="DR418" s="401">
        <v>1799.1990702928899</v>
      </c>
      <c r="DS418" s="401">
        <v>1872.0804510982305</v>
      </c>
      <c r="DT418" s="401">
        <v>1947.7043159991279</v>
      </c>
      <c r="DU418" s="401">
        <v>2043.1417139500813</v>
      </c>
      <c r="DV418" s="401">
        <v>2145.7438375811794</v>
      </c>
      <c r="DW418" s="401">
        <v>2253.581720592008</v>
      </c>
      <c r="DX418" s="401">
        <v>2367.6320027427469</v>
      </c>
      <c r="DY418" s="401">
        <v>2488.4662710692974</v>
      </c>
      <c r="DZ418" s="401">
        <v>1774.0673046320603</v>
      </c>
      <c r="EA418" s="989"/>
    </row>
    <row r="419" spans="1:131" s="76" customFormat="1">
      <c r="A419" s="38" t="s">
        <v>4227</v>
      </c>
      <c r="B419" s="38" t="s">
        <v>331</v>
      </c>
      <c r="D419" s="227" t="s">
        <v>4383</v>
      </c>
      <c r="E419" s="227"/>
      <c r="F419" s="38">
        <f t="shared" ref="F419:AR419" si="1661">F292+F242</f>
        <v>0.13586534573248304</v>
      </c>
      <c r="G419" s="38">
        <f t="shared" si="1661"/>
        <v>0.14185086350566714</v>
      </c>
      <c r="H419" s="38">
        <f t="shared" si="1661"/>
        <v>0.15343199888797318</v>
      </c>
      <c r="I419" s="38">
        <f t="shared" si="1661"/>
        <v>0.17724070015556495</v>
      </c>
      <c r="J419" s="38">
        <f t="shared" si="1661"/>
        <v>0.18837748292073159</v>
      </c>
      <c r="K419" s="38">
        <f t="shared" si="1661"/>
        <v>0.20780287304332629</v>
      </c>
      <c r="L419" s="38">
        <f t="shared" si="1661"/>
        <v>0.22556155428735064</v>
      </c>
      <c r="M419" s="38">
        <f t="shared" si="1661"/>
        <v>0.23593360914628436</v>
      </c>
      <c r="N419" s="38">
        <f t="shared" si="1661"/>
        <v>0.24828982043012485</v>
      </c>
      <c r="O419" s="38">
        <f t="shared" si="1661"/>
        <v>0.26493747745129564</v>
      </c>
      <c r="P419" s="38">
        <f t="shared" si="1661"/>
        <v>0.29140250130304329</v>
      </c>
      <c r="Q419" s="38">
        <f t="shared" si="1661"/>
        <v>0.33374046186287498</v>
      </c>
      <c r="R419" s="38">
        <f t="shared" si="1661"/>
        <v>0.42151686122990173</v>
      </c>
      <c r="S419" s="38">
        <f t="shared" si="1661"/>
        <v>0.48892385527099463</v>
      </c>
      <c r="T419" s="38">
        <f t="shared" si="1661"/>
        <v>0.53559495364308884</v>
      </c>
      <c r="U419" s="38">
        <f t="shared" si="1661"/>
        <v>0.55959145349276429</v>
      </c>
      <c r="V419" s="38">
        <f t="shared" si="1661"/>
        <v>0.58938389379539635</v>
      </c>
      <c r="W419" s="38">
        <f t="shared" si="1661"/>
        <v>0.64004679212186022</v>
      </c>
      <c r="X419" s="38">
        <f t="shared" si="1661"/>
        <v>0.67391225237039765</v>
      </c>
      <c r="Y419" s="38">
        <f t="shared" si="1661"/>
        <v>0.72981900892488705</v>
      </c>
      <c r="Z419" s="38">
        <f t="shared" si="1661"/>
        <v>0.88782266288243161</v>
      </c>
      <c r="AA419" s="38">
        <f t="shared" si="1661"/>
        <v>1.0666470776089993</v>
      </c>
      <c r="AB419" s="38">
        <f t="shared" si="1661"/>
        <v>1.1595554123383063</v>
      </c>
      <c r="AC419" s="38">
        <f t="shared" si="1661"/>
        <v>1.4706075189374941</v>
      </c>
      <c r="AD419" s="38">
        <f t="shared" si="1661"/>
        <v>1.6865036412243843</v>
      </c>
      <c r="AE419" s="38">
        <f t="shared" si="1661"/>
        <v>1.7945749081650377</v>
      </c>
      <c r="AF419" s="38">
        <f t="shared" si="1661"/>
        <v>1.8369870441817366</v>
      </c>
      <c r="AG419" s="38">
        <f t="shared" si="1661"/>
        <v>2.0623064070163921</v>
      </c>
      <c r="AH419" s="38">
        <f t="shared" si="1661"/>
        <v>2.1222001966893647</v>
      </c>
      <c r="AI419" s="38">
        <f t="shared" si="1661"/>
        <v>2.0523391530789263</v>
      </c>
      <c r="AJ419" s="38">
        <f t="shared" si="1661"/>
        <v>2.004300109138605</v>
      </c>
      <c r="AK419" s="38">
        <f t="shared" si="1661"/>
        <v>2.0005860002869698</v>
      </c>
      <c r="AL419" s="38">
        <f t="shared" si="1661"/>
        <v>2.0575526711946841</v>
      </c>
      <c r="AM419" s="38">
        <f t="shared" si="1661"/>
        <v>2.2662250885593451</v>
      </c>
      <c r="AN419" s="38">
        <f t="shared" si="1661"/>
        <v>2.6858092978059438</v>
      </c>
      <c r="AO419" s="38">
        <f t="shared" si="1661"/>
        <v>3.1644858839028007</v>
      </c>
      <c r="AP419" s="38">
        <f t="shared" si="1661"/>
        <v>4.0658461605290102</v>
      </c>
      <c r="AQ419" s="38">
        <f t="shared" si="1661"/>
        <v>4.816653807353914</v>
      </c>
      <c r="AR419" s="38">
        <f t="shared" si="1661"/>
        <v>6.2536149902572751</v>
      </c>
      <c r="AS419" s="38">
        <f>AS292+AS242</f>
        <v>14.059989839502363</v>
      </c>
      <c r="AT419" s="38">
        <f>AT292+AT242</f>
        <v>55.305189876195286</v>
      </c>
      <c r="AU419" s="38">
        <f>AU292+AU242</f>
        <v>265.49515866743866</v>
      </c>
      <c r="AV419" s="38">
        <f t="shared" ref="AV419:BG419" si="1662">AV292+AV242</f>
        <v>347.98572837278624</v>
      </c>
      <c r="AW419" s="38">
        <f t="shared" si="1662"/>
        <v>393.81406831179174</v>
      </c>
      <c r="AX419" s="38">
        <f t="shared" si="1662"/>
        <v>479.64843336586966</v>
      </c>
      <c r="AY419" s="38">
        <f t="shared" si="1662"/>
        <v>892.18635835645841</v>
      </c>
      <c r="AZ419" s="38">
        <f t="shared" si="1662"/>
        <v>1480.4267514836499</v>
      </c>
      <c r="BA419" s="38">
        <f t="shared" si="1662"/>
        <v>2132.3433396373362</v>
      </c>
      <c r="BB419" s="38">
        <f t="shared" si="1662"/>
        <v>2534.2449999999999</v>
      </c>
      <c r="BC419" s="38">
        <f t="shared" si="1662"/>
        <v>3558.8736600000002</v>
      </c>
      <c r="BD419" s="38">
        <f t="shared" si="1662"/>
        <v>4390.9120000000003</v>
      </c>
      <c r="BE419" s="38">
        <f ca="1">BE292+BE242</f>
        <v>6053.5684619106369</v>
      </c>
      <c r="BF419" s="38">
        <f t="shared" ca="1" si="1662"/>
        <v>7420.9359147840732</v>
      </c>
      <c r="BG419" s="38">
        <f t="shared" ca="1" si="1662"/>
        <v>8426.0564134294327</v>
      </c>
      <c r="BH419" s="38">
        <f ca="1">BH292+BH242</f>
        <v>9857.9833034972798</v>
      </c>
      <c r="BI419" s="38">
        <f ca="1">BI292+BI242</f>
        <v>9809.471481893328</v>
      </c>
      <c r="BJ419" s="38">
        <f ca="1">BJ292+BJ242</f>
        <v>12225.421392335058</v>
      </c>
      <c r="BK419" s="38">
        <f t="shared" ref="BK419:BP419" ca="1" si="1663">BK292+BK242</f>
        <v>16133.355781955594</v>
      </c>
      <c r="BL419" s="38">
        <f t="shared" ca="1" si="1663"/>
        <v>17423.098603763883</v>
      </c>
      <c r="BM419" s="38">
        <f t="shared" ca="1" si="1663"/>
        <v>17202.653420649618</v>
      </c>
      <c r="BN419" s="38">
        <f t="shared" si="1663"/>
        <v>17194.136999999999</v>
      </c>
      <c r="BO419" s="38">
        <f t="shared" ca="1" si="1663"/>
        <v>17457.881129171292</v>
      </c>
      <c r="BP419" s="38">
        <f t="shared" ca="1" si="1663"/>
        <v>21935.81538304127</v>
      </c>
      <c r="BQ419" s="38">
        <f t="shared" ref="BQ419:BV419" ca="1" si="1664">BQ292+BQ242</f>
        <v>27163.700026800016</v>
      </c>
      <c r="BR419" s="38">
        <f t="shared" ca="1" si="1664"/>
        <v>29859.82564807286</v>
      </c>
      <c r="BS419" s="38">
        <f t="shared" ca="1" si="1664"/>
        <v>30995.419134880554</v>
      </c>
      <c r="BT419" s="38">
        <f t="shared" ca="1" si="1664"/>
        <v>31947.692109834541</v>
      </c>
      <c r="BU419" s="38">
        <f t="shared" ca="1" si="1664"/>
        <v>33218.773650097864</v>
      </c>
      <c r="BV419" s="38">
        <f t="shared" ca="1" si="1664"/>
        <v>34578.925328158461</v>
      </c>
      <c r="BW419" s="38">
        <f t="shared" ref="BW419:BX419" ca="1" si="1665">BW292+BW242</f>
        <v>35983.981405857819</v>
      </c>
      <c r="BX419" s="38">
        <f t="shared" ca="1" si="1665"/>
        <v>37441.609021964643</v>
      </c>
      <c r="BY419" s="38">
        <f t="shared" ref="BY419:CD419" ca="1" si="1666">BY292+BY242</f>
        <v>38954.086319982642</v>
      </c>
      <c r="BZ419" s="38">
        <f t="shared" ca="1" si="1666"/>
        <v>40862.834279001778</v>
      </c>
      <c r="CA419" s="38">
        <f t="shared" ca="1" si="1666"/>
        <v>42914.876751623706</v>
      </c>
      <c r="CB419" s="38">
        <f t="shared" ca="1" si="1666"/>
        <v>45071.63441183923</v>
      </c>
      <c r="CC419" s="38">
        <f t="shared" ca="1" si="1666"/>
        <v>47352.640054842886</v>
      </c>
      <c r="CD419" s="38">
        <f t="shared" ca="1" si="1666"/>
        <v>49769.325421278103</v>
      </c>
      <c r="CE419" s="101">
        <f t="shared" ca="1" si="1489"/>
        <v>35344.313754777984</v>
      </c>
      <c r="CF419" s="445"/>
      <c r="CG419" s="235">
        <f t="shared" ca="1" si="1543"/>
        <v>3432.9141957967913</v>
      </c>
      <c r="CH419" s="235">
        <f t="shared" ca="1" si="1544"/>
        <v>-248.17719861434307</v>
      </c>
      <c r="CI419" s="235" t="e">
        <f ca="1">BM419-#REF!</f>
        <v>#REF!</v>
      </c>
      <c r="CJ419" s="235">
        <f t="shared" si="1545"/>
        <v>0</v>
      </c>
      <c r="CK419" s="235">
        <f t="shared" ca="1" si="1546"/>
        <v>0</v>
      </c>
      <c r="CL419" s="235">
        <f t="shared" ca="1" si="1547"/>
        <v>0</v>
      </c>
      <c r="CM419" s="235">
        <f t="shared" ca="1" si="1548"/>
        <v>0</v>
      </c>
      <c r="CN419" s="235">
        <f t="shared" ca="1" si="1549"/>
        <v>0</v>
      </c>
      <c r="CO419" s="235">
        <f t="shared" ca="1" si="1550"/>
        <v>0</v>
      </c>
      <c r="CP419" s="235">
        <f t="shared" ca="1" si="1551"/>
        <v>-3.2741809263825417E-11</v>
      </c>
      <c r="CQ419" s="235">
        <f t="shared" ca="1" si="1552"/>
        <v>0</v>
      </c>
      <c r="CR419" s="235">
        <f t="shared" ca="1" si="1553"/>
        <v>-5.8207660913467407E-11</v>
      </c>
      <c r="CS419" s="235">
        <f t="shared" ca="1" si="1554"/>
        <v>-5.8207660913467407E-11</v>
      </c>
      <c r="CT419" s="235">
        <f t="shared" ca="1" si="1555"/>
        <v>-8.0035533756017685E-11</v>
      </c>
      <c r="CU419" s="235">
        <f t="shared" ca="1" si="1556"/>
        <v>-7.2759576141834259E-11</v>
      </c>
      <c r="CV419" s="235">
        <f t="shared" ca="1" si="1557"/>
        <v>-7.2759576141834259E-11</v>
      </c>
      <c r="CW419" s="235">
        <f t="shared" ca="1" si="1558"/>
        <v>7.2759576141834259E-11</v>
      </c>
      <c r="CX419" s="235">
        <f t="shared" ca="1" si="1559"/>
        <v>2.2264430299401283E-9</v>
      </c>
      <c r="CY419" s="235">
        <f t="shared" ca="1" si="1560"/>
        <v>2.3137545213103294E-8</v>
      </c>
      <c r="CZ419" s="235">
        <f t="shared" ca="1" si="1561"/>
        <v>1.8000719137489796E-7</v>
      </c>
      <c r="DA419" s="38"/>
      <c r="DB419" s="236">
        <v>5849.96</v>
      </c>
      <c r="DC419" s="236">
        <v>5850.96</v>
      </c>
      <c r="DD419" s="236">
        <v>6640.9629999999997</v>
      </c>
      <c r="DE419" s="236">
        <v>7738.7872344929983</v>
      </c>
      <c r="DF419" s="236">
        <v>7842.005437712427</v>
      </c>
      <c r="DG419" s="236">
        <v>12700.441586158802</v>
      </c>
      <c r="DH419" s="492">
        <v>17671.275802378226</v>
      </c>
      <c r="DI419" s="236">
        <v>17194.136999999999</v>
      </c>
      <c r="DJ419" s="236">
        <v>17457.881129171299</v>
      </c>
      <c r="DK419" s="236">
        <v>21935.815383041274</v>
      </c>
      <c r="DL419" s="236">
        <v>27163.700026800019</v>
      </c>
      <c r="DM419" s="236">
        <v>29859.825648072871</v>
      </c>
      <c r="DN419" s="236">
        <v>30995.419134880558</v>
      </c>
      <c r="DO419" s="236">
        <v>31947.692109834574</v>
      </c>
      <c r="DP419" s="236">
        <v>33218.773650097901</v>
      </c>
      <c r="DQ419" s="401">
        <v>34578.925328158519</v>
      </c>
      <c r="DR419" s="401">
        <v>35983.981405857878</v>
      </c>
      <c r="DS419" s="401">
        <v>37441.609021964723</v>
      </c>
      <c r="DT419" s="401">
        <v>38954.086319982714</v>
      </c>
      <c r="DU419" s="401">
        <v>40862.834279001851</v>
      </c>
      <c r="DV419" s="401">
        <v>42914.876751623633</v>
      </c>
      <c r="DW419" s="401">
        <v>45071.634411837003</v>
      </c>
      <c r="DX419" s="401">
        <v>47352.640054819749</v>
      </c>
      <c r="DY419" s="401">
        <v>49769.325421098096</v>
      </c>
      <c r="DZ419" s="401">
        <v>35481.346092641339</v>
      </c>
      <c r="EA419" s="989"/>
    </row>
    <row r="420" spans="1:131" s="76" customFormat="1">
      <c r="A420" s="38" t="s">
        <v>4227</v>
      </c>
      <c r="B420" s="38" t="s">
        <v>331</v>
      </c>
      <c r="D420" s="227" t="s">
        <v>2462</v>
      </c>
      <c r="E420" s="227"/>
      <c r="F420" s="38"/>
      <c r="G420" s="38">
        <f t="shared" ref="G420:AL420" si="1667">(G419/F419-1)*100</f>
        <v>4.4054778949810247</v>
      </c>
      <c r="H420" s="38">
        <f t="shared" si="1667"/>
        <v>8.1643037596618839</v>
      </c>
      <c r="I420" s="38">
        <f t="shared" si="1667"/>
        <v>15.517428854573833</v>
      </c>
      <c r="J420" s="38">
        <f t="shared" si="1667"/>
        <v>6.2834229132427533</v>
      </c>
      <c r="K420" s="38">
        <f t="shared" si="1667"/>
        <v>10.31194908298505</v>
      </c>
      <c r="L420" s="38">
        <f t="shared" si="1667"/>
        <v>8.5459267159996077</v>
      </c>
      <c r="M420" s="38">
        <f t="shared" si="1667"/>
        <v>4.5983256728761468</v>
      </c>
      <c r="N420" s="38">
        <f t="shared" si="1667"/>
        <v>5.2371560493440938</v>
      </c>
      <c r="O420" s="38">
        <f t="shared" si="1667"/>
        <v>6.7049293411752586</v>
      </c>
      <c r="P420" s="38">
        <f t="shared" si="1667"/>
        <v>9.9891582370081231</v>
      </c>
      <c r="Q420" s="38">
        <f t="shared" si="1667"/>
        <v>14.529031278219007</v>
      </c>
      <c r="R420" s="38">
        <f t="shared" si="1667"/>
        <v>26.300796396420068</v>
      </c>
      <c r="S420" s="38">
        <f t="shared" si="1667"/>
        <v>15.991529696917173</v>
      </c>
      <c r="T420" s="38">
        <f t="shared" si="1667"/>
        <v>9.5456783032658485</v>
      </c>
      <c r="U420" s="38">
        <f t="shared" si="1667"/>
        <v>4.4803446497119648</v>
      </c>
      <c r="V420" s="38">
        <f t="shared" si="1667"/>
        <v>5.3239627082720009</v>
      </c>
      <c r="W420" s="38">
        <f t="shared" si="1667"/>
        <v>8.5959081779814372</v>
      </c>
      <c r="X420" s="38">
        <f t="shared" si="1667"/>
        <v>5.2910913179125441</v>
      </c>
      <c r="Y420" s="38">
        <f t="shared" si="1667"/>
        <v>8.2958510336983426</v>
      </c>
      <c r="Z420" s="38">
        <f t="shared" si="1667"/>
        <v>21.649703834146948</v>
      </c>
      <c r="AA420" s="38">
        <f t="shared" si="1667"/>
        <v>20.141906959886668</v>
      </c>
      <c r="AB420" s="38">
        <f t="shared" si="1667"/>
        <v>8.7103163435811037</v>
      </c>
      <c r="AC420" s="38">
        <f t="shared" si="1667"/>
        <v>26.825117910659777</v>
      </c>
      <c r="AD420" s="38">
        <f t="shared" si="1667"/>
        <v>14.680743808713427</v>
      </c>
      <c r="AE420" s="38">
        <f t="shared" si="1667"/>
        <v>6.4080067364808535</v>
      </c>
      <c r="AF420" s="38">
        <f t="shared" si="1667"/>
        <v>2.3633527819725053</v>
      </c>
      <c r="AG420" s="38">
        <f t="shared" si="1667"/>
        <v>12.265702338419127</v>
      </c>
      <c r="AH420" s="38">
        <f t="shared" si="1667"/>
        <v>2.9042139164772829</v>
      </c>
      <c r="AI420" s="38">
        <f t="shared" si="1667"/>
        <v>-3.291915801318912</v>
      </c>
      <c r="AJ420" s="38">
        <f t="shared" si="1667"/>
        <v>-2.3406971439517199</v>
      </c>
      <c r="AK420" s="38">
        <f t="shared" si="1667"/>
        <v>-0.18530702237158359</v>
      </c>
      <c r="AL420" s="38">
        <f t="shared" si="1667"/>
        <v>2.8474992277034206</v>
      </c>
      <c r="AM420" s="38">
        <f t="shared" ref="AM420:BI420" si="1668">(AM419/AL419-1)*100</f>
        <v>10.141777670434982</v>
      </c>
      <c r="AN420" s="38">
        <f t="shared" si="1668"/>
        <v>18.514674970496038</v>
      </c>
      <c r="AO420" s="38">
        <f t="shared" si="1668"/>
        <v>17.822433874508192</v>
      </c>
      <c r="AP420" s="38">
        <f t="shared" si="1668"/>
        <v>28.483624503154694</v>
      </c>
      <c r="AQ420" s="38">
        <f t="shared" si="1668"/>
        <v>18.466208931210915</v>
      </c>
      <c r="AR420" s="38">
        <f t="shared" si="1668"/>
        <v>29.833183790569585</v>
      </c>
      <c r="AS420" s="38">
        <f t="shared" si="1668"/>
        <v>124.82979622837208</v>
      </c>
      <c r="AT420" s="38">
        <f t="shared" si="1668"/>
        <v>293.35156360363879</v>
      </c>
      <c r="AU420" s="38">
        <f t="shared" si="1668"/>
        <v>380.05469154299806</v>
      </c>
      <c r="AV420" s="38">
        <f t="shared" si="1668"/>
        <v>31.070460990467975</v>
      </c>
      <c r="AW420" s="38">
        <f t="shared" si="1668"/>
        <v>13.169603291865762</v>
      </c>
      <c r="AX420" s="38">
        <f t="shared" si="1668"/>
        <v>21.795657382691779</v>
      </c>
      <c r="AY420" s="38">
        <f t="shared" si="1668"/>
        <v>86.008396211295477</v>
      </c>
      <c r="AZ420" s="38">
        <f t="shared" si="1668"/>
        <v>65.932457677431742</v>
      </c>
      <c r="BA420" s="38">
        <f t="shared" si="1668"/>
        <v>44.035720612340356</v>
      </c>
      <c r="BB420" s="38">
        <f t="shared" si="1668"/>
        <v>18.847886871305541</v>
      </c>
      <c r="BC420" s="38">
        <f t="shared" si="1668"/>
        <v>40.431318203251877</v>
      </c>
      <c r="BD420" s="38">
        <f t="shared" si="1668"/>
        <v>23.379260392176992</v>
      </c>
      <c r="BE420" s="38">
        <f t="shared" ca="1" si="1668"/>
        <v>37.86585706820442</v>
      </c>
      <c r="BF420" s="38">
        <f t="shared" ca="1" si="1668"/>
        <v>22.587792001973426</v>
      </c>
      <c r="BG420" s="38">
        <f t="shared" ca="1" si="1668"/>
        <v>13.544389955489944</v>
      </c>
      <c r="BH420" s="38">
        <f t="shared" ca="1" si="1668"/>
        <v>16.994033979948743</v>
      </c>
      <c r="BI420" s="38">
        <f t="shared" ca="1" si="1668"/>
        <v>-0.49210695646787483</v>
      </c>
      <c r="BJ420" s="38">
        <f t="shared" ref="BJ420:BQ420" ca="1" si="1669">(BJ419/BI419-1)*100</f>
        <v>24.628746970733097</v>
      </c>
      <c r="BK420" s="38">
        <f t="shared" ca="1" si="1669"/>
        <v>31.965641626641062</v>
      </c>
      <c r="BL420" s="38">
        <f t="shared" ca="1" si="1669"/>
        <v>7.9942625653294463</v>
      </c>
      <c r="BM420" s="38">
        <f t="shared" ca="1" si="1669"/>
        <v>-1.2652467171748838</v>
      </c>
      <c r="BN420" s="38">
        <f t="shared" ca="1" si="1669"/>
        <v>-4.9506436253587971E-2</v>
      </c>
      <c r="BO420" s="38">
        <f t="shared" ca="1" si="1669"/>
        <v>1.5339189700029232</v>
      </c>
      <c r="BP420" s="38">
        <f t="shared" ca="1" si="1669"/>
        <v>25.649929798110271</v>
      </c>
      <c r="BQ420" s="38">
        <f t="shared" ca="1" si="1669"/>
        <v>23.832643339077599</v>
      </c>
      <c r="BR420" s="38">
        <f t="shared" ref="BR420:BX420" ca="1" si="1670">(BR419/BQ419-1)*100</f>
        <v>9.9254726661420101</v>
      </c>
      <c r="BS420" s="38">
        <f t="shared" ca="1" si="1670"/>
        <v>3.8030814385581868</v>
      </c>
      <c r="BT420" s="38">
        <f t="shared" ca="1" si="1670"/>
        <v>3.0723022999303407</v>
      </c>
      <c r="BU420" s="38">
        <f t="shared" ca="1" si="1670"/>
        <v>3.9786333732446444</v>
      </c>
      <c r="BV420" s="38">
        <f t="shared" ca="1" si="1670"/>
        <v>4.0945270658918176</v>
      </c>
      <c r="BW420" s="38">
        <f t="shared" ca="1" si="1670"/>
        <v>4.0633306685074588</v>
      </c>
      <c r="BX420" s="38">
        <f t="shared" ca="1" si="1670"/>
        <v>4.0507680338828234</v>
      </c>
      <c r="BY420" s="38">
        <f t="shared" ref="BY420" ca="1" si="1671">(BY419/BX419-1)*100</f>
        <v>4.039562768605176</v>
      </c>
      <c r="BZ420" s="38">
        <f t="shared" ref="BZ420" ca="1" si="1672">(BZ419/BY419-1)*100</f>
        <v>4.8999941709324313</v>
      </c>
      <c r="CA420" s="38">
        <f t="shared" ref="CA420" ca="1" si="1673">(CA419/BZ419-1)*100</f>
        <v>5.0217820394225843</v>
      </c>
      <c r="CB420" s="38">
        <f t="shared" ref="CB420" ca="1" si="1674">(CB419/CA419-1)*100</f>
        <v>5.0256643464178685</v>
      </c>
      <c r="CC420" s="38">
        <f t="shared" ref="CC420" ca="1" si="1675">(CC419/CB419-1)*100</f>
        <v>5.060845191814245</v>
      </c>
      <c r="CD420" s="38">
        <f t="shared" ref="CD420" ca="1" si="1676">(CD419/CC419-1)*100</f>
        <v>5.1035916131312975</v>
      </c>
      <c r="CE420" s="101">
        <f t="shared" ca="1" si="1489"/>
        <v>7.0722529864794801</v>
      </c>
      <c r="CF420" s="445"/>
      <c r="CG420" s="235">
        <f t="shared" ca="1" si="1543"/>
        <v>0.76175906303763696</v>
      </c>
      <c r="CH420" s="235">
        <f t="shared" ca="1" si="1544"/>
        <v>-3.7236593346756663E-3</v>
      </c>
      <c r="CI420" s="235" t="e">
        <f ca="1">BM420-#REF!</f>
        <v>#REF!</v>
      </c>
      <c r="CJ420" s="235">
        <f t="shared" ca="1" si="1545"/>
        <v>0</v>
      </c>
      <c r="CK420" s="235">
        <f t="shared" ca="1" si="1546"/>
        <v>-4.4408920985006262E-14</v>
      </c>
      <c r="CL420" s="235">
        <f t="shared" ca="1" si="1547"/>
        <v>0</v>
      </c>
      <c r="CM420" s="235">
        <f t="shared" ca="1" si="1548"/>
        <v>0</v>
      </c>
      <c r="CN420" s="235">
        <f t="shared" ca="1" si="1549"/>
        <v>-2.1316282072803006E-14</v>
      </c>
      <c r="CO420" s="235">
        <f t="shared" ca="1" si="1550"/>
        <v>2.2204460492503131E-14</v>
      </c>
      <c r="CP420" s="235">
        <f t="shared" ca="1" si="1551"/>
        <v>-1.1102230246251565E-13</v>
      </c>
      <c r="CQ420" s="235">
        <f t="shared" ca="1" si="1552"/>
        <v>0</v>
      </c>
      <c r="CR420" s="235">
        <f t="shared" ca="1" si="1553"/>
        <v>-6.6613381477509392E-14</v>
      </c>
      <c r="CS420" s="235">
        <f t="shared" ca="1" si="1554"/>
        <v>0</v>
      </c>
      <c r="CT420" s="235">
        <f t="shared" ca="1" si="1555"/>
        <v>-4.4408920985006262E-14</v>
      </c>
      <c r="CU420" s="235">
        <f t="shared" ca="1" si="1556"/>
        <v>2.2204460492503131E-14</v>
      </c>
      <c r="CV420" s="235">
        <f t="shared" ca="1" si="1557"/>
        <v>2.2204460492503131E-14</v>
      </c>
      <c r="CW420" s="235">
        <f t="shared" ca="1" si="1558"/>
        <v>3.5527136788005009E-13</v>
      </c>
      <c r="CX420" s="235">
        <f t="shared" ca="1" si="1559"/>
        <v>5.0182080713057076E-12</v>
      </c>
      <c r="CY420" s="235">
        <f t="shared" ca="1" si="1560"/>
        <v>4.6163073363914009E-11</v>
      </c>
      <c r="CZ420" s="235">
        <f t="shared" ca="1" si="1561"/>
        <v>3.2878144651249386E-10</v>
      </c>
      <c r="DA420" s="38"/>
      <c r="DB420" s="236"/>
      <c r="DC420" s="236"/>
      <c r="DD420" s="236"/>
      <c r="DE420" s="236"/>
      <c r="DF420" s="236"/>
      <c r="DG420" s="236">
        <v>31.203882563603425</v>
      </c>
      <c r="DH420" s="492">
        <v>7.997986224664122</v>
      </c>
      <c r="DI420" s="236">
        <v>-4.9506436253587971E-2</v>
      </c>
      <c r="DJ420" s="236">
        <v>1.5339189700029676</v>
      </c>
      <c r="DK420" s="236">
        <v>25.64992979811025</v>
      </c>
      <c r="DL420" s="236">
        <v>23.832643339077599</v>
      </c>
      <c r="DM420" s="236">
        <v>9.9254726661420314</v>
      </c>
      <c r="DN420" s="236">
        <v>3.8030814385581646</v>
      </c>
      <c r="DO420" s="236">
        <v>3.0723022999304517</v>
      </c>
      <c r="DP420" s="236">
        <v>3.9786333732446444</v>
      </c>
      <c r="DQ420" s="401">
        <v>4.0945270658918842</v>
      </c>
      <c r="DR420" s="401">
        <v>4.0633306685074588</v>
      </c>
      <c r="DS420" s="401">
        <v>4.0507680338828678</v>
      </c>
      <c r="DT420" s="401">
        <v>4.0395627686051538</v>
      </c>
      <c r="DU420" s="401">
        <v>4.8999941709324091</v>
      </c>
      <c r="DV420" s="401">
        <v>5.021782039422229</v>
      </c>
      <c r="DW420" s="401">
        <v>5.0256643464128503</v>
      </c>
      <c r="DX420" s="401">
        <v>5.0608451917680819</v>
      </c>
      <c r="DY420" s="401">
        <v>5.1035916128025161</v>
      </c>
      <c r="DZ420" s="401">
        <v>6.9504177345557103</v>
      </c>
      <c r="EA420" s="989"/>
    </row>
    <row r="421" spans="1:131" s="76" customFormat="1">
      <c r="A421" s="38" t="s">
        <v>4228</v>
      </c>
      <c r="B421" s="255" t="s">
        <v>4622</v>
      </c>
      <c r="D421" s="227" t="s">
        <v>4383</v>
      </c>
      <c r="E421" s="227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969">
        <f>DataInput!AV118</f>
        <v>347.98572837278624</v>
      </c>
      <c r="AW421" s="969">
        <f>DataInput!AW118</f>
        <v>393.81406831179174</v>
      </c>
      <c r="AX421" s="969">
        <f>DataInput!AX118</f>
        <v>479.64843336586972</v>
      </c>
      <c r="AY421" s="969">
        <f>DataInput!AY118</f>
        <v>892.18635835645841</v>
      </c>
      <c r="AZ421" s="969">
        <f>DataInput!AZ118</f>
        <v>1480.4267514836499</v>
      </c>
      <c r="BA421" s="969">
        <f>DataInput!BA118</f>
        <v>2132.3433396373362</v>
      </c>
      <c r="BB421" s="969">
        <f>DataInput!BB118</f>
        <v>2534.2449999999999</v>
      </c>
      <c r="BC421" s="969">
        <f>DataInput!BC118</f>
        <v>3558.8736600000002</v>
      </c>
      <c r="BD421" s="969">
        <f>DataInput!BD118</f>
        <v>4390.9120000000003</v>
      </c>
      <c r="BE421" s="969">
        <f>DataInput!BE117</f>
        <v>6105.9160000000002</v>
      </c>
      <c r="BF421" s="969">
        <f>DataInput!BF117</f>
        <v>7206.3250130575279</v>
      </c>
      <c r="BG421" s="969">
        <f>DataInput!BG117</f>
        <v>8060.5318798577055</v>
      </c>
      <c r="BH421" s="969">
        <f>DataInput!BH117</f>
        <v>9698.0550363404745</v>
      </c>
      <c r="BI421" s="969">
        <f>DataInput!BI117</f>
        <v>10638.423667004776</v>
      </c>
      <c r="BJ421" s="969">
        <f>DataInput!BJ117</f>
        <v>11993.016</v>
      </c>
      <c r="BK421" s="969">
        <f>DataInput!BK117</f>
        <v>14451.880999999999</v>
      </c>
      <c r="BL421" s="969">
        <f>DataInput!BL117</f>
        <v>16433.674999999999</v>
      </c>
      <c r="BM421" s="969">
        <f>DataInput!BM117</f>
        <v>16932.127</v>
      </c>
      <c r="BN421" s="969">
        <f>DataInput!BN117</f>
        <v>17194.136999999999</v>
      </c>
      <c r="BO421" s="969">
        <f>DataInput!BO117</f>
        <v>17287.37</v>
      </c>
      <c r="BP421" s="969">
        <f>DataInput!BP117</f>
        <v>18456.981</v>
      </c>
      <c r="BQ421" s="969">
        <f>DataInput!BQ117</f>
        <v>20067.792000000001</v>
      </c>
      <c r="BR421" s="38">
        <f t="shared" ref="BR421:BX421" ca="1" si="1677">BQ421*(1+BR420/100)</f>
        <v>22059.615209658234</v>
      </c>
      <c r="BS421" s="38">
        <f t="shared" ca="1" si="1677"/>
        <v>22898.560341114106</v>
      </c>
      <c r="BT421" s="38">
        <f t="shared" ca="1" si="1677"/>
        <v>23602.07333712509</v>
      </c>
      <c r="BU421" s="38">
        <f t="shared" ca="1" si="1677"/>
        <v>24541.113303693626</v>
      </c>
      <c r="BV421" s="38">
        <f t="shared" ca="1" si="1677"/>
        <v>25545.955830184539</v>
      </c>
      <c r="BW421" s="38">
        <f t="shared" ca="1" si="1677"/>
        <v>26583.972487995798</v>
      </c>
      <c r="BX421" s="38">
        <f t="shared" ca="1" si="1677"/>
        <v>27660.827547675737</v>
      </c>
      <c r="BY421" s="38">
        <f t="shared" ref="BY421" ca="1" si="1678">BX421*(1+BY420/100)</f>
        <v>28778.204038779731</v>
      </c>
      <c r="BZ421" s="38">
        <f t="shared" ref="BZ421" ca="1" si="1679">BY421*(1+BZ420/100)</f>
        <v>30188.334359178978</v>
      </c>
      <c r="CA421" s="38">
        <f t="shared" ref="CA421" ca="1" si="1680">BZ421*(1+CA420/100)</f>
        <v>31704.326712029066</v>
      </c>
      <c r="CB421" s="38">
        <f t="shared" ref="CB421" ca="1" si="1681">CA421*(1+CB420/100)</f>
        <v>33297.67975586735</v>
      </c>
      <c r="CC421" s="38">
        <f t="shared" ref="CC421" ca="1" si="1682">CB421*(1+CC420/100)</f>
        <v>34982.823780777864</v>
      </c>
      <c r="CD421" s="38">
        <f t="shared" ref="CD421" ca="1" si="1683">CC421*(1+CD420/100)</f>
        <v>36768.204241290143</v>
      </c>
      <c r="CE421" s="101">
        <f t="shared" ca="1" si="1489"/>
        <v>26526.489621585639</v>
      </c>
      <c r="CF421" s="445"/>
      <c r="CG421" s="235">
        <f t="shared" si="1543"/>
        <v>192.625</v>
      </c>
      <c r="CH421" s="235">
        <f t="shared" si="1544"/>
        <v>-108.84800000000178</v>
      </c>
      <c r="CI421" s="235" t="e">
        <f>BM421-#REF!</f>
        <v>#REF!</v>
      </c>
      <c r="CJ421" s="235">
        <f t="shared" si="1545"/>
        <v>0</v>
      </c>
      <c r="CK421" s="235">
        <f t="shared" si="1546"/>
        <v>0</v>
      </c>
      <c r="CL421" s="235">
        <f t="shared" si="1547"/>
        <v>0</v>
      </c>
      <c r="CM421" s="235">
        <f t="shared" si="1548"/>
        <v>0</v>
      </c>
      <c r="CN421" s="235">
        <f t="shared" ca="1" si="1549"/>
        <v>0</v>
      </c>
      <c r="CO421" s="235">
        <f t="shared" ca="1" si="1550"/>
        <v>0</v>
      </c>
      <c r="CP421" s="235">
        <f t="shared" ca="1" si="1551"/>
        <v>0</v>
      </c>
      <c r="CQ421" s="235">
        <f t="shared" ca="1" si="1552"/>
        <v>0</v>
      </c>
      <c r="CR421" s="235">
        <f t="shared" ca="1" si="1553"/>
        <v>-4.0017766878008842E-11</v>
      </c>
      <c r="CS421" s="235">
        <f t="shared" ca="1" si="1554"/>
        <v>-4.0017766878008842E-11</v>
      </c>
      <c r="CT421" s="235">
        <f t="shared" ca="1" si="1555"/>
        <v>-5.0931703299283981E-11</v>
      </c>
      <c r="CU421" s="235">
        <f t="shared" ca="1" si="1556"/>
        <v>-4.7293724492192268E-11</v>
      </c>
      <c r="CV421" s="235">
        <f t="shared" ca="1" si="1557"/>
        <v>-4.3655745685100555E-11</v>
      </c>
      <c r="CW421" s="235">
        <f t="shared" ca="1" si="1558"/>
        <v>6.184563972055912E-11</v>
      </c>
      <c r="CX421" s="235">
        <f t="shared" ca="1" si="1559"/>
        <v>1.6589183360338211E-9</v>
      </c>
      <c r="CY421" s="235">
        <f t="shared" ca="1" si="1560"/>
        <v>1.7113052308559418E-8</v>
      </c>
      <c r="CZ421" s="235">
        <f t="shared" ca="1" si="1561"/>
        <v>1.3300450518727303E-7</v>
      </c>
      <c r="DA421" s="38"/>
      <c r="DB421" s="236"/>
      <c r="DC421" s="236"/>
      <c r="DD421" s="236"/>
      <c r="DE421" s="236"/>
      <c r="DF421" s="236">
        <v>8926</v>
      </c>
      <c r="DG421" s="236">
        <v>14259.255999999999</v>
      </c>
      <c r="DH421" s="492">
        <v>16542.523000000001</v>
      </c>
      <c r="DI421" s="236">
        <v>17194.136999999999</v>
      </c>
      <c r="DJ421" s="236">
        <v>17287.37</v>
      </c>
      <c r="DK421" s="236">
        <v>18456.981</v>
      </c>
      <c r="DL421" s="236">
        <v>20067.792000000001</v>
      </c>
      <c r="DM421" s="236">
        <v>22059.615209658237</v>
      </c>
      <c r="DN421" s="236">
        <v>22898.560341114102</v>
      </c>
      <c r="DO421" s="236">
        <v>23602.073337125112</v>
      </c>
      <c r="DP421" s="236">
        <v>24541.113303693648</v>
      </c>
      <c r="DQ421" s="401">
        <v>25545.955830184579</v>
      </c>
      <c r="DR421" s="401">
        <v>26583.972487995838</v>
      </c>
      <c r="DS421" s="401">
        <v>27660.827547675788</v>
      </c>
      <c r="DT421" s="401">
        <v>28778.204038779779</v>
      </c>
      <c r="DU421" s="401">
        <v>30188.334359179022</v>
      </c>
      <c r="DV421" s="401">
        <v>31704.326712029004</v>
      </c>
      <c r="DW421" s="401">
        <v>33297.679755865691</v>
      </c>
      <c r="DX421" s="401">
        <v>34982.823780760751</v>
      </c>
      <c r="DY421" s="401">
        <v>36768.204241157138</v>
      </c>
      <c r="DZ421" s="401">
        <v>28530.198648500274</v>
      </c>
      <c r="EA421" s="989"/>
    </row>
    <row r="422" spans="1:131" s="76" customFormat="1">
      <c r="A422" s="38" t="str">
        <f>A266</f>
        <v>Overall balance</v>
      </c>
      <c r="B422" s="255" t="s">
        <v>3398</v>
      </c>
      <c r="D422" s="227" t="s">
        <v>4383</v>
      </c>
      <c r="E422" s="227"/>
      <c r="F422" s="38">
        <f t="shared" ref="F422:AR422" si="1684">-F266</f>
        <v>-6.1467759597651954E-3</v>
      </c>
      <c r="G422" s="38">
        <f t="shared" si="1684"/>
        <v>-4.3439707889079129E-3</v>
      </c>
      <c r="H422" s="38">
        <f t="shared" si="1684"/>
        <v>-3.4204278765919516E-3</v>
      </c>
      <c r="I422" s="38">
        <f t="shared" si="1684"/>
        <v>-1.2241416489654705E-3</v>
      </c>
      <c r="J422" s="38">
        <f t="shared" si="1684"/>
        <v>1.4048303510485246E-4</v>
      </c>
      <c r="K422" s="38">
        <f t="shared" si="1684"/>
        <v>1.2283235056764711E-3</v>
      </c>
      <c r="L422" s="38">
        <f t="shared" si="1684"/>
        <v>2.9928887860304048E-3</v>
      </c>
      <c r="M422" s="38">
        <f t="shared" si="1684"/>
        <v>8.7754688560368332E-3</v>
      </c>
      <c r="N422" s="38">
        <f t="shared" si="1684"/>
        <v>8.3123585403163218E-3</v>
      </c>
      <c r="O422" s="38">
        <f t="shared" si="1684"/>
        <v>6.3805202637231082E-3</v>
      </c>
      <c r="P422" s="38">
        <f t="shared" si="1684"/>
        <v>5.3459152566764498E-3</v>
      </c>
      <c r="Q422" s="38">
        <f t="shared" si="1684"/>
        <v>5.846144479554824E-3</v>
      </c>
      <c r="R422" s="38">
        <f t="shared" si="1684"/>
        <v>5.687706735080459E-3</v>
      </c>
      <c r="S422" s="38">
        <f t="shared" si="1684"/>
        <v>1.5727983990111768E-3</v>
      </c>
      <c r="T422" s="38">
        <f t="shared" si="1684"/>
        <v>4.5933708292095242E-3</v>
      </c>
      <c r="U422" s="38">
        <f t="shared" si="1684"/>
        <v>1.4390277733365773E-2</v>
      </c>
      <c r="V422" s="38">
        <f t="shared" si="1684"/>
        <v>2.4175443061730993E-2</v>
      </c>
      <c r="W422" s="38">
        <f t="shared" si="1684"/>
        <v>1.790626602207809E-2</v>
      </c>
      <c r="X422" s="38">
        <f t="shared" si="1684"/>
        <v>3.8788884009105046E-2</v>
      </c>
      <c r="Y422" s="38">
        <f t="shared" si="1684"/>
        <v>5.1655415961800684E-2</v>
      </c>
      <c r="Z422" s="38">
        <f t="shared" si="1684"/>
        <v>6.1844667633345694E-2</v>
      </c>
      <c r="AA422" s="38">
        <f t="shared" si="1684"/>
        <v>0.12212886099262474</v>
      </c>
      <c r="AB422" s="38">
        <f t="shared" si="1684"/>
        <v>0.14714087871953038</v>
      </c>
      <c r="AC422" s="38">
        <f t="shared" si="1684"/>
        <v>0.16627123145482767</v>
      </c>
      <c r="AD422" s="38">
        <f t="shared" si="1684"/>
        <v>0.16421663294483529</v>
      </c>
      <c r="AE422" s="38">
        <f t="shared" si="1684"/>
        <v>0.16727829443088799</v>
      </c>
      <c r="AF422" s="38">
        <f t="shared" si="1684"/>
        <v>0.15625998582630551</v>
      </c>
      <c r="AG422" s="38">
        <f t="shared" si="1684"/>
        <v>0.21941697722822895</v>
      </c>
      <c r="AH422" s="38">
        <f t="shared" si="1684"/>
        <v>0.3128187810701728</v>
      </c>
      <c r="AI422" s="38">
        <f t="shared" si="1684"/>
        <v>0.3484433977041913</v>
      </c>
      <c r="AJ422" s="38">
        <f t="shared" si="1684"/>
        <v>0.32299803868728988</v>
      </c>
      <c r="AK422" s="38">
        <f t="shared" si="1684"/>
        <v>0.31671267810229314</v>
      </c>
      <c r="AL422" s="38">
        <f t="shared" si="1684"/>
        <v>0.38287342496762045</v>
      </c>
      <c r="AM422" s="38">
        <f t="shared" si="1684"/>
        <v>0.44387774031270449</v>
      </c>
      <c r="AN422" s="38">
        <f t="shared" si="1684"/>
        <v>0.435184376469682</v>
      </c>
      <c r="AO422" s="38">
        <f t="shared" si="1684"/>
        <v>0.48720182699870601</v>
      </c>
      <c r="AP422" s="38">
        <f t="shared" si="1684"/>
        <v>0.42381541957416202</v>
      </c>
      <c r="AQ422" s="38">
        <f t="shared" si="1684"/>
        <v>0.586885709755812</v>
      </c>
      <c r="AR422" s="38">
        <f t="shared" si="1684"/>
        <v>0.82063874436380657</v>
      </c>
      <c r="AS422" s="38">
        <f>-AS266</f>
        <v>1.3507831349250574</v>
      </c>
      <c r="AT422" s="38">
        <f>-AT266</f>
        <v>120.88162950752053</v>
      </c>
      <c r="AU422" s="38">
        <f>-AU266</f>
        <v>13.95361658069849</v>
      </c>
      <c r="AV422" s="38">
        <f t="shared" ref="AV422:BH422" si="1685">-AV266</f>
        <v>49.291038699999994</v>
      </c>
      <c r="AW422" s="38">
        <f t="shared" si="1685"/>
        <v>38.308087961999995</v>
      </c>
      <c r="AX422" s="38">
        <f t="shared" si="1685"/>
        <v>71.142918144999982</v>
      </c>
      <c r="AY422" s="38">
        <f t="shared" si="1685"/>
        <v>72.620163119999987</v>
      </c>
      <c r="AZ422" s="38">
        <f t="shared" si="1685"/>
        <v>99.429947219999946</v>
      </c>
      <c r="BA422" s="38">
        <f t="shared" si="1685"/>
        <v>-5.9155669999998821</v>
      </c>
      <c r="BB422" s="38">
        <f t="shared" si="1685"/>
        <v>112.8055439999999</v>
      </c>
      <c r="BC422" s="38">
        <f t="shared" si="1685"/>
        <v>-23.562304000000083</v>
      </c>
      <c r="BD422" s="38">
        <f t="shared" si="1685"/>
        <v>33.344740000000066</v>
      </c>
      <c r="BE422" s="38">
        <f t="shared" si="1685"/>
        <v>31.492448359999997</v>
      </c>
      <c r="BF422" s="38">
        <f t="shared" si="1685"/>
        <v>-85.15214099999983</v>
      </c>
      <c r="BG422" s="38">
        <f t="shared" si="1685"/>
        <v>-458.21584999999982</v>
      </c>
      <c r="BH422" s="38">
        <f t="shared" si="1685"/>
        <v>-156.33833599999477</v>
      </c>
      <c r="BI422" s="38">
        <f t="shared" ref="BI422:BP422" si="1686">-BI266</f>
        <v>222.44832600000058</v>
      </c>
      <c r="BJ422" s="38">
        <f t="shared" si="1686"/>
        <v>305.89054599999986</v>
      </c>
      <c r="BK422" s="38">
        <f t="shared" si="1686"/>
        <v>284.67248800000073</v>
      </c>
      <c r="BL422" s="38">
        <f t="shared" si="1686"/>
        <v>445.0999999999998</v>
      </c>
      <c r="BM422" s="38">
        <f t="shared" si="1686"/>
        <v>1027.2000734982184</v>
      </c>
      <c r="BN422" s="38">
        <f t="shared" si="1686"/>
        <v>961.09979090000013</v>
      </c>
      <c r="BO422" s="38">
        <f t="shared" si="1686"/>
        <v>1372.9000039000005</v>
      </c>
      <c r="BP422" s="38">
        <f t="shared" ca="1" si="1686"/>
        <v>1853.6328229682299</v>
      </c>
      <c r="BQ422" s="38">
        <f t="shared" ref="BQ422:BV422" ca="1" si="1687">-BQ266</f>
        <v>2002.6783560286819</v>
      </c>
      <c r="BR422" s="38">
        <f t="shared" ca="1" si="1687"/>
        <v>2209.238091906192</v>
      </c>
      <c r="BS422" s="38">
        <f t="shared" ca="1" si="1687"/>
        <v>2559.4376924753969</v>
      </c>
      <c r="BT422" s="38">
        <f t="shared" ca="1" si="1687"/>
        <v>3019.5394102847113</v>
      </c>
      <c r="BU422" s="38">
        <f t="shared" ca="1" si="1687"/>
        <v>3496.3007209057141</v>
      </c>
      <c r="BV422" s="38">
        <f t="shared" ca="1" si="1687"/>
        <v>4038.0916331141693</v>
      </c>
      <c r="BW422" s="38">
        <f t="shared" ref="BW422:BX422" ca="1" si="1688">-BW266</f>
        <v>4639.0888058624514</v>
      </c>
      <c r="BX422" s="38">
        <f t="shared" ca="1" si="1688"/>
        <v>5322.6596594165849</v>
      </c>
      <c r="BY422" s="38">
        <f t="shared" ref="BY422:CD422" ca="1" si="1689">-BY266</f>
        <v>6097.6973515922482</v>
      </c>
      <c r="BZ422" s="38">
        <f t="shared" ca="1" si="1689"/>
        <v>6941.878458187568</v>
      </c>
      <c r="CA422" s="38">
        <f t="shared" ca="1" si="1689"/>
        <v>7887.7654679913921</v>
      </c>
      <c r="CB422" s="38">
        <f t="shared" ca="1" si="1689"/>
        <v>8934.2701427941647</v>
      </c>
      <c r="CC422" s="38">
        <f t="shared" ca="1" si="1689"/>
        <v>10112.610691553815</v>
      </c>
      <c r="CD422" s="38">
        <f t="shared" ca="1" si="1689"/>
        <v>11438.404408791448</v>
      </c>
      <c r="CE422" s="101">
        <f t="shared" ca="1" si="1489"/>
        <v>5120.3871073607979</v>
      </c>
      <c r="CF422" s="426"/>
      <c r="CG422" s="235">
        <f t="shared" si="1543"/>
        <v>1.2000000000000455</v>
      </c>
      <c r="CH422" s="235">
        <f t="shared" si="1544"/>
        <v>0</v>
      </c>
      <c r="CI422" s="235" t="e">
        <f>BM422-#REF!</f>
        <v>#REF!</v>
      </c>
      <c r="CJ422" s="235">
        <f t="shared" si="1545"/>
        <v>0</v>
      </c>
      <c r="CK422" s="235">
        <f t="shared" si="1546"/>
        <v>0</v>
      </c>
      <c r="CL422" s="235">
        <f t="shared" ca="1" si="1547"/>
        <v>0</v>
      </c>
      <c r="CM422" s="235">
        <f t="shared" ca="1" si="1548"/>
        <v>2.7284841053187847E-12</v>
      </c>
      <c r="CN422" s="235">
        <f t="shared" ca="1" si="1549"/>
        <v>0</v>
      </c>
      <c r="CO422" s="235">
        <f t="shared" ca="1" si="1550"/>
        <v>3.637978807091713E-12</v>
      </c>
      <c r="CP422" s="235">
        <f t="shared" ca="1" si="1551"/>
        <v>0</v>
      </c>
      <c r="CQ422" s="235">
        <f t="shared" ca="1" si="1552"/>
        <v>-3.637978807091713E-12</v>
      </c>
      <c r="CR422" s="235">
        <f t="shared" ca="1" si="1553"/>
        <v>-5.9117155615240335E-12</v>
      </c>
      <c r="CS422" s="235">
        <f t="shared" ca="1" si="1554"/>
        <v>-7.2759576141834259E-12</v>
      </c>
      <c r="CT422" s="235">
        <f t="shared" ca="1" si="1555"/>
        <v>0</v>
      </c>
      <c r="CU422" s="235">
        <f t="shared" ca="1" si="1556"/>
        <v>0</v>
      </c>
      <c r="CV422" s="235">
        <f t="shared" ca="1" si="1557"/>
        <v>0</v>
      </c>
      <c r="CW422" s="235">
        <f t="shared" ca="1" si="1558"/>
        <v>9.0949470177292824E-12</v>
      </c>
      <c r="CX422" s="235">
        <f t="shared" ca="1" si="1559"/>
        <v>3.0013325158506632E-10</v>
      </c>
      <c r="CY422" s="235">
        <f t="shared" ca="1" si="1560"/>
        <v>3.0686351237818599E-9</v>
      </c>
      <c r="CZ422" s="235">
        <f t="shared" ca="1" si="1561"/>
        <v>2.4108885554596782E-8</v>
      </c>
      <c r="DA422" s="38"/>
      <c r="DB422" s="236">
        <v>24.7001330000001</v>
      </c>
      <c r="DC422" s="236">
        <v>25.700133000000108</v>
      </c>
      <c r="DD422" s="236">
        <v>-91.56091700000006</v>
      </c>
      <c r="DE422" s="236">
        <v>-513.35648700000024</v>
      </c>
      <c r="DF422" s="236">
        <v>-17.577547370000104</v>
      </c>
      <c r="DG422" s="236">
        <v>283.47248800000068</v>
      </c>
      <c r="DH422" s="492">
        <v>445.0999999999998</v>
      </c>
      <c r="DI422" s="236">
        <v>961.09979090000013</v>
      </c>
      <c r="DJ422" s="236">
        <v>1372.9000039000005</v>
      </c>
      <c r="DK422" s="236">
        <v>1853.632822968229</v>
      </c>
      <c r="DL422" s="236">
        <v>2002.6783560286792</v>
      </c>
      <c r="DM422" s="236">
        <v>2209.2380919061893</v>
      </c>
      <c r="DN422" s="236">
        <v>2559.4376924753933</v>
      </c>
      <c r="DO422" s="236">
        <v>3019.5394102847094</v>
      </c>
      <c r="DP422" s="236">
        <v>3496.3007209057178</v>
      </c>
      <c r="DQ422" s="401">
        <v>4038.0916331141752</v>
      </c>
      <c r="DR422" s="401">
        <v>4639.0888058624587</v>
      </c>
      <c r="DS422" s="401">
        <v>5322.6596594165894</v>
      </c>
      <c r="DT422" s="401">
        <v>6097.6973515922546</v>
      </c>
      <c r="DU422" s="401">
        <v>6941.8784581875734</v>
      </c>
      <c r="DV422" s="401">
        <v>7887.765467991383</v>
      </c>
      <c r="DW422" s="401">
        <v>8934.2701427938646</v>
      </c>
      <c r="DX422" s="401">
        <v>10112.610691550746</v>
      </c>
      <c r="DY422" s="401">
        <v>11438.404408767339</v>
      </c>
      <c r="DZ422" s="401">
        <v>4043.2807464140374</v>
      </c>
      <c r="EA422" s="989"/>
    </row>
    <row r="423" spans="1:131" s="76" customFormat="1">
      <c r="A423" s="38" t="str">
        <f>A354</f>
        <v>Broad Money/monetary supply</v>
      </c>
      <c r="B423" s="16" t="s">
        <v>2009</v>
      </c>
      <c r="D423" s="227" t="s">
        <v>4383</v>
      </c>
      <c r="E423" s="227"/>
      <c r="F423" s="38">
        <f t="shared" ref="F423:AR423" si="1690">F354</f>
        <v>5.2987292210009543E-2</v>
      </c>
      <c r="G423" s="38">
        <f t="shared" si="1690"/>
        <v>5.1300430899862137E-2</v>
      </c>
      <c r="H423" s="38">
        <f t="shared" si="1690"/>
        <v>5.1101976628080081E-2</v>
      </c>
      <c r="I423" s="38">
        <f t="shared" si="1690"/>
        <v>5.5666424784436827E-2</v>
      </c>
      <c r="J423" s="38">
        <f t="shared" si="1690"/>
        <v>5.7948648862615193E-2</v>
      </c>
      <c r="K423" s="38">
        <f t="shared" si="1690"/>
        <v>5.8246330282117065E-2</v>
      </c>
      <c r="L423" s="38">
        <f t="shared" si="1690"/>
        <v>6.5688365473943883E-2</v>
      </c>
      <c r="M423" s="38">
        <f t="shared" si="1690"/>
        <v>6.9756677950845503E-2</v>
      </c>
      <c r="N423" s="38">
        <f t="shared" si="1690"/>
        <v>7.2138129306860449E-2</v>
      </c>
      <c r="O423" s="38">
        <f t="shared" si="1690"/>
        <v>7.3626536345225826E-2</v>
      </c>
      <c r="P423" s="38">
        <f t="shared" si="1690"/>
        <v>8.5335338569627411E-2</v>
      </c>
      <c r="Q423" s="38">
        <f t="shared" si="1690"/>
        <v>8.9899786725984143E-2</v>
      </c>
      <c r="R423" s="38">
        <f t="shared" si="1690"/>
        <v>0.10150936143597322</v>
      </c>
      <c r="S423" s="38">
        <f t="shared" si="1690"/>
        <v>0.11163052910759694</v>
      </c>
      <c r="T423" s="38">
        <f t="shared" si="1690"/>
        <v>0.11946947293761823</v>
      </c>
      <c r="U423" s="38">
        <f t="shared" si="1690"/>
        <v>0.13365895355929541</v>
      </c>
      <c r="V423" s="38">
        <f t="shared" si="1690"/>
        <v>0.14477239258982938</v>
      </c>
      <c r="W423" s="38">
        <f t="shared" si="1690"/>
        <v>0.15757269274124999</v>
      </c>
      <c r="X423" s="38">
        <f t="shared" si="1690"/>
        <v>0.16561009112694444</v>
      </c>
      <c r="Y423" s="38">
        <f t="shared" si="1690"/>
        <v>0.17037299383897436</v>
      </c>
      <c r="Z423" s="38">
        <f t="shared" si="1690"/>
        <v>0.20222490294590717</v>
      </c>
      <c r="AA423" s="38">
        <f t="shared" si="1690"/>
        <v>0.21026230133160159</v>
      </c>
      <c r="AB423" s="38">
        <f t="shared" si="1690"/>
        <v>0.24320571120446458</v>
      </c>
      <c r="AC423" s="38">
        <f t="shared" si="1690"/>
        <v>0.27892748012523327</v>
      </c>
      <c r="AD423" s="38">
        <f t="shared" si="1690"/>
        <v>0.30452808042807455</v>
      </c>
      <c r="AE423" s="38">
        <f t="shared" si="1690"/>
        <v>0.33469312936042445</v>
      </c>
      <c r="AF423" s="38">
        <f t="shared" si="1690"/>
        <v>0.36396513444827649</v>
      </c>
      <c r="AG423" s="38">
        <f t="shared" si="1690"/>
        <v>0.53542962526796622</v>
      </c>
      <c r="AH423" s="38">
        <f t="shared" si="1690"/>
        <v>0.79500781275888532</v>
      </c>
      <c r="AI423" s="38">
        <f t="shared" si="1690"/>
        <v>0.83995770531751923</v>
      </c>
      <c r="AJ423" s="38">
        <f t="shared" si="1690"/>
        <v>1.0368243429253112</v>
      </c>
      <c r="AK423" s="38">
        <f t="shared" si="1690"/>
        <v>1.4139866864470938</v>
      </c>
      <c r="AL423" s="38">
        <f t="shared" si="1690"/>
        <v>1.8320306099559787</v>
      </c>
      <c r="AM423" s="38">
        <f t="shared" si="1690"/>
        <v>2.1228653452525705</v>
      </c>
      <c r="AN423" s="38">
        <f t="shared" si="1690"/>
        <v>2.3690478693982011</v>
      </c>
      <c r="AO423" s="38">
        <f t="shared" si="1690"/>
        <v>1.6264319843897765</v>
      </c>
      <c r="AP423" s="38">
        <f t="shared" si="1690"/>
        <v>2.3986175558937264</v>
      </c>
      <c r="AQ423" s="38">
        <f t="shared" si="1690"/>
        <v>3.1476832047350674</v>
      </c>
      <c r="AR423" s="38">
        <f t="shared" si="1690"/>
        <v>3.5091676607860687</v>
      </c>
      <c r="AS423" s="38">
        <f>AS354</f>
        <v>6.599993716655578</v>
      </c>
      <c r="AT423" s="38">
        <f>AT354</f>
        <v>23.120716479695748</v>
      </c>
      <c r="AU423" s="38">
        <f>AU354</f>
        <v>61.328918971621718</v>
      </c>
      <c r="AV423" s="38">
        <f t="shared" ref="AV423:BH423" si="1691">AV354</f>
        <v>77.855000000000004</v>
      </c>
      <c r="AW423" s="38">
        <f t="shared" si="1691"/>
        <v>90.620099999999994</v>
      </c>
      <c r="AX423" s="38">
        <f t="shared" si="1691"/>
        <v>116.6203</v>
      </c>
      <c r="AY423" s="38">
        <f t="shared" si="1691"/>
        <v>160.90900000000002</v>
      </c>
      <c r="AZ423" s="38">
        <f t="shared" si="1691"/>
        <v>310.89999999999998</v>
      </c>
      <c r="BA423" s="38">
        <f t="shared" si="1691"/>
        <v>426.2</v>
      </c>
      <c r="BB423" s="38">
        <f t="shared" si="1691"/>
        <v>591.1</v>
      </c>
      <c r="BC423" s="38">
        <f t="shared" si="1691"/>
        <v>614.4</v>
      </c>
      <c r="BD423" s="38">
        <f t="shared" si="1691"/>
        <v>785.7</v>
      </c>
      <c r="BE423" s="38">
        <f t="shared" si="1691"/>
        <v>880.2</v>
      </c>
      <c r="BF423" s="38">
        <f t="shared" si="1691"/>
        <v>2793.4</v>
      </c>
      <c r="BG423" s="38">
        <f t="shared" si="1691"/>
        <v>3597</v>
      </c>
      <c r="BH423" s="38">
        <f t="shared" si="1691"/>
        <v>4336.6000000000004</v>
      </c>
      <c r="BI423" s="38">
        <f t="shared" ref="BI423:BP423" si="1692">BI354</f>
        <v>4994.8</v>
      </c>
      <c r="BJ423" s="38">
        <f t="shared" si="1692"/>
        <v>5525.2</v>
      </c>
      <c r="BK423" s="38">
        <f t="shared" si="1692"/>
        <v>6710</v>
      </c>
      <c r="BL423" s="38">
        <f t="shared" si="1692"/>
        <v>8128.5</v>
      </c>
      <c r="BM423" s="38">
        <f t="shared" si="1692"/>
        <v>9028.1</v>
      </c>
      <c r="BN423" s="38">
        <f t="shared" si="1692"/>
        <v>9520.2000000000007</v>
      </c>
      <c r="BO423" s="38">
        <f t="shared" si="1692"/>
        <v>9479.7000000000007</v>
      </c>
      <c r="BP423" s="38">
        <f t="shared" ca="1" si="1692"/>
        <v>10889.757456384123</v>
      </c>
      <c r="BQ423" s="38">
        <f t="shared" ref="BQ423:BV423" ca="1" si="1693">BQ354</f>
        <v>12617.706787614416</v>
      </c>
      <c r="BR423" s="38">
        <f t="shared" ca="1" si="1693"/>
        <v>14390.688906612404</v>
      </c>
      <c r="BS423" s="38">
        <f t="shared" ca="1" si="1693"/>
        <v>15982.306291367438</v>
      </c>
      <c r="BT423" s="38">
        <f t="shared" ca="1" si="1693"/>
        <v>17681.338905140401</v>
      </c>
      <c r="BU423" s="38">
        <f t="shared" ca="1" si="1693"/>
        <v>19435.090956368294</v>
      </c>
      <c r="BV423" s="38">
        <f t="shared" ca="1" si="1693"/>
        <v>21300.044402287738</v>
      </c>
      <c r="BW423" s="38">
        <f t="shared" ref="BW423:BX423" ca="1" si="1694">BW354</f>
        <v>23290.715996049599</v>
      </c>
      <c r="BX423" s="38">
        <f t="shared" ca="1" si="1694"/>
        <v>25435.970054373276</v>
      </c>
      <c r="BY423" s="38">
        <f t="shared" ref="BY423:CD423" ca="1" si="1695">BY354</f>
        <v>27765.523022555401</v>
      </c>
      <c r="BZ423" s="38">
        <f t="shared" ca="1" si="1695"/>
        <v>30367.57341440138</v>
      </c>
      <c r="CA423" s="38">
        <f t="shared" ca="1" si="1695"/>
        <v>33261.534630147093</v>
      </c>
      <c r="CB423" s="38">
        <f t="shared" ca="1" si="1695"/>
        <v>36477.59770710874</v>
      </c>
      <c r="CC423" s="38">
        <f t="shared" ca="1" si="1695"/>
        <v>40067.424282135893</v>
      </c>
      <c r="CD423" s="38">
        <f t="shared" ca="1" si="1695"/>
        <v>44087.036520030335</v>
      </c>
      <c r="CE423" s="101">
        <f t="shared" ca="1" si="1489"/>
        <v>23908.125583286033</v>
      </c>
      <c r="CF423" s="426"/>
      <c r="CG423" s="235">
        <f t="shared" si="1543"/>
        <v>0</v>
      </c>
      <c r="CH423" s="235">
        <f t="shared" si="1544"/>
        <v>0</v>
      </c>
      <c r="CI423" s="235" t="e">
        <f>BM423-#REF!</f>
        <v>#REF!</v>
      </c>
      <c r="CJ423" s="235">
        <f t="shared" si="1545"/>
        <v>0</v>
      </c>
      <c r="CK423" s="235">
        <f t="shared" si="1546"/>
        <v>0</v>
      </c>
      <c r="CL423" s="235">
        <f t="shared" ca="1" si="1547"/>
        <v>0</v>
      </c>
      <c r="CM423" s="235">
        <f t="shared" ca="1" si="1548"/>
        <v>0</v>
      </c>
      <c r="CN423" s="235">
        <f t="shared" ca="1" si="1549"/>
        <v>-1.6370904631912708E-11</v>
      </c>
      <c r="CO423" s="235">
        <f t="shared" ca="1" si="1550"/>
        <v>-2.7284841053187847E-11</v>
      </c>
      <c r="CP423" s="235">
        <f t="shared" ca="1" si="1551"/>
        <v>-4.3655745685100555E-11</v>
      </c>
      <c r="CQ423" s="235">
        <f t="shared" ca="1" si="1552"/>
        <v>-7.2759576141834259E-11</v>
      </c>
      <c r="CR423" s="235">
        <f t="shared" ca="1" si="1553"/>
        <v>-9.822542779147625E-11</v>
      </c>
      <c r="CS423" s="235">
        <f t="shared" ca="1" si="1554"/>
        <v>-1.2732925824820995E-10</v>
      </c>
      <c r="CT423" s="235">
        <f t="shared" ca="1" si="1555"/>
        <v>-1.4188117347657681E-10</v>
      </c>
      <c r="CU423" s="235">
        <f t="shared" ca="1" si="1556"/>
        <v>-1.673470251262188E-10</v>
      </c>
      <c r="CV423" s="235">
        <f t="shared" ca="1" si="1557"/>
        <v>-2.0736479200422764E-10</v>
      </c>
      <c r="CW423" s="235">
        <f t="shared" ca="1" si="1558"/>
        <v>-2.5465851649641991E-10</v>
      </c>
      <c r="CX423" s="235">
        <f t="shared" ca="1" si="1559"/>
        <v>-1.8917489796876907E-10</v>
      </c>
      <c r="CY423" s="235">
        <f t="shared" ca="1" si="1560"/>
        <v>8.2945916801691055E-10</v>
      </c>
      <c r="CZ423" s="235">
        <f t="shared" ca="1" si="1561"/>
        <v>6.0390448197722435E-9</v>
      </c>
      <c r="DA423" s="38"/>
      <c r="DB423" s="236">
        <v>1081</v>
      </c>
      <c r="DC423" s="236">
        <v>1082</v>
      </c>
      <c r="DD423" s="236">
        <v>1360.3</v>
      </c>
      <c r="DE423" s="236">
        <v>1558.6</v>
      </c>
      <c r="DF423" s="236">
        <v>1962.4</v>
      </c>
      <c r="DG423" s="236">
        <v>6710</v>
      </c>
      <c r="DH423" s="492">
        <v>8128.5</v>
      </c>
      <c r="DI423" s="236">
        <v>9520.2000000000007</v>
      </c>
      <c r="DJ423" s="236">
        <v>9479.7000000000007</v>
      </c>
      <c r="DK423" s="236">
        <v>10889.757456384126</v>
      </c>
      <c r="DL423" s="236">
        <v>12617.706787614425</v>
      </c>
      <c r="DM423" s="236">
        <v>14390.68890661242</v>
      </c>
      <c r="DN423" s="236">
        <v>15982.306291367466</v>
      </c>
      <c r="DO423" s="236">
        <v>17681.338905140445</v>
      </c>
      <c r="DP423" s="236">
        <v>19435.090956368367</v>
      </c>
      <c r="DQ423" s="401">
        <v>21300.044402287836</v>
      </c>
      <c r="DR423" s="401">
        <v>23290.715996049727</v>
      </c>
      <c r="DS423" s="401">
        <v>25435.970054373418</v>
      </c>
      <c r="DT423" s="401">
        <v>27765.523022555568</v>
      </c>
      <c r="DU423" s="401">
        <v>30367.573414401588</v>
      </c>
      <c r="DV423" s="401">
        <v>33261.534630147347</v>
      </c>
      <c r="DW423" s="401">
        <v>36477.597707108929</v>
      </c>
      <c r="DX423" s="401">
        <v>40067.424282135064</v>
      </c>
      <c r="DY423" s="401">
        <v>44087.036520024296</v>
      </c>
      <c r="DZ423" s="401">
        <v>32663.876043226341</v>
      </c>
      <c r="EA423" s="989"/>
    </row>
    <row r="424" spans="1:131" s="76" customFormat="1">
      <c r="A424" s="38" t="str">
        <f>A357</f>
        <v>Foreign reserve stock (Total)</v>
      </c>
      <c r="B424" s="16" t="s">
        <v>1450</v>
      </c>
      <c r="D424" s="227" t="s">
        <v>4383</v>
      </c>
      <c r="E424" s="227"/>
      <c r="F424" s="38">
        <f t="shared" ref="F424:AR424" si="1696">F357</f>
        <v>0.31050236863558961</v>
      </c>
      <c r="G424" s="38">
        <f t="shared" si="1696"/>
        <v>0.31366546042503485</v>
      </c>
      <c r="H424" s="38">
        <f t="shared" si="1696"/>
        <v>0.31621634090039397</v>
      </c>
      <c r="I424" s="38">
        <f t="shared" si="1696"/>
        <v>0.31689895031194842</v>
      </c>
      <c r="J424" s="38">
        <f t="shared" si="1696"/>
        <v>0.32035866831783061</v>
      </c>
      <c r="K424" s="38">
        <f t="shared" si="1696"/>
        <v>0.32252179927482622</v>
      </c>
      <c r="L424" s="38">
        <f t="shared" si="1696"/>
        <v>0.33075889586131957</v>
      </c>
      <c r="M424" s="38">
        <f t="shared" si="1696"/>
        <v>0.32266268141737842</v>
      </c>
      <c r="N424" s="38">
        <f t="shared" si="1696"/>
        <v>0.32060383310129498</v>
      </c>
      <c r="O424" s="38">
        <f t="shared" si="1696"/>
        <v>0.32394225196954457</v>
      </c>
      <c r="P424" s="38">
        <f t="shared" si="1696"/>
        <v>0.33128599330377351</v>
      </c>
      <c r="Q424" s="38">
        <f t="shared" si="1696"/>
        <v>0.32988069450198149</v>
      </c>
      <c r="R424" s="38">
        <f t="shared" si="1696"/>
        <v>0.32480036365145581</v>
      </c>
      <c r="S424" s="38">
        <f t="shared" si="1696"/>
        <v>0.32270149781649771</v>
      </c>
      <c r="T424" s="38">
        <f t="shared" si="1696"/>
        <v>0.31215718121156205</v>
      </c>
      <c r="U424" s="38">
        <f t="shared" si="1696"/>
        <v>0.3094022214309492</v>
      </c>
      <c r="V424" s="38">
        <f t="shared" si="1696"/>
        <v>0.29996296315964688</v>
      </c>
      <c r="W424" s="38">
        <f t="shared" si="1696"/>
        <v>0.30042110226707808</v>
      </c>
      <c r="X424" s="38">
        <f t="shared" si="1696"/>
        <v>0.28485564524145879</v>
      </c>
      <c r="Y424" s="38">
        <f t="shared" si="1696"/>
        <v>0.30454844134505116</v>
      </c>
      <c r="Z424" s="38">
        <f t="shared" si="1696"/>
        <v>0.33362846815905334</v>
      </c>
      <c r="AA424" s="38">
        <f t="shared" si="1696"/>
        <v>0.35566809580360492</v>
      </c>
      <c r="AB424" s="38">
        <f t="shared" si="1696"/>
        <v>0.45025478219374471</v>
      </c>
      <c r="AC424" s="38">
        <f t="shared" si="1696"/>
        <v>0.48157959674526929</v>
      </c>
      <c r="AD424" s="38">
        <f t="shared" si="1696"/>
        <v>0.39760465332688205</v>
      </c>
      <c r="AE424" s="38">
        <f t="shared" si="1696"/>
        <v>0.40658375060532459</v>
      </c>
      <c r="AF424" s="38">
        <f t="shared" si="1696"/>
        <v>0.46188681928991343</v>
      </c>
      <c r="AG424" s="38">
        <f t="shared" si="1696"/>
        <v>0.52698523934515629</v>
      </c>
      <c r="AH424" s="38">
        <f t="shared" si="1696"/>
        <v>0.57116649606294301</v>
      </c>
      <c r="AI424" s="38">
        <f t="shared" si="1696"/>
        <v>0.53076059826720001</v>
      </c>
      <c r="AJ424" s="38">
        <f t="shared" si="1696"/>
        <v>0.29505924781761406</v>
      </c>
      <c r="AK424" s="38">
        <f t="shared" si="1696"/>
        <v>0.1955493624262834</v>
      </c>
      <c r="AL424" s="38">
        <f t="shared" si="1696"/>
        <v>0.19962976355871001</v>
      </c>
      <c r="AM424" s="38">
        <f t="shared" si="1696"/>
        <v>0.10271877786670373</v>
      </c>
      <c r="AN424" s="38">
        <f t="shared" si="1696"/>
        <v>0.16353180549960053</v>
      </c>
      <c r="AO424" s="38">
        <f t="shared" si="1696"/>
        <v>0.2718422244941433</v>
      </c>
      <c r="AP424" s="38">
        <f t="shared" si="1696"/>
        <v>3.5304184222036197E-2</v>
      </c>
      <c r="AQ424" s="38">
        <f t="shared" si="1696"/>
        <v>-4.6834167084527138E-2</v>
      </c>
      <c r="AR424" s="38">
        <f t="shared" si="1696"/>
        <v>-5.2650173011412026E-2</v>
      </c>
      <c r="AS424" s="38">
        <f>AS357</f>
        <v>2.3450754386071373</v>
      </c>
      <c r="AT424" s="38">
        <f>AT357</f>
        <v>25.074032685370895</v>
      </c>
      <c r="AU424" s="38">
        <f>AU357</f>
        <v>75.346070847215117</v>
      </c>
      <c r="AV424" s="38">
        <f t="shared" ref="AV424:BH424" si="1697">AV357</f>
        <v>71.885852499999999</v>
      </c>
      <c r="AW424" s="38">
        <f t="shared" si="1697"/>
        <v>79.39800000000001</v>
      </c>
      <c r="AX424" s="38">
        <f t="shared" si="1697"/>
        <v>49.603700000000003</v>
      </c>
      <c r="AY424" s="38">
        <f t="shared" si="1697"/>
        <v>109.46654299999999</v>
      </c>
      <c r="AZ424" s="38">
        <f t="shared" si="1697"/>
        <v>27.056723999999996</v>
      </c>
      <c r="BA424" s="38">
        <f t="shared" si="1697"/>
        <v>252.92384999999999</v>
      </c>
      <c r="BB424" s="38">
        <f t="shared" si="1697"/>
        <v>233.85797250000002</v>
      </c>
      <c r="BC424" s="38">
        <f t="shared" si="1697"/>
        <v>280.11830799999996</v>
      </c>
      <c r="BD424" s="38">
        <f t="shared" si="1697"/>
        <v>388.77479999999997</v>
      </c>
      <c r="BE424" s="38">
        <f t="shared" si="1697"/>
        <v>442.53299999999996</v>
      </c>
      <c r="BF424" s="38">
        <f t="shared" si="1697"/>
        <v>1428</v>
      </c>
      <c r="BG424" s="38">
        <f t="shared" si="1697"/>
        <v>2130.1</v>
      </c>
      <c r="BH424" s="38">
        <f t="shared" si="1697"/>
        <v>2616.1</v>
      </c>
      <c r="BI424" s="38">
        <f t="shared" ref="BI424:BP424" si="1698">BI357</f>
        <v>2847.4</v>
      </c>
      <c r="BJ424" s="38">
        <f t="shared" si="1698"/>
        <v>2967.8</v>
      </c>
      <c r="BK424" s="38">
        <f t="shared" si="1698"/>
        <v>4399.8</v>
      </c>
      <c r="BL424" s="38">
        <f t="shared" si="1698"/>
        <v>5090.3</v>
      </c>
      <c r="BM424" s="38">
        <f t="shared" si="1698"/>
        <v>4585.5</v>
      </c>
      <c r="BN424" s="38">
        <f t="shared" si="1698"/>
        <v>3836.6</v>
      </c>
      <c r="BO424" s="38">
        <f t="shared" si="1698"/>
        <v>2634.6000000000004</v>
      </c>
      <c r="BP424" s="38">
        <f t="shared" ca="1" si="1698"/>
        <v>2403.2517669825593</v>
      </c>
      <c r="BQ424" s="38">
        <f t="shared" ref="BQ424:BV424" ca="1" si="1699">BQ357</f>
        <v>2224.7570186245366</v>
      </c>
      <c r="BR424" s="38">
        <f t="shared" ca="1" si="1699"/>
        <v>1926.0578508931726</v>
      </c>
      <c r="BS424" s="38">
        <f t="shared" ca="1" si="1699"/>
        <v>1115.5981011036442</v>
      </c>
      <c r="BT424" s="38">
        <f t="shared" ca="1" si="1699"/>
        <v>-66.197286535885269</v>
      </c>
      <c r="BU424" s="38">
        <f t="shared" ca="1" si="1699"/>
        <v>-1655.5965700278957</v>
      </c>
      <c r="BV424" s="38">
        <f t="shared" ca="1" si="1699"/>
        <v>-3670.2854527518721</v>
      </c>
      <c r="BW424" s="38">
        <f t="shared" ref="BW424:BX424" ca="1" si="1700">BW357</f>
        <v>-6159.8832954327936</v>
      </c>
      <c r="BX424" s="38">
        <f t="shared" ca="1" si="1700"/>
        <v>-9171.6348313159506</v>
      </c>
      <c r="BY424" s="38">
        <f t="shared" ref="BY424:CD424" ca="1" si="1701">BY357</f>
        <v>-12769.874809116065</v>
      </c>
      <c r="BZ424" s="38">
        <f t="shared" ca="1" si="1701"/>
        <v>-16935.904880970385</v>
      </c>
      <c r="CA424" s="38">
        <f t="shared" ca="1" si="1701"/>
        <v>-21750.81990406831</v>
      </c>
      <c r="CB424" s="38">
        <f t="shared" ca="1" si="1701"/>
        <v>-27285.639108530529</v>
      </c>
      <c r="CC424" s="38">
        <f t="shared" ca="1" si="1701"/>
        <v>-33620.452337073963</v>
      </c>
      <c r="CD424" s="38">
        <f t="shared" ca="1" si="1701"/>
        <v>-40846.456253488417</v>
      </c>
      <c r="CE424" s="101">
        <f t="shared" ca="1" si="1489"/>
        <v>-10226.77999948176</v>
      </c>
      <c r="CF424" s="426"/>
      <c r="CG424" s="235">
        <f t="shared" si="1543"/>
        <v>0</v>
      </c>
      <c r="CH424" s="235">
        <f t="shared" si="1544"/>
        <v>0</v>
      </c>
      <c r="CI424" s="235" t="e">
        <f>BM424-#REF!</f>
        <v>#REF!</v>
      </c>
      <c r="CJ424" s="235">
        <f t="shared" si="1545"/>
        <v>0</v>
      </c>
      <c r="CK424" s="235">
        <f t="shared" si="1546"/>
        <v>0</v>
      </c>
      <c r="CL424" s="235">
        <f t="shared" ca="1" si="1547"/>
        <v>-3.637978807091713E-12</v>
      </c>
      <c r="CM424" s="235">
        <f t="shared" ca="1" si="1548"/>
        <v>-9.5496943686157465E-12</v>
      </c>
      <c r="CN424" s="235">
        <f t="shared" ca="1" si="1549"/>
        <v>-1.5916157281026244E-11</v>
      </c>
      <c r="CO424" s="235">
        <f t="shared" ca="1" si="1550"/>
        <v>-2.2282620193436742E-11</v>
      </c>
      <c r="CP424" s="235">
        <f t="shared" ca="1" si="1551"/>
        <v>-3.0013325158506632E-11</v>
      </c>
      <c r="CQ424" s="235">
        <f t="shared" ca="1" si="1552"/>
        <v>-3.8198777474462986E-11</v>
      </c>
      <c r="CR424" s="235">
        <f t="shared" ca="1" si="1553"/>
        <v>-5.3205440053716302E-11</v>
      </c>
      <c r="CS424" s="235">
        <f t="shared" ca="1" si="1554"/>
        <v>-7.6397554948925972E-11</v>
      </c>
      <c r="CT424" s="235">
        <f t="shared" ca="1" si="1555"/>
        <v>-9.822542779147625E-11</v>
      </c>
      <c r="CU424" s="235">
        <f t="shared" ca="1" si="1556"/>
        <v>-1.1823431123048067E-10</v>
      </c>
      <c r="CV424" s="235">
        <f t="shared" ca="1" si="1557"/>
        <v>-1.3824319466948509E-10</v>
      </c>
      <c r="CW424" s="235">
        <f t="shared" ca="1" si="1558"/>
        <v>-1.3824319466948509E-10</v>
      </c>
      <c r="CX424" s="235">
        <f t="shared" ca="1" si="1559"/>
        <v>2.9467628337442875E-10</v>
      </c>
      <c r="CY424" s="235">
        <f t="shared" ca="1" si="1560"/>
        <v>4.9039954319596291E-9</v>
      </c>
      <c r="CZ424" s="235">
        <f t="shared" ca="1" si="1561"/>
        <v>4.1472958400845528E-8</v>
      </c>
      <c r="DA424" s="38"/>
      <c r="DB424" s="236">
        <v>715.34100000000001</v>
      </c>
      <c r="DC424" s="236">
        <v>716.34100000000001</v>
      </c>
      <c r="DD424" s="236">
        <v>1196.5454999999999</v>
      </c>
      <c r="DE424" s="236">
        <v>1361.2455</v>
      </c>
      <c r="DF424" s="236">
        <v>2059.98</v>
      </c>
      <c r="DG424" s="236">
        <v>4399.8</v>
      </c>
      <c r="DH424" s="492">
        <v>5090.3</v>
      </c>
      <c r="DI424" s="236">
        <v>3836.6</v>
      </c>
      <c r="DJ424" s="236">
        <v>2634.6000000000004</v>
      </c>
      <c r="DK424" s="236">
        <v>2403.2517669825629</v>
      </c>
      <c r="DL424" s="236">
        <v>2224.7570186245462</v>
      </c>
      <c r="DM424" s="236">
        <v>1926.0578508931885</v>
      </c>
      <c r="DN424" s="236">
        <v>1115.5981011036665</v>
      </c>
      <c r="DO424" s="236">
        <v>-66.197286535855255</v>
      </c>
      <c r="DP424" s="236">
        <v>-1655.5965700278575</v>
      </c>
      <c r="DQ424" s="401">
        <v>-3670.2854527518189</v>
      </c>
      <c r="DR424" s="401">
        <v>-6159.8832954327172</v>
      </c>
      <c r="DS424" s="401">
        <v>-9171.6348313158524</v>
      </c>
      <c r="DT424" s="401">
        <v>-12769.874809115947</v>
      </c>
      <c r="DU424" s="401">
        <v>-16935.904880970247</v>
      </c>
      <c r="DV424" s="401">
        <v>-21750.819904068172</v>
      </c>
      <c r="DW424" s="401">
        <v>-27285.639108530824</v>
      </c>
      <c r="DX424" s="401">
        <v>-33620.452337078867</v>
      </c>
      <c r="DY424" s="401">
        <v>-40846.45625352989</v>
      </c>
      <c r="DZ424" s="401">
        <v>2031.5776025364332</v>
      </c>
      <c r="EA424" s="989"/>
    </row>
    <row r="425" spans="1:131" s="76" customFormat="1">
      <c r="A425" s="38" t="str">
        <f>A356</f>
        <v>Foreign reserve stock (CBvS)</v>
      </c>
      <c r="B425" s="16" t="s">
        <v>1451</v>
      </c>
      <c r="D425" s="227" t="s">
        <v>4383</v>
      </c>
      <c r="E425" s="227"/>
      <c r="F425" s="38">
        <f t="shared" ref="F425:AY425" si="1702">F356</f>
        <v>0</v>
      </c>
      <c r="G425" s="38">
        <f t="shared" si="1702"/>
        <v>0</v>
      </c>
      <c r="H425" s="38">
        <f t="shared" si="1702"/>
        <v>0</v>
      </c>
      <c r="I425" s="38">
        <f t="shared" si="1702"/>
        <v>0</v>
      </c>
      <c r="J425" s="38">
        <f t="shared" si="1702"/>
        <v>0</v>
      </c>
      <c r="K425" s="38">
        <f t="shared" si="1702"/>
        <v>0</v>
      </c>
      <c r="L425" s="38">
        <f t="shared" si="1702"/>
        <v>0</v>
      </c>
      <c r="M425" s="38">
        <f t="shared" si="1702"/>
        <v>0</v>
      </c>
      <c r="N425" s="38">
        <f t="shared" si="1702"/>
        <v>0</v>
      </c>
      <c r="O425" s="38">
        <f t="shared" si="1702"/>
        <v>0</v>
      </c>
      <c r="P425" s="38">
        <f t="shared" si="1702"/>
        <v>0</v>
      </c>
      <c r="Q425" s="38">
        <f t="shared" si="1702"/>
        <v>0</v>
      </c>
      <c r="R425" s="38">
        <f t="shared" si="1702"/>
        <v>0</v>
      </c>
      <c r="S425" s="38">
        <f t="shared" si="1702"/>
        <v>0</v>
      </c>
      <c r="T425" s="38">
        <f t="shared" si="1702"/>
        <v>0</v>
      </c>
      <c r="U425" s="38">
        <f t="shared" si="1702"/>
        <v>0</v>
      </c>
      <c r="V425" s="38">
        <f t="shared" si="1702"/>
        <v>0</v>
      </c>
      <c r="W425" s="38">
        <f t="shared" si="1702"/>
        <v>0</v>
      </c>
      <c r="X425" s="38">
        <f t="shared" si="1702"/>
        <v>0</v>
      </c>
      <c r="Y425" s="38">
        <f t="shared" si="1702"/>
        <v>0</v>
      </c>
      <c r="Z425" s="38">
        <f t="shared" si="1702"/>
        <v>0</v>
      </c>
      <c r="AA425" s="38">
        <f t="shared" si="1702"/>
        <v>0</v>
      </c>
      <c r="AB425" s="38">
        <f t="shared" si="1702"/>
        <v>0</v>
      </c>
      <c r="AC425" s="38">
        <f t="shared" si="1702"/>
        <v>0</v>
      </c>
      <c r="AD425" s="38">
        <f t="shared" si="1702"/>
        <v>0</v>
      </c>
      <c r="AE425" s="38">
        <f t="shared" si="1702"/>
        <v>0</v>
      </c>
      <c r="AF425" s="38">
        <f t="shared" si="1702"/>
        <v>0</v>
      </c>
      <c r="AG425" s="38">
        <f t="shared" si="1702"/>
        <v>0</v>
      </c>
      <c r="AH425" s="38">
        <f t="shared" si="1702"/>
        <v>0</v>
      </c>
      <c r="AI425" s="38">
        <f t="shared" si="1702"/>
        <v>0</v>
      </c>
      <c r="AJ425" s="38">
        <f t="shared" si="1702"/>
        <v>0</v>
      </c>
      <c r="AK425" s="38">
        <f t="shared" si="1702"/>
        <v>0</v>
      </c>
      <c r="AL425" s="38">
        <f t="shared" si="1702"/>
        <v>0</v>
      </c>
      <c r="AM425" s="38">
        <f t="shared" si="1702"/>
        <v>0</v>
      </c>
      <c r="AN425" s="38">
        <f t="shared" si="1702"/>
        <v>0</v>
      </c>
      <c r="AO425" s="38">
        <f t="shared" si="1702"/>
        <v>0</v>
      </c>
      <c r="AP425" s="38">
        <f t="shared" si="1702"/>
        <v>0</v>
      </c>
      <c r="AQ425" s="38">
        <f t="shared" si="1702"/>
        <v>0</v>
      </c>
      <c r="AR425" s="38">
        <f t="shared" si="1702"/>
        <v>0</v>
      </c>
      <c r="AS425" s="38">
        <f t="shared" si="1702"/>
        <v>0</v>
      </c>
      <c r="AT425" s="38">
        <f t="shared" si="1702"/>
        <v>0</v>
      </c>
      <c r="AU425" s="38">
        <f t="shared" si="1702"/>
        <v>0</v>
      </c>
      <c r="AV425" s="38">
        <f t="shared" si="1702"/>
        <v>0</v>
      </c>
      <c r="AW425" s="38">
        <f t="shared" si="1702"/>
        <v>0</v>
      </c>
      <c r="AX425" s="38">
        <f t="shared" si="1702"/>
        <v>0</v>
      </c>
      <c r="AY425" s="38">
        <f t="shared" si="1702"/>
        <v>0</v>
      </c>
      <c r="AZ425" s="38">
        <f t="shared" ref="AZ425:BF425" si="1703">AZ356</f>
        <v>0</v>
      </c>
      <c r="BA425" s="38">
        <f t="shared" si="1703"/>
        <v>0</v>
      </c>
      <c r="BB425" s="38">
        <f t="shared" si="1703"/>
        <v>0</v>
      </c>
      <c r="BC425" s="38">
        <f t="shared" si="1703"/>
        <v>0</v>
      </c>
      <c r="BD425" s="38">
        <f t="shared" si="1703"/>
        <v>0</v>
      </c>
      <c r="BE425" s="38">
        <f t="shared" si="1703"/>
        <v>442.53299999999996</v>
      </c>
      <c r="BF425" s="38">
        <f t="shared" si="1703"/>
        <v>650.52099999999996</v>
      </c>
      <c r="BG425" s="38">
        <f t="shared" ref="BG425:BQ425" si="1704">BG356</f>
        <v>1107.0585000000001</v>
      </c>
      <c r="BH425" s="38">
        <f t="shared" si="1704"/>
        <v>1653.8625</v>
      </c>
      <c r="BI425" s="38">
        <f t="shared" si="1704"/>
        <v>1872.45</v>
      </c>
      <c r="BJ425" s="38">
        <f t="shared" si="1704"/>
        <v>2106.9399999999996</v>
      </c>
      <c r="BK425" s="38">
        <f t="shared" si="1704"/>
        <v>2654.9249999999997</v>
      </c>
      <c r="BL425" s="38">
        <f t="shared" si="1704"/>
        <v>3378.14</v>
      </c>
      <c r="BM425" s="38">
        <f t="shared" si="1704"/>
        <v>2597.59</v>
      </c>
      <c r="BN425" s="38">
        <f t="shared" si="1704"/>
        <v>2094.085</v>
      </c>
      <c r="BO425" s="38">
        <f t="shared" si="1704"/>
        <v>1238.1600000000001</v>
      </c>
      <c r="BP425" s="38">
        <f t="shared" ca="1" si="1704"/>
        <v>1129.4352872569368</v>
      </c>
      <c r="BQ425" s="38">
        <f t="shared" ca="1" si="1704"/>
        <v>1045.5496660518322</v>
      </c>
      <c r="BR425" s="38">
        <f ca="1">BR356</f>
        <v>905.17262152201022</v>
      </c>
      <c r="BS425" s="38">
        <f ca="1">BS356</f>
        <v>524.28791651957999</v>
      </c>
      <c r="BT425" s="38">
        <f ca="1">BT356</f>
        <v>-31.110161807211139</v>
      </c>
      <c r="BU425" s="38">
        <f ca="1">BU356</f>
        <v>-778.06629057380951</v>
      </c>
      <c r="BV425" s="38">
        <f ca="1">BV356</f>
        <v>-1724.8920656567527</v>
      </c>
      <c r="BW425" s="38">
        <f t="shared" ref="BW425:BX425" ca="1" si="1705">BW356</f>
        <v>-2894.9066655557194</v>
      </c>
      <c r="BX425" s="38">
        <f t="shared" ca="1" si="1705"/>
        <v>-4310.31328578995</v>
      </c>
      <c r="BY425" s="38">
        <f t="shared" ref="BY425:CD425" ca="1" si="1706">BY356</f>
        <v>-6001.3467674998974</v>
      </c>
      <c r="BZ425" s="38">
        <f t="shared" ca="1" si="1706"/>
        <v>-7959.2196111069816</v>
      </c>
      <c r="CA425" s="38">
        <f t="shared" ca="1" si="1706"/>
        <v>-10222.043259857852</v>
      </c>
      <c r="CB425" s="38">
        <f t="shared" ca="1" si="1706"/>
        <v>-12823.19400236036</v>
      </c>
      <c r="CC425" s="38">
        <f t="shared" ca="1" si="1706"/>
        <v>-15800.31096396879</v>
      </c>
      <c r="CD425" s="38">
        <f t="shared" ca="1" si="1706"/>
        <v>-19196.253045934958</v>
      </c>
      <c r="CE425" s="101">
        <f t="shared" ca="1" si="1489"/>
        <v>-4806.1906642976201</v>
      </c>
      <c r="CF425" s="426"/>
      <c r="CG425" s="235">
        <f t="shared" si="1543"/>
        <v>0</v>
      </c>
      <c r="CH425" s="235">
        <f t="shared" si="1544"/>
        <v>0</v>
      </c>
      <c r="CI425" s="235" t="e">
        <f>BM425-#REF!</f>
        <v>#REF!</v>
      </c>
      <c r="CJ425" s="235">
        <f t="shared" si="1545"/>
        <v>0</v>
      </c>
      <c r="CK425" s="235">
        <f t="shared" si="1546"/>
        <v>0</v>
      </c>
      <c r="CL425" s="235">
        <f t="shared" ca="1" si="1547"/>
        <v>0</v>
      </c>
      <c r="CM425" s="235">
        <f t="shared" ca="1" si="1548"/>
        <v>-5.4569682106375694E-12</v>
      </c>
      <c r="CN425" s="235">
        <f t="shared" ca="1" si="1549"/>
        <v>-1.0231815394945443E-11</v>
      </c>
      <c r="CO425" s="235">
        <f t="shared" ca="1" si="1550"/>
        <v>-1.7053025658242404E-11</v>
      </c>
      <c r="CP425" s="235">
        <f t="shared" ca="1" si="1551"/>
        <v>-2.6073365688716876E-11</v>
      </c>
      <c r="CQ425" s="235">
        <f t="shared" ca="1" si="1552"/>
        <v>-3.7630343285854906E-11</v>
      </c>
      <c r="CR425" s="235">
        <f t="shared" ca="1" si="1553"/>
        <v>-4.7975845518521965E-11</v>
      </c>
      <c r="CS425" s="235">
        <f t="shared" ca="1" si="1554"/>
        <v>-5.9117155615240335E-11</v>
      </c>
      <c r="CT425" s="235">
        <f t="shared" ca="1" si="1555"/>
        <v>-6.5483618527650833E-11</v>
      </c>
      <c r="CU425" s="235">
        <f t="shared" ca="1" si="1556"/>
        <v>-7.4578565545380116E-11</v>
      </c>
      <c r="CV425" s="235">
        <f t="shared" ca="1" si="1557"/>
        <v>-9.0039975475519896E-11</v>
      </c>
      <c r="CW425" s="235">
        <f t="shared" ca="1" si="1558"/>
        <v>-1.1641532182693481E-10</v>
      </c>
      <c r="CX425" s="235">
        <f t="shared" ca="1" si="1559"/>
        <v>-2.2191670723259449E-10</v>
      </c>
      <c r="CY425" s="235">
        <f t="shared" ca="1" si="1560"/>
        <v>-1.1859810911118984E-9</v>
      </c>
      <c r="CZ425" s="235">
        <f t="shared" ca="1" si="1561"/>
        <v>-1.0073563316836953E-8</v>
      </c>
      <c r="DA425" s="38"/>
      <c r="DB425" s="236"/>
      <c r="DC425" s="236"/>
      <c r="DD425" s="236"/>
      <c r="DE425" s="236"/>
      <c r="DF425" s="236"/>
      <c r="DG425" s="236">
        <v>2654.9249999999997</v>
      </c>
      <c r="DH425" s="492">
        <v>3378.14</v>
      </c>
      <c r="DI425" s="236">
        <v>2094.085</v>
      </c>
      <c r="DJ425" s="236">
        <v>1238.1600000000001</v>
      </c>
      <c r="DK425" s="236">
        <v>1129.4352872569384</v>
      </c>
      <c r="DL425" s="236">
        <v>1045.5496660518377</v>
      </c>
      <c r="DM425" s="236">
        <v>905.17262152202045</v>
      </c>
      <c r="DN425" s="236">
        <v>524.28791651959705</v>
      </c>
      <c r="DO425" s="236">
        <v>-31.110161807185065</v>
      </c>
      <c r="DP425" s="236">
        <v>-778.06629057377188</v>
      </c>
      <c r="DQ425" s="401">
        <v>-1724.8920656567047</v>
      </c>
      <c r="DR425" s="401">
        <v>-2894.9066655556603</v>
      </c>
      <c r="DS425" s="401">
        <v>-4310.3132857898845</v>
      </c>
      <c r="DT425" s="401">
        <v>-6001.3467674998228</v>
      </c>
      <c r="DU425" s="401">
        <v>-7959.2196111068915</v>
      </c>
      <c r="DV425" s="401">
        <v>-10222.043259857735</v>
      </c>
      <c r="DW425" s="401">
        <v>-12823.194002360138</v>
      </c>
      <c r="DX425" s="401">
        <v>-15800.310963967604</v>
      </c>
      <c r="DY425" s="401">
        <v>-19196.253045924885</v>
      </c>
      <c r="DZ425" s="401">
        <v>1617.116496689064</v>
      </c>
      <c r="EA425" s="989"/>
    </row>
    <row r="426" spans="1:131" s="76" customFormat="1">
      <c r="A426" s="101" t="str">
        <f>A357</f>
        <v>Foreign reserve stock (Total)</v>
      </c>
      <c r="B426" s="255" t="s">
        <v>3169</v>
      </c>
      <c r="D426" s="227" t="s">
        <v>4384</v>
      </c>
      <c r="E426" s="101" t="s">
        <v>2219</v>
      </c>
      <c r="F426" s="101">
        <f t="shared" ref="F426:AI426" si="1707">F357/F363</f>
        <v>329.73308368759638</v>
      </c>
      <c r="G426" s="101">
        <f t="shared" si="1707"/>
        <v>333.09207902893229</v>
      </c>
      <c r="H426" s="101">
        <f t="shared" si="1707"/>
        <v>335.80094623968705</v>
      </c>
      <c r="I426" s="101">
        <f t="shared" si="1707"/>
        <v>336.52583251741521</v>
      </c>
      <c r="J426" s="101">
        <f t="shared" si="1707"/>
        <v>340.19982538188793</v>
      </c>
      <c r="K426" s="101">
        <f t="shared" si="1707"/>
        <v>342.49692811899246</v>
      </c>
      <c r="L426" s="101">
        <f t="shared" si="1707"/>
        <v>351.24418267306197</v>
      </c>
      <c r="M426" s="101">
        <f t="shared" si="1707"/>
        <v>342.64653568399876</v>
      </c>
      <c r="N426" s="101">
        <f t="shared" si="1707"/>
        <v>340.46017424949406</v>
      </c>
      <c r="O426" s="101">
        <f t="shared" si="1707"/>
        <v>344.00535541157626</v>
      </c>
      <c r="P426" s="101">
        <f t="shared" si="1707"/>
        <v>351.80392547266734</v>
      </c>
      <c r="Q426" s="101">
        <f t="shared" si="1707"/>
        <v>350.31159061720865</v>
      </c>
      <c r="R426" s="101">
        <f t="shared" si="1707"/>
        <v>344.9166135519514</v>
      </c>
      <c r="S426" s="101">
        <f t="shared" si="1707"/>
        <v>342.68775614565095</v>
      </c>
      <c r="T426" s="101">
        <f t="shared" si="1707"/>
        <v>331.49038575262762</v>
      </c>
      <c r="U426" s="101">
        <f t="shared" si="1707"/>
        <v>328.56479974860298</v>
      </c>
      <c r="V426" s="101">
        <f t="shared" si="1707"/>
        <v>318.54092859039946</v>
      </c>
      <c r="W426" s="101">
        <f t="shared" si="1707"/>
        <v>319.02744217583512</v>
      </c>
      <c r="X426" s="101">
        <f t="shared" si="1707"/>
        <v>319.44461498405775</v>
      </c>
      <c r="Y426" s="101">
        <f t="shared" si="1707"/>
        <v>341.52863464229284</v>
      </c>
      <c r="Z426" s="101">
        <f t="shared" si="1707"/>
        <v>374.13974179255052</v>
      </c>
      <c r="AA426" s="101">
        <f t="shared" si="1707"/>
        <v>398.85556008478738</v>
      </c>
      <c r="AB426" s="101">
        <f t="shared" si="1707"/>
        <v>504.92755873134394</v>
      </c>
      <c r="AC426" s="101">
        <f t="shared" si="1707"/>
        <v>540.0560299097076</v>
      </c>
      <c r="AD426" s="101">
        <f t="shared" si="1707"/>
        <v>445.8843190213517</v>
      </c>
      <c r="AE426" s="101">
        <f t="shared" si="1707"/>
        <v>455.95371494497869</v>
      </c>
      <c r="AF426" s="101">
        <f t="shared" si="1707"/>
        <v>517.9720311640956</v>
      </c>
      <c r="AG426" s="101">
        <f t="shared" si="1707"/>
        <v>590.97511212108452</v>
      </c>
      <c r="AH426" s="101">
        <f t="shared" si="1707"/>
        <v>640.5211357912907</v>
      </c>
      <c r="AI426" s="101">
        <f t="shared" si="1707"/>
        <v>595.20889894407901</v>
      </c>
      <c r="AJ426" s="101">
        <f t="shared" ref="AJ426:AU426" si="1708">AJ357/AJ363</f>
        <v>330.88720336466486</v>
      </c>
      <c r="AK426" s="101">
        <f t="shared" si="1708"/>
        <v>219.29419983125683</v>
      </c>
      <c r="AL426" s="101">
        <f t="shared" si="1708"/>
        <v>223.87006901448348</v>
      </c>
      <c r="AM426" s="101">
        <f t="shared" si="1708"/>
        <v>17.724832477357772</v>
      </c>
      <c r="AN426" s="101">
        <f t="shared" si="1708"/>
        <v>28.819146736581473</v>
      </c>
      <c r="AO426" s="101">
        <f t="shared" si="1708"/>
        <v>33.723427424850854</v>
      </c>
      <c r="AP426" s="101">
        <f t="shared" si="1708"/>
        <v>3.9108971565236117</v>
      </c>
      <c r="AQ426" s="101">
        <f t="shared" si="1708"/>
        <v>-4.8849052412326772</v>
      </c>
      <c r="AR426" s="101">
        <f t="shared" si="1708"/>
        <v>-4.2101766802322143</v>
      </c>
      <c r="AS426" s="101">
        <f t="shared" si="1708"/>
        <v>75.733785224251108</v>
      </c>
      <c r="AT426" s="101">
        <f t="shared" si="1708"/>
        <v>138.63722084400553</v>
      </c>
      <c r="AU426" s="101">
        <f t="shared" si="1708"/>
        <v>163.28919806091506</v>
      </c>
      <c r="AV426" s="101">
        <f t="shared" ref="AV426:BP426" si="1709">AV357/AV363</f>
        <v>179.3</v>
      </c>
      <c r="AW426" s="101">
        <f t="shared" si="1709"/>
        <v>198.00000000000003</v>
      </c>
      <c r="AX426" s="101">
        <f t="shared" si="1709"/>
        <v>123.7</v>
      </c>
      <c r="AY426" s="101">
        <f t="shared" si="1709"/>
        <v>127.3</v>
      </c>
      <c r="AZ426" s="101">
        <f t="shared" si="1709"/>
        <v>20.399999999999999</v>
      </c>
      <c r="BA426" s="101">
        <f t="shared" si="1709"/>
        <v>116.1</v>
      </c>
      <c r="BB426" s="101">
        <f t="shared" si="1709"/>
        <v>100.5</v>
      </c>
      <c r="BC426" s="101">
        <f t="shared" si="1709"/>
        <v>107.6</v>
      </c>
      <c r="BD426" s="101">
        <f t="shared" si="1709"/>
        <v>142.19999999999999</v>
      </c>
      <c r="BE426" s="101">
        <f t="shared" si="1709"/>
        <v>162.1</v>
      </c>
      <c r="BF426" s="101">
        <f t="shared" si="1709"/>
        <v>520.69279854147669</v>
      </c>
      <c r="BG426" s="101">
        <f t="shared" si="1709"/>
        <v>775.99271402550085</v>
      </c>
      <c r="BH426" s="101">
        <f t="shared" si="1709"/>
        <v>953.04189435336968</v>
      </c>
      <c r="BI426" s="101">
        <f t="shared" si="1709"/>
        <v>999.08771929824559</v>
      </c>
      <c r="BJ426" s="101">
        <f t="shared" si="1709"/>
        <v>973.04918032786895</v>
      </c>
      <c r="BK426" s="101">
        <f t="shared" si="1709"/>
        <v>1353.7846153846153</v>
      </c>
      <c r="BL426" s="101">
        <f t="shared" si="1709"/>
        <v>1519.4925373134329</v>
      </c>
      <c r="BM426" s="101">
        <f t="shared" si="1709"/>
        <v>1368.8059701492537</v>
      </c>
      <c r="BN426" s="101">
        <f t="shared" si="1709"/>
        <v>1145.2537313432836</v>
      </c>
      <c r="BO426" s="101">
        <f t="shared" si="1709"/>
        <v>786.44776119402991</v>
      </c>
      <c r="BP426" s="101">
        <f t="shared" ca="1" si="1709"/>
        <v>572.20280166251405</v>
      </c>
      <c r="BQ426" s="101">
        <f t="shared" ref="BQ426:BV426" ca="1" si="1710">BQ357/BQ363</f>
        <v>529.70405205346106</v>
      </c>
      <c r="BR426" s="101">
        <f t="shared" ca="1" si="1710"/>
        <v>458.58520259361251</v>
      </c>
      <c r="BS426" s="101">
        <f t="shared" ca="1" si="1710"/>
        <v>265.61859550086768</v>
      </c>
      <c r="BT426" s="101">
        <f t="shared" ca="1" si="1710"/>
        <v>-15.761258699020301</v>
      </c>
      <c r="BU426" s="101">
        <f t="shared" ca="1" si="1710"/>
        <v>-394.18965953045137</v>
      </c>
      <c r="BV426" s="101">
        <f t="shared" ca="1" si="1710"/>
        <v>-873.87748875044565</v>
      </c>
      <c r="BW426" s="101">
        <f t="shared" ref="BW426:BX426" ca="1" si="1711">BW357/BW363</f>
        <v>-1466.6388798649507</v>
      </c>
      <c r="BX426" s="101">
        <f t="shared" ca="1" si="1711"/>
        <v>-2183.72257888475</v>
      </c>
      <c r="BY426" s="101">
        <f t="shared" ref="BY426:CD426" ca="1" si="1712">BY357/BY363</f>
        <v>-3040.4463831228727</v>
      </c>
      <c r="BZ426" s="101">
        <f t="shared" ca="1" si="1712"/>
        <v>-4032.3583049929489</v>
      </c>
      <c r="CA426" s="101">
        <f t="shared" ca="1" si="1712"/>
        <v>-5178.7666438257884</v>
      </c>
      <c r="CB426" s="101">
        <f t="shared" ca="1" si="1712"/>
        <v>-6496.5807401263164</v>
      </c>
      <c r="CC426" s="101">
        <f t="shared" ca="1" si="1712"/>
        <v>-8004.8696040652285</v>
      </c>
      <c r="CD426" s="101">
        <f t="shared" ca="1" si="1712"/>
        <v>-9725.3467270210513</v>
      </c>
      <c r="CE426" s="101">
        <f t="shared" ca="1" si="1489"/>
        <v>-2424.9999909924586</v>
      </c>
      <c r="CF426" s="426"/>
      <c r="CG426" s="235">
        <f t="shared" si="1543"/>
        <v>0</v>
      </c>
      <c r="CH426" s="235">
        <f t="shared" si="1544"/>
        <v>0</v>
      </c>
      <c r="CI426" s="235" t="e">
        <f>BM426-#REF!</f>
        <v>#REF!</v>
      </c>
      <c r="CJ426" s="235">
        <f t="shared" si="1545"/>
        <v>0</v>
      </c>
      <c r="CK426" s="235">
        <f t="shared" si="1546"/>
        <v>0</v>
      </c>
      <c r="CL426" s="235">
        <f t="shared" ca="1" si="1547"/>
        <v>-9.0949470177292824E-13</v>
      </c>
      <c r="CM426" s="235">
        <f t="shared" ca="1" si="1548"/>
        <v>-2.2737367544323206E-12</v>
      </c>
      <c r="CN426" s="235">
        <f t="shared" ca="1" si="1549"/>
        <v>-3.808509063674137E-12</v>
      </c>
      <c r="CO426" s="235">
        <f t="shared" ca="1" si="1550"/>
        <v>-5.2864379540551454E-12</v>
      </c>
      <c r="CP426" s="235">
        <f t="shared" ca="1" si="1551"/>
        <v>-7.1462835649072076E-12</v>
      </c>
      <c r="CQ426" s="235">
        <f t="shared" ca="1" si="1552"/>
        <v>-9.0949470177292824E-12</v>
      </c>
      <c r="CR426" s="235">
        <f t="shared" ca="1" si="1553"/>
        <v>-1.2619238987099379E-11</v>
      </c>
      <c r="CS426" s="235">
        <f t="shared" ca="1" si="1554"/>
        <v>-1.8189894035458565E-11</v>
      </c>
      <c r="CT426" s="235">
        <f t="shared" ca="1" si="1555"/>
        <v>-2.319211489520967E-11</v>
      </c>
      <c r="CU426" s="235">
        <f t="shared" ca="1" si="1556"/>
        <v>-2.8194335754960775E-11</v>
      </c>
      <c r="CV426" s="235">
        <f t="shared" ca="1" si="1557"/>
        <v>-3.3196556614711881E-11</v>
      </c>
      <c r="CW426" s="235">
        <f t="shared" ca="1" si="1558"/>
        <v>-3.3651303965598345E-11</v>
      </c>
      <c r="CX426" s="235">
        <f t="shared" ca="1" si="1559"/>
        <v>7.0031092036515474E-11</v>
      </c>
      <c r="CY426" s="235">
        <f t="shared" ca="1" si="1560"/>
        <v>1.1677911970764399E-9</v>
      </c>
      <c r="CZ426" s="235">
        <f t="shared" ca="1" si="1561"/>
        <v>9.8752934718504548E-9</v>
      </c>
      <c r="DA426" s="38"/>
      <c r="DB426" s="236">
        <v>260.2</v>
      </c>
      <c r="DC426" s="236">
        <v>261.2</v>
      </c>
      <c r="DD426" s="236">
        <v>435.9</v>
      </c>
      <c r="DE426" s="236">
        <v>495.9</v>
      </c>
      <c r="DF426" s="236">
        <v>722.8</v>
      </c>
      <c r="DG426" s="236">
        <v>1353.7846153846153</v>
      </c>
      <c r="DH426" s="492">
        <v>1519.4925373134329</v>
      </c>
      <c r="DI426" s="236">
        <v>1145.2537313432836</v>
      </c>
      <c r="DJ426" s="236">
        <v>786.44776119402991</v>
      </c>
      <c r="DK426" s="236">
        <v>572.20280166251496</v>
      </c>
      <c r="DL426" s="236">
        <v>529.70405205346333</v>
      </c>
      <c r="DM426" s="236">
        <v>458.58520259361632</v>
      </c>
      <c r="DN426" s="236">
        <v>265.61859550087297</v>
      </c>
      <c r="DO426" s="236">
        <v>-15.761258699013155</v>
      </c>
      <c r="DP426" s="236">
        <v>-394.18965953044227</v>
      </c>
      <c r="DQ426" s="401">
        <v>-873.87748875043303</v>
      </c>
      <c r="DR426" s="401">
        <v>-1466.6388798649325</v>
      </c>
      <c r="DS426" s="401">
        <v>-2183.7225788847268</v>
      </c>
      <c r="DT426" s="401">
        <v>-3040.4463831228445</v>
      </c>
      <c r="DU426" s="401">
        <v>-4032.3583049929157</v>
      </c>
      <c r="DV426" s="401">
        <v>-5178.7666438257547</v>
      </c>
      <c r="DW426" s="401">
        <v>-6496.5807401263864</v>
      </c>
      <c r="DX426" s="401">
        <v>-8004.8696040663963</v>
      </c>
      <c r="DY426" s="401">
        <v>-9725.3467270309266</v>
      </c>
      <c r="DZ426" s="401">
        <v>473.45365288311064</v>
      </c>
      <c r="EA426" s="989"/>
    </row>
    <row r="427" spans="1:131" s="76" customFormat="1">
      <c r="A427" s="101" t="str">
        <f>A356</f>
        <v>Foreign reserve stock (CBvS)</v>
      </c>
      <c r="B427" s="255" t="s">
        <v>3168</v>
      </c>
      <c r="D427" s="227"/>
      <c r="E427" s="101"/>
      <c r="F427" s="101">
        <f t="shared" ref="F427:AW427" si="1713">F356/F363</f>
        <v>0</v>
      </c>
      <c r="G427" s="101">
        <f t="shared" si="1713"/>
        <v>0</v>
      </c>
      <c r="H427" s="101">
        <f t="shared" si="1713"/>
        <v>0</v>
      </c>
      <c r="I427" s="101">
        <f t="shared" si="1713"/>
        <v>0</v>
      </c>
      <c r="J427" s="101">
        <f t="shared" si="1713"/>
        <v>0</v>
      </c>
      <c r="K427" s="101">
        <f t="shared" si="1713"/>
        <v>0</v>
      </c>
      <c r="L427" s="101">
        <f t="shared" si="1713"/>
        <v>0</v>
      </c>
      <c r="M427" s="101">
        <f t="shared" si="1713"/>
        <v>0</v>
      </c>
      <c r="N427" s="101">
        <f t="shared" si="1713"/>
        <v>0</v>
      </c>
      <c r="O427" s="101">
        <f t="shared" si="1713"/>
        <v>0</v>
      </c>
      <c r="P427" s="101">
        <f t="shared" si="1713"/>
        <v>0</v>
      </c>
      <c r="Q427" s="101">
        <f t="shared" si="1713"/>
        <v>0</v>
      </c>
      <c r="R427" s="101">
        <f t="shared" si="1713"/>
        <v>0</v>
      </c>
      <c r="S427" s="101">
        <f t="shared" si="1713"/>
        <v>0</v>
      </c>
      <c r="T427" s="101">
        <f t="shared" si="1713"/>
        <v>0</v>
      </c>
      <c r="U427" s="101">
        <f t="shared" si="1713"/>
        <v>0</v>
      </c>
      <c r="V427" s="101">
        <f t="shared" si="1713"/>
        <v>0</v>
      </c>
      <c r="W427" s="101">
        <f t="shared" si="1713"/>
        <v>0</v>
      </c>
      <c r="X427" s="101">
        <f t="shared" si="1713"/>
        <v>0</v>
      </c>
      <c r="Y427" s="101">
        <f t="shared" si="1713"/>
        <v>0</v>
      </c>
      <c r="Z427" s="101">
        <f t="shared" si="1713"/>
        <v>0</v>
      </c>
      <c r="AA427" s="101">
        <f t="shared" si="1713"/>
        <v>0</v>
      </c>
      <c r="AB427" s="101">
        <f t="shared" si="1713"/>
        <v>0</v>
      </c>
      <c r="AC427" s="101">
        <f t="shared" si="1713"/>
        <v>0</v>
      </c>
      <c r="AD427" s="101">
        <f t="shared" si="1713"/>
        <v>0</v>
      </c>
      <c r="AE427" s="101">
        <f t="shared" si="1713"/>
        <v>0</v>
      </c>
      <c r="AF427" s="101">
        <f t="shared" si="1713"/>
        <v>0</v>
      </c>
      <c r="AG427" s="101">
        <f t="shared" si="1713"/>
        <v>0</v>
      </c>
      <c r="AH427" s="101">
        <f t="shared" si="1713"/>
        <v>0</v>
      </c>
      <c r="AI427" s="101">
        <f t="shared" si="1713"/>
        <v>0</v>
      </c>
      <c r="AJ427" s="101">
        <f t="shared" si="1713"/>
        <v>0</v>
      </c>
      <c r="AK427" s="101">
        <f t="shared" si="1713"/>
        <v>0</v>
      </c>
      <c r="AL427" s="101">
        <f t="shared" si="1713"/>
        <v>0</v>
      </c>
      <c r="AM427" s="101">
        <f t="shared" si="1713"/>
        <v>0</v>
      </c>
      <c r="AN427" s="101">
        <f t="shared" si="1713"/>
        <v>0</v>
      </c>
      <c r="AO427" s="101">
        <f t="shared" si="1713"/>
        <v>0</v>
      </c>
      <c r="AP427" s="101">
        <f t="shared" si="1713"/>
        <v>0</v>
      </c>
      <c r="AQ427" s="101">
        <f t="shared" si="1713"/>
        <v>0</v>
      </c>
      <c r="AR427" s="101">
        <f t="shared" si="1713"/>
        <v>0</v>
      </c>
      <c r="AS427" s="101">
        <f t="shared" si="1713"/>
        <v>0</v>
      </c>
      <c r="AT427" s="101">
        <f t="shared" si="1713"/>
        <v>0</v>
      </c>
      <c r="AU427" s="101">
        <f t="shared" si="1713"/>
        <v>0</v>
      </c>
      <c r="AV427" s="101">
        <f t="shared" si="1713"/>
        <v>0</v>
      </c>
      <c r="AW427" s="101">
        <f t="shared" si="1713"/>
        <v>0</v>
      </c>
      <c r="AX427" s="101">
        <f t="shared" ref="AX427:BD427" si="1714">AX356/AX363</f>
        <v>0</v>
      </c>
      <c r="AY427" s="101">
        <f t="shared" si="1714"/>
        <v>0</v>
      </c>
      <c r="AZ427" s="101">
        <f t="shared" si="1714"/>
        <v>0</v>
      </c>
      <c r="BA427" s="101">
        <f t="shared" si="1714"/>
        <v>0</v>
      </c>
      <c r="BB427" s="101">
        <f t="shared" si="1714"/>
        <v>0</v>
      </c>
      <c r="BC427" s="101">
        <f t="shared" si="1714"/>
        <v>0</v>
      </c>
      <c r="BD427" s="101">
        <f t="shared" si="1714"/>
        <v>0</v>
      </c>
      <c r="BE427" s="101">
        <f t="shared" ref="BE427:BJ427" si="1715">BE356/BE363</f>
        <v>162.1</v>
      </c>
      <c r="BF427" s="101">
        <f t="shared" si="1715"/>
        <v>237.19999999999996</v>
      </c>
      <c r="BG427" s="101">
        <f t="shared" si="1715"/>
        <v>403.3</v>
      </c>
      <c r="BH427" s="101">
        <f t="shared" si="1715"/>
        <v>602.5</v>
      </c>
      <c r="BI427" s="101">
        <f t="shared" si="1715"/>
        <v>657</v>
      </c>
      <c r="BJ427" s="101">
        <f t="shared" si="1715"/>
        <v>690.8</v>
      </c>
      <c r="BK427" s="101">
        <f t="shared" ref="BK427:BQ427" si="1716">BK356/BK363</f>
        <v>816.89999999999986</v>
      </c>
      <c r="BL427" s="101">
        <f t="shared" si="1716"/>
        <v>1008.4</v>
      </c>
      <c r="BM427" s="101">
        <f t="shared" si="1716"/>
        <v>775.4</v>
      </c>
      <c r="BN427" s="101">
        <f t="shared" si="1716"/>
        <v>625.1</v>
      </c>
      <c r="BO427" s="101">
        <f t="shared" si="1716"/>
        <v>369.6</v>
      </c>
      <c r="BP427" s="101">
        <f t="shared" ca="1" si="1716"/>
        <v>268.91316363260398</v>
      </c>
      <c r="BQ427" s="101">
        <f t="shared" ca="1" si="1716"/>
        <v>248.94039667900765</v>
      </c>
      <c r="BR427" s="101">
        <f ca="1">BR356/BR363</f>
        <v>215.51729083857384</v>
      </c>
      <c r="BS427" s="101">
        <f ca="1">BS356/BS363</f>
        <v>124.83045631418571</v>
      </c>
      <c r="BT427" s="101">
        <f ca="1">BT356/BT363</f>
        <v>-7.407181382669318</v>
      </c>
      <c r="BU427" s="101">
        <f ca="1">BU356/BU363</f>
        <v>-185.25387870804988</v>
      </c>
      <c r="BV427" s="101">
        <f ca="1">BV356/BV363</f>
        <v>-410.68858706113156</v>
      </c>
      <c r="BW427" s="101">
        <f t="shared" ref="BW427:BX427" ca="1" si="1717">BW356/BW363</f>
        <v>-689.26349179898079</v>
      </c>
      <c r="BX427" s="101">
        <f t="shared" ca="1" si="1717"/>
        <v>-1026.2650680452261</v>
      </c>
      <c r="BY427" s="101">
        <f t="shared" ref="BY427:CD427" ca="1" si="1718">BY356/BY363</f>
        <v>-1428.8920874999756</v>
      </c>
      <c r="BZ427" s="101">
        <f t="shared" ca="1" si="1718"/>
        <v>-1895.0522883588051</v>
      </c>
      <c r="CA427" s="101">
        <f t="shared" ca="1" si="1718"/>
        <v>-2433.8198237756787</v>
      </c>
      <c r="CB427" s="101">
        <f t="shared" ca="1" si="1718"/>
        <v>-3053.141429133419</v>
      </c>
      <c r="CC427" s="101">
        <f t="shared" ca="1" si="1718"/>
        <v>-3761.9788009449499</v>
      </c>
      <c r="CD427" s="101">
        <f t="shared" ca="1" si="1718"/>
        <v>-4570.5364395083234</v>
      </c>
      <c r="CE427" s="101">
        <f t="shared" ca="1" si="1489"/>
        <v>-1139.6561105470523</v>
      </c>
      <c r="CF427" s="426"/>
      <c r="CG427" s="235"/>
      <c r="CH427" s="235">
        <f>BL427-DH427</f>
        <v>0</v>
      </c>
      <c r="CI427" s="235" t="e">
        <f>BM427-#REF!</f>
        <v>#REF!</v>
      </c>
      <c r="CJ427" s="235">
        <f t="shared" si="1545"/>
        <v>0</v>
      </c>
      <c r="CK427" s="235">
        <f t="shared" si="1546"/>
        <v>0</v>
      </c>
      <c r="CL427" s="235">
        <f t="shared" ca="1" si="1547"/>
        <v>0</v>
      </c>
      <c r="CM427" s="235">
        <f t="shared" ca="1" si="1548"/>
        <v>-1.3073986337985843E-12</v>
      </c>
      <c r="CN427" s="235">
        <f t="shared" ca="1" si="1549"/>
        <v>-2.4442670110147446E-12</v>
      </c>
      <c r="CO427" s="235">
        <f t="shared" ca="1" si="1550"/>
        <v>-4.0643044485477731E-12</v>
      </c>
      <c r="CP427" s="235">
        <f t="shared" ca="1" si="1551"/>
        <v>-6.2074789752841752E-12</v>
      </c>
      <c r="CQ427" s="235">
        <f t="shared" ca="1" si="1552"/>
        <v>-8.9528384705772623E-12</v>
      </c>
      <c r="CR427" s="235">
        <f t="shared" ca="1" si="1553"/>
        <v>-1.1368683772161603E-11</v>
      </c>
      <c r="CS427" s="235">
        <f t="shared" ca="1" si="1554"/>
        <v>-1.4097167877480388E-11</v>
      </c>
      <c r="CT427" s="235">
        <f t="shared" ca="1" si="1555"/>
        <v>-1.5688783605583012E-11</v>
      </c>
      <c r="CU427" s="235">
        <f t="shared" ca="1" si="1556"/>
        <v>-1.7735146684572101E-11</v>
      </c>
      <c r="CV427" s="235">
        <f t="shared" ca="1" si="1557"/>
        <v>-2.1373125491663814E-11</v>
      </c>
      <c r="CW427" s="235">
        <f t="shared" ca="1" si="1558"/>
        <v>-2.7739588404074311E-11</v>
      </c>
      <c r="CX427" s="235">
        <f t="shared" ca="1" si="1559"/>
        <v>-5.2750692702829838E-11</v>
      </c>
      <c r="CY427" s="235">
        <f t="shared" ca="1" si="1560"/>
        <v>-2.8239810490049422E-10</v>
      </c>
      <c r="CZ427" s="235">
        <f t="shared" ca="1" si="1561"/>
        <v>-2.3983375285752118E-9</v>
      </c>
      <c r="DA427" s="38"/>
      <c r="DB427" s="236"/>
      <c r="DC427" s="236"/>
      <c r="DD427" s="236"/>
      <c r="DE427" s="236"/>
      <c r="DF427" s="236"/>
      <c r="DG427" s="236">
        <v>816.89999999999986</v>
      </c>
      <c r="DH427" s="492">
        <v>1008.4</v>
      </c>
      <c r="DI427" s="236">
        <v>625.1</v>
      </c>
      <c r="DJ427" s="236">
        <v>369.6</v>
      </c>
      <c r="DK427" s="236">
        <v>268.91316363260438</v>
      </c>
      <c r="DL427" s="236">
        <v>248.94039667900896</v>
      </c>
      <c r="DM427" s="236">
        <v>215.51729083857629</v>
      </c>
      <c r="DN427" s="236">
        <v>124.83045631418977</v>
      </c>
      <c r="DO427" s="236">
        <v>-7.4071813826631105</v>
      </c>
      <c r="DP427" s="236">
        <v>-185.25387870804093</v>
      </c>
      <c r="DQ427" s="401">
        <v>-410.68858706112019</v>
      </c>
      <c r="DR427" s="401">
        <v>-689.2634917989667</v>
      </c>
      <c r="DS427" s="401">
        <v>-1026.2650680452105</v>
      </c>
      <c r="DT427" s="401">
        <v>-1428.8920874999578</v>
      </c>
      <c r="DU427" s="401">
        <v>-1895.0522883587837</v>
      </c>
      <c r="DV427" s="401">
        <v>-2433.819823775651</v>
      </c>
      <c r="DW427" s="401">
        <v>-3053.1414291333663</v>
      </c>
      <c r="DX427" s="401">
        <v>-3761.9788009446675</v>
      </c>
      <c r="DY427" s="401">
        <v>-4570.536439505925</v>
      </c>
      <c r="DZ427" s="401">
        <v>376.86461572478743</v>
      </c>
      <c r="EA427" s="989"/>
    </row>
    <row r="428" spans="1:131">
      <c r="A428" s="985" t="s">
        <v>4236</v>
      </c>
      <c r="B428" s="3" t="s">
        <v>3510</v>
      </c>
      <c r="D428" s="197" t="s">
        <v>2462</v>
      </c>
      <c r="F428" s="16"/>
      <c r="G428" s="16">
        <f t="shared" ref="G428:AL428" si="1719">+((1+G396/100)/(G372/F372)-1)*100</f>
        <v>-3.3195020746887738</v>
      </c>
      <c r="H428" s="16">
        <f t="shared" si="1719"/>
        <v>-1.7649764758537856</v>
      </c>
      <c r="I428" s="16">
        <f t="shared" si="1719"/>
        <v>-3.8461543061907522</v>
      </c>
      <c r="J428" s="16">
        <f t="shared" si="1719"/>
        <v>-3.7037041302948492</v>
      </c>
      <c r="K428" s="16">
        <f t="shared" si="1719"/>
        <v>-3.5714289680930489</v>
      </c>
      <c r="L428" s="16">
        <f t="shared" si="1719"/>
        <v>-3.4482762318489346</v>
      </c>
      <c r="M428" s="16">
        <f t="shared" si="1719"/>
        <v>-3.3333336788721746</v>
      </c>
      <c r="N428" s="16">
        <f t="shared" si="1719"/>
        <v>-3.2258067752184649</v>
      </c>
      <c r="O428" s="16">
        <f t="shared" si="1719"/>
        <v>-3.125000303696257</v>
      </c>
      <c r="P428" s="16">
        <f t="shared" si="1719"/>
        <v>-3.3232549773333453</v>
      </c>
      <c r="Q428" s="16">
        <f t="shared" si="1719"/>
        <v>-1.7804211806779269</v>
      </c>
      <c r="R428" s="16">
        <f t="shared" si="1719"/>
        <v>-2.8818447161594651</v>
      </c>
      <c r="S428" s="16">
        <f t="shared" si="1719"/>
        <v>-2.8011207653888648</v>
      </c>
      <c r="T428" s="16">
        <f t="shared" si="1719"/>
        <v>-2.1917793980046785</v>
      </c>
      <c r="U428" s="16">
        <f t="shared" si="1719"/>
        <v>-2.4064166009426846</v>
      </c>
      <c r="V428" s="16">
        <f t="shared" si="1719"/>
        <v>-0.53191660938395335</v>
      </c>
      <c r="W428" s="16">
        <f t="shared" si="1719"/>
        <v>-0.52909404317328379</v>
      </c>
      <c r="X428" s="16">
        <f t="shared" si="1719"/>
        <v>-1.0471238286775542</v>
      </c>
      <c r="Y428" s="16">
        <f t="shared" si="1719"/>
        <v>-0.52083502053471564</v>
      </c>
      <c r="Z428" s="16">
        <f t="shared" si="1719"/>
        <v>0.78740414561737637</v>
      </c>
      <c r="AA428" s="16">
        <f t="shared" si="1719"/>
        <v>4.3835587960093569</v>
      </c>
      <c r="AB428" s="16">
        <f t="shared" si="1719"/>
        <v>2.8169017785974582</v>
      </c>
      <c r="AC428" s="16">
        <f t="shared" si="1719"/>
        <v>-1.9607854925216772</v>
      </c>
      <c r="AD428" s="16">
        <f t="shared" si="1719"/>
        <v>-1.4157309459260303</v>
      </c>
      <c r="AE428" s="16">
        <f t="shared" si="1719"/>
        <v>0.63013221035670419</v>
      </c>
      <c r="AF428" s="16">
        <f t="shared" si="1719"/>
        <v>2.3842906973974953</v>
      </c>
      <c r="AG428" s="16">
        <f t="shared" si="1719"/>
        <v>0.33775087223277822</v>
      </c>
      <c r="AH428" s="16">
        <f t="shared" si="1719"/>
        <v>-2.1212173133811851</v>
      </c>
      <c r="AI428" s="16">
        <f t="shared" si="1719"/>
        <v>-2.1035600062599413</v>
      </c>
      <c r="AJ428" s="16">
        <f t="shared" si="1719"/>
        <v>-2.0084582320653022</v>
      </c>
      <c r="AK428" s="16">
        <f t="shared" si="1719"/>
        <v>-2.3735791152253105</v>
      </c>
      <c r="AL428" s="16">
        <f t="shared" si="1719"/>
        <v>-2.3185465778760572</v>
      </c>
      <c r="AM428" s="16">
        <f t="shared" ref="AM428:BB428" si="1720">+((1+AM396/100)/(AM372/AL372)-1)*100</f>
        <v>-1.1706124707527077</v>
      </c>
      <c r="AN428" s="16">
        <f t="shared" si="1720"/>
        <v>-0.75566750629720847</v>
      </c>
      <c r="AO428" s="16">
        <f t="shared" si="1720"/>
        <v>-0.99750623441396957</v>
      </c>
      <c r="AP428" s="16">
        <f t="shared" si="1720"/>
        <v>28.253747183948686</v>
      </c>
      <c r="AQ428" s="16">
        <f t="shared" si="1720"/>
        <v>6.0414511272340876</v>
      </c>
      <c r="AR428" s="16">
        <f t="shared" si="1720"/>
        <v>-9.8164418900839046</v>
      </c>
      <c r="AS428" s="16">
        <f t="shared" si="1720"/>
        <v>33.437059167080598</v>
      </c>
      <c r="AT428" s="16">
        <f t="shared" si="1720"/>
        <v>-97.416052395271322</v>
      </c>
      <c r="AU428" s="16">
        <f t="shared" si="1720"/>
        <v>-12.049836791815871</v>
      </c>
      <c r="AV428" s="16">
        <f t="shared" si="1720"/>
        <v>26.364427122761835</v>
      </c>
      <c r="AW428" s="16">
        <f t="shared" si="1720"/>
        <v>4.6245345793049175</v>
      </c>
      <c r="AX428" s="16">
        <f t="shared" si="1720"/>
        <v>-0.25989500714130864</v>
      </c>
      <c r="AY428" s="16">
        <f t="shared" si="1720"/>
        <v>-2.3596882736437119</v>
      </c>
      <c r="AZ428" s="16">
        <f t="shared" si="1720"/>
        <v>1.5063359500876672</v>
      </c>
      <c r="BA428" s="16">
        <f t="shared" si="1720"/>
        <v>1.5831524108482098</v>
      </c>
      <c r="BB428" s="16">
        <f t="shared" si="1720"/>
        <v>1.3381699268802283</v>
      </c>
      <c r="BC428" s="16">
        <f t="shared" ref="BC428:BQ428" ca="1" si="1721">+((1+BC396/100)/(BC372/BB372)-1)*100</f>
        <v>16.509499116375757</v>
      </c>
      <c r="BD428" s="16">
        <f t="shared" ca="1" si="1721"/>
        <v>6.0613633948422452</v>
      </c>
      <c r="BE428" s="16">
        <f t="shared" ca="1" si="1721"/>
        <v>26.626976489084917</v>
      </c>
      <c r="BF428" s="16">
        <f t="shared" ca="1" si="1721"/>
        <v>2.6405766886121285</v>
      </c>
      <c r="BG428" s="16">
        <f t="shared" ca="1" si="1721"/>
        <v>3.9215897254402554</v>
      </c>
      <c r="BH428" s="16">
        <f t="shared" ca="1" si="1721"/>
        <v>2.7228518703540372</v>
      </c>
      <c r="BI428" s="16">
        <f t="shared" ca="1" si="1721"/>
        <v>1.6235697435700081</v>
      </c>
      <c r="BJ428" s="16">
        <f t="shared" ca="1" si="1721"/>
        <v>3.7096020106557548</v>
      </c>
      <c r="BK428" s="16">
        <f t="shared" ref="BK428:BP428" ca="1" si="1722">+((1+BK396/100)/(BK372/BJ372)-1)*100</f>
        <v>3.5916250434164354</v>
      </c>
      <c r="BL428" s="16">
        <f t="shared" ca="1" si="1722"/>
        <v>1.1414624839879206</v>
      </c>
      <c r="BM428" s="16">
        <f t="shared" ca="1" si="1722"/>
        <v>0.91055701214619589</v>
      </c>
      <c r="BN428" s="16">
        <f t="shared" ca="1" si="1722"/>
        <v>-3.3738388321191692E-2</v>
      </c>
      <c r="BO428" s="16">
        <f t="shared" ca="1" si="1722"/>
        <v>-2.1903856176566094</v>
      </c>
      <c r="BP428" s="16">
        <f t="shared" ca="1" si="1722"/>
        <v>-4.8765752687934816</v>
      </c>
      <c r="BQ428" s="16">
        <f t="shared" ca="1" si="1721"/>
        <v>9.1404359813676894</v>
      </c>
      <c r="BR428" s="16">
        <f t="shared" ref="BR428:BX428" ca="1" si="1723">+((1+BR396/100)/(BR372/BQ372)-1)*100</f>
        <v>3.1523765381401336</v>
      </c>
      <c r="BS428" s="16">
        <f t="shared" ca="1" si="1723"/>
        <v>-0.66799383412109448</v>
      </c>
      <c r="BT428" s="16">
        <f t="shared" ca="1" si="1723"/>
        <v>-0.65608561675484234</v>
      </c>
      <c r="BU428" s="16">
        <f t="shared" ca="1" si="1723"/>
        <v>0.28065746830936433</v>
      </c>
      <c r="BV428" s="16">
        <f t="shared" ca="1" si="1723"/>
        <v>0.35104769628480081</v>
      </c>
      <c r="BW428" s="16">
        <f t="shared" ca="1" si="1723"/>
        <v>0.53069924004864877</v>
      </c>
      <c r="BX428" s="16">
        <f t="shared" ca="1" si="1723"/>
        <v>0.53217467162507415</v>
      </c>
      <c r="BY428" s="16">
        <f t="shared" ref="BY428" ca="1" si="1724">+((1+BY396/100)/(BY372/BX372)-1)*100</f>
        <v>0.54237596625770212</v>
      </c>
      <c r="BZ428" s="16">
        <f t="shared" ref="BZ428" ca="1" si="1725">+((1+BZ396/100)/(BZ372/BY372)-1)*100</f>
        <v>0.71971257864409388</v>
      </c>
      <c r="CA428" s="16">
        <f t="shared" ref="CA428" ca="1" si="1726">+((1+CA396/100)/(CA372/BZ372)-1)*100</f>
        <v>0.83566792385467714</v>
      </c>
      <c r="CB428" s="16">
        <f t="shared" ref="CB428" ca="1" si="1727">+((1+CB396/100)/(CB372/CA372)-1)*100</f>
        <v>1.0367085813437482</v>
      </c>
      <c r="CC428" s="16">
        <f t="shared" ref="CC428" ca="1" si="1728">+((1+CC396/100)/(CC372/CB372)-1)*100</f>
        <v>1.0767901427198856</v>
      </c>
      <c r="CD428" s="16">
        <f t="shared" ref="CD428" ca="1" si="1729">+((1+CD396/100)/(CD372/CC372)-1)*100</f>
        <v>1.1243121470863038</v>
      </c>
      <c r="CE428" s="101">
        <f t="shared" ca="1" si="1489"/>
        <v>0.68324491239725593</v>
      </c>
      <c r="CF428" s="426"/>
      <c r="CG428" s="235">
        <f ca="1">BK428-DG428</f>
        <v>0.36010860709403403</v>
      </c>
      <c r="CH428" s="235">
        <f ca="1">BL428-DH428</f>
        <v>9.8100351584884393E-2</v>
      </c>
      <c r="CI428" s="235" t="e">
        <f ca="1">BM428-#REF!</f>
        <v>#REF!</v>
      </c>
      <c r="CJ428" s="235">
        <f t="shared" ca="1" si="1545"/>
        <v>0</v>
      </c>
      <c r="CK428" s="235">
        <f t="shared" ca="1" si="1546"/>
        <v>0</v>
      </c>
      <c r="CL428" s="235">
        <f t="shared" ca="1" si="1547"/>
        <v>4.4408920985006262E-14</v>
      </c>
      <c r="CM428" s="235">
        <f t="shared" ca="1" si="1548"/>
        <v>-4.4408920985006262E-14</v>
      </c>
      <c r="CN428" s="235">
        <f t="shared" ca="1" si="1549"/>
        <v>-2.2204460492503131E-14</v>
      </c>
      <c r="CO428" s="235">
        <f t="shared" ca="1" si="1550"/>
        <v>-4.4408920985006262E-14</v>
      </c>
      <c r="CP428" s="235">
        <f t="shared" ca="1" si="1551"/>
        <v>0</v>
      </c>
      <c r="CQ428" s="235">
        <f t="shared" ca="1" si="1552"/>
        <v>1.1102230246251565E-13</v>
      </c>
      <c r="CR428" s="235">
        <f t="shared" ca="1" si="1553"/>
        <v>8.8817841970012523E-14</v>
      </c>
      <c r="CS428" s="235">
        <f t="shared" ca="1" si="1554"/>
        <v>1.1102230246251565E-13</v>
      </c>
      <c r="CT428" s="235">
        <f t="shared" ca="1" si="1555"/>
        <v>8.8817841970012523E-14</v>
      </c>
      <c r="CU428" s="235">
        <f t="shared" ca="1" si="1556"/>
        <v>1.3322676295501878E-13</v>
      </c>
      <c r="CV428" s="235">
        <f t="shared" ca="1" si="1557"/>
        <v>6.6613381477509392E-14</v>
      </c>
      <c r="CW428" s="235">
        <f t="shared" ca="1" si="1558"/>
        <v>8.8817841970012523E-14</v>
      </c>
      <c r="CX428" s="235">
        <f t="shared" ca="1" si="1559"/>
        <v>6.6613381477509392E-14</v>
      </c>
      <c r="CY428" s="235">
        <f t="shared" ca="1" si="1560"/>
        <v>-1.021405182655144E-12</v>
      </c>
      <c r="CZ428" s="235">
        <f t="shared" ca="1" si="1561"/>
        <v>-9.3036689463588118E-12</v>
      </c>
      <c r="DB428" s="236">
        <v>-5.57993122507275</v>
      </c>
      <c r="DC428" s="236">
        <v>-4.5799312250727535</v>
      </c>
      <c r="DD428" s="236">
        <v>3.3179435770807508</v>
      </c>
      <c r="DE428" s="236">
        <v>3.5194580085975424</v>
      </c>
      <c r="DF428" s="236">
        <v>0.60518369928177496</v>
      </c>
      <c r="DG428" s="236">
        <v>3.2315164363224014</v>
      </c>
      <c r="DH428" s="492">
        <v>1.0433621324030362</v>
      </c>
      <c r="DI428" s="236">
        <v>-3.3738388321191692E-2</v>
      </c>
      <c r="DJ428" s="236">
        <v>-2.1903856176566094</v>
      </c>
      <c r="DK428" s="236">
        <v>-4.876575268793526</v>
      </c>
      <c r="DL428" s="236">
        <v>9.1404359813677338</v>
      </c>
      <c r="DM428" s="236">
        <v>3.1523765381401558</v>
      </c>
      <c r="DN428" s="236">
        <v>-0.66799383412105007</v>
      </c>
      <c r="DO428" s="236">
        <v>-0.65608561675484234</v>
      </c>
      <c r="DP428" s="236">
        <v>0.28065746830925331</v>
      </c>
      <c r="DQ428" s="258">
        <v>0.351047696284712</v>
      </c>
      <c r="DR428" s="258">
        <v>0.53069924004853775</v>
      </c>
      <c r="DS428" s="258">
        <v>0.53217467162498533</v>
      </c>
      <c r="DT428" s="258">
        <v>0.5423759662575689</v>
      </c>
      <c r="DU428" s="258">
        <v>0.71971257864402727</v>
      </c>
      <c r="DV428" s="258">
        <v>0.83566792385458832</v>
      </c>
      <c r="DW428" s="258">
        <v>1.0367085813436816</v>
      </c>
      <c r="DX428" s="258">
        <v>1.076790142720907</v>
      </c>
      <c r="DY428" s="258">
        <v>1.1243121470956075</v>
      </c>
      <c r="DZ428" s="258">
        <v>1.0324622682700473</v>
      </c>
    </row>
    <row r="429" spans="1:131">
      <c r="A429" s="16" t="s">
        <v>4237</v>
      </c>
      <c r="B429" s="38" t="s">
        <v>3831</v>
      </c>
      <c r="F429" s="16">
        <f>+rijstblok!F73</f>
        <v>0</v>
      </c>
      <c r="G429" s="16">
        <f>+rijstblok!G73</f>
        <v>0</v>
      </c>
      <c r="H429" s="16">
        <f>+rijstblok!H73</f>
        <v>0</v>
      </c>
      <c r="I429" s="16">
        <f>+rijstblok!I73</f>
        <v>0</v>
      </c>
      <c r="J429" s="16">
        <f>+rijstblok!J73</f>
        <v>0</v>
      </c>
      <c r="K429" s="16">
        <f>+rijstblok!K73</f>
        <v>0</v>
      </c>
      <c r="L429" s="16">
        <f>+rijstblok!L73</f>
        <v>0</v>
      </c>
      <c r="M429" s="16">
        <f>+rijstblok!M73</f>
        <v>0</v>
      </c>
      <c r="N429" s="16">
        <f>+rijstblok!N73</f>
        <v>0</v>
      </c>
      <c r="O429" s="16">
        <f>+rijstblok!O73</f>
        <v>0</v>
      </c>
      <c r="P429" s="16">
        <f>+rijstblok!P73</f>
        <v>0</v>
      </c>
      <c r="Q429" s="16">
        <f>+rijstblok!Q73</f>
        <v>0</v>
      </c>
      <c r="R429" s="16">
        <f>+rijstblok!R73</f>
        <v>0</v>
      </c>
      <c r="S429" s="16">
        <f>+rijstblok!S73</f>
        <v>0</v>
      </c>
      <c r="T429" s="16">
        <f>+rijstblok!T73</f>
        <v>0</v>
      </c>
      <c r="U429" s="16">
        <f>+rijstblok!U73</f>
        <v>0</v>
      </c>
      <c r="V429" s="16">
        <f>+rijstblok!V73</f>
        <v>0</v>
      </c>
      <c r="W429" s="16">
        <f>+rijstblok!W73</f>
        <v>0</v>
      </c>
      <c r="X429" s="16">
        <f>+rijstblok!X73</f>
        <v>0</v>
      </c>
      <c r="Y429" s="16">
        <f>+rijstblok!Y73</f>
        <v>0</v>
      </c>
      <c r="Z429" s="16">
        <f>+rijstblok!Z73</f>
        <v>0</v>
      </c>
      <c r="AA429" s="16">
        <f>+rijstblok!AA73</f>
        <v>0</v>
      </c>
      <c r="AB429" s="16">
        <f>+rijstblok!AB73</f>
        <v>0</v>
      </c>
      <c r="AC429" s="16">
        <f>+rijstblok!AC73</f>
        <v>0</v>
      </c>
      <c r="AD429" s="16">
        <f>+rijstblok!AD73</f>
        <v>0</v>
      </c>
      <c r="AE429" s="16">
        <f>+rijstblok!AE73</f>
        <v>0</v>
      </c>
      <c r="AF429" s="16">
        <f>+rijstblok!AF73</f>
        <v>0</v>
      </c>
      <c r="AG429" s="16">
        <f>+rijstblok!AG73</f>
        <v>0</v>
      </c>
      <c r="AH429" s="16">
        <f>+rijstblok!AH73</f>
        <v>0</v>
      </c>
      <c r="AI429" s="16">
        <f>+rijstblok!AI73</f>
        <v>0</v>
      </c>
      <c r="AJ429" s="16">
        <f>+rijstblok!AJ73</f>
        <v>0</v>
      </c>
      <c r="AK429" s="16">
        <f>+rijstblok!AK73</f>
        <v>0</v>
      </c>
      <c r="AL429" s="16">
        <f>+rijstblok!AL73</f>
        <v>0</v>
      </c>
      <c r="AM429" s="16">
        <f>+rijstblok!AM73</f>
        <v>0</v>
      </c>
      <c r="AN429" s="16">
        <f>+rijstblok!AN73</f>
        <v>0</v>
      </c>
      <c r="AO429" s="16">
        <f>+rijstblok!AO73</f>
        <v>0</v>
      </c>
      <c r="AP429" s="16">
        <f>+rijstblok!AP73</f>
        <v>0</v>
      </c>
      <c r="AQ429" s="16">
        <f>+rijstblok!AQ73</f>
        <v>0</v>
      </c>
      <c r="AR429" s="16">
        <f>+rijstblok!AR73</f>
        <v>0</v>
      </c>
      <c r="AS429" s="16">
        <f>+rijstblok!AS73</f>
        <v>0</v>
      </c>
      <c r="AT429" s="16">
        <f>+rijstblok!AT73</f>
        <v>0</v>
      </c>
      <c r="AU429" s="16">
        <f>+rijstblok!AU73</f>
        <v>0</v>
      </c>
      <c r="AV429" s="16">
        <f>+rijstblok!AV73</f>
        <v>0</v>
      </c>
      <c r="AW429" s="16">
        <f>+rijstblok!AW73</f>
        <v>0</v>
      </c>
      <c r="AX429" s="16">
        <f>+rijstblok!AX73</f>
        <v>0</v>
      </c>
      <c r="AY429" s="16">
        <f>+rijstblok!AY73</f>
        <v>0</v>
      </c>
      <c r="AZ429" s="16">
        <f>+rijstblok!AZ73</f>
        <v>0</v>
      </c>
      <c r="BA429" s="16">
        <f>+rijstblok!BA73</f>
        <v>0</v>
      </c>
      <c r="BB429" s="16">
        <f>+rijstblok!BB73</f>
        <v>0</v>
      </c>
      <c r="BC429" s="16">
        <f>+rijstblok!BC73</f>
        <v>0</v>
      </c>
      <c r="BD429" s="16">
        <f ca="1">+rijstblok!BD73</f>
        <v>73.143507200712165</v>
      </c>
      <c r="BE429" s="16">
        <f ca="1">+rijstblok!BE73</f>
        <v>78.857263123010313</v>
      </c>
      <c r="BF429" s="16">
        <f ca="1">+rijstblok!BF73</f>
        <v>96.247149053721714</v>
      </c>
      <c r="BG429" s="16">
        <f ca="1">+rijstblok!BG73</f>
        <v>99.097048008497026</v>
      </c>
      <c r="BH429" s="16">
        <f ca="1">+rijstblok!BH73</f>
        <v>175.01135162399333</v>
      </c>
      <c r="BI429" s="16">
        <f ca="1">+rijstblok!BI73</f>
        <v>125.11726204785556</v>
      </c>
      <c r="BJ429" s="16">
        <f ca="1">+rijstblok!BJ73</f>
        <v>129.97973159336954</v>
      </c>
      <c r="BK429" s="16">
        <f ca="1">+rijstblok!BK73</f>
        <v>184.26507762475654</v>
      </c>
      <c r="BL429" s="16">
        <f ca="1">+rijstblok!BL73</f>
        <v>157.73964255593063</v>
      </c>
      <c r="BM429" s="16">
        <f ca="1">+rijstblok!BM73</f>
        <v>148.66911814760772</v>
      </c>
      <c r="BN429" s="16">
        <f ca="1">+rijstblok!BN73</f>
        <v>154.91351888157419</v>
      </c>
      <c r="BO429" s="16">
        <f ca="1">+rijstblok!BO73</f>
        <v>169.8054327160857</v>
      </c>
      <c r="BP429" s="16">
        <f ca="1">+rijstblok!BP73</f>
        <v>180.31797754784304</v>
      </c>
      <c r="BQ429" s="16">
        <f ca="1">+rijstblok!BQ73</f>
        <v>173.86468627409837</v>
      </c>
      <c r="BR429" s="16">
        <f ca="1">+rijstblok!BR73</f>
        <v>174.7073442300686</v>
      </c>
      <c r="BS429" s="16">
        <f ca="1">+rijstblok!BS73</f>
        <v>178.75038184529711</v>
      </c>
      <c r="BT429" s="16">
        <f ca="1">+rijstblok!BT73</f>
        <v>181.94665090570155</v>
      </c>
      <c r="BU429" s="16">
        <f ca="1">+rijstblok!BU73</f>
        <v>184.98329442888968</v>
      </c>
      <c r="BV429" s="16">
        <f ca="1">+rijstblok!BV73</f>
        <v>187.98835580500909</v>
      </c>
      <c r="BW429" s="16">
        <f ca="1">+rijstblok!BW73</f>
        <v>190.98401302404329</v>
      </c>
      <c r="BX429" s="16">
        <f ca="1">+rijstblok!BX73</f>
        <v>194.01989519675024</v>
      </c>
      <c r="BY429" s="16">
        <f ca="1">+rijstblok!BY73</f>
        <v>197.10245817280088</v>
      </c>
      <c r="BZ429" s="16">
        <f ca="1">+rijstblok!BZ73</f>
        <v>200.22771674324176</v>
      </c>
      <c r="CA429" s="16">
        <f ca="1">+rijstblok!CA73</f>
        <v>203.36860736313562</v>
      </c>
      <c r="CB429" s="16">
        <f ca="1">+rijstblok!CB73</f>
        <v>206.51696624552903</v>
      </c>
      <c r="CC429" s="16">
        <f ca="1">+rijstblok!CC73</f>
        <v>209.68818409457333</v>
      </c>
      <c r="CD429" s="16">
        <f ca="1">+rijstblok!CD73</f>
        <v>212.88054665651737</v>
      </c>
      <c r="CE429" s="101">
        <f t="shared" ca="1" si="1489"/>
        <v>190.44703195309904</v>
      </c>
      <c r="CF429" s="426"/>
      <c r="CG429" s="235">
        <f ca="1">BK429-DG429</f>
        <v>61.973625918567251</v>
      </c>
      <c r="CH429" s="235">
        <f ca="1">BL429-DH429</f>
        <v>1.4479672871355262</v>
      </c>
      <c r="CI429" s="235" t="e">
        <f ca="1">BM429-#REF!</f>
        <v>#REF!</v>
      </c>
      <c r="CJ429" s="235">
        <f t="shared" ca="1" si="1545"/>
        <v>0</v>
      </c>
      <c r="CK429" s="235">
        <f t="shared" ca="1" si="1546"/>
        <v>0</v>
      </c>
      <c r="CL429" s="235">
        <f t="shared" ca="1" si="1547"/>
        <v>0</v>
      </c>
      <c r="CM429" s="235">
        <f t="shared" ca="1" si="1548"/>
        <v>0</v>
      </c>
      <c r="CN429" s="235">
        <f t="shared" ca="1" si="1549"/>
        <v>0</v>
      </c>
      <c r="CO429" s="235">
        <f t="shared" ca="1" si="1550"/>
        <v>0</v>
      </c>
      <c r="CP429" s="235">
        <f t="shared" ca="1" si="1551"/>
        <v>0</v>
      </c>
      <c r="CQ429" s="235">
        <f t="shared" ca="1" si="1552"/>
        <v>0</v>
      </c>
      <c r="CR429" s="235">
        <f t="shared" ca="1" si="1553"/>
        <v>0</v>
      </c>
      <c r="CS429" s="235">
        <f t="shared" ca="1" si="1554"/>
        <v>0</v>
      </c>
      <c r="CT429" s="235">
        <f t="shared" ca="1" si="1555"/>
        <v>0</v>
      </c>
      <c r="CU429" s="235">
        <f t="shared" ca="1" si="1556"/>
        <v>0</v>
      </c>
      <c r="CV429" s="235">
        <f t="shared" ca="1" si="1557"/>
        <v>0</v>
      </c>
      <c r="CW429" s="235">
        <f t="shared" ca="1" si="1558"/>
        <v>-3.979039320256561E-13</v>
      </c>
      <c r="CX429" s="235">
        <f t="shared" ca="1" si="1559"/>
        <v>-5.7980287238024175E-12</v>
      </c>
      <c r="CY429" s="235">
        <f t="shared" ca="1" si="1560"/>
        <v>-5.4285465012071654E-11</v>
      </c>
      <c r="CZ429" s="235">
        <f t="shared" ca="1" si="1561"/>
        <v>-3.9591441236552782E-10</v>
      </c>
      <c r="DB429" s="236">
        <v>90.076091233760096</v>
      </c>
      <c r="DC429" s="236">
        <v>91.076091233760096</v>
      </c>
      <c r="DD429" s="236">
        <v>94.869843018543165</v>
      </c>
      <c r="DE429" s="236">
        <v>147.44418222222876</v>
      </c>
      <c r="DF429" s="236">
        <v>111.24130598874405</v>
      </c>
      <c r="DG429" s="236">
        <v>122.29145170618929</v>
      </c>
      <c r="DH429" s="492">
        <v>156.2916752687951</v>
      </c>
      <c r="DI429" s="236">
        <v>154.91351888157419</v>
      </c>
      <c r="DJ429" s="236">
        <v>169.8054327160857</v>
      </c>
      <c r="DK429" s="236">
        <v>180.31797754784301</v>
      </c>
      <c r="DL429" s="236">
        <v>173.86468627409837</v>
      </c>
      <c r="DM429" s="236">
        <v>174.7073442300686</v>
      </c>
      <c r="DN429" s="236">
        <v>178.75038184529711</v>
      </c>
      <c r="DO429" s="236">
        <v>181.94665090570149</v>
      </c>
      <c r="DP429" s="236">
        <v>184.98329442888962</v>
      </c>
      <c r="DQ429" s="258">
        <v>187.98835580500901</v>
      </c>
      <c r="DR429" s="258">
        <v>190.98401302404329</v>
      </c>
      <c r="DS429" s="258">
        <v>194.01989519675027</v>
      </c>
      <c r="DT429" s="258">
        <v>197.10245817280088</v>
      </c>
      <c r="DU429" s="258">
        <v>200.22771674324173</v>
      </c>
      <c r="DV429" s="258">
        <v>203.36860736313602</v>
      </c>
      <c r="DW429" s="258">
        <v>206.51696624553483</v>
      </c>
      <c r="DX429" s="258">
        <v>209.68818409462762</v>
      </c>
      <c r="DY429" s="258">
        <v>212.88054665691328</v>
      </c>
      <c r="DZ429" s="258">
        <v>199.90578674931021</v>
      </c>
    </row>
    <row r="430" spans="1:131">
      <c r="A430" s="1" t="s">
        <v>4238</v>
      </c>
      <c r="B430" s="3" t="s">
        <v>1463</v>
      </c>
      <c r="F430" s="1">
        <f t="shared" ref="F430:AK430" si="1730">F311-F302-(F285-E285)</f>
        <v>-2</v>
      </c>
      <c r="G430" s="1">
        <f t="shared" si="1730"/>
        <v>-0.86573576799142593</v>
      </c>
      <c r="H430" s="1">
        <f t="shared" si="1730"/>
        <v>-1.3368884057463193</v>
      </c>
      <c r="I430" s="1">
        <f t="shared" si="1730"/>
        <v>8.4551233157777048</v>
      </c>
      <c r="J430" s="1">
        <f t="shared" si="1730"/>
        <v>3.8876158334320898</v>
      </c>
      <c r="K430" s="1">
        <f t="shared" si="1730"/>
        <v>1.5861385222345037</v>
      </c>
      <c r="L430" s="1">
        <f t="shared" si="1730"/>
        <v>1.7145808370736022</v>
      </c>
      <c r="M430" s="1">
        <f t="shared" si="1730"/>
        <v>24.04002395121201</v>
      </c>
      <c r="N430" s="1">
        <f t="shared" si="1730"/>
        <v>-6.0197754600330624</v>
      </c>
      <c r="O430" s="1">
        <f t="shared" si="1730"/>
        <v>-5.3890532204594894</v>
      </c>
      <c r="P430" s="1">
        <f t="shared" si="1730"/>
        <v>7.2853821723474077</v>
      </c>
      <c r="Q430" s="1">
        <f t="shared" si="1730"/>
        <v>1.1578300582622978</v>
      </c>
      <c r="R430" s="1">
        <f t="shared" si="1730"/>
        <v>12.065875879178179</v>
      </c>
      <c r="S430" s="1">
        <f t="shared" si="1730"/>
        <v>-12.206493488814756</v>
      </c>
      <c r="T430" s="1">
        <f t="shared" si="1730"/>
        <v>2.5396126546449516</v>
      </c>
      <c r="U430" s="1">
        <f t="shared" si="1730"/>
        <v>1.6556824176168545</v>
      </c>
      <c r="V430" s="1">
        <f t="shared" si="1730"/>
        <v>-1.000387454494275</v>
      </c>
      <c r="W430" s="1">
        <f t="shared" si="1730"/>
        <v>2.10704545546273</v>
      </c>
      <c r="X430" s="1">
        <f t="shared" si="1730"/>
        <v>15.176552082901317</v>
      </c>
      <c r="Y430" s="1">
        <f t="shared" si="1730"/>
        <v>-16.474571322902804</v>
      </c>
      <c r="Z430" s="1">
        <f t="shared" si="1730"/>
        <v>-14.387844763396465</v>
      </c>
      <c r="AA430" s="1">
        <f t="shared" si="1730"/>
        <v>13.963575897719696</v>
      </c>
      <c r="AB430" s="1">
        <f t="shared" si="1730"/>
        <v>-1.5629611818773981</v>
      </c>
      <c r="AC430" s="1">
        <f t="shared" si="1730"/>
        <v>8.2226985500552807</v>
      </c>
      <c r="AD430" s="1">
        <f t="shared" si="1730"/>
        <v>-1.4497096755502721</v>
      </c>
      <c r="AE430" s="1">
        <f t="shared" si="1730"/>
        <v>-10.511674990139412</v>
      </c>
      <c r="AF430" s="1">
        <f t="shared" si="1730"/>
        <v>1.4698729209817003</v>
      </c>
      <c r="AG430" s="1">
        <f t="shared" si="1730"/>
        <v>12.845983538037984</v>
      </c>
      <c r="AH430" s="1">
        <f t="shared" si="1730"/>
        <v>18.488890532013407</v>
      </c>
      <c r="AI430" s="1">
        <f t="shared" si="1730"/>
        <v>-1.3782028335424341</v>
      </c>
      <c r="AJ430" s="1">
        <f t="shared" si="1730"/>
        <v>-4.1491807125162259</v>
      </c>
      <c r="AK430" s="1">
        <f t="shared" si="1730"/>
        <v>-16.391107817166649</v>
      </c>
      <c r="AL430" s="1">
        <f t="shared" ref="AL430:BD430" si="1731">AL311-AL302-(AL285-AK285)</f>
        <v>-25.603412702392649</v>
      </c>
      <c r="AM430" s="1">
        <f t="shared" si="1731"/>
        <v>-81.6942500642364</v>
      </c>
      <c r="AN430" s="1">
        <f t="shared" si="1731"/>
        <v>-10.347012639516727</v>
      </c>
      <c r="AO430" s="1">
        <f t="shared" si="1731"/>
        <v>-13.318272181771775</v>
      </c>
      <c r="AP430" s="1">
        <f t="shared" si="1731"/>
        <v>-25.901266587413541</v>
      </c>
      <c r="AQ430" s="1">
        <f t="shared" si="1731"/>
        <v>4.453536397566495</v>
      </c>
      <c r="AR430" s="1">
        <f t="shared" si="1731"/>
        <v>-18.845468266630206</v>
      </c>
      <c r="AS430" s="1">
        <f t="shared" si="1731"/>
        <v>-119.16379501813726</v>
      </c>
      <c r="AT430" s="1">
        <f t="shared" si="1731"/>
        <v>-107.25380461021768</v>
      </c>
      <c r="AU430" s="1">
        <f t="shared" si="1731"/>
        <v>62.76200872947885</v>
      </c>
      <c r="AV430" s="1">
        <f t="shared" si="1731"/>
        <v>98.366320656645783</v>
      </c>
      <c r="AW430" s="1">
        <f t="shared" si="1731"/>
        <v>27.327493916798645</v>
      </c>
      <c r="AX430" s="1">
        <f t="shared" si="1731"/>
        <v>72.621062820801356</v>
      </c>
      <c r="AY430" s="1">
        <f t="shared" si="1731"/>
        <v>-56.695074827583198</v>
      </c>
      <c r="AZ430" s="1">
        <f t="shared" si="1731"/>
        <v>-11.383225232848348</v>
      </c>
      <c r="BA430" s="1">
        <f t="shared" si="1731"/>
        <v>-16.321227661059066</v>
      </c>
      <c r="BB430" s="1">
        <f t="shared" si="1731"/>
        <v>56.603490253504432</v>
      </c>
      <c r="BC430" s="1">
        <f t="shared" ca="1" si="1731"/>
        <v>-13.618936982964652</v>
      </c>
      <c r="BD430" s="1">
        <f t="shared" ca="1" si="1731"/>
        <v>-0.91622913223677216</v>
      </c>
      <c r="BE430" s="1">
        <f t="shared" ref="BE430:BQ430" ca="1" si="1732">BE311-BE302-(BE285-BD285)</f>
        <v>-3.1400270346728627</v>
      </c>
      <c r="BF430" s="1">
        <f t="shared" ca="1" si="1732"/>
        <v>5.2511007013145896</v>
      </c>
      <c r="BG430" s="1">
        <f t="shared" ca="1" si="1732"/>
        <v>9.127123836089778</v>
      </c>
      <c r="BH430" s="1">
        <f t="shared" ca="1" si="1732"/>
        <v>-0.94834356427493027</v>
      </c>
      <c r="BI430" s="1">
        <f t="shared" ca="1" si="1732"/>
        <v>23.144249342207651</v>
      </c>
      <c r="BJ430" s="1">
        <f t="shared" ca="1" si="1732"/>
        <v>-1.1736974707602048</v>
      </c>
      <c r="BK430" s="1">
        <f t="shared" ref="BK430:BP430" ca="1" si="1733">BK311-BK302-(BK285-BJ285)</f>
        <v>-4.9619081943643017</v>
      </c>
      <c r="BL430" s="1">
        <f t="shared" ca="1" si="1733"/>
        <v>2.6534020615525318</v>
      </c>
      <c r="BM430" s="1">
        <f t="shared" ca="1" si="1733"/>
        <v>17.828901104899586</v>
      </c>
      <c r="BN430" s="1">
        <f t="shared" ca="1" si="1733"/>
        <v>-8.9506047050271942</v>
      </c>
      <c r="BO430" s="1">
        <f t="shared" ca="1" si="1733"/>
        <v>-5.7010152284407312</v>
      </c>
      <c r="BP430" s="1">
        <f t="shared" ca="1" si="1733"/>
        <v>-15.393057235589017</v>
      </c>
      <c r="BQ430" s="1">
        <f t="shared" ca="1" si="1732"/>
        <v>12.879026513036766</v>
      </c>
      <c r="BR430" s="1">
        <f t="shared" ref="BR430:BX430" ca="1" si="1734">BR311-BR302-(BR285-BQ285)</f>
        <v>4.2533582678430655</v>
      </c>
      <c r="BS430" s="1">
        <f t="shared" ca="1" si="1734"/>
        <v>1.6151117680077061</v>
      </c>
      <c r="BT430" s="1">
        <f t="shared" ca="1" si="1734"/>
        <v>-2.315829845678774E-2</v>
      </c>
      <c r="BU430" s="1">
        <f t="shared" ca="1" si="1734"/>
        <v>8.7884625798625216E-2</v>
      </c>
      <c r="BV430" s="1">
        <f t="shared" ca="1" si="1734"/>
        <v>0.14101332206981088</v>
      </c>
      <c r="BW430" s="1">
        <f t="shared" ca="1" si="1734"/>
        <v>0.14832206008674209</v>
      </c>
      <c r="BX430" s="1">
        <f t="shared" ca="1" si="1734"/>
        <v>0.1157867450370782</v>
      </c>
      <c r="BY430" s="1">
        <f t="shared" ref="BY430" ca="1" si="1735">BY311-BY302-(BY285-BX285)</f>
        <v>7.2348990757832965E-2</v>
      </c>
      <c r="BZ430" s="1">
        <f t="shared" ref="BZ430" ca="1" si="1736">BZ311-BZ302-(BZ285-BY285)</f>
        <v>4.0736951995272719E-2</v>
      </c>
      <c r="CA430" s="1">
        <f t="shared" ref="CA430" ca="1" si="1737">CA311-CA302-(CA285-BZ285)</f>
        <v>1.9501578807457065E-2</v>
      </c>
      <c r="CB430" s="1">
        <f t="shared" ref="CB430" ca="1" si="1738">CB311-CB302-(CB285-CA285)</f>
        <v>-1.7055256430085208E-3</v>
      </c>
      <c r="CC430" s="1">
        <f t="shared" ref="CC430" ca="1" si="1739">CC311-CC302-(CC285-CB285)</f>
        <v>-2.1637437235695778E-2</v>
      </c>
      <c r="CD430" s="1">
        <f t="shared" ref="CD430" ca="1" si="1740">CD311-CD302-(CD285-CC285)</f>
        <v>-4.197336567122445E-2</v>
      </c>
      <c r="CE430" s="101">
        <f t="shared" ca="1" si="1489"/>
        <v>-0.11309101672475685</v>
      </c>
      <c r="CG430" s="235">
        <f ca="1">BK430-DG430</f>
        <v>-0.7704553695784675</v>
      </c>
      <c r="CH430" s="235">
        <f ca="1">BL430-DH430</f>
        <v>4.0530933739901798E-5</v>
      </c>
      <c r="CI430" s="235" t="e">
        <f ca="1">BM430-#REF!</f>
        <v>#REF!</v>
      </c>
      <c r="CJ430" s="235">
        <f t="shared" ca="1" si="1545"/>
        <v>0</v>
      </c>
      <c r="CK430" s="235">
        <f t="shared" ca="1" si="1546"/>
        <v>0</v>
      </c>
      <c r="CL430" s="235">
        <f t="shared" ca="1" si="1547"/>
        <v>3.730349362740526E-14</v>
      </c>
      <c r="CM430" s="235">
        <f t="shared" ca="1" si="1548"/>
        <v>3.3750779948604759E-14</v>
      </c>
      <c r="CN430" s="235">
        <f t="shared" ca="1" si="1549"/>
        <v>0</v>
      </c>
      <c r="CO430" s="235">
        <f t="shared" ca="1" si="1550"/>
        <v>2.6645352591003757E-15</v>
      </c>
      <c r="CP430" s="235">
        <f t="shared" ca="1" si="1551"/>
        <v>-7.7271522513910895E-14</v>
      </c>
      <c r="CQ430" s="235">
        <f t="shared" ca="1" si="1552"/>
        <v>-5.773159728050814E-14</v>
      </c>
      <c r="CR430" s="235">
        <f t="shared" ca="1" si="1553"/>
        <v>2.9309887850104133E-14</v>
      </c>
      <c r="CS430" s="235">
        <f t="shared" ca="1" si="1554"/>
        <v>4.6185277824406512E-14</v>
      </c>
      <c r="CT430" s="235">
        <f t="shared" ca="1" si="1555"/>
        <v>2.3980817331903381E-14</v>
      </c>
      <c r="CU430" s="235">
        <f t="shared" ca="1" si="1556"/>
        <v>2.6645352591003757E-15</v>
      </c>
      <c r="CV430" s="235">
        <f t="shared" ca="1" si="1557"/>
        <v>-2.4868995751603507E-14</v>
      </c>
      <c r="CW430" s="235">
        <f t="shared" ca="1" si="1558"/>
        <v>3.907985046680551E-14</v>
      </c>
      <c r="CX430" s="235">
        <f t="shared" ca="1" si="1559"/>
        <v>6.2350125062948791E-13</v>
      </c>
      <c r="CY430" s="235">
        <f t="shared" ca="1" si="1560"/>
        <v>5.4294346796268655E-12</v>
      </c>
      <c r="CZ430" s="235">
        <f t="shared" ca="1" si="1561"/>
        <v>3.1830538205213088E-11</v>
      </c>
      <c r="DF430" s="259">
        <v>24.887130982366809</v>
      </c>
      <c r="DG430" s="236">
        <v>-4.1914528247858343</v>
      </c>
      <c r="DH430" s="492">
        <v>2.6533615306187919</v>
      </c>
      <c r="DI430" s="236">
        <v>-8.9506047050271942</v>
      </c>
      <c r="DJ430" s="236">
        <v>-5.7010152284407312</v>
      </c>
      <c r="DK430" s="236">
        <v>-15.393057235589055</v>
      </c>
      <c r="DL430" s="236">
        <v>12.879026513036733</v>
      </c>
      <c r="DM430" s="236">
        <v>4.2533582678430717</v>
      </c>
      <c r="DN430" s="236">
        <v>1.6151117680077034</v>
      </c>
      <c r="DO430" s="236">
        <v>-2.3158298456710469E-2</v>
      </c>
      <c r="DP430" s="236">
        <v>8.7884625798682947E-2</v>
      </c>
      <c r="DQ430" s="258">
        <v>0.14101332206978157</v>
      </c>
      <c r="DR430" s="258">
        <v>0.14832206008669591</v>
      </c>
      <c r="DS430" s="258">
        <v>0.11578674503705422</v>
      </c>
      <c r="DT430" s="258">
        <v>7.23489907578303E-2</v>
      </c>
      <c r="DU430" s="258">
        <v>4.0736951995297588E-2</v>
      </c>
      <c r="DV430" s="258">
        <v>1.9501578807417985E-2</v>
      </c>
      <c r="DW430" s="258">
        <v>-1.7055256436320221E-3</v>
      </c>
      <c r="DX430" s="258">
        <v>-2.1637437241125212E-2</v>
      </c>
      <c r="DY430" s="258">
        <v>-4.1973365703054988E-2</v>
      </c>
      <c r="DZ430" s="258">
        <v>-1.2142525912388842</v>
      </c>
    </row>
    <row r="431" spans="1:131">
      <c r="A431" s="197"/>
      <c r="B431" s="3" t="s">
        <v>247</v>
      </c>
      <c r="D431" s="197" t="s">
        <v>4598</v>
      </c>
      <c r="F431" s="16">
        <f t="shared" ref="F431:N431" si="1741">+F419*1000/F372</f>
        <v>0.54821855277650999</v>
      </c>
      <c r="G431" s="16">
        <f t="shared" si="1741"/>
        <v>0.55337035927351275</v>
      </c>
      <c r="H431" s="16">
        <f t="shared" si="1741"/>
        <v>0.5879849438090653</v>
      </c>
      <c r="I431" s="16">
        <f t="shared" si="1741"/>
        <v>0.65310104412554759</v>
      </c>
      <c r="J431" s="16">
        <f t="shared" si="1741"/>
        <v>0.66842932164063673</v>
      </c>
      <c r="K431" s="16">
        <f t="shared" si="1741"/>
        <v>0.71102321669969948</v>
      </c>
      <c r="L431" s="16">
        <f t="shared" si="1741"/>
        <v>0.74517340102583773</v>
      </c>
      <c r="M431" s="16">
        <f t="shared" si="1741"/>
        <v>0.75345760144496732</v>
      </c>
      <c r="N431" s="16">
        <f t="shared" si="1741"/>
        <v>0.76733937014209341</v>
      </c>
      <c r="O431" s="16">
        <f t="shared" ref="O431:AD431" si="1742">+O419*1000/O372</f>
        <v>0.79320177608309816</v>
      </c>
      <c r="P431" s="16">
        <f t="shared" si="1742"/>
        <v>0.84344268528188593</v>
      </c>
      <c r="Q431" s="16">
        <f t="shared" si="1742"/>
        <v>0.94878810437509675</v>
      </c>
      <c r="R431" s="16">
        <f t="shared" si="1742"/>
        <v>1.1637930105698089</v>
      </c>
      <c r="S431" s="16">
        <f t="shared" si="1742"/>
        <v>1.3120889494059584</v>
      </c>
      <c r="T431" s="16">
        <f t="shared" si="1742"/>
        <v>1.4058334890311273</v>
      </c>
      <c r="U431" s="16">
        <f t="shared" si="1742"/>
        <v>1.4334737540547307</v>
      </c>
      <c r="V431" s="16">
        <f t="shared" si="1742"/>
        <v>1.5017605311311328</v>
      </c>
      <c r="W431" s="16">
        <f t="shared" si="1742"/>
        <v>1.6222217546582218</v>
      </c>
      <c r="X431" s="16">
        <f t="shared" si="1742"/>
        <v>1.6901695382786981</v>
      </c>
      <c r="Y431" s="16">
        <f t="shared" si="1742"/>
        <v>1.8208502071892445</v>
      </c>
      <c r="Z431" s="16">
        <f t="shared" si="1742"/>
        <v>2.2325003497920832</v>
      </c>
      <c r="AA431" s="16">
        <f t="shared" si="1742"/>
        <v>2.7997429260305813</v>
      </c>
      <c r="AB431" s="16">
        <f t="shared" si="1742"/>
        <v>3.1293448787830909</v>
      </c>
      <c r="AC431" s="16">
        <f t="shared" si="1742"/>
        <v>3.890975769243294</v>
      </c>
      <c r="AD431" s="16">
        <f t="shared" si="1742"/>
        <v>4.3990272079730186</v>
      </c>
      <c r="AE431" s="16">
        <f>+AE419*1000/AE372</f>
        <v>4.7104131346139768</v>
      </c>
      <c r="AF431" s="16">
        <f>+AF419*1000/AF372</f>
        <v>4.9367010367937514</v>
      </c>
      <c r="AG431" s="16">
        <f>+AG419*1000/AG372</f>
        <v>5.5609409947589832</v>
      </c>
      <c r="AH431" s="16">
        <f>+AH419*1000/AH372</f>
        <v>5.601057173475418</v>
      </c>
      <c r="AI431" s="16">
        <f t="shared" ref="AI431:AS431" si="1743">+AI419*1000/AI372</f>
        <v>5.3027320765345261</v>
      </c>
      <c r="AJ431" s="16">
        <f t="shared" si="1743"/>
        <v>5.0746009357510991</v>
      </c>
      <c r="AK431" s="16">
        <f t="shared" si="1743"/>
        <v>4.9449708775610146</v>
      </c>
      <c r="AL431" s="16">
        <f t="shared" si="1743"/>
        <v>4.9678627328106693</v>
      </c>
      <c r="AM431" s="16">
        <f t="shared" si="1743"/>
        <v>5.4076400134136549</v>
      </c>
      <c r="AN431" s="16">
        <f t="shared" si="1743"/>
        <v>6.3604174112741632</v>
      </c>
      <c r="AO431" s="16">
        <f t="shared" si="1743"/>
        <v>7.4192454953138611</v>
      </c>
      <c r="AP431" s="16">
        <f t="shared" si="1743"/>
        <v>9.516686022973456</v>
      </c>
      <c r="AQ431" s="16">
        <f t="shared" si="1743"/>
        <v>11.259228615366103</v>
      </c>
      <c r="AR431" s="16">
        <f t="shared" si="1743"/>
        <v>14.577945814813628</v>
      </c>
      <c r="AS431" s="16">
        <f t="shared" si="1743"/>
        <v>32.733847779640932</v>
      </c>
      <c r="AT431" s="16">
        <f>+AT419*1000/AT372</f>
        <v>128.38014917186891</v>
      </c>
      <c r="AU431" s="16">
        <f t="shared" ref="AU431:BC431" si="1744">+AU419*1000/AU372</f>
        <v>610.48719659597054</v>
      </c>
      <c r="AV431" s="16">
        <f t="shared" si="1744"/>
        <v>791.33886923222485</v>
      </c>
      <c r="AW431" s="16">
        <f t="shared" si="1744"/>
        <v>883.69060783937005</v>
      </c>
      <c r="AX431" s="16">
        <f t="shared" si="1744"/>
        <v>1062.0408197123515</v>
      </c>
      <c r="AY431" s="16">
        <f t="shared" si="1744"/>
        <v>1949.3160430080891</v>
      </c>
      <c r="AZ431" s="16">
        <f t="shared" si="1744"/>
        <v>3191.6961162728503</v>
      </c>
      <c r="BA431" s="16">
        <f t="shared" si="1744"/>
        <v>4536.2830160091735</v>
      </c>
      <c r="BB431" s="16">
        <f t="shared" si="1744"/>
        <v>5319.8642243279437</v>
      </c>
      <c r="BC431" s="16">
        <f t="shared" si="1744"/>
        <v>7371.7940878556828</v>
      </c>
      <c r="BD431" s="16">
        <f t="shared" ref="BD431:BI431" si="1745">+BD419*1000/BD372</f>
        <v>8909.6055629843213</v>
      </c>
      <c r="BE431" s="16">
        <f t="shared" ca="1" si="1745"/>
        <v>12142.520227764981</v>
      </c>
      <c r="BF431" s="16">
        <f t="shared" ca="1" si="1745"/>
        <v>14716.574910777783</v>
      </c>
      <c r="BG431" s="16">
        <f t="shared" ca="1" si="1745"/>
        <v>16522.651162675123</v>
      </c>
      <c r="BH431" s="16">
        <f t="shared" ca="1" si="1745"/>
        <v>19065.748326081863</v>
      </c>
      <c r="BI431" s="16">
        <f t="shared" ca="1" si="1745"/>
        <v>18715.258015261727</v>
      </c>
      <c r="BJ431" s="16">
        <f ca="1">+BJ419*1000/BJ372</f>
        <v>23016.02385739981</v>
      </c>
      <c r="BK431" s="16">
        <f t="shared" ref="BK431:BQ431" ca="1" si="1746">+BK419*1000/BK372</f>
        <v>29881.565042239625</v>
      </c>
      <c r="BL431" s="16">
        <f t="shared" ca="1" si="1746"/>
        <v>31657.352127704125</v>
      </c>
      <c r="BM431" s="16">
        <f t="shared" ca="1" si="1746"/>
        <v>30682.314767420441</v>
      </c>
      <c r="BN431" s="16">
        <f t="shared" si="1746"/>
        <v>30103.469556766962</v>
      </c>
      <c r="BO431" s="16">
        <f t="shared" ca="1" si="1746"/>
        <v>30847.424869151742</v>
      </c>
      <c r="BP431" s="16">
        <f t="shared" ca="1" si="1746"/>
        <v>38176.627513831649</v>
      </c>
      <c r="BQ431" s="16">
        <f t="shared" ca="1" si="1746"/>
        <v>46551.127334608369</v>
      </c>
      <c r="BR431" s="16">
        <f ca="1">+BR419*1000/BR372</f>
        <v>50471.667169795372</v>
      </c>
      <c r="BS431" s="16">
        <f ca="1">+BS419*1000/BS372</f>
        <v>51668.694458079342</v>
      </c>
      <c r="BT431" s="16">
        <f ca="1">+BT419*1000/BT372</f>
        <v>52515.690492323163</v>
      </c>
      <c r="BU431" s="16">
        <f ca="1">+BU419*1000/BU372</f>
        <v>53839.666250868955</v>
      </c>
      <c r="BV431" s="16">
        <f ca="1">+BV419*1000/BV372</f>
        <v>55252.065950069402</v>
      </c>
      <c r="BW431" s="16">
        <f t="shared" ref="BW431:BX431" ca="1" si="1747">+BW419*1000/BW372</f>
        <v>56810.279401969136</v>
      </c>
      <c r="BX431" s="16">
        <f t="shared" ca="1" si="1747"/>
        <v>58398.925014403685</v>
      </c>
      <c r="BY431" s="16">
        <f t="shared" ref="BY431:CD431" ca="1" si="1748">+BY419*1000/BY372</f>
        <v>60018.831792911835</v>
      </c>
      <c r="BZ431" s="16">
        <f t="shared" ca="1" si="1748"/>
        <v>62186.808408934099</v>
      </c>
      <c r="CA431" s="16">
        <f t="shared" ca="1" si="1748"/>
        <v>64500.574519868314</v>
      </c>
      <c r="CB431" s="16">
        <f t="shared" ca="1" si="1748"/>
        <v>67029.608452722256</v>
      </c>
      <c r="CC431" s="16">
        <f t="shared" ca="1" si="1748"/>
        <v>69673.928629256174</v>
      </c>
      <c r="CD431" s="16">
        <f t="shared" ca="1" si="1748"/>
        <v>72444.477817608946</v>
      </c>
      <c r="CE431" s="101">
        <f t="shared" ca="1" si="1489"/>
        <v>55649.149879775163</v>
      </c>
      <c r="CH431" s="235">
        <f ca="1">BL431-DH431</f>
        <v>-450.93201532500098</v>
      </c>
      <c r="CI431" s="235" t="e">
        <f ca="1">BM431-#REF!</f>
        <v>#REF!</v>
      </c>
      <c r="CJ431" s="235">
        <f t="shared" si="1545"/>
        <v>0</v>
      </c>
      <c r="CK431" s="235">
        <f t="shared" ca="1" si="1546"/>
        <v>0</v>
      </c>
      <c r="CL431" s="235">
        <f t="shared" ca="1" si="1547"/>
        <v>0</v>
      </c>
      <c r="CM431" s="235">
        <f t="shared" ca="1" si="1548"/>
        <v>0</v>
      </c>
      <c r="CN431" s="235">
        <f t="shared" ca="1" si="1549"/>
        <v>0</v>
      </c>
      <c r="CO431" s="235">
        <f t="shared" ca="1" si="1550"/>
        <v>0</v>
      </c>
      <c r="CP431" s="235">
        <f t="shared" ca="1" si="1551"/>
        <v>0</v>
      </c>
      <c r="CQ431" s="235">
        <f t="shared" ca="1" si="1552"/>
        <v>0</v>
      </c>
      <c r="CR431" s="235">
        <f t="shared" ca="1" si="1553"/>
        <v>-9.4587448984384537E-11</v>
      </c>
      <c r="CS431" s="235">
        <f t="shared" ca="1" si="1554"/>
        <v>-9.4587448984384537E-11</v>
      </c>
      <c r="CT431" s="235">
        <f t="shared" ca="1" si="1555"/>
        <v>-1.3096723705530167E-10</v>
      </c>
      <c r="CU431" s="235">
        <f t="shared" ca="1" si="1556"/>
        <v>-1.1641532182693481E-10</v>
      </c>
      <c r="CV431" s="235">
        <f t="shared" ca="1" si="1557"/>
        <v>-1.0186340659856796E-10</v>
      </c>
      <c r="CW431" s="235">
        <f t="shared" ca="1" si="1558"/>
        <v>1.0913936421275139E-10</v>
      </c>
      <c r="CX431" s="235">
        <f t="shared" ca="1" si="1559"/>
        <v>3.3178366720676422E-9</v>
      </c>
      <c r="CY431" s="235">
        <f t="shared" ca="1" si="1560"/>
        <v>3.4051481634378433E-8</v>
      </c>
      <c r="CZ431" s="235">
        <f t="shared" ca="1" si="1561"/>
        <v>2.6202178560197353E-7</v>
      </c>
      <c r="DF431" s="258"/>
      <c r="DH431" s="492">
        <v>32108.284143029126</v>
      </c>
      <c r="DI431" s="236">
        <v>30103.469556766962</v>
      </c>
      <c r="DJ431" s="236">
        <v>30847.424869151753</v>
      </c>
      <c r="DK431" s="236">
        <v>38176.627513831656</v>
      </c>
      <c r="DL431" s="236">
        <v>46551.127334608376</v>
      </c>
      <c r="DM431" s="236">
        <v>50471.667169795386</v>
      </c>
      <c r="DN431" s="236">
        <v>51668.694458079342</v>
      </c>
      <c r="DO431" s="236">
        <v>52515.690492323214</v>
      </c>
      <c r="DP431" s="236">
        <v>53839.666250869006</v>
      </c>
      <c r="DQ431" s="258">
        <v>55252.065950069496</v>
      </c>
      <c r="DR431" s="258">
        <v>56810.27940196923</v>
      </c>
      <c r="DS431" s="258">
        <v>58398.925014403816</v>
      </c>
      <c r="DT431" s="258">
        <v>60018.831792911951</v>
      </c>
      <c r="DU431" s="258">
        <v>62186.808408934201</v>
      </c>
      <c r="DV431" s="258">
        <v>64500.574519868205</v>
      </c>
      <c r="DW431" s="258">
        <v>67029.608452718938</v>
      </c>
      <c r="DX431" s="258">
        <v>69673.928629222122</v>
      </c>
      <c r="DY431" s="258">
        <v>72444.477817346924</v>
      </c>
      <c r="DZ431" s="258">
        <v>55846.389688806055</v>
      </c>
    </row>
    <row r="432" spans="1:131">
      <c r="A432" s="197"/>
      <c r="B432" s="3" t="s">
        <v>4671</v>
      </c>
      <c r="F432" s="1">
        <f t="shared" ref="F432:AH432" si="1749">F293/(F464-E464)</f>
        <v>0.17370139436783291</v>
      </c>
      <c r="G432" s="1">
        <f t="shared" si="1749"/>
        <v>4.2101620870460534</v>
      </c>
      <c r="H432" s="1">
        <f t="shared" si="1749"/>
        <v>2.4349944830127925</v>
      </c>
      <c r="I432" s="1">
        <f t="shared" si="1749"/>
        <v>1.6212559450549757</v>
      </c>
      <c r="J432" s="1">
        <f t="shared" si="1749"/>
        <v>3.5647638640408945</v>
      </c>
      <c r="K432" s="1">
        <f t="shared" si="1749"/>
        <v>2.1157875447924988</v>
      </c>
      <c r="L432" s="1">
        <f t="shared" si="1749"/>
        <v>2.5677581486781347</v>
      </c>
      <c r="M432" s="1">
        <f t="shared" si="1749"/>
        <v>4.7338737735107506</v>
      </c>
      <c r="N432" s="1">
        <f t="shared" si="1749"/>
        <v>4.5078543481839128</v>
      </c>
      <c r="O432" s="1">
        <f t="shared" si="1749"/>
        <v>3.8083438074951466</v>
      </c>
      <c r="P432" s="1">
        <f t="shared" si="1749"/>
        <v>4.5569578606730454</v>
      </c>
      <c r="Q432" s="1">
        <f t="shared" si="1749"/>
        <v>3.006758033889195</v>
      </c>
      <c r="R432" s="1">
        <f t="shared" si="1749"/>
        <v>1.0936880607119372</v>
      </c>
      <c r="S432" s="1">
        <f t="shared" si="1749"/>
        <v>1.1526993311832661</v>
      </c>
      <c r="T432" s="1">
        <f t="shared" si="1749"/>
        <v>1.7548333847409283</v>
      </c>
      <c r="U432" s="1">
        <f t="shared" si="1749"/>
        <v>2.8795865608315241</v>
      </c>
      <c r="V432" s="1">
        <f t="shared" si="1749"/>
        <v>2.3193802780907595</v>
      </c>
      <c r="W432" s="1">
        <f t="shared" si="1749"/>
        <v>1.5198498811462371</v>
      </c>
      <c r="X432" s="1">
        <f t="shared" si="1749"/>
        <v>2.6575749846449197</v>
      </c>
      <c r="Y432" s="1">
        <f t="shared" si="1749"/>
        <v>2.0569964542284884</v>
      </c>
      <c r="Z432" s="1">
        <f t="shared" si="1749"/>
        <v>1.2784514467891814</v>
      </c>
      <c r="AA432" s="1">
        <f t="shared" si="1749"/>
        <v>1.5389398177414817</v>
      </c>
      <c r="AB432" s="1">
        <f t="shared" si="1749"/>
        <v>1.7318144207973865</v>
      </c>
      <c r="AC432" s="1">
        <f t="shared" si="1749"/>
        <v>0.76868152001173407</v>
      </c>
      <c r="AD432" s="1">
        <f t="shared" si="1749"/>
        <v>1.0139135042249738</v>
      </c>
      <c r="AE432" s="1">
        <f t="shared" si="1749"/>
        <v>1.8460040827461948</v>
      </c>
      <c r="AF432" s="1">
        <f t="shared" si="1749"/>
        <v>6.8869437800276359</v>
      </c>
      <c r="AG432" s="1">
        <f t="shared" si="1749"/>
        <v>1.6839653188359835</v>
      </c>
      <c r="AH432" s="1">
        <f t="shared" si="1749"/>
        <v>5.3821938319763651</v>
      </c>
      <c r="AI432" s="1">
        <f t="shared" ref="AI432:BQ432" si="1750">AI293/(AI464-AH464)</f>
        <v>-2.2355805840330381</v>
      </c>
      <c r="AJ432" s="1">
        <f t="shared" si="1750"/>
        <v>-2.4731965462549765</v>
      </c>
      <c r="AK432" s="1">
        <f t="shared" si="1750"/>
        <v>-39.309564105995115</v>
      </c>
      <c r="AL432" s="1">
        <f t="shared" si="1750"/>
        <v>3.0368634368727445</v>
      </c>
      <c r="AM432" s="1">
        <f t="shared" si="1750"/>
        <v>0.82905063440980575</v>
      </c>
      <c r="AN432" s="1">
        <f t="shared" si="1750"/>
        <v>0.52432859757765871</v>
      </c>
      <c r="AO432" s="1">
        <f t="shared" si="1750"/>
        <v>0.46503215859919678</v>
      </c>
      <c r="AP432" s="1">
        <f t="shared" si="1750"/>
        <v>0.62840577146366972</v>
      </c>
      <c r="AQ432" s="1">
        <f t="shared" si="1750"/>
        <v>0.94718001742175595</v>
      </c>
      <c r="AR432" s="1">
        <f t="shared" si="1750"/>
        <v>0.7285722206390377</v>
      </c>
      <c r="AS432" s="1">
        <f t="shared" si="1750"/>
        <v>0.28538214510867849</v>
      </c>
      <c r="AT432" s="1">
        <f t="shared" si="1750"/>
        <v>0.49796752062611205</v>
      </c>
      <c r="AU432" s="1">
        <f t="shared" si="1750"/>
        <v>0.15592461518727516</v>
      </c>
      <c r="AV432" s="1">
        <f t="shared" si="1750"/>
        <v>1.6361088362231395</v>
      </c>
      <c r="AW432" s="1">
        <f t="shared" si="1750"/>
        <v>2.2631603094949617</v>
      </c>
      <c r="AX432" s="1">
        <f t="shared" si="1750"/>
        <v>0.52851791903416367</v>
      </c>
      <c r="AY432" s="1">
        <f t="shared" si="1750"/>
        <v>0.2029316456224233</v>
      </c>
      <c r="AZ432" s="1">
        <f t="shared" si="1750"/>
        <v>0.19902917475217513</v>
      </c>
      <c r="BA432" s="1">
        <f t="shared" si="1750"/>
        <v>0.67772320574214828</v>
      </c>
      <c r="BB432" s="1">
        <f t="shared" si="1750"/>
        <v>1.2203034930421541</v>
      </c>
      <c r="BC432" s="1">
        <f t="shared" si="1750"/>
        <v>0.96327580764723064</v>
      </c>
      <c r="BD432" s="1">
        <f t="shared" si="1750"/>
        <v>1.2018676927796379</v>
      </c>
      <c r="BE432" s="1">
        <f t="shared" ca="1" si="1750"/>
        <v>1.1890610269111983</v>
      </c>
      <c r="BF432" s="1">
        <f t="shared" ca="1" si="1750"/>
        <v>1.0940731380261037</v>
      </c>
      <c r="BG432" s="1">
        <f t="shared" ca="1" si="1750"/>
        <v>1.7967994906421743</v>
      </c>
      <c r="BH432" s="1">
        <f t="shared" ca="1" si="1750"/>
        <v>1.6211015733589005</v>
      </c>
      <c r="BI432" s="1">
        <f t="shared" ca="1" si="1750"/>
        <v>-49.939380154282937</v>
      </c>
      <c r="BJ432" s="1">
        <f t="shared" ca="1" si="1750"/>
        <v>1.1194699227296232</v>
      </c>
      <c r="BK432" s="1">
        <f t="shared" ca="1" si="1750"/>
        <v>0.93820903738157024</v>
      </c>
      <c r="BL432" s="1">
        <f t="shared" ca="1" si="1750"/>
        <v>3.7416002456597477</v>
      </c>
      <c r="BM432" s="1">
        <f t="shared" ca="1" si="1750"/>
        <v>-19.813432440681936</v>
      </c>
      <c r="BN432" s="1">
        <f t="shared" ca="1" si="1750"/>
        <v>-595.42164971156967</v>
      </c>
      <c r="BO432" s="1">
        <f t="shared" ca="1" si="1750"/>
        <v>22.782630831872073</v>
      </c>
      <c r="BP432" s="1">
        <f t="shared" ca="1" si="1750"/>
        <v>1.7278333305135105</v>
      </c>
      <c r="BQ432" s="1">
        <f t="shared" ca="1" si="1750"/>
        <v>1.5949484172334163</v>
      </c>
      <c r="BR432" s="1">
        <f t="shared" ref="BR432:BX432" ca="1" si="1751">BR293/(BR464-BQ464)</f>
        <v>3.1995755721166068</v>
      </c>
      <c r="BS432" s="1">
        <f t="shared" ca="1" si="1751"/>
        <v>7.9693724349310253</v>
      </c>
      <c r="BT432" s="1">
        <f t="shared" ca="1" si="1751"/>
        <v>9.9385114327807944</v>
      </c>
      <c r="BU432" s="1">
        <f t="shared" ca="1" si="1751"/>
        <v>7.9324819711720727</v>
      </c>
      <c r="BV432" s="1">
        <f t="shared" ca="1" si="1751"/>
        <v>7.8234306279971859</v>
      </c>
      <c r="BW432" s="1">
        <f t="shared" ca="1" si="1751"/>
        <v>7.9973158655462635</v>
      </c>
      <c r="BX432" s="1">
        <f t="shared" ca="1" si="1751"/>
        <v>8.14110580354928</v>
      </c>
      <c r="BY432" s="1">
        <f t="shared" ref="BY432" ca="1" si="1752">BY293/(BY464-BX464)</f>
        <v>8.2878377887999957</v>
      </c>
      <c r="BZ432" s="1">
        <f t="shared" ref="BZ432" ca="1" si="1753">BZ293/(BZ464-BY464)</f>
        <v>6.9445320741842176</v>
      </c>
      <c r="CA432" s="1">
        <f t="shared" ref="CA432" ca="1" si="1754">CA293/(CA464-BZ464)</f>
        <v>6.8418799062786997</v>
      </c>
      <c r="CB432" s="1">
        <f t="shared" ref="CB432" ca="1" si="1755">CB293/(CB464-CA464)</f>
        <v>6.9014320688746205</v>
      </c>
      <c r="CC432" s="1">
        <f t="shared" ref="CC432" ca="1" si="1756">CC293/(CC464-CB464)</f>
        <v>6.9217873493133002</v>
      </c>
      <c r="CD432" s="1">
        <f t="shared" ref="CD432" ca="1" si="1757">CD293/(CD464-CC464)</f>
        <v>6.9344023231160454</v>
      </c>
      <c r="CE432" s="101"/>
      <c r="DF432" s="258"/>
      <c r="DH432" s="492">
        <v>3.6745687643632712</v>
      </c>
      <c r="DI432" s="236">
        <v>-595.4216497115699</v>
      </c>
      <c r="DJ432" s="236">
        <v>22.78263083187208</v>
      </c>
      <c r="DK432" s="236">
        <v>1.7278333305135096</v>
      </c>
      <c r="DL432" s="236">
        <v>1.5949484172334158</v>
      </c>
      <c r="DM432" s="236">
        <v>3.1995755721166002</v>
      </c>
      <c r="DN432" s="236">
        <v>7.9693724349309036</v>
      </c>
      <c r="DO432" s="236">
        <v>9.9385114327807642</v>
      </c>
      <c r="DP432" s="236">
        <v>7.9324819711720815</v>
      </c>
      <c r="DQ432" s="258">
        <v>7.8234306279972836</v>
      </c>
      <c r="DR432" s="258">
        <v>7.9973158655463674</v>
      </c>
      <c r="DS432" s="258">
        <v>8.1411058035492729</v>
      </c>
      <c r="DT432" s="258">
        <v>8.2878377887999601</v>
      </c>
      <c r="DU432" s="258">
        <v>6.9445320741841625</v>
      </c>
      <c r="DV432" s="258">
        <v>6.8418799062784368</v>
      </c>
      <c r="DW432" s="258">
        <v>6.9014320688709159</v>
      </c>
      <c r="DX432" s="258">
        <v>6.9217873492776336</v>
      </c>
      <c r="DY432" s="258">
        <v>6.9344023228276122</v>
      </c>
    </row>
    <row r="433" spans="1:130">
      <c r="A433" s="197"/>
      <c r="B433" s="16" t="s">
        <v>4599</v>
      </c>
      <c r="BG433" s="3">
        <f>BG389/$BG$389*100</f>
        <v>100</v>
      </c>
      <c r="BH433" s="16">
        <f>BH389/$BG$389*100</f>
        <v>127.2542477922417</v>
      </c>
      <c r="BI433" s="16">
        <f t="shared" ref="BI433:BQ433" si="1758">BI389/$BG$389*100</f>
        <v>-113.71383410000249</v>
      </c>
      <c r="BJ433" s="16">
        <f t="shared" si="1758"/>
        <v>342.82924140605007</v>
      </c>
      <c r="BK433" s="16">
        <f t="shared" si="1758"/>
        <v>361.85471200223941</v>
      </c>
      <c r="BL433" s="16">
        <f t="shared" si="1758"/>
        <v>40.264022534583113</v>
      </c>
      <c r="BM433" s="16">
        <f t="shared" si="1758"/>
        <v>-118.04514373693841</v>
      </c>
      <c r="BN433" s="16">
        <f t="shared" si="1758"/>
        <v>-67.97435113393901</v>
      </c>
      <c r="BO433" s="16">
        <f t="shared" si="1758"/>
        <v>-69.599965209952444</v>
      </c>
      <c r="BP433" s="16">
        <f t="shared" si="1758"/>
        <v>259.27740477576873</v>
      </c>
      <c r="BQ433" s="16">
        <f t="shared" si="1758"/>
        <v>48.839872591347479</v>
      </c>
      <c r="BR433" s="16">
        <f>BR389/$BG$389*100</f>
        <v>28.933995494505353</v>
      </c>
      <c r="BS433" s="16">
        <f>BS389/$BG$389*100</f>
        <v>31.568147994485894</v>
      </c>
      <c r="BT433" s="16">
        <f>BT389/$BG$389*100</f>
        <v>14.308804135401418</v>
      </c>
      <c r="BU433" s="16">
        <f>BU389/$BG$389*100</f>
        <v>8.4316043398838225</v>
      </c>
      <c r="BV433" s="16">
        <f>BV389/$BG$389*100</f>
        <v>8.6287875329664896</v>
      </c>
      <c r="BW433" s="16">
        <f t="shared" ref="BW433:BX433" si="1759">BW389/$BG$389*100</f>
        <v>8.8293842768756203</v>
      </c>
      <c r="BX433" s="16">
        <f t="shared" si="1759"/>
        <v>9.0334237442670613</v>
      </c>
      <c r="BY433" s="16">
        <f t="shared" ref="BY433:CD433" si="1760">BY389/$BG$389*100</f>
        <v>9.2409331345311898</v>
      </c>
      <c r="BZ433" s="16">
        <f t="shared" si="1760"/>
        <v>29.793014724557171</v>
      </c>
      <c r="CA433" s="16">
        <f t="shared" si="1760"/>
        <v>29.975138203630859</v>
      </c>
      <c r="CB433" s="16">
        <f t="shared" si="1760"/>
        <v>30.147527928379926</v>
      </c>
      <c r="CC433" s="16">
        <f t="shared" si="1760"/>
        <v>30.310575648719169</v>
      </c>
      <c r="CD433" s="16">
        <f t="shared" si="1760"/>
        <v>30.464672044678004</v>
      </c>
      <c r="CE433" s="101"/>
      <c r="DF433" s="258"/>
      <c r="DH433" s="492">
        <v>40.264022534583113</v>
      </c>
      <c r="DI433" s="236">
        <v>-67.97435113393901</v>
      </c>
      <c r="DJ433" s="236">
        <v>-69.599965209952444</v>
      </c>
      <c r="DK433" s="236">
        <v>259.27740477576873</v>
      </c>
      <c r="DL433" s="236">
        <v>48.839872591347479</v>
      </c>
      <c r="DM433" s="236">
        <v>28.933995494505353</v>
      </c>
      <c r="DN433" s="236">
        <v>31.568147994485894</v>
      </c>
      <c r="DO433" s="236">
        <v>14.308804135401418</v>
      </c>
      <c r="DP433" s="236">
        <v>8.4316043398838225</v>
      </c>
      <c r="DQ433" s="258">
        <v>8.6287875329664896</v>
      </c>
      <c r="DR433" s="258">
        <v>8.8293842768756203</v>
      </c>
      <c r="DS433" s="258">
        <v>9.0334237442670613</v>
      </c>
      <c r="DT433" s="258">
        <v>9.2409331345311898</v>
      </c>
      <c r="DU433" s="258">
        <v>29.793014724557171</v>
      </c>
      <c r="DV433" s="258">
        <v>29.975138203630859</v>
      </c>
      <c r="DW433" s="258">
        <v>30.147527928379926</v>
      </c>
      <c r="DX433" s="258">
        <v>30.310575648719169</v>
      </c>
      <c r="DY433" s="258">
        <v>30.464672044678004</v>
      </c>
    </row>
    <row r="434" spans="1:130">
      <c r="A434" s="197"/>
      <c r="B434" s="16" t="s">
        <v>4600</v>
      </c>
      <c r="BG434" s="16">
        <f>BG390/$BG$390*100</f>
        <v>100</v>
      </c>
      <c r="BH434" s="16">
        <f t="shared" ref="BH434:BQ434" si="1761">BH390/$BG$390*100</f>
        <v>162.86257637314282</v>
      </c>
      <c r="BI434" s="16">
        <f t="shared" si="1761"/>
        <v>-3.3877012891046845</v>
      </c>
      <c r="BJ434" s="16">
        <f t="shared" si="1761"/>
        <v>144.02002228465841</v>
      </c>
      <c r="BK434" s="16">
        <f t="shared" si="1761"/>
        <v>196.3210961316687</v>
      </c>
      <c r="BL434" s="16">
        <f t="shared" si="1761"/>
        <v>43.743561806092288</v>
      </c>
      <c r="BM434" s="16">
        <f t="shared" si="1761"/>
        <v>27.926198561809361</v>
      </c>
      <c r="BN434" s="16">
        <f t="shared" si="1761"/>
        <v>-0.55709438023776814</v>
      </c>
      <c r="BO434" s="16">
        <f t="shared" si="1761"/>
        <v>-115.88490798032535</v>
      </c>
      <c r="BP434" s="16">
        <f t="shared" si="1761"/>
        <v>307.66643997192125</v>
      </c>
      <c r="BQ434" s="16">
        <f t="shared" si="1761"/>
        <v>51.639630448932863</v>
      </c>
      <c r="BR434" s="16">
        <f>BR390/$BG$390*100</f>
        <v>43.069305146838502</v>
      </c>
      <c r="BS434" s="16">
        <f>BS390/$BG$390*100</f>
        <v>37.190391685721075</v>
      </c>
      <c r="BT434" s="16">
        <f>BT390/$BG$390*100</f>
        <v>53.919947338885557</v>
      </c>
      <c r="BU434" s="16">
        <f>BU390/$BG$390*100</f>
        <v>53.919947338885557</v>
      </c>
      <c r="BV434" s="16">
        <f>BV390/$BG$390*100</f>
        <v>53.919947338885557</v>
      </c>
      <c r="BW434" s="16">
        <f t="shared" ref="BW434:BX434" si="1762">BW390/$BG$390*100</f>
        <v>53.919947338885557</v>
      </c>
      <c r="BX434" s="16">
        <f t="shared" si="1762"/>
        <v>53.919947338885557</v>
      </c>
      <c r="BY434" s="16">
        <f t="shared" ref="BY434:CD434" si="1763">BY390/$BG$390*100</f>
        <v>53.919947338885557</v>
      </c>
      <c r="BZ434" s="16">
        <f t="shared" si="1763"/>
        <v>53.919947338885557</v>
      </c>
      <c r="CA434" s="16">
        <f t="shared" si="1763"/>
        <v>53.919947338885557</v>
      </c>
      <c r="CB434" s="16">
        <f t="shared" si="1763"/>
        <v>53.919947338885557</v>
      </c>
      <c r="CC434" s="16">
        <f t="shared" si="1763"/>
        <v>53.919947338885557</v>
      </c>
      <c r="CD434" s="16">
        <f t="shared" si="1763"/>
        <v>53.919947338885557</v>
      </c>
      <c r="CE434" s="101"/>
      <c r="DF434" s="258"/>
      <c r="DH434" s="492">
        <v>43.743561806092288</v>
      </c>
      <c r="DI434" s="236">
        <v>-0.55709438023776814</v>
      </c>
      <c r="DJ434" s="236">
        <v>-115.88490798032535</v>
      </c>
      <c r="DK434" s="236">
        <v>307.66643997192125</v>
      </c>
      <c r="DL434" s="236">
        <v>51.639630448932863</v>
      </c>
      <c r="DM434" s="236">
        <v>43.069305146838502</v>
      </c>
      <c r="DN434" s="236">
        <v>37.190391685721075</v>
      </c>
      <c r="DO434" s="236">
        <v>53.919947338885557</v>
      </c>
      <c r="DP434" s="236">
        <v>53.919947338885557</v>
      </c>
      <c r="DQ434" s="258">
        <v>53.919947338885557</v>
      </c>
      <c r="DR434" s="258">
        <v>53.919947338885557</v>
      </c>
      <c r="DS434" s="258">
        <v>53.919947338885557</v>
      </c>
      <c r="DT434" s="258">
        <v>53.919947338885557</v>
      </c>
      <c r="DU434" s="258">
        <v>53.919947338885557</v>
      </c>
      <c r="DV434" s="258">
        <v>53.919947338885557</v>
      </c>
      <c r="DW434" s="258">
        <v>53.919947338885557</v>
      </c>
      <c r="DX434" s="258">
        <v>53.919947338885557</v>
      </c>
      <c r="DY434" s="258">
        <v>53.919947338885557</v>
      </c>
    </row>
    <row r="435" spans="1:130">
      <c r="A435" s="197"/>
      <c r="B435" s="3" t="s">
        <v>4601</v>
      </c>
      <c r="BG435" s="1">
        <f>BG433/BG434</f>
        <v>1</v>
      </c>
      <c r="BH435" s="1">
        <f t="shared" ref="BH435:BQ435" si="1764">BH433/BH434</f>
        <v>0.78135966301234827</v>
      </c>
      <c r="BI435" s="1">
        <f t="shared" si="1764"/>
        <v>33.566664943488938</v>
      </c>
      <c r="BJ435" s="1">
        <f t="shared" si="1764"/>
        <v>2.3804276375436282</v>
      </c>
      <c r="BK435" s="1">
        <f t="shared" si="1764"/>
        <v>1.8431779321339494</v>
      </c>
      <c r="BL435" s="1">
        <f t="shared" si="1764"/>
        <v>0.9204559681963399</v>
      </c>
      <c r="BM435" s="1">
        <f t="shared" si="1764"/>
        <v>-4.2270394760557117</v>
      </c>
      <c r="BN435" s="1">
        <f t="shared" si="1764"/>
        <v>122.01586220440336</v>
      </c>
      <c r="BO435" s="1">
        <f t="shared" si="1764"/>
        <v>0.60059559456843981</v>
      </c>
      <c r="BP435" s="1">
        <f t="shared" si="1764"/>
        <v>0.84272241327143549</v>
      </c>
      <c r="BQ435" s="1">
        <f t="shared" si="1764"/>
        <v>0.94578276735821909</v>
      </c>
      <c r="BR435" s="1">
        <f>BR433/BR434</f>
        <v>0.67180084275469787</v>
      </c>
      <c r="BS435" s="1">
        <f>BS433/BS434</f>
        <v>0.84882537030676686</v>
      </c>
      <c r="BT435" s="1">
        <f>BT433/BT434</f>
        <v>0.26537125575199344</v>
      </c>
      <c r="BU435" s="1">
        <f>BU433/BU434</f>
        <v>0.15637263677005087</v>
      </c>
      <c r="BV435" s="1">
        <f>BV433/BV434</f>
        <v>0.16002959867031713</v>
      </c>
      <c r="BW435" s="1">
        <f t="shared" ref="BW435:BX435" si="1765">BW433/BW434</f>
        <v>0.1637498683257822</v>
      </c>
      <c r="BX435" s="1">
        <f t="shared" si="1765"/>
        <v>0.1675339867728767</v>
      </c>
      <c r="BY435" s="1">
        <f t="shared" ref="BY435:CD435" si="1766">BY433/BY434</f>
        <v>0.17138245845182581</v>
      </c>
      <c r="BZ435" s="1">
        <f t="shared" si="1766"/>
        <v>0.55254161390976142</v>
      </c>
      <c r="CA435" s="1">
        <f t="shared" si="1766"/>
        <v>0.55591927817061548</v>
      </c>
      <c r="CB435" s="1">
        <f t="shared" si="1766"/>
        <v>0.55911642010522467</v>
      </c>
      <c r="CC435" s="1">
        <f t="shared" si="1766"/>
        <v>0.56214030511227953</v>
      </c>
      <c r="CD435" s="1">
        <f t="shared" si="1766"/>
        <v>0.56499817874836344</v>
      </c>
      <c r="CE435" s="101"/>
      <c r="DF435" s="258"/>
      <c r="DH435" s="492">
        <v>0.9204559681963399</v>
      </c>
      <c r="DI435" s="236">
        <v>122.01586220440336</v>
      </c>
      <c r="DJ435" s="236">
        <v>0.60059559456843981</v>
      </c>
      <c r="DK435" s="236">
        <v>0.84272241327143549</v>
      </c>
      <c r="DL435" s="236">
        <v>0.94578276735821909</v>
      </c>
      <c r="DM435" s="236">
        <v>0.67180084275469787</v>
      </c>
      <c r="DN435" s="236">
        <v>0.84882537030676686</v>
      </c>
      <c r="DO435" s="236">
        <v>0.26537125575199344</v>
      </c>
      <c r="DP435" s="236">
        <v>0.15637263677005087</v>
      </c>
      <c r="DQ435" s="258">
        <v>0.16002959867031713</v>
      </c>
      <c r="DR435" s="258">
        <v>0.1637498683257822</v>
      </c>
      <c r="DS435" s="258">
        <v>0.1675339867728767</v>
      </c>
      <c r="DT435" s="258">
        <v>0.17138245845182581</v>
      </c>
      <c r="DU435" s="258">
        <v>0.55254161390976142</v>
      </c>
      <c r="DV435" s="258">
        <v>0.55591927817061548</v>
      </c>
      <c r="DW435" s="258">
        <v>0.55911642010522467</v>
      </c>
      <c r="DX435" s="258">
        <v>0.56214030511227953</v>
      </c>
      <c r="DY435" s="258">
        <v>0.56499817874836344</v>
      </c>
    </row>
    <row r="436" spans="1:130">
      <c r="A436" s="197"/>
      <c r="CE436" s="101"/>
      <c r="DF436" s="258"/>
    </row>
    <row r="437" spans="1:130">
      <c r="A437" s="197"/>
      <c r="CE437" s="101"/>
      <c r="DF437" s="258"/>
    </row>
    <row r="438" spans="1:130" hidden="1">
      <c r="A438" s="3" t="s">
        <v>4234</v>
      </c>
      <c r="B438" s="471" t="str">
        <f t="shared" ref="B438:B443" si="1767">B386</f>
        <v>KERNGEGEVENS</v>
      </c>
      <c r="D438" s="3"/>
      <c r="E438" s="3"/>
      <c r="F438" s="3">
        <f>F6</f>
        <v>1954</v>
      </c>
      <c r="G438" s="3">
        <f t="shared" ref="G438:AK438" si="1768">G6</f>
        <v>1955</v>
      </c>
      <c r="H438" s="3">
        <f t="shared" si="1768"/>
        <v>1956</v>
      </c>
      <c r="I438" s="3">
        <f t="shared" si="1768"/>
        <v>1957</v>
      </c>
      <c r="J438" s="3">
        <f t="shared" si="1768"/>
        <v>1958</v>
      </c>
      <c r="K438" s="3">
        <f t="shared" si="1768"/>
        <v>1959</v>
      </c>
      <c r="L438" s="3">
        <f t="shared" si="1768"/>
        <v>1960</v>
      </c>
      <c r="M438" s="3">
        <f t="shared" si="1768"/>
        <v>1961</v>
      </c>
      <c r="N438" s="3">
        <f t="shared" si="1768"/>
        <v>1962</v>
      </c>
      <c r="O438" s="3">
        <f t="shared" si="1768"/>
        <v>1963</v>
      </c>
      <c r="P438" s="3">
        <f t="shared" si="1768"/>
        <v>1964</v>
      </c>
      <c r="Q438" s="3">
        <f t="shared" si="1768"/>
        <v>1965</v>
      </c>
      <c r="R438" s="3">
        <f t="shared" si="1768"/>
        <v>1966</v>
      </c>
      <c r="S438" s="3">
        <f t="shared" si="1768"/>
        <v>1967</v>
      </c>
      <c r="T438" s="3">
        <f t="shared" si="1768"/>
        <v>1968</v>
      </c>
      <c r="U438" s="3">
        <f t="shared" si="1768"/>
        <v>1969</v>
      </c>
      <c r="V438" s="3">
        <f t="shared" si="1768"/>
        <v>1970</v>
      </c>
      <c r="W438" s="3">
        <f t="shared" si="1768"/>
        <v>1971</v>
      </c>
      <c r="X438" s="3">
        <f t="shared" si="1768"/>
        <v>1972</v>
      </c>
      <c r="Y438" s="3">
        <f t="shared" si="1768"/>
        <v>1973</v>
      </c>
      <c r="Z438" s="3">
        <f t="shared" si="1768"/>
        <v>1974</v>
      </c>
      <c r="AA438" s="3">
        <f t="shared" si="1768"/>
        <v>1975</v>
      </c>
      <c r="AB438" s="3">
        <f t="shared" si="1768"/>
        <v>1976</v>
      </c>
      <c r="AC438" s="3">
        <f t="shared" si="1768"/>
        <v>1977</v>
      </c>
      <c r="AD438" s="3">
        <f t="shared" si="1768"/>
        <v>1978</v>
      </c>
      <c r="AE438" s="3">
        <f t="shared" si="1768"/>
        <v>1979</v>
      </c>
      <c r="AF438" s="3">
        <f t="shared" si="1768"/>
        <v>1980</v>
      </c>
      <c r="AG438" s="3">
        <f t="shared" si="1768"/>
        <v>1981</v>
      </c>
      <c r="AH438" s="3">
        <f t="shared" si="1768"/>
        <v>1982</v>
      </c>
      <c r="AI438" s="3">
        <f t="shared" si="1768"/>
        <v>1983</v>
      </c>
      <c r="AJ438" s="3">
        <f t="shared" si="1768"/>
        <v>1984</v>
      </c>
      <c r="AK438" s="3">
        <f t="shared" si="1768"/>
        <v>1985</v>
      </c>
      <c r="AL438" s="3">
        <f t="shared" ref="AL438:BJ438" si="1769">AL386</f>
        <v>1986</v>
      </c>
      <c r="AM438" s="3">
        <f t="shared" si="1769"/>
        <v>1987</v>
      </c>
      <c r="AN438" s="3">
        <f t="shared" si="1769"/>
        <v>1988</v>
      </c>
      <c r="AO438" s="3">
        <f t="shared" si="1769"/>
        <v>1989</v>
      </c>
      <c r="AP438" s="3">
        <f t="shared" si="1769"/>
        <v>1990</v>
      </c>
      <c r="AQ438" s="3">
        <f t="shared" si="1769"/>
        <v>1991</v>
      </c>
      <c r="AR438" s="3">
        <f t="shared" si="1769"/>
        <v>1992</v>
      </c>
      <c r="AS438" s="3">
        <f t="shared" si="1769"/>
        <v>1993</v>
      </c>
      <c r="AT438" s="3">
        <f t="shared" si="1769"/>
        <v>1994</v>
      </c>
      <c r="AU438" s="3">
        <f t="shared" si="1769"/>
        <v>1995</v>
      </c>
      <c r="AV438" s="3">
        <f t="shared" si="1769"/>
        <v>1996</v>
      </c>
      <c r="AW438" s="3">
        <f t="shared" si="1769"/>
        <v>1997</v>
      </c>
      <c r="AX438" s="3">
        <f t="shared" si="1769"/>
        <v>1998</v>
      </c>
      <c r="AY438" s="3">
        <f t="shared" si="1769"/>
        <v>1999</v>
      </c>
      <c r="AZ438" s="3">
        <f t="shared" si="1769"/>
        <v>2000</v>
      </c>
      <c r="BA438" s="3">
        <f t="shared" si="1769"/>
        <v>2001</v>
      </c>
      <c r="BB438" s="3">
        <f t="shared" si="1769"/>
        <v>2002</v>
      </c>
      <c r="BC438" s="3">
        <f t="shared" si="1769"/>
        <v>2003</v>
      </c>
      <c r="BD438" s="3">
        <f t="shared" si="1769"/>
        <v>2004</v>
      </c>
      <c r="BE438" s="3">
        <f t="shared" si="1769"/>
        <v>2005</v>
      </c>
      <c r="BF438" s="3">
        <f t="shared" si="1769"/>
        <v>2006</v>
      </c>
      <c r="BG438" s="3">
        <f t="shared" si="1769"/>
        <v>2007</v>
      </c>
      <c r="BH438" s="3">
        <f t="shared" si="1769"/>
        <v>2008</v>
      </c>
      <c r="BI438" s="3">
        <f t="shared" si="1769"/>
        <v>2009</v>
      </c>
      <c r="BJ438" s="3">
        <f t="shared" si="1769"/>
        <v>2010</v>
      </c>
      <c r="BK438" s="3">
        <f t="shared" ref="BK438:BP438" si="1770">BK386</f>
        <v>2011</v>
      </c>
      <c r="BL438" s="3">
        <f t="shared" si="1770"/>
        <v>2012</v>
      </c>
      <c r="BM438" s="3">
        <f t="shared" si="1770"/>
        <v>2013</v>
      </c>
      <c r="BN438" s="3">
        <f t="shared" si="1770"/>
        <v>2014</v>
      </c>
      <c r="BO438" s="3">
        <f t="shared" si="1770"/>
        <v>2015</v>
      </c>
      <c r="BP438" s="3">
        <f t="shared" si="1770"/>
        <v>2016</v>
      </c>
      <c r="BQ438" s="3">
        <f t="shared" ref="BQ438:BV438" si="1771">BQ386</f>
        <v>2017</v>
      </c>
      <c r="BR438" s="3">
        <f t="shared" si="1771"/>
        <v>2018</v>
      </c>
      <c r="BS438" s="3">
        <f t="shared" si="1771"/>
        <v>2019</v>
      </c>
      <c r="BT438" s="3">
        <f t="shared" si="1771"/>
        <v>2020</v>
      </c>
      <c r="BU438" s="3">
        <f t="shared" si="1771"/>
        <v>2021</v>
      </c>
      <c r="BV438" s="3">
        <f t="shared" si="1771"/>
        <v>2022</v>
      </c>
      <c r="BW438" s="3">
        <f t="shared" ref="BW438:BX438" si="1772">BW386</f>
        <v>2023</v>
      </c>
      <c r="BX438" s="3">
        <f t="shared" si="1772"/>
        <v>2024</v>
      </c>
      <c r="BY438" s="3">
        <f t="shared" ref="BY438:CD438" si="1773">BY386</f>
        <v>2025</v>
      </c>
      <c r="BZ438" s="3">
        <f t="shared" si="1773"/>
        <v>2026</v>
      </c>
      <c r="CA438" s="3">
        <f t="shared" si="1773"/>
        <v>2027</v>
      </c>
      <c r="CB438" s="3">
        <f t="shared" si="1773"/>
        <v>2028</v>
      </c>
      <c r="CC438" s="3">
        <f t="shared" si="1773"/>
        <v>2029</v>
      </c>
      <c r="CD438" s="3">
        <f t="shared" si="1773"/>
        <v>2030</v>
      </c>
      <c r="CE438" s="101" t="str">
        <f>CE6</f>
        <v>gem15-30</v>
      </c>
      <c r="CH438" s="235">
        <f t="shared" ref="CH438:CP438" si="1774">CH6</f>
        <v>2012</v>
      </c>
      <c r="CI438" s="235">
        <f t="shared" si="1774"/>
        <v>2013</v>
      </c>
      <c r="CJ438" s="235">
        <f t="shared" si="1774"/>
        <v>2014</v>
      </c>
      <c r="CK438" s="235">
        <f t="shared" si="1774"/>
        <v>2015</v>
      </c>
      <c r="CL438" s="235">
        <f t="shared" si="1774"/>
        <v>2016</v>
      </c>
      <c r="CM438" s="235">
        <f t="shared" si="1774"/>
        <v>2017</v>
      </c>
      <c r="CN438" s="235">
        <f t="shared" si="1774"/>
        <v>2018</v>
      </c>
      <c r="CO438" s="235">
        <f t="shared" si="1774"/>
        <v>2019</v>
      </c>
      <c r="CP438" s="235">
        <f t="shared" si="1774"/>
        <v>2020</v>
      </c>
      <c r="CQ438" s="235">
        <f t="shared" ref="CQ438:CZ438" si="1775">CQ6</f>
        <v>2021</v>
      </c>
      <c r="CR438" s="235">
        <f t="shared" si="1775"/>
        <v>2022</v>
      </c>
      <c r="CS438" s="235">
        <f t="shared" si="1775"/>
        <v>2023</v>
      </c>
      <c r="CT438" s="235">
        <f t="shared" si="1775"/>
        <v>2024</v>
      </c>
      <c r="CU438" s="235">
        <f t="shared" si="1775"/>
        <v>2025</v>
      </c>
      <c r="CV438" s="235">
        <f t="shared" si="1775"/>
        <v>2026</v>
      </c>
      <c r="CW438" s="235">
        <f t="shared" si="1775"/>
        <v>2027</v>
      </c>
      <c r="CX438" s="235">
        <f t="shared" si="1775"/>
        <v>2028</v>
      </c>
      <c r="CY438" s="235">
        <f t="shared" si="1775"/>
        <v>2029</v>
      </c>
      <c r="CZ438" s="235">
        <f t="shared" si="1775"/>
        <v>2030</v>
      </c>
      <c r="DF438" s="258"/>
      <c r="DG438" s="236">
        <v>2011</v>
      </c>
      <c r="DH438" s="492">
        <v>2012</v>
      </c>
      <c r="DI438" s="236">
        <v>2014</v>
      </c>
      <c r="DJ438" s="236">
        <v>2015</v>
      </c>
      <c r="DK438" s="236">
        <v>2016</v>
      </c>
      <c r="DL438" s="236">
        <v>2017</v>
      </c>
      <c r="DM438" s="236">
        <v>2018</v>
      </c>
      <c r="DN438" s="236">
        <v>2019</v>
      </c>
      <c r="DO438" s="236">
        <v>2020</v>
      </c>
      <c r="DP438" s="236">
        <v>2021</v>
      </c>
      <c r="DQ438" s="258">
        <v>2022</v>
      </c>
      <c r="DR438" s="258">
        <v>2023</v>
      </c>
      <c r="DS438" s="258">
        <v>2024</v>
      </c>
      <c r="DT438" s="258">
        <v>2025</v>
      </c>
      <c r="DU438" s="258">
        <v>2026</v>
      </c>
      <c r="DV438" s="258">
        <v>2027</v>
      </c>
      <c r="DW438" s="258">
        <v>2028</v>
      </c>
      <c r="DX438" s="258">
        <v>2029</v>
      </c>
      <c r="DY438" s="258">
        <v>2030</v>
      </c>
      <c r="DZ438" s="258" t="s">
        <v>4164</v>
      </c>
    </row>
    <row r="439" spans="1:130" hidden="1">
      <c r="A439" s="16" t="s">
        <v>4235</v>
      </c>
      <c r="B439" s="3" t="str">
        <f t="shared" si="1767"/>
        <v>Prijzen</v>
      </c>
      <c r="D439" s="3"/>
      <c r="E439" s="3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01">
        <f t="shared" si="1489"/>
        <v>0</v>
      </c>
      <c r="DF439" s="258"/>
      <c r="DZ439" s="258">
        <v>0</v>
      </c>
    </row>
    <row r="440" spans="1:130" hidden="1">
      <c r="A440" s="16" t="str">
        <f>A388</f>
        <v>Consumer price (change)</v>
      </c>
      <c r="B440" s="3" t="str">
        <f t="shared" si="1767"/>
        <v>consumptieprijs</v>
      </c>
      <c r="C440" s="3">
        <f t="shared" ref="C440:F443" si="1776">C388</f>
        <v>0</v>
      </c>
      <c r="D440" s="3" t="str">
        <f t="shared" si="1776"/>
        <v>%</v>
      </c>
      <c r="E440" s="3"/>
      <c r="F440" s="16">
        <f t="shared" si="1776"/>
        <v>2</v>
      </c>
      <c r="G440" s="16">
        <f t="shared" ref="G440:BQ442" si="1777">G388</f>
        <v>1</v>
      </c>
      <c r="H440" s="16">
        <f t="shared" si="1777"/>
        <v>1.9801980257034302</v>
      </c>
      <c r="I440" s="16">
        <f t="shared" si="1777"/>
        <v>8.7378644943237305</v>
      </c>
      <c r="J440" s="16">
        <f t="shared" si="1777"/>
        <v>0</v>
      </c>
      <c r="K440" s="16">
        <f t="shared" si="1777"/>
        <v>0</v>
      </c>
      <c r="L440" s="16">
        <f t="shared" si="1777"/>
        <v>2.6785714626312256</v>
      </c>
      <c r="M440" s="16">
        <f t="shared" si="1777"/>
        <v>1.7391303777694702</v>
      </c>
      <c r="N440" s="16">
        <f t="shared" si="1777"/>
        <v>0.85470086336135864</v>
      </c>
      <c r="O440" s="16">
        <f t="shared" si="1777"/>
        <v>0.8474576473236084</v>
      </c>
      <c r="P440" s="16">
        <f t="shared" si="1777"/>
        <v>0.8403361439704895</v>
      </c>
      <c r="Q440" s="16">
        <f t="shared" si="1777"/>
        <v>1.6666666269302368</v>
      </c>
      <c r="R440" s="16">
        <f t="shared" si="1777"/>
        <v>1.6393442153930664</v>
      </c>
      <c r="S440" s="16">
        <f t="shared" si="1777"/>
        <v>7.2580647468566895</v>
      </c>
      <c r="T440" s="16">
        <f t="shared" si="1777"/>
        <v>0</v>
      </c>
      <c r="U440" s="16">
        <f t="shared" si="1777"/>
        <v>3.0075187683105469</v>
      </c>
      <c r="V440" s="16">
        <f t="shared" si="1777"/>
        <v>1.7561022043228149</v>
      </c>
      <c r="W440" s="16">
        <f t="shared" si="1777"/>
        <v>-0.59355843067169189</v>
      </c>
      <c r="X440" s="16">
        <f t="shared" si="1777"/>
        <v>2.4373531341552734</v>
      </c>
      <c r="Y440" s="16">
        <f t="shared" si="1777"/>
        <v>12.087912559509277</v>
      </c>
      <c r="Z440" s="16">
        <f t="shared" si="1777"/>
        <v>15.959079742431641</v>
      </c>
      <c r="AA440" s="16">
        <f t="shared" si="1777"/>
        <v>7.4915452003479004</v>
      </c>
      <c r="AB440" s="16">
        <f t="shared" si="1777"/>
        <v>9.3085289001464844</v>
      </c>
      <c r="AC440" s="16">
        <f t="shared" si="1777"/>
        <v>8.8286819458007812</v>
      </c>
      <c r="AD440" s="16">
        <f t="shared" si="1777"/>
        <v>7.9859714508056641</v>
      </c>
      <c r="AE440" s="16">
        <f t="shared" si="1777"/>
        <v>13.954850196838379</v>
      </c>
      <c r="AF440" s="16">
        <f t="shared" si="1777"/>
        <v>13.208428382873535</v>
      </c>
      <c r="AG440" s="16">
        <f t="shared" si="1777"/>
        <v>8.7082128524780273</v>
      </c>
      <c r="AH440" s="16">
        <f t="shared" si="1777"/>
        <v>7.2892937660217285</v>
      </c>
      <c r="AI440" s="16">
        <f t="shared" si="1777"/>
        <v>4.3878273963928223</v>
      </c>
      <c r="AJ440" s="16">
        <f t="shared" si="1777"/>
        <v>4.1999998092651367</v>
      </c>
      <c r="AK440" s="16">
        <f t="shared" si="1777"/>
        <v>16.299999237060547</v>
      </c>
      <c r="AL440" s="16">
        <f t="shared" si="1777"/>
        <v>30.700000762939453</v>
      </c>
      <c r="AM440" s="16">
        <f t="shared" si="1777"/>
        <v>88.800003051757813</v>
      </c>
      <c r="AN440" s="16">
        <f t="shared" si="1777"/>
        <v>15</v>
      </c>
      <c r="AO440" s="16">
        <f t="shared" si="1777"/>
        <v>19.700000762939453</v>
      </c>
      <c r="AP440" s="16">
        <f t="shared" si="1777"/>
        <v>21.746293245469506</v>
      </c>
      <c r="AQ440" s="16">
        <f t="shared" si="1777"/>
        <v>25.968753844261293</v>
      </c>
      <c r="AR440" s="16">
        <f t="shared" si="1777"/>
        <v>43.662109374999993</v>
      </c>
      <c r="AS440" s="16">
        <f t="shared" si="1777"/>
        <v>143.51845557745909</v>
      </c>
      <c r="AT440" s="16">
        <f t="shared" si="1777"/>
        <v>368.47923179991062</v>
      </c>
      <c r="AU440" s="16">
        <f t="shared" si="1777"/>
        <v>235.55783301951999</v>
      </c>
      <c r="AV440" s="16">
        <f t="shared" si="1777"/>
        <v>-0.7</v>
      </c>
      <c r="AW440" s="16">
        <f t="shared" si="1777"/>
        <v>7.1</v>
      </c>
      <c r="AX440" s="16">
        <f t="shared" si="1777"/>
        <v>19</v>
      </c>
      <c r="AY440" s="16">
        <f t="shared" si="1777"/>
        <v>97.9</v>
      </c>
      <c r="AZ440" s="16">
        <f t="shared" si="1777"/>
        <v>59.3</v>
      </c>
      <c r="BA440" s="16">
        <f t="shared" si="1777"/>
        <v>38.6</v>
      </c>
      <c r="BB440" s="16">
        <f t="shared" si="1777"/>
        <v>15.5</v>
      </c>
      <c r="BC440" s="16">
        <f t="shared" si="1777"/>
        <v>22.7</v>
      </c>
      <c r="BD440" s="16">
        <f t="shared" si="1777"/>
        <v>10</v>
      </c>
      <c r="BE440" s="16">
        <f t="shared" si="1777"/>
        <v>9.5</v>
      </c>
      <c r="BF440" s="16">
        <f t="shared" si="1777"/>
        <v>11.2</v>
      </c>
      <c r="BG440" s="16">
        <f t="shared" si="1777"/>
        <v>6.4262793447052768</v>
      </c>
      <c r="BH440" s="16">
        <f t="shared" si="1777"/>
        <v>14.702848528128264</v>
      </c>
      <c r="BI440" s="16">
        <f t="shared" si="1777"/>
        <v>-0.19406604311096309</v>
      </c>
      <c r="BJ440" s="16">
        <f t="shared" si="1777"/>
        <v>6.9447872953180445</v>
      </c>
      <c r="BK440" s="1">
        <f t="shared" ref="BK440:BP440" si="1778">BK388</f>
        <v>17.70408555820573</v>
      </c>
      <c r="BL440" s="1">
        <f t="shared" si="1778"/>
        <v>5.0137272846123571</v>
      </c>
      <c r="BM440" s="1">
        <f t="shared" si="1778"/>
        <v>1.9309056956115844</v>
      </c>
      <c r="BN440" s="1">
        <f t="shared" si="1778"/>
        <v>3.3697298353607907</v>
      </c>
      <c r="BO440" s="1">
        <f t="shared" si="1778"/>
        <v>6.9</v>
      </c>
      <c r="BP440" s="1">
        <f t="shared" ca="1" si="1778"/>
        <v>36.355508223363913</v>
      </c>
      <c r="BQ440" s="1">
        <f t="shared" ca="1" si="1777"/>
        <v>11.415029893225288</v>
      </c>
      <c r="BR440" s="1">
        <f t="shared" ref="BR440:BS443" ca="1" si="1779">BR388</f>
        <v>5.2989819773361937</v>
      </c>
      <c r="BS440" s="1">
        <f t="shared" ca="1" si="1779"/>
        <v>3.0289202942350908</v>
      </c>
      <c r="BT440" s="1">
        <f t="shared" ref="BT440:BU443" ca="1" si="1780">BT388</f>
        <v>3.4377051520660764</v>
      </c>
      <c r="BU440" s="1">
        <f t="shared" ca="1" si="1780"/>
        <v>3.5632337731411203</v>
      </c>
      <c r="BV440" s="1">
        <f ca="1">BV388</f>
        <v>3.5957763287793041</v>
      </c>
      <c r="BW440" s="1">
        <f t="shared" ref="BW440:BX440" ca="1" si="1781">BW388</f>
        <v>3.6133304026611688</v>
      </c>
      <c r="BX440" s="1">
        <f t="shared" ca="1" si="1781"/>
        <v>3.595798877852789</v>
      </c>
      <c r="BY440" s="1">
        <f t="shared" ref="BY440:CD440" ca="1" si="1782">BY388</f>
        <v>3.5724579753935144</v>
      </c>
      <c r="BZ440" s="1">
        <f t="shared" ca="1" si="1782"/>
        <v>3.5543549220490229</v>
      </c>
      <c r="CA440" s="1">
        <f t="shared" ca="1" si="1782"/>
        <v>3.5502200406161348</v>
      </c>
      <c r="CB440" s="1">
        <f t="shared" ca="1" si="1782"/>
        <v>3.5505695900456731</v>
      </c>
      <c r="CC440" s="1">
        <f t="shared" ca="1" si="1782"/>
        <v>3.5415276278586445</v>
      </c>
      <c r="CD440" s="1">
        <f t="shared" ca="1" si="1782"/>
        <v>3.5327192142120261</v>
      </c>
      <c r="CE440" s="101">
        <f t="shared" ca="1" si="1489"/>
        <v>6.3816333933022475</v>
      </c>
      <c r="CG440" s="235">
        <f t="shared" ref="CG440:CG467" si="1783">BK440-DG440</f>
        <v>-1.6684931207322506E-2</v>
      </c>
      <c r="CH440" s="235">
        <f t="shared" ref="CH440:CH467" si="1784">BL440-DH440</f>
        <v>0</v>
      </c>
      <c r="CI440" s="235" t="e">
        <f>BM440-#REF!</f>
        <v>#REF!</v>
      </c>
      <c r="CJ440" s="235">
        <f t="shared" ref="CJ440:CJ467" si="1785">BN440-DI440</f>
        <v>0</v>
      </c>
      <c r="CK440" s="276">
        <f t="shared" ref="CK440:CK467" si="1786">BO440-DJ440</f>
        <v>0</v>
      </c>
      <c r="CL440" s="276">
        <f t="shared" ref="CL440:CL467" ca="1" si="1787">BP440-DK440</f>
        <v>0</v>
      </c>
      <c r="CM440" s="276">
        <f t="shared" ref="CM440:CM467" ca="1" si="1788">BQ440-DL440</f>
        <v>0</v>
      </c>
      <c r="CN440" s="276">
        <f t="shared" ref="CN440:CN467" ca="1" si="1789">BR440-DM440</f>
        <v>0</v>
      </c>
      <c r="CO440" s="276">
        <f t="shared" ref="CO440:CO467" ca="1" si="1790">BS440-DN440</f>
        <v>0</v>
      </c>
      <c r="CP440" s="276">
        <f t="shared" ref="CP440:CP467" ca="1" si="1791">BT440-DO440</f>
        <v>7.9936057773011271E-15</v>
      </c>
      <c r="CQ440" s="276">
        <f t="shared" ref="CQ440:CQ467" ca="1" si="1792">BU440-DP440</f>
        <v>-7.9936057773011271E-15</v>
      </c>
      <c r="CR440" s="276">
        <f t="shared" ref="CR440:CR467" ca="1" si="1793">BV440-DQ440</f>
        <v>-7.9936057773011271E-15</v>
      </c>
      <c r="CS440" s="276">
        <f t="shared" ref="CS440:CS467" ca="1" si="1794">BW440-DR440</f>
        <v>0</v>
      </c>
      <c r="CT440" s="235">
        <f t="shared" ref="CT440:CT467" ca="1" si="1795">BX440-DS440</f>
        <v>-3.5527136788005009E-15</v>
      </c>
      <c r="CU440" s="235">
        <f t="shared" ref="CU440:CU467" ca="1" si="1796">BY440-DT440</f>
        <v>1.9539925233402755E-14</v>
      </c>
      <c r="CV440" s="235">
        <f t="shared" ref="CV440:CV467" ca="1" si="1797">BZ440-DU440</f>
        <v>2.3092638912203256E-14</v>
      </c>
      <c r="CW440" s="235">
        <f t="shared" ref="CW440:CW467" ca="1" si="1798">CA440-DV440</f>
        <v>-3.9968028886505635E-14</v>
      </c>
      <c r="CX440" s="235">
        <f t="shared" ref="CX440:CX467" ca="1" si="1799">CB440-DW440</f>
        <v>-7.0166095156309893E-13</v>
      </c>
      <c r="CY440" s="235">
        <f t="shared" ref="CY440:CY467" ca="1" si="1800">CC440-DX440</f>
        <v>-6.6187055836053332E-12</v>
      </c>
      <c r="CZ440" s="235">
        <f t="shared" ref="CZ440:CZ467" ca="1" si="1801">CD440-DY440</f>
        <v>-4.5637271739451535E-11</v>
      </c>
      <c r="DF440" s="258"/>
      <c r="DG440" s="236">
        <v>17.720770489413052</v>
      </c>
      <c r="DH440" s="492">
        <v>5.0137272846123571</v>
      </c>
      <c r="DI440" s="236">
        <v>3.3697298353607907</v>
      </c>
      <c r="DJ440" s="236">
        <v>6.9</v>
      </c>
      <c r="DK440" s="236">
        <v>36.355508223363927</v>
      </c>
      <c r="DL440" s="236">
        <v>11.415029893225299</v>
      </c>
      <c r="DM440" s="236">
        <v>5.2989819773361893</v>
      </c>
      <c r="DN440" s="236">
        <v>3.0289202942350935</v>
      </c>
      <c r="DO440" s="236">
        <v>3.4377051520660684</v>
      </c>
      <c r="DP440" s="236">
        <v>3.5632337731411283</v>
      </c>
      <c r="DQ440" s="258">
        <v>3.5957763287793121</v>
      </c>
      <c r="DR440" s="258">
        <v>3.6133304026611688</v>
      </c>
      <c r="DS440" s="258">
        <v>3.5957988778527925</v>
      </c>
      <c r="DT440" s="258">
        <v>3.5724579753934949</v>
      </c>
      <c r="DU440" s="258">
        <v>3.5543549220489998</v>
      </c>
      <c r="DV440" s="258">
        <v>3.5502200406161748</v>
      </c>
      <c r="DW440" s="258">
        <v>3.5505695900463747</v>
      </c>
      <c r="DX440" s="258">
        <v>3.5415276278652632</v>
      </c>
      <c r="DY440" s="258">
        <v>3.5327192142576633</v>
      </c>
      <c r="DZ440" s="258">
        <v>5.9919821921664784</v>
      </c>
    </row>
    <row r="441" spans="1:130" hidden="1">
      <c r="A441" s="16" t="str">
        <f>A389</f>
        <v>Export price (change)</v>
      </c>
      <c r="B441" s="3" t="str">
        <f t="shared" si="1767"/>
        <v>uitvoerprijs</v>
      </c>
      <c r="C441" s="3">
        <f t="shared" si="1776"/>
        <v>0</v>
      </c>
      <c r="D441" s="3" t="str">
        <f t="shared" si="1776"/>
        <v>%</v>
      </c>
      <c r="E441" s="3"/>
      <c r="F441" s="16">
        <f t="shared" si="1776"/>
        <v>0</v>
      </c>
      <c r="G441" s="16">
        <f t="shared" si="1777"/>
        <v>-100</v>
      </c>
      <c r="H441" s="16">
        <f t="shared" si="1777"/>
        <v>-100</v>
      </c>
      <c r="I441" s="16">
        <f t="shared" si="1777"/>
        <v>-100</v>
      </c>
      <c r="J441" s="16">
        <f t="shared" si="1777"/>
        <v>0</v>
      </c>
      <c r="K441" s="16">
        <f t="shared" si="1777"/>
        <v>-100</v>
      </c>
      <c r="L441" s="16">
        <f t="shared" si="1777"/>
        <v>-100</v>
      </c>
      <c r="M441" s="16">
        <f t="shared" si="1777"/>
        <v>-100</v>
      </c>
      <c r="N441" s="16">
        <f t="shared" si="1777"/>
        <v>-100</v>
      </c>
      <c r="O441" s="16">
        <f t="shared" si="1777"/>
        <v>-100</v>
      </c>
      <c r="P441" s="16">
        <f t="shared" si="1777"/>
        <v>-100</v>
      </c>
      <c r="Q441" s="16">
        <f t="shared" si="1777"/>
        <v>-100</v>
      </c>
      <c r="R441" s="16">
        <f t="shared" si="1777"/>
        <v>-100</v>
      </c>
      <c r="S441" s="16">
        <f t="shared" si="1777"/>
        <v>-100</v>
      </c>
      <c r="T441" s="16">
        <f t="shared" si="1777"/>
        <v>-100</v>
      </c>
      <c r="U441" s="16">
        <f t="shared" si="1777"/>
        <v>-100</v>
      </c>
      <c r="V441" s="16">
        <f t="shared" si="1777"/>
        <v>-100</v>
      </c>
      <c r="W441" s="16">
        <f t="shared" si="1777"/>
        <v>-100</v>
      </c>
      <c r="X441" s="16">
        <f t="shared" si="1777"/>
        <v>-100</v>
      </c>
      <c r="Y441" s="16">
        <f t="shared" si="1777"/>
        <v>-100</v>
      </c>
      <c r="Z441" s="16">
        <f t="shared" si="1777"/>
        <v>-100</v>
      </c>
      <c r="AA441" s="16">
        <f t="shared" si="1777"/>
        <v>-100</v>
      </c>
      <c r="AB441" s="16">
        <f t="shared" si="1777"/>
        <v>-100</v>
      </c>
      <c r="AC441" s="16">
        <f t="shared" si="1777"/>
        <v>-100</v>
      </c>
      <c r="AD441" s="16">
        <f t="shared" si="1777"/>
        <v>-100</v>
      </c>
      <c r="AE441" s="16">
        <f t="shared" si="1777"/>
        <v>-100</v>
      </c>
      <c r="AF441" s="16">
        <f t="shared" si="1777"/>
        <v>-100</v>
      </c>
      <c r="AG441" s="16">
        <f t="shared" si="1777"/>
        <v>-100</v>
      </c>
      <c r="AH441" s="16">
        <f t="shared" si="1777"/>
        <v>-100</v>
      </c>
      <c r="AI441" s="16">
        <f t="shared" si="1777"/>
        <v>-100</v>
      </c>
      <c r="AJ441" s="16">
        <f t="shared" si="1777"/>
        <v>-100</v>
      </c>
      <c r="AK441" s="16">
        <f t="shared" si="1777"/>
        <v>-100</v>
      </c>
      <c r="AL441" s="16">
        <f t="shared" si="1777"/>
        <v>-100</v>
      </c>
      <c r="AM441" s="16">
        <f t="shared" si="1777"/>
        <v>-100</v>
      </c>
      <c r="AN441" s="16">
        <f t="shared" si="1777"/>
        <v>-100</v>
      </c>
      <c r="AO441" s="16">
        <f t="shared" si="1777"/>
        <v>-100</v>
      </c>
      <c r="AP441" s="16">
        <f t="shared" si="1777"/>
        <v>-11.020949769520294</v>
      </c>
      <c r="AQ441" s="16">
        <f t="shared" si="1777"/>
        <v>-18.051064720265074</v>
      </c>
      <c r="AR441" s="16">
        <f t="shared" si="1777"/>
        <v>-2.7425586909587296</v>
      </c>
      <c r="AS441" s="16">
        <f t="shared" si="1777"/>
        <v>231.89930751960651</v>
      </c>
      <c r="AT441" s="16">
        <f t="shared" si="1777"/>
        <v>2730.8110036201206</v>
      </c>
      <c r="AU441" s="16">
        <f t="shared" si="1777"/>
        <v>201.92827198668567</v>
      </c>
      <c r="AV441" s="16">
        <f t="shared" si="1777"/>
        <v>-6.7599244933730489</v>
      </c>
      <c r="AW441" s="16">
        <f t="shared" si="1777"/>
        <v>-2.9192909841230796</v>
      </c>
      <c r="AX441" s="16">
        <f t="shared" si="1777"/>
        <v>-11.903977550842558</v>
      </c>
      <c r="AY441" s="16">
        <f t="shared" si="1777"/>
        <v>108.66930337321551</v>
      </c>
      <c r="AZ441" s="16">
        <f t="shared" si="1777"/>
        <v>66.10221465011243</v>
      </c>
      <c r="BA441" s="16">
        <f t="shared" si="1777"/>
        <v>54.894307933115137</v>
      </c>
      <c r="BB441" s="16">
        <f t="shared" si="1777"/>
        <v>-1.5969552135791099</v>
      </c>
      <c r="BC441" s="16">
        <f t="shared" si="1777"/>
        <v>19.751999647820639</v>
      </c>
      <c r="BD441" s="16">
        <f t="shared" si="1777"/>
        <v>23.974977191511606</v>
      </c>
      <c r="BE441" s="16">
        <f t="shared" si="1777"/>
        <v>9.0180532268404168</v>
      </c>
      <c r="BF441" s="16">
        <f t="shared" si="1777"/>
        <v>26.348055602624278</v>
      </c>
      <c r="BG441" s="16">
        <f t="shared" si="1777"/>
        <v>9.1385854773770028</v>
      </c>
      <c r="BH441" s="16">
        <f t="shared" si="1777"/>
        <v>11.629238208087145</v>
      </c>
      <c r="BI441" s="16">
        <f t="shared" si="1777"/>
        <v>-10.391835928831405</v>
      </c>
      <c r="BJ441" s="16">
        <f t="shared" si="1777"/>
        <v>31.32974326733504</v>
      </c>
      <c r="BK441" s="1">
        <f t="shared" ref="BK441:BP441" si="1802">BK389</f>
        <v>33.068402160241028</v>
      </c>
      <c r="BL441" s="1">
        <f t="shared" si="1802"/>
        <v>3.6795621159532166</v>
      </c>
      <c r="BM441" s="1">
        <f t="shared" si="1802"/>
        <v>-10.787656362292664</v>
      </c>
      <c r="BN441" s="1">
        <f t="shared" si="1802"/>
        <v>-6.2118941810674011</v>
      </c>
      <c r="BO441" s="1">
        <f t="shared" si="1802"/>
        <v>-6.3604523129361601</v>
      </c>
      <c r="BP441" s="1">
        <f t="shared" si="1802"/>
        <v>23.69428725895839</v>
      </c>
      <c r="BQ441" s="1">
        <f t="shared" si="1777"/>
        <v>4.4632735038023119</v>
      </c>
      <c r="BR441" s="1">
        <f t="shared" si="1779"/>
        <v>2.6441579102857826</v>
      </c>
      <c r="BS441" s="1">
        <f t="shared" si="1779"/>
        <v>2.8848821881009679</v>
      </c>
      <c r="BT441" s="1">
        <f t="shared" si="1780"/>
        <v>1.307622296704114</v>
      </c>
      <c r="BU441" s="1">
        <f t="shared" si="1780"/>
        <v>0.77052936971451214</v>
      </c>
      <c r="BV441" s="1">
        <f>BV389</f>
        <v>0.78854912436139291</v>
      </c>
      <c r="BW441" s="1">
        <f t="shared" ref="BW441:BX441" si="1803">BW389</f>
        <v>0.8068808292683638</v>
      </c>
      <c r="BX441" s="1">
        <f t="shared" si="1803"/>
        <v>0.82552715040351554</v>
      </c>
      <c r="BY441" s="1">
        <f t="shared" ref="BY441:CD441" si="1804">BY389</f>
        <v>0.84449057340638678</v>
      </c>
      <c r="BZ441" s="1">
        <f t="shared" si="1804"/>
        <v>2.7226601168911735</v>
      </c>
      <c r="CA441" s="1">
        <f t="shared" si="1804"/>
        <v>2.7393036267006954</v>
      </c>
      <c r="CB441" s="1">
        <f t="shared" si="1804"/>
        <v>2.7550576090511036</v>
      </c>
      <c r="CC441" s="1">
        <f t="shared" si="1804"/>
        <v>2.7699578643432199</v>
      </c>
      <c r="CD441" s="1">
        <f t="shared" si="1804"/>
        <v>2.7840400952054756</v>
      </c>
      <c r="CE441" s="101">
        <f t="shared" si="1489"/>
        <v>2.9025479502663281</v>
      </c>
      <c r="CG441" s="235">
        <f t="shared" si="1783"/>
        <v>2.4090440203754042</v>
      </c>
      <c r="CH441" s="235">
        <f t="shared" si="1784"/>
        <v>0</v>
      </c>
      <c r="CI441" s="235" t="e">
        <f>BM441-#REF!</f>
        <v>#REF!</v>
      </c>
      <c r="CJ441" s="235">
        <f t="shared" si="1785"/>
        <v>0</v>
      </c>
      <c r="CK441" s="235">
        <f t="shared" si="1786"/>
        <v>0</v>
      </c>
      <c r="CL441" s="235">
        <f t="shared" si="1787"/>
        <v>0</v>
      </c>
      <c r="CM441" s="235">
        <f t="shared" si="1788"/>
        <v>0</v>
      </c>
      <c r="CN441" s="235">
        <f t="shared" si="1789"/>
        <v>0</v>
      </c>
      <c r="CO441" s="235">
        <f t="shared" si="1790"/>
        <v>0</v>
      </c>
      <c r="CP441" s="235">
        <f t="shared" si="1791"/>
        <v>0</v>
      </c>
      <c r="CQ441" s="235">
        <f t="shared" si="1792"/>
        <v>0</v>
      </c>
      <c r="CR441" s="235">
        <f t="shared" si="1793"/>
        <v>0</v>
      </c>
      <c r="CS441" s="235">
        <f t="shared" si="1794"/>
        <v>0</v>
      </c>
      <c r="CT441" s="235">
        <f t="shared" si="1795"/>
        <v>0</v>
      </c>
      <c r="CU441" s="235">
        <f t="shared" si="1796"/>
        <v>0</v>
      </c>
      <c r="CV441" s="235">
        <f t="shared" si="1797"/>
        <v>0</v>
      </c>
      <c r="CW441" s="235">
        <f t="shared" si="1798"/>
        <v>0</v>
      </c>
      <c r="CX441" s="235">
        <f t="shared" si="1799"/>
        <v>0</v>
      </c>
      <c r="CY441" s="235">
        <f t="shared" si="1800"/>
        <v>0</v>
      </c>
      <c r="CZ441" s="235">
        <f t="shared" si="1801"/>
        <v>0</v>
      </c>
      <c r="DF441" s="258"/>
      <c r="DG441" s="236">
        <v>30.659358139865624</v>
      </c>
      <c r="DH441" s="492">
        <v>3.6795621159532166</v>
      </c>
      <c r="DI441" s="236">
        <v>-6.2118941810674011</v>
      </c>
      <c r="DJ441" s="236">
        <v>-6.3604523129361601</v>
      </c>
      <c r="DK441" s="236">
        <v>23.69428725895839</v>
      </c>
      <c r="DL441" s="236">
        <v>4.4632735038023119</v>
      </c>
      <c r="DM441" s="236">
        <v>2.6441579102857826</v>
      </c>
      <c r="DN441" s="236">
        <v>2.8848821881009679</v>
      </c>
      <c r="DO441" s="236">
        <v>1.307622296704114</v>
      </c>
      <c r="DP441" s="236">
        <v>0.77052936971451214</v>
      </c>
      <c r="DQ441" s="258">
        <v>0.78854912436139291</v>
      </c>
      <c r="DR441" s="258">
        <v>0.8068808292683638</v>
      </c>
      <c r="DS441" s="258">
        <v>0.82552715040351554</v>
      </c>
      <c r="DT441" s="258">
        <v>0.84449057340638678</v>
      </c>
      <c r="DU441" s="258">
        <v>2.7226601168911735</v>
      </c>
      <c r="DV441" s="258">
        <v>2.7393036267006954</v>
      </c>
      <c r="DW441" s="258">
        <v>2.7550576090511036</v>
      </c>
      <c r="DX441" s="258">
        <v>2.7699578643432199</v>
      </c>
      <c r="DY441" s="258">
        <v>2.7840400952054756</v>
      </c>
      <c r="DZ441" s="258">
        <v>3.3775629367446283</v>
      </c>
    </row>
    <row r="442" spans="1:130" hidden="1">
      <c r="A442" s="16" t="str">
        <f>A390</f>
        <v>Import price (change)</v>
      </c>
      <c r="B442" s="3" t="str">
        <f t="shared" si="1767"/>
        <v>invoerprijs</v>
      </c>
      <c r="C442" s="3">
        <f t="shared" si="1776"/>
        <v>0</v>
      </c>
      <c r="D442" s="3" t="str">
        <f t="shared" si="1776"/>
        <v>%</v>
      </c>
      <c r="E442" s="3"/>
      <c r="F442" s="16">
        <f t="shared" si="1776"/>
        <v>1.8</v>
      </c>
      <c r="G442" s="16">
        <f t="shared" si="1777"/>
        <v>0.5</v>
      </c>
      <c r="H442" s="16">
        <f t="shared" si="1777"/>
        <v>3.0221829414367676</v>
      </c>
      <c r="I442" s="16">
        <f t="shared" si="1777"/>
        <v>2.2277793884277344</v>
      </c>
      <c r="J442" s="16">
        <f t="shared" si="1777"/>
        <v>-1.626257061958313</v>
      </c>
      <c r="K442" s="16">
        <f t="shared" si="1777"/>
        <v>-0.89552080631256104</v>
      </c>
      <c r="L442" s="16">
        <f t="shared" si="1777"/>
        <v>0.76559323072433472</v>
      </c>
      <c r="M442" s="16">
        <f t="shared" si="1777"/>
        <v>1.8154700994491577</v>
      </c>
      <c r="N442" s="16">
        <f t="shared" si="1777"/>
        <v>0.49572989344596863</v>
      </c>
      <c r="O442" s="16">
        <f t="shared" si="1777"/>
        <v>0.31003996729850769</v>
      </c>
      <c r="P442" s="16">
        <f t="shared" si="1777"/>
        <v>2.2613492012023926</v>
      </c>
      <c r="Q442" s="16">
        <f t="shared" si="1777"/>
        <v>1.6288275718688965</v>
      </c>
      <c r="R442" s="16">
        <f t="shared" si="1777"/>
        <v>1.1620020866394043</v>
      </c>
      <c r="S442" s="16">
        <f t="shared" si="1777"/>
        <v>1.3401436805725098</v>
      </c>
      <c r="T442" s="16">
        <f t="shared" si="1777"/>
        <v>0.38416191935539246</v>
      </c>
      <c r="U442" s="16">
        <f t="shared" si="1777"/>
        <v>2.3576428890228271</v>
      </c>
      <c r="V442" s="16">
        <f t="shared" si="1777"/>
        <v>4.3976931571960449</v>
      </c>
      <c r="W442" s="16">
        <f t="shared" si="1777"/>
        <v>6.8055276870727539</v>
      </c>
      <c r="X442" s="16">
        <f t="shared" si="1777"/>
        <v>1.0620815753936768</v>
      </c>
      <c r="Y442" s="16">
        <f t="shared" si="1777"/>
        <v>23.262006759643555</v>
      </c>
      <c r="Z442" s="16">
        <f t="shared" si="1777"/>
        <v>51.418785095214844</v>
      </c>
      <c r="AA442" s="16">
        <f t="shared" si="1777"/>
        <v>9.6750164031982422</v>
      </c>
      <c r="AB442" s="16">
        <f t="shared" si="1777"/>
        <v>2.2336657047271729</v>
      </c>
      <c r="AC442" s="16">
        <f t="shared" si="1777"/>
        <v>8.1954889297485352</v>
      </c>
      <c r="AD442" s="16">
        <f t="shared" si="1777"/>
        <v>8.4418277740478516</v>
      </c>
      <c r="AE442" s="16">
        <f t="shared" si="1777"/>
        <v>21.756065368652344</v>
      </c>
      <c r="AF442" s="16">
        <f t="shared" si="1777"/>
        <v>29.74290657043457</v>
      </c>
      <c r="AG442" s="16">
        <f t="shared" si="1777"/>
        <v>5.1207904815673828</v>
      </c>
      <c r="AH442" s="16">
        <f t="shared" si="1777"/>
        <v>-1.4226530790328979</v>
      </c>
      <c r="AI442" s="16">
        <f t="shared" si="1777"/>
        <v>-5.799159049987793</v>
      </c>
      <c r="AJ442" s="16">
        <f t="shared" si="1777"/>
        <v>-1.4299999475479126</v>
      </c>
      <c r="AK442" s="16">
        <f t="shared" si="1777"/>
        <v>4.3000001907348633</v>
      </c>
      <c r="AL442" s="16">
        <f t="shared" si="1777"/>
        <v>2.3299999237060547</v>
      </c>
      <c r="AM442" s="16">
        <f t="shared" si="1777"/>
        <v>66.589996337890625</v>
      </c>
      <c r="AN442" s="16">
        <f t="shared" si="1777"/>
        <v>12.100000381469727</v>
      </c>
      <c r="AO442" s="16">
        <f t="shared" si="1777"/>
        <v>21</v>
      </c>
      <c r="AP442" s="16">
        <f t="shared" si="1777"/>
        <v>47</v>
      </c>
      <c r="AQ442" s="16">
        <f t="shared" si="1777"/>
        <v>38.306300283925985</v>
      </c>
      <c r="AR442" s="16">
        <f t="shared" si="1777"/>
        <v>30.387615455445705</v>
      </c>
      <c r="AS442" s="16">
        <f t="shared" si="1777"/>
        <v>449.54631502796258</v>
      </c>
      <c r="AT442" s="16">
        <f t="shared" si="1777"/>
        <v>426.50594858796609</v>
      </c>
      <c r="AU442" s="16">
        <f t="shared" si="1777"/>
        <v>113.05936131309264</v>
      </c>
      <c r="AV442" s="16">
        <f t="shared" si="1777"/>
        <v>-6</v>
      </c>
      <c r="AW442" s="16">
        <f t="shared" si="1777"/>
        <v>1.870674066222211E-2</v>
      </c>
      <c r="AX442" s="16">
        <f t="shared" si="1777"/>
        <v>0</v>
      </c>
      <c r="AY442" s="16">
        <f t="shared" si="1777"/>
        <v>116.45262866771448</v>
      </c>
      <c r="AZ442" s="16">
        <f t="shared" si="1777"/>
        <v>59.344518852335412</v>
      </c>
      <c r="BA442" s="16">
        <f t="shared" si="1777"/>
        <v>60.273813624983489</v>
      </c>
      <c r="BB442" s="16">
        <f t="shared" si="1777"/>
        <v>9.5020603613891144</v>
      </c>
      <c r="BC442" s="16">
        <f t="shared" si="1777"/>
        <v>26.146035492253837</v>
      </c>
      <c r="BD442" s="16">
        <f t="shared" si="1777"/>
        <v>19.087389010382807</v>
      </c>
      <c r="BE442" s="16">
        <f t="shared" si="1777"/>
        <v>10.644595339014602</v>
      </c>
      <c r="BF442" s="16">
        <f t="shared" si="1777"/>
        <v>8.265163698192854</v>
      </c>
      <c r="BG442" s="16">
        <f t="shared" si="1777"/>
        <v>8.8395932332093548</v>
      </c>
      <c r="BH442" s="16">
        <f t="shared" si="1777"/>
        <v>14.39638928051075</v>
      </c>
      <c r="BI442" s="16">
        <f t="shared" si="1777"/>
        <v>-0.29945901391304375</v>
      </c>
      <c r="BJ442" s="16">
        <f t="shared" si="1777"/>
        <v>12.730784144341271</v>
      </c>
      <c r="BK442" s="1">
        <f t="shared" ref="BK442:BP442" si="1805">BK390</f>
        <v>17.353986329017417</v>
      </c>
      <c r="BL442" s="1">
        <f t="shared" si="1805"/>
        <v>3.8667529293760854</v>
      </c>
      <c r="BM442" s="1">
        <f t="shared" si="1805"/>
        <v>2.4685623583623086</v>
      </c>
      <c r="BN442" s="1">
        <f t="shared" si="1805"/>
        <v>-4.924487713808734E-2</v>
      </c>
      <c r="BO442" s="1">
        <f t="shared" si="1805"/>
        <v>-10.243754484139728</v>
      </c>
      <c r="BP442" s="1">
        <f t="shared" si="1805"/>
        <v>27.196461808614071</v>
      </c>
      <c r="BQ442" s="1">
        <f t="shared" si="1777"/>
        <v>4.5647332788181867</v>
      </c>
      <c r="BR442" s="1">
        <f t="shared" si="1779"/>
        <v>3.8071513833502246</v>
      </c>
      <c r="BS442" s="1">
        <f t="shared" si="1779"/>
        <v>3.2874793468550547</v>
      </c>
      <c r="BT442" s="1">
        <f t="shared" si="1780"/>
        <v>4.7663040163181751</v>
      </c>
      <c r="BU442" s="1">
        <f t="shared" si="1780"/>
        <v>4.7663040163181751</v>
      </c>
      <c r="BV442" s="1">
        <f>BV390</f>
        <v>4.7663040163181751</v>
      </c>
      <c r="BW442" s="1">
        <f t="shared" ref="BW442:BX442" si="1806">BW390</f>
        <v>4.7663040163181751</v>
      </c>
      <c r="BX442" s="1">
        <f t="shared" si="1806"/>
        <v>4.7663040163181751</v>
      </c>
      <c r="BY442" s="1">
        <f t="shared" ref="BY442:CD442" si="1807">BY390</f>
        <v>4.7663040163181751</v>
      </c>
      <c r="BZ442" s="1">
        <f t="shared" si="1807"/>
        <v>4.7663040163181751</v>
      </c>
      <c r="CA442" s="1">
        <f t="shared" si="1807"/>
        <v>4.7663040163181751</v>
      </c>
      <c r="CB442" s="1">
        <f t="shared" si="1807"/>
        <v>4.7663040163181751</v>
      </c>
      <c r="CC442" s="1">
        <f t="shared" si="1807"/>
        <v>4.7663040163181751</v>
      </c>
      <c r="CD442" s="1">
        <f t="shared" si="1807"/>
        <v>4.7663040163181751</v>
      </c>
      <c r="CE442" s="101">
        <f t="shared" si="1489"/>
        <v>5.0650884695623573</v>
      </c>
      <c r="CG442" s="235">
        <f t="shared" si="1783"/>
        <v>-1.1358579293693936</v>
      </c>
      <c r="CH442" s="235">
        <f t="shared" si="1784"/>
        <v>0</v>
      </c>
      <c r="CI442" s="235" t="e">
        <f>BM442-#REF!</f>
        <v>#REF!</v>
      </c>
      <c r="CJ442" s="235">
        <f t="shared" si="1785"/>
        <v>0</v>
      </c>
      <c r="CK442" s="235">
        <f t="shared" si="1786"/>
        <v>0</v>
      </c>
      <c r="CL442" s="235">
        <f t="shared" si="1787"/>
        <v>0</v>
      </c>
      <c r="CM442" s="235">
        <f t="shared" si="1788"/>
        <v>0</v>
      </c>
      <c r="CN442" s="235">
        <f t="shared" si="1789"/>
        <v>0</v>
      </c>
      <c r="CO442" s="235">
        <f t="shared" si="1790"/>
        <v>0</v>
      </c>
      <c r="CP442" s="235">
        <f t="shared" si="1791"/>
        <v>0</v>
      </c>
      <c r="CQ442" s="235">
        <f t="shared" si="1792"/>
        <v>0</v>
      </c>
      <c r="CR442" s="235">
        <f t="shared" si="1793"/>
        <v>0</v>
      </c>
      <c r="CS442" s="235">
        <f t="shared" si="1794"/>
        <v>0</v>
      </c>
      <c r="CT442" s="235">
        <f t="shared" si="1795"/>
        <v>0</v>
      </c>
      <c r="CU442" s="235">
        <f t="shared" si="1796"/>
        <v>0</v>
      </c>
      <c r="CV442" s="235">
        <f t="shared" si="1797"/>
        <v>0</v>
      </c>
      <c r="CW442" s="235">
        <f t="shared" si="1798"/>
        <v>0</v>
      </c>
      <c r="CX442" s="235">
        <f t="shared" si="1799"/>
        <v>0</v>
      </c>
      <c r="CY442" s="235">
        <f t="shared" si="1800"/>
        <v>0</v>
      </c>
      <c r="CZ442" s="235">
        <f t="shared" si="1801"/>
        <v>0</v>
      </c>
      <c r="DF442" s="258"/>
      <c r="DG442" s="236">
        <v>18.48984425838681</v>
      </c>
      <c r="DH442" s="492">
        <v>3.8667529293760854</v>
      </c>
      <c r="DI442" s="236">
        <v>-4.924487713808734E-2</v>
      </c>
      <c r="DJ442" s="236">
        <v>-10.243754484139728</v>
      </c>
      <c r="DK442" s="236">
        <v>27.196461808614071</v>
      </c>
      <c r="DL442" s="236">
        <v>4.5647332788181867</v>
      </c>
      <c r="DM442" s="236">
        <v>3.8071513833502246</v>
      </c>
      <c r="DN442" s="236">
        <v>3.2874793468550547</v>
      </c>
      <c r="DO442" s="236">
        <v>4.7663040163181751</v>
      </c>
      <c r="DP442" s="236">
        <v>4.7663040163181751</v>
      </c>
      <c r="DQ442" s="258">
        <v>4.7663040163181751</v>
      </c>
      <c r="DR442" s="258">
        <v>4.7663040163181751</v>
      </c>
      <c r="DS442" s="258">
        <v>4.7663040163181751</v>
      </c>
      <c r="DT442" s="258">
        <v>4.7663040163181751</v>
      </c>
      <c r="DU442" s="258">
        <v>4.7663040163181751</v>
      </c>
      <c r="DV442" s="258">
        <v>4.7663040163181751</v>
      </c>
      <c r="DW442" s="258">
        <v>4.7663040163181751</v>
      </c>
      <c r="DX442" s="258">
        <v>4.7663040163181751</v>
      </c>
      <c r="DY442" s="258">
        <v>4.7663040163181751</v>
      </c>
      <c r="DZ442" s="258">
        <v>5.4382227979205666</v>
      </c>
    </row>
    <row r="443" spans="1:130" hidden="1">
      <c r="A443" s="16" t="str">
        <f>A391</f>
        <v>Percentage change of the average labour costs private sector</v>
      </c>
      <c r="B443" s="3" t="str">
        <f t="shared" si="1767"/>
        <v>loonvoet bedrijven</v>
      </c>
      <c r="C443" s="3">
        <f t="shared" si="1776"/>
        <v>0</v>
      </c>
      <c r="D443" s="3" t="str">
        <f t="shared" si="1776"/>
        <v>%</v>
      </c>
      <c r="E443" s="3"/>
      <c r="F443" s="16">
        <f t="shared" si="1776"/>
        <v>65.3</v>
      </c>
      <c r="G443" s="16">
        <f t="shared" ref="G443:BQ443" si="1808">G391</f>
        <v>65.3</v>
      </c>
      <c r="H443" s="16">
        <f t="shared" si="1808"/>
        <v>65.3</v>
      </c>
      <c r="I443" s="16">
        <f t="shared" si="1808"/>
        <v>65.3</v>
      </c>
      <c r="J443" s="16">
        <f t="shared" si="1808"/>
        <v>65.3</v>
      </c>
      <c r="K443" s="16">
        <f t="shared" si="1808"/>
        <v>65.3</v>
      </c>
      <c r="L443" s="16">
        <f t="shared" si="1808"/>
        <v>65.3</v>
      </c>
      <c r="M443" s="16">
        <f t="shared" si="1808"/>
        <v>65.3</v>
      </c>
      <c r="N443" s="16">
        <f t="shared" si="1808"/>
        <v>65.3</v>
      </c>
      <c r="O443" s="16">
        <f t="shared" si="1808"/>
        <v>65.3</v>
      </c>
      <c r="P443" s="16">
        <f t="shared" si="1808"/>
        <v>65.3</v>
      </c>
      <c r="Q443" s="16">
        <f t="shared" si="1808"/>
        <v>65.3</v>
      </c>
      <c r="R443" s="16">
        <f t="shared" si="1808"/>
        <v>65.3</v>
      </c>
      <c r="S443" s="16">
        <f t="shared" si="1808"/>
        <v>65.3</v>
      </c>
      <c r="T443" s="16">
        <f t="shared" si="1808"/>
        <v>65.3</v>
      </c>
      <c r="U443" s="16">
        <f t="shared" si="1808"/>
        <v>65.3</v>
      </c>
      <c r="V443" s="16">
        <f t="shared" si="1808"/>
        <v>65.3</v>
      </c>
      <c r="W443" s="16">
        <f t="shared" si="1808"/>
        <v>65.3</v>
      </c>
      <c r="X443" s="16">
        <f t="shared" si="1808"/>
        <v>65.3</v>
      </c>
      <c r="Y443" s="16">
        <f t="shared" si="1808"/>
        <v>65.3</v>
      </c>
      <c r="Z443" s="16">
        <f t="shared" si="1808"/>
        <v>65.3</v>
      </c>
      <c r="AA443" s="16">
        <f t="shared" si="1808"/>
        <v>65.3</v>
      </c>
      <c r="AB443" s="16">
        <f t="shared" si="1808"/>
        <v>65.3</v>
      </c>
      <c r="AC443" s="16">
        <f t="shared" si="1808"/>
        <v>65.3</v>
      </c>
      <c r="AD443" s="16">
        <f t="shared" si="1808"/>
        <v>65.3</v>
      </c>
      <c r="AE443" s="16">
        <f t="shared" si="1808"/>
        <v>65.3</v>
      </c>
      <c r="AF443" s="16">
        <f t="shared" si="1808"/>
        <v>65.3</v>
      </c>
      <c r="AG443" s="16">
        <f t="shared" si="1808"/>
        <v>65.3</v>
      </c>
      <c r="AH443" s="16">
        <f t="shared" si="1808"/>
        <v>65.3</v>
      </c>
      <c r="AI443" s="16">
        <f t="shared" si="1808"/>
        <v>65.3</v>
      </c>
      <c r="AJ443" s="16">
        <f t="shared" si="1808"/>
        <v>65.3</v>
      </c>
      <c r="AK443" s="16">
        <f t="shared" si="1808"/>
        <v>65.3</v>
      </c>
      <c r="AL443" s="16">
        <f t="shared" si="1808"/>
        <v>65.3</v>
      </c>
      <c r="AM443" s="16">
        <f t="shared" si="1808"/>
        <v>65.3</v>
      </c>
      <c r="AN443" s="16">
        <f t="shared" si="1808"/>
        <v>65.3</v>
      </c>
      <c r="AO443" s="16">
        <f t="shared" si="1808"/>
        <v>65.3</v>
      </c>
      <c r="AP443" s="16">
        <f t="shared" si="1808"/>
        <v>65.3</v>
      </c>
      <c r="AQ443" s="16">
        <f t="shared" si="1808"/>
        <v>65.3</v>
      </c>
      <c r="AR443" s="16">
        <f t="shared" si="1808"/>
        <v>65.3</v>
      </c>
      <c r="AS443" s="16">
        <f t="shared" si="1808"/>
        <v>65.3</v>
      </c>
      <c r="AT443" s="16">
        <f t="shared" si="1808"/>
        <v>65.3</v>
      </c>
      <c r="AU443" s="16">
        <f t="shared" si="1808"/>
        <v>65.3</v>
      </c>
      <c r="AV443" s="16">
        <f t="shared" si="1808"/>
        <v>65.3</v>
      </c>
      <c r="AW443" s="16">
        <f t="shared" si="1808"/>
        <v>34.125073770962743</v>
      </c>
      <c r="AX443" s="16">
        <f t="shared" si="1808"/>
        <v>19.2417997901277</v>
      </c>
      <c r="AY443" s="16">
        <f t="shared" si="1808"/>
        <v>86.298164227566645</v>
      </c>
      <c r="AZ443" s="16">
        <f t="shared" si="1808"/>
        <v>34.353231388908647</v>
      </c>
      <c r="BA443" s="16">
        <f t="shared" si="1808"/>
        <v>67.168223442018643</v>
      </c>
      <c r="BB443" s="16">
        <f t="shared" si="1808"/>
        <v>21.176895433469699</v>
      </c>
      <c r="BC443" s="16">
        <f t="shared" ca="1" si="1808"/>
        <v>20.963444160494603</v>
      </c>
      <c r="BD443" s="16">
        <f t="shared" ca="1" si="1808"/>
        <v>12.065800599648057</v>
      </c>
      <c r="BE443" s="16">
        <f t="shared" ca="1" si="1808"/>
        <v>2.1463760113450414</v>
      </c>
      <c r="BF443" s="16">
        <f t="shared" ca="1" si="1808"/>
        <v>4.8748282673215737</v>
      </c>
      <c r="BG443" s="16">
        <f t="shared" ca="1" si="1808"/>
        <v>6.0646227938293995</v>
      </c>
      <c r="BH443" s="16">
        <f t="shared" ca="1" si="1808"/>
        <v>7.9791388947431763</v>
      </c>
      <c r="BI443" s="16">
        <f t="shared" ca="1" si="1808"/>
        <v>6.7468791925761717</v>
      </c>
      <c r="BJ443" s="16">
        <f t="shared" ca="1" si="1808"/>
        <v>5.6683485373864473</v>
      </c>
      <c r="BK443" s="1">
        <f t="shared" ref="BK443:BP443" ca="1" si="1809">BK391</f>
        <v>11.474987468496511</v>
      </c>
      <c r="BL443" s="1">
        <f t="shared" ca="1" si="1809"/>
        <v>11.443933712616339</v>
      </c>
      <c r="BM443" s="1">
        <f t="shared" ca="1" si="1809"/>
        <v>2.9269221671393009</v>
      </c>
      <c r="BN443" s="1">
        <f t="shared" ca="1" si="1809"/>
        <v>1.285583096075249</v>
      </c>
      <c r="BO443" s="1">
        <f t="shared" ca="1" si="1809"/>
        <v>4.2350530219785298</v>
      </c>
      <c r="BP443" s="1">
        <f t="shared" ca="1" si="1809"/>
        <v>20.962450987774872</v>
      </c>
      <c r="BQ443" s="1">
        <f t="shared" ca="1" si="1808"/>
        <v>24.294056406262033</v>
      </c>
      <c r="BR443" s="1">
        <f t="shared" ca="1" si="1779"/>
        <v>9.5523402451792361</v>
      </c>
      <c r="BS443" s="1">
        <f t="shared" ca="1" si="1779"/>
        <v>4.6440320622428199</v>
      </c>
      <c r="BT443" s="1">
        <f t="shared" ca="1" si="1780"/>
        <v>3.4145468536093793</v>
      </c>
      <c r="BU443" s="1">
        <f t="shared" ca="1" si="1780"/>
        <v>3.6511183989398122</v>
      </c>
      <c r="BV443" s="1">
        <f ca="1">BV391</f>
        <v>3.736789650849115</v>
      </c>
      <c r="BW443" s="1">
        <f t="shared" ref="BW443:BX443" ca="1" si="1810">BW391</f>
        <v>3.7616524627478665</v>
      </c>
      <c r="BX443" s="1">
        <f t="shared" ca="1" si="1810"/>
        <v>3.711585622889868</v>
      </c>
      <c r="BY443" s="1">
        <f t="shared" ref="BY443:CD443" ca="1" si="1811">BY391</f>
        <v>3.6448069661513705</v>
      </c>
      <c r="BZ443" s="1">
        <f t="shared" ca="1" si="1811"/>
        <v>3.5950918740443649</v>
      </c>
      <c r="CA443" s="1">
        <f t="shared" ca="1" si="1811"/>
        <v>3.5697216194236159</v>
      </c>
      <c r="CB443" s="1">
        <f t="shared" ca="1" si="1811"/>
        <v>3.5488640644027569</v>
      </c>
      <c r="CC443" s="1">
        <f t="shared" ca="1" si="1811"/>
        <v>3.5198901906230207</v>
      </c>
      <c r="CD443" s="1">
        <f t="shared" ca="1" si="1811"/>
        <v>3.4907458485409437</v>
      </c>
      <c r="CE443" s="101">
        <f t="shared" ca="1" si="1489"/>
        <v>6.4582966422287242</v>
      </c>
      <c r="CG443" s="235">
        <f t="shared" ca="1" si="1783"/>
        <v>1.4352376763732355</v>
      </c>
      <c r="CH443" s="235">
        <f t="shared" ca="1" si="1784"/>
        <v>-2.0265466883273575E-5</v>
      </c>
      <c r="CI443" s="235" t="e">
        <f ca="1">BM443-#REF!</f>
        <v>#REF!</v>
      </c>
      <c r="CJ443" s="235">
        <f t="shared" ca="1" si="1785"/>
        <v>0</v>
      </c>
      <c r="CK443" s="235">
        <f t="shared" ca="1" si="1786"/>
        <v>0</v>
      </c>
      <c r="CL443" s="235">
        <f t="shared" ca="1" si="1787"/>
        <v>0</v>
      </c>
      <c r="CM443" s="235">
        <f t="shared" ca="1" si="1788"/>
        <v>0</v>
      </c>
      <c r="CN443" s="235">
        <f t="shared" ca="1" si="1789"/>
        <v>-2.3092638912203256E-14</v>
      </c>
      <c r="CO443" s="235">
        <f t="shared" ca="1" si="1790"/>
        <v>2.2204460492503131E-14</v>
      </c>
      <c r="CP443" s="235">
        <f t="shared" ca="1" si="1791"/>
        <v>0</v>
      </c>
      <c r="CQ443" s="235">
        <f t="shared" ca="1" si="1792"/>
        <v>0</v>
      </c>
      <c r="CR443" s="235">
        <f t="shared" ca="1" si="1793"/>
        <v>0</v>
      </c>
      <c r="CS443" s="235">
        <f t="shared" ca="1" si="1794"/>
        <v>-4.4408920985006262E-14</v>
      </c>
      <c r="CT443" s="235">
        <f t="shared" ca="1" si="1795"/>
        <v>-6.6613381477509392E-14</v>
      </c>
      <c r="CU443" s="235">
        <f t="shared" ca="1" si="1796"/>
        <v>-2.2204460492503131E-14</v>
      </c>
      <c r="CV443" s="235">
        <f t="shared" ca="1" si="1797"/>
        <v>-4.4408920985006262E-14</v>
      </c>
      <c r="CW443" s="235">
        <f t="shared" ca="1" si="1798"/>
        <v>-6.6613381477509392E-14</v>
      </c>
      <c r="CX443" s="235">
        <f t="shared" ca="1" si="1799"/>
        <v>3.3306690738754696E-13</v>
      </c>
      <c r="CY443" s="235">
        <f t="shared" ca="1" si="1800"/>
        <v>4.1744385725905886E-12</v>
      </c>
      <c r="CZ443" s="235">
        <f t="shared" ca="1" si="1801"/>
        <v>3.3928415632544784E-11</v>
      </c>
      <c r="DF443" s="258"/>
      <c r="DG443" s="236">
        <v>10.039749792123276</v>
      </c>
      <c r="DH443" s="492">
        <v>11.443953978083222</v>
      </c>
      <c r="DI443" s="236">
        <v>1.285583096075249</v>
      </c>
      <c r="DJ443" s="236">
        <v>4.2350530219785298</v>
      </c>
      <c r="DK443" s="236">
        <v>20.962450987774872</v>
      </c>
      <c r="DL443" s="236">
        <v>24.294056406262055</v>
      </c>
      <c r="DM443" s="236">
        <v>9.5523402451792592</v>
      </c>
      <c r="DN443" s="236">
        <v>4.6440320622427977</v>
      </c>
      <c r="DO443" s="236">
        <v>3.4145468536093793</v>
      </c>
      <c r="DP443" s="236">
        <v>3.6511183989398122</v>
      </c>
      <c r="DQ443" s="258">
        <v>3.736789650849115</v>
      </c>
      <c r="DR443" s="258">
        <v>3.7616524627479109</v>
      </c>
      <c r="DS443" s="258">
        <v>3.7115856228899347</v>
      </c>
      <c r="DT443" s="258">
        <v>3.6448069661513927</v>
      </c>
      <c r="DU443" s="258">
        <v>3.5950918740444093</v>
      </c>
      <c r="DV443" s="258">
        <v>3.5697216194236825</v>
      </c>
      <c r="DW443" s="258">
        <v>3.5488640644024239</v>
      </c>
      <c r="DX443" s="258">
        <v>3.5198901906188462</v>
      </c>
      <c r="DY443" s="258">
        <v>3.4907458485070153</v>
      </c>
      <c r="DZ443" s="258">
        <v>4.8369121099575576</v>
      </c>
    </row>
    <row r="444" spans="1:130" hidden="1">
      <c r="A444" s="16"/>
      <c r="D444" s="3"/>
      <c r="E444" s="3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01"/>
      <c r="CG444" s="235">
        <f t="shared" si="1783"/>
        <v>0</v>
      </c>
      <c r="CH444" s="235">
        <f t="shared" si="1784"/>
        <v>0</v>
      </c>
      <c r="CI444" s="235" t="e">
        <f>BM444-#REF!</f>
        <v>#REF!</v>
      </c>
      <c r="CJ444" s="235">
        <f t="shared" si="1785"/>
        <v>0</v>
      </c>
      <c r="CK444" s="235">
        <f t="shared" si="1786"/>
        <v>0</v>
      </c>
      <c r="CL444" s="235">
        <f t="shared" si="1787"/>
        <v>0</v>
      </c>
      <c r="CM444" s="235">
        <f t="shared" si="1788"/>
        <v>0</v>
      </c>
      <c r="CN444" s="235">
        <f t="shared" si="1789"/>
        <v>0</v>
      </c>
      <c r="CO444" s="235">
        <f t="shared" si="1790"/>
        <v>0</v>
      </c>
      <c r="CP444" s="235">
        <f t="shared" si="1791"/>
        <v>0</v>
      </c>
      <c r="CQ444" s="235">
        <f t="shared" si="1792"/>
        <v>0</v>
      </c>
      <c r="CR444" s="235">
        <f t="shared" si="1793"/>
        <v>0</v>
      </c>
      <c r="CS444" s="235">
        <f t="shared" si="1794"/>
        <v>0</v>
      </c>
      <c r="CT444" s="235">
        <f t="shared" si="1795"/>
        <v>0</v>
      </c>
      <c r="CU444" s="235">
        <f t="shared" si="1796"/>
        <v>0</v>
      </c>
      <c r="CV444" s="235">
        <f t="shared" si="1797"/>
        <v>0</v>
      </c>
      <c r="CW444" s="235">
        <f t="shared" si="1798"/>
        <v>0</v>
      </c>
      <c r="CX444" s="235">
        <f t="shared" si="1799"/>
        <v>0</v>
      </c>
      <c r="CY444" s="235">
        <f t="shared" si="1800"/>
        <v>0</v>
      </c>
      <c r="CZ444" s="235">
        <f t="shared" si="1801"/>
        <v>0</v>
      </c>
      <c r="DF444" s="258"/>
    </row>
    <row r="445" spans="1:130" hidden="1">
      <c r="A445" s="16" t="s">
        <v>775</v>
      </c>
      <c r="B445" s="3" t="str">
        <f>B394</f>
        <v>Volumina</v>
      </c>
      <c r="D445" s="3"/>
      <c r="E445" s="3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01"/>
      <c r="CG445" s="235">
        <f t="shared" si="1783"/>
        <v>0</v>
      </c>
      <c r="CH445" s="235">
        <f t="shared" si="1784"/>
        <v>0</v>
      </c>
      <c r="CI445" s="235" t="e">
        <f>BM445-#REF!</f>
        <v>#REF!</v>
      </c>
      <c r="CJ445" s="235">
        <f t="shared" si="1785"/>
        <v>0</v>
      </c>
      <c r="CK445" s="235">
        <f t="shared" si="1786"/>
        <v>0</v>
      </c>
      <c r="CL445" s="235">
        <f t="shared" si="1787"/>
        <v>0</v>
      </c>
      <c r="CM445" s="235">
        <f t="shared" si="1788"/>
        <v>0</v>
      </c>
      <c r="CN445" s="235">
        <f t="shared" si="1789"/>
        <v>0</v>
      </c>
      <c r="CO445" s="235">
        <f t="shared" si="1790"/>
        <v>0</v>
      </c>
      <c r="CP445" s="235">
        <f t="shared" si="1791"/>
        <v>0</v>
      </c>
      <c r="CQ445" s="235">
        <f t="shared" si="1792"/>
        <v>0</v>
      </c>
      <c r="CR445" s="235">
        <f t="shared" si="1793"/>
        <v>0</v>
      </c>
      <c r="CS445" s="235">
        <f t="shared" si="1794"/>
        <v>0</v>
      </c>
      <c r="CT445" s="235">
        <f t="shared" si="1795"/>
        <v>0</v>
      </c>
      <c r="CU445" s="235">
        <f t="shared" si="1796"/>
        <v>0</v>
      </c>
      <c r="CV445" s="235">
        <f t="shared" si="1797"/>
        <v>0</v>
      </c>
      <c r="CW445" s="235">
        <f t="shared" si="1798"/>
        <v>0</v>
      </c>
      <c r="CX445" s="235">
        <f t="shared" si="1799"/>
        <v>0</v>
      </c>
      <c r="CY445" s="235">
        <f t="shared" si="1800"/>
        <v>0</v>
      </c>
      <c r="CZ445" s="235">
        <f t="shared" si="1801"/>
        <v>0</v>
      </c>
      <c r="DF445" s="258"/>
    </row>
    <row r="446" spans="1:130" hidden="1">
      <c r="A446" s="16" t="str">
        <f>A395</f>
        <v>Net actual wage private sector</v>
      </c>
      <c r="B446" s="3" t="str">
        <f>B395</f>
        <v>netto reële loon bedrijven</v>
      </c>
      <c r="D446" s="3" t="str">
        <f>D395</f>
        <v>%</v>
      </c>
      <c r="E446" s="3"/>
      <c r="F446" s="16">
        <f>F395</f>
        <v>63.3</v>
      </c>
      <c r="G446" s="16">
        <f t="shared" ref="G446:BQ446" si="1812">G395</f>
        <v>64.3</v>
      </c>
      <c r="H446" s="16">
        <f t="shared" si="1812"/>
        <v>63.319801974296567</v>
      </c>
      <c r="I446" s="16">
        <f t="shared" si="1812"/>
        <v>56.562135505676267</v>
      </c>
      <c r="J446" s="16">
        <f t="shared" si="1812"/>
        <v>65.3</v>
      </c>
      <c r="K446" s="16">
        <f t="shared" si="1812"/>
        <v>65.3</v>
      </c>
      <c r="L446" s="16">
        <f t="shared" si="1812"/>
        <v>62.621428537368772</v>
      </c>
      <c r="M446" s="16">
        <f t="shared" si="1812"/>
        <v>63.560869622230527</v>
      </c>
      <c r="N446" s="16">
        <f t="shared" si="1812"/>
        <v>64.445299136638639</v>
      </c>
      <c r="O446" s="16">
        <f t="shared" si="1812"/>
        <v>64.452542352676389</v>
      </c>
      <c r="P446" s="16">
        <f t="shared" si="1812"/>
        <v>64.459663856029508</v>
      </c>
      <c r="Q446" s="16">
        <f t="shared" si="1812"/>
        <v>63.63333337306976</v>
      </c>
      <c r="R446" s="16">
        <f t="shared" si="1812"/>
        <v>63.660655784606931</v>
      </c>
      <c r="S446" s="16">
        <f t="shared" si="1812"/>
        <v>58.041935253143308</v>
      </c>
      <c r="T446" s="16">
        <f t="shared" si="1812"/>
        <v>65.3</v>
      </c>
      <c r="U446" s="16">
        <f t="shared" si="1812"/>
        <v>62.29248123168945</v>
      </c>
      <c r="V446" s="16">
        <f t="shared" si="1812"/>
        <v>63.543897795677182</v>
      </c>
      <c r="W446" s="16">
        <f t="shared" si="1812"/>
        <v>65.893558430671689</v>
      </c>
      <c r="X446" s="16">
        <f t="shared" si="1812"/>
        <v>62.862646865844724</v>
      </c>
      <c r="Y446" s="16">
        <f t="shared" si="1812"/>
        <v>53.21208744049072</v>
      </c>
      <c r="Z446" s="16">
        <f t="shared" si="1812"/>
        <v>49.340920257568357</v>
      </c>
      <c r="AA446" s="16">
        <f t="shared" si="1812"/>
        <v>57.808454799652097</v>
      </c>
      <c r="AB446" s="16">
        <f t="shared" si="1812"/>
        <v>55.991471099853513</v>
      </c>
      <c r="AC446" s="16">
        <f t="shared" si="1812"/>
        <v>56.471318054199216</v>
      </c>
      <c r="AD446" s="16">
        <f t="shared" si="1812"/>
        <v>57.314028549194333</v>
      </c>
      <c r="AE446" s="16">
        <f t="shared" si="1812"/>
        <v>51.345149803161618</v>
      </c>
      <c r="AF446" s="16">
        <f t="shared" si="1812"/>
        <v>52.091571617126462</v>
      </c>
      <c r="AG446" s="16">
        <f t="shared" si="1812"/>
        <v>56.59178714752197</v>
      </c>
      <c r="AH446" s="16">
        <f t="shared" si="1812"/>
        <v>58.010706233978269</v>
      </c>
      <c r="AI446" s="16">
        <f t="shared" si="1812"/>
        <v>60.912172603607175</v>
      </c>
      <c r="AJ446" s="16">
        <f t="shared" si="1812"/>
        <v>61.10000019073486</v>
      </c>
      <c r="AK446" s="16">
        <f t="shared" si="1812"/>
        <v>49.00000076293945</v>
      </c>
      <c r="AL446" s="16">
        <f t="shared" si="1812"/>
        <v>34.599999237060544</v>
      </c>
      <c r="AM446" s="16">
        <f t="shared" si="1812"/>
        <v>-23.500003051757815</v>
      </c>
      <c r="AN446" s="16">
        <f t="shared" si="1812"/>
        <v>50.3</v>
      </c>
      <c r="AO446" s="16">
        <f t="shared" si="1812"/>
        <v>45.599999237060544</v>
      </c>
      <c r="AP446" s="16">
        <f t="shared" si="1812"/>
        <v>43.553706754530495</v>
      </c>
      <c r="AQ446" s="16">
        <f t="shared" si="1812"/>
        <v>39.331246155738704</v>
      </c>
      <c r="AR446" s="16">
        <f t="shared" si="1812"/>
        <v>21.637890625000004</v>
      </c>
      <c r="AS446" s="16">
        <f t="shared" si="1812"/>
        <v>-78.218455577459096</v>
      </c>
      <c r="AT446" s="16">
        <f t="shared" si="1812"/>
        <v>-303.17923179991061</v>
      </c>
      <c r="AU446" s="16">
        <f t="shared" si="1812"/>
        <v>-170.25783301951998</v>
      </c>
      <c r="AV446" s="16">
        <f t="shared" si="1812"/>
        <v>66</v>
      </c>
      <c r="AW446" s="16">
        <f t="shared" si="1812"/>
        <v>27.025073770962742</v>
      </c>
      <c r="AX446" s="16">
        <f t="shared" si="1812"/>
        <v>0.24179979012770048</v>
      </c>
      <c r="AY446" s="16">
        <f t="shared" si="1812"/>
        <v>-11.601835772433361</v>
      </c>
      <c r="AZ446" s="16">
        <f t="shared" si="1812"/>
        <v>-33.232842962444984</v>
      </c>
      <c r="BA446" s="16">
        <f t="shared" si="1812"/>
        <v>30.582495476135882</v>
      </c>
      <c r="BB446" s="16">
        <f t="shared" si="1812"/>
        <v>2.7198627535595312</v>
      </c>
      <c r="BC446" s="16">
        <f t="shared" ca="1" si="1812"/>
        <v>-3.7934441604946016</v>
      </c>
      <c r="BD446" s="16">
        <f t="shared" ca="1" si="1812"/>
        <v>4.1291994003520518</v>
      </c>
      <c r="BE446" s="16">
        <f t="shared" ca="1" si="1812"/>
        <v>-6.962178005001582</v>
      </c>
      <c r="BF446" s="16">
        <f t="shared" ca="1" si="1812"/>
        <v>-6.9852787975926667</v>
      </c>
      <c r="BG446" s="16">
        <f t="shared" ca="1" si="1812"/>
        <v>0.74491301606653781</v>
      </c>
      <c r="BH446" s="16">
        <f t="shared" ca="1" si="1812"/>
        <v>-4.5944143546640515</v>
      </c>
      <c r="BI446" s="16">
        <f t="shared" ca="1" si="1812"/>
        <v>4.7653283109673925</v>
      </c>
      <c r="BJ446" s="16">
        <f t="shared" ca="1" si="1812"/>
        <v>-3.2753212551887128</v>
      </c>
      <c r="BK446" s="1">
        <f t="shared" ref="BK446:BP446" ca="1" si="1813">BK395</f>
        <v>-4.9569243217819157</v>
      </c>
      <c r="BL446" s="1">
        <f t="shared" ca="1" si="1813"/>
        <v>6.4974487217002581</v>
      </c>
      <c r="BM446" s="1">
        <f t="shared" ca="1" si="1813"/>
        <v>1.7302835943252797</v>
      </c>
      <c r="BN446" s="1">
        <f t="shared" ca="1" si="1813"/>
        <v>0.58803443876265504</v>
      </c>
      <c r="BO446" s="1">
        <f t="shared" ca="1" si="1813"/>
        <v>-2.5051467444553221</v>
      </c>
      <c r="BP446" s="1">
        <f t="shared" ca="1" si="1813"/>
        <v>-15.393057235589039</v>
      </c>
      <c r="BQ446" s="1">
        <f t="shared" ca="1" si="1812"/>
        <v>12.879026513036745</v>
      </c>
      <c r="BR446" s="1">
        <f t="shared" ref="BR446:BU447" ca="1" si="1814">BR395</f>
        <v>4.2533582678430424</v>
      </c>
      <c r="BS446" s="1">
        <f t="shared" ca="1" si="1814"/>
        <v>1.6151117680077283</v>
      </c>
      <c r="BT446" s="1">
        <f t="shared" ca="1" si="1814"/>
        <v>-2.3158298456698923E-2</v>
      </c>
      <c r="BU446" s="1">
        <f t="shared" ca="1" si="1814"/>
        <v>8.7884625798691829E-2</v>
      </c>
      <c r="BV446" s="1">
        <f ca="1">BV395</f>
        <v>0.14101332206981088</v>
      </c>
      <c r="BW446" s="1">
        <f t="shared" ref="BW446:BX446" ca="1" si="1815">BW395</f>
        <v>0.14832206008669768</v>
      </c>
      <c r="BX446" s="1">
        <f t="shared" ca="1" si="1815"/>
        <v>0.1157867450370782</v>
      </c>
      <c r="BY446" s="1">
        <f t="shared" ref="BY446:CD446" ca="1" si="1816">BY395</f>
        <v>7.2348990757855169E-2</v>
      </c>
      <c r="BZ446" s="1">
        <f t="shared" ca="1" si="1816"/>
        <v>4.0736951995339332E-2</v>
      </c>
      <c r="CA446" s="1">
        <f t="shared" ca="1" si="1816"/>
        <v>1.950157880747927E-2</v>
      </c>
      <c r="CB446" s="1">
        <f t="shared" ca="1" si="1816"/>
        <v>-1.705525642919703E-3</v>
      </c>
      <c r="CC446" s="1">
        <f t="shared" ca="1" si="1816"/>
        <v>-2.1637437235629164E-2</v>
      </c>
      <c r="CD446" s="1">
        <f t="shared" ca="1" si="1816"/>
        <v>-4.1973365671091223E-2</v>
      </c>
      <c r="CE446" s="101">
        <f t="shared" ca="1" si="1489"/>
        <v>8.6650763524360519E-2</v>
      </c>
      <c r="CG446" s="235">
        <f t="shared" ca="1" si="1783"/>
        <v>1.0481967319073053</v>
      </c>
      <c r="CH446" s="235">
        <f t="shared" ca="1" si="1784"/>
        <v>2.0265466856628223E-5</v>
      </c>
      <c r="CI446" s="235" t="e">
        <f ca="1">BM446-#REF!</f>
        <v>#REF!</v>
      </c>
      <c r="CJ446" s="235">
        <f t="shared" ca="1" si="1785"/>
        <v>0</v>
      </c>
      <c r="CK446" s="235">
        <f t="shared" ca="1" si="1786"/>
        <v>0</v>
      </c>
      <c r="CL446" s="235">
        <f t="shared" ca="1" si="1787"/>
        <v>1.5987211554602254E-14</v>
      </c>
      <c r="CM446" s="235">
        <f t="shared" ca="1" si="1788"/>
        <v>0</v>
      </c>
      <c r="CN446" s="235">
        <f t="shared" ca="1" si="1789"/>
        <v>-2.9309887850104133E-14</v>
      </c>
      <c r="CO446" s="235">
        <f t="shared" ca="1" si="1790"/>
        <v>2.4868995751603507E-14</v>
      </c>
      <c r="CP446" s="235">
        <f t="shared" ca="1" si="1791"/>
        <v>-1.0658141036401503E-14</v>
      </c>
      <c r="CQ446" s="235">
        <f t="shared" ca="1" si="1792"/>
        <v>8.8817841970012523E-15</v>
      </c>
      <c r="CR446" s="235">
        <f t="shared" ca="1" si="1793"/>
        <v>7.1054273576010019E-15</v>
      </c>
      <c r="CS446" s="235">
        <f t="shared" ca="1" si="1794"/>
        <v>-4.2632564145606011E-14</v>
      </c>
      <c r="CT446" s="235">
        <f t="shared" ca="1" si="1795"/>
        <v>-6.4837024638109142E-14</v>
      </c>
      <c r="CU446" s="235">
        <f t="shared" ca="1" si="1796"/>
        <v>-4.1744385725905886E-14</v>
      </c>
      <c r="CV446" s="235">
        <f t="shared" ca="1" si="1797"/>
        <v>-6.9277916736609768E-14</v>
      </c>
      <c r="CW446" s="235">
        <f t="shared" ca="1" si="1798"/>
        <v>-2.7533531010703882E-14</v>
      </c>
      <c r="CX446" s="235">
        <f t="shared" ca="1" si="1799"/>
        <v>1.0453859999870474E-12</v>
      </c>
      <c r="CY446" s="235">
        <f t="shared" ca="1" si="1800"/>
        <v>1.0891731960782636E-11</v>
      </c>
      <c r="CZ446" s="235">
        <f t="shared" ca="1" si="1801"/>
        <v>8.0169648697392404E-11</v>
      </c>
      <c r="DF446" s="258"/>
      <c r="DG446" s="236">
        <v>-6.005121053689221</v>
      </c>
      <c r="DH446" s="492">
        <v>6.4974284562334015</v>
      </c>
      <c r="DI446" s="236">
        <v>0.58803443876265504</v>
      </c>
      <c r="DJ446" s="236">
        <v>-2.5051467444553221</v>
      </c>
      <c r="DK446" s="236">
        <v>-15.393057235589055</v>
      </c>
      <c r="DL446" s="236">
        <v>12.879026513036754</v>
      </c>
      <c r="DM446" s="236">
        <v>4.2533582678430717</v>
      </c>
      <c r="DN446" s="236">
        <v>1.6151117680077034</v>
      </c>
      <c r="DO446" s="236">
        <v>-2.3158298456688264E-2</v>
      </c>
      <c r="DP446" s="236">
        <v>8.7884625798682947E-2</v>
      </c>
      <c r="DQ446" s="258">
        <v>0.14101332206980377</v>
      </c>
      <c r="DR446" s="258">
        <v>0.14832206008674031</v>
      </c>
      <c r="DS446" s="258">
        <v>0.11578674503714304</v>
      </c>
      <c r="DT446" s="258">
        <v>7.2348990757896914E-2</v>
      </c>
      <c r="DU446" s="258">
        <v>4.073695199540861E-2</v>
      </c>
      <c r="DV446" s="258">
        <v>1.9501578807506803E-2</v>
      </c>
      <c r="DW446" s="258">
        <v>-1.705525643965089E-3</v>
      </c>
      <c r="DX446" s="258">
        <v>-2.1637437246520896E-2</v>
      </c>
      <c r="DY446" s="258">
        <v>-4.1973365751260872E-2</v>
      </c>
      <c r="DZ446" s="258">
        <v>-1.1450784606161153</v>
      </c>
    </row>
    <row r="447" spans="1:130" hidden="1">
      <c r="A447" s="16" t="str">
        <f>A396</f>
        <v>Real growth GDP by expenditure</v>
      </c>
      <c r="B447" s="3" t="str">
        <f>B396</f>
        <v>reele groei BBP via bestedingen</v>
      </c>
      <c r="D447" s="3" t="str">
        <f>D396</f>
        <v>%</v>
      </c>
      <c r="E447" s="3"/>
      <c r="F447" s="16">
        <f>F396</f>
        <v>0</v>
      </c>
      <c r="G447" s="16">
        <f t="shared" ref="G447:BQ447" si="1817">G396</f>
        <v>0</v>
      </c>
      <c r="H447" s="16">
        <f t="shared" si="1817"/>
        <v>0</v>
      </c>
      <c r="I447" s="16">
        <f t="shared" si="1817"/>
        <v>0</v>
      </c>
      <c r="J447" s="16">
        <f t="shared" si="1817"/>
        <v>0</v>
      </c>
      <c r="K447" s="16">
        <f t="shared" si="1817"/>
        <v>0</v>
      </c>
      <c r="L447" s="16">
        <f t="shared" si="1817"/>
        <v>0</v>
      </c>
      <c r="M447" s="16">
        <f t="shared" si="1817"/>
        <v>0</v>
      </c>
      <c r="N447" s="16">
        <f t="shared" si="1817"/>
        <v>0</v>
      </c>
      <c r="O447" s="16">
        <f t="shared" si="1817"/>
        <v>0</v>
      </c>
      <c r="P447" s="16">
        <f t="shared" si="1817"/>
        <v>0</v>
      </c>
      <c r="Q447" s="16">
        <f t="shared" si="1817"/>
        <v>0</v>
      </c>
      <c r="R447" s="16">
        <f t="shared" si="1817"/>
        <v>0</v>
      </c>
      <c r="S447" s="16">
        <f t="shared" si="1817"/>
        <v>0</v>
      </c>
      <c r="T447" s="16">
        <f t="shared" si="1817"/>
        <v>0</v>
      </c>
      <c r="U447" s="16">
        <f t="shared" si="1817"/>
        <v>0</v>
      </c>
      <c r="V447" s="16">
        <f t="shared" si="1817"/>
        <v>0</v>
      </c>
      <c r="W447" s="16">
        <f t="shared" si="1817"/>
        <v>0</v>
      </c>
      <c r="X447" s="16">
        <f t="shared" si="1817"/>
        <v>0</v>
      </c>
      <c r="Y447" s="16">
        <f t="shared" si="1817"/>
        <v>0</v>
      </c>
      <c r="Z447" s="16">
        <f t="shared" si="1817"/>
        <v>0</v>
      </c>
      <c r="AA447" s="16">
        <f t="shared" si="1817"/>
        <v>0</v>
      </c>
      <c r="AB447" s="16">
        <f t="shared" si="1817"/>
        <v>0</v>
      </c>
      <c r="AC447" s="16">
        <f t="shared" si="1817"/>
        <v>0</v>
      </c>
      <c r="AD447" s="16">
        <f t="shared" si="1817"/>
        <v>0</v>
      </c>
      <c r="AE447" s="16">
        <f t="shared" si="1817"/>
        <v>0</v>
      </c>
      <c r="AF447" s="16">
        <f t="shared" si="1817"/>
        <v>0</v>
      </c>
      <c r="AG447" s="16">
        <f t="shared" si="1817"/>
        <v>0</v>
      </c>
      <c r="AH447" s="16">
        <f t="shared" si="1817"/>
        <v>0</v>
      </c>
      <c r="AI447" s="16">
        <f t="shared" si="1817"/>
        <v>0</v>
      </c>
      <c r="AJ447" s="16">
        <f t="shared" si="1817"/>
        <v>0</v>
      </c>
      <c r="AK447" s="16">
        <f t="shared" si="1817"/>
        <v>0</v>
      </c>
      <c r="AL447" s="16">
        <f t="shared" si="1817"/>
        <v>0</v>
      </c>
      <c r="AM447" s="16">
        <f t="shared" si="1817"/>
        <v>0</v>
      </c>
      <c r="AN447" s="16">
        <f t="shared" si="1817"/>
        <v>0</v>
      </c>
      <c r="AO447" s="16">
        <f t="shared" si="1817"/>
        <v>0</v>
      </c>
      <c r="AP447" s="16">
        <f t="shared" si="1817"/>
        <v>28.467076982880556</v>
      </c>
      <c r="AQ447" s="16">
        <f t="shared" si="1817"/>
        <v>6.1811089224881544</v>
      </c>
      <c r="AR447" s="16">
        <f t="shared" si="1817"/>
        <v>-9.56732471074816</v>
      </c>
      <c r="AS447" s="16">
        <f t="shared" si="1817"/>
        <v>33.607119811730634</v>
      </c>
      <c r="AT447" s="16">
        <f t="shared" si="1817"/>
        <v>-97.408425091231081</v>
      </c>
      <c r="AU447" s="16">
        <f t="shared" si="1817"/>
        <v>-11.21314271325261</v>
      </c>
      <c r="AV447" s="16">
        <f t="shared" si="1817"/>
        <v>27.774362203042525</v>
      </c>
      <c r="AW447" s="16">
        <f t="shared" si="1817"/>
        <v>6.0292260744650772</v>
      </c>
      <c r="AX447" s="16">
        <f t="shared" si="1817"/>
        <v>1.0789343983461874</v>
      </c>
      <c r="AY447" s="16">
        <f t="shared" si="1817"/>
        <v>-1.048892886286179</v>
      </c>
      <c r="AZ447" s="16">
        <f t="shared" si="1817"/>
        <v>2.8691660507083716</v>
      </c>
      <c r="BA447" s="16">
        <f t="shared" si="1817"/>
        <v>2.9469036641168289</v>
      </c>
      <c r="BB447" s="16">
        <f t="shared" si="1817"/>
        <v>2.6985035245150613</v>
      </c>
      <c r="BC447" s="16">
        <f t="shared" ca="1" si="1817"/>
        <v>18.073560645445831</v>
      </c>
      <c r="BD447" s="16">
        <f t="shared" ca="1" si="1817"/>
        <v>8.2714831741820696</v>
      </c>
      <c r="BE447" s="16">
        <f t="shared" ca="1" si="1817"/>
        <v>28.095125773438379</v>
      </c>
      <c r="BF447" s="16">
        <f t="shared" ca="1" si="1817"/>
        <v>3.8169812418778148</v>
      </c>
      <c r="BG447" s="16">
        <f t="shared" ca="1" si="1817"/>
        <v>5.098973563644682</v>
      </c>
      <c r="BH447" s="16">
        <f t="shared" ca="1" si="1817"/>
        <v>4.1493735028929057</v>
      </c>
      <c r="BI447" s="16">
        <f t="shared" ca="1" si="1817"/>
        <v>3.0172646389609037</v>
      </c>
      <c r="BJ447" s="16">
        <f t="shared" ca="1" si="1817"/>
        <v>5.1000000000000156</v>
      </c>
      <c r="BK447" s="1">
        <f t="shared" ref="BK447:BP447" ca="1" si="1818">BK396</f>
        <v>5.2961467650488148</v>
      </c>
      <c r="BL447" s="1">
        <f t="shared" ca="1" si="1818"/>
        <v>3.1000000000000139</v>
      </c>
      <c r="BM447" s="1">
        <f t="shared" ca="1" si="1818"/>
        <v>2.8000000000000025</v>
      </c>
      <c r="BN447" s="1">
        <f t="shared" ca="1" si="1818"/>
        <v>1.8380236712362663</v>
      </c>
      <c r="BO447" s="1">
        <f t="shared" ca="1" si="1818"/>
        <v>-3.0851487294900948</v>
      </c>
      <c r="BP447" s="1">
        <f t="shared" ca="1" si="1818"/>
        <v>-3.4235844071977217</v>
      </c>
      <c r="BQ447" s="1">
        <f t="shared" ca="1" si="1817"/>
        <v>10.837873666678966</v>
      </c>
      <c r="BR447" s="1">
        <f t="shared" ca="1" si="1814"/>
        <v>4.5827680121705683</v>
      </c>
      <c r="BS447" s="1">
        <f t="shared" ca="1" si="1814"/>
        <v>0.72090401757061162</v>
      </c>
      <c r="BT447" s="1">
        <f t="shared" ca="1" si="1814"/>
        <v>0.74457129514420295</v>
      </c>
      <c r="BU447" s="1">
        <f t="shared" ca="1" si="1814"/>
        <v>1.7063335959144554</v>
      </c>
      <c r="BV447" s="1">
        <f ca="1">BV396</f>
        <v>1.7896555973269335</v>
      </c>
      <c r="BW447" s="1">
        <f t="shared" ref="BW447:BX447" ca="1" si="1819">BW396</f>
        <v>1.7461585909936961</v>
      </c>
      <c r="BX447" s="1">
        <f t="shared" ca="1" si="1819"/>
        <v>1.7589084504769481</v>
      </c>
      <c r="BY447" s="1">
        <f t="shared" ref="BY447:CD447" ca="1" si="1820">BY396</f>
        <v>1.7805930850340657</v>
      </c>
      <c r="BZ447" s="1">
        <f t="shared" ca="1" si="1820"/>
        <v>1.971594816436828</v>
      </c>
      <c r="CA447" s="1">
        <f t="shared" ca="1" si="1820"/>
        <v>2.100589090655669</v>
      </c>
      <c r="CB447" s="1">
        <f t="shared" ca="1" si="1820"/>
        <v>2.1107645269323516</v>
      </c>
      <c r="CC447" s="1">
        <f t="shared" ca="1" si="1820"/>
        <v>2.1618421096319507</v>
      </c>
      <c r="CD447" s="1">
        <f t="shared" ca="1" si="1820"/>
        <v>2.2205352163193748</v>
      </c>
      <c r="CE447" s="101">
        <f t="shared" ca="1" si="1489"/>
        <v>1.8577724334124253</v>
      </c>
      <c r="CG447" s="235">
        <f t="shared" ca="1" si="1783"/>
        <v>-4.4408920985006262E-14</v>
      </c>
      <c r="CH447" s="235">
        <f t="shared" ca="1" si="1784"/>
        <v>0.10000000000001119</v>
      </c>
      <c r="CI447" s="235" t="e">
        <f ca="1">BM447-#REF!</f>
        <v>#REF!</v>
      </c>
      <c r="CJ447" s="235">
        <f t="shared" ca="1" si="1785"/>
        <v>0</v>
      </c>
      <c r="CK447" s="235">
        <f t="shared" ca="1" si="1786"/>
        <v>0</v>
      </c>
      <c r="CL447" s="235">
        <f t="shared" ca="1" si="1787"/>
        <v>4.4408920985006262E-14</v>
      </c>
      <c r="CM447" s="235">
        <f t="shared" ca="1" si="1788"/>
        <v>-4.2632564145606011E-14</v>
      </c>
      <c r="CN447" s="235">
        <f t="shared" ca="1" si="1789"/>
        <v>-2.2204460492503131E-14</v>
      </c>
      <c r="CO447" s="235">
        <f t="shared" ca="1" si="1790"/>
        <v>-4.4408920985006262E-14</v>
      </c>
      <c r="CP447" s="235">
        <f t="shared" ca="1" si="1791"/>
        <v>0</v>
      </c>
      <c r="CQ447" s="235">
        <f t="shared" ca="1" si="1792"/>
        <v>1.1102230246251565E-13</v>
      </c>
      <c r="CR447" s="235">
        <f t="shared" ca="1" si="1793"/>
        <v>8.8817841970012523E-14</v>
      </c>
      <c r="CS447" s="235">
        <f t="shared" ca="1" si="1794"/>
        <v>1.1102230246251565E-13</v>
      </c>
      <c r="CT447" s="235">
        <f t="shared" ca="1" si="1795"/>
        <v>8.8817841970012523E-14</v>
      </c>
      <c r="CU447" s="235">
        <f t="shared" ca="1" si="1796"/>
        <v>1.3322676295501878E-13</v>
      </c>
      <c r="CV447" s="235">
        <f t="shared" ca="1" si="1797"/>
        <v>6.6613381477509392E-14</v>
      </c>
      <c r="CW447" s="235">
        <f t="shared" ca="1" si="1798"/>
        <v>8.8817841970012523E-14</v>
      </c>
      <c r="CX447" s="235">
        <f t="shared" ca="1" si="1799"/>
        <v>6.6613381477509392E-14</v>
      </c>
      <c r="CY447" s="235">
        <f t="shared" ca="1" si="1800"/>
        <v>-1.021405182655144E-12</v>
      </c>
      <c r="CZ447" s="235">
        <f t="shared" ca="1" si="1801"/>
        <v>-9.4146912488213275E-12</v>
      </c>
      <c r="DF447" s="258"/>
      <c r="DG447" s="236">
        <v>5.2961467650488592</v>
      </c>
      <c r="DH447" s="492">
        <v>3.0000000000000027</v>
      </c>
      <c r="DI447" s="236">
        <v>1.8380236712362663</v>
      </c>
      <c r="DJ447" s="236">
        <v>-3.0851487294900948</v>
      </c>
      <c r="DK447" s="236">
        <v>-3.4235844071977661</v>
      </c>
      <c r="DL447" s="236">
        <v>10.837873666679009</v>
      </c>
      <c r="DM447" s="236">
        <v>4.5827680121705905</v>
      </c>
      <c r="DN447" s="236">
        <v>0.72090401757065603</v>
      </c>
      <c r="DO447" s="236">
        <v>0.74457129514420295</v>
      </c>
      <c r="DP447" s="236">
        <v>1.7063335959143444</v>
      </c>
      <c r="DQ447" s="258">
        <v>1.7896555973268446</v>
      </c>
      <c r="DR447" s="258">
        <v>1.7461585909935851</v>
      </c>
      <c r="DS447" s="258">
        <v>1.7589084504768593</v>
      </c>
      <c r="DT447" s="258">
        <v>1.7805930850339324</v>
      </c>
      <c r="DU447" s="258">
        <v>1.9715948164367614</v>
      </c>
      <c r="DV447" s="258">
        <v>2.1005890906555802</v>
      </c>
      <c r="DW447" s="258">
        <v>2.110764526932285</v>
      </c>
      <c r="DX447" s="258">
        <v>2.1618421096329721</v>
      </c>
      <c r="DY447" s="258">
        <v>2.2205352163287895</v>
      </c>
      <c r="DZ447" s="258">
        <v>2.211329520104107</v>
      </c>
    </row>
    <row r="448" spans="1:130" hidden="1">
      <c r="A448" s="16" t="str">
        <f t="shared" ref="A448:A454" si="1821">A399</f>
        <v>private consumption volume change in %</v>
      </c>
      <c r="B448" s="3" t="str">
        <f t="shared" ref="B448:B454" si="1822">B399</f>
        <v>gezinsconsumptie (vol.)</v>
      </c>
      <c r="D448" s="3" t="str">
        <f t="shared" ref="D448:D454" si="1823">D399</f>
        <v>%</v>
      </c>
      <c r="E448" s="3"/>
      <c r="F448" s="16">
        <f t="shared" ref="F448:F454" si="1824">F399</f>
        <v>0</v>
      </c>
      <c r="G448" s="16">
        <f t="shared" ref="G448:BQ448" si="1825">G399</f>
        <v>7.3390040228963116</v>
      </c>
      <c r="H448" s="16">
        <f t="shared" si="1825"/>
        <v>2.6388795455772884</v>
      </c>
      <c r="I448" s="16">
        <f t="shared" si="1825"/>
        <v>-0.32933130397060362</v>
      </c>
      <c r="J448" s="16">
        <f t="shared" si="1825"/>
        <v>12.571346689881825</v>
      </c>
      <c r="K448" s="16">
        <f t="shared" si="1825"/>
        <v>10.081482820506604</v>
      </c>
      <c r="L448" s="16">
        <f t="shared" si="1825"/>
        <v>8.8673386326018075</v>
      </c>
      <c r="M448" s="16">
        <f t="shared" si="1825"/>
        <v>1.3019023107636807</v>
      </c>
      <c r="N448" s="16">
        <f t="shared" si="1825"/>
        <v>3.8906708851035532</v>
      </c>
      <c r="O448" s="16">
        <f t="shared" si="1825"/>
        <v>3.4032291347809052</v>
      </c>
      <c r="P448" s="16">
        <f t="shared" si="1825"/>
        <v>-1.2253642083992711</v>
      </c>
      <c r="Q448" s="16">
        <f t="shared" si="1825"/>
        <v>15.179955720948769</v>
      </c>
      <c r="R448" s="16">
        <f t="shared" si="1825"/>
        <v>20.23428046930109</v>
      </c>
      <c r="S448" s="16">
        <f t="shared" si="1825"/>
        <v>20.410849927940955</v>
      </c>
      <c r="T448" s="16">
        <f t="shared" si="1825"/>
        <v>5.5686416278327489</v>
      </c>
      <c r="U448" s="16">
        <f t="shared" si="1825"/>
        <v>-0.42705407948863128</v>
      </c>
      <c r="V448" s="16">
        <f t="shared" si="1825"/>
        <v>3.2803776323282241</v>
      </c>
      <c r="W448" s="16">
        <f t="shared" si="1825"/>
        <v>5.1159334232486087</v>
      </c>
      <c r="X448" s="16">
        <f t="shared" si="1825"/>
        <v>-2.6387691217976017</v>
      </c>
      <c r="Y448" s="16">
        <f t="shared" si="1825"/>
        <v>1.7971793272973713</v>
      </c>
      <c r="Z448" s="16">
        <f t="shared" si="1825"/>
        <v>-7.4577776208422435</v>
      </c>
      <c r="AA448" s="16">
        <f t="shared" si="1825"/>
        <v>12.310251728476263</v>
      </c>
      <c r="AB448" s="16">
        <f t="shared" si="1825"/>
        <v>13.370247992216111</v>
      </c>
      <c r="AC448" s="16">
        <f t="shared" si="1825"/>
        <v>27.398637813167692</v>
      </c>
      <c r="AD448" s="16">
        <f t="shared" si="1825"/>
        <v>4.1445553198673935</v>
      </c>
      <c r="AE448" s="16">
        <f t="shared" si="1825"/>
        <v>-8.73661927596312</v>
      </c>
      <c r="AF448" s="16">
        <f t="shared" si="1825"/>
        <v>-11.262380887123602</v>
      </c>
      <c r="AG448" s="16">
        <f t="shared" si="1825"/>
        <v>6.6350962051543227</v>
      </c>
      <c r="AH448" s="16">
        <f t="shared" si="1825"/>
        <v>-0.51357111361332031</v>
      </c>
      <c r="AI448" s="16">
        <f t="shared" si="1825"/>
        <v>-7.5541766252895659E-2</v>
      </c>
      <c r="AJ448" s="16">
        <f t="shared" si="1825"/>
        <v>-8.5749848830396154</v>
      </c>
      <c r="AK448" s="16">
        <f t="shared" si="1825"/>
        <v>-15.612115599293618</v>
      </c>
      <c r="AL448" s="16">
        <f t="shared" si="1825"/>
        <v>-18.24505087266899</v>
      </c>
      <c r="AM448" s="16">
        <f t="shared" si="1825"/>
        <v>-35.919250742109973</v>
      </c>
      <c r="AN448" s="16">
        <f t="shared" si="1825"/>
        <v>9.350262849456481</v>
      </c>
      <c r="AO448" s="16">
        <f t="shared" si="1825"/>
        <v>11.219381646507376</v>
      </c>
      <c r="AP448" s="16">
        <f t="shared" si="1825"/>
        <v>16.402826393167324</v>
      </c>
      <c r="AQ448" s="16">
        <f t="shared" si="1825"/>
        <v>9.6136580182167428</v>
      </c>
      <c r="AR448" s="16">
        <f t="shared" si="1825"/>
        <v>-6.7391282409310698</v>
      </c>
      <c r="AS448" s="16">
        <f t="shared" si="1825"/>
        <v>-38.10454956931126</v>
      </c>
      <c r="AT448" s="16">
        <f t="shared" si="1825"/>
        <v>-604.80875454706995</v>
      </c>
      <c r="AU448" s="16">
        <f t="shared" si="1825"/>
        <v>-118.71973962012612</v>
      </c>
      <c r="AV448" s="16">
        <f t="shared" si="1825"/>
        <v>-7.244456639527197</v>
      </c>
      <c r="AW448" s="16">
        <f t="shared" si="1825"/>
        <v>25.851320950081668</v>
      </c>
      <c r="AX448" s="16">
        <f t="shared" si="1825"/>
        <v>27.466711710812231</v>
      </c>
      <c r="AY448" s="16">
        <f t="shared" si="1825"/>
        <v>-21.346895857753502</v>
      </c>
      <c r="AZ448" s="16">
        <f t="shared" si="1825"/>
        <v>11.502393297964364</v>
      </c>
      <c r="BA448" s="16">
        <f t="shared" si="1825"/>
        <v>-2.5958125979159363</v>
      </c>
      <c r="BB448" s="16">
        <f t="shared" si="1825"/>
        <v>17.775577565311917</v>
      </c>
      <c r="BC448" s="16">
        <f t="shared" si="1825"/>
        <v>7.7352441656345805</v>
      </c>
      <c r="BD448" s="16">
        <f t="shared" si="1825"/>
        <v>-2.081055631001083</v>
      </c>
      <c r="BE448" s="16">
        <f t="shared" ca="1" si="1825"/>
        <v>9.4627693376795996</v>
      </c>
      <c r="BF448" s="16">
        <f t="shared" ca="1" si="1825"/>
        <v>21.224212931532136</v>
      </c>
      <c r="BG448" s="16">
        <f t="shared" ca="1" si="1825"/>
        <v>7.2528083023283507</v>
      </c>
      <c r="BH448" s="16">
        <f t="shared" ca="1" si="1825"/>
        <v>3.5402991153023144</v>
      </c>
      <c r="BI448" s="16">
        <f t="shared" ca="1" si="1825"/>
        <v>-1.9102231373065215</v>
      </c>
      <c r="BJ448" s="16">
        <f t="shared" ca="1" si="1825"/>
        <v>-5.625367033844797</v>
      </c>
      <c r="BK448" s="1">
        <f t="shared" ref="BK448:BP448" ca="1" si="1826">BK399</f>
        <v>28.527500341343483</v>
      </c>
      <c r="BL448" s="1">
        <f t="shared" ca="1" si="1826"/>
        <v>1.0752539396325034</v>
      </c>
      <c r="BM448" s="1">
        <f t="shared" ca="1" si="1826"/>
        <v>14.755016667196074</v>
      </c>
      <c r="BN448" s="1">
        <f t="shared" ca="1" si="1826"/>
        <v>-0.8572203348437557</v>
      </c>
      <c r="BO448" s="1">
        <f t="shared" ca="1" si="1826"/>
        <v>0.55025478091603741</v>
      </c>
      <c r="BP448" s="1">
        <f t="shared" ca="1" si="1826"/>
        <v>-12.880640768921525</v>
      </c>
      <c r="BQ448" s="1">
        <f t="shared" ca="1" si="1825"/>
        <v>12.067421226812192</v>
      </c>
      <c r="BR448" s="1">
        <f t="shared" ref="BR448:BS454" ca="1" si="1827">BR399</f>
        <v>8.3276482389694984</v>
      </c>
      <c r="BS448" s="1">
        <f t="shared" ca="1" si="1827"/>
        <v>2.517187182193914</v>
      </c>
      <c r="BT448" s="1">
        <f t="shared" ref="BT448:BU454" ca="1" si="1828">BT399</f>
        <v>0.20419344570181686</v>
      </c>
      <c r="BU448" s="1">
        <f t="shared" ca="1" si="1828"/>
        <v>0.67685147857550199</v>
      </c>
      <c r="BV448" s="1">
        <f t="shared" ref="BV448:BV454" ca="1" si="1829">BV399</f>
        <v>1.1047090988301589</v>
      </c>
      <c r="BW448" s="1">
        <f t="shared" ref="BW448:BX448" ca="1" si="1830">BW399</f>
        <v>1.0880088118082831</v>
      </c>
      <c r="BX448" s="1">
        <f t="shared" ca="1" si="1830"/>
        <v>1.1189389564121521</v>
      </c>
      <c r="BY448" s="1">
        <f t="shared" ref="BY448:CD448" ca="1" si="1831">BY399</f>
        <v>1.1640948848801402</v>
      </c>
      <c r="BZ448" s="1">
        <f t="shared" ca="1" si="1831"/>
        <v>1.3316998768982069</v>
      </c>
      <c r="CA448" s="1">
        <f t="shared" ca="1" si="1831"/>
        <v>1.5304948941178065</v>
      </c>
      <c r="CB448" s="1">
        <f t="shared" ca="1" si="1831"/>
        <v>1.5693843911199101</v>
      </c>
      <c r="CC448" s="1">
        <f t="shared" ca="1" si="1831"/>
        <v>1.6354946438722928</v>
      </c>
      <c r="CD448" s="1">
        <f t="shared" ca="1" si="1831"/>
        <v>1.714845448516189</v>
      </c>
      <c r="CE448" s="101">
        <f t="shared" ca="1" si="1489"/>
        <v>1.4825366619189106</v>
      </c>
      <c r="CG448" s="235">
        <f t="shared" ca="1" si="1783"/>
        <v>-1.3608881550072098</v>
      </c>
      <c r="CH448" s="235">
        <f t="shared" ca="1" si="1784"/>
        <v>6.5098899514347996</v>
      </c>
      <c r="CI448" s="235" t="e">
        <f ca="1">BM448-#REF!</f>
        <v>#REF!</v>
      </c>
      <c r="CJ448" s="235">
        <f t="shared" ca="1" si="1785"/>
        <v>2.2204460492503131E-14</v>
      </c>
      <c r="CK448" s="235">
        <f t="shared" ca="1" si="1786"/>
        <v>0</v>
      </c>
      <c r="CL448" s="235">
        <f t="shared" ca="1" si="1787"/>
        <v>0</v>
      </c>
      <c r="CM448" s="235">
        <f t="shared" ca="1" si="1788"/>
        <v>-2.3092638912203256E-14</v>
      </c>
      <c r="CN448" s="235">
        <f t="shared" ca="1" si="1789"/>
        <v>-2.1316282072803006E-14</v>
      </c>
      <c r="CO448" s="235">
        <f t="shared" ca="1" si="1790"/>
        <v>0</v>
      </c>
      <c r="CP448" s="235">
        <f t="shared" ca="1" si="1791"/>
        <v>2.2204460492503131E-14</v>
      </c>
      <c r="CQ448" s="235">
        <f t="shared" ca="1" si="1792"/>
        <v>6.6613381477509392E-14</v>
      </c>
      <c r="CR448" s="235">
        <f t="shared" ca="1" si="1793"/>
        <v>6.6613381477509392E-14</v>
      </c>
      <c r="CS448" s="235">
        <f t="shared" ca="1" si="1794"/>
        <v>2.2204460492503131E-14</v>
      </c>
      <c r="CT448" s="235">
        <f t="shared" ca="1" si="1795"/>
        <v>0</v>
      </c>
      <c r="CU448" s="235">
        <f t="shared" ca="1" si="1796"/>
        <v>4.4408920985006262E-14</v>
      </c>
      <c r="CV448" s="235">
        <f t="shared" ca="1" si="1797"/>
        <v>4.4408920985006262E-14</v>
      </c>
      <c r="CW448" s="235">
        <f t="shared" ca="1" si="1798"/>
        <v>-8.8817841970012523E-14</v>
      </c>
      <c r="CX448" s="235">
        <f t="shared" ca="1" si="1799"/>
        <v>-2.375877272697835E-12</v>
      </c>
      <c r="CY448" s="235">
        <f t="shared" ca="1" si="1800"/>
        <v>-2.1604940059205546E-11</v>
      </c>
      <c r="CZ448" s="235">
        <f t="shared" ca="1" si="1801"/>
        <v>-1.4477308241112041E-10</v>
      </c>
      <c r="DF448" s="258"/>
      <c r="DG448" s="236">
        <v>29.888388496350693</v>
      </c>
      <c r="DH448" s="492">
        <v>-5.4346360118022963</v>
      </c>
      <c r="DI448" s="236">
        <v>-0.85722033484377791</v>
      </c>
      <c r="DJ448" s="236">
        <v>0.55025478091603741</v>
      </c>
      <c r="DK448" s="236">
        <v>-12.880640768921525</v>
      </c>
      <c r="DL448" s="236">
        <v>12.067421226812215</v>
      </c>
      <c r="DM448" s="236">
        <v>8.3276482389695197</v>
      </c>
      <c r="DN448" s="236">
        <v>2.517187182193914</v>
      </c>
      <c r="DO448" s="236">
        <v>0.20419344570179465</v>
      </c>
      <c r="DP448" s="236">
        <v>0.67685147857543537</v>
      </c>
      <c r="DQ448" s="258">
        <v>1.1047090988300923</v>
      </c>
      <c r="DR448" s="258">
        <v>1.0880088118082609</v>
      </c>
      <c r="DS448" s="258">
        <v>1.1189389564121521</v>
      </c>
      <c r="DT448" s="258">
        <v>1.1640948848800958</v>
      </c>
      <c r="DU448" s="258">
        <v>1.3316998768981625</v>
      </c>
      <c r="DV448" s="258">
        <v>1.5304948941178953</v>
      </c>
      <c r="DW448" s="258">
        <v>1.569384391122286</v>
      </c>
      <c r="DX448" s="258">
        <v>1.6354946438938978</v>
      </c>
      <c r="DY448" s="258">
        <v>1.7148454486609621</v>
      </c>
      <c r="DZ448" s="258">
        <v>1.4360758768652437</v>
      </c>
    </row>
    <row r="449" spans="1:130" hidden="1">
      <c r="A449" s="16" t="str">
        <f t="shared" si="1821"/>
        <v>public consumption voolume change in %</v>
      </c>
      <c r="B449" s="3" t="str">
        <f t="shared" si="1822"/>
        <v>overheidsconsumptie (vol.)</v>
      </c>
      <c r="D449" s="3" t="str">
        <f t="shared" si="1823"/>
        <v>%</v>
      </c>
      <c r="E449" s="3"/>
      <c r="F449" s="16">
        <f t="shared" si="1824"/>
        <v>0</v>
      </c>
      <c r="G449" s="16">
        <f t="shared" ref="G449:BQ449" si="1832">G400</f>
        <v>0</v>
      </c>
      <c r="H449" s="16">
        <f t="shared" si="1832"/>
        <v>0</v>
      </c>
      <c r="I449" s="16">
        <f t="shared" si="1832"/>
        <v>0</v>
      </c>
      <c r="J449" s="16">
        <f t="shared" si="1832"/>
        <v>0</v>
      </c>
      <c r="K449" s="16">
        <f t="shared" si="1832"/>
        <v>0</v>
      </c>
      <c r="L449" s="16">
        <f t="shared" si="1832"/>
        <v>0</v>
      </c>
      <c r="M449" s="16">
        <f t="shared" si="1832"/>
        <v>0</v>
      </c>
      <c r="N449" s="16">
        <f t="shared" si="1832"/>
        <v>0</v>
      </c>
      <c r="O449" s="16">
        <f t="shared" si="1832"/>
        <v>0</v>
      </c>
      <c r="P449" s="16">
        <f t="shared" si="1832"/>
        <v>0</v>
      </c>
      <c r="Q449" s="16">
        <f t="shared" si="1832"/>
        <v>0</v>
      </c>
      <c r="R449" s="16">
        <f t="shared" si="1832"/>
        <v>0</v>
      </c>
      <c r="S449" s="16">
        <f t="shared" si="1832"/>
        <v>0</v>
      </c>
      <c r="T449" s="16">
        <f t="shared" si="1832"/>
        <v>0</v>
      </c>
      <c r="U449" s="16">
        <f t="shared" si="1832"/>
        <v>0</v>
      </c>
      <c r="V449" s="16">
        <f t="shared" si="1832"/>
        <v>0</v>
      </c>
      <c r="W449" s="16">
        <f t="shared" si="1832"/>
        <v>0</v>
      </c>
      <c r="X449" s="16">
        <f t="shared" si="1832"/>
        <v>0</v>
      </c>
      <c r="Y449" s="16">
        <f t="shared" si="1832"/>
        <v>0</v>
      </c>
      <c r="Z449" s="16">
        <f t="shared" si="1832"/>
        <v>0</v>
      </c>
      <c r="AA449" s="16">
        <f t="shared" si="1832"/>
        <v>0</v>
      </c>
      <c r="AB449" s="16">
        <f t="shared" si="1832"/>
        <v>0</v>
      </c>
      <c r="AC449" s="16">
        <f t="shared" si="1832"/>
        <v>0</v>
      </c>
      <c r="AD449" s="16">
        <f t="shared" si="1832"/>
        <v>0</v>
      </c>
      <c r="AE449" s="16">
        <f t="shared" si="1832"/>
        <v>0</v>
      </c>
      <c r="AF449" s="16">
        <f t="shared" si="1832"/>
        <v>0</v>
      </c>
      <c r="AG449" s="16">
        <f t="shared" si="1832"/>
        <v>0</v>
      </c>
      <c r="AH449" s="16">
        <f t="shared" si="1832"/>
        <v>0</v>
      </c>
      <c r="AI449" s="16">
        <f t="shared" si="1832"/>
        <v>0</v>
      </c>
      <c r="AJ449" s="16">
        <f t="shared" si="1832"/>
        <v>0</v>
      </c>
      <c r="AK449" s="16">
        <f t="shared" si="1832"/>
        <v>0</v>
      </c>
      <c r="AL449" s="16">
        <f t="shared" si="1832"/>
        <v>0</v>
      </c>
      <c r="AM449" s="16">
        <f t="shared" si="1832"/>
        <v>0</v>
      </c>
      <c r="AN449" s="16">
        <f t="shared" si="1832"/>
        <v>0</v>
      </c>
      <c r="AO449" s="16">
        <f t="shared" si="1832"/>
        <v>0</v>
      </c>
      <c r="AP449" s="16">
        <f t="shared" si="1832"/>
        <v>0</v>
      </c>
      <c r="AQ449" s="16">
        <f t="shared" si="1832"/>
        <v>0</v>
      </c>
      <c r="AR449" s="16">
        <f t="shared" si="1832"/>
        <v>0</v>
      </c>
      <c r="AS449" s="16">
        <f t="shared" si="1832"/>
        <v>0</v>
      </c>
      <c r="AT449" s="16">
        <f t="shared" si="1832"/>
        <v>0</v>
      </c>
      <c r="AU449" s="16">
        <f t="shared" si="1832"/>
        <v>0</v>
      </c>
      <c r="AV449" s="16" t="str">
        <f t="shared" si="1832"/>
        <v xml:space="preserve"> </v>
      </c>
      <c r="AW449" s="16">
        <f t="shared" si="1832"/>
        <v>30.214390130680748</v>
      </c>
      <c r="AX449" s="16">
        <f t="shared" si="1832"/>
        <v>39.390043006718976</v>
      </c>
      <c r="AY449" s="16">
        <f t="shared" si="1832"/>
        <v>-25.650314152133813</v>
      </c>
      <c r="AZ449" s="16">
        <f t="shared" si="1832"/>
        <v>-46.368201387673246</v>
      </c>
      <c r="BA449" s="16">
        <f t="shared" si="1832"/>
        <v>-2.1717023579539863</v>
      </c>
      <c r="BB449" s="16">
        <f t="shared" si="1832"/>
        <v>-53.320268478895329</v>
      </c>
      <c r="BC449" s="16">
        <f t="shared" si="1832"/>
        <v>-43.550497843337347</v>
      </c>
      <c r="BD449" s="16">
        <f t="shared" si="1832"/>
        <v>256.7695064787697</v>
      </c>
      <c r="BE449" s="16">
        <f t="shared" si="1832"/>
        <v>42.448649906830042</v>
      </c>
      <c r="BF449" s="16">
        <f t="shared" si="1832"/>
        <v>32.404841100590851</v>
      </c>
      <c r="BG449" s="16">
        <f t="shared" si="1832"/>
        <v>11.001302754798758</v>
      </c>
      <c r="BH449" s="16">
        <f t="shared" si="1832"/>
        <v>-14.702266722584589</v>
      </c>
      <c r="BI449" s="16">
        <f t="shared" si="1832"/>
        <v>44.965000487588114</v>
      </c>
      <c r="BJ449" s="16">
        <f t="shared" si="1832"/>
        <v>-1.5709657568311886</v>
      </c>
      <c r="BK449" s="1">
        <f t="shared" ref="BK449:BP449" si="1833">BK400</f>
        <v>-11.610143518832761</v>
      </c>
      <c r="BL449" s="1">
        <f t="shared" si="1833"/>
        <v>77.667400868458685</v>
      </c>
      <c r="BM449" s="1">
        <f t="shared" si="1833"/>
        <v>-12.149853662980926</v>
      </c>
      <c r="BN449" s="1">
        <f t="shared" si="1833"/>
        <v>-14.85891349902232</v>
      </c>
      <c r="BO449" s="1">
        <f t="shared" si="1833"/>
        <v>3.75480892324771</v>
      </c>
      <c r="BP449" s="1">
        <f t="shared" ca="1" si="1833"/>
        <v>1.8136366901820855</v>
      </c>
      <c r="BQ449" s="1">
        <f t="shared" ca="1" si="1832"/>
        <v>1.8414532516263016</v>
      </c>
      <c r="BR449" s="1">
        <f t="shared" ca="1" si="1827"/>
        <v>1.6372165664217286</v>
      </c>
      <c r="BS449" s="1">
        <f t="shared" ca="1" si="1827"/>
        <v>1.6467955555437674</v>
      </c>
      <c r="BT449" s="1">
        <f t="shared" ca="1" si="1828"/>
        <v>1.6564785014951955</v>
      </c>
      <c r="BU449" s="1">
        <f t="shared" ca="1" si="1828"/>
        <v>1.6662659971220961</v>
      </c>
      <c r="BV449" s="1">
        <f t="shared" ca="1" si="1829"/>
        <v>1.6761586020277441</v>
      </c>
      <c r="BW449" s="1">
        <f t="shared" ref="BW449:BX449" ca="1" si="1834">BW400</f>
        <v>1.4102591296428102</v>
      </c>
      <c r="BX449" s="1">
        <f t="shared" ca="1" si="1834"/>
        <v>1.420495481692341</v>
      </c>
      <c r="BY449" s="1">
        <f t="shared" ref="BY449:CD449" ca="1" si="1835">BY400</f>
        <v>1.4308163836212584</v>
      </c>
      <c r="BZ449" s="1">
        <f t="shared" ca="1" si="1835"/>
        <v>1.4412229075636329</v>
      </c>
      <c r="CA449" s="1">
        <f t="shared" ca="1" si="1835"/>
        <v>1.451716105670986</v>
      </c>
      <c r="CB449" s="1">
        <f t="shared" ca="1" si="1835"/>
        <v>1.2278202695786611</v>
      </c>
      <c r="CC449" s="1">
        <f t="shared" ca="1" si="1835"/>
        <v>1.2378802515546461</v>
      </c>
      <c r="CD449" s="1">
        <f t="shared" ca="1" si="1835"/>
        <v>1.2480072971162492</v>
      </c>
      <c r="CE449" s="101">
        <f t="shared" ca="1" si="1489"/>
        <v>1.6600644946317007</v>
      </c>
      <c r="CG449" s="235">
        <f t="shared" si="1783"/>
        <v>1.3773716898601407E-2</v>
      </c>
      <c r="CH449" s="235">
        <f t="shared" si="1784"/>
        <v>0</v>
      </c>
      <c r="CI449" s="235" t="e">
        <f>BM449-#REF!</f>
        <v>#REF!</v>
      </c>
      <c r="CJ449" s="235">
        <f t="shared" si="1785"/>
        <v>0</v>
      </c>
      <c r="CK449" s="235">
        <f t="shared" si="1786"/>
        <v>0</v>
      </c>
      <c r="CL449" s="235">
        <f t="shared" ca="1" si="1787"/>
        <v>2.2204460492503131E-14</v>
      </c>
      <c r="CM449" s="235">
        <f t="shared" ca="1" si="1788"/>
        <v>0</v>
      </c>
      <c r="CN449" s="235">
        <f t="shared" ca="1" si="1789"/>
        <v>0</v>
      </c>
      <c r="CO449" s="235">
        <f t="shared" ca="1" si="1790"/>
        <v>0</v>
      </c>
      <c r="CP449" s="235">
        <f t="shared" ca="1" si="1791"/>
        <v>-2.2204460492503131E-14</v>
      </c>
      <c r="CQ449" s="235">
        <f t="shared" ca="1" si="1792"/>
        <v>2.2204460492503131E-14</v>
      </c>
      <c r="CR449" s="235">
        <f t="shared" ca="1" si="1793"/>
        <v>2.2204460492503131E-14</v>
      </c>
      <c r="CS449" s="235">
        <f t="shared" ca="1" si="1794"/>
        <v>2.2204460492503131E-14</v>
      </c>
      <c r="CT449" s="235">
        <f t="shared" ca="1" si="1795"/>
        <v>-2.2204460492503131E-14</v>
      </c>
      <c r="CU449" s="235">
        <f t="shared" ca="1" si="1796"/>
        <v>0</v>
      </c>
      <c r="CV449" s="235">
        <f t="shared" ca="1" si="1797"/>
        <v>0</v>
      </c>
      <c r="CW449" s="235">
        <f t="shared" ca="1" si="1798"/>
        <v>4.4408920985006262E-14</v>
      </c>
      <c r="CX449" s="235">
        <f t="shared" ca="1" si="1799"/>
        <v>1.0658141036401503E-12</v>
      </c>
      <c r="CY449" s="235">
        <f t="shared" ca="1" si="1800"/>
        <v>9.3258734068513149E-12</v>
      </c>
      <c r="CZ449" s="235">
        <f t="shared" ca="1" si="1801"/>
        <v>5.6221693967017927E-11</v>
      </c>
      <c r="DF449" s="258"/>
      <c r="DG449" s="236">
        <v>-11.623917235731362</v>
      </c>
      <c r="DH449" s="492">
        <v>77.667400868458685</v>
      </c>
      <c r="DI449" s="236">
        <v>-14.85891349902232</v>
      </c>
      <c r="DJ449" s="236">
        <v>3.75480892324771</v>
      </c>
      <c r="DK449" s="236">
        <v>1.8136366901820633</v>
      </c>
      <c r="DL449" s="236">
        <v>1.8414532516263016</v>
      </c>
      <c r="DM449" s="236">
        <v>1.6372165664217286</v>
      </c>
      <c r="DN449" s="236">
        <v>1.6467955555437674</v>
      </c>
      <c r="DO449" s="236">
        <v>1.6564785014952177</v>
      </c>
      <c r="DP449" s="236">
        <v>1.6662659971220739</v>
      </c>
      <c r="DQ449" s="258">
        <v>1.6761586020277219</v>
      </c>
      <c r="DR449" s="258">
        <v>1.410259129642788</v>
      </c>
      <c r="DS449" s="258">
        <v>1.4204954816923632</v>
      </c>
      <c r="DT449" s="258">
        <v>1.4308163836212584</v>
      </c>
      <c r="DU449" s="258">
        <v>1.4412229075636329</v>
      </c>
      <c r="DV449" s="258">
        <v>1.4517161056709416</v>
      </c>
      <c r="DW449" s="258">
        <v>1.2278202695775953</v>
      </c>
      <c r="DX449" s="258">
        <v>1.2378802515453202</v>
      </c>
      <c r="DY449" s="258">
        <v>1.2480072970600276</v>
      </c>
      <c r="DZ449" s="258">
        <v>1.6600644946316983</v>
      </c>
    </row>
    <row r="450" spans="1:130" hidden="1">
      <c r="A450" s="16" t="str">
        <f t="shared" si="1821"/>
        <v>investments of enterprises volume  % change</v>
      </c>
      <c r="B450" s="3" t="str">
        <f t="shared" si="1822"/>
        <v>investeringen van bedrijven (vol.)</v>
      </c>
      <c r="D450" s="3" t="str">
        <f t="shared" si="1823"/>
        <v>%</v>
      </c>
      <c r="E450" s="3"/>
      <c r="F450" s="16">
        <f t="shared" si="1824"/>
        <v>0</v>
      </c>
      <c r="G450" s="16">
        <f t="shared" ref="G450:BQ450" si="1836">G401</f>
        <v>5.7224366504446955</v>
      </c>
      <c r="H450" s="16">
        <f t="shared" si="1836"/>
        <v>9.7105538551955028</v>
      </c>
      <c r="I450" s="16">
        <f t="shared" si="1836"/>
        <v>36.030681391408905</v>
      </c>
      <c r="J450" s="16">
        <f t="shared" si="1836"/>
        <v>1.5587459364294398</v>
      </c>
      <c r="K450" s="16">
        <f t="shared" si="1836"/>
        <v>10.954348551685467</v>
      </c>
      <c r="L450" s="16">
        <f t="shared" si="1836"/>
        <v>-8.3644222740997911</v>
      </c>
      <c r="M450" s="16">
        <f t="shared" si="1836"/>
        <v>14.458143426626258</v>
      </c>
      <c r="N450" s="16">
        <f t="shared" si="1836"/>
        <v>3.648409496722671</v>
      </c>
      <c r="O450" s="16">
        <f t="shared" si="1836"/>
        <v>21.860930873855743</v>
      </c>
      <c r="P450" s="16">
        <f t="shared" si="1836"/>
        <v>105.41498726752492</v>
      </c>
      <c r="Q450" s="16">
        <f t="shared" si="1836"/>
        <v>-2.4604942967234256</v>
      </c>
      <c r="R450" s="16">
        <f t="shared" si="1836"/>
        <v>-28.930510496641094</v>
      </c>
      <c r="S450" s="16">
        <f t="shared" si="1836"/>
        <v>-27.819482133059282</v>
      </c>
      <c r="T450" s="16">
        <f t="shared" si="1836"/>
        <v>-12.979040835457523</v>
      </c>
      <c r="U450" s="16">
        <f t="shared" si="1836"/>
        <v>-24.772856761643279</v>
      </c>
      <c r="V450" s="16">
        <f t="shared" si="1836"/>
        <v>-15.15809105381225</v>
      </c>
      <c r="W450" s="16">
        <f t="shared" si="1836"/>
        <v>17.240387117295452</v>
      </c>
      <c r="X450" s="16">
        <f t="shared" si="1836"/>
        <v>22.138835994223506</v>
      </c>
      <c r="Y450" s="16">
        <f t="shared" si="1836"/>
        <v>-0.5636700901471503</v>
      </c>
      <c r="Z450" s="16">
        <f t="shared" si="1836"/>
        <v>52.641575991198543</v>
      </c>
      <c r="AA450" s="16">
        <f t="shared" si="1836"/>
        <v>8.4544017206354951</v>
      </c>
      <c r="AB450" s="16">
        <f t="shared" si="1836"/>
        <v>-47.79770986053893</v>
      </c>
      <c r="AC450" s="16">
        <f t="shared" si="1836"/>
        <v>19.73656089996112</v>
      </c>
      <c r="AD450" s="16">
        <f t="shared" si="1836"/>
        <v>-16.278428019076905</v>
      </c>
      <c r="AE450" s="16">
        <f t="shared" si="1836"/>
        <v>-16.043022546341202</v>
      </c>
      <c r="AF450" s="16">
        <f t="shared" si="1836"/>
        <v>43.796543054372265</v>
      </c>
      <c r="AG450" s="16">
        <f t="shared" si="1836"/>
        <v>29.901741734713649</v>
      </c>
      <c r="AH450" s="16">
        <f t="shared" si="1836"/>
        <v>-19.36093472733441</v>
      </c>
      <c r="AI450" s="16">
        <f t="shared" si="1836"/>
        <v>-51.303451421207114</v>
      </c>
      <c r="AJ450" s="16">
        <f t="shared" si="1836"/>
        <v>-19.10408132358452</v>
      </c>
      <c r="AK450" s="16">
        <f t="shared" si="1836"/>
        <v>22.885281542066259</v>
      </c>
      <c r="AL450" s="16">
        <f t="shared" si="1836"/>
        <v>-10.766413721185097</v>
      </c>
      <c r="AM450" s="16">
        <f t="shared" si="1836"/>
        <v>-22.787918593717716</v>
      </c>
      <c r="AN450" s="16">
        <f t="shared" si="1836"/>
        <v>10.580547876350854</v>
      </c>
      <c r="AO450" s="16">
        <f t="shared" si="1836"/>
        <v>-15.470492638901822</v>
      </c>
      <c r="AP450" s="16">
        <f t="shared" si="1836"/>
        <v>109.0054738578591</v>
      </c>
      <c r="AQ450" s="16">
        <f t="shared" si="1836"/>
        <v>-0.33106868716012983</v>
      </c>
      <c r="AR450" s="16">
        <f t="shared" si="1836"/>
        <v>2.4741186031544293</v>
      </c>
      <c r="AS450" s="16">
        <f t="shared" si="1836"/>
        <v>-12.617055651521136</v>
      </c>
      <c r="AT450" s="16">
        <f t="shared" si="1836"/>
        <v>96.792203710165722</v>
      </c>
      <c r="AU450" s="16">
        <f t="shared" si="1836"/>
        <v>-52.446240840195927</v>
      </c>
      <c r="AV450" s="16">
        <f t="shared" si="1836"/>
        <v>325.35479681063413</v>
      </c>
      <c r="AW450" s="16">
        <f t="shared" si="1836"/>
        <v>-25.32317602409384</v>
      </c>
      <c r="AX450" s="16">
        <f t="shared" si="1836"/>
        <v>-58.521881138016539</v>
      </c>
      <c r="AY450" s="16">
        <f t="shared" si="1836"/>
        <v>-13.643085999461125</v>
      </c>
      <c r="AZ450" s="16">
        <f t="shared" si="1836"/>
        <v>-9.451386914309678</v>
      </c>
      <c r="BA450" s="16">
        <f t="shared" si="1836"/>
        <v>129.6136265396529</v>
      </c>
      <c r="BB450" s="16">
        <f t="shared" si="1836"/>
        <v>0.25391506441179157</v>
      </c>
      <c r="BC450" s="16">
        <f t="shared" ca="1" si="1836"/>
        <v>60.792437006468994</v>
      </c>
      <c r="BD450" s="16">
        <f t="shared" ca="1" si="1836"/>
        <v>-13.526705361499936</v>
      </c>
      <c r="BE450" s="16">
        <f t="shared" ca="1" si="1836"/>
        <v>84.650703354627652</v>
      </c>
      <c r="BF450" s="16">
        <f t="shared" ca="1" si="1836"/>
        <v>-30.006612400688169</v>
      </c>
      <c r="BG450" s="16">
        <f t="shared" ca="1" si="1836"/>
        <v>10.811282470541794</v>
      </c>
      <c r="BH450" s="16">
        <f t="shared" ca="1" si="1836"/>
        <v>13.952418831384117</v>
      </c>
      <c r="BI450" s="16">
        <f t="shared" ca="1" si="1836"/>
        <v>3.8596160334663621</v>
      </c>
      <c r="BJ450" s="16">
        <f t="shared" ca="1" si="1836"/>
        <v>9.771792016883829E-2</v>
      </c>
      <c r="BK450" s="1">
        <f t="shared" ref="BK450:BP450" ca="1" si="1837">BK401</f>
        <v>16.265388444023742</v>
      </c>
      <c r="BL450" s="1">
        <f t="shared" ca="1" si="1837"/>
        <v>26.410604518225899</v>
      </c>
      <c r="BM450" s="1">
        <f t="shared" ca="1" si="1837"/>
        <v>-11.3408771544242</v>
      </c>
      <c r="BN450" s="1">
        <f t="shared" ca="1" si="1837"/>
        <v>16.694782114039832</v>
      </c>
      <c r="BO450" s="1">
        <f t="shared" ca="1" si="1837"/>
        <v>29.363453775279737</v>
      </c>
      <c r="BP450" s="1">
        <f t="shared" ca="1" si="1837"/>
        <v>2.8062100698504011</v>
      </c>
      <c r="BQ450" s="1">
        <f t="shared" ca="1" si="1836"/>
        <v>0.14687971744493655</v>
      </c>
      <c r="BR450" s="1">
        <f t="shared" ca="1" si="1827"/>
        <v>-1.0053090897165551</v>
      </c>
      <c r="BS450" s="1">
        <f t="shared" ca="1" si="1827"/>
        <v>1.6742706132401919</v>
      </c>
      <c r="BT450" s="1">
        <f t="shared" ca="1" si="1828"/>
        <v>0.37982994381122737</v>
      </c>
      <c r="BU450" s="1">
        <f t="shared" ca="1" si="1828"/>
        <v>2.1880019869032985</v>
      </c>
      <c r="BV450" s="1">
        <f t="shared" ca="1" si="1829"/>
        <v>1.2147232704763367</v>
      </c>
      <c r="BW450" s="1">
        <f t="shared" ref="BW450:BX450" ca="1" si="1838">BW401</f>
        <v>1.2614573697690812</v>
      </c>
      <c r="BX450" s="1">
        <f t="shared" ca="1" si="1838"/>
        <v>1.2770315716250424</v>
      </c>
      <c r="BY450" s="1">
        <f t="shared" ref="BY450:CD450" ca="1" si="1839">BY401</f>
        <v>1.3109133047727761</v>
      </c>
      <c r="BZ450" s="1">
        <f t="shared" ca="1" si="1839"/>
        <v>1.4257711207288359</v>
      </c>
      <c r="CA450" s="1">
        <f t="shared" ca="1" si="1839"/>
        <v>1.5901262948854855</v>
      </c>
      <c r="CB450" s="1">
        <f t="shared" ca="1" si="1839"/>
        <v>1.6810123308701685</v>
      </c>
      <c r="CC450" s="1">
        <f t="shared" ca="1" si="1839"/>
        <v>1.7364935529115222</v>
      </c>
      <c r="CD450" s="1">
        <f t="shared" ca="1" si="1839"/>
        <v>1.8046842570796695</v>
      </c>
      <c r="CE450" s="101">
        <f t="shared" ca="1" si="1489"/>
        <v>3.0534718806207604</v>
      </c>
      <c r="CG450" s="235">
        <f t="shared" ca="1" si="1783"/>
        <v>-31.64464047215214</v>
      </c>
      <c r="CH450" s="235">
        <f t="shared" ca="1" si="1784"/>
        <v>8.021589725233369E-2</v>
      </c>
      <c r="CI450" s="235" t="e">
        <f ca="1">BM450-#REF!</f>
        <v>#REF!</v>
      </c>
      <c r="CJ450" s="235">
        <f t="shared" ca="1" si="1785"/>
        <v>0</v>
      </c>
      <c r="CK450" s="235">
        <f t="shared" ca="1" si="1786"/>
        <v>0</v>
      </c>
      <c r="CL450" s="235">
        <f t="shared" ca="1" si="1787"/>
        <v>0</v>
      </c>
      <c r="CM450" s="235">
        <f t="shared" ca="1" si="1788"/>
        <v>0</v>
      </c>
      <c r="CN450" s="235">
        <f t="shared" ca="1" si="1789"/>
        <v>-2.2204460492503131E-14</v>
      </c>
      <c r="CO450" s="235">
        <f t="shared" ca="1" si="1790"/>
        <v>-2.2204460492503131E-14</v>
      </c>
      <c r="CP450" s="235">
        <f t="shared" ca="1" si="1791"/>
        <v>0</v>
      </c>
      <c r="CQ450" s="235">
        <f t="shared" ca="1" si="1792"/>
        <v>-2.2204460492503131E-14</v>
      </c>
      <c r="CR450" s="235">
        <f t="shared" ca="1" si="1793"/>
        <v>-8.8817841970012523E-14</v>
      </c>
      <c r="CS450" s="235">
        <f t="shared" ca="1" si="1794"/>
        <v>-6.6613381477509392E-14</v>
      </c>
      <c r="CT450" s="235">
        <f t="shared" ca="1" si="1795"/>
        <v>-1.1102230246251565E-13</v>
      </c>
      <c r="CU450" s="235">
        <f t="shared" ca="1" si="1796"/>
        <v>-1.5543122344752192E-13</v>
      </c>
      <c r="CV450" s="235">
        <f t="shared" ca="1" si="1797"/>
        <v>-2.2204460492503131E-13</v>
      </c>
      <c r="CW450" s="235">
        <f t="shared" ca="1" si="1798"/>
        <v>2.2204460492503131E-14</v>
      </c>
      <c r="CX450" s="235">
        <f t="shared" ca="1" si="1799"/>
        <v>2.7311486405778851E-12</v>
      </c>
      <c r="CY450" s="235">
        <f t="shared" ca="1" si="1800"/>
        <v>2.744471316873387E-11</v>
      </c>
      <c r="CZ450" s="235">
        <f t="shared" ca="1" si="1801"/>
        <v>2.0328183580886616E-10</v>
      </c>
      <c r="DF450" s="258"/>
      <c r="DG450" s="236">
        <v>47.910028916175882</v>
      </c>
      <c r="DH450" s="492">
        <v>26.330388620973565</v>
      </c>
      <c r="DI450" s="236">
        <v>16.694782114039853</v>
      </c>
      <c r="DJ450" s="236">
        <v>29.363453775279758</v>
      </c>
      <c r="DK450" s="236">
        <v>2.8062100698504011</v>
      </c>
      <c r="DL450" s="236">
        <v>0.14687971744493655</v>
      </c>
      <c r="DM450" s="236">
        <v>-1.0053090897165329</v>
      </c>
      <c r="DN450" s="236">
        <v>1.6742706132402141</v>
      </c>
      <c r="DO450" s="236">
        <v>0.37982994381122737</v>
      </c>
      <c r="DP450" s="236">
        <v>2.1880019869033207</v>
      </c>
      <c r="DQ450" s="258">
        <v>1.2147232704764255</v>
      </c>
      <c r="DR450" s="258">
        <v>1.2614573697691478</v>
      </c>
      <c r="DS450" s="258">
        <v>1.2770315716251535</v>
      </c>
      <c r="DT450" s="258">
        <v>1.3109133047729316</v>
      </c>
      <c r="DU450" s="258">
        <v>1.425771120729058</v>
      </c>
      <c r="DV450" s="258">
        <v>1.5901262948854633</v>
      </c>
      <c r="DW450" s="258">
        <v>1.6810123308674374</v>
      </c>
      <c r="DX450" s="258">
        <v>1.7364935528840775</v>
      </c>
      <c r="DY450" s="258">
        <v>1.8046842568763877</v>
      </c>
      <c r="DZ450" s="258">
        <v>3.3525691343961563</v>
      </c>
    </row>
    <row r="451" spans="1:130" hidden="1">
      <c r="A451" s="16" t="str">
        <f t="shared" si="1821"/>
        <v>public investments volume % change</v>
      </c>
      <c r="B451" s="3" t="str">
        <f t="shared" si="1822"/>
        <v>overheidsinvesteringen (vol.)</v>
      </c>
      <c r="D451" s="3" t="str">
        <f t="shared" si="1823"/>
        <v>%</v>
      </c>
      <c r="E451" s="3"/>
      <c r="F451" s="16">
        <f t="shared" si="1824"/>
        <v>0</v>
      </c>
      <c r="G451" s="16">
        <f t="shared" ref="G451:BQ451" si="1840">G402</f>
        <v>0</v>
      </c>
      <c r="H451" s="16">
        <f t="shared" si="1840"/>
        <v>0</v>
      </c>
      <c r="I451" s="16">
        <f t="shared" si="1840"/>
        <v>0</v>
      </c>
      <c r="J451" s="16">
        <f t="shared" si="1840"/>
        <v>0</v>
      </c>
      <c r="K451" s="16">
        <f t="shared" si="1840"/>
        <v>0</v>
      </c>
      <c r="L451" s="16">
        <f t="shared" si="1840"/>
        <v>0</v>
      </c>
      <c r="M451" s="16">
        <f t="shared" si="1840"/>
        <v>0</v>
      </c>
      <c r="N451" s="16">
        <f t="shared" si="1840"/>
        <v>0</v>
      </c>
      <c r="O451" s="16">
        <f t="shared" si="1840"/>
        <v>0</v>
      </c>
      <c r="P451" s="16">
        <f t="shared" si="1840"/>
        <v>0</v>
      </c>
      <c r="Q451" s="16">
        <f t="shared" si="1840"/>
        <v>0</v>
      </c>
      <c r="R451" s="16">
        <f t="shared" si="1840"/>
        <v>0</v>
      </c>
      <c r="S451" s="16">
        <f t="shared" si="1840"/>
        <v>0</v>
      </c>
      <c r="T451" s="16">
        <f t="shared" si="1840"/>
        <v>0</v>
      </c>
      <c r="U451" s="16">
        <f t="shared" si="1840"/>
        <v>0</v>
      </c>
      <c r="V451" s="16">
        <f t="shared" si="1840"/>
        <v>0</v>
      </c>
      <c r="W451" s="16">
        <f t="shared" si="1840"/>
        <v>0</v>
      </c>
      <c r="X451" s="16">
        <f t="shared" si="1840"/>
        <v>0</v>
      </c>
      <c r="Y451" s="16">
        <f t="shared" si="1840"/>
        <v>0</v>
      </c>
      <c r="Z451" s="16">
        <f t="shared" si="1840"/>
        <v>0</v>
      </c>
      <c r="AA451" s="16">
        <f t="shared" si="1840"/>
        <v>0</v>
      </c>
      <c r="AB451" s="16">
        <f t="shared" si="1840"/>
        <v>0</v>
      </c>
      <c r="AC451" s="16">
        <f t="shared" si="1840"/>
        <v>0</v>
      </c>
      <c r="AD451" s="16">
        <f t="shared" si="1840"/>
        <v>0</v>
      </c>
      <c r="AE451" s="16">
        <f t="shared" si="1840"/>
        <v>0</v>
      </c>
      <c r="AF451" s="16">
        <f t="shared" si="1840"/>
        <v>0</v>
      </c>
      <c r="AG451" s="16">
        <f t="shared" si="1840"/>
        <v>0</v>
      </c>
      <c r="AH451" s="16">
        <f t="shared" si="1840"/>
        <v>0</v>
      </c>
      <c r="AI451" s="16">
        <f t="shared" si="1840"/>
        <v>0</v>
      </c>
      <c r="AJ451" s="16">
        <f t="shared" si="1840"/>
        <v>0</v>
      </c>
      <c r="AK451" s="16">
        <f t="shared" si="1840"/>
        <v>0</v>
      </c>
      <c r="AL451" s="16">
        <f t="shared" si="1840"/>
        <v>0</v>
      </c>
      <c r="AM451" s="16">
        <f t="shared" si="1840"/>
        <v>0</v>
      </c>
      <c r="AN451" s="16">
        <f t="shared" si="1840"/>
        <v>0</v>
      </c>
      <c r="AO451" s="16">
        <f t="shared" si="1840"/>
        <v>0</v>
      </c>
      <c r="AP451" s="16">
        <f t="shared" si="1840"/>
        <v>0</v>
      </c>
      <c r="AQ451" s="16">
        <f t="shared" si="1840"/>
        <v>0</v>
      </c>
      <c r="AR451" s="16">
        <f t="shared" si="1840"/>
        <v>0</v>
      </c>
      <c r="AS451" s="16">
        <f t="shared" si="1840"/>
        <v>0</v>
      </c>
      <c r="AT451" s="16">
        <f t="shared" si="1840"/>
        <v>0</v>
      </c>
      <c r="AU451" s="16">
        <f t="shared" si="1840"/>
        <v>0</v>
      </c>
      <c r="AV451" s="16" t="str">
        <f t="shared" si="1840"/>
        <v xml:space="preserve"> </v>
      </c>
      <c r="AW451" s="16">
        <f t="shared" si="1840"/>
        <v>-38.437720577534272</v>
      </c>
      <c r="AX451" s="16">
        <f t="shared" si="1840"/>
        <v>5.7177099863149783</v>
      </c>
      <c r="AY451" s="16">
        <f t="shared" si="1840"/>
        <v>8.6480960523020336</v>
      </c>
      <c r="AZ451" s="16">
        <f t="shared" si="1840"/>
        <v>8.2863404604936122</v>
      </c>
      <c r="BA451" s="16">
        <f t="shared" si="1840"/>
        <v>-56.540709233196019</v>
      </c>
      <c r="BB451" s="16">
        <f t="shared" si="1840"/>
        <v>10.346673370994374</v>
      </c>
      <c r="BC451" s="16">
        <f t="shared" ca="1" si="1840"/>
        <v>-3.2787957691865932</v>
      </c>
      <c r="BD451" s="16">
        <f t="shared" ca="1" si="1840"/>
        <v>48.277882861836588</v>
      </c>
      <c r="BE451" s="16">
        <f t="shared" ca="1" si="1840"/>
        <v>43.501865350551896</v>
      </c>
      <c r="BF451" s="16">
        <f t="shared" ca="1" si="1840"/>
        <v>18.453108853506105</v>
      </c>
      <c r="BG451" s="16">
        <f t="shared" ca="1" si="1840"/>
        <v>6.5757272246530496</v>
      </c>
      <c r="BH451" s="16">
        <f t="shared" ca="1" si="1840"/>
        <v>16.401245373503336</v>
      </c>
      <c r="BI451" s="16">
        <f t="shared" ca="1" si="1840"/>
        <v>29.486697365913983</v>
      </c>
      <c r="BJ451" s="16">
        <f t="shared" ca="1" si="1840"/>
        <v>-18.276901785715882</v>
      </c>
      <c r="BK451" s="1">
        <f t="shared" ref="BK451:BP451" ca="1" si="1841">BK402</f>
        <v>8.1396418019765715</v>
      </c>
      <c r="BL451" s="1">
        <f t="shared" ca="1" si="1841"/>
        <v>0.5229380575309639</v>
      </c>
      <c r="BM451" s="1">
        <f t="shared" ca="1" si="1841"/>
        <v>1.5265525888813025</v>
      </c>
      <c r="BN451" s="1">
        <f t="shared" ca="1" si="1841"/>
        <v>18.729791971901587</v>
      </c>
      <c r="BO451" s="1">
        <f t="shared" ca="1" si="1841"/>
        <v>-46.588196866267062</v>
      </c>
      <c r="BP451" s="1">
        <f t="shared" ca="1" si="1841"/>
        <v>1.5274795516472484</v>
      </c>
      <c r="BQ451" s="1">
        <f t="shared" ca="1" si="1840"/>
        <v>1.5552784539004882</v>
      </c>
      <c r="BR451" s="1">
        <f t="shared" ca="1" si="1827"/>
        <v>1.3866781571451048</v>
      </c>
      <c r="BS451" s="1">
        <f t="shared" ca="1" si="1827"/>
        <v>1.3982379952865331</v>
      </c>
      <c r="BT451" s="1">
        <f t="shared" ca="1" si="1828"/>
        <v>1.4099071096551175</v>
      </c>
      <c r="BU451" s="1">
        <f t="shared" ca="1" si="1828"/>
        <v>1.421686059503191</v>
      </c>
      <c r="BV451" s="1">
        <f t="shared" ca="1" si="1829"/>
        <v>1.4335753677391816</v>
      </c>
      <c r="BW451" s="1">
        <f t="shared" ref="BW451:BX451" ca="1" si="1842">BW402</f>
        <v>1.2090429690961635</v>
      </c>
      <c r="BX451" s="1">
        <f t="shared" ca="1" si="1842"/>
        <v>1.2202399707942346</v>
      </c>
      <c r="BY451" s="1">
        <f t="shared" ref="BY451:CD451" ca="1" si="1843">BY402</f>
        <v>1.2315375550622454</v>
      </c>
      <c r="BZ451" s="1">
        <f t="shared" ca="1" si="1843"/>
        <v>1.2429366662610075</v>
      </c>
      <c r="CA451" s="1">
        <f t="shared" ca="1" si="1843"/>
        <v>1.2544382288975031</v>
      </c>
      <c r="CB451" s="1">
        <f t="shared" ca="1" si="1843"/>
        <v>1.063035366719034</v>
      </c>
      <c r="CC451" s="1">
        <f t="shared" ca="1" si="1843"/>
        <v>1.0734927033000163</v>
      </c>
      <c r="CD451" s="1">
        <f t="shared" ca="1" si="1843"/>
        <v>1.0840351305811957</v>
      </c>
      <c r="CE451" s="101">
        <f t="shared" ca="1" si="1489"/>
        <v>-1.6922872237924251</v>
      </c>
      <c r="CG451" s="235">
        <f t="shared" ca="1" si="1783"/>
        <v>4.1921822785484508E-2</v>
      </c>
      <c r="CH451" s="235">
        <f t="shared" ca="1" si="1784"/>
        <v>0.30205222311370239</v>
      </c>
      <c r="CI451" s="235" t="e">
        <f ca="1">BM451-#REF!</f>
        <v>#REF!</v>
      </c>
      <c r="CJ451" s="235">
        <f t="shared" ca="1" si="1785"/>
        <v>0</v>
      </c>
      <c r="CK451" s="235">
        <f t="shared" ca="1" si="1786"/>
        <v>0</v>
      </c>
      <c r="CL451" s="235">
        <f t="shared" ca="1" si="1787"/>
        <v>0</v>
      </c>
      <c r="CM451" s="235">
        <f t="shared" ca="1" si="1788"/>
        <v>0</v>
      </c>
      <c r="CN451" s="235">
        <f t="shared" ca="1" si="1789"/>
        <v>0</v>
      </c>
      <c r="CO451" s="235">
        <f t="shared" ca="1" si="1790"/>
        <v>0</v>
      </c>
      <c r="CP451" s="235">
        <f t="shared" ca="1" si="1791"/>
        <v>0</v>
      </c>
      <c r="CQ451" s="235">
        <f t="shared" ca="1" si="1792"/>
        <v>4.4408920985006262E-14</v>
      </c>
      <c r="CR451" s="235">
        <f t="shared" ca="1" si="1793"/>
        <v>0</v>
      </c>
      <c r="CS451" s="235">
        <f t="shared" ca="1" si="1794"/>
        <v>0</v>
      </c>
      <c r="CT451" s="235">
        <f t="shared" ca="1" si="1795"/>
        <v>0</v>
      </c>
      <c r="CU451" s="235">
        <f t="shared" ca="1" si="1796"/>
        <v>-2.2204460492503131E-14</v>
      </c>
      <c r="CV451" s="235">
        <f t="shared" ca="1" si="1797"/>
        <v>-4.4408920985006262E-14</v>
      </c>
      <c r="CW451" s="235">
        <f t="shared" ca="1" si="1798"/>
        <v>6.6613381477509392E-14</v>
      </c>
      <c r="CX451" s="235">
        <f t="shared" ca="1" si="1799"/>
        <v>8.8817841970012523E-13</v>
      </c>
      <c r="CY451" s="235">
        <f t="shared" ca="1" si="1800"/>
        <v>7.5051076464660582E-12</v>
      </c>
      <c r="CZ451" s="235">
        <f t="shared" ca="1" si="1801"/>
        <v>4.6496140271301556E-11</v>
      </c>
      <c r="DF451" s="258"/>
      <c r="DG451" s="236">
        <v>8.097719979191087</v>
      </c>
      <c r="DH451" s="492">
        <v>0.22088583441726151</v>
      </c>
      <c r="DI451" s="236">
        <v>18.729791971901587</v>
      </c>
      <c r="DJ451" s="236">
        <v>-46.588196866267062</v>
      </c>
      <c r="DK451" s="236">
        <v>1.5274795516472484</v>
      </c>
      <c r="DL451" s="236">
        <v>1.5552784539004882</v>
      </c>
      <c r="DM451" s="236">
        <v>1.3866781571451048</v>
      </c>
      <c r="DN451" s="236">
        <v>1.3982379952865331</v>
      </c>
      <c r="DO451" s="236">
        <v>1.4099071096551175</v>
      </c>
      <c r="DP451" s="236">
        <v>1.4216860595031466</v>
      </c>
      <c r="DQ451" s="258">
        <v>1.4335753677391816</v>
      </c>
      <c r="DR451" s="258">
        <v>1.2090429690961635</v>
      </c>
      <c r="DS451" s="258">
        <v>1.2202399707942346</v>
      </c>
      <c r="DT451" s="258">
        <v>1.2315375550622676</v>
      </c>
      <c r="DU451" s="258">
        <v>1.2429366662610519</v>
      </c>
      <c r="DV451" s="258">
        <v>1.2544382288974365</v>
      </c>
      <c r="DW451" s="258">
        <v>1.0630353667181458</v>
      </c>
      <c r="DX451" s="258">
        <v>1.0734927032925112</v>
      </c>
      <c r="DY451" s="258">
        <v>1.0840351305346996</v>
      </c>
      <c r="DZ451" s="258">
        <v>-1.6922872634096069</v>
      </c>
    </row>
    <row r="452" spans="1:130" hidden="1">
      <c r="A452" s="16" t="str">
        <f t="shared" si="1821"/>
        <v>exports volume  change</v>
      </c>
      <c r="B452" s="3" t="str">
        <f t="shared" si="1822"/>
        <v>uitvoer (vol.)</v>
      </c>
      <c r="D452" s="3" t="str">
        <f t="shared" si="1823"/>
        <v>%</v>
      </c>
      <c r="E452" s="3"/>
      <c r="F452" s="16">
        <f t="shared" si="1824"/>
        <v>0</v>
      </c>
      <c r="G452" s="16">
        <f t="shared" ref="G452:BQ452" si="1844">G403</f>
        <v>0</v>
      </c>
      <c r="H452" s="16">
        <f t="shared" si="1844"/>
        <v>0</v>
      </c>
      <c r="I452" s="16">
        <f t="shared" si="1844"/>
        <v>0</v>
      </c>
      <c r="J452" s="16">
        <f t="shared" si="1844"/>
        <v>0</v>
      </c>
      <c r="K452" s="16">
        <f t="shared" si="1844"/>
        <v>0</v>
      </c>
      <c r="L452" s="16">
        <f t="shared" si="1844"/>
        <v>0</v>
      </c>
      <c r="M452" s="16">
        <f t="shared" si="1844"/>
        <v>0</v>
      </c>
      <c r="N452" s="16">
        <f t="shared" si="1844"/>
        <v>0</v>
      </c>
      <c r="O452" s="16">
        <f t="shared" si="1844"/>
        <v>0</v>
      </c>
      <c r="P452" s="16">
        <f t="shared" si="1844"/>
        <v>0</v>
      </c>
      <c r="Q452" s="16">
        <f t="shared" si="1844"/>
        <v>0</v>
      </c>
      <c r="R452" s="16">
        <f t="shared" si="1844"/>
        <v>0</v>
      </c>
      <c r="S452" s="16">
        <f t="shared" si="1844"/>
        <v>0</v>
      </c>
      <c r="T452" s="16">
        <f t="shared" si="1844"/>
        <v>0</v>
      </c>
      <c r="U452" s="16">
        <f t="shared" si="1844"/>
        <v>0</v>
      </c>
      <c r="V452" s="16">
        <f t="shared" si="1844"/>
        <v>0</v>
      </c>
      <c r="W452" s="16">
        <f t="shared" si="1844"/>
        <v>0</v>
      </c>
      <c r="X452" s="16">
        <f t="shared" si="1844"/>
        <v>0</v>
      </c>
      <c r="Y452" s="16">
        <f t="shared" si="1844"/>
        <v>0</v>
      </c>
      <c r="Z452" s="16">
        <f t="shared" si="1844"/>
        <v>0</v>
      </c>
      <c r="AA452" s="16">
        <f t="shared" si="1844"/>
        <v>0</v>
      </c>
      <c r="AB452" s="16">
        <f t="shared" si="1844"/>
        <v>0</v>
      </c>
      <c r="AC452" s="16">
        <f t="shared" si="1844"/>
        <v>0</v>
      </c>
      <c r="AD452" s="16">
        <f t="shared" si="1844"/>
        <v>0</v>
      </c>
      <c r="AE452" s="16">
        <f t="shared" si="1844"/>
        <v>0</v>
      </c>
      <c r="AF452" s="16">
        <f t="shared" si="1844"/>
        <v>0</v>
      </c>
      <c r="AG452" s="16">
        <f t="shared" si="1844"/>
        <v>0</v>
      </c>
      <c r="AH452" s="16">
        <f t="shared" si="1844"/>
        <v>0</v>
      </c>
      <c r="AI452" s="16">
        <f t="shared" si="1844"/>
        <v>0</v>
      </c>
      <c r="AJ452" s="16">
        <f t="shared" si="1844"/>
        <v>0</v>
      </c>
      <c r="AK452" s="16">
        <f t="shared" si="1844"/>
        <v>0</v>
      </c>
      <c r="AL452" s="16">
        <f t="shared" si="1844"/>
        <v>0</v>
      </c>
      <c r="AM452" s="16">
        <f t="shared" si="1844"/>
        <v>0</v>
      </c>
      <c r="AN452" s="16">
        <f t="shared" si="1844"/>
        <v>0</v>
      </c>
      <c r="AO452" s="16">
        <f t="shared" si="1844"/>
        <v>0</v>
      </c>
      <c r="AP452" s="16">
        <f t="shared" si="1844"/>
        <v>-2.8671800017577298</v>
      </c>
      <c r="AQ452" s="16">
        <f t="shared" si="1844"/>
        <v>-7.6577415874863881</v>
      </c>
      <c r="AR452" s="16">
        <f t="shared" si="1844"/>
        <v>1.537189243040582</v>
      </c>
      <c r="AS452" s="16">
        <f t="shared" si="1844"/>
        <v>589.76916583398622</v>
      </c>
      <c r="AT452" s="16">
        <f t="shared" si="1844"/>
        <v>-82.013441280344907</v>
      </c>
      <c r="AU452" s="16">
        <f t="shared" si="1844"/>
        <v>0.44794790162032694</v>
      </c>
      <c r="AV452" s="16">
        <f t="shared" si="1844"/>
        <v>-8.9870717291801405</v>
      </c>
      <c r="AW452" s="16">
        <f t="shared" si="1844"/>
        <v>4.6808761226592832</v>
      </c>
      <c r="AX452" s="16">
        <f t="shared" si="1844"/>
        <v>-3.0025887435973564</v>
      </c>
      <c r="AY452" s="16">
        <f t="shared" si="1844"/>
        <v>26.502028173696822</v>
      </c>
      <c r="AZ452" s="16">
        <f t="shared" si="1844"/>
        <v>-6.3197228931494269</v>
      </c>
      <c r="BA452" s="16">
        <f t="shared" si="1844"/>
        <v>0.51393155267254187</v>
      </c>
      <c r="BB452" s="16">
        <f t="shared" si="1844"/>
        <v>-10.826571169990661</v>
      </c>
      <c r="BC452" s="16">
        <f t="shared" si="1844"/>
        <v>38.830770300503239</v>
      </c>
      <c r="BD452" s="16">
        <f t="shared" si="1844"/>
        <v>12.94681447587358</v>
      </c>
      <c r="BE452" s="16">
        <f t="shared" si="1844"/>
        <v>13.018492963092365</v>
      </c>
      <c r="BF452" s="16">
        <f t="shared" si="1844"/>
        <v>-6.2959990575568998</v>
      </c>
      <c r="BG452" s="16">
        <f t="shared" si="1844"/>
        <v>25.857542823249101</v>
      </c>
      <c r="BH452" s="16">
        <f t="shared" si="1844"/>
        <v>12.648656595590978</v>
      </c>
      <c r="BI452" s="16">
        <f t="shared" si="1844"/>
        <v>-3.5166674584251045</v>
      </c>
      <c r="BJ452" s="16">
        <f t="shared" si="1844"/>
        <v>12.229534852170643</v>
      </c>
      <c r="BK452" s="1">
        <f t="shared" ref="BK452:BP452" si="1845">BK403</f>
        <v>-1.9377798780687017</v>
      </c>
      <c r="BL452" s="1">
        <f t="shared" si="1845"/>
        <v>0.38577541653745939</v>
      </c>
      <c r="BM452" s="1">
        <f t="shared" si="1845"/>
        <v>1.1460276735719255</v>
      </c>
      <c r="BN452" s="1">
        <f t="shared" si="1845"/>
        <v>-3.1855083281545404</v>
      </c>
      <c r="BO452" s="1">
        <f t="shared" si="1845"/>
        <v>-11.175486511854139</v>
      </c>
      <c r="BP452" s="1">
        <f t="shared" si="1845"/>
        <v>3.1635942133788397</v>
      </c>
      <c r="BQ452" s="1">
        <f t="shared" si="1844"/>
        <v>18.930801985246436</v>
      </c>
      <c r="BR452" s="1">
        <f t="shared" si="1827"/>
        <v>3.1428941338053296</v>
      </c>
      <c r="BS452" s="1">
        <f t="shared" si="1827"/>
        <v>-2.678240801129661</v>
      </c>
      <c r="BT452" s="1">
        <f t="shared" si="1828"/>
        <v>1.208070285536933</v>
      </c>
      <c r="BU452" s="1">
        <f t="shared" si="1828"/>
        <v>3.4408033756390566</v>
      </c>
      <c r="BV452" s="1">
        <f t="shared" si="1829"/>
        <v>3.4641068743827219</v>
      </c>
      <c r="BW452" s="1">
        <f t="shared" ref="BW452:BX452" si="1846">BW403</f>
        <v>3.4871492489962241</v>
      </c>
      <c r="BX452" s="1">
        <f t="shared" si="1846"/>
        <v>3.5099534016056255</v>
      </c>
      <c r="BY452" s="1">
        <f t="shared" ref="BY452:CD452" si="1847">BY403</f>
        <v>3.5325429602011793</v>
      </c>
      <c r="BZ452" s="1">
        <f t="shared" si="1847"/>
        <v>3.5549422288973176</v>
      </c>
      <c r="CA452" s="1">
        <f t="shared" si="1847"/>
        <v>3.5848598025183476</v>
      </c>
      <c r="CB452" s="1">
        <f t="shared" si="1847"/>
        <v>3.6137161615546809</v>
      </c>
      <c r="CC452" s="1">
        <f t="shared" si="1847"/>
        <v>3.6415571683406256</v>
      </c>
      <c r="CD452" s="1">
        <f t="shared" si="1847"/>
        <v>3.6684290976859435</v>
      </c>
      <c r="CE452" s="101">
        <f t="shared" si="1489"/>
        <v>3.0056058515503414</v>
      </c>
      <c r="CG452" s="235">
        <f t="shared" si="1783"/>
        <v>4.5114501912790992</v>
      </c>
      <c r="CH452" s="235">
        <f t="shared" si="1784"/>
        <v>-6.5799428281268835</v>
      </c>
      <c r="CI452" s="235" t="e">
        <f>BM452-#REF!</f>
        <v>#REF!</v>
      </c>
      <c r="CJ452" s="235">
        <f t="shared" si="1785"/>
        <v>0</v>
      </c>
      <c r="CK452" s="235">
        <f t="shared" si="1786"/>
        <v>0</v>
      </c>
      <c r="CL452" s="235">
        <f t="shared" si="1787"/>
        <v>0</v>
      </c>
      <c r="CM452" s="235">
        <f t="shared" si="1788"/>
        <v>0</v>
      </c>
      <c r="CN452" s="235">
        <f t="shared" si="1789"/>
        <v>0</v>
      </c>
      <c r="CO452" s="235">
        <f t="shared" si="1790"/>
        <v>0</v>
      </c>
      <c r="CP452" s="235">
        <f t="shared" si="1791"/>
        <v>0</v>
      </c>
      <c r="CQ452" s="235">
        <f t="shared" si="1792"/>
        <v>0</v>
      </c>
      <c r="CR452" s="235">
        <f t="shared" si="1793"/>
        <v>0</v>
      </c>
      <c r="CS452" s="235">
        <f t="shared" si="1794"/>
        <v>0</v>
      </c>
      <c r="CT452" s="235">
        <f t="shared" si="1795"/>
        <v>0</v>
      </c>
      <c r="CU452" s="235">
        <f t="shared" si="1796"/>
        <v>0</v>
      </c>
      <c r="CV452" s="235">
        <f t="shared" si="1797"/>
        <v>0</v>
      </c>
      <c r="CW452" s="235">
        <f t="shared" si="1798"/>
        <v>0</v>
      </c>
      <c r="CX452" s="235">
        <f t="shared" si="1799"/>
        <v>0</v>
      </c>
      <c r="CY452" s="235">
        <f t="shared" si="1800"/>
        <v>0</v>
      </c>
      <c r="CZ452" s="235">
        <f t="shared" si="1801"/>
        <v>0</v>
      </c>
      <c r="DF452" s="258"/>
      <c r="DG452" s="236">
        <v>-6.4492300693478004</v>
      </c>
      <c r="DH452" s="492">
        <v>6.9657182446643429</v>
      </c>
      <c r="DI452" s="236">
        <v>-3.1855083281545404</v>
      </c>
      <c r="DJ452" s="236">
        <v>-11.175486511854139</v>
      </c>
      <c r="DK452" s="236">
        <v>3.1635942133788397</v>
      </c>
      <c r="DL452" s="236">
        <v>18.930801985246436</v>
      </c>
      <c r="DM452" s="236">
        <v>3.1428941338053296</v>
      </c>
      <c r="DN452" s="236">
        <v>-2.678240801129661</v>
      </c>
      <c r="DO452" s="236">
        <v>1.208070285536933</v>
      </c>
      <c r="DP452" s="236">
        <v>3.4408033756390566</v>
      </c>
      <c r="DQ452" s="258">
        <v>3.4641068743827219</v>
      </c>
      <c r="DR452" s="258">
        <v>3.4871492489962241</v>
      </c>
      <c r="DS452" s="258">
        <v>3.5099534016056255</v>
      </c>
      <c r="DT452" s="258">
        <v>3.5325429602011793</v>
      </c>
      <c r="DU452" s="258">
        <v>3.5549422288973176</v>
      </c>
      <c r="DV452" s="258">
        <v>3.5848598025183476</v>
      </c>
      <c r="DW452" s="258">
        <v>3.6137161615546809</v>
      </c>
      <c r="DX452" s="258">
        <v>3.6415571683406256</v>
      </c>
      <c r="DY452" s="258">
        <v>3.6684290976859435</v>
      </c>
      <c r="DZ452" s="258">
        <v>3.11278579015748</v>
      </c>
    </row>
    <row r="453" spans="1:130" hidden="1">
      <c r="A453" s="16" t="str">
        <f t="shared" si="1821"/>
        <v>imports volume change</v>
      </c>
      <c r="B453" s="3" t="str">
        <f t="shared" si="1822"/>
        <v>invoer (vol.)</v>
      </c>
      <c r="D453" s="3" t="str">
        <f t="shared" si="1823"/>
        <v>%</v>
      </c>
      <c r="E453" s="3"/>
      <c r="F453" s="16">
        <f t="shared" si="1824"/>
        <v>0</v>
      </c>
      <c r="G453" s="16">
        <f t="shared" ref="G453:BQ453" si="1848">G404</f>
        <v>-1.1190028922842932</v>
      </c>
      <c r="H453" s="16">
        <f t="shared" si="1848"/>
        <v>20.025472788276332</v>
      </c>
      <c r="I453" s="16">
        <f t="shared" si="1848"/>
        <v>13.840262786804235</v>
      </c>
      <c r="J453" s="16">
        <f t="shared" si="1848"/>
        <v>-6.8692595571018256E-2</v>
      </c>
      <c r="K453" s="16">
        <f t="shared" si="1848"/>
        <v>23.17610345961527</v>
      </c>
      <c r="L453" s="16">
        <f t="shared" si="1848"/>
        <v>16.255207721775665</v>
      </c>
      <c r="M453" s="16">
        <f t="shared" si="1848"/>
        <v>-0.91981128583942251</v>
      </c>
      <c r="N453" s="16">
        <f t="shared" si="1848"/>
        <v>2.3768259040310102</v>
      </c>
      <c r="O453" s="16">
        <f t="shared" si="1848"/>
        <v>7.9299739574933747</v>
      </c>
      <c r="P453" s="16">
        <f t="shared" si="1848"/>
        <v>32.251209069400048</v>
      </c>
      <c r="Q453" s="16">
        <f t="shared" si="1848"/>
        <v>13.084507657058353</v>
      </c>
      <c r="R453" s="16">
        <f t="shared" si="1848"/>
        <v>-1.5304115144569641</v>
      </c>
      <c r="S453" s="16">
        <f t="shared" si="1848"/>
        <v>10.739613755038246</v>
      </c>
      <c r="T453" s="16">
        <f t="shared" si="1848"/>
        <v>-0.81190645217915636</v>
      </c>
      <c r="U453" s="16">
        <f t="shared" si="1848"/>
        <v>8.477309626146635</v>
      </c>
      <c r="V453" s="16">
        <f t="shared" si="1848"/>
        <v>3.1347870422498536</v>
      </c>
      <c r="W453" s="16">
        <f t="shared" si="1848"/>
        <v>3.0608326114761608</v>
      </c>
      <c r="X453" s="16">
        <f t="shared" si="1848"/>
        <v>8.7630179582287795</v>
      </c>
      <c r="Y453" s="16">
        <f t="shared" si="1848"/>
        <v>-10.410466235519033</v>
      </c>
      <c r="Z453" s="16">
        <f t="shared" si="1848"/>
        <v>1.4384244152967796</v>
      </c>
      <c r="AA453" s="16">
        <f t="shared" si="1848"/>
        <v>5.3663186431297527</v>
      </c>
      <c r="AB453" s="16">
        <f t="shared" si="1848"/>
        <v>0.54058583819864836</v>
      </c>
      <c r="AC453" s="16">
        <f t="shared" si="1848"/>
        <v>24.422135801646029</v>
      </c>
      <c r="AD453" s="16">
        <f t="shared" si="1848"/>
        <v>-4.855001516738211</v>
      </c>
      <c r="AE453" s="16">
        <f t="shared" si="1848"/>
        <v>-14.202452829332547</v>
      </c>
      <c r="AF453" s="16">
        <f t="shared" si="1848"/>
        <v>-6.8075180724469497E-2</v>
      </c>
      <c r="AG453" s="16">
        <f t="shared" si="1848"/>
        <v>-1.109069240158489</v>
      </c>
      <c r="AH453" s="16">
        <f t="shared" si="1848"/>
        <v>-2.3405864154893319</v>
      </c>
      <c r="AI453" s="16">
        <f t="shared" si="1848"/>
        <v>-10.363537761998987</v>
      </c>
      <c r="AJ453" s="16">
        <f t="shared" si="1848"/>
        <v>-10.015009373360851</v>
      </c>
      <c r="AK453" s="16">
        <f t="shared" si="1848"/>
        <v>-16.047603498971995</v>
      </c>
      <c r="AL453" s="16">
        <f t="shared" si="1848"/>
        <v>7.6251208779084312</v>
      </c>
      <c r="AM453" s="16">
        <f t="shared" si="1848"/>
        <v>-21.206800100083399</v>
      </c>
      <c r="AN453" s="16">
        <f t="shared" si="1848"/>
        <v>10.687886110606893</v>
      </c>
      <c r="AO453" s="16">
        <f t="shared" si="1848"/>
        <v>23.613356707074761</v>
      </c>
      <c r="AP453" s="16">
        <f t="shared" si="1848"/>
        <v>-11.244316634660489</v>
      </c>
      <c r="AQ453" s="16">
        <f t="shared" si="1848"/>
        <v>3.8330388520154912</v>
      </c>
      <c r="AR453" s="16">
        <f t="shared" si="1848"/>
        <v>3.4149776241596097</v>
      </c>
      <c r="AS453" s="16">
        <f t="shared" si="1848"/>
        <v>-33.316136355553908</v>
      </c>
      <c r="AT453" s="16">
        <f t="shared" si="1848"/>
        <v>-12.132744847279998</v>
      </c>
      <c r="AU453" s="16">
        <f t="shared" si="1848"/>
        <v>33.432189387913766</v>
      </c>
      <c r="AV453" s="16">
        <f t="shared" si="1848"/>
        <v>14.618778066975114</v>
      </c>
      <c r="AW453" s="16">
        <f t="shared" si="1848"/>
        <v>-3.3857315598548987</v>
      </c>
      <c r="AX453" s="16">
        <f t="shared" si="1848"/>
        <v>2.5925263722510472</v>
      </c>
      <c r="AY453" s="16">
        <f t="shared" si="1848"/>
        <v>-17.90140217502395</v>
      </c>
      <c r="AZ453" s="16">
        <f t="shared" si="1848"/>
        <v>-7.9679912655094887</v>
      </c>
      <c r="BA453" s="16">
        <f t="shared" si="1848"/>
        <v>6.970843320442488</v>
      </c>
      <c r="BB453" s="16">
        <f t="shared" si="1848"/>
        <v>0.87327194785014051</v>
      </c>
      <c r="BC453" s="16">
        <f t="shared" si="1848"/>
        <v>27.944710442743581</v>
      </c>
      <c r="BD453" s="16">
        <f t="shared" si="1848"/>
        <v>-7.3036626954648405</v>
      </c>
      <c r="BE453" s="16">
        <f t="shared" si="1848"/>
        <v>13.174918003307123</v>
      </c>
      <c r="BF453" s="16">
        <f t="shared" si="1848"/>
        <v>-9.7109618693361313</v>
      </c>
      <c r="BG453" s="16">
        <f t="shared" si="1848"/>
        <v>38.778218495503445</v>
      </c>
      <c r="BH453" s="16">
        <f t="shared" si="1848"/>
        <v>16.359211051973443</v>
      </c>
      <c r="BI453" s="16">
        <f t="shared" si="1848"/>
        <v>-3.7799297007103161</v>
      </c>
      <c r="BJ453" s="16">
        <f t="shared" si="1848"/>
        <v>-6.1442368057735619</v>
      </c>
      <c r="BK453" s="1">
        <f t="shared" ref="BK453:BP453" si="1849">BK404</f>
        <v>22.834760861926817</v>
      </c>
      <c r="BL453" s="1">
        <f t="shared" si="1849"/>
        <v>14.557602399334924</v>
      </c>
      <c r="BM453" s="1">
        <f t="shared" si="1849"/>
        <v>2.4033205628761101</v>
      </c>
      <c r="BN453" s="1">
        <f t="shared" si="1849"/>
        <v>1.4126394100571149</v>
      </c>
      <c r="BO453" s="1">
        <f t="shared" si="1849"/>
        <v>10.686893705095169</v>
      </c>
      <c r="BP453" s="1">
        <f t="shared" ca="1" si="1849"/>
        <v>-4.5066037851657299</v>
      </c>
      <c r="BQ453" s="1">
        <f t="shared" ca="1" si="1848"/>
        <v>7.3952058839506618</v>
      </c>
      <c r="BR453" s="1">
        <f t="shared" ca="1" si="1827"/>
        <v>3.074788447465826</v>
      </c>
      <c r="BS453" s="1">
        <f t="shared" ca="1" si="1827"/>
        <v>1.0165972408484381</v>
      </c>
      <c r="BT453" s="1">
        <f t="shared" ca="1" si="1828"/>
        <v>0.39829479813935365</v>
      </c>
      <c r="BU453" s="1">
        <f t="shared" ca="1" si="1828"/>
        <v>1.8525396659168969</v>
      </c>
      <c r="BV453" s="1">
        <f t="shared" ca="1" si="1829"/>
        <v>1.6509285337137136</v>
      </c>
      <c r="BW453" s="1">
        <f t="shared" ref="BW453:BX453" ca="1" si="1850">BW404</f>
        <v>1.6714395628796286</v>
      </c>
      <c r="BX453" s="1">
        <f t="shared" ca="1" si="1850"/>
        <v>1.7094283059273518</v>
      </c>
      <c r="BY453" s="1">
        <f t="shared" ref="BY453:CD453" ca="1" si="1851">BY404</f>
        <v>1.7589374764692911</v>
      </c>
      <c r="BZ453" s="1">
        <f t="shared" ca="1" si="1851"/>
        <v>1.685793456482787</v>
      </c>
      <c r="CA453" s="1">
        <f t="shared" ca="1" si="1851"/>
        <v>1.8300535163812803</v>
      </c>
      <c r="CB453" s="1">
        <f t="shared" ca="1" si="1851"/>
        <v>1.8791811691923677</v>
      </c>
      <c r="CC453" s="1">
        <f t="shared" ca="1" si="1851"/>
        <v>1.9364148615989674</v>
      </c>
      <c r="CD453" s="1">
        <f t="shared" ca="1" si="1851"/>
        <v>2.0024883986924813</v>
      </c>
      <c r="CE453" s="101">
        <f t="shared" ca="1" si="1489"/>
        <v>2.2526488273492813</v>
      </c>
      <c r="CG453" s="235">
        <f t="shared" si="1783"/>
        <v>1.1775088236504203</v>
      </c>
      <c r="CH453" s="235">
        <f t="shared" si="1784"/>
        <v>0</v>
      </c>
      <c r="CI453" s="235" t="e">
        <f>BM453-#REF!</f>
        <v>#REF!</v>
      </c>
      <c r="CJ453" s="235">
        <f t="shared" si="1785"/>
        <v>0</v>
      </c>
      <c r="CK453" s="235">
        <f t="shared" si="1786"/>
        <v>0</v>
      </c>
      <c r="CL453" s="235">
        <f t="shared" ca="1" si="1787"/>
        <v>3.3750779948604759E-14</v>
      </c>
      <c r="CM453" s="235">
        <f t="shared" ca="1" si="1788"/>
        <v>2.2204460492503131E-14</v>
      </c>
      <c r="CN453" s="235">
        <f t="shared" ca="1" si="1789"/>
        <v>0</v>
      </c>
      <c r="CO453" s="235">
        <f t="shared" ca="1" si="1790"/>
        <v>0</v>
      </c>
      <c r="CP453" s="235">
        <f t="shared" ca="1" si="1791"/>
        <v>-2.2204460492503131E-14</v>
      </c>
      <c r="CQ453" s="235">
        <f t="shared" ca="1" si="1792"/>
        <v>0</v>
      </c>
      <c r="CR453" s="235">
        <f t="shared" ca="1" si="1793"/>
        <v>2.2204460492503131E-14</v>
      </c>
      <c r="CS453" s="235">
        <f t="shared" ca="1" si="1794"/>
        <v>4.4408920985006262E-14</v>
      </c>
      <c r="CT453" s="235">
        <f t="shared" ca="1" si="1795"/>
        <v>-2.2204460492503131E-14</v>
      </c>
      <c r="CU453" s="235">
        <f t="shared" ca="1" si="1796"/>
        <v>-2.2204460492503131E-14</v>
      </c>
      <c r="CV453" s="235">
        <f t="shared" ca="1" si="1797"/>
        <v>-2.2204460492503131E-14</v>
      </c>
      <c r="CW453" s="235">
        <f t="shared" ca="1" si="1798"/>
        <v>-1.3322676295501878E-13</v>
      </c>
      <c r="CX453" s="235">
        <f t="shared" ca="1" si="1799"/>
        <v>-1.8207657603852567E-12</v>
      </c>
      <c r="CY453" s="235">
        <f t="shared" ca="1" si="1800"/>
        <v>-1.6386891843467311E-11</v>
      </c>
      <c r="CZ453" s="235">
        <f t="shared" ca="1" si="1801"/>
        <v>-1.1906031716080179E-10</v>
      </c>
      <c r="DF453" s="258"/>
      <c r="DG453" s="236">
        <v>21.657252038276397</v>
      </c>
      <c r="DH453" s="492">
        <v>14.557602399334924</v>
      </c>
      <c r="DI453" s="236">
        <v>1.4126394100571149</v>
      </c>
      <c r="DJ453" s="236">
        <v>10.686893705095169</v>
      </c>
      <c r="DK453" s="236">
        <v>-4.5066037851657637</v>
      </c>
      <c r="DL453" s="236">
        <v>7.3952058839506396</v>
      </c>
      <c r="DM453" s="236">
        <v>3.074788447465826</v>
      </c>
      <c r="DN453" s="236">
        <v>1.0165972408484381</v>
      </c>
      <c r="DO453" s="236">
        <v>0.39829479813937585</v>
      </c>
      <c r="DP453" s="236">
        <v>1.8525396659168969</v>
      </c>
      <c r="DQ453" s="258">
        <v>1.6509285337136914</v>
      </c>
      <c r="DR453" s="258">
        <v>1.6714395628795842</v>
      </c>
      <c r="DS453" s="258">
        <v>1.709428305927374</v>
      </c>
      <c r="DT453" s="258">
        <v>1.7589374764693133</v>
      </c>
      <c r="DU453" s="258">
        <v>1.6857934564828092</v>
      </c>
      <c r="DV453" s="258">
        <v>1.8300535163814136</v>
      </c>
      <c r="DW453" s="258">
        <v>1.8791811691941884</v>
      </c>
      <c r="DX453" s="258">
        <v>1.9364148616153543</v>
      </c>
      <c r="DY453" s="258">
        <v>2.0024883988115416</v>
      </c>
      <c r="DZ453" s="258">
        <v>1.7869639002140663</v>
      </c>
    </row>
    <row r="454" spans="1:130" hidden="1">
      <c r="A454" s="16" t="str">
        <f t="shared" si="1821"/>
        <v>employment of enterprises*1000</v>
      </c>
      <c r="B454" s="3" t="str">
        <f t="shared" si="1822"/>
        <v>arbeidsplaatsen bedrijven</v>
      </c>
      <c r="D454" s="3" t="str">
        <f t="shared" si="1823"/>
        <v>%</v>
      </c>
      <c r="E454" s="3"/>
      <c r="F454" s="16">
        <f t="shared" si="1824"/>
        <v>0</v>
      </c>
      <c r="G454" s="16">
        <f t="shared" ref="G454:BQ454" si="1852">G405</f>
        <v>3.3195020746887849</v>
      </c>
      <c r="H454" s="16">
        <f t="shared" si="1852"/>
        <v>30.000976194818364</v>
      </c>
      <c r="I454" s="16">
        <f t="shared" si="1852"/>
        <v>4.3999969360091207</v>
      </c>
      <c r="J454" s="16">
        <f t="shared" si="1852"/>
        <v>5.5999897957271783</v>
      </c>
      <c r="K454" s="16">
        <f t="shared" si="1852"/>
        <v>5.8287856546011652</v>
      </c>
      <c r="L454" s="16">
        <f t="shared" si="1852"/>
        <v>6.0240918828778245</v>
      </c>
      <c r="M454" s="16">
        <f t="shared" si="1852"/>
        <v>1.0957868181484365</v>
      </c>
      <c r="N454" s="16">
        <f t="shared" si="1852"/>
        <v>0.76275006916786126</v>
      </c>
      <c r="O454" s="16">
        <f t="shared" si="1852"/>
        <v>0.63743791854076193</v>
      </c>
      <c r="P454" s="16">
        <f t="shared" si="1852"/>
        <v>0.65242284010560425</v>
      </c>
      <c r="Q454" s="16">
        <f t="shared" si="1852"/>
        <v>1.2649045491194721</v>
      </c>
      <c r="R454" s="16">
        <f t="shared" si="1852"/>
        <v>0.472293618164632</v>
      </c>
      <c r="S454" s="16">
        <f t="shared" si="1852"/>
        <v>0.62469266048510441</v>
      </c>
      <c r="T454" s="16">
        <f t="shared" si="1852"/>
        <v>1.2355237076623116</v>
      </c>
      <c r="U454" s="16">
        <f t="shared" si="1852"/>
        <v>0.38555740892096679</v>
      </c>
      <c r="V454" s="16">
        <f t="shared" si="1852"/>
        <v>2.1986302907586186</v>
      </c>
      <c r="W454" s="16">
        <f t="shared" si="1852"/>
        <v>-5.3946153613051218</v>
      </c>
      <c r="X454" s="16">
        <f t="shared" si="1852"/>
        <v>-1.0572358594520326</v>
      </c>
      <c r="Y454" s="16">
        <f t="shared" si="1852"/>
        <v>-2.8673545205692763</v>
      </c>
      <c r="Z454" s="16">
        <f t="shared" si="1852"/>
        <v>-1.3018659231471275</v>
      </c>
      <c r="AA454" s="16">
        <f t="shared" si="1852"/>
        <v>5.8532614942918171</v>
      </c>
      <c r="AB454" s="16">
        <f t="shared" si="1852"/>
        <v>-2.1806896012098176</v>
      </c>
      <c r="AC454" s="16">
        <f t="shared" si="1852"/>
        <v>1.4331125226292096</v>
      </c>
      <c r="AD454" s="16">
        <f t="shared" si="1852"/>
        <v>0.31396581291858183</v>
      </c>
      <c r="AE454" s="16">
        <f t="shared" si="1852"/>
        <v>-2.1909279886194732</v>
      </c>
      <c r="AF454" s="16">
        <f t="shared" si="1852"/>
        <v>1.0400086383354212</v>
      </c>
      <c r="AG454" s="16">
        <f t="shared" si="1852"/>
        <v>-0.31670028044886722</v>
      </c>
      <c r="AH454" s="16">
        <f t="shared" si="1852"/>
        <v>-0.11120658256457139</v>
      </c>
      <c r="AI454" s="16">
        <f t="shared" si="1852"/>
        <v>-2.1946524455447869</v>
      </c>
      <c r="AJ454" s="16">
        <f t="shared" si="1852"/>
        <v>-3.7886226432990444</v>
      </c>
      <c r="AK454" s="16">
        <f t="shared" si="1852"/>
        <v>-3.6352851075072912</v>
      </c>
      <c r="AL454" s="16">
        <f t="shared" si="1852"/>
        <v>-6.4346930766601584</v>
      </c>
      <c r="AM454" s="16">
        <f t="shared" si="1852"/>
        <v>-6.0472035456558544</v>
      </c>
      <c r="AN454" s="16">
        <f t="shared" si="1852"/>
        <v>-6.5802293806768386</v>
      </c>
      <c r="AO454" s="16">
        <f t="shared" si="1852"/>
        <v>-8.30957841710328</v>
      </c>
      <c r="AP454" s="16">
        <f t="shared" si="1852"/>
        <v>-4.6903540102967494</v>
      </c>
      <c r="AQ454" s="16">
        <f t="shared" si="1852"/>
        <v>1.6267608705132997</v>
      </c>
      <c r="AR454" s="16">
        <f t="shared" si="1852"/>
        <v>0.98274826195177134</v>
      </c>
      <c r="AS454" s="16">
        <f t="shared" si="1852"/>
        <v>-5.1379031915345541</v>
      </c>
      <c r="AT454" s="16">
        <f t="shared" si="1852"/>
        <v>-8.632739001881518</v>
      </c>
      <c r="AU454" s="16">
        <f t="shared" si="1852"/>
        <v>-6.7614611424368647</v>
      </c>
      <c r="AV454" s="16">
        <f t="shared" si="1852"/>
        <v>3.6211798909225656</v>
      </c>
      <c r="AW454" s="16">
        <f t="shared" si="1852"/>
        <v>-1.093539274148958</v>
      </c>
      <c r="AX454" s="16">
        <f t="shared" si="1852"/>
        <v>-9.1709860745958771E-2</v>
      </c>
      <c r="AY454" s="16">
        <f t="shared" si="1852"/>
        <v>-3.6580144933383907</v>
      </c>
      <c r="AZ454" s="16">
        <f t="shared" si="1852"/>
        <v>1.313576676926087</v>
      </c>
      <c r="BA454" s="16">
        <f t="shared" si="1852"/>
        <v>-2.5730121389486604</v>
      </c>
      <c r="BB454" s="16">
        <f t="shared" si="1852"/>
        <v>-0.78180238783055467</v>
      </c>
      <c r="BC454" s="16">
        <f t="shared" si="1852"/>
        <v>5.5340636071181448</v>
      </c>
      <c r="BD454" s="16">
        <f t="shared" si="1852"/>
        <v>6.9050007717240236</v>
      </c>
      <c r="BE454" s="16">
        <f t="shared" si="1852"/>
        <v>43.747631336738223</v>
      </c>
      <c r="BF454" s="16">
        <f t="shared" si="1852"/>
        <v>1.0922512931250683</v>
      </c>
      <c r="BG454" s="16">
        <f t="shared" si="1852"/>
        <v>5.4879411837758685</v>
      </c>
      <c r="BH454" s="16">
        <f t="shared" si="1852"/>
        <v>4.2394132397781892</v>
      </c>
      <c r="BI454" s="16">
        <f t="shared" si="1852"/>
        <v>-0.14569356915362652</v>
      </c>
      <c r="BJ454" s="16">
        <f t="shared" si="1852"/>
        <v>3.2246389105674567</v>
      </c>
      <c r="BK454" s="1">
        <f t="shared" ref="BK454:BP454" si="1853">BK405</f>
        <v>3.0019328906624176</v>
      </c>
      <c r="BL454" s="1">
        <f t="shared" si="1853"/>
        <v>2.9348027255037934</v>
      </c>
      <c r="BM454" s="1">
        <f t="shared" si="1853"/>
        <v>1.7159384567703162</v>
      </c>
      <c r="BN454" s="1">
        <f t="shared" si="1853"/>
        <v>1.2137124462702653</v>
      </c>
      <c r="BO454" s="1">
        <f t="shared" ca="1" si="1853"/>
        <v>-3.7207751772852737</v>
      </c>
      <c r="BP454" s="1">
        <f t="shared" ca="1" si="1853"/>
        <v>-6.6433910812947801</v>
      </c>
      <c r="BQ454" s="1">
        <f t="shared" ca="1" si="1852"/>
        <v>2.0431270806885227</v>
      </c>
      <c r="BR454" s="1">
        <f t="shared" ca="1" si="1827"/>
        <v>6.3832719370787494</v>
      </c>
      <c r="BS454" s="1">
        <f t="shared" ca="1" si="1827"/>
        <v>0.90965615884919249</v>
      </c>
      <c r="BT454" s="1">
        <f t="shared" ca="1" si="1828"/>
        <v>-1.2398908898008987</v>
      </c>
      <c r="BU454" s="1">
        <f t="shared" ca="1" si="1828"/>
        <v>-0.77861165644351749</v>
      </c>
      <c r="BV454" s="1">
        <f t="shared" ca="1" si="1829"/>
        <v>-0.21332455066681577</v>
      </c>
      <c r="BW454" s="1">
        <f t="shared" ref="BW454:BX454" ca="1" si="1854">BW405</f>
        <v>-0.17991226600874155</v>
      </c>
      <c r="BX454" s="1">
        <f t="shared" ca="1" si="1854"/>
        <v>-0.18468113269273223</v>
      </c>
      <c r="BY454" s="1">
        <f t="shared" ref="BY454:CD454" ca="1" si="1855">BY405</f>
        <v>-0.1665685783813764</v>
      </c>
      <c r="BZ454" s="1">
        <f t="shared" ca="1" si="1855"/>
        <v>-5.1261801388757799E-2</v>
      </c>
      <c r="CA454" s="1">
        <f t="shared" ca="1" si="1855"/>
        <v>0.12226557240928582</v>
      </c>
      <c r="CB454" s="1">
        <f t="shared" ca="1" si="1855"/>
        <v>0.20798655505667174</v>
      </c>
      <c r="CC454" s="1">
        <f t="shared" ca="1" si="1855"/>
        <v>0.25103753800337358</v>
      </c>
      <c r="CD454" s="1">
        <f t="shared" ca="1" si="1855"/>
        <v>0.30920322814693701</v>
      </c>
      <c r="CE454" s="101">
        <f t="shared" ca="1" si="1489"/>
        <v>-0.18449181648313509</v>
      </c>
      <c r="CG454" s="235">
        <f t="shared" si="1783"/>
        <v>-2.2926175793968051</v>
      </c>
      <c r="CH454" s="235">
        <f t="shared" si="1784"/>
        <v>0</v>
      </c>
      <c r="CI454" s="235" t="e">
        <f>BM454-#REF!</f>
        <v>#REF!</v>
      </c>
      <c r="CJ454" s="235">
        <f t="shared" si="1785"/>
        <v>0</v>
      </c>
      <c r="CK454" s="235">
        <f t="shared" ca="1" si="1786"/>
        <v>0</v>
      </c>
      <c r="CL454" s="235">
        <f t="shared" ca="1" si="1787"/>
        <v>2.3092638912203256E-14</v>
      </c>
      <c r="CM454" s="235">
        <f t="shared" ca="1" si="1788"/>
        <v>-2.2204460492503131E-14</v>
      </c>
      <c r="CN454" s="235">
        <f t="shared" ca="1" si="1789"/>
        <v>-2.2204460492503131E-14</v>
      </c>
      <c r="CO454" s="235">
        <f t="shared" ca="1" si="1790"/>
        <v>-4.4408920985006262E-14</v>
      </c>
      <c r="CP454" s="235">
        <f t="shared" ca="1" si="1791"/>
        <v>-2.2204460492503131E-14</v>
      </c>
      <c r="CQ454" s="235">
        <f t="shared" ca="1" si="1792"/>
        <v>5.5511151231257827E-14</v>
      </c>
      <c r="CR454" s="235">
        <f t="shared" ca="1" si="1793"/>
        <v>8.8817841970012523E-14</v>
      </c>
      <c r="CS454" s="235">
        <f t="shared" ca="1" si="1794"/>
        <v>8.8817841970012523E-14</v>
      </c>
      <c r="CT454" s="235">
        <f t="shared" ca="1" si="1795"/>
        <v>8.8817841970012523E-14</v>
      </c>
      <c r="CU454" s="235">
        <f t="shared" ca="1" si="1796"/>
        <v>1.5543122344752192E-13</v>
      </c>
      <c r="CV454" s="235">
        <f t="shared" ca="1" si="1797"/>
        <v>8.8817841970012523E-14</v>
      </c>
      <c r="CW454" s="235">
        <f t="shared" ca="1" si="1798"/>
        <v>8.8817841970012523E-14</v>
      </c>
      <c r="CX454" s="235">
        <f t="shared" ca="1" si="1799"/>
        <v>-8.8817841970012523E-14</v>
      </c>
      <c r="CY454" s="235">
        <f t="shared" ca="1" si="1800"/>
        <v>-1.7097434579227411E-12</v>
      </c>
      <c r="CZ454" s="235">
        <f t="shared" ca="1" si="1801"/>
        <v>-1.4099832412739488E-11</v>
      </c>
      <c r="DF454" s="258"/>
      <c r="DG454" s="236">
        <v>5.2945504700592227</v>
      </c>
      <c r="DH454" s="492">
        <v>2.9348027255037934</v>
      </c>
      <c r="DI454" s="236">
        <v>1.2137124462702653</v>
      </c>
      <c r="DJ454" s="236">
        <v>-3.7207751772852737</v>
      </c>
      <c r="DK454" s="236">
        <v>-6.6433910812948032</v>
      </c>
      <c r="DL454" s="236">
        <v>2.0431270806885449</v>
      </c>
      <c r="DM454" s="236">
        <v>6.3832719370787716</v>
      </c>
      <c r="DN454" s="236">
        <v>0.9096561588492369</v>
      </c>
      <c r="DO454" s="236">
        <v>-1.2398908898008765</v>
      </c>
      <c r="DP454" s="236">
        <v>-0.778611656443573</v>
      </c>
      <c r="DQ454" s="258">
        <v>-0.21332455066690459</v>
      </c>
      <c r="DR454" s="258">
        <v>-0.17991226600883037</v>
      </c>
      <c r="DS454" s="258">
        <v>-0.18468113269282105</v>
      </c>
      <c r="DT454" s="258">
        <v>-0.16656857838153183</v>
      </c>
      <c r="DU454" s="258">
        <v>-5.1261801388846617E-2</v>
      </c>
      <c r="DV454" s="258">
        <v>0.122265572409197</v>
      </c>
      <c r="DW454" s="258">
        <v>0.20798655505676056</v>
      </c>
      <c r="DX454" s="258">
        <v>0.25103753800508333</v>
      </c>
      <c r="DY454" s="258">
        <v>0.30920322816103685</v>
      </c>
      <c r="DZ454" s="258">
        <v>0.17324803119580018</v>
      </c>
    </row>
    <row r="455" spans="1:130" hidden="1">
      <c r="A455" s="16"/>
      <c r="D455" s="3"/>
      <c r="E455" s="3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01"/>
      <c r="CG455" s="235">
        <f t="shared" si="1783"/>
        <v>0</v>
      </c>
      <c r="CH455" s="235">
        <f t="shared" si="1784"/>
        <v>0</v>
      </c>
      <c r="CI455" s="235" t="e">
        <f>BM455-#REF!</f>
        <v>#REF!</v>
      </c>
      <c r="CJ455" s="235">
        <f t="shared" si="1785"/>
        <v>0</v>
      </c>
      <c r="CK455" s="235">
        <f t="shared" si="1786"/>
        <v>0</v>
      </c>
      <c r="CL455" s="235">
        <f t="shared" si="1787"/>
        <v>0</v>
      </c>
      <c r="CM455" s="235">
        <f t="shared" si="1788"/>
        <v>0</v>
      </c>
      <c r="CN455" s="235">
        <f t="shared" si="1789"/>
        <v>0</v>
      </c>
      <c r="CO455" s="235">
        <f t="shared" si="1790"/>
        <v>0</v>
      </c>
      <c r="CP455" s="235">
        <f t="shared" si="1791"/>
        <v>0</v>
      </c>
      <c r="CQ455" s="235">
        <f t="shared" si="1792"/>
        <v>0</v>
      </c>
      <c r="CR455" s="235">
        <f t="shared" si="1793"/>
        <v>0</v>
      </c>
      <c r="CS455" s="235">
        <f t="shared" si="1794"/>
        <v>0</v>
      </c>
      <c r="CT455" s="235">
        <f t="shared" si="1795"/>
        <v>0</v>
      </c>
      <c r="CU455" s="235">
        <f t="shared" si="1796"/>
        <v>0</v>
      </c>
      <c r="CV455" s="235">
        <f t="shared" si="1797"/>
        <v>0</v>
      </c>
      <c r="CW455" s="235">
        <f t="shared" si="1798"/>
        <v>0</v>
      </c>
      <c r="CX455" s="235">
        <f t="shared" si="1799"/>
        <v>0</v>
      </c>
      <c r="CY455" s="235">
        <f t="shared" si="1800"/>
        <v>0</v>
      </c>
      <c r="CZ455" s="235">
        <f t="shared" si="1801"/>
        <v>0</v>
      </c>
      <c r="DF455" s="258"/>
    </row>
    <row r="456" spans="1:130" hidden="1">
      <c r="A456" s="16"/>
      <c r="B456" s="3" t="str">
        <f>B406</f>
        <v>Quotes</v>
      </c>
      <c r="D456" s="3"/>
      <c r="E456" s="3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01"/>
      <c r="CG456" s="235">
        <f t="shared" si="1783"/>
        <v>0</v>
      </c>
      <c r="CH456" s="235">
        <f t="shared" si="1784"/>
        <v>0</v>
      </c>
      <c r="CI456" s="235" t="e">
        <f>BM456-#REF!</f>
        <v>#REF!</v>
      </c>
      <c r="CJ456" s="235">
        <f t="shared" si="1785"/>
        <v>0</v>
      </c>
      <c r="CK456" s="235">
        <f t="shared" si="1786"/>
        <v>0</v>
      </c>
      <c r="CL456" s="235">
        <f t="shared" si="1787"/>
        <v>0</v>
      </c>
      <c r="CM456" s="235">
        <f t="shared" si="1788"/>
        <v>0</v>
      </c>
      <c r="CN456" s="235">
        <f t="shared" si="1789"/>
        <v>0</v>
      </c>
      <c r="CO456" s="235">
        <f t="shared" si="1790"/>
        <v>0</v>
      </c>
      <c r="CP456" s="235">
        <f t="shared" si="1791"/>
        <v>0</v>
      </c>
      <c r="CQ456" s="235">
        <f t="shared" si="1792"/>
        <v>0</v>
      </c>
      <c r="CR456" s="235">
        <f t="shared" si="1793"/>
        <v>0</v>
      </c>
      <c r="CS456" s="235">
        <f t="shared" si="1794"/>
        <v>0</v>
      </c>
      <c r="CT456" s="235">
        <f t="shared" si="1795"/>
        <v>0</v>
      </c>
      <c r="CU456" s="235">
        <f t="shared" si="1796"/>
        <v>0</v>
      </c>
      <c r="CV456" s="235">
        <f t="shared" si="1797"/>
        <v>0</v>
      </c>
      <c r="CW456" s="235">
        <f t="shared" si="1798"/>
        <v>0</v>
      </c>
      <c r="CX456" s="235">
        <f t="shared" si="1799"/>
        <v>0</v>
      </c>
      <c r="CY456" s="235">
        <f t="shared" si="1800"/>
        <v>0</v>
      </c>
      <c r="CZ456" s="235">
        <f t="shared" si="1801"/>
        <v>0</v>
      </c>
      <c r="DF456" s="258"/>
    </row>
    <row r="457" spans="1:130" hidden="1">
      <c r="A457" s="16" t="str">
        <f>A407</f>
        <v>Overall balance in % of GDP</v>
      </c>
      <c r="B457" s="3" t="str">
        <f>B407</f>
        <v>financieringssaldo in % BBP (+=tekort)</v>
      </c>
      <c r="D457" s="3" t="str">
        <f>D407</f>
        <v>Quote</v>
      </c>
      <c r="E457" s="3"/>
      <c r="F457" s="16">
        <f>F407</f>
        <v>-4.5241676062622407</v>
      </c>
      <c r="G457" s="16">
        <f t="shared" ref="G457:BQ457" si="1856">G407</f>
        <v>-3.0623506135613798</v>
      </c>
      <c r="H457" s="16">
        <f t="shared" si="1856"/>
        <v>-2.229279355924537</v>
      </c>
      <c r="I457" s="16">
        <f t="shared" si="1856"/>
        <v>-0.69066622276431766</v>
      </c>
      <c r="J457" s="16">
        <f t="shared" si="1856"/>
        <v>7.4575279872471326E-2</v>
      </c>
      <c r="K457" s="16">
        <f t="shared" si="1856"/>
        <v>0.59110034798237332</v>
      </c>
      <c r="L457" s="16">
        <f t="shared" si="1856"/>
        <v>1.326861217766597</v>
      </c>
      <c r="M457" s="16">
        <f t="shared" si="1856"/>
        <v>3.7194653562883602</v>
      </c>
      <c r="N457" s="16">
        <f t="shared" si="1856"/>
        <v>3.3478450811702261</v>
      </c>
      <c r="O457" s="16">
        <f t="shared" si="1856"/>
        <v>2.4083116987086362</v>
      </c>
      <c r="P457" s="16">
        <f t="shared" si="1856"/>
        <v>1.8345467979071939</v>
      </c>
      <c r="Q457" s="16">
        <f t="shared" si="1856"/>
        <v>1.7517038380431222</v>
      </c>
      <c r="R457" s="16">
        <f t="shared" si="1856"/>
        <v>1.3493426380346614</v>
      </c>
      <c r="S457" s="16">
        <f t="shared" si="1856"/>
        <v>0.32168575577876551</v>
      </c>
      <c r="T457" s="16">
        <f t="shared" si="1856"/>
        <v>0.85762025910917505</v>
      </c>
      <c r="U457" s="16">
        <f t="shared" si="1856"/>
        <v>2.5715685333553515</v>
      </c>
      <c r="V457" s="16">
        <f t="shared" si="1856"/>
        <v>4.1018160347156449</v>
      </c>
      <c r="W457" s="16">
        <f t="shared" si="1856"/>
        <v>2.797649522266314</v>
      </c>
      <c r="X457" s="16">
        <f t="shared" si="1856"/>
        <v>5.7557766419396961</v>
      </c>
      <c r="Y457" s="16">
        <f t="shared" si="1856"/>
        <v>7.0778392080929011</v>
      </c>
      <c r="Z457" s="16">
        <f t="shared" si="1856"/>
        <v>6.9658807123214164</v>
      </c>
      <c r="AA457" s="16">
        <f t="shared" si="1856"/>
        <v>11.449790990511062</v>
      </c>
      <c r="AB457" s="16">
        <f t="shared" si="1856"/>
        <v>12.68942192446093</v>
      </c>
      <c r="AC457" s="16">
        <f t="shared" si="1856"/>
        <v>11.306295480860708</v>
      </c>
      <c r="AD457" s="16">
        <f t="shared" si="1856"/>
        <v>9.7371051523858974</v>
      </c>
      <c r="AE457" s="16">
        <f t="shared" si="1856"/>
        <v>9.3213325155610764</v>
      </c>
      <c r="AF457" s="16">
        <f t="shared" si="1856"/>
        <v>8.5063194278492915</v>
      </c>
      <c r="AG457" s="16">
        <f t="shared" si="1856"/>
        <v>10.639397544502947</v>
      </c>
      <c r="AH457" s="16">
        <f t="shared" si="1856"/>
        <v>14.740304970198878</v>
      </c>
      <c r="AI457" s="16">
        <f t="shared" si="1856"/>
        <v>16.977866313248242</v>
      </c>
      <c r="AJ457" s="16">
        <f t="shared" si="1856"/>
        <v>16.115253260456385</v>
      </c>
      <c r="AK457" s="16">
        <f t="shared" si="1856"/>
        <v>15.83099542118474</v>
      </c>
      <c r="AL457" s="16">
        <f t="shared" si="1856"/>
        <v>18.60819556785933</v>
      </c>
      <c r="AM457" s="16">
        <f t="shared" si="1856"/>
        <v>19.586657236897885</v>
      </c>
      <c r="AN457" s="16">
        <f t="shared" si="1856"/>
        <v>16.203100377423933</v>
      </c>
      <c r="AO457" s="16">
        <f t="shared" si="1856"/>
        <v>15.395923536174344</v>
      </c>
      <c r="AP457" s="16">
        <f t="shared" si="1856"/>
        <v>10.423793789556935</v>
      </c>
      <c r="AQ457" s="16">
        <f t="shared" si="1856"/>
        <v>12.184510932875714</v>
      </c>
      <c r="AR457" s="16">
        <f t="shared" si="1856"/>
        <v>13.122629801199921</v>
      </c>
      <c r="AS457" s="16">
        <f t="shared" si="1856"/>
        <v>9.6072838625384591</v>
      </c>
      <c r="AT457" s="16">
        <f t="shared" si="1856"/>
        <v>218.57194555903868</v>
      </c>
      <c r="AU457" s="16">
        <f t="shared" si="1856"/>
        <v>5.2556953018404764</v>
      </c>
      <c r="AV457" s="16">
        <f t="shared" si="1856"/>
        <v>14.164672479670212</v>
      </c>
      <c r="AW457" s="16">
        <f t="shared" si="1856"/>
        <v>9.7274554274355154</v>
      </c>
      <c r="AX457" s="16">
        <f t="shared" si="1856"/>
        <v>14.832304912530189</v>
      </c>
      <c r="AY457" s="16">
        <f t="shared" si="1856"/>
        <v>8.1395733570480999</v>
      </c>
      <c r="AZ457" s="16">
        <f t="shared" si="1856"/>
        <v>6.7163030606109704</v>
      </c>
      <c r="BA457" s="16">
        <f t="shared" si="1856"/>
        <v>-0.27742094296155834</v>
      </c>
      <c r="BB457" s="16">
        <f t="shared" si="1856"/>
        <v>4.4512485572626135</v>
      </c>
      <c r="BC457" s="16">
        <f t="shared" si="1856"/>
        <v>-0.66207194329005992</v>
      </c>
      <c r="BD457" s="16">
        <f t="shared" si="1856"/>
        <v>0.75940351343866752</v>
      </c>
      <c r="BE457" s="16">
        <f t="shared" ca="1" si="1856"/>
        <v>0.52022949039318045</v>
      </c>
      <c r="BF457" s="16">
        <f t="shared" ca="1" si="1856"/>
        <v>-1.1474582448604465</v>
      </c>
      <c r="BG457" s="16">
        <f t="shared" ca="1" si="1856"/>
        <v>-5.4380819153987163</v>
      </c>
      <c r="BH457" s="16">
        <f t="shared" ca="1" si="1856"/>
        <v>-1.5859058712802976</v>
      </c>
      <c r="BI457" s="16">
        <f t="shared" ca="1" si="1856"/>
        <v>2.2676892064022369</v>
      </c>
      <c r="BJ457" s="16">
        <f t="shared" ca="1" si="1856"/>
        <v>2.5020859092168659</v>
      </c>
      <c r="BK457" s="1">
        <f t="shared" ref="BK457:BP457" ca="1" si="1857">BK407</f>
        <v>1.7644964373648393</v>
      </c>
      <c r="BL457" s="1">
        <f t="shared" ca="1" si="1857"/>
        <v>2.5546546577188378</v>
      </c>
      <c r="BM457" s="1">
        <f t="shared" ca="1" si="1857"/>
        <v>5.9711722859288336</v>
      </c>
      <c r="BN457" s="1">
        <f t="shared" si="1857"/>
        <v>5.5896948529606352</v>
      </c>
      <c r="BO457" s="1">
        <f t="shared" ca="1" si="1857"/>
        <v>7.8640700652151283</v>
      </c>
      <c r="BP457" s="1">
        <f t="shared" ca="1" si="1857"/>
        <v>8.450257219074178</v>
      </c>
      <c r="BQ457" s="1">
        <f t="shared" ca="1" si="1856"/>
        <v>7.3726272711479508</v>
      </c>
      <c r="BR457" s="1">
        <f ca="1">BR407</f>
        <v>7.3986972259791912</v>
      </c>
      <c r="BS457" s="1">
        <f ca="1">BS407</f>
        <v>8.2574708260523053</v>
      </c>
      <c r="BT457" s="1">
        <f ca="1">BT407</f>
        <v>9.4515102997227078</v>
      </c>
      <c r="BU457" s="1">
        <f ca="1">BU407</f>
        <v>10.525074639218101</v>
      </c>
      <c r="BV457" s="1">
        <f ca="1">BV407</f>
        <v>11.677898010976801</v>
      </c>
      <c r="BW457" s="1">
        <f t="shared" ref="BW457:BX457" ca="1" si="1858">BW407</f>
        <v>12.892094272556678</v>
      </c>
      <c r="BX457" s="1">
        <f t="shared" ca="1" si="1858"/>
        <v>14.215894558094751</v>
      </c>
      <c r="BY457" s="1">
        <f t="shared" ref="BY457:CD457" ca="1" si="1859">BY407</f>
        <v>15.653549929277291</v>
      </c>
      <c r="BZ457" s="1">
        <f t="shared" ca="1" si="1859"/>
        <v>16.988245139311875</v>
      </c>
      <c r="CA457" s="1">
        <f t="shared" ca="1" si="1859"/>
        <v>18.380025914190654</v>
      </c>
      <c r="CB457" s="1">
        <f t="shared" ca="1" si="1859"/>
        <v>19.822378885038592</v>
      </c>
      <c r="CC457" s="1">
        <f t="shared" ca="1" si="1859"/>
        <v>21.35595962514795</v>
      </c>
      <c r="CD457" s="1">
        <f t="shared" ca="1" si="1859"/>
        <v>22.982839956077157</v>
      </c>
      <c r="CE457" s="101">
        <f t="shared" ref="CE457:CE467" ca="1" si="1860">SUM(BO457:CD457)/16</f>
        <v>13.330537114817584</v>
      </c>
      <c r="CG457" s="235">
        <f t="shared" ca="1" si="1783"/>
        <v>-0.46749278975726938</v>
      </c>
      <c r="CH457" s="235">
        <f t="shared" ca="1" si="1784"/>
        <v>3.5877830410774525E-2</v>
      </c>
      <c r="CI457" s="235" t="e">
        <f ca="1">BM457-#REF!</f>
        <v>#REF!</v>
      </c>
      <c r="CJ457" s="276">
        <f t="shared" si="1785"/>
        <v>0</v>
      </c>
      <c r="CK457" s="276">
        <f t="shared" ca="1" si="1786"/>
        <v>0</v>
      </c>
      <c r="CL457" s="276">
        <f t="shared" ca="1" si="1787"/>
        <v>0</v>
      </c>
      <c r="CM457" s="276">
        <f t="shared" ca="1" si="1788"/>
        <v>0</v>
      </c>
      <c r="CN457" s="276">
        <f t="shared" ca="1" si="1789"/>
        <v>0</v>
      </c>
      <c r="CO457" s="276">
        <f t="shared" ca="1" si="1790"/>
        <v>0</v>
      </c>
      <c r="CP457" s="276">
        <f t="shared" ca="1" si="1791"/>
        <v>0</v>
      </c>
      <c r="CQ457" s="276">
        <f t="shared" ca="1" si="1792"/>
        <v>0</v>
      </c>
      <c r="CR457" s="235">
        <f t="shared" ca="1" si="1793"/>
        <v>0</v>
      </c>
      <c r="CS457" s="235">
        <f t="shared" ca="1" si="1794"/>
        <v>0</v>
      </c>
      <c r="CT457" s="235">
        <f t="shared" ca="1" si="1795"/>
        <v>0</v>
      </c>
      <c r="CU457" s="235">
        <f t="shared" ca="1" si="1796"/>
        <v>0</v>
      </c>
      <c r="CV457" s="235">
        <f t="shared" ca="1" si="1797"/>
        <v>0</v>
      </c>
      <c r="CW457" s="235">
        <f t="shared" ca="1" si="1798"/>
        <v>0</v>
      </c>
      <c r="CX457" s="235">
        <f t="shared" ca="1" si="1799"/>
        <v>4.5830006456526462E-13</v>
      </c>
      <c r="CY457" s="235">
        <f t="shared" ca="1" si="1800"/>
        <v>4.6647130602650577E-12</v>
      </c>
      <c r="CZ457" s="235">
        <f t="shared" ca="1" si="1801"/>
        <v>3.8305358884827001E-11</v>
      </c>
      <c r="DF457" s="258"/>
      <c r="DG457" s="236">
        <v>2.2319892271221087</v>
      </c>
      <c r="DH457" s="492">
        <v>2.5187768273080633</v>
      </c>
      <c r="DI457" s="236">
        <v>5.5896948529606352</v>
      </c>
      <c r="DJ457" s="236">
        <v>7.8640700652151283</v>
      </c>
      <c r="DK457" s="236">
        <v>8.4502572190741816</v>
      </c>
      <c r="DL457" s="236">
        <v>7.3726272711479481</v>
      </c>
      <c r="DM457" s="236">
        <v>7.3986972259791939</v>
      </c>
      <c r="DN457" s="236">
        <v>8.2574708260523035</v>
      </c>
      <c r="DO457" s="236">
        <v>9.4515102997227078</v>
      </c>
      <c r="DP457" s="236">
        <v>10.525074639218101</v>
      </c>
      <c r="DQ457" s="258">
        <v>11.67789801097681</v>
      </c>
      <c r="DR457" s="258">
        <v>12.892094272556676</v>
      </c>
      <c r="DS457" s="258">
        <v>14.215894558094751</v>
      </c>
      <c r="DT457" s="258">
        <v>15.653549929277291</v>
      </c>
      <c r="DU457" s="258">
        <v>16.988245139311871</v>
      </c>
      <c r="DV457" s="258">
        <v>18.380025914190632</v>
      </c>
      <c r="DW457" s="258">
        <v>19.822378885038134</v>
      </c>
      <c r="DX457" s="258">
        <v>21.355959625143285</v>
      </c>
      <c r="DY457" s="258">
        <v>22.982839956038852</v>
      </c>
      <c r="DZ457" s="258">
        <v>10.686488495646694</v>
      </c>
    </row>
    <row r="458" spans="1:130" hidden="1">
      <c r="A458" s="16" t="str">
        <f>A422</f>
        <v>Overall balance</v>
      </c>
      <c r="B458" s="16" t="str">
        <f>B422</f>
        <v>financieringssaldo in mln SRD (+=tekort)</v>
      </c>
      <c r="C458" s="16"/>
      <c r="D458" s="16" t="str">
        <f>D422</f>
        <v>mlnSRD</v>
      </c>
      <c r="E458" s="16"/>
      <c r="F458" s="16">
        <f>F422</f>
        <v>-6.1467759597651954E-3</v>
      </c>
      <c r="G458" s="16">
        <f t="shared" ref="G458:BQ458" si="1861">G422</f>
        <v>-4.3439707889079129E-3</v>
      </c>
      <c r="H458" s="16">
        <f t="shared" si="1861"/>
        <v>-3.4204278765919516E-3</v>
      </c>
      <c r="I458" s="16">
        <f t="shared" si="1861"/>
        <v>-1.2241416489654705E-3</v>
      </c>
      <c r="J458" s="16">
        <f t="shared" si="1861"/>
        <v>1.4048303510485246E-4</v>
      </c>
      <c r="K458" s="16">
        <f t="shared" si="1861"/>
        <v>1.2283235056764711E-3</v>
      </c>
      <c r="L458" s="16">
        <f t="shared" si="1861"/>
        <v>2.9928887860304048E-3</v>
      </c>
      <c r="M458" s="16">
        <f t="shared" si="1861"/>
        <v>8.7754688560368332E-3</v>
      </c>
      <c r="N458" s="16">
        <f t="shared" si="1861"/>
        <v>8.3123585403163218E-3</v>
      </c>
      <c r="O458" s="16">
        <f t="shared" si="1861"/>
        <v>6.3805202637231082E-3</v>
      </c>
      <c r="P458" s="16">
        <f t="shared" si="1861"/>
        <v>5.3459152566764498E-3</v>
      </c>
      <c r="Q458" s="16">
        <f t="shared" si="1861"/>
        <v>5.846144479554824E-3</v>
      </c>
      <c r="R458" s="16">
        <f t="shared" si="1861"/>
        <v>5.687706735080459E-3</v>
      </c>
      <c r="S458" s="16">
        <f t="shared" si="1861"/>
        <v>1.5727983990111768E-3</v>
      </c>
      <c r="T458" s="16">
        <f t="shared" si="1861"/>
        <v>4.5933708292095242E-3</v>
      </c>
      <c r="U458" s="16">
        <f t="shared" si="1861"/>
        <v>1.4390277733365773E-2</v>
      </c>
      <c r="V458" s="16">
        <f t="shared" si="1861"/>
        <v>2.4175443061730993E-2</v>
      </c>
      <c r="W458" s="16">
        <f t="shared" si="1861"/>
        <v>1.790626602207809E-2</v>
      </c>
      <c r="X458" s="16">
        <f t="shared" si="1861"/>
        <v>3.8788884009105046E-2</v>
      </c>
      <c r="Y458" s="16">
        <f t="shared" si="1861"/>
        <v>5.1655415961800684E-2</v>
      </c>
      <c r="Z458" s="16">
        <f t="shared" si="1861"/>
        <v>6.1844667633345694E-2</v>
      </c>
      <c r="AA458" s="16">
        <f t="shared" si="1861"/>
        <v>0.12212886099262474</v>
      </c>
      <c r="AB458" s="16">
        <f t="shared" si="1861"/>
        <v>0.14714087871953038</v>
      </c>
      <c r="AC458" s="16">
        <f t="shared" si="1861"/>
        <v>0.16627123145482767</v>
      </c>
      <c r="AD458" s="16">
        <f t="shared" si="1861"/>
        <v>0.16421663294483529</v>
      </c>
      <c r="AE458" s="16">
        <f t="shared" si="1861"/>
        <v>0.16727829443088799</v>
      </c>
      <c r="AF458" s="16">
        <f t="shared" si="1861"/>
        <v>0.15625998582630551</v>
      </c>
      <c r="AG458" s="16">
        <f t="shared" si="1861"/>
        <v>0.21941697722822895</v>
      </c>
      <c r="AH458" s="16">
        <f t="shared" si="1861"/>
        <v>0.3128187810701728</v>
      </c>
      <c r="AI458" s="16">
        <f t="shared" si="1861"/>
        <v>0.3484433977041913</v>
      </c>
      <c r="AJ458" s="16">
        <f t="shared" si="1861"/>
        <v>0.32299803868728988</v>
      </c>
      <c r="AK458" s="16">
        <f t="shared" si="1861"/>
        <v>0.31671267810229314</v>
      </c>
      <c r="AL458" s="16">
        <f t="shared" si="1861"/>
        <v>0.38287342496762045</v>
      </c>
      <c r="AM458" s="16">
        <f t="shared" si="1861"/>
        <v>0.44387774031270449</v>
      </c>
      <c r="AN458" s="16">
        <f t="shared" si="1861"/>
        <v>0.435184376469682</v>
      </c>
      <c r="AO458" s="16">
        <f t="shared" si="1861"/>
        <v>0.48720182699870601</v>
      </c>
      <c r="AP458" s="16">
        <f t="shared" si="1861"/>
        <v>0.42381541957416202</v>
      </c>
      <c r="AQ458" s="16">
        <f t="shared" si="1861"/>
        <v>0.586885709755812</v>
      </c>
      <c r="AR458" s="16">
        <f t="shared" si="1861"/>
        <v>0.82063874436380657</v>
      </c>
      <c r="AS458" s="16">
        <f t="shared" si="1861"/>
        <v>1.3507831349250574</v>
      </c>
      <c r="AT458" s="16">
        <f t="shared" si="1861"/>
        <v>120.88162950752053</v>
      </c>
      <c r="AU458" s="16">
        <f t="shared" si="1861"/>
        <v>13.95361658069849</v>
      </c>
      <c r="AV458" s="16">
        <f t="shared" si="1861"/>
        <v>49.291038699999994</v>
      </c>
      <c r="AW458" s="16">
        <f t="shared" si="1861"/>
        <v>38.308087961999995</v>
      </c>
      <c r="AX458" s="16">
        <f t="shared" si="1861"/>
        <v>71.142918144999982</v>
      </c>
      <c r="AY458" s="16">
        <f t="shared" si="1861"/>
        <v>72.620163119999987</v>
      </c>
      <c r="AZ458" s="16">
        <f t="shared" si="1861"/>
        <v>99.429947219999946</v>
      </c>
      <c r="BA458" s="16">
        <f t="shared" si="1861"/>
        <v>-5.9155669999998821</v>
      </c>
      <c r="BB458" s="16">
        <f t="shared" si="1861"/>
        <v>112.8055439999999</v>
      </c>
      <c r="BC458" s="16">
        <f t="shared" si="1861"/>
        <v>-23.562304000000083</v>
      </c>
      <c r="BD458" s="16">
        <f t="shared" si="1861"/>
        <v>33.344740000000066</v>
      </c>
      <c r="BE458" s="16">
        <f t="shared" si="1861"/>
        <v>31.492448359999997</v>
      </c>
      <c r="BF458" s="16">
        <f t="shared" si="1861"/>
        <v>-85.15214099999983</v>
      </c>
      <c r="BG458" s="16">
        <f t="shared" si="1861"/>
        <v>-458.21584999999982</v>
      </c>
      <c r="BH458" s="16">
        <f t="shared" si="1861"/>
        <v>-156.33833599999477</v>
      </c>
      <c r="BI458" s="16">
        <f t="shared" si="1861"/>
        <v>222.44832600000058</v>
      </c>
      <c r="BJ458" s="16">
        <f t="shared" si="1861"/>
        <v>305.89054599999986</v>
      </c>
      <c r="BK458" s="1">
        <f t="shared" ref="BK458:BP458" si="1862">BK422</f>
        <v>284.67248800000073</v>
      </c>
      <c r="BL458" s="1">
        <f t="shared" si="1862"/>
        <v>445.0999999999998</v>
      </c>
      <c r="BM458" s="1">
        <f t="shared" si="1862"/>
        <v>1027.2000734982184</v>
      </c>
      <c r="BN458" s="1">
        <f t="shared" si="1862"/>
        <v>961.09979090000013</v>
      </c>
      <c r="BO458" s="1">
        <f t="shared" si="1862"/>
        <v>1372.9000039000005</v>
      </c>
      <c r="BP458" s="1">
        <f t="shared" ca="1" si="1862"/>
        <v>1853.6328229682299</v>
      </c>
      <c r="BQ458" s="1">
        <f t="shared" ca="1" si="1861"/>
        <v>2002.6783560286819</v>
      </c>
      <c r="BR458" s="1">
        <f ca="1">BR422</f>
        <v>2209.238091906192</v>
      </c>
      <c r="BS458" s="1">
        <f ca="1">BS422</f>
        <v>2559.4376924753969</v>
      </c>
      <c r="BT458" s="1">
        <f ca="1">BT422</f>
        <v>3019.5394102847113</v>
      </c>
      <c r="BU458" s="1">
        <f ca="1">BU422</f>
        <v>3496.3007209057141</v>
      </c>
      <c r="BV458" s="1">
        <f ca="1">BV422</f>
        <v>4038.0916331141693</v>
      </c>
      <c r="BW458" s="1">
        <f t="shared" ref="BW458:BX458" ca="1" si="1863">BW422</f>
        <v>4639.0888058624514</v>
      </c>
      <c r="BX458" s="1">
        <f t="shared" ca="1" si="1863"/>
        <v>5322.6596594165849</v>
      </c>
      <c r="BY458" s="1">
        <f t="shared" ref="BY458:CD458" ca="1" si="1864">BY422</f>
        <v>6097.6973515922482</v>
      </c>
      <c r="BZ458" s="1">
        <f t="shared" ca="1" si="1864"/>
        <v>6941.878458187568</v>
      </c>
      <c r="CA458" s="1">
        <f t="shared" ca="1" si="1864"/>
        <v>7887.7654679913921</v>
      </c>
      <c r="CB458" s="1">
        <f t="shared" ca="1" si="1864"/>
        <v>8934.2701427941647</v>
      </c>
      <c r="CC458" s="1">
        <f t="shared" ca="1" si="1864"/>
        <v>10112.610691553815</v>
      </c>
      <c r="CD458" s="1">
        <f t="shared" ca="1" si="1864"/>
        <v>11438.404408791448</v>
      </c>
      <c r="CE458" s="101">
        <f t="shared" ca="1" si="1860"/>
        <v>5120.3871073607979</v>
      </c>
      <c r="CG458" s="235">
        <f t="shared" si="1783"/>
        <v>1.2000000000000455</v>
      </c>
      <c r="CH458" s="235">
        <f t="shared" si="1784"/>
        <v>0</v>
      </c>
      <c r="CI458" s="235" t="e">
        <f>BM458-#REF!</f>
        <v>#REF!</v>
      </c>
      <c r="CJ458" s="235">
        <f t="shared" si="1785"/>
        <v>0</v>
      </c>
      <c r="CK458" s="235">
        <f t="shared" si="1786"/>
        <v>0</v>
      </c>
      <c r="CL458" s="235">
        <f t="shared" ca="1" si="1787"/>
        <v>0</v>
      </c>
      <c r="CM458" s="235">
        <f t="shared" ca="1" si="1788"/>
        <v>2.7284841053187847E-12</v>
      </c>
      <c r="CN458" s="235">
        <f t="shared" ca="1" si="1789"/>
        <v>0</v>
      </c>
      <c r="CO458" s="235">
        <f t="shared" ca="1" si="1790"/>
        <v>3.637978807091713E-12</v>
      </c>
      <c r="CP458" s="235">
        <f t="shared" ca="1" si="1791"/>
        <v>0</v>
      </c>
      <c r="CQ458" s="235">
        <f t="shared" ca="1" si="1792"/>
        <v>-3.637978807091713E-12</v>
      </c>
      <c r="CR458" s="235">
        <f t="shared" ca="1" si="1793"/>
        <v>-5.9117155615240335E-12</v>
      </c>
      <c r="CS458" s="235">
        <f t="shared" ca="1" si="1794"/>
        <v>-7.2759576141834259E-12</v>
      </c>
      <c r="CT458" s="235">
        <f t="shared" ca="1" si="1795"/>
        <v>0</v>
      </c>
      <c r="CU458" s="235">
        <f t="shared" ca="1" si="1796"/>
        <v>0</v>
      </c>
      <c r="CV458" s="235">
        <f t="shared" ca="1" si="1797"/>
        <v>0</v>
      </c>
      <c r="CW458" s="235">
        <f t="shared" ca="1" si="1798"/>
        <v>9.0949470177292824E-12</v>
      </c>
      <c r="CX458" s="235">
        <f t="shared" ca="1" si="1799"/>
        <v>3.0013325158506632E-10</v>
      </c>
      <c r="CY458" s="235">
        <f t="shared" ca="1" si="1800"/>
        <v>3.0686351237818599E-9</v>
      </c>
      <c r="CZ458" s="235">
        <f t="shared" ca="1" si="1801"/>
        <v>2.4108885554596782E-8</v>
      </c>
      <c r="DF458" s="258"/>
      <c r="DG458" s="236">
        <v>283.47248800000068</v>
      </c>
      <c r="DH458" s="492">
        <v>445.0999999999998</v>
      </c>
      <c r="DI458" s="236">
        <v>961.09979090000013</v>
      </c>
      <c r="DJ458" s="236">
        <v>1372.9000039000005</v>
      </c>
      <c r="DK458" s="236">
        <v>1853.632822968229</v>
      </c>
      <c r="DL458" s="236">
        <v>2002.6783560286792</v>
      </c>
      <c r="DM458" s="236">
        <v>2209.2380919061893</v>
      </c>
      <c r="DN458" s="236">
        <v>2559.4376924753933</v>
      </c>
      <c r="DO458" s="236">
        <v>3019.5394102847094</v>
      </c>
      <c r="DP458" s="236">
        <v>3496.3007209057178</v>
      </c>
      <c r="DQ458" s="258">
        <v>4038.0916331141752</v>
      </c>
      <c r="DR458" s="258">
        <v>4639.0888058624587</v>
      </c>
      <c r="DS458" s="258">
        <v>5322.6596594165894</v>
      </c>
      <c r="DT458" s="258">
        <v>6097.6973515922546</v>
      </c>
      <c r="DU458" s="258">
        <v>6941.8784581875734</v>
      </c>
      <c r="DV458" s="258">
        <v>7887.765467991383</v>
      </c>
      <c r="DW458" s="258">
        <v>8934.2701427938646</v>
      </c>
      <c r="DX458" s="258">
        <v>10112.610691550746</v>
      </c>
      <c r="DY458" s="258">
        <v>11438.404408767339</v>
      </c>
      <c r="DZ458" s="258">
        <v>4043.2807464140374</v>
      </c>
    </row>
    <row r="459" spans="1:130" hidden="1">
      <c r="A459" s="16" t="str">
        <f t="shared" ref="A459:B461" si="1865">A408</f>
        <v>Total Government Debt In % of GDP</v>
      </c>
      <c r="B459" s="3" t="str">
        <f t="shared" si="1865"/>
        <v>Staatsschuld in % BBP</v>
      </c>
      <c r="D459" s="3" t="str">
        <f>D408</f>
        <v>Quote</v>
      </c>
      <c r="E459" s="3"/>
      <c r="F459" s="16">
        <f>F408</f>
        <v>0</v>
      </c>
      <c r="G459" s="16">
        <f t="shared" ref="G459:BQ459" si="1866">G408</f>
        <v>0</v>
      </c>
      <c r="H459" s="16">
        <f t="shared" si="1866"/>
        <v>0</v>
      </c>
      <c r="I459" s="16">
        <f t="shared" si="1866"/>
        <v>0</v>
      </c>
      <c r="J459" s="16">
        <f t="shared" si="1866"/>
        <v>0</v>
      </c>
      <c r="K459" s="16">
        <f t="shared" si="1866"/>
        <v>0</v>
      </c>
      <c r="L459" s="16">
        <f t="shared" si="1866"/>
        <v>0</v>
      </c>
      <c r="M459" s="16">
        <f t="shared" si="1866"/>
        <v>0</v>
      </c>
      <c r="N459" s="16">
        <f t="shared" si="1866"/>
        <v>0</v>
      </c>
      <c r="O459" s="16">
        <f t="shared" si="1866"/>
        <v>0</v>
      </c>
      <c r="P459" s="16">
        <f t="shared" si="1866"/>
        <v>0</v>
      </c>
      <c r="Q459" s="16">
        <f t="shared" si="1866"/>
        <v>0</v>
      </c>
      <c r="R459" s="16">
        <f t="shared" si="1866"/>
        <v>0</v>
      </c>
      <c r="S459" s="16">
        <f t="shared" si="1866"/>
        <v>0</v>
      </c>
      <c r="T459" s="16">
        <f t="shared" si="1866"/>
        <v>0</v>
      </c>
      <c r="U459" s="16">
        <f t="shared" si="1866"/>
        <v>0</v>
      </c>
      <c r="V459" s="16">
        <f t="shared" si="1866"/>
        <v>0</v>
      </c>
      <c r="W459" s="16">
        <f t="shared" si="1866"/>
        <v>0</v>
      </c>
      <c r="X459" s="16">
        <f t="shared" si="1866"/>
        <v>0</v>
      </c>
      <c r="Y459" s="16">
        <f t="shared" si="1866"/>
        <v>0</v>
      </c>
      <c r="Z459" s="16">
        <f t="shared" si="1866"/>
        <v>0</v>
      </c>
      <c r="AA459" s="16">
        <f t="shared" si="1866"/>
        <v>0</v>
      </c>
      <c r="AB459" s="16">
        <f t="shared" si="1866"/>
        <v>0</v>
      </c>
      <c r="AC459" s="16">
        <f t="shared" si="1866"/>
        <v>0</v>
      </c>
      <c r="AD459" s="16">
        <f t="shared" si="1866"/>
        <v>0</v>
      </c>
      <c r="AE459" s="16">
        <f t="shared" si="1866"/>
        <v>0</v>
      </c>
      <c r="AF459" s="16">
        <f t="shared" si="1866"/>
        <v>0</v>
      </c>
      <c r="AG459" s="16">
        <f t="shared" si="1866"/>
        <v>0</v>
      </c>
      <c r="AH459" s="16">
        <f t="shared" si="1866"/>
        <v>0</v>
      </c>
      <c r="AI459" s="16">
        <f t="shared" si="1866"/>
        <v>0</v>
      </c>
      <c r="AJ459" s="16">
        <f t="shared" si="1866"/>
        <v>0</v>
      </c>
      <c r="AK459" s="16">
        <f t="shared" si="1866"/>
        <v>0</v>
      </c>
      <c r="AL459" s="16">
        <f t="shared" si="1866"/>
        <v>0</v>
      </c>
      <c r="AM459" s="16">
        <f t="shared" si="1866"/>
        <v>0</v>
      </c>
      <c r="AN459" s="16">
        <f t="shared" si="1866"/>
        <v>0</v>
      </c>
      <c r="AO459" s="16">
        <f t="shared" si="1866"/>
        <v>137.7137818338459</v>
      </c>
      <c r="AP459" s="16">
        <f t="shared" si="1866"/>
        <v>120.45068666724853</v>
      </c>
      <c r="AQ459" s="16">
        <f t="shared" si="1866"/>
        <v>121.76621085178856</v>
      </c>
      <c r="AR459" s="16">
        <f t="shared" si="1866"/>
        <v>103.64912810960166</v>
      </c>
      <c r="AS459" s="16">
        <f t="shared" si="1866"/>
        <v>64.759930080413284</v>
      </c>
      <c r="AT459" s="16">
        <f t="shared" si="1866"/>
        <v>16.381641912151711</v>
      </c>
      <c r="AU459" s="16">
        <f t="shared" si="1866"/>
        <v>28.382772965785897</v>
      </c>
      <c r="AV459" s="16">
        <f t="shared" si="1866"/>
        <v>19.298033518219341</v>
      </c>
      <c r="AW459" s="16">
        <f t="shared" si="1866"/>
        <v>19.656077887678197</v>
      </c>
      <c r="AX459" s="16">
        <f t="shared" si="1866"/>
        <v>22.2839672903653</v>
      </c>
      <c r="AY459" s="16">
        <f t="shared" si="1866"/>
        <v>29.570769887807732</v>
      </c>
      <c r="AZ459" s="16">
        <f t="shared" si="1866"/>
        <v>51.251288203189411</v>
      </c>
      <c r="BA459" s="16">
        <f t="shared" si="1866"/>
        <v>53.168516834292873</v>
      </c>
      <c r="BB459" s="16">
        <f t="shared" si="1866"/>
        <v>53.770680817788346</v>
      </c>
      <c r="BC459" s="16">
        <f t="shared" si="1866"/>
        <v>44.947292942006264</v>
      </c>
      <c r="BD459" s="16">
        <f t="shared" si="1866"/>
        <v>47.333915733223527</v>
      </c>
      <c r="BE459" s="16">
        <f t="shared" ca="1" si="1866"/>
        <v>35.168967913646895</v>
      </c>
      <c r="BF459" s="16">
        <f t="shared" ca="1" si="1866"/>
        <v>28.099945801252424</v>
      </c>
      <c r="BG459" s="16">
        <f t="shared" ca="1" si="1866"/>
        <v>21.84642506150503</v>
      </c>
      <c r="BH459" s="16">
        <f t="shared" ca="1" si="1866"/>
        <v>27.180459506859012</v>
      </c>
      <c r="BI459" s="16">
        <f t="shared" ca="1" si="1866"/>
        <v>30.42344284815622</v>
      </c>
      <c r="BJ459" s="16">
        <f t="shared" ca="1" si="1866"/>
        <v>28.421177385169457</v>
      </c>
      <c r="BK459" s="1">
        <f t="shared" ref="BK459:BP459" ca="1" si="1867">BK408</f>
        <v>23.615204744081968</v>
      </c>
      <c r="BL459" s="1">
        <f t="shared" ca="1" si="1867"/>
        <v>25.746740588559391</v>
      </c>
      <c r="BM459" s="1">
        <f t="shared" ca="1" si="1867"/>
        <v>35.146729124603155</v>
      </c>
      <c r="BN459" s="1">
        <f t="shared" si="1867"/>
        <v>33.727019855663592</v>
      </c>
      <c r="BO459" s="1">
        <f t="shared" ca="1" si="1867"/>
        <v>43.711948452029837</v>
      </c>
      <c r="BP459" s="1">
        <f t="shared" ca="1" si="1867"/>
        <v>47.721466652482782</v>
      </c>
      <c r="BQ459" s="1">
        <f t="shared" ca="1" si="1866"/>
        <v>45.909692592294512</v>
      </c>
      <c r="BR459" s="1">
        <f t="shared" ref="BR459:BS461" ca="1" si="1868">BR408</f>
        <v>49.163077654643132</v>
      </c>
      <c r="BS459" s="1">
        <f t="shared" ca="1" si="1868"/>
        <v>55.619338097538993</v>
      </c>
      <c r="BT459" s="1">
        <f t="shared" ref="BT459:BU461" ca="1" si="1869">BT408</f>
        <v>63.412988656626119</v>
      </c>
      <c r="BU459" s="1">
        <f t="shared" ca="1" si="1869"/>
        <v>71.511631780238702</v>
      </c>
      <c r="BV459" s="1">
        <f ca="1">BV408</f>
        <v>80.376641159088535</v>
      </c>
      <c r="BW459" s="1">
        <f t="shared" ref="BW459:BX459" ca="1" si="1870">BW408</f>
        <v>90.130292053413243</v>
      </c>
      <c r="BX459" s="1">
        <f t="shared" ca="1" si="1870"/>
        <v>100.8373522911732</v>
      </c>
      <c r="BY459" s="1">
        <f t="shared" ref="BY459:CD459" ca="1" si="1871">BY408</f>
        <v>112.57567225253831</v>
      </c>
      <c r="BZ459" s="1">
        <f t="shared" ca="1" si="1871"/>
        <v>124.30538385058654</v>
      </c>
      <c r="CA459" s="1">
        <f t="shared" ca="1" si="1871"/>
        <v>136.74155191069823</v>
      </c>
      <c r="CB459" s="1">
        <f t="shared" ca="1" si="1871"/>
        <v>150.02060496782593</v>
      </c>
      <c r="CC459" s="1">
        <f t="shared" ca="1" si="1871"/>
        <v>164.14998026521326</v>
      </c>
      <c r="CD459" s="1">
        <f t="shared" ca="1" si="1871"/>
        <v>179.1620701287456</v>
      </c>
      <c r="CE459" s="101">
        <f t="shared" ca="1" si="1860"/>
        <v>94.709355797821061</v>
      </c>
      <c r="CG459" s="235">
        <f t="shared" ca="1" si="1783"/>
        <v>-6.3831616446279646</v>
      </c>
      <c r="CH459" s="235">
        <f t="shared" ca="1" si="1784"/>
        <v>0.36158984920935566</v>
      </c>
      <c r="CI459" s="235" t="e">
        <f ca="1">BM459-#REF!</f>
        <v>#REF!</v>
      </c>
      <c r="CJ459" s="235">
        <f t="shared" si="1785"/>
        <v>0</v>
      </c>
      <c r="CK459" s="235">
        <f t="shared" ca="1" si="1786"/>
        <v>0</v>
      </c>
      <c r="CL459" s="235">
        <f t="shared" ca="1" si="1787"/>
        <v>0</v>
      </c>
      <c r="CM459" s="235">
        <f t="shared" ca="1" si="1788"/>
        <v>0</v>
      </c>
      <c r="CN459" s="235">
        <f t="shared" ca="1" si="1789"/>
        <v>0</v>
      </c>
      <c r="CO459" s="235">
        <f t="shared" ca="1" si="1790"/>
        <v>9.9475983006414026E-14</v>
      </c>
      <c r="CP459" s="235">
        <f t="shared" ca="1" si="1791"/>
        <v>1.1368683772161603E-13</v>
      </c>
      <c r="CQ459" s="235">
        <f t="shared" ca="1" si="1792"/>
        <v>1.1368683772161603E-13</v>
      </c>
      <c r="CR459" s="235">
        <f t="shared" ca="1" si="1793"/>
        <v>0</v>
      </c>
      <c r="CS459" s="235">
        <f t="shared" ca="1" si="1794"/>
        <v>0</v>
      </c>
      <c r="CT459" s="235">
        <f t="shared" ca="1" si="1795"/>
        <v>0</v>
      </c>
      <c r="CU459" s="235">
        <f t="shared" ca="1" si="1796"/>
        <v>0</v>
      </c>
      <c r="CV459" s="235">
        <f t="shared" ca="1" si="1797"/>
        <v>1.1368683772161603E-13</v>
      </c>
      <c r="CW459" s="235">
        <f t="shared" ca="1" si="1798"/>
        <v>4.2632564145606011E-13</v>
      </c>
      <c r="CX459" s="235">
        <f t="shared" ca="1" si="1799"/>
        <v>4.8885340220294893E-12</v>
      </c>
      <c r="CY459" s="235">
        <f t="shared" ca="1" si="1800"/>
        <v>5.0391690820106305E-11</v>
      </c>
      <c r="CZ459" s="235">
        <f t="shared" ca="1" si="1801"/>
        <v>4.4559556044987403E-10</v>
      </c>
      <c r="DF459" s="258"/>
      <c r="DG459" s="236">
        <v>29.998366388709933</v>
      </c>
      <c r="DH459" s="492">
        <v>25.385150739350035</v>
      </c>
      <c r="DI459" s="236">
        <v>33.727019855663592</v>
      </c>
      <c r="DJ459" s="236">
        <v>43.711948452029837</v>
      </c>
      <c r="DK459" s="236">
        <v>47.721466652482775</v>
      </c>
      <c r="DL459" s="236">
        <v>45.909692592294491</v>
      </c>
      <c r="DM459" s="236">
        <v>49.163077654643082</v>
      </c>
      <c r="DN459" s="236">
        <v>55.619338097538893</v>
      </c>
      <c r="DO459" s="236">
        <v>63.412988656626005</v>
      </c>
      <c r="DP459" s="236">
        <v>71.511631780238588</v>
      </c>
      <c r="DQ459" s="258">
        <v>80.376641159088479</v>
      </c>
      <c r="DR459" s="258">
        <v>90.130292053413257</v>
      </c>
      <c r="DS459" s="258">
        <v>100.8373522911732</v>
      </c>
      <c r="DT459" s="258">
        <v>112.57567225253825</v>
      </c>
      <c r="DU459" s="258">
        <v>124.30538385058642</v>
      </c>
      <c r="DV459" s="258">
        <v>136.74155191069781</v>
      </c>
      <c r="DW459" s="258">
        <v>150.02060496782104</v>
      </c>
      <c r="DX459" s="258">
        <v>164.14998026516287</v>
      </c>
      <c r="DY459" s="258">
        <v>179.1620701283</v>
      </c>
      <c r="DZ459" s="258">
        <v>83.113796370554269</v>
      </c>
    </row>
    <row r="460" spans="1:130" hidden="1">
      <c r="A460" s="16" t="str">
        <f t="shared" si="1865"/>
        <v>unemployment rate %</v>
      </c>
      <c r="B460" s="3" t="str">
        <f t="shared" si="1865"/>
        <v>werkloosheidspercentage</v>
      </c>
      <c r="D460" s="3" t="str">
        <f>D409</f>
        <v>Quote</v>
      </c>
      <c r="E460" s="3"/>
      <c r="F460" s="16">
        <f>F409</f>
        <v>6.8</v>
      </c>
      <c r="G460" s="16">
        <f t="shared" ref="G460:BQ460" si="1872">G409</f>
        <v>5</v>
      </c>
      <c r="H460" s="16">
        <f t="shared" si="1872"/>
        <v>2.2332546710968018</v>
      </c>
      <c r="I460" s="16">
        <f t="shared" si="1872"/>
        <v>1.8155162334442139</v>
      </c>
      <c r="J460" s="16">
        <f t="shared" si="1872"/>
        <v>3.1251304149627686</v>
      </c>
      <c r="K460" s="16">
        <f t="shared" si="1872"/>
        <v>2.8608658313751221</v>
      </c>
      <c r="L460" s="16">
        <f t="shared" si="1872"/>
        <v>2.0745680332183838</v>
      </c>
      <c r="M460" s="16">
        <f t="shared" si="1872"/>
        <v>3.02626633644104</v>
      </c>
      <c r="N460" s="16">
        <f t="shared" si="1872"/>
        <v>3.9044175148010254</v>
      </c>
      <c r="O460" s="16">
        <f t="shared" si="1872"/>
        <v>4.7262697219848633</v>
      </c>
      <c r="P460" s="16">
        <f t="shared" si="1872"/>
        <v>5.5056672096252441</v>
      </c>
      <c r="Q460" s="16">
        <f t="shared" si="1872"/>
        <v>4.5107326507568359</v>
      </c>
      <c r="R460" s="16">
        <f t="shared" si="1872"/>
        <v>4.2866334915161133</v>
      </c>
      <c r="S460" s="16">
        <f t="shared" si="1872"/>
        <v>4.1740665435791016</v>
      </c>
      <c r="T460" s="16">
        <f t="shared" si="1872"/>
        <v>4.2769827842712402</v>
      </c>
      <c r="U460" s="16">
        <f t="shared" si="1872"/>
        <v>5.0960192680358887</v>
      </c>
      <c r="V460" s="16">
        <f t="shared" si="1872"/>
        <v>4.4430961608886719</v>
      </c>
      <c r="W460" s="16">
        <f t="shared" si="1872"/>
        <v>6.0136995315551758</v>
      </c>
      <c r="X460" s="16">
        <f t="shared" si="1872"/>
        <v>7.3302769660949707</v>
      </c>
      <c r="Y460" s="16">
        <f t="shared" si="1872"/>
        <v>9.13018798828125</v>
      </c>
      <c r="Z460" s="16">
        <f t="shared" si="1872"/>
        <v>9.9718894958496094</v>
      </c>
      <c r="AA460" s="16">
        <f t="shared" si="1872"/>
        <v>7.9798069000244141</v>
      </c>
      <c r="AB460" s="16">
        <f t="shared" si="1872"/>
        <v>6.6932039260864258</v>
      </c>
      <c r="AC460" s="16">
        <f t="shared" si="1872"/>
        <v>5.5827469825744629</v>
      </c>
      <c r="AD460" s="16">
        <f t="shared" si="1872"/>
        <v>4.6354036331176758</v>
      </c>
      <c r="AE460" s="16">
        <f t="shared" si="1872"/>
        <v>6.7064113616943359</v>
      </c>
      <c r="AF460" s="16">
        <f t="shared" si="1872"/>
        <v>9.093388557434082</v>
      </c>
      <c r="AG460" s="16">
        <f t="shared" si="1872"/>
        <v>9.2074041366577148</v>
      </c>
      <c r="AH460" s="16">
        <f t="shared" si="1872"/>
        <v>9.3345565795898437</v>
      </c>
      <c r="AI460" s="16">
        <f t="shared" si="1872"/>
        <v>11.461581230163574</v>
      </c>
      <c r="AJ460" s="16">
        <f t="shared" si="1872"/>
        <v>13.025559425354004</v>
      </c>
      <c r="AK460" s="16">
        <f t="shared" si="1872"/>
        <v>13.790704727172852</v>
      </c>
      <c r="AL460" s="16">
        <f t="shared" si="1872"/>
        <v>15.991020202636719</v>
      </c>
      <c r="AM460" s="16">
        <f t="shared" si="1872"/>
        <v>17.700000762939453</v>
      </c>
      <c r="AN460" s="16">
        <f t="shared" si="1872"/>
        <v>19.899999618530273</v>
      </c>
      <c r="AO460" s="16">
        <f t="shared" si="1872"/>
        <v>17.200000762939453</v>
      </c>
      <c r="AP460" s="16">
        <f t="shared" si="1872"/>
        <v>15.5</v>
      </c>
      <c r="AQ460" s="16">
        <f t="shared" si="1872"/>
        <v>15.5</v>
      </c>
      <c r="AR460" s="16">
        <f t="shared" si="1872"/>
        <v>18.084440231323242</v>
      </c>
      <c r="AS460" s="16">
        <f t="shared" si="1872"/>
        <v>15</v>
      </c>
      <c r="AT460" s="16">
        <f t="shared" si="1872"/>
        <v>12</v>
      </c>
      <c r="AU460" s="16">
        <f t="shared" si="1872"/>
        <v>8</v>
      </c>
      <c r="AV460" s="16">
        <f t="shared" si="1872"/>
        <v>11</v>
      </c>
      <c r="AW460" s="16">
        <f t="shared" si="1872"/>
        <v>10</v>
      </c>
      <c r="AX460" s="16">
        <f t="shared" si="1872"/>
        <v>11</v>
      </c>
      <c r="AY460" s="16">
        <f t="shared" si="1872"/>
        <v>12</v>
      </c>
      <c r="AZ460" s="16">
        <f t="shared" si="1872"/>
        <v>14</v>
      </c>
      <c r="BA460" s="16">
        <f t="shared" si="1872"/>
        <v>14</v>
      </c>
      <c r="BB460" s="16">
        <f t="shared" si="1872"/>
        <v>10</v>
      </c>
      <c r="BC460" s="16">
        <f t="shared" si="1872"/>
        <v>7</v>
      </c>
      <c r="BD460" s="16">
        <f t="shared" si="1872"/>
        <v>8</v>
      </c>
      <c r="BE460" s="16">
        <f t="shared" si="1872"/>
        <v>11.358556109349029</v>
      </c>
      <c r="BF460" s="16">
        <f t="shared" si="1872"/>
        <v>12.280792090860938</v>
      </c>
      <c r="BG460" s="16">
        <f t="shared" si="1872"/>
        <v>10.681096681096673</v>
      </c>
      <c r="BH460" s="16">
        <f t="shared" si="1872"/>
        <v>9.3605999026875377</v>
      </c>
      <c r="BI460" s="16">
        <f t="shared" si="1872"/>
        <v>9.0176120768526999</v>
      </c>
      <c r="BJ460" s="16">
        <f t="shared" si="1872"/>
        <v>7.5644445069986395</v>
      </c>
      <c r="BK460" s="1">
        <f t="shared" ref="BK460:BP460" si="1873">BK409</f>
        <v>6.9292759258812353</v>
      </c>
      <c r="BL460" s="1">
        <f t="shared" si="1873"/>
        <v>6.5077021844590774</v>
      </c>
      <c r="BM460" s="1">
        <f t="shared" si="1873"/>
        <v>7.119080696705689</v>
      </c>
      <c r="BN460" s="1">
        <f t="shared" si="1873"/>
        <v>7.7768161347772313</v>
      </c>
      <c r="BO460" s="1">
        <f t="shared" ca="1" si="1873"/>
        <v>8.1740138021385427</v>
      </c>
      <c r="BP460" s="1">
        <f t="shared" ca="1" si="1873"/>
        <v>9.4849296215264705</v>
      </c>
      <c r="BQ460" s="1">
        <f t="shared" ca="1" si="1872"/>
        <v>9.5730410928386345</v>
      </c>
      <c r="BR460" s="1">
        <f t="shared" ca="1" si="1868"/>
        <v>8.9836688947135546</v>
      </c>
      <c r="BS460" s="1">
        <f t="shared" ca="1" si="1868"/>
        <v>9.1376842323208578</v>
      </c>
      <c r="BT460" s="1">
        <f t="shared" ca="1" si="1869"/>
        <v>9.5022347321916687</v>
      </c>
      <c r="BU460" s="1">
        <f t="shared" ca="1" si="1869"/>
        <v>9.8011352688635647</v>
      </c>
      <c r="BV460" s="1">
        <f ca="1">BV409</f>
        <v>10.019780951740255</v>
      </c>
      <c r="BW460" s="1">
        <f t="shared" ref="BW460:BX460" ca="1" si="1874">BW409</f>
        <v>10.18391979961546</v>
      </c>
      <c r="BX460" s="1">
        <f t="shared" ca="1" si="1874"/>
        <v>10.348755697517481</v>
      </c>
      <c r="BY460" s="1">
        <f t="shared" ref="BY460:CD460" ca="1" si="1875">BY409</f>
        <v>10.511001323531234</v>
      </c>
      <c r="BZ460" s="1">
        <f t="shared" ca="1" si="1875"/>
        <v>10.656846471545812</v>
      </c>
      <c r="CA460" s="1">
        <f t="shared" ca="1" si="1875"/>
        <v>10.778106405250069</v>
      </c>
      <c r="CB460" s="1">
        <f t="shared" ca="1" si="1875"/>
        <v>10.884855429710907</v>
      </c>
      <c r="CC460" s="1">
        <f t="shared" ca="1" si="1875"/>
        <v>10.985440254223926</v>
      </c>
      <c r="CD460" s="1">
        <f t="shared" ca="1" si="1875"/>
        <v>11.077728167746331</v>
      </c>
      <c r="CE460" s="101">
        <f t="shared" ca="1" si="1860"/>
        <v>10.006446384092174</v>
      </c>
      <c r="CG460" s="235">
        <f t="shared" si="1783"/>
        <v>-1.2574786137709602</v>
      </c>
      <c r="CH460" s="235">
        <f t="shared" si="1784"/>
        <v>0</v>
      </c>
      <c r="CI460" s="235" t="e">
        <f>BM460-#REF!</f>
        <v>#REF!</v>
      </c>
      <c r="CJ460" s="235">
        <f t="shared" si="1785"/>
        <v>0</v>
      </c>
      <c r="CK460" s="235">
        <f t="shared" ca="1" si="1786"/>
        <v>0</v>
      </c>
      <c r="CL460" s="235">
        <f t="shared" ca="1" si="1787"/>
        <v>0</v>
      </c>
      <c r="CM460" s="235">
        <f t="shared" ca="1" si="1788"/>
        <v>0</v>
      </c>
      <c r="CN460" s="235">
        <f t="shared" ca="1" si="1789"/>
        <v>0</v>
      </c>
      <c r="CO460" s="235">
        <f t="shared" ca="1" si="1790"/>
        <v>0</v>
      </c>
      <c r="CP460" s="235">
        <f t="shared" ca="1" si="1791"/>
        <v>0</v>
      </c>
      <c r="CQ460" s="235">
        <f t="shared" ca="1" si="1792"/>
        <v>0</v>
      </c>
      <c r="CR460" s="235">
        <f t="shared" ca="1" si="1793"/>
        <v>0</v>
      </c>
      <c r="CS460" s="235">
        <f t="shared" ca="1" si="1794"/>
        <v>1.4210854715202004E-14</v>
      </c>
      <c r="CT460" s="235">
        <f t="shared" ca="1" si="1795"/>
        <v>2.4868995751603507E-14</v>
      </c>
      <c r="CU460" s="235">
        <f t="shared" ca="1" si="1796"/>
        <v>3.1974423109204508E-14</v>
      </c>
      <c r="CV460" s="235">
        <f t="shared" ca="1" si="1797"/>
        <v>3.1974423109204508E-14</v>
      </c>
      <c r="CW460" s="235">
        <f t="shared" ca="1" si="1798"/>
        <v>3.1974423109204508E-14</v>
      </c>
      <c r="CX460" s="235">
        <f t="shared" ca="1" si="1799"/>
        <v>-1.0480505352461478E-13</v>
      </c>
      <c r="CY460" s="235">
        <f t="shared" ca="1" si="1800"/>
        <v>-1.5560885913146194E-12</v>
      </c>
      <c r="CZ460" s="235">
        <f t="shared" ca="1" si="1801"/>
        <v>-1.2386536241137946E-11</v>
      </c>
      <c r="DF460" s="258"/>
      <c r="DG460" s="236">
        <v>8.1867545396521955</v>
      </c>
      <c r="DH460" s="492">
        <v>6.5077021844590774</v>
      </c>
      <c r="DI460" s="236">
        <v>7.7768161347772313</v>
      </c>
      <c r="DJ460" s="236">
        <v>8.1740138021385427</v>
      </c>
      <c r="DK460" s="236">
        <v>9.4849296215264722</v>
      </c>
      <c r="DL460" s="236">
        <v>9.5730410928386256</v>
      </c>
      <c r="DM460" s="236">
        <v>8.9836688947135546</v>
      </c>
      <c r="DN460" s="236">
        <v>9.1376842323208542</v>
      </c>
      <c r="DO460" s="236">
        <v>9.5022347321916634</v>
      </c>
      <c r="DP460" s="236">
        <v>9.801135268863554</v>
      </c>
      <c r="DQ460" s="258">
        <v>10.019780951740245</v>
      </c>
      <c r="DR460" s="258">
        <v>10.183919799615445</v>
      </c>
      <c r="DS460" s="258">
        <v>10.348755697517456</v>
      </c>
      <c r="DT460" s="258">
        <v>10.511001323531202</v>
      </c>
      <c r="DU460" s="258">
        <v>10.65684647154578</v>
      </c>
      <c r="DV460" s="258">
        <v>10.778106405250037</v>
      </c>
      <c r="DW460" s="258">
        <v>10.884855429711012</v>
      </c>
      <c r="DX460" s="258">
        <v>10.985440254225482</v>
      </c>
      <c r="DY460" s="258">
        <v>11.077728167758718</v>
      </c>
      <c r="DZ460" s="258">
        <v>9.5927753696032507</v>
      </c>
    </row>
    <row r="461" spans="1:130" hidden="1">
      <c r="A461" s="16" t="str">
        <f t="shared" si="1865"/>
        <v>Foreign reserve stock  in terms of month import</v>
      </c>
      <c r="B461" s="3" t="str">
        <f t="shared" si="1865"/>
        <v>deviezen in maanden invoer na 2007 alleen van CBVS</v>
      </c>
      <c r="D461" s="3" t="str">
        <f>D410</f>
        <v>Quote</v>
      </c>
      <c r="E461" s="3"/>
      <c r="F461" s="16">
        <f>F410</f>
        <v>81.725501604123735</v>
      </c>
      <c r="G461" s="16">
        <f t="shared" ref="G461:BQ461" si="1876">G410</f>
        <v>83.460314049332922</v>
      </c>
      <c r="H461" s="16">
        <f t="shared" si="1876"/>
        <v>68.841045764089984</v>
      </c>
      <c r="I461" s="16">
        <f t="shared" si="1876"/>
        <v>59.272798941908924</v>
      </c>
      <c r="J461" s="16">
        <f t="shared" si="1876"/>
        <v>61.983370517714441</v>
      </c>
      <c r="K461" s="16">
        <f t="shared" si="1876"/>
        <v>50.281144861265801</v>
      </c>
      <c r="L461" s="16">
        <f t="shared" si="1876"/>
        <v>44.165165874312635</v>
      </c>
      <c r="M461" s="16">
        <f t="shared" si="1876"/>
        <v>42.927149100397656</v>
      </c>
      <c r="N461" s="16">
        <f t="shared" si="1876"/>
        <v>41.890211729438136</v>
      </c>
      <c r="O461" s="16">
        <f t="shared" si="1876"/>
        <v>38.979347527876179</v>
      </c>
      <c r="P461" s="16">
        <f t="shared" si="1876"/>
        <v>29.047831847361046</v>
      </c>
      <c r="Q461" s="16">
        <f t="shared" si="1876"/>
        <v>25.111207673226353</v>
      </c>
      <c r="R461" s="16">
        <f t="shared" si="1876"/>
        <v>25.064067200875368</v>
      </c>
      <c r="S461" s="16">
        <f t="shared" si="1876"/>
        <v>22.235698705315528</v>
      </c>
      <c r="T461" s="16">
        <f t="shared" si="1876"/>
        <v>21.859723987820512</v>
      </c>
      <c r="U461" s="16">
        <f t="shared" si="1876"/>
        <v>19.719435591431449</v>
      </c>
      <c r="V461" s="16">
        <f t="shared" si="1876"/>
        <v>18.061860682075647</v>
      </c>
      <c r="W461" s="16">
        <f t="shared" si="1876"/>
        <v>16.411742817412971</v>
      </c>
      <c r="X461" s="16">
        <f t="shared" si="1876"/>
        <v>14.363556187986685</v>
      </c>
      <c r="Y461" s="16">
        <f t="shared" si="1876"/>
        <v>14.114185336874488</v>
      </c>
      <c r="Z461" s="16">
        <f t="shared" si="1876"/>
        <v>10.119575108324222</v>
      </c>
      <c r="AA461" s="16">
        <f t="shared" si="1876"/>
        <v>9.5313497829731855</v>
      </c>
      <c r="AB461" s="16">
        <f t="shared" si="1876"/>
        <v>11.083997898991429</v>
      </c>
      <c r="AC461" s="16">
        <f t="shared" si="1876"/>
        <v>8.7979394151193073</v>
      </c>
      <c r="AD461" s="16">
        <f t="shared" si="1876"/>
        <v>6.9633625976736111</v>
      </c>
      <c r="AE461" s="16">
        <f t="shared" si="1876"/>
        <v>6.9759284886299815</v>
      </c>
      <c r="AF461" s="16">
        <f t="shared" si="1876"/>
        <v>6.0377301355410991</v>
      </c>
      <c r="AG461" s="16">
        <f t="shared" si="1876"/>
        <v>6.5205066399913312</v>
      </c>
      <c r="AH461" s="16">
        <f t="shared" si="1876"/>
        <v>7.4916966555555167</v>
      </c>
      <c r="AI461" s="16">
        <f t="shared" si="1876"/>
        <v>8.3386318318982156</v>
      </c>
      <c r="AJ461" s="16">
        <f t="shared" si="1876"/>
        <v>5.0048476754065092</v>
      </c>
      <c r="AK461" s="16">
        <f t="shared" si="1876"/>
        <v>3.8026510867402621</v>
      </c>
      <c r="AL461" s="16">
        <f t="shared" si="1876"/>
        <v>3.4778262881211215</v>
      </c>
      <c r="AM461" s="16">
        <f t="shared" si="1876"/>
        <v>1.3409278706158885</v>
      </c>
      <c r="AN461" s="16">
        <f t="shared" si="1876"/>
        <v>1.711206707251101</v>
      </c>
      <c r="AO461" s="16">
        <f t="shared" si="1876"/>
        <v>1.8905139657107641</v>
      </c>
      <c r="AP461" s="16">
        <f t="shared" si="1876"/>
        <v>0.18742457741495519</v>
      </c>
      <c r="AQ461" s="16">
        <f t="shared" si="1876"/>
        <v>-0.17246350527503551</v>
      </c>
      <c r="AR461" s="16">
        <f t="shared" si="1876"/>
        <v>-0.14272281324364336</v>
      </c>
      <c r="AS461" s="16">
        <f t="shared" si="1876"/>
        <v>1.7629434700967923</v>
      </c>
      <c r="AT461" s="16">
        <f t="shared" si="1876"/>
        <v>4.178698925491056</v>
      </c>
      <c r="AU461" s="16">
        <f t="shared" si="1876"/>
        <v>4.3694854372347329</v>
      </c>
      <c r="AV461" s="16">
        <f t="shared" si="1876"/>
        <v>3.9457179534201363</v>
      </c>
      <c r="AW461" s="16">
        <f t="shared" si="1876"/>
        <v>4.49404198978627</v>
      </c>
      <c r="AX461" s="16">
        <f t="shared" si="1876"/>
        <v>2.7473625763464744</v>
      </c>
      <c r="AY461" s="16">
        <f t="shared" si="1876"/>
        <v>3.4136312849162009</v>
      </c>
      <c r="AZ461" s="16">
        <f t="shared" si="1876"/>
        <v>0.626888604353393</v>
      </c>
      <c r="BA461" s="16">
        <f t="shared" si="1876"/>
        <v>3.1800958685231677</v>
      </c>
      <c r="BB461" s="16">
        <f t="shared" si="1876"/>
        <v>2.5968992248062017</v>
      </c>
      <c r="BC461" s="16">
        <f t="shared" si="1876"/>
        <v>1.8721183123096998</v>
      </c>
      <c r="BD461" s="16">
        <f t="shared" si="1876"/>
        <v>2.4187101346562723</v>
      </c>
      <c r="BE461" s="16">
        <f t="shared" si="1876"/>
        <v>2.1649415692821372</v>
      </c>
      <c r="BF461" s="16">
        <f t="shared" si="1876"/>
        <v>3.2856977952210547</v>
      </c>
      <c r="BG461" s="16">
        <f t="shared" si="1876"/>
        <v>3.5514786820283271</v>
      </c>
      <c r="BH461" s="16">
        <f t="shared" si="1876"/>
        <v>3.985886763327636</v>
      </c>
      <c r="BI461" s="16">
        <f t="shared" si="1876"/>
        <v>4.7040572792362765</v>
      </c>
      <c r="BJ461" s="16">
        <f t="shared" si="1876"/>
        <v>5.002776101388049</v>
      </c>
      <c r="BK461" s="1">
        <f t="shared" ref="BK461:BP461" si="1877">BK410</f>
        <v>4.3731263383297643</v>
      </c>
      <c r="BL461" s="1">
        <f t="shared" si="1877"/>
        <v>4.6764569485237288</v>
      </c>
      <c r="BM461" s="1">
        <f t="shared" si="1877"/>
        <v>3.4269298762522098</v>
      </c>
      <c r="BN461" s="1">
        <f t="shared" si="1877"/>
        <v>2.7255286679747108</v>
      </c>
      <c r="BO461" s="1">
        <f t="shared" si="1877"/>
        <v>1.6220802652752719</v>
      </c>
      <c r="BP461" s="1">
        <f t="shared" ca="1" si="1877"/>
        <v>1.218171832779968</v>
      </c>
      <c r="BQ461" s="1">
        <f t="shared" ca="1" si="1876"/>
        <v>1.004203520613109</v>
      </c>
      <c r="BR461" s="1">
        <f t="shared" ca="1" si="1868"/>
        <v>0.81251007678252496</v>
      </c>
      <c r="BS461" s="1">
        <f t="shared" ca="1" si="1868"/>
        <v>0.45105217432479355</v>
      </c>
      <c r="BT461" s="1">
        <f t="shared" ca="1" si="1869"/>
        <v>-2.544551484796707E-2</v>
      </c>
      <c r="BU461" s="1">
        <f t="shared" ca="1" si="1869"/>
        <v>-0.59639238178527121</v>
      </c>
      <c r="BV461" s="1">
        <f ca="1">BV410</f>
        <v>-1.2414934670330406</v>
      </c>
      <c r="BW461" s="1">
        <f t="shared" ref="BW461:BX461" ca="1" si="1878">BW410</f>
        <v>-1.9561244640714224</v>
      </c>
      <c r="BX461" s="1">
        <f t="shared" ca="1" si="1878"/>
        <v>-2.7333038885039374</v>
      </c>
      <c r="BY461" s="1">
        <f t="shared" ref="BY461:CD461" ca="1" si="1879">BY410</f>
        <v>-3.5697156009672475</v>
      </c>
      <c r="BZ461" s="1">
        <f t="shared" ca="1" si="1879"/>
        <v>-4.4439941514720589</v>
      </c>
      <c r="CA461" s="1">
        <f t="shared" ca="1" si="1879"/>
        <v>-5.3498685391014416</v>
      </c>
      <c r="CB461" s="1">
        <f t="shared" ca="1" si="1879"/>
        <v>-6.2877394877075155</v>
      </c>
      <c r="CC461" s="1">
        <f t="shared" ca="1" si="1879"/>
        <v>-7.2545918416548112</v>
      </c>
      <c r="CD461" s="1">
        <f t="shared" ca="1" si="1879"/>
        <v>-8.247672836891482</v>
      </c>
      <c r="CE461" s="101">
        <f t="shared" ca="1" si="1860"/>
        <v>-2.2873952690162831</v>
      </c>
      <c r="CG461" s="235">
        <f t="shared" si="1783"/>
        <v>0</v>
      </c>
      <c r="CH461" s="235">
        <f t="shared" si="1784"/>
        <v>0</v>
      </c>
      <c r="CI461" s="235" t="e">
        <f>BM461-#REF!</f>
        <v>#REF!</v>
      </c>
      <c r="CJ461" s="276">
        <f t="shared" si="1785"/>
        <v>0</v>
      </c>
      <c r="CK461" s="276">
        <f t="shared" si="1786"/>
        <v>0</v>
      </c>
      <c r="CL461" s="276">
        <f t="shared" ca="1" si="1787"/>
        <v>-1.9984014443252818E-15</v>
      </c>
      <c r="CM461" s="276">
        <f t="shared" ca="1" si="1788"/>
        <v>-5.5511151231257827E-15</v>
      </c>
      <c r="CN461" s="276">
        <f t="shared" ca="1" si="1789"/>
        <v>-9.4368957093138306E-15</v>
      </c>
      <c r="CO461" s="276">
        <f t="shared" ca="1" si="1790"/>
        <v>-1.4876988529977098E-14</v>
      </c>
      <c r="CP461" s="276">
        <f t="shared" ca="1" si="1791"/>
        <v>-2.1316282072803006E-14</v>
      </c>
      <c r="CQ461" s="276">
        <f t="shared" ca="1" si="1792"/>
        <v>-2.8643754035329039E-14</v>
      </c>
      <c r="CR461" s="276">
        <f t="shared" ca="1" si="1793"/>
        <v>-3.3528735343679728E-14</v>
      </c>
      <c r="CS461" s="276">
        <f t="shared" ca="1" si="1794"/>
        <v>-3.8191672047105385E-14</v>
      </c>
      <c r="CT461" s="276">
        <f t="shared" ca="1" si="1795"/>
        <v>-3.8635761256955448E-14</v>
      </c>
      <c r="CU461" s="276">
        <f t="shared" ca="1" si="1796"/>
        <v>-4.2188474935755949E-14</v>
      </c>
      <c r="CV461" s="276">
        <f t="shared" ca="1" si="1797"/>
        <v>-4.7073456244106637E-14</v>
      </c>
      <c r="CW461" s="276">
        <f t="shared" ca="1" si="1798"/>
        <v>-6.3948846218409017E-14</v>
      </c>
      <c r="CX461" s="276">
        <f t="shared" ca="1" si="1799"/>
        <v>-2.2293278334473143E-13</v>
      </c>
      <c r="CY461" s="276">
        <f t="shared" ca="1" si="1800"/>
        <v>-1.84385839929746E-12</v>
      </c>
      <c r="CZ461" s="276">
        <f t="shared" ca="1" si="1801"/>
        <v>-1.5432988220709376E-11</v>
      </c>
      <c r="DF461" s="258"/>
      <c r="DG461" s="236">
        <v>4.3731263383297643</v>
      </c>
      <c r="DH461" s="492">
        <v>4.6764569485237288</v>
      </c>
      <c r="DI461" s="236">
        <v>2.7255286679747108</v>
      </c>
      <c r="DJ461" s="236">
        <v>1.6220802652752719</v>
      </c>
      <c r="DK461" s="236">
        <v>1.21817183277997</v>
      </c>
      <c r="DL461" s="236">
        <v>1.0042035206131146</v>
      </c>
      <c r="DM461" s="236">
        <v>0.8125100767825344</v>
      </c>
      <c r="DN461" s="236">
        <v>0.45105217432480843</v>
      </c>
      <c r="DO461" s="236">
        <v>-2.5445514847945754E-2</v>
      </c>
      <c r="DP461" s="236">
        <v>-0.59639238178524256</v>
      </c>
      <c r="DQ461" s="258">
        <v>-1.2414934670330071</v>
      </c>
      <c r="DR461" s="258">
        <v>-1.9561244640713842</v>
      </c>
      <c r="DS461" s="258">
        <v>-2.7333038885038987</v>
      </c>
      <c r="DT461" s="258">
        <v>-3.5697156009672053</v>
      </c>
      <c r="DU461" s="258">
        <v>-4.4439941514720118</v>
      </c>
      <c r="DV461" s="258">
        <v>-5.3498685391013776</v>
      </c>
      <c r="DW461" s="258">
        <v>-6.2877394877072925</v>
      </c>
      <c r="DX461" s="258">
        <v>-7.2545918416529673</v>
      </c>
      <c r="DY461" s="258">
        <v>-8.247672836876049</v>
      </c>
      <c r="DZ461" s="258">
        <v>1.7321354239252877</v>
      </c>
    </row>
    <row r="462" spans="1:130" hidden="1">
      <c r="A462" s="16" t="str">
        <f>A427</f>
        <v>Foreign reserve stock (CBvS)</v>
      </c>
      <c r="B462" s="16" t="str">
        <f>B427</f>
        <v>Deviezenvoorraad CBvS in mln US$</v>
      </c>
      <c r="C462" s="16"/>
      <c r="D462" s="16" t="str">
        <f>D426</f>
        <v>mlnUS$</v>
      </c>
      <c r="E462" s="16"/>
      <c r="F462" s="16">
        <f>F427</f>
        <v>0</v>
      </c>
      <c r="G462" s="16">
        <f t="shared" ref="G462:BQ462" si="1880">G427</f>
        <v>0</v>
      </c>
      <c r="H462" s="16">
        <f t="shared" si="1880"/>
        <v>0</v>
      </c>
      <c r="I462" s="16">
        <f t="shared" si="1880"/>
        <v>0</v>
      </c>
      <c r="J462" s="16">
        <f t="shared" si="1880"/>
        <v>0</v>
      </c>
      <c r="K462" s="16">
        <f t="shared" si="1880"/>
        <v>0</v>
      </c>
      <c r="L462" s="16">
        <f t="shared" si="1880"/>
        <v>0</v>
      </c>
      <c r="M462" s="16">
        <f t="shared" si="1880"/>
        <v>0</v>
      </c>
      <c r="N462" s="16">
        <f t="shared" si="1880"/>
        <v>0</v>
      </c>
      <c r="O462" s="16">
        <f t="shared" si="1880"/>
        <v>0</v>
      </c>
      <c r="P462" s="16">
        <f t="shared" si="1880"/>
        <v>0</v>
      </c>
      <c r="Q462" s="16">
        <f t="shared" si="1880"/>
        <v>0</v>
      </c>
      <c r="R462" s="16">
        <f t="shared" si="1880"/>
        <v>0</v>
      </c>
      <c r="S462" s="16">
        <f t="shared" si="1880"/>
        <v>0</v>
      </c>
      <c r="T462" s="16">
        <f t="shared" si="1880"/>
        <v>0</v>
      </c>
      <c r="U462" s="16">
        <f t="shared" si="1880"/>
        <v>0</v>
      </c>
      <c r="V462" s="16">
        <f t="shared" si="1880"/>
        <v>0</v>
      </c>
      <c r="W462" s="16">
        <f t="shared" si="1880"/>
        <v>0</v>
      </c>
      <c r="X462" s="16">
        <f t="shared" si="1880"/>
        <v>0</v>
      </c>
      <c r="Y462" s="16">
        <f t="shared" si="1880"/>
        <v>0</v>
      </c>
      <c r="Z462" s="16">
        <f t="shared" si="1880"/>
        <v>0</v>
      </c>
      <c r="AA462" s="16">
        <f t="shared" si="1880"/>
        <v>0</v>
      </c>
      <c r="AB462" s="16">
        <f t="shared" si="1880"/>
        <v>0</v>
      </c>
      <c r="AC462" s="16">
        <f t="shared" si="1880"/>
        <v>0</v>
      </c>
      <c r="AD462" s="16">
        <f t="shared" si="1880"/>
        <v>0</v>
      </c>
      <c r="AE462" s="16">
        <f t="shared" si="1880"/>
        <v>0</v>
      </c>
      <c r="AF462" s="16">
        <f t="shared" si="1880"/>
        <v>0</v>
      </c>
      <c r="AG462" s="16">
        <f t="shared" si="1880"/>
        <v>0</v>
      </c>
      <c r="AH462" s="16">
        <f t="shared" si="1880"/>
        <v>0</v>
      </c>
      <c r="AI462" s="16">
        <f t="shared" si="1880"/>
        <v>0</v>
      </c>
      <c r="AJ462" s="16">
        <f t="shared" si="1880"/>
        <v>0</v>
      </c>
      <c r="AK462" s="16">
        <f t="shared" si="1880"/>
        <v>0</v>
      </c>
      <c r="AL462" s="16">
        <f t="shared" si="1880"/>
        <v>0</v>
      </c>
      <c r="AM462" s="16">
        <f t="shared" si="1880"/>
        <v>0</v>
      </c>
      <c r="AN462" s="16">
        <f t="shared" si="1880"/>
        <v>0</v>
      </c>
      <c r="AO462" s="16">
        <f t="shared" si="1880"/>
        <v>0</v>
      </c>
      <c r="AP462" s="16">
        <f t="shared" si="1880"/>
        <v>0</v>
      </c>
      <c r="AQ462" s="16">
        <f t="shared" si="1880"/>
        <v>0</v>
      </c>
      <c r="AR462" s="16">
        <f t="shared" si="1880"/>
        <v>0</v>
      </c>
      <c r="AS462" s="16">
        <f t="shared" si="1880"/>
        <v>0</v>
      </c>
      <c r="AT462" s="16">
        <f t="shared" si="1880"/>
        <v>0</v>
      </c>
      <c r="AU462" s="16">
        <f t="shared" si="1880"/>
        <v>0</v>
      </c>
      <c r="AV462" s="16">
        <f t="shared" si="1880"/>
        <v>0</v>
      </c>
      <c r="AW462" s="16">
        <f t="shared" si="1880"/>
        <v>0</v>
      </c>
      <c r="AX462" s="16">
        <f t="shared" si="1880"/>
        <v>0</v>
      </c>
      <c r="AY462" s="16">
        <f t="shared" si="1880"/>
        <v>0</v>
      </c>
      <c r="AZ462" s="16">
        <f t="shared" si="1880"/>
        <v>0</v>
      </c>
      <c r="BA462" s="16">
        <f t="shared" si="1880"/>
        <v>0</v>
      </c>
      <c r="BB462" s="16">
        <f t="shared" si="1880"/>
        <v>0</v>
      </c>
      <c r="BC462" s="16">
        <f t="shared" si="1880"/>
        <v>0</v>
      </c>
      <c r="BD462" s="16">
        <f t="shared" si="1880"/>
        <v>0</v>
      </c>
      <c r="BE462" s="16">
        <f t="shared" si="1880"/>
        <v>162.1</v>
      </c>
      <c r="BF462" s="16">
        <f t="shared" si="1880"/>
        <v>237.19999999999996</v>
      </c>
      <c r="BG462" s="16">
        <f t="shared" si="1880"/>
        <v>403.3</v>
      </c>
      <c r="BH462" s="16">
        <f t="shared" si="1880"/>
        <v>602.5</v>
      </c>
      <c r="BI462" s="16">
        <f t="shared" si="1880"/>
        <v>657</v>
      </c>
      <c r="BJ462" s="16">
        <f t="shared" si="1880"/>
        <v>690.8</v>
      </c>
      <c r="BK462" s="16">
        <f t="shared" si="1880"/>
        <v>816.89999999999986</v>
      </c>
      <c r="BL462" s="16">
        <f t="shared" si="1880"/>
        <v>1008.4</v>
      </c>
      <c r="BM462" s="16">
        <f t="shared" si="1880"/>
        <v>775.4</v>
      </c>
      <c r="BN462" s="16">
        <f t="shared" si="1880"/>
        <v>625.1</v>
      </c>
      <c r="BO462" s="16">
        <f t="shared" si="1880"/>
        <v>369.6</v>
      </c>
      <c r="BP462" s="16">
        <f t="shared" ca="1" si="1880"/>
        <v>268.91316363260398</v>
      </c>
      <c r="BQ462" s="16">
        <f t="shared" ca="1" si="1880"/>
        <v>248.94039667900765</v>
      </c>
      <c r="BR462" s="16">
        <f ca="1">BR427</f>
        <v>215.51729083857384</v>
      </c>
      <c r="BS462" s="16">
        <f ca="1">BS427</f>
        <v>124.83045631418571</v>
      </c>
      <c r="BT462" s="16">
        <f ca="1">BT427</f>
        <v>-7.407181382669318</v>
      </c>
      <c r="BU462" s="16">
        <f ca="1">BU427</f>
        <v>-185.25387870804988</v>
      </c>
      <c r="BV462" s="16">
        <f ca="1">BV427</f>
        <v>-410.68858706113156</v>
      </c>
      <c r="BW462" s="16">
        <f t="shared" ref="BW462:BX462" ca="1" si="1881">BW427</f>
        <v>-689.26349179898079</v>
      </c>
      <c r="BX462" s="16">
        <f t="shared" ca="1" si="1881"/>
        <v>-1026.2650680452261</v>
      </c>
      <c r="BY462" s="16">
        <f t="shared" ref="BY462:CD462" ca="1" si="1882">BY427</f>
        <v>-1428.8920874999756</v>
      </c>
      <c r="BZ462" s="16">
        <f t="shared" ca="1" si="1882"/>
        <v>-1895.0522883588051</v>
      </c>
      <c r="CA462" s="16">
        <f t="shared" ca="1" si="1882"/>
        <v>-2433.8198237756787</v>
      </c>
      <c r="CB462" s="16">
        <f t="shared" ca="1" si="1882"/>
        <v>-3053.141429133419</v>
      </c>
      <c r="CC462" s="16">
        <f t="shared" ca="1" si="1882"/>
        <v>-3761.9788009449499</v>
      </c>
      <c r="CD462" s="16">
        <f t="shared" ca="1" si="1882"/>
        <v>-4570.5364395083234</v>
      </c>
      <c r="CE462" s="101">
        <f t="shared" ca="1" si="1860"/>
        <v>-1139.6561105470523</v>
      </c>
      <c r="CG462" s="235">
        <f t="shared" si="1783"/>
        <v>0</v>
      </c>
      <c r="CH462" s="235">
        <f t="shared" si="1784"/>
        <v>0</v>
      </c>
      <c r="CI462" s="235" t="e">
        <f>BM462-#REF!</f>
        <v>#REF!</v>
      </c>
      <c r="CJ462" s="235">
        <f t="shared" si="1785"/>
        <v>0</v>
      </c>
      <c r="CK462" s="235">
        <f t="shared" si="1786"/>
        <v>0</v>
      </c>
      <c r="CL462" s="235">
        <f t="shared" ca="1" si="1787"/>
        <v>0</v>
      </c>
      <c r="CM462" s="235">
        <f t="shared" ca="1" si="1788"/>
        <v>-1.3073986337985843E-12</v>
      </c>
      <c r="CN462" s="235">
        <f t="shared" ca="1" si="1789"/>
        <v>-2.4442670110147446E-12</v>
      </c>
      <c r="CO462" s="235">
        <f t="shared" ca="1" si="1790"/>
        <v>-4.0643044485477731E-12</v>
      </c>
      <c r="CP462" s="235">
        <f t="shared" ca="1" si="1791"/>
        <v>-6.2074789752841752E-12</v>
      </c>
      <c r="CQ462" s="235">
        <f t="shared" ca="1" si="1792"/>
        <v>-8.9528384705772623E-12</v>
      </c>
      <c r="CR462" s="235">
        <f t="shared" ca="1" si="1793"/>
        <v>-1.1368683772161603E-11</v>
      </c>
      <c r="CS462" s="235">
        <f t="shared" ca="1" si="1794"/>
        <v>-1.4097167877480388E-11</v>
      </c>
      <c r="CT462" s="235">
        <f t="shared" ca="1" si="1795"/>
        <v>-1.5688783605583012E-11</v>
      </c>
      <c r="CU462" s="235">
        <f t="shared" ca="1" si="1796"/>
        <v>-1.7735146684572101E-11</v>
      </c>
      <c r="CV462" s="235">
        <f t="shared" ca="1" si="1797"/>
        <v>-2.1373125491663814E-11</v>
      </c>
      <c r="CW462" s="235">
        <f t="shared" ca="1" si="1798"/>
        <v>-2.7739588404074311E-11</v>
      </c>
      <c r="CX462" s="235">
        <f t="shared" ca="1" si="1799"/>
        <v>-5.2750692702829838E-11</v>
      </c>
      <c r="CY462" s="235">
        <f t="shared" ca="1" si="1800"/>
        <v>-2.8239810490049422E-10</v>
      </c>
      <c r="CZ462" s="235">
        <f t="shared" ca="1" si="1801"/>
        <v>-2.3983375285752118E-9</v>
      </c>
      <c r="DF462" s="258"/>
      <c r="DG462" s="236">
        <v>816.89999999999986</v>
      </c>
      <c r="DH462" s="492">
        <v>1008.4</v>
      </c>
      <c r="DI462" s="236">
        <v>625.1</v>
      </c>
      <c r="DJ462" s="236">
        <v>369.6</v>
      </c>
      <c r="DK462" s="236">
        <v>268.91316363260438</v>
      </c>
      <c r="DL462" s="236">
        <v>248.94039667900896</v>
      </c>
      <c r="DM462" s="236">
        <v>215.51729083857629</v>
      </c>
      <c r="DN462" s="236">
        <v>124.83045631418977</v>
      </c>
      <c r="DO462" s="236">
        <v>-7.4071813826631105</v>
      </c>
      <c r="DP462" s="236">
        <v>-185.25387870804093</v>
      </c>
      <c r="DQ462" s="258">
        <v>-410.68858706112019</v>
      </c>
      <c r="DR462" s="258">
        <v>-689.2634917989667</v>
      </c>
      <c r="DS462" s="258">
        <v>-1026.2650680452105</v>
      </c>
      <c r="DT462" s="258">
        <v>-1428.8920874999578</v>
      </c>
      <c r="DU462" s="258">
        <v>-1895.0522883587837</v>
      </c>
      <c r="DV462" s="258">
        <v>-2433.819823775651</v>
      </c>
      <c r="DW462" s="258">
        <v>-3053.1414291333663</v>
      </c>
      <c r="DX462" s="258">
        <v>-3761.9788009446675</v>
      </c>
      <c r="DY462" s="258">
        <v>-4570.536439505925</v>
      </c>
      <c r="DZ462" s="258">
        <v>376.86461572478743</v>
      </c>
    </row>
    <row r="463" spans="1:130" hidden="1">
      <c r="A463" s="16" t="str">
        <f>A413</f>
        <v>Exchange rate SRD/US$</v>
      </c>
      <c r="B463" s="16" t="str">
        <f>B413</f>
        <v>koers SRD/$</v>
      </c>
      <c r="C463" s="16"/>
      <c r="D463" s="16" t="str">
        <f>D413</f>
        <v>Quote</v>
      </c>
      <c r="E463" s="16"/>
      <c r="F463" s="16">
        <f>F413</f>
        <v>9.4167793283907533E-4</v>
      </c>
      <c r="G463" s="16">
        <f t="shared" ref="G463:BQ463" si="1883">G413</f>
        <v>9.4167793283907533E-4</v>
      </c>
      <c r="H463" s="16">
        <f t="shared" si="1883"/>
        <v>9.4167793283907533E-4</v>
      </c>
      <c r="I463" s="16">
        <f t="shared" si="1883"/>
        <v>9.4167793283907533E-4</v>
      </c>
      <c r="J463" s="16">
        <f t="shared" si="1883"/>
        <v>9.4167793283907533E-4</v>
      </c>
      <c r="K463" s="16">
        <f t="shared" si="1883"/>
        <v>9.4167793283907533E-4</v>
      </c>
      <c r="L463" s="16">
        <f t="shared" si="1883"/>
        <v>9.4167793283907533E-4</v>
      </c>
      <c r="M463" s="16">
        <f t="shared" si="1883"/>
        <v>9.4167793283907533E-4</v>
      </c>
      <c r="N463" s="16">
        <f t="shared" si="1883"/>
        <v>9.4167793283907533E-4</v>
      </c>
      <c r="O463" s="16">
        <f t="shared" si="1883"/>
        <v>9.4167793283907533E-4</v>
      </c>
      <c r="P463" s="16">
        <f t="shared" si="1883"/>
        <v>9.4167793283907533E-4</v>
      </c>
      <c r="Q463" s="16">
        <f t="shared" si="1883"/>
        <v>9.4167793283907533E-4</v>
      </c>
      <c r="R463" s="16">
        <f t="shared" si="1883"/>
        <v>9.4167793283907533E-4</v>
      </c>
      <c r="S463" s="16">
        <f t="shared" si="1883"/>
        <v>9.4167793283907533E-4</v>
      </c>
      <c r="T463" s="16">
        <f t="shared" si="1883"/>
        <v>9.4167793283907533E-4</v>
      </c>
      <c r="U463" s="16">
        <f t="shared" si="1883"/>
        <v>9.4167793283907533E-4</v>
      </c>
      <c r="V463" s="16">
        <f t="shared" si="1883"/>
        <v>9.4167793283907533E-4</v>
      </c>
      <c r="W463" s="16">
        <f t="shared" si="1883"/>
        <v>9.4167793283907533E-4</v>
      </c>
      <c r="X463" s="16">
        <f t="shared" si="1883"/>
        <v>8.9172154382904478E-4</v>
      </c>
      <c r="Y463" s="16">
        <f t="shared" si="1883"/>
        <v>8.9172154382904478E-4</v>
      </c>
      <c r="Z463" s="16">
        <f t="shared" si="1883"/>
        <v>8.9172154382904478E-4</v>
      </c>
      <c r="AA463" s="16">
        <f t="shared" si="1883"/>
        <v>8.9172154382904478E-4</v>
      </c>
      <c r="AB463" s="16">
        <f t="shared" si="1883"/>
        <v>8.9172154382904478E-4</v>
      </c>
      <c r="AC463" s="16">
        <f t="shared" si="1883"/>
        <v>8.9172154382904478E-4</v>
      </c>
      <c r="AD463" s="16">
        <f t="shared" si="1883"/>
        <v>8.9172154382904478E-4</v>
      </c>
      <c r="AE463" s="16">
        <f t="shared" si="1883"/>
        <v>8.9172154382904478E-4</v>
      </c>
      <c r="AF463" s="16">
        <f t="shared" si="1883"/>
        <v>8.9172154382904478E-4</v>
      </c>
      <c r="AG463" s="16">
        <f t="shared" si="1883"/>
        <v>8.9172154382904478E-4</v>
      </c>
      <c r="AH463" s="16">
        <f t="shared" si="1883"/>
        <v>8.9172154382904478E-4</v>
      </c>
      <c r="AI463" s="16">
        <f t="shared" si="1883"/>
        <v>8.9172154382904478E-4</v>
      </c>
      <c r="AJ463" s="16">
        <f t="shared" si="1883"/>
        <v>8.9172154382904478E-4</v>
      </c>
      <c r="AK463" s="16">
        <f t="shared" si="1883"/>
        <v>8.9172154382904478E-4</v>
      </c>
      <c r="AL463" s="16">
        <f t="shared" si="1883"/>
        <v>8.9172154382904478E-4</v>
      </c>
      <c r="AM463" s="16">
        <f t="shared" si="1883"/>
        <v>5.7951903352496982E-3</v>
      </c>
      <c r="AN463" s="16">
        <f t="shared" si="1883"/>
        <v>5.6744152418649529E-3</v>
      </c>
      <c r="AO463" s="16">
        <f t="shared" si="1883"/>
        <v>8.0609310871475152E-3</v>
      </c>
      <c r="AP463" s="16">
        <f t="shared" si="1883"/>
        <v>9.0271318342254776E-3</v>
      </c>
      <c r="AQ463" s="16">
        <f t="shared" si="1883"/>
        <v>9.5875282675306935E-3</v>
      </c>
      <c r="AR463" s="16">
        <f t="shared" si="1883"/>
        <v>1.2505454523706137E-2</v>
      </c>
      <c r="AS463" s="16">
        <f t="shared" si="1883"/>
        <v>3.096471979663059E-2</v>
      </c>
      <c r="AT463" s="16">
        <f t="shared" si="1883"/>
        <v>0.18086075682073988</v>
      </c>
      <c r="AU463" s="16">
        <f t="shared" si="1883"/>
        <v>0.46142715955471381</v>
      </c>
      <c r="AV463" s="16">
        <f t="shared" si="1883"/>
        <v>0.40092499999999998</v>
      </c>
      <c r="AW463" s="16">
        <f t="shared" si="1883"/>
        <v>0.40100000000000002</v>
      </c>
      <c r="AX463" s="16">
        <f t="shared" si="1883"/>
        <v>0.40100000000000002</v>
      </c>
      <c r="AY463" s="16">
        <f t="shared" si="1883"/>
        <v>0.85990999999999995</v>
      </c>
      <c r="AZ463" s="16">
        <f t="shared" si="1883"/>
        <v>1.3263099999999999</v>
      </c>
      <c r="BA463" s="16">
        <f t="shared" si="1883"/>
        <v>2.1785000000000001</v>
      </c>
      <c r="BB463" s="16">
        <f t="shared" si="1883"/>
        <v>2.3269450000000003</v>
      </c>
      <c r="BC463" s="16">
        <f t="shared" si="1883"/>
        <v>2.6033299999999997</v>
      </c>
      <c r="BD463" s="16">
        <f t="shared" si="1883"/>
        <v>2.734</v>
      </c>
      <c r="BE463" s="16">
        <f t="shared" si="1883"/>
        <v>2.73</v>
      </c>
      <c r="BF463" s="16">
        <f t="shared" si="1883"/>
        <v>2.7425000000000002</v>
      </c>
      <c r="BG463" s="16">
        <f t="shared" si="1883"/>
        <v>2.7450000000000001</v>
      </c>
      <c r="BH463" s="16">
        <f t="shared" si="1883"/>
        <v>2.7450000000000001</v>
      </c>
      <c r="BI463" s="16">
        <f t="shared" si="1883"/>
        <v>2.85</v>
      </c>
      <c r="BJ463" s="16">
        <f t="shared" si="1883"/>
        <v>3.05</v>
      </c>
      <c r="BK463" s="1">
        <f t="shared" ref="BK463:BP463" si="1884">BK413</f>
        <v>3.25</v>
      </c>
      <c r="BL463" s="1">
        <f t="shared" si="1884"/>
        <v>3.35</v>
      </c>
      <c r="BM463" s="1">
        <f t="shared" si="1884"/>
        <v>3.35</v>
      </c>
      <c r="BN463" s="1">
        <f t="shared" si="1884"/>
        <v>3.35</v>
      </c>
      <c r="BO463" s="52">
        <f t="shared" si="1884"/>
        <v>3.35</v>
      </c>
      <c r="BP463" s="52">
        <f t="shared" si="1884"/>
        <v>4.2</v>
      </c>
      <c r="BQ463" s="1">
        <f t="shared" si="1883"/>
        <v>4.2</v>
      </c>
      <c r="BR463" s="1">
        <f>BR413</f>
        <v>4.2</v>
      </c>
      <c r="BS463" s="1">
        <f>BS413</f>
        <v>4.2</v>
      </c>
      <c r="BT463" s="1">
        <f>BT413</f>
        <v>4.2</v>
      </c>
      <c r="BU463" s="1">
        <f>BU413</f>
        <v>4.2</v>
      </c>
      <c r="BV463" s="1">
        <f>BV413</f>
        <v>4.2</v>
      </c>
      <c r="BW463" s="1">
        <f t="shared" ref="BW463:BX463" si="1885">BW413</f>
        <v>4.2</v>
      </c>
      <c r="BX463" s="1">
        <f t="shared" si="1885"/>
        <v>4.2</v>
      </c>
      <c r="BY463" s="1">
        <f t="shared" ref="BY463:CD463" si="1886">BY413</f>
        <v>4.2</v>
      </c>
      <c r="BZ463" s="1">
        <f t="shared" si="1886"/>
        <v>4.2</v>
      </c>
      <c r="CA463" s="1">
        <f t="shared" si="1886"/>
        <v>4.2</v>
      </c>
      <c r="CB463" s="1">
        <f t="shared" si="1886"/>
        <v>4.2</v>
      </c>
      <c r="CC463" s="1">
        <f t="shared" si="1886"/>
        <v>4.2</v>
      </c>
      <c r="CD463" s="1">
        <f t="shared" si="1886"/>
        <v>4.2</v>
      </c>
      <c r="CE463" s="101">
        <f t="shared" si="1860"/>
        <v>4.1468750000000014</v>
      </c>
      <c r="CG463" s="235">
        <f t="shared" si="1783"/>
        <v>0</v>
      </c>
      <c r="CH463" s="235">
        <f t="shared" si="1784"/>
        <v>0</v>
      </c>
      <c r="CI463" s="235" t="e">
        <f>BM463-#REF!</f>
        <v>#REF!</v>
      </c>
      <c r="CJ463" s="235">
        <f t="shared" si="1785"/>
        <v>0</v>
      </c>
      <c r="CK463" s="235">
        <f t="shared" si="1786"/>
        <v>0</v>
      </c>
      <c r="CL463" s="235">
        <f t="shared" si="1787"/>
        <v>0</v>
      </c>
      <c r="CM463" s="235">
        <f t="shared" si="1788"/>
        <v>0</v>
      </c>
      <c r="CN463" s="235">
        <f t="shared" si="1789"/>
        <v>0</v>
      </c>
      <c r="CO463" s="235">
        <f t="shared" si="1790"/>
        <v>0</v>
      </c>
      <c r="CP463" s="235">
        <f t="shared" si="1791"/>
        <v>0</v>
      </c>
      <c r="CQ463" s="235">
        <f t="shared" si="1792"/>
        <v>0</v>
      </c>
      <c r="CR463" s="235">
        <f t="shared" si="1793"/>
        <v>0</v>
      </c>
      <c r="CS463" s="235">
        <f t="shared" si="1794"/>
        <v>0</v>
      </c>
      <c r="CT463" s="235">
        <f t="shared" si="1795"/>
        <v>0</v>
      </c>
      <c r="CU463" s="235">
        <f t="shared" si="1796"/>
        <v>0</v>
      </c>
      <c r="CV463" s="235">
        <f t="shared" si="1797"/>
        <v>0</v>
      </c>
      <c r="CW463" s="235">
        <f t="shared" si="1798"/>
        <v>0</v>
      </c>
      <c r="CX463" s="235">
        <f t="shared" si="1799"/>
        <v>0</v>
      </c>
      <c r="CY463" s="235">
        <f t="shared" si="1800"/>
        <v>0</v>
      </c>
      <c r="CZ463" s="235">
        <f t="shared" si="1801"/>
        <v>0</v>
      </c>
      <c r="DF463" s="258"/>
      <c r="DG463" s="236">
        <v>3.25</v>
      </c>
      <c r="DH463" s="492">
        <v>3.35</v>
      </c>
      <c r="DI463" s="236">
        <v>3.35</v>
      </c>
      <c r="DJ463" s="236">
        <v>3.35</v>
      </c>
      <c r="DK463" s="236">
        <v>4.2</v>
      </c>
      <c r="DL463" s="236">
        <v>4.2</v>
      </c>
      <c r="DM463" s="236">
        <v>4.2</v>
      </c>
      <c r="DN463" s="236">
        <v>4.2</v>
      </c>
      <c r="DO463" s="236">
        <v>4.2</v>
      </c>
      <c r="DP463" s="236">
        <v>4.2</v>
      </c>
      <c r="DQ463" s="258">
        <v>4.2</v>
      </c>
      <c r="DR463" s="258">
        <v>4.2</v>
      </c>
      <c r="DS463" s="258">
        <v>4.2</v>
      </c>
      <c r="DT463" s="258">
        <v>4.2</v>
      </c>
      <c r="DU463" s="258">
        <v>4.2</v>
      </c>
      <c r="DV463" s="258">
        <v>4.2</v>
      </c>
      <c r="DW463" s="258">
        <v>4.2</v>
      </c>
      <c r="DX463" s="258">
        <v>4.2</v>
      </c>
      <c r="DY463" s="258">
        <v>4.2</v>
      </c>
      <c r="DZ463" s="258">
        <v>4.3343749999999996</v>
      </c>
    </row>
    <row r="464" spans="1:130" hidden="1">
      <c r="A464" s="16" t="str">
        <f>A419</f>
        <v>GDPmp</v>
      </c>
      <c r="B464" s="16" t="str">
        <f>B419</f>
        <v>BBPmp lopende prijzen</v>
      </c>
      <c r="C464" s="16"/>
      <c r="D464" s="16" t="str">
        <f>D419</f>
        <v>mlnSRD</v>
      </c>
      <c r="E464" s="16"/>
      <c r="F464" s="16">
        <f>F419</f>
        <v>0.13586534573248304</v>
      </c>
      <c r="G464" s="16">
        <f t="shared" ref="G464:BQ464" si="1887">G419</f>
        <v>0.14185086350566714</v>
      </c>
      <c r="H464" s="16">
        <f t="shared" si="1887"/>
        <v>0.15343199888797318</v>
      </c>
      <c r="I464" s="16">
        <f t="shared" si="1887"/>
        <v>0.17724070015556495</v>
      </c>
      <c r="J464" s="16">
        <f t="shared" si="1887"/>
        <v>0.18837748292073159</v>
      </c>
      <c r="K464" s="16">
        <f t="shared" si="1887"/>
        <v>0.20780287304332629</v>
      </c>
      <c r="L464" s="16">
        <f t="shared" si="1887"/>
        <v>0.22556155428735064</v>
      </c>
      <c r="M464" s="16">
        <f t="shared" si="1887"/>
        <v>0.23593360914628436</v>
      </c>
      <c r="N464" s="16">
        <f t="shared" si="1887"/>
        <v>0.24828982043012485</v>
      </c>
      <c r="O464" s="16">
        <f t="shared" si="1887"/>
        <v>0.26493747745129564</v>
      </c>
      <c r="P464" s="16">
        <f t="shared" si="1887"/>
        <v>0.29140250130304329</v>
      </c>
      <c r="Q464" s="16">
        <f t="shared" si="1887"/>
        <v>0.33374046186287498</v>
      </c>
      <c r="R464" s="16">
        <f t="shared" si="1887"/>
        <v>0.42151686122990173</v>
      </c>
      <c r="S464" s="16">
        <f t="shared" si="1887"/>
        <v>0.48892385527099463</v>
      </c>
      <c r="T464" s="16">
        <f t="shared" si="1887"/>
        <v>0.53559495364308884</v>
      </c>
      <c r="U464" s="16">
        <f t="shared" si="1887"/>
        <v>0.55959145349276429</v>
      </c>
      <c r="V464" s="16">
        <f t="shared" si="1887"/>
        <v>0.58938389379539635</v>
      </c>
      <c r="W464" s="16">
        <f t="shared" si="1887"/>
        <v>0.64004679212186022</v>
      </c>
      <c r="X464" s="16">
        <f t="shared" si="1887"/>
        <v>0.67391225237039765</v>
      </c>
      <c r="Y464" s="16">
        <f t="shared" si="1887"/>
        <v>0.72981900892488705</v>
      </c>
      <c r="Z464" s="16">
        <f t="shared" si="1887"/>
        <v>0.88782266288243161</v>
      </c>
      <c r="AA464" s="16">
        <f t="shared" si="1887"/>
        <v>1.0666470776089993</v>
      </c>
      <c r="AB464" s="16">
        <f t="shared" si="1887"/>
        <v>1.1595554123383063</v>
      </c>
      <c r="AC464" s="16">
        <f t="shared" si="1887"/>
        <v>1.4706075189374941</v>
      </c>
      <c r="AD464" s="16">
        <f t="shared" si="1887"/>
        <v>1.6865036412243843</v>
      </c>
      <c r="AE464" s="16">
        <f t="shared" si="1887"/>
        <v>1.7945749081650377</v>
      </c>
      <c r="AF464" s="16">
        <f t="shared" si="1887"/>
        <v>1.8369870441817366</v>
      </c>
      <c r="AG464" s="16">
        <f t="shared" si="1887"/>
        <v>2.0623064070163921</v>
      </c>
      <c r="AH464" s="16">
        <f t="shared" si="1887"/>
        <v>2.1222001966893647</v>
      </c>
      <c r="AI464" s="16">
        <f t="shared" si="1887"/>
        <v>2.0523391530789263</v>
      </c>
      <c r="AJ464" s="16">
        <f t="shared" si="1887"/>
        <v>2.004300109138605</v>
      </c>
      <c r="AK464" s="16">
        <f t="shared" si="1887"/>
        <v>2.0005860002869698</v>
      </c>
      <c r="AL464" s="16">
        <f t="shared" si="1887"/>
        <v>2.0575526711946841</v>
      </c>
      <c r="AM464" s="16">
        <f t="shared" si="1887"/>
        <v>2.2662250885593451</v>
      </c>
      <c r="AN464" s="16">
        <f t="shared" si="1887"/>
        <v>2.6858092978059438</v>
      </c>
      <c r="AO464" s="16">
        <f t="shared" si="1887"/>
        <v>3.1644858839028007</v>
      </c>
      <c r="AP464" s="16">
        <f t="shared" si="1887"/>
        <v>4.0658461605290102</v>
      </c>
      <c r="AQ464" s="16">
        <f t="shared" si="1887"/>
        <v>4.816653807353914</v>
      </c>
      <c r="AR464" s="16">
        <f t="shared" si="1887"/>
        <v>6.2536149902572751</v>
      </c>
      <c r="AS464" s="16">
        <f t="shared" si="1887"/>
        <v>14.059989839502363</v>
      </c>
      <c r="AT464" s="16">
        <f t="shared" si="1887"/>
        <v>55.305189876195286</v>
      </c>
      <c r="AU464" s="16">
        <f t="shared" si="1887"/>
        <v>265.49515866743866</v>
      </c>
      <c r="AV464" s="16">
        <f t="shared" si="1887"/>
        <v>347.98572837278624</v>
      </c>
      <c r="AW464" s="16">
        <f t="shared" si="1887"/>
        <v>393.81406831179174</v>
      </c>
      <c r="AX464" s="16">
        <f t="shared" si="1887"/>
        <v>479.64843336586966</v>
      </c>
      <c r="AY464" s="16">
        <f t="shared" si="1887"/>
        <v>892.18635835645841</v>
      </c>
      <c r="AZ464" s="16">
        <f t="shared" si="1887"/>
        <v>1480.4267514836499</v>
      </c>
      <c r="BA464" s="16">
        <f t="shared" si="1887"/>
        <v>2132.3433396373362</v>
      </c>
      <c r="BB464" s="16">
        <f t="shared" si="1887"/>
        <v>2534.2449999999999</v>
      </c>
      <c r="BC464" s="16">
        <f t="shared" si="1887"/>
        <v>3558.8736600000002</v>
      </c>
      <c r="BD464" s="16">
        <f t="shared" si="1887"/>
        <v>4390.9120000000003</v>
      </c>
      <c r="BE464" s="16">
        <f t="shared" ca="1" si="1887"/>
        <v>6053.5684619106369</v>
      </c>
      <c r="BF464" s="16">
        <f t="shared" ca="1" si="1887"/>
        <v>7420.9359147840732</v>
      </c>
      <c r="BG464" s="16">
        <f t="shared" ca="1" si="1887"/>
        <v>8426.0564134294327</v>
      </c>
      <c r="BH464" s="16">
        <f t="shared" ca="1" si="1887"/>
        <v>9857.9833034972798</v>
      </c>
      <c r="BI464" s="16">
        <f t="shared" ca="1" si="1887"/>
        <v>9809.471481893328</v>
      </c>
      <c r="BJ464" s="16">
        <f t="shared" ca="1" si="1887"/>
        <v>12225.421392335058</v>
      </c>
      <c r="BK464" s="16">
        <f t="shared" ref="BK464:BP464" ca="1" si="1888">BK419</f>
        <v>16133.355781955594</v>
      </c>
      <c r="BL464" s="16">
        <f t="shared" ca="1" si="1888"/>
        <v>17423.098603763883</v>
      </c>
      <c r="BM464" s="16">
        <f t="shared" ca="1" si="1888"/>
        <v>17202.653420649618</v>
      </c>
      <c r="BN464" s="16">
        <f t="shared" si="1888"/>
        <v>17194.136999999999</v>
      </c>
      <c r="BO464" s="16">
        <f t="shared" ca="1" si="1888"/>
        <v>17457.881129171292</v>
      </c>
      <c r="BP464" s="16">
        <f t="shared" ca="1" si="1888"/>
        <v>21935.81538304127</v>
      </c>
      <c r="BQ464" s="16">
        <f t="shared" ca="1" si="1887"/>
        <v>27163.700026800016</v>
      </c>
      <c r="BR464" s="16">
        <f ca="1">BR419</f>
        <v>29859.82564807286</v>
      </c>
      <c r="BS464" s="16">
        <f ca="1">BS419</f>
        <v>30995.419134880554</v>
      </c>
      <c r="BT464" s="16">
        <f ca="1">BT419</f>
        <v>31947.692109834541</v>
      </c>
      <c r="BU464" s="16">
        <f ca="1">BU419</f>
        <v>33218.773650097864</v>
      </c>
      <c r="BV464" s="16">
        <f ca="1">BV419</f>
        <v>34578.925328158461</v>
      </c>
      <c r="BW464" s="16">
        <f t="shared" ref="BW464:BX464" ca="1" si="1889">BW419</f>
        <v>35983.981405857819</v>
      </c>
      <c r="BX464" s="16">
        <f t="shared" ca="1" si="1889"/>
        <v>37441.609021964643</v>
      </c>
      <c r="BY464" s="16">
        <f t="shared" ref="BY464:CD464" ca="1" si="1890">BY419</f>
        <v>38954.086319982642</v>
      </c>
      <c r="BZ464" s="16">
        <f t="shared" ca="1" si="1890"/>
        <v>40862.834279001778</v>
      </c>
      <c r="CA464" s="16">
        <f t="shared" ca="1" si="1890"/>
        <v>42914.876751623706</v>
      </c>
      <c r="CB464" s="16">
        <f t="shared" ca="1" si="1890"/>
        <v>45071.63441183923</v>
      </c>
      <c r="CC464" s="16">
        <f t="shared" ca="1" si="1890"/>
        <v>47352.640054842886</v>
      </c>
      <c r="CD464" s="16">
        <f t="shared" ca="1" si="1890"/>
        <v>49769.325421278103</v>
      </c>
      <c r="CE464" s="101">
        <f t="shared" ca="1" si="1860"/>
        <v>35344.313754777984</v>
      </c>
      <c r="CG464" s="235">
        <f t="shared" ca="1" si="1783"/>
        <v>3432.9141957967913</v>
      </c>
      <c r="CH464" s="235">
        <f t="shared" ca="1" si="1784"/>
        <v>-248.17719861434307</v>
      </c>
      <c r="CI464" s="235" t="e">
        <f ca="1">BM464-#REF!</f>
        <v>#REF!</v>
      </c>
      <c r="CJ464" s="235">
        <f t="shared" si="1785"/>
        <v>0</v>
      </c>
      <c r="CK464" s="235">
        <f t="shared" ca="1" si="1786"/>
        <v>0</v>
      </c>
      <c r="CL464" s="235">
        <f t="shared" ca="1" si="1787"/>
        <v>0</v>
      </c>
      <c r="CM464" s="235">
        <f t="shared" ca="1" si="1788"/>
        <v>0</v>
      </c>
      <c r="CN464" s="235">
        <f t="shared" ca="1" si="1789"/>
        <v>0</v>
      </c>
      <c r="CO464" s="235">
        <f t="shared" ca="1" si="1790"/>
        <v>0</v>
      </c>
      <c r="CP464" s="235">
        <f t="shared" ca="1" si="1791"/>
        <v>-3.2741809263825417E-11</v>
      </c>
      <c r="CQ464" s="235">
        <f t="shared" ca="1" si="1792"/>
        <v>0</v>
      </c>
      <c r="CR464" s="235">
        <f t="shared" ca="1" si="1793"/>
        <v>-5.8207660913467407E-11</v>
      </c>
      <c r="CS464" s="235">
        <f t="shared" ca="1" si="1794"/>
        <v>-5.8207660913467407E-11</v>
      </c>
      <c r="CT464" s="235">
        <f t="shared" ca="1" si="1795"/>
        <v>-8.0035533756017685E-11</v>
      </c>
      <c r="CU464" s="235">
        <f t="shared" ca="1" si="1796"/>
        <v>-7.2759576141834259E-11</v>
      </c>
      <c r="CV464" s="235">
        <f t="shared" ca="1" si="1797"/>
        <v>-7.2759576141834259E-11</v>
      </c>
      <c r="CW464" s="235">
        <f t="shared" ca="1" si="1798"/>
        <v>7.2759576141834259E-11</v>
      </c>
      <c r="CX464" s="235">
        <f t="shared" ca="1" si="1799"/>
        <v>2.2264430299401283E-9</v>
      </c>
      <c r="CY464" s="235">
        <f t="shared" ca="1" si="1800"/>
        <v>2.3137545213103294E-8</v>
      </c>
      <c r="CZ464" s="235">
        <f t="shared" ca="1" si="1801"/>
        <v>1.8000719137489796E-7</v>
      </c>
      <c r="DF464" s="258"/>
      <c r="DG464" s="236">
        <v>12700.441586158802</v>
      </c>
      <c r="DH464" s="492">
        <v>17671.275802378226</v>
      </c>
      <c r="DI464" s="236">
        <v>17194.136999999999</v>
      </c>
      <c r="DJ464" s="236">
        <v>17457.881129171299</v>
      </c>
      <c r="DK464" s="236">
        <v>21935.815383041274</v>
      </c>
      <c r="DL464" s="236">
        <v>27163.700026800019</v>
      </c>
      <c r="DM464" s="236">
        <v>29859.825648072871</v>
      </c>
      <c r="DN464" s="236">
        <v>30995.419134880558</v>
      </c>
      <c r="DO464" s="236">
        <v>31947.692109834574</v>
      </c>
      <c r="DP464" s="236">
        <v>33218.773650097901</v>
      </c>
      <c r="DQ464" s="258">
        <v>34578.925328158519</v>
      </c>
      <c r="DR464" s="258">
        <v>35983.981405857878</v>
      </c>
      <c r="DS464" s="258">
        <v>37441.609021964723</v>
      </c>
      <c r="DT464" s="258">
        <v>38954.086319982714</v>
      </c>
      <c r="DU464" s="258">
        <v>40862.834279001851</v>
      </c>
      <c r="DV464" s="258">
        <v>42914.876751623633</v>
      </c>
      <c r="DW464" s="258">
        <v>45071.634411837003</v>
      </c>
      <c r="DX464" s="258">
        <v>47352.640054819749</v>
      </c>
      <c r="DY464" s="258">
        <v>49769.325421098096</v>
      </c>
      <c r="DZ464" s="258">
        <v>35481.346092641339</v>
      </c>
    </row>
    <row r="465" spans="1:130" hidden="1">
      <c r="A465" s="16" t="str">
        <f>A421</f>
        <v>GDPmp (ABS)</v>
      </c>
      <c r="B465" s="16" t="str">
        <f>B421</f>
        <v>BBPmp conform ABS</v>
      </c>
      <c r="C465" s="16"/>
      <c r="D465" s="16" t="str">
        <f>D421</f>
        <v>mlnSRD</v>
      </c>
      <c r="E465" s="16"/>
      <c r="F465" s="16">
        <f>F421</f>
        <v>0</v>
      </c>
      <c r="G465" s="16">
        <f t="shared" ref="G465:BQ465" si="1891">G421</f>
        <v>0</v>
      </c>
      <c r="H465" s="16">
        <f t="shared" si="1891"/>
        <v>0</v>
      </c>
      <c r="I465" s="16">
        <f t="shared" si="1891"/>
        <v>0</v>
      </c>
      <c r="J465" s="16">
        <f t="shared" si="1891"/>
        <v>0</v>
      </c>
      <c r="K465" s="16">
        <f t="shared" si="1891"/>
        <v>0</v>
      </c>
      <c r="L465" s="16">
        <f t="shared" si="1891"/>
        <v>0</v>
      </c>
      <c r="M465" s="16">
        <f t="shared" si="1891"/>
        <v>0</v>
      </c>
      <c r="N465" s="16">
        <f t="shared" si="1891"/>
        <v>0</v>
      </c>
      <c r="O465" s="16">
        <f t="shared" si="1891"/>
        <v>0</v>
      </c>
      <c r="P465" s="16">
        <f t="shared" si="1891"/>
        <v>0</v>
      </c>
      <c r="Q465" s="16">
        <f t="shared" si="1891"/>
        <v>0</v>
      </c>
      <c r="R465" s="16">
        <f t="shared" si="1891"/>
        <v>0</v>
      </c>
      <c r="S465" s="16">
        <f t="shared" si="1891"/>
        <v>0</v>
      </c>
      <c r="T465" s="16">
        <f t="shared" si="1891"/>
        <v>0</v>
      </c>
      <c r="U465" s="16">
        <f t="shared" si="1891"/>
        <v>0</v>
      </c>
      <c r="V465" s="16">
        <f t="shared" si="1891"/>
        <v>0</v>
      </c>
      <c r="W465" s="16">
        <f t="shared" si="1891"/>
        <v>0</v>
      </c>
      <c r="X465" s="16">
        <f t="shared" si="1891"/>
        <v>0</v>
      </c>
      <c r="Y465" s="16">
        <f t="shared" si="1891"/>
        <v>0</v>
      </c>
      <c r="Z465" s="16">
        <f t="shared" si="1891"/>
        <v>0</v>
      </c>
      <c r="AA465" s="16">
        <f t="shared" si="1891"/>
        <v>0</v>
      </c>
      <c r="AB465" s="16">
        <f t="shared" si="1891"/>
        <v>0</v>
      </c>
      <c r="AC465" s="16">
        <f t="shared" si="1891"/>
        <v>0</v>
      </c>
      <c r="AD465" s="16">
        <f t="shared" si="1891"/>
        <v>0</v>
      </c>
      <c r="AE465" s="16">
        <f t="shared" si="1891"/>
        <v>0</v>
      </c>
      <c r="AF465" s="16">
        <f t="shared" si="1891"/>
        <v>0</v>
      </c>
      <c r="AG465" s="16">
        <f t="shared" si="1891"/>
        <v>0</v>
      </c>
      <c r="AH465" s="16">
        <f t="shared" si="1891"/>
        <v>0</v>
      </c>
      <c r="AI465" s="16">
        <f t="shared" si="1891"/>
        <v>0</v>
      </c>
      <c r="AJ465" s="16">
        <f t="shared" si="1891"/>
        <v>0</v>
      </c>
      <c r="AK465" s="16">
        <f t="shared" si="1891"/>
        <v>0</v>
      </c>
      <c r="AL465" s="16">
        <f t="shared" si="1891"/>
        <v>0</v>
      </c>
      <c r="AM465" s="16">
        <f t="shared" si="1891"/>
        <v>0</v>
      </c>
      <c r="AN465" s="16">
        <f t="shared" si="1891"/>
        <v>0</v>
      </c>
      <c r="AO465" s="16">
        <f t="shared" si="1891"/>
        <v>0</v>
      </c>
      <c r="AP465" s="16">
        <f t="shared" si="1891"/>
        <v>0</v>
      </c>
      <c r="AQ465" s="16">
        <f t="shared" si="1891"/>
        <v>0</v>
      </c>
      <c r="AR465" s="16">
        <f t="shared" si="1891"/>
        <v>0</v>
      </c>
      <c r="AS465" s="16">
        <f t="shared" si="1891"/>
        <v>0</v>
      </c>
      <c r="AT465" s="16">
        <f t="shared" si="1891"/>
        <v>0</v>
      </c>
      <c r="AU465" s="16">
        <f t="shared" si="1891"/>
        <v>0</v>
      </c>
      <c r="AV465" s="16">
        <f t="shared" si="1891"/>
        <v>347.98572837278624</v>
      </c>
      <c r="AW465" s="16">
        <f t="shared" si="1891"/>
        <v>393.81406831179174</v>
      </c>
      <c r="AX465" s="16">
        <f t="shared" si="1891"/>
        <v>479.64843336586972</v>
      </c>
      <c r="AY465" s="16">
        <f t="shared" si="1891"/>
        <v>892.18635835645841</v>
      </c>
      <c r="AZ465" s="16">
        <f t="shared" si="1891"/>
        <v>1480.4267514836499</v>
      </c>
      <c r="BA465" s="16">
        <f t="shared" si="1891"/>
        <v>2132.3433396373362</v>
      </c>
      <c r="BB465" s="16">
        <f t="shared" si="1891"/>
        <v>2534.2449999999999</v>
      </c>
      <c r="BC465" s="16">
        <f t="shared" si="1891"/>
        <v>3558.8736600000002</v>
      </c>
      <c r="BD465" s="16">
        <f t="shared" si="1891"/>
        <v>4390.9120000000003</v>
      </c>
      <c r="BE465" s="16">
        <f t="shared" si="1891"/>
        <v>6105.9160000000002</v>
      </c>
      <c r="BF465" s="16">
        <f t="shared" si="1891"/>
        <v>7206.3250130575279</v>
      </c>
      <c r="BG465" s="16">
        <f t="shared" si="1891"/>
        <v>8060.5318798577055</v>
      </c>
      <c r="BH465" s="16">
        <f t="shared" si="1891"/>
        <v>9698.0550363404745</v>
      </c>
      <c r="BI465" s="16">
        <f t="shared" si="1891"/>
        <v>10638.423667004776</v>
      </c>
      <c r="BJ465" s="16">
        <f t="shared" si="1891"/>
        <v>11993.016</v>
      </c>
      <c r="BK465" s="16">
        <f t="shared" ref="BK465:BP465" si="1892">BK421</f>
        <v>14451.880999999999</v>
      </c>
      <c r="BL465" s="16">
        <f t="shared" si="1892"/>
        <v>16433.674999999999</v>
      </c>
      <c r="BM465" s="16">
        <f t="shared" si="1892"/>
        <v>16932.127</v>
      </c>
      <c r="BN465" s="16">
        <f t="shared" si="1892"/>
        <v>17194.136999999999</v>
      </c>
      <c r="BO465" s="16">
        <f t="shared" si="1892"/>
        <v>17287.37</v>
      </c>
      <c r="BP465" s="16">
        <f t="shared" si="1892"/>
        <v>18456.981</v>
      </c>
      <c r="BQ465" s="16">
        <f t="shared" si="1891"/>
        <v>20067.792000000001</v>
      </c>
      <c r="BR465" s="16">
        <f ca="1">BR421</f>
        <v>22059.615209658234</v>
      </c>
      <c r="BS465" s="16">
        <f ca="1">BS421</f>
        <v>22898.560341114106</v>
      </c>
      <c r="BT465" s="16">
        <f ca="1">BT421</f>
        <v>23602.07333712509</v>
      </c>
      <c r="BU465" s="16">
        <f ca="1">BU421</f>
        <v>24541.113303693626</v>
      </c>
      <c r="BV465" s="16">
        <f ca="1">BV421</f>
        <v>25545.955830184539</v>
      </c>
      <c r="BW465" s="16">
        <f t="shared" ref="BW465:BX465" ca="1" si="1893">BW421</f>
        <v>26583.972487995798</v>
      </c>
      <c r="BX465" s="16">
        <f t="shared" ca="1" si="1893"/>
        <v>27660.827547675737</v>
      </c>
      <c r="BY465" s="16">
        <f t="shared" ref="BY465:CD465" ca="1" si="1894">BY421</f>
        <v>28778.204038779731</v>
      </c>
      <c r="BZ465" s="16">
        <f t="shared" ca="1" si="1894"/>
        <v>30188.334359178978</v>
      </c>
      <c r="CA465" s="16">
        <f t="shared" ca="1" si="1894"/>
        <v>31704.326712029066</v>
      </c>
      <c r="CB465" s="16">
        <f t="shared" ca="1" si="1894"/>
        <v>33297.67975586735</v>
      </c>
      <c r="CC465" s="16">
        <f t="shared" ca="1" si="1894"/>
        <v>34982.823780777864</v>
      </c>
      <c r="CD465" s="16">
        <f t="shared" ca="1" si="1894"/>
        <v>36768.204241290143</v>
      </c>
      <c r="CE465" s="101">
        <f t="shared" ca="1" si="1860"/>
        <v>26526.489621585639</v>
      </c>
      <c r="CG465" s="235">
        <f t="shared" si="1783"/>
        <v>192.625</v>
      </c>
      <c r="CH465" s="235">
        <f t="shared" si="1784"/>
        <v>-108.84800000000178</v>
      </c>
      <c r="CI465" s="235" t="e">
        <f>BM465-#REF!</f>
        <v>#REF!</v>
      </c>
      <c r="CJ465" s="235">
        <f t="shared" si="1785"/>
        <v>0</v>
      </c>
      <c r="CK465" s="235">
        <f t="shared" si="1786"/>
        <v>0</v>
      </c>
      <c r="CL465" s="235">
        <f t="shared" si="1787"/>
        <v>0</v>
      </c>
      <c r="CM465" s="235">
        <f t="shared" si="1788"/>
        <v>0</v>
      </c>
      <c r="CN465" s="235">
        <f t="shared" ca="1" si="1789"/>
        <v>0</v>
      </c>
      <c r="CO465" s="235">
        <f t="shared" ca="1" si="1790"/>
        <v>0</v>
      </c>
      <c r="CP465" s="235">
        <f t="shared" ca="1" si="1791"/>
        <v>0</v>
      </c>
      <c r="CQ465" s="235">
        <f t="shared" ca="1" si="1792"/>
        <v>0</v>
      </c>
      <c r="CR465" s="235">
        <f t="shared" ca="1" si="1793"/>
        <v>-4.0017766878008842E-11</v>
      </c>
      <c r="CS465" s="235">
        <f t="shared" ca="1" si="1794"/>
        <v>-4.0017766878008842E-11</v>
      </c>
      <c r="CT465" s="235">
        <f t="shared" ca="1" si="1795"/>
        <v>-5.0931703299283981E-11</v>
      </c>
      <c r="CU465" s="235">
        <f t="shared" ca="1" si="1796"/>
        <v>-4.7293724492192268E-11</v>
      </c>
      <c r="CV465" s="235">
        <f t="shared" ca="1" si="1797"/>
        <v>-4.3655745685100555E-11</v>
      </c>
      <c r="CW465" s="235">
        <f t="shared" ca="1" si="1798"/>
        <v>6.184563972055912E-11</v>
      </c>
      <c r="CX465" s="235">
        <f t="shared" ca="1" si="1799"/>
        <v>1.6589183360338211E-9</v>
      </c>
      <c r="CY465" s="235">
        <f t="shared" ca="1" si="1800"/>
        <v>1.7113052308559418E-8</v>
      </c>
      <c r="CZ465" s="235">
        <f t="shared" ca="1" si="1801"/>
        <v>1.3300450518727303E-7</v>
      </c>
      <c r="DF465" s="258"/>
      <c r="DG465" s="236">
        <v>14259.255999999999</v>
      </c>
      <c r="DH465" s="492">
        <v>16542.523000000001</v>
      </c>
      <c r="DI465" s="236">
        <v>17194.136999999999</v>
      </c>
      <c r="DJ465" s="236">
        <v>17287.37</v>
      </c>
      <c r="DK465" s="236">
        <v>18456.981</v>
      </c>
      <c r="DL465" s="236">
        <v>20067.792000000001</v>
      </c>
      <c r="DM465" s="236">
        <v>22059.615209658237</v>
      </c>
      <c r="DN465" s="236">
        <v>22898.560341114102</v>
      </c>
      <c r="DO465" s="236">
        <v>23602.073337125112</v>
      </c>
      <c r="DP465" s="236">
        <v>24541.113303693648</v>
      </c>
      <c r="DQ465" s="258">
        <v>25545.955830184579</v>
      </c>
      <c r="DR465" s="258">
        <v>26583.972487995838</v>
      </c>
      <c r="DS465" s="258">
        <v>27660.827547675788</v>
      </c>
      <c r="DT465" s="258">
        <v>28778.204038779779</v>
      </c>
      <c r="DU465" s="258">
        <v>30188.334359179022</v>
      </c>
      <c r="DV465" s="258">
        <v>31704.326712029004</v>
      </c>
      <c r="DW465" s="258">
        <v>33297.679755865691</v>
      </c>
      <c r="DX465" s="258">
        <v>34982.823780760751</v>
      </c>
      <c r="DY465" s="258">
        <v>36768.204241157138</v>
      </c>
      <c r="DZ465" s="258">
        <v>28530.198648500274</v>
      </c>
    </row>
    <row r="466" spans="1:130" hidden="1">
      <c r="A466" s="16" t="str">
        <f>A423</f>
        <v>Broad Money/monetary supply</v>
      </c>
      <c r="B466" s="16" t="str">
        <f>B423</f>
        <v>geldhoeveelheid</v>
      </c>
      <c r="C466" s="16"/>
      <c r="D466" s="16" t="str">
        <f>D423</f>
        <v>mlnSRD</v>
      </c>
      <c r="E466" s="16"/>
      <c r="F466" s="16">
        <f t="shared" ref="F466:BQ466" si="1895">F423</f>
        <v>5.2987292210009543E-2</v>
      </c>
      <c r="G466" s="16">
        <f t="shared" si="1895"/>
        <v>5.1300430899862137E-2</v>
      </c>
      <c r="H466" s="16">
        <f t="shared" si="1895"/>
        <v>5.1101976628080081E-2</v>
      </c>
      <c r="I466" s="16">
        <f t="shared" si="1895"/>
        <v>5.5666424784436827E-2</v>
      </c>
      <c r="J466" s="16">
        <f t="shared" si="1895"/>
        <v>5.7948648862615193E-2</v>
      </c>
      <c r="K466" s="16">
        <f t="shared" si="1895"/>
        <v>5.8246330282117065E-2</v>
      </c>
      <c r="L466" s="16">
        <f t="shared" si="1895"/>
        <v>6.5688365473943883E-2</v>
      </c>
      <c r="M466" s="16">
        <f t="shared" si="1895"/>
        <v>6.9756677950845503E-2</v>
      </c>
      <c r="N466" s="16">
        <f t="shared" si="1895"/>
        <v>7.2138129306860449E-2</v>
      </c>
      <c r="O466" s="16">
        <f t="shared" si="1895"/>
        <v>7.3626536345225826E-2</v>
      </c>
      <c r="P466" s="16">
        <f t="shared" si="1895"/>
        <v>8.5335338569627411E-2</v>
      </c>
      <c r="Q466" s="16">
        <f t="shared" si="1895"/>
        <v>8.9899786725984143E-2</v>
      </c>
      <c r="R466" s="16">
        <f t="shared" si="1895"/>
        <v>0.10150936143597322</v>
      </c>
      <c r="S466" s="16">
        <f t="shared" si="1895"/>
        <v>0.11163052910759694</v>
      </c>
      <c r="T466" s="16">
        <f t="shared" si="1895"/>
        <v>0.11946947293761823</v>
      </c>
      <c r="U466" s="16">
        <f t="shared" si="1895"/>
        <v>0.13365895355929541</v>
      </c>
      <c r="V466" s="16">
        <f t="shared" si="1895"/>
        <v>0.14477239258982938</v>
      </c>
      <c r="W466" s="16">
        <f t="shared" si="1895"/>
        <v>0.15757269274124999</v>
      </c>
      <c r="X466" s="16">
        <f t="shared" si="1895"/>
        <v>0.16561009112694444</v>
      </c>
      <c r="Y466" s="16">
        <f t="shared" si="1895"/>
        <v>0.17037299383897436</v>
      </c>
      <c r="Z466" s="16">
        <f t="shared" si="1895"/>
        <v>0.20222490294590717</v>
      </c>
      <c r="AA466" s="16">
        <f t="shared" si="1895"/>
        <v>0.21026230133160159</v>
      </c>
      <c r="AB466" s="16">
        <f t="shared" si="1895"/>
        <v>0.24320571120446458</v>
      </c>
      <c r="AC466" s="16">
        <f t="shared" si="1895"/>
        <v>0.27892748012523327</v>
      </c>
      <c r="AD466" s="16">
        <f t="shared" si="1895"/>
        <v>0.30452808042807455</v>
      </c>
      <c r="AE466" s="16">
        <f t="shared" si="1895"/>
        <v>0.33469312936042445</v>
      </c>
      <c r="AF466" s="16">
        <f t="shared" si="1895"/>
        <v>0.36396513444827649</v>
      </c>
      <c r="AG466" s="16">
        <f t="shared" si="1895"/>
        <v>0.53542962526796622</v>
      </c>
      <c r="AH466" s="16">
        <f t="shared" si="1895"/>
        <v>0.79500781275888532</v>
      </c>
      <c r="AI466" s="16">
        <f t="shared" si="1895"/>
        <v>0.83995770531751923</v>
      </c>
      <c r="AJ466" s="16">
        <f t="shared" si="1895"/>
        <v>1.0368243429253112</v>
      </c>
      <c r="AK466" s="16">
        <f t="shared" si="1895"/>
        <v>1.4139866864470938</v>
      </c>
      <c r="AL466" s="16">
        <f t="shared" si="1895"/>
        <v>1.8320306099559787</v>
      </c>
      <c r="AM466" s="16">
        <f t="shared" si="1895"/>
        <v>2.1228653452525705</v>
      </c>
      <c r="AN466" s="16">
        <f t="shared" si="1895"/>
        <v>2.3690478693982011</v>
      </c>
      <c r="AO466" s="16">
        <f t="shared" si="1895"/>
        <v>1.6264319843897765</v>
      </c>
      <c r="AP466" s="16">
        <f t="shared" si="1895"/>
        <v>2.3986175558937264</v>
      </c>
      <c r="AQ466" s="16">
        <f t="shared" si="1895"/>
        <v>3.1476832047350674</v>
      </c>
      <c r="AR466" s="16">
        <f t="shared" si="1895"/>
        <v>3.5091676607860687</v>
      </c>
      <c r="AS466" s="16">
        <f t="shared" si="1895"/>
        <v>6.599993716655578</v>
      </c>
      <c r="AT466" s="16">
        <f t="shared" si="1895"/>
        <v>23.120716479695748</v>
      </c>
      <c r="AU466" s="16">
        <f t="shared" si="1895"/>
        <v>61.328918971621718</v>
      </c>
      <c r="AV466" s="16">
        <f t="shared" si="1895"/>
        <v>77.855000000000004</v>
      </c>
      <c r="AW466" s="16">
        <f t="shared" si="1895"/>
        <v>90.620099999999994</v>
      </c>
      <c r="AX466" s="16">
        <f t="shared" si="1895"/>
        <v>116.6203</v>
      </c>
      <c r="AY466" s="16">
        <f t="shared" si="1895"/>
        <v>160.90900000000002</v>
      </c>
      <c r="AZ466" s="16">
        <f t="shared" si="1895"/>
        <v>310.89999999999998</v>
      </c>
      <c r="BA466" s="16">
        <f t="shared" si="1895"/>
        <v>426.2</v>
      </c>
      <c r="BB466" s="16">
        <f t="shared" si="1895"/>
        <v>591.1</v>
      </c>
      <c r="BC466" s="16">
        <f t="shared" si="1895"/>
        <v>614.4</v>
      </c>
      <c r="BD466" s="16">
        <f t="shared" si="1895"/>
        <v>785.7</v>
      </c>
      <c r="BE466" s="16">
        <f t="shared" si="1895"/>
        <v>880.2</v>
      </c>
      <c r="BF466" s="16">
        <f t="shared" si="1895"/>
        <v>2793.4</v>
      </c>
      <c r="BG466" s="16">
        <f t="shared" si="1895"/>
        <v>3597</v>
      </c>
      <c r="BH466" s="16">
        <f t="shared" si="1895"/>
        <v>4336.6000000000004</v>
      </c>
      <c r="BI466" s="16">
        <f t="shared" si="1895"/>
        <v>4994.8</v>
      </c>
      <c r="BJ466" s="16">
        <f t="shared" si="1895"/>
        <v>5525.2</v>
      </c>
      <c r="BK466" s="16">
        <f t="shared" ref="BK466:BP466" si="1896">BK423</f>
        <v>6710</v>
      </c>
      <c r="BL466" s="16">
        <f t="shared" si="1896"/>
        <v>8128.5</v>
      </c>
      <c r="BM466" s="16">
        <f t="shared" si="1896"/>
        <v>9028.1</v>
      </c>
      <c r="BN466" s="16">
        <f t="shared" si="1896"/>
        <v>9520.2000000000007</v>
      </c>
      <c r="BO466" s="16">
        <f t="shared" si="1896"/>
        <v>9479.7000000000007</v>
      </c>
      <c r="BP466" s="16">
        <f t="shared" ca="1" si="1896"/>
        <v>10889.757456384123</v>
      </c>
      <c r="BQ466" s="16">
        <f t="shared" ca="1" si="1895"/>
        <v>12617.706787614416</v>
      </c>
      <c r="BR466" s="16">
        <f ca="1">BR423</f>
        <v>14390.688906612404</v>
      </c>
      <c r="BS466" s="16">
        <f ca="1">BS423</f>
        <v>15982.306291367438</v>
      </c>
      <c r="BT466" s="16">
        <f ca="1">BT423</f>
        <v>17681.338905140401</v>
      </c>
      <c r="BU466" s="16">
        <f ca="1">BU423</f>
        <v>19435.090956368294</v>
      </c>
      <c r="BV466" s="16">
        <f ca="1">BV423</f>
        <v>21300.044402287738</v>
      </c>
      <c r="BW466" s="16">
        <f t="shared" ref="BW466:BX466" ca="1" si="1897">BW423</f>
        <v>23290.715996049599</v>
      </c>
      <c r="BX466" s="16">
        <f t="shared" ca="1" si="1897"/>
        <v>25435.970054373276</v>
      </c>
      <c r="BY466" s="16">
        <f t="shared" ref="BY466:CD466" ca="1" si="1898">BY423</f>
        <v>27765.523022555401</v>
      </c>
      <c r="BZ466" s="16">
        <f t="shared" ca="1" si="1898"/>
        <v>30367.57341440138</v>
      </c>
      <c r="CA466" s="16">
        <f t="shared" ca="1" si="1898"/>
        <v>33261.534630147093</v>
      </c>
      <c r="CB466" s="16">
        <f t="shared" ca="1" si="1898"/>
        <v>36477.59770710874</v>
      </c>
      <c r="CC466" s="16">
        <f t="shared" ca="1" si="1898"/>
        <v>40067.424282135893</v>
      </c>
      <c r="CD466" s="16">
        <f t="shared" ca="1" si="1898"/>
        <v>44087.036520030335</v>
      </c>
      <c r="CE466" s="101">
        <f t="shared" ca="1" si="1860"/>
        <v>23908.125583286033</v>
      </c>
      <c r="CG466" s="235">
        <f t="shared" si="1783"/>
        <v>0</v>
      </c>
      <c r="CH466" s="235">
        <f t="shared" si="1784"/>
        <v>0</v>
      </c>
      <c r="CI466" s="235" t="e">
        <f>BM466-#REF!</f>
        <v>#REF!</v>
      </c>
      <c r="CJ466" s="235">
        <f t="shared" si="1785"/>
        <v>0</v>
      </c>
      <c r="CK466" s="235">
        <f t="shared" si="1786"/>
        <v>0</v>
      </c>
      <c r="CL466" s="235">
        <f t="shared" ca="1" si="1787"/>
        <v>0</v>
      </c>
      <c r="CM466" s="235">
        <f t="shared" ca="1" si="1788"/>
        <v>0</v>
      </c>
      <c r="CN466" s="235">
        <f t="shared" ca="1" si="1789"/>
        <v>-1.6370904631912708E-11</v>
      </c>
      <c r="CO466" s="235">
        <f t="shared" ca="1" si="1790"/>
        <v>-2.7284841053187847E-11</v>
      </c>
      <c r="CP466" s="235">
        <f t="shared" ca="1" si="1791"/>
        <v>-4.3655745685100555E-11</v>
      </c>
      <c r="CQ466" s="235">
        <f t="shared" ca="1" si="1792"/>
        <v>-7.2759576141834259E-11</v>
      </c>
      <c r="CR466" s="235">
        <f t="shared" ca="1" si="1793"/>
        <v>-9.822542779147625E-11</v>
      </c>
      <c r="CS466" s="235">
        <f t="shared" ca="1" si="1794"/>
        <v>-1.2732925824820995E-10</v>
      </c>
      <c r="CT466" s="235">
        <f t="shared" ca="1" si="1795"/>
        <v>-1.4188117347657681E-10</v>
      </c>
      <c r="CU466" s="235">
        <f t="shared" ca="1" si="1796"/>
        <v>-1.673470251262188E-10</v>
      </c>
      <c r="CV466" s="235">
        <f t="shared" ca="1" si="1797"/>
        <v>-2.0736479200422764E-10</v>
      </c>
      <c r="CW466" s="235">
        <f t="shared" ca="1" si="1798"/>
        <v>-2.5465851649641991E-10</v>
      </c>
      <c r="CX466" s="235">
        <f t="shared" ca="1" si="1799"/>
        <v>-1.8917489796876907E-10</v>
      </c>
      <c r="CY466" s="235">
        <f t="shared" ca="1" si="1800"/>
        <v>8.2945916801691055E-10</v>
      </c>
      <c r="CZ466" s="235">
        <f t="shared" ca="1" si="1801"/>
        <v>6.0390448197722435E-9</v>
      </c>
      <c r="DF466" s="258"/>
      <c r="DG466" s="236">
        <v>6710</v>
      </c>
      <c r="DH466" s="492">
        <v>8128.5</v>
      </c>
      <c r="DI466" s="236">
        <v>9520.2000000000007</v>
      </c>
      <c r="DJ466" s="236">
        <v>9479.7000000000007</v>
      </c>
      <c r="DK466" s="236">
        <v>10889.757456384126</v>
      </c>
      <c r="DL466" s="236">
        <v>12617.706787614425</v>
      </c>
      <c r="DM466" s="236">
        <v>14390.68890661242</v>
      </c>
      <c r="DN466" s="236">
        <v>15982.306291367466</v>
      </c>
      <c r="DO466" s="236">
        <v>17681.338905140445</v>
      </c>
      <c r="DP466" s="236">
        <v>19435.090956368367</v>
      </c>
      <c r="DQ466" s="258">
        <v>21300.044402287836</v>
      </c>
      <c r="DR466" s="258">
        <v>23290.715996049727</v>
      </c>
      <c r="DS466" s="258">
        <v>25435.970054373418</v>
      </c>
      <c r="DT466" s="258">
        <v>27765.523022555568</v>
      </c>
      <c r="DU466" s="258">
        <v>30367.573414401588</v>
      </c>
      <c r="DV466" s="258">
        <v>33261.534630147347</v>
      </c>
      <c r="DW466" s="258">
        <v>36477.597707108929</v>
      </c>
      <c r="DX466" s="258">
        <v>40067.424282135064</v>
      </c>
      <c r="DY466" s="258">
        <v>44087.036520024296</v>
      </c>
      <c r="DZ466" s="258">
        <v>32663.876043226341</v>
      </c>
    </row>
    <row r="467" spans="1:130" hidden="1">
      <c r="A467" s="16" t="str">
        <f>A414</f>
        <v>purchasing power of wage income and unemployment benefits</v>
      </c>
      <c r="B467" s="16" t="str">
        <f>B414</f>
        <v>Koopkrachtmutatie loon- en steuntrekkers</v>
      </c>
      <c r="C467" s="16" t="str">
        <f>C414</f>
        <v>REELP</v>
      </c>
      <c r="D467" s="16" t="str">
        <f>D414</f>
        <v>Quote</v>
      </c>
      <c r="E467" s="16"/>
      <c r="F467" s="16">
        <f>F414</f>
        <v>-99.999911655454227</v>
      </c>
      <c r="G467" s="16">
        <f t="shared" ref="G467:BQ467" si="1899">G414</f>
        <v>-99.999904440149905</v>
      </c>
      <c r="H467" s="16">
        <f t="shared" si="1899"/>
        <v>-99.999898698020274</v>
      </c>
      <c r="I467" s="16">
        <f t="shared" si="1899"/>
        <v>-99.999888677172407</v>
      </c>
      <c r="J467" s="16">
        <f t="shared" si="1899"/>
        <v>-99.999870848528857</v>
      </c>
      <c r="K467" s="16">
        <f t="shared" si="1899"/>
        <v>-99.999858682236791</v>
      </c>
      <c r="L467" s="16">
        <f t="shared" si="1899"/>
        <v>-99.999850907315874</v>
      </c>
      <c r="M467" s="16">
        <f t="shared" si="1899"/>
        <v>-99.999835700301205</v>
      </c>
      <c r="N467" s="16">
        <f t="shared" si="1899"/>
        <v>-99.999828504917986</v>
      </c>
      <c r="O467" s="16">
        <f t="shared" si="1899"/>
        <v>-99.999820298840731</v>
      </c>
      <c r="P467" s="16">
        <f t="shared" si="1899"/>
        <v>-99.999800787628757</v>
      </c>
      <c r="Q467" s="16">
        <f t="shared" si="1899"/>
        <v>-99.999792143169358</v>
      </c>
      <c r="R467" s="16">
        <f t="shared" si="1899"/>
        <v>-99.999756743961157</v>
      </c>
      <c r="S467" s="16">
        <f t="shared" si="1899"/>
        <v>-99.99974499832183</v>
      </c>
      <c r="T467" s="16">
        <f t="shared" si="1899"/>
        <v>-99.999702765780924</v>
      </c>
      <c r="U467" s="16">
        <f t="shared" si="1899"/>
        <v>-99.999677981698497</v>
      </c>
      <c r="V467" s="16">
        <f t="shared" si="1899"/>
        <v>-99.999629482354266</v>
      </c>
      <c r="W467" s="16">
        <f t="shared" si="1899"/>
        <v>-99.999603441526659</v>
      </c>
      <c r="X467" s="16">
        <f t="shared" si="1899"/>
        <v>-99.999571997332069</v>
      </c>
      <c r="Y467" s="16">
        <f t="shared" si="1899"/>
        <v>-99.999575983316433</v>
      </c>
      <c r="Z467" s="16">
        <f t="shared" si="1899"/>
        <v>-99.999539501391354</v>
      </c>
      <c r="AA467" s="16">
        <f t="shared" si="1899"/>
        <v>-99.999379658359018</v>
      </c>
      <c r="AB467" s="16">
        <f t="shared" si="1899"/>
        <v>-99.999270882606965</v>
      </c>
      <c r="AC467" s="16">
        <f t="shared" si="1899"/>
        <v>-99.999062770218387</v>
      </c>
      <c r="AD467" s="16">
        <f t="shared" si="1899"/>
        <v>-99.998891445470633</v>
      </c>
      <c r="AE467" s="16">
        <f t="shared" si="1899"/>
        <v>-99.998905710817468</v>
      </c>
      <c r="AF467" s="16">
        <f t="shared" si="1899"/>
        <v>-99.99875321073155</v>
      </c>
      <c r="AG467" s="16">
        <f t="shared" si="1899"/>
        <v>-99.998465201086972</v>
      </c>
      <c r="AH467" s="16">
        <f t="shared" si="1899"/>
        <v>-99.99820249312981</v>
      </c>
      <c r="AI467" s="16">
        <f t="shared" si="1899"/>
        <v>-99.998023333941816</v>
      </c>
      <c r="AJ467" s="16">
        <f t="shared" si="1899"/>
        <v>-99.997971009576972</v>
      </c>
      <c r="AK467" s="16">
        <f t="shared" si="1899"/>
        <v>-99.998120262561031</v>
      </c>
      <c r="AL467" s="16">
        <f t="shared" si="1899"/>
        <v>-99.998366672341518</v>
      </c>
      <c r="AM467" s="16">
        <f t="shared" si="1899"/>
        <v>-99.998883047415703</v>
      </c>
      <c r="AN467" s="16">
        <f t="shared" si="1899"/>
        <v>-99.99801476372825</v>
      </c>
      <c r="AO467" s="16">
        <f t="shared" si="1899"/>
        <v>-99.997931903639511</v>
      </c>
      <c r="AP467" s="16">
        <f t="shared" si="1899"/>
        <v>-99.99785831733368</v>
      </c>
      <c r="AQ467" s="16">
        <f t="shared" si="1899"/>
        <v>-99.997447633974019</v>
      </c>
      <c r="AR467" s="16">
        <f t="shared" si="1899"/>
        <v>-99.997116347801608</v>
      </c>
      <c r="AS467" s="16">
        <f t="shared" si="1899"/>
        <v>-99.997468370405699</v>
      </c>
      <c r="AT467" s="16">
        <f t="shared" si="1899"/>
        <v>-99.997285563103958</v>
      </c>
      <c r="AU467" s="16">
        <f t="shared" si="1899"/>
        <v>-99.959556945742179</v>
      </c>
      <c r="AV467" s="16">
        <f t="shared" si="1899"/>
        <v>-99.745249398133879</v>
      </c>
      <c r="AW467" s="16">
        <f t="shared" si="1899"/>
        <v>1.6874246950934646</v>
      </c>
      <c r="AX467" s="16">
        <f t="shared" si="1899"/>
        <v>11.998576448002197</v>
      </c>
      <c r="AY467" s="16">
        <f t="shared" si="1899"/>
        <v>-16.315614973184722</v>
      </c>
      <c r="AZ467" s="16">
        <f t="shared" si="1899"/>
        <v>-6.9425677002526109</v>
      </c>
      <c r="BA467" s="16">
        <f t="shared" si="1899"/>
        <v>11.87853043603042</v>
      </c>
      <c r="BB467" s="16">
        <f t="shared" si="1899"/>
        <v>9.9373804802052703</v>
      </c>
      <c r="BC467" s="16">
        <f t="shared" ca="1" si="1899"/>
        <v>-3.3768093811043731</v>
      </c>
      <c r="BD467" s="16">
        <f t="shared" ca="1" si="1899"/>
        <v>12.659366397629102</v>
      </c>
      <c r="BE467" s="16">
        <f t="shared" ca="1" si="1899"/>
        <v>24.718930771006864</v>
      </c>
      <c r="BF467" s="16">
        <f t="shared" ca="1" si="1899"/>
        <v>-1.0237859004819216</v>
      </c>
      <c r="BG467" s="16">
        <f t="shared" ca="1" si="1899"/>
        <v>9.6210938615752148</v>
      </c>
      <c r="BH467" s="16">
        <f t="shared" ca="1" si="1899"/>
        <v>-4.7812716287031538</v>
      </c>
      <c r="BI467" s="16">
        <f t="shared" ca="1" si="1899"/>
        <v>11.593260618951785</v>
      </c>
      <c r="BJ467" s="16">
        <f t="shared" ca="1" si="1899"/>
        <v>2.3471230196747683E-2</v>
      </c>
      <c r="BK467" s="1">
        <f t="shared" ref="BK467:BP467" ca="1" si="1900">BK414</f>
        <v>-2.0880267011914144</v>
      </c>
      <c r="BL467" s="1">
        <f t="shared" ca="1" si="1900"/>
        <v>7.5322507536151884</v>
      </c>
      <c r="BM467" s="1">
        <f t="shared" ca="1" si="1900"/>
        <v>8.3424589059048593</v>
      </c>
      <c r="BN467" s="1">
        <f t="shared" ca="1" si="1900"/>
        <v>-1.3575439044519411</v>
      </c>
      <c r="BO467" s="1">
        <f t="shared" ca="1" si="1900"/>
        <v>-2.2996164005254727</v>
      </c>
      <c r="BP467" s="1">
        <f t="shared" ca="1" si="1900"/>
        <v>-13.593436965988182</v>
      </c>
      <c r="BQ467" s="1">
        <f t="shared" ca="1" si="1899"/>
        <v>10.631244735640632</v>
      </c>
      <c r="BR467" s="1">
        <f ca="1">BR414</f>
        <v>7.3466910674323538</v>
      </c>
      <c r="BS467" s="1">
        <f ca="1">BS414</f>
        <v>2.0588911916583852</v>
      </c>
      <c r="BT467" s="1">
        <f ca="1">BT414</f>
        <v>-0.16654296064323448</v>
      </c>
      <c r="BU467" s="1">
        <f ca="1">BU414</f>
        <v>0.21660145367115025</v>
      </c>
      <c r="BV467" s="1">
        <f ca="1">BV414</f>
        <v>0.60672083420862943</v>
      </c>
      <c r="BW467" s="1">
        <f t="shared" ref="BW467:BX467" ca="1" si="1901">BW414</f>
        <v>0.55092907271363512</v>
      </c>
      <c r="BX467" s="1">
        <f t="shared" ca="1" si="1901"/>
        <v>0.52998608038572481</v>
      </c>
      <c r="BY467" s="1">
        <f t="shared" ref="BY467:CD467" ca="1" si="1902">BY414</f>
        <v>0.51368715465296422</v>
      </c>
      <c r="BZ467" s="1">
        <f t="shared" ca="1" si="1902"/>
        <v>0.56371105339025895</v>
      </c>
      <c r="CA467" s="1">
        <f t="shared" ca="1" si="1902"/>
        <v>0.65140726857477738</v>
      </c>
      <c r="CB467" s="1">
        <f t="shared" ca="1" si="1902"/>
        <v>0.6080894771423484</v>
      </c>
      <c r="CC467" s="1">
        <f t="shared" ca="1" si="1902"/>
        <v>0.62162861618306753</v>
      </c>
      <c r="CD467" s="1">
        <f t="shared" ca="1" si="1902"/>
        <v>0.64302005261287487</v>
      </c>
      <c r="CE467" s="101">
        <f t="shared" ca="1" si="1860"/>
        <v>0.59268823319436947</v>
      </c>
      <c r="CG467" s="235">
        <f t="shared" ca="1" si="1783"/>
        <v>-1.3561022313426041</v>
      </c>
      <c r="CH467" s="235">
        <f t="shared" ca="1" si="1784"/>
        <v>1.0816553479342517E-3</v>
      </c>
      <c r="CI467" s="235" t="e">
        <f ca="1">BM467-#REF!</f>
        <v>#REF!</v>
      </c>
      <c r="CJ467" s="235">
        <f t="shared" ca="1" si="1785"/>
        <v>0</v>
      </c>
      <c r="CK467" s="276">
        <f t="shared" ca="1" si="1786"/>
        <v>0</v>
      </c>
      <c r="CL467" s="276">
        <f t="shared" ca="1" si="1787"/>
        <v>2.1316282072803006E-14</v>
      </c>
      <c r="CM467" s="276">
        <f t="shared" ca="1" si="1788"/>
        <v>-2.3092638912203256E-14</v>
      </c>
      <c r="CN467" s="276">
        <f t="shared" ca="1" si="1789"/>
        <v>-2.2204460492503131E-14</v>
      </c>
      <c r="CO467" s="276">
        <f t="shared" ca="1" si="1790"/>
        <v>-2.2204460492503131E-14</v>
      </c>
      <c r="CP467" s="276">
        <f t="shared" ca="1" si="1791"/>
        <v>-2.2204460492503131E-14</v>
      </c>
      <c r="CQ467" s="276">
        <f t="shared" ca="1" si="1792"/>
        <v>-2.2204460492503131E-14</v>
      </c>
      <c r="CR467" s="276">
        <f t="shared" ca="1" si="1793"/>
        <v>-2.2204460492503131E-14</v>
      </c>
      <c r="CS467" s="276">
        <f t="shared" ca="1" si="1794"/>
        <v>-8.8817841970012523E-14</v>
      </c>
      <c r="CT467" s="235">
        <f t="shared" ca="1" si="1795"/>
        <v>-1.3322676295501878E-13</v>
      </c>
      <c r="CU467" s="235">
        <f t="shared" ca="1" si="1796"/>
        <v>-1.7763568394002505E-13</v>
      </c>
      <c r="CV467" s="235">
        <f t="shared" ca="1" si="1797"/>
        <v>-1.5543122344752192E-13</v>
      </c>
      <c r="CW467" s="235">
        <f t="shared" ca="1" si="1798"/>
        <v>-2.2204460492503131E-14</v>
      </c>
      <c r="CX467" s="235">
        <f t="shared" ca="1" si="1799"/>
        <v>2.1316282072803006E-12</v>
      </c>
      <c r="CY467" s="235">
        <f t="shared" ca="1" si="1800"/>
        <v>2.2137847111025621E-11</v>
      </c>
      <c r="CZ467" s="235">
        <f t="shared" ca="1" si="1801"/>
        <v>1.6291412663349547E-10</v>
      </c>
      <c r="DF467" s="258"/>
      <c r="DG467" s="236">
        <v>-0.73192446984881032</v>
      </c>
      <c r="DH467" s="492">
        <v>7.5311690982672541</v>
      </c>
      <c r="DI467" s="236">
        <v>-1.3575439044519411</v>
      </c>
      <c r="DJ467" s="236">
        <v>-2.2996164005254727</v>
      </c>
      <c r="DK467" s="236">
        <v>-13.593436965988204</v>
      </c>
      <c r="DL467" s="236">
        <v>10.631244735640655</v>
      </c>
      <c r="DM467" s="236">
        <v>7.346691067432376</v>
      </c>
      <c r="DN467" s="236">
        <v>2.0588911916584074</v>
      </c>
      <c r="DO467" s="236">
        <v>-0.16654296064321228</v>
      </c>
      <c r="DP467" s="236">
        <v>0.21660145367117245</v>
      </c>
      <c r="DQ467" s="258">
        <v>0.60672083420865164</v>
      </c>
      <c r="DR467" s="258">
        <v>0.55092907271372393</v>
      </c>
      <c r="DS467" s="258">
        <v>0.52998608038585804</v>
      </c>
      <c r="DT467" s="258">
        <v>0.51368715465314185</v>
      </c>
      <c r="DU467" s="258">
        <v>0.56371105339041438</v>
      </c>
      <c r="DV467" s="258">
        <v>0.65140726857479958</v>
      </c>
      <c r="DW467" s="258">
        <v>0.60808947714021677</v>
      </c>
      <c r="DX467" s="258">
        <v>0.62162861616092968</v>
      </c>
      <c r="DY467" s="258">
        <v>0.64302005244996074</v>
      </c>
      <c r="DZ467" s="258">
        <v>1.3836455701982719E-2</v>
      </c>
    </row>
    <row r="468" spans="1:130" hidden="1">
      <c r="DF468" s="258"/>
    </row>
    <row r="469" spans="1:130" hidden="1">
      <c r="DF469" s="258"/>
    </row>
    <row r="470" spans="1:130" hidden="1">
      <c r="DF470" s="258"/>
    </row>
    <row r="471" spans="1:130" hidden="1">
      <c r="DF471" s="258"/>
    </row>
    <row r="472" spans="1:130" hidden="1">
      <c r="B472" s="8" t="s">
        <v>794</v>
      </c>
      <c r="DF472" s="258"/>
    </row>
    <row r="473" spans="1:130" hidden="1">
      <c r="B473" s="15" t="str">
        <f>B332</f>
        <v>Netto materiele overheidsconsumptie</v>
      </c>
      <c r="D473" s="358" t="s">
        <v>795</v>
      </c>
      <c r="AP473" s="15">
        <f t="shared" ref="AP473:BQ473" si="1903">(AP184+AP331-AP231-AP232-AP256)/(AP482/100)</f>
        <v>-36.245128705817152</v>
      </c>
      <c r="AQ473" s="15">
        <f t="shared" si="1903"/>
        <v>-35.966388091990673</v>
      </c>
      <c r="AR473" s="15">
        <f t="shared" si="1903"/>
        <v>-10.014161214383371</v>
      </c>
      <c r="AS473" s="15">
        <f t="shared" si="1903"/>
        <v>-7.5391803533605559</v>
      </c>
      <c r="AT473" s="15">
        <f t="shared" si="1903"/>
        <v>9804.1195792770141</v>
      </c>
      <c r="AU473" s="15">
        <f t="shared" si="1903"/>
        <v>-46.171042816918998</v>
      </c>
      <c r="AV473" s="15">
        <f t="shared" si="1903"/>
        <v>269.97339120304531</v>
      </c>
      <c r="AW473" s="15">
        <f t="shared" si="1903"/>
        <v>351.54420487016233</v>
      </c>
      <c r="AX473" s="15">
        <f t="shared" si="1903"/>
        <v>490.01761835614769</v>
      </c>
      <c r="AY473" s="15">
        <f t="shared" si="1903"/>
        <v>364.3265598469917</v>
      </c>
      <c r="AZ473" s="15">
        <f t="shared" si="1903"/>
        <v>195.39488686835671</v>
      </c>
      <c r="BA473" s="15">
        <f t="shared" si="1903"/>
        <v>191.15149150291509</v>
      </c>
      <c r="BB473" s="15">
        <f t="shared" si="1903"/>
        <v>89.229003032147943</v>
      </c>
      <c r="BC473" s="15">
        <f t="shared" si="1903"/>
        <v>50.369327991000951</v>
      </c>
      <c r="BD473" s="15">
        <f t="shared" si="1903"/>
        <v>179.70240289016689</v>
      </c>
      <c r="BE473" s="15">
        <f t="shared" si="1903"/>
        <v>255.98364676717517</v>
      </c>
      <c r="BF473" s="15">
        <f t="shared" si="1903"/>
        <v>338.93474074557599</v>
      </c>
      <c r="BG473" s="15">
        <f t="shared" si="1903"/>
        <v>376.22197771618914</v>
      </c>
      <c r="BH473" s="15">
        <f t="shared" si="1903"/>
        <v>320.90881908337218</v>
      </c>
      <c r="BI473" s="15">
        <f t="shared" si="1903"/>
        <v>465.205471148924</v>
      </c>
      <c r="BJ473" s="15">
        <f t="shared" si="1903"/>
        <v>457.89725249826887</v>
      </c>
      <c r="BK473" s="15">
        <f t="shared" si="1903"/>
        <v>404.73472431442792</v>
      </c>
      <c r="BL473" s="15">
        <f t="shared" si="1903"/>
        <v>719.0816651015657</v>
      </c>
      <c r="BM473" s="15">
        <f t="shared" si="1903"/>
        <v>631.71429507439916</v>
      </c>
      <c r="BN473" s="15">
        <f t="shared" si="1903"/>
        <v>537.84841440833543</v>
      </c>
      <c r="BO473" s="15">
        <f t="shared" si="1903"/>
        <v>558.04359466608594</v>
      </c>
      <c r="BP473" s="15">
        <f t="shared" ca="1" si="1903"/>
        <v>568.16447804616109</v>
      </c>
      <c r="BQ473" s="15">
        <f t="shared" ca="1" si="1903"/>
        <v>578.62696130172765</v>
      </c>
      <c r="BR473" s="15">
        <f ca="1">(BR184+BR331-BR231-BR232-BR256)/(BR482/100)</f>
        <v>588.10033776994214</v>
      </c>
      <c r="BS473" s="15">
        <f ca="1">(BS184+BS331-BS231-BS232-BS256)/(BS482/100)</f>
        <v>597.78514799447532</v>
      </c>
      <c r="BT473" s="15">
        <f ca="1">(BT184+BT331-BT231-BT232-BT256)/(BT482/100)</f>
        <v>607.68733045613499</v>
      </c>
      <c r="BU473" s="15">
        <f ca="1">(BU184+BU331-BU231-BU232-BU256)/(BU482/100)</f>
        <v>617.81301781234447</v>
      </c>
      <c r="BV473" s="15">
        <f ca="1">(BV184+BV331-BV231-BV232-BV256)/(BV482/100)</f>
        <v>628.1685438548534</v>
      </c>
      <c r="BW473" s="15">
        <f t="shared" ref="BW473:BX473" ca="1" si="1904">(BW184+BW331-BW231-BW232-BW256)/(BW482/100)</f>
        <v>637.02734809411061</v>
      </c>
      <c r="BX473" s="15">
        <f t="shared" ca="1" si="1904"/>
        <v>646.07629279093203</v>
      </c>
      <c r="BY473" s="15">
        <f t="shared" ref="BY473:CD473" ca="1" si="1905">(BY184+BY331-BY231-BY232-BY256)/(BY482/100)</f>
        <v>655.32045823887745</v>
      </c>
      <c r="BZ473" s="15">
        <f t="shared" ca="1" si="1905"/>
        <v>664.76508680096731</v>
      </c>
      <c r="CA473" s="15">
        <f t="shared" ca="1" si="1905"/>
        <v>674.41558863093462</v>
      </c>
      <c r="CB473" s="15">
        <f t="shared" ca="1" si="1905"/>
        <v>682.69619992934338</v>
      </c>
      <c r="CC473" s="15">
        <f t="shared" ca="1" si="1905"/>
        <v>691.1471613663831</v>
      </c>
      <c r="CD473" s="15">
        <f t="shared" ca="1" si="1905"/>
        <v>699.77272837404769</v>
      </c>
      <c r="CE473" s="15"/>
      <c r="CG473" s="235">
        <f t="shared" ref="CG473:CG514" si="1906">BK473-DG473</f>
        <v>-0.20991338111451796</v>
      </c>
      <c r="CH473" s="235">
        <f t="shared" ref="CH473:CH514" si="1907">BL473-DH473</f>
        <v>0</v>
      </c>
      <c r="CI473" s="235" t="e">
        <f>BM473-#REF!</f>
        <v>#REF!</v>
      </c>
      <c r="CJ473" s="235">
        <f t="shared" ref="CJ473:CJ514" si="1908">BN473-DI473</f>
        <v>0</v>
      </c>
      <c r="CK473" s="235">
        <f t="shared" ref="CK473:CK514" si="1909">BO473-DJ473</f>
        <v>0</v>
      </c>
      <c r="CL473" s="235">
        <f t="shared" ref="CL473:CL514" ca="1" si="1910">BP473-DK473</f>
        <v>0</v>
      </c>
      <c r="CM473" s="235">
        <f t="shared" ref="CM473:CM514" ca="1" si="1911">BQ473-DL473</f>
        <v>0</v>
      </c>
      <c r="CN473" s="235">
        <f t="shared" ref="CN473:CN514" ca="1" si="1912">BR473-DM473</f>
        <v>0</v>
      </c>
      <c r="CO473" s="235">
        <f t="shared" ref="CO473:CO514" ca="1" si="1913">BS473-DN473</f>
        <v>0</v>
      </c>
      <c r="CP473" s="235">
        <f t="shared" ref="CP473:CP514" ca="1" si="1914">BT473-DO473</f>
        <v>0</v>
      </c>
      <c r="CQ473" s="235">
        <f t="shared" ref="CQ473:CQ514" ca="1" si="1915">BU473-DP473</f>
        <v>0</v>
      </c>
      <c r="CR473" s="235">
        <f t="shared" ref="CR473:CR514" ca="1" si="1916">BV473-DQ473</f>
        <v>0</v>
      </c>
      <c r="CS473" s="235">
        <f t="shared" ref="CS473:CS514" ca="1" si="1917">BW473-DR473</f>
        <v>0</v>
      </c>
      <c r="CT473" s="235">
        <f t="shared" ref="CT473:CT514" ca="1" si="1918">BX473-DS473</f>
        <v>0</v>
      </c>
      <c r="CU473" s="235">
        <f t="shared" ref="CU473:CU514" ca="1" si="1919">BY473-DT473</f>
        <v>0</v>
      </c>
      <c r="CV473" s="235">
        <f t="shared" ref="CV473:CV514" ca="1" si="1920">BZ473-DU473</f>
        <v>0</v>
      </c>
      <c r="CW473" s="235">
        <f t="shared" ref="CW473:CW514" ca="1" si="1921">CA473-DV473</f>
        <v>0</v>
      </c>
      <c r="CX473" s="235">
        <f t="shared" ref="CX473:CX514" ca="1" si="1922">CB473-DW473</f>
        <v>-4.3200998334214091E-12</v>
      </c>
      <c r="CY473" s="235">
        <f t="shared" ref="CY473:CY514" ca="1" si="1923">CC473-DX473</f>
        <v>-4.1836756281554699E-11</v>
      </c>
      <c r="CZ473" s="235">
        <f t="shared" ref="CZ473:CZ514" ca="1" si="1924">CD473-DY473</f>
        <v>-3.9995029510464519E-10</v>
      </c>
      <c r="DB473" s="236">
        <v>332.45463434435402</v>
      </c>
      <c r="DC473" s="236">
        <v>333.45463434435408</v>
      </c>
      <c r="DD473" s="236">
        <v>275.85444052835408</v>
      </c>
      <c r="DE473" s="236">
        <v>275.02660787739416</v>
      </c>
      <c r="DF473" s="401">
        <v>464.44291068718468</v>
      </c>
      <c r="DG473" s="236">
        <v>404.94463769554244</v>
      </c>
      <c r="DH473" s="492">
        <v>719.0816651015657</v>
      </c>
      <c r="DI473" s="236">
        <v>537.84841440833543</v>
      </c>
      <c r="DJ473" s="236">
        <v>558.04359466608594</v>
      </c>
      <c r="DK473" s="236">
        <v>568.16447804616098</v>
      </c>
      <c r="DL473" s="236">
        <v>578.62696130172765</v>
      </c>
      <c r="DM473" s="236">
        <v>588.10033776994214</v>
      </c>
      <c r="DN473" s="236">
        <v>597.78514799447532</v>
      </c>
      <c r="DO473" s="236">
        <v>607.6873304561351</v>
      </c>
      <c r="DP473" s="236">
        <v>617.8130178123447</v>
      </c>
      <c r="DQ473" s="258">
        <v>628.16854385485351</v>
      </c>
      <c r="DR473" s="258">
        <v>637.02734809411061</v>
      </c>
      <c r="DS473" s="258">
        <v>646.07629279093192</v>
      </c>
      <c r="DT473" s="258">
        <v>655.32045823887745</v>
      </c>
      <c r="DU473" s="258">
        <v>664.7650868009672</v>
      </c>
      <c r="DV473" s="258">
        <v>674.41558863093508</v>
      </c>
      <c r="DW473" s="258">
        <v>682.6961999293477</v>
      </c>
      <c r="DX473" s="258">
        <v>691.14716136642494</v>
      </c>
      <c r="DY473" s="258">
        <v>699.77272837444764</v>
      </c>
    </row>
    <row r="474" spans="1:130" hidden="1">
      <c r="B474" s="15" t="str">
        <f>B242</f>
        <v>Loonsom van de overheid</v>
      </c>
      <c r="D474" s="358" t="s">
        <v>795</v>
      </c>
      <c r="AP474" s="15">
        <f t="shared" ref="AP474:BQ474" si="1925">AP242/(AP483/100)</f>
        <v>719.52456310623734</v>
      </c>
      <c r="AQ474" s="15">
        <f t="shared" si="1925"/>
        <v>709.10723199347831</v>
      </c>
      <c r="AR474" s="15">
        <f t="shared" si="1925"/>
        <v>707.13638556674005</v>
      </c>
      <c r="AS474" s="15">
        <f t="shared" si="1925"/>
        <v>673.26763814926369</v>
      </c>
      <c r="AT474" s="15">
        <f t="shared" si="1925"/>
        <v>638.48799532447151</v>
      </c>
      <c r="AU474" s="15">
        <f t="shared" si="1925"/>
        <v>615.43406065203772</v>
      </c>
      <c r="AV474" s="15">
        <f t="shared" si="1925"/>
        <v>607.20287851683702</v>
      </c>
      <c r="AW474" s="15">
        <f t="shared" si="1925"/>
        <v>607.66710090102401</v>
      </c>
      <c r="AX474" s="15">
        <f t="shared" si="1925"/>
        <v>624.82476022058222</v>
      </c>
      <c r="AY474" s="15">
        <f t="shared" si="1925"/>
        <v>622.67076835795388</v>
      </c>
      <c r="AZ474" s="15">
        <f t="shared" si="1925"/>
        <v>635.16763494027293</v>
      </c>
      <c r="BA474" s="15">
        <f t="shared" si="1925"/>
        <v>648.57437739559884</v>
      </c>
      <c r="BB474" s="15">
        <f t="shared" si="1925"/>
        <v>655.11465316919293</v>
      </c>
      <c r="BC474" s="15">
        <f t="shared" si="1925"/>
        <v>655.95223617017098</v>
      </c>
      <c r="BD474" s="15">
        <f t="shared" si="1925"/>
        <v>660.69259953740811</v>
      </c>
      <c r="BE474" s="15">
        <f t="shared" si="1925"/>
        <v>672.32965697652799</v>
      </c>
      <c r="BF474" s="15">
        <f t="shared" si="1925"/>
        <v>690.15057189095353</v>
      </c>
      <c r="BG474" s="15">
        <f t="shared" si="1925"/>
        <v>692.43164899999999</v>
      </c>
      <c r="BH474" s="15">
        <f t="shared" si="1925"/>
        <v>679.54712751687043</v>
      </c>
      <c r="BI474" s="15">
        <f t="shared" si="1925"/>
        <v>692.78806729828841</v>
      </c>
      <c r="BJ474" s="15">
        <f t="shared" si="1925"/>
        <v>714.36919525965766</v>
      </c>
      <c r="BK474" s="15">
        <f t="shared" si="1925"/>
        <v>720.41048541564805</v>
      </c>
      <c r="BL474" s="15">
        <f t="shared" si="1925"/>
        <v>728.69721085085598</v>
      </c>
      <c r="BM474" s="15">
        <f t="shared" si="1925"/>
        <v>728.69721085085598</v>
      </c>
      <c r="BN474" s="15">
        <f t="shared" si="1925"/>
        <v>766.29934132029371</v>
      </c>
      <c r="BO474" s="15">
        <f t="shared" si="1925"/>
        <v>855.40391589242086</v>
      </c>
      <c r="BP474" s="15">
        <f t="shared" ca="1" si="1925"/>
        <v>855.40391589242108</v>
      </c>
      <c r="BQ474" s="15">
        <f t="shared" ca="1" si="1925"/>
        <v>855.40391589242108</v>
      </c>
      <c r="BR474" s="15">
        <f ca="1">BR242/(BR483/100)</f>
        <v>855.4039158924212</v>
      </c>
      <c r="BS474" s="15">
        <f ca="1">BS242/(BS483/100)</f>
        <v>855.40391589242108</v>
      </c>
      <c r="BT474" s="15">
        <f ca="1">BT242/(BT483/100)</f>
        <v>867.46431651885575</v>
      </c>
      <c r="BU474" s="15">
        <f ca="1">BU242/(BU483/100)</f>
        <v>879.79693577796854</v>
      </c>
      <c r="BV474" s="15">
        <f ca="1">BV242/(BV483/100)</f>
        <v>892.40948793540599</v>
      </c>
      <c r="BW474" s="15">
        <f t="shared" ref="BW474:BX474" ca="1" si="1926">BW242/(BW483/100)</f>
        <v>903.19910210483613</v>
      </c>
      <c r="BX474" s="15">
        <f t="shared" ca="1" si="1926"/>
        <v>914.22029856457402</v>
      </c>
      <c r="BY474" s="15">
        <f t="shared" ref="BY474:CD474" ca="1" si="1927">BY242/(BY483/100)</f>
        <v>925.47926487739846</v>
      </c>
      <c r="BZ474" s="15">
        <f t="shared" ca="1" si="1927"/>
        <v>936.98238599920194</v>
      </c>
      <c r="CA474" s="15">
        <f t="shared" ca="1" si="1927"/>
        <v>948.73625124721138</v>
      </c>
      <c r="CB474" s="15">
        <f t="shared" ca="1" si="1927"/>
        <v>958.82165313485211</v>
      </c>
      <c r="CC474" s="15">
        <f t="shared" ca="1" si="1927"/>
        <v>969.11453361891358</v>
      </c>
      <c r="CD474" s="15">
        <f t="shared" ca="1" si="1927"/>
        <v>979.62007561890755</v>
      </c>
      <c r="CE474" s="15"/>
      <c r="CG474" s="235">
        <f t="shared" si="1906"/>
        <v>5.4068714218915375</v>
      </c>
      <c r="CH474" s="235">
        <f t="shared" si="1907"/>
        <v>0</v>
      </c>
      <c r="CI474" s="235" t="e">
        <f>BM474-#REF!</f>
        <v>#REF!</v>
      </c>
      <c r="CJ474" s="235">
        <f t="shared" si="1908"/>
        <v>0</v>
      </c>
      <c r="CK474" s="235">
        <f t="shared" si="1909"/>
        <v>0</v>
      </c>
      <c r="CL474" s="235">
        <f t="shared" ca="1" si="1910"/>
        <v>0</v>
      </c>
      <c r="CM474" s="235">
        <f t="shared" ca="1" si="1911"/>
        <v>0</v>
      </c>
      <c r="CN474" s="235">
        <f t="shared" ca="1" si="1912"/>
        <v>0</v>
      </c>
      <c r="CO474" s="235">
        <f t="shared" ca="1" si="1913"/>
        <v>0</v>
      </c>
      <c r="CP474" s="235">
        <f t="shared" ca="1" si="1914"/>
        <v>0</v>
      </c>
      <c r="CQ474" s="235">
        <f t="shared" ca="1" si="1915"/>
        <v>0</v>
      </c>
      <c r="CR474" s="235">
        <f t="shared" ca="1" si="1916"/>
        <v>0</v>
      </c>
      <c r="CS474" s="235">
        <f t="shared" ca="1" si="1917"/>
        <v>0</v>
      </c>
      <c r="CT474" s="235">
        <f t="shared" ca="1" si="1918"/>
        <v>0</v>
      </c>
      <c r="CU474" s="235">
        <f t="shared" ca="1" si="1919"/>
        <v>0</v>
      </c>
      <c r="CV474" s="235">
        <f t="shared" ca="1" si="1920"/>
        <v>-9.0949470177292824E-13</v>
      </c>
      <c r="CW474" s="235">
        <f t="shared" ca="1" si="1921"/>
        <v>-9.0949470177292824E-13</v>
      </c>
      <c r="CX474" s="235">
        <f t="shared" ca="1" si="1922"/>
        <v>4.2064129956997931E-12</v>
      </c>
      <c r="CY474" s="235">
        <f t="shared" ca="1" si="1923"/>
        <v>5.5365489970427006E-11</v>
      </c>
      <c r="CZ474" s="235">
        <f t="shared" ca="1" si="1924"/>
        <v>3.7084646464791149E-10</v>
      </c>
      <c r="DB474" s="236">
        <v>678.05320971149899</v>
      </c>
      <c r="DC474" s="236">
        <v>679.05320971149877</v>
      </c>
      <c r="DD474" s="236">
        <v>692.43164899999999</v>
      </c>
      <c r="DE474" s="236">
        <v>707.9068478441194</v>
      </c>
      <c r="DF474" s="401">
        <v>711.44638208333993</v>
      </c>
      <c r="DG474" s="236">
        <v>715.00361399375652</v>
      </c>
      <c r="DH474" s="492">
        <v>728.69721085085598</v>
      </c>
      <c r="DI474" s="236">
        <v>766.29934132029371</v>
      </c>
      <c r="DJ474" s="236">
        <v>855.40391589242086</v>
      </c>
      <c r="DK474" s="236">
        <v>855.40391589242051</v>
      </c>
      <c r="DL474" s="236">
        <v>855.40391589242051</v>
      </c>
      <c r="DM474" s="236">
        <v>855.40391589242051</v>
      </c>
      <c r="DN474" s="236">
        <v>855.40391589242051</v>
      </c>
      <c r="DO474" s="236">
        <v>867.46431651885598</v>
      </c>
      <c r="DP474" s="236">
        <v>879.79693577796911</v>
      </c>
      <c r="DQ474" s="258">
        <v>892.40948793540622</v>
      </c>
      <c r="DR474" s="258">
        <v>903.19910210483613</v>
      </c>
      <c r="DS474" s="258">
        <v>914.22029856457425</v>
      </c>
      <c r="DT474" s="258">
        <v>925.4792648773988</v>
      </c>
      <c r="DU474" s="258">
        <v>936.98238599920285</v>
      </c>
      <c r="DV474" s="258">
        <v>948.73625124721229</v>
      </c>
      <c r="DW474" s="258">
        <v>958.82165313484791</v>
      </c>
      <c r="DX474" s="258">
        <v>969.11453361885822</v>
      </c>
      <c r="DY474" s="258">
        <v>979.6200756185367</v>
      </c>
    </row>
    <row r="475" spans="1:130" hidden="1">
      <c r="B475" s="15" t="str">
        <f>B298</f>
        <v>Consumptie van de gezinnen</v>
      </c>
      <c r="D475" s="358" t="s">
        <v>795</v>
      </c>
      <c r="AP475" s="15">
        <f t="shared" ref="AP475:BQ475" si="1928">AP298/(AP482/100)</f>
        <v>3356.4679534650281</v>
      </c>
      <c r="AQ475" s="15">
        <f t="shared" si="1928"/>
        <v>3679.1473040021938</v>
      </c>
      <c r="AR475" s="15">
        <f t="shared" si="1928"/>
        <v>3431.2048490127277</v>
      </c>
      <c r="AS475" s="15">
        <f t="shared" si="1928"/>
        <v>2123.7596964960621</v>
      </c>
      <c r="AT475" s="15">
        <f t="shared" si="1928"/>
        <v>-10720.924873454403</v>
      </c>
      <c r="AU475" s="15">
        <f t="shared" si="1928"/>
        <v>2006.9292211800007</v>
      </c>
      <c r="AV475" s="15">
        <f t="shared" si="1928"/>
        <v>1861.5381039656149</v>
      </c>
      <c r="AW475" s="15">
        <f t="shared" si="1928"/>
        <v>2342.7702938298303</v>
      </c>
      <c r="AX475" s="15">
        <f t="shared" si="1928"/>
        <v>2986.252256482619</v>
      </c>
      <c r="AY475" s="15">
        <f t="shared" si="1928"/>
        <v>2348.7800972414602</v>
      </c>
      <c r="AZ475" s="15">
        <f t="shared" si="1928"/>
        <v>2618.9460217304827</v>
      </c>
      <c r="BA475" s="15">
        <f t="shared" si="1928"/>
        <v>2550.9630909657853</v>
      </c>
      <c r="BB475" s="15">
        <f t="shared" si="1928"/>
        <v>3004.4115138628863</v>
      </c>
      <c r="BC475" s="15">
        <f t="shared" si="1928"/>
        <v>3236.8100802006193</v>
      </c>
      <c r="BD475" s="15">
        <f t="shared" si="1928"/>
        <v>3169.4502617617945</v>
      </c>
      <c r="BE475" s="15">
        <f t="shared" ca="1" si="1928"/>
        <v>3469.3680293047951</v>
      </c>
      <c r="BF475" s="15">
        <f t="shared" ca="1" si="1928"/>
        <v>4205.7140872229447</v>
      </c>
      <c r="BG475" s="15">
        <f t="shared" ca="1" si="1928"/>
        <v>4510.746467713243</v>
      </c>
      <c r="BH475" s="15">
        <f t="shared" ca="1" si="1928"/>
        <v>4670.4403850032259</v>
      </c>
      <c r="BI475" s="15">
        <f t="shared" ca="1" si="1928"/>
        <v>4581.2245521547866</v>
      </c>
      <c r="BJ475" s="15">
        <f t="shared" ca="1" si="1928"/>
        <v>4323.5138564514673</v>
      </c>
      <c r="BK475" s="15">
        <f t="shared" ca="1" si="1928"/>
        <v>5556.9042866086929</v>
      </c>
      <c r="BL475" s="15">
        <f t="shared" ca="1" si="1928"/>
        <v>5616.6551188720614</v>
      </c>
      <c r="BM475" s="15">
        <f t="shared" ca="1" si="1928"/>
        <v>6445.3935178005559</v>
      </c>
      <c r="BN475" s="15">
        <f t="shared" ca="1" si="1928"/>
        <v>6390.1422939052673</v>
      </c>
      <c r="BO475" s="15">
        <f t="shared" ca="1" si="1928"/>
        <v>6425.3043573848199</v>
      </c>
      <c r="BP475" s="15">
        <f t="shared" ca="1" si="1928"/>
        <v>5597.6839848002182</v>
      </c>
      <c r="BQ475" s="15">
        <f t="shared" ca="1" si="1928"/>
        <v>6273.1800901918668</v>
      </c>
      <c r="BR475" s="15">
        <f ca="1">BR298/(BR482/100)</f>
        <v>6795.588461500116</v>
      </c>
      <c r="BS475" s="15">
        <f ca="1">BS298/(BS482/100)</f>
        <v>6966.6461432076458</v>
      </c>
      <c r="BT475" s="15">
        <f ca="1">BT298/(BT482/100)</f>
        <v>6980.8715780173125</v>
      </c>
      <c r="BU475" s="15">
        <f ca="1">BU298/(BU482/100)</f>
        <v>7028.1217105105798</v>
      </c>
      <c r="BV475" s="15">
        <f ca="1">BV298/(BV482/100)</f>
        <v>7105.7620105234455</v>
      </c>
      <c r="BW475" s="15">
        <f t="shared" ref="BW475:BX475" ca="1" si="1929">BW298/(BW482/100)</f>
        <v>7183.0733273440646</v>
      </c>
      <c r="BX475" s="15">
        <f t="shared" ca="1" si="1929"/>
        <v>7263.4475330713676</v>
      </c>
      <c r="BY475" s="15">
        <f t="shared" ref="BY475:CD475" ca="1" si="1930">BY298/(BY482/100)</f>
        <v>7348.0009542698035</v>
      </c>
      <c r="BZ475" s="15">
        <f t="shared" ca="1" si="1930"/>
        <v>7445.8542739322938</v>
      </c>
      <c r="CA475" s="15">
        <f t="shared" ca="1" si="1930"/>
        <v>7559.8126934182792</v>
      </c>
      <c r="CB475" s="15">
        <f t="shared" ca="1" si="1930"/>
        <v>7678.4552138266881</v>
      </c>
      <c r="CC475" s="15">
        <f t="shared" ca="1" si="1930"/>
        <v>7804.0359375809576</v>
      </c>
      <c r="CD475" s="15">
        <f t="shared" ca="1" si="1930"/>
        <v>7937.863092657135</v>
      </c>
      <c r="CE475" s="15"/>
      <c r="CG475" s="235">
        <f t="shared" ca="1" si="1906"/>
        <v>2420.3336194084454</v>
      </c>
      <c r="CH475" s="235">
        <f t="shared" ca="1" si="1907"/>
        <v>-187.1004228578804</v>
      </c>
      <c r="CI475" s="235" t="e">
        <f ca="1">BM475-#REF!</f>
        <v>#REF!</v>
      </c>
      <c r="CJ475" s="235">
        <f t="shared" ca="1" si="1908"/>
        <v>0</v>
      </c>
      <c r="CK475" s="235">
        <f t="shared" ca="1" si="1909"/>
        <v>0</v>
      </c>
      <c r="CL475" s="235">
        <f t="shared" ca="1" si="1910"/>
        <v>0</v>
      </c>
      <c r="CM475" s="235">
        <f t="shared" ca="1" si="1911"/>
        <v>0</v>
      </c>
      <c r="CN475" s="235">
        <f t="shared" ca="1" si="1912"/>
        <v>0</v>
      </c>
      <c r="CO475" s="235">
        <f t="shared" ca="1" si="1913"/>
        <v>0</v>
      </c>
      <c r="CP475" s="235">
        <f t="shared" ca="1" si="1914"/>
        <v>0</v>
      </c>
      <c r="CQ475" s="235">
        <f t="shared" ca="1" si="1915"/>
        <v>0</v>
      </c>
      <c r="CR475" s="235">
        <f t="shared" ca="1" si="1916"/>
        <v>0</v>
      </c>
      <c r="CS475" s="235">
        <f t="shared" ca="1" si="1917"/>
        <v>8.1854523159563541E-12</v>
      </c>
      <c r="CT475" s="235">
        <f t="shared" ca="1" si="1918"/>
        <v>8.1854523159563541E-12</v>
      </c>
      <c r="CU475" s="235">
        <f t="shared" ca="1" si="1919"/>
        <v>1.3642420526593924E-11</v>
      </c>
      <c r="CV475" s="235">
        <f t="shared" ca="1" si="1920"/>
        <v>1.6370904631912708E-11</v>
      </c>
      <c r="CW475" s="235">
        <f t="shared" ca="1" si="1921"/>
        <v>0</v>
      </c>
      <c r="CX475" s="235">
        <f t="shared" ca="1" si="1922"/>
        <v>-3.028617356903851E-10</v>
      </c>
      <c r="CY475" s="235">
        <f t="shared" ca="1" si="1923"/>
        <v>-3.1122908694669604E-9</v>
      </c>
      <c r="CZ475" s="235">
        <f t="shared" ca="1" si="1924"/>
        <v>-2.2926542442291975E-8</v>
      </c>
      <c r="DB475" s="236">
        <v>3096.1110713585299</v>
      </c>
      <c r="DC475" s="236">
        <v>3097.1110713585313</v>
      </c>
      <c r="DD475" s="236">
        <v>3161.1188284716463</v>
      </c>
      <c r="DE475" s="236">
        <v>3014.3388783173941</v>
      </c>
      <c r="DF475" s="401">
        <v>2875.1048552178727</v>
      </c>
      <c r="DG475" s="236">
        <v>3136.5706672002475</v>
      </c>
      <c r="DH475" s="492">
        <v>5803.7555417299418</v>
      </c>
      <c r="DI475" s="236">
        <v>6390.1422939052654</v>
      </c>
      <c r="DJ475" s="236">
        <v>6425.3043573848172</v>
      </c>
      <c r="DK475" s="236">
        <v>5597.6839848002192</v>
      </c>
      <c r="DL475" s="236">
        <v>6273.1800901918687</v>
      </c>
      <c r="DM475" s="236">
        <v>6795.5884615001178</v>
      </c>
      <c r="DN475" s="236">
        <v>6966.6461432076467</v>
      </c>
      <c r="DO475" s="236">
        <v>6980.8715780173125</v>
      </c>
      <c r="DP475" s="236">
        <v>7028.1217105105752</v>
      </c>
      <c r="DQ475" s="258">
        <v>7105.76201052344</v>
      </c>
      <c r="DR475" s="258">
        <v>7183.0733273440565</v>
      </c>
      <c r="DS475" s="258">
        <v>7263.4475330713594</v>
      </c>
      <c r="DT475" s="258">
        <v>7348.0009542697899</v>
      </c>
      <c r="DU475" s="258">
        <v>7445.8542739322775</v>
      </c>
      <c r="DV475" s="258">
        <v>7559.8126934182792</v>
      </c>
      <c r="DW475" s="258">
        <v>7678.455213826991</v>
      </c>
      <c r="DX475" s="258">
        <v>7804.0359375840699</v>
      </c>
      <c r="DY475" s="258">
        <v>7937.8630926800615</v>
      </c>
    </row>
    <row r="476" spans="1:130" hidden="1">
      <c r="B476" s="15" t="str">
        <f>B256</f>
        <v>Bruto investeringen van de overheid</v>
      </c>
      <c r="D476" s="358" t="s">
        <v>795</v>
      </c>
      <c r="AP476" s="15">
        <f t="shared" ref="AP476:BQ476" ca="1" si="1931">AP256/(AP484/100)</f>
        <v>24.547431836709247</v>
      </c>
      <c r="AQ476" s="15">
        <f t="shared" ca="1" si="1931"/>
        <v>24.407441507147919</v>
      </c>
      <c r="AR476" s="15">
        <f t="shared" ca="1" si="1931"/>
        <v>16.843514656869477</v>
      </c>
      <c r="AS476" s="15">
        <f t="shared" ca="1" si="1931"/>
        <v>23.705008383178313</v>
      </c>
      <c r="AT476" s="15">
        <f t="shared" ca="1" si="1931"/>
        <v>2166.1428209818714</v>
      </c>
      <c r="AU476" s="15">
        <f t="shared" ca="1" si="1931"/>
        <v>323.71127301054184</v>
      </c>
      <c r="AV476" s="15">
        <f t="shared" ca="1" si="1931"/>
        <v>372.06017565399867</v>
      </c>
      <c r="AW476" s="15">
        <f t="shared" ca="1" si="1931"/>
        <v>229.04872495583143</v>
      </c>
      <c r="AX476" s="15">
        <f t="shared" ca="1" si="1931"/>
        <v>242.14506677615813</v>
      </c>
      <c r="AY476" s="15">
        <f t="shared" ca="1" si="1931"/>
        <v>263.08600473687119</v>
      </c>
      <c r="AZ476" s="15">
        <f t="shared" ca="1" si="1931"/>
        <v>284.88620679327875</v>
      </c>
      <c r="BA476" s="15">
        <f t="shared" ca="1" si="1931"/>
        <v>123.80952496480947</v>
      </c>
      <c r="BB476" s="15">
        <f t="shared" ca="1" si="1931"/>
        <v>136.61969211509799</v>
      </c>
      <c r="BC476" s="15">
        <f t="shared" ca="1" si="1931"/>
        <v>132.1402114301525</v>
      </c>
      <c r="BD476" s="15">
        <f t="shared" ca="1" si="1931"/>
        <v>195.93470791778472</v>
      </c>
      <c r="BE476" s="15">
        <f t="shared" ca="1" si="1931"/>
        <v>281.1699607311765</v>
      </c>
      <c r="BF476" s="15">
        <f t="shared" ca="1" si="1931"/>
        <v>333.05455964826098</v>
      </c>
      <c r="BG476" s="15">
        <f t="shared" si="1931"/>
        <v>354.95531900000003</v>
      </c>
      <c r="BH476" s="15">
        <f t="shared" ca="1" si="1931"/>
        <v>413.17241183549152</v>
      </c>
      <c r="BI476" s="15">
        <f t="shared" ca="1" si="1931"/>
        <v>535.0033105128706</v>
      </c>
      <c r="BJ476" s="15">
        <f t="shared" ca="1" si="1931"/>
        <v>437.22128090010477</v>
      </c>
      <c r="BK476" s="15">
        <f t="shared" ca="1" si="1931"/>
        <v>472.80952704738718</v>
      </c>
      <c r="BL476" s="15">
        <f t="shared" ca="1" si="1931"/>
        <v>475.28202800395007</v>
      </c>
      <c r="BM476" s="15">
        <f t="shared" ca="1" si="1931"/>
        <v>482.53745810693187</v>
      </c>
      <c r="BN476" s="15">
        <f t="shared" ca="1" si="1931"/>
        <v>572.91572019686203</v>
      </c>
      <c r="BO476" s="15">
        <f t="shared" ca="1" si="1931"/>
        <v>306.00461659375617</v>
      </c>
      <c r="BP476" s="15">
        <f t="shared" ca="1" si="1931"/>
        <v>310.67877453932238</v>
      </c>
      <c r="BQ476" s="15">
        <f t="shared" ca="1" si="1931"/>
        <v>315.51069458057452</v>
      </c>
      <c r="BR476" s="15">
        <f ca="1">BR256/(BR484/100)</f>
        <v>319.88581246578019</v>
      </c>
      <c r="BS476" s="15">
        <f ca="1">BS256/(BS484/100)</f>
        <v>324.35857743720771</v>
      </c>
      <c r="BT476" s="15">
        <f ca="1">BT256/(BT484/100)</f>
        <v>328.93173208127104</v>
      </c>
      <c r="BU476" s="15">
        <f ca="1">BU256/(BU484/100)</f>
        <v>333.60810866155288</v>
      </c>
      <c r="BV476" s="15">
        <f ca="1">BV256/(BV484/100)</f>
        <v>338.3906323321055</v>
      </c>
      <c r="BW476" s="15">
        <f t="shared" ref="BW476:BX476" ca="1" si="1932">BW256/(BW484/100)</f>
        <v>342.48192048039687</v>
      </c>
      <c r="BX476" s="15">
        <f t="shared" ca="1" si="1932"/>
        <v>346.66102176684245</v>
      </c>
      <c r="BY476" s="15">
        <f t="shared" ref="BY476:CD476" ca="1" si="1933">BY256/(BY484/100)</f>
        <v>350.9302824386636</v>
      </c>
      <c r="BZ476" s="15">
        <f t="shared" ca="1" si="1933"/>
        <v>355.29212359210703</v>
      </c>
      <c r="CA476" s="15">
        <f t="shared" ca="1" si="1933"/>
        <v>359.74904381470816</v>
      </c>
      <c r="CB476" s="15">
        <f t="shared" ca="1" si="1933"/>
        <v>363.57330338189206</v>
      </c>
      <c r="CC476" s="15">
        <f t="shared" ca="1" si="1933"/>
        <v>367.47623626484346</v>
      </c>
      <c r="CD476" s="15">
        <f t="shared" ca="1" si="1933"/>
        <v>371.45980776249183</v>
      </c>
      <c r="CE476" s="15"/>
      <c r="CG476" s="235">
        <f t="shared" ca="1" si="1906"/>
        <v>-0.36181938841781403</v>
      </c>
      <c r="CH476" s="235">
        <f t="shared" ca="1" si="1907"/>
        <v>-2.6862025795987279</v>
      </c>
      <c r="CI476" s="235" t="e">
        <f ca="1">BM476-#REF!</f>
        <v>#REF!</v>
      </c>
      <c r="CJ476" s="235">
        <f t="shared" ca="1" si="1908"/>
        <v>0</v>
      </c>
      <c r="CK476" s="235">
        <f t="shared" ca="1" si="1909"/>
        <v>0</v>
      </c>
      <c r="CL476" s="235">
        <f t="shared" ca="1" si="1910"/>
        <v>0</v>
      </c>
      <c r="CM476" s="235">
        <f t="shared" ca="1" si="1911"/>
        <v>0</v>
      </c>
      <c r="CN476" s="235">
        <f t="shared" ca="1" si="1912"/>
        <v>0</v>
      </c>
      <c r="CO476" s="235">
        <f t="shared" ca="1" si="1913"/>
        <v>0</v>
      </c>
      <c r="CP476" s="235">
        <f t="shared" ca="1" si="1914"/>
        <v>0</v>
      </c>
      <c r="CQ476" s="235">
        <f t="shared" ca="1" si="1915"/>
        <v>0</v>
      </c>
      <c r="CR476" s="235">
        <f t="shared" ca="1" si="1916"/>
        <v>0</v>
      </c>
      <c r="CS476" s="235">
        <f t="shared" ca="1" si="1917"/>
        <v>0</v>
      </c>
      <c r="CT476" s="235">
        <f t="shared" ca="1" si="1918"/>
        <v>0</v>
      </c>
      <c r="CU476" s="235">
        <f t="shared" ca="1" si="1919"/>
        <v>0</v>
      </c>
      <c r="CV476" s="235">
        <f t="shared" ca="1" si="1920"/>
        <v>0</v>
      </c>
      <c r="CW476" s="235">
        <f t="shared" ca="1" si="1921"/>
        <v>0</v>
      </c>
      <c r="CX476" s="235">
        <f t="shared" ca="1" si="1922"/>
        <v>-1.4210854715202004E-12</v>
      </c>
      <c r="CY476" s="235">
        <f t="shared" ca="1" si="1923"/>
        <v>-1.460875864722766E-11</v>
      </c>
      <c r="CZ476" s="235">
        <f t="shared" ca="1" si="1924"/>
        <v>-1.3795897757518105E-10</v>
      </c>
      <c r="DB476" s="236">
        <v>331.01277981941303</v>
      </c>
      <c r="DC476" s="236">
        <v>332.01277981941269</v>
      </c>
      <c r="DD476" s="236">
        <v>568.55808200000001</v>
      </c>
      <c r="DE476" s="236">
        <v>403.00485460981241</v>
      </c>
      <c r="DF476" s="401">
        <v>528.09714765343097</v>
      </c>
      <c r="DG476" s="236">
        <v>473.17134643580499</v>
      </c>
      <c r="DH476" s="492">
        <v>477.9682305835488</v>
      </c>
      <c r="DI476" s="236">
        <v>572.91572019686191</v>
      </c>
      <c r="DJ476" s="236">
        <v>306.00461659375611</v>
      </c>
      <c r="DK476" s="236">
        <v>310.67877453932232</v>
      </c>
      <c r="DL476" s="236">
        <v>315.51069458057452</v>
      </c>
      <c r="DM476" s="236">
        <v>319.88581246578008</v>
      </c>
      <c r="DN476" s="236">
        <v>324.35857743720766</v>
      </c>
      <c r="DO476" s="236">
        <v>328.93173208127104</v>
      </c>
      <c r="DP476" s="236">
        <v>333.60810866155271</v>
      </c>
      <c r="DQ476" s="258">
        <v>338.39063233210533</v>
      </c>
      <c r="DR476" s="258">
        <v>342.4819204803967</v>
      </c>
      <c r="DS476" s="258">
        <v>346.66102176684223</v>
      </c>
      <c r="DT476" s="258">
        <v>350.93028243866343</v>
      </c>
      <c r="DU476" s="258">
        <v>355.29212359210709</v>
      </c>
      <c r="DV476" s="258">
        <v>359.74904381470833</v>
      </c>
      <c r="DW476" s="258">
        <v>363.57330338189348</v>
      </c>
      <c r="DX476" s="258">
        <v>367.47623626485807</v>
      </c>
      <c r="DY476" s="258">
        <v>371.45980776262979</v>
      </c>
    </row>
    <row r="477" spans="1:130" hidden="1">
      <c r="B477" s="15" t="str">
        <f>B293</f>
        <v>Bruto investeringen van de bedrijven</v>
      </c>
      <c r="D477" s="358" t="s">
        <v>795</v>
      </c>
      <c r="AP477" s="15">
        <f t="shared" ref="AP477:BQ477" ca="1" si="1934">AP293/(AP484/100)</f>
        <v>457.87887750977291</v>
      </c>
      <c r="AQ477" s="15">
        <f t="shared" ca="1" si="1934"/>
        <v>456.36298392121779</v>
      </c>
      <c r="AR477" s="15">
        <f t="shared" ca="1" si="1934"/>
        <v>467.65394540432334</v>
      </c>
      <c r="AS477" s="15">
        <f t="shared" ca="1" si="1934"/>
        <v>408.6497868561255</v>
      </c>
      <c r="AT477" s="15">
        <f t="shared" ca="1" si="1934"/>
        <v>804.19092101106446</v>
      </c>
      <c r="AU477" s="15">
        <f t="shared" ca="1" si="1934"/>
        <v>382.4230137626119</v>
      </c>
      <c r="AV477" s="15">
        <f t="shared" ca="1" si="1934"/>
        <v>1626.6546331470611</v>
      </c>
      <c r="AW477" s="15">
        <f t="shared" ca="1" si="1934"/>
        <v>1214.7340170911527</v>
      </c>
      <c r="AX477" s="15">
        <f t="shared" ca="1" si="1934"/>
        <v>503.84881946601479</v>
      </c>
      <c r="AY477" s="15">
        <f t="shared" ca="1" si="1934"/>
        <v>435.10829171899684</v>
      </c>
      <c r="AZ477" s="15">
        <f t="shared" ca="1" si="1934"/>
        <v>393.98452357239125</v>
      </c>
      <c r="BA477" s="15">
        <f t="shared" ca="1" si="1934"/>
        <v>904.64215257954095</v>
      </c>
      <c r="BB477" s="15">
        <f t="shared" ca="1" si="1934"/>
        <v>906.93917528395912</v>
      </c>
      <c r="BC477" s="15">
        <f t="shared" ca="1" si="1934"/>
        <v>1458.2896021054501</v>
      </c>
      <c r="BD477" s="15">
        <f t="shared" ca="1" si="1934"/>
        <v>1261.0310643112559</v>
      </c>
      <c r="BE477" s="15">
        <f t="shared" ca="1" si="1934"/>
        <v>2328.5027297710808</v>
      </c>
      <c r="BF477" s="15">
        <f t="shared" ca="1" si="1934"/>
        <v>1629.7979409092295</v>
      </c>
      <c r="BG477" s="15">
        <f t="shared" si="1934"/>
        <v>1806</v>
      </c>
      <c r="BH477" s="15">
        <f t="shared" ca="1" si="1934"/>
        <v>2057.9806840947972</v>
      </c>
      <c r="BI477" s="15">
        <f t="shared" ca="1" si="1934"/>
        <v>2137.4108365437605</v>
      </c>
      <c r="BJ477" s="15">
        <f t="shared" ca="1" si="1934"/>
        <v>2139.499469958695</v>
      </c>
      <c r="BK477" s="15">
        <f t="shared" ca="1" si="1934"/>
        <v>2487.4973695053059</v>
      </c>
      <c r="BL477" s="15">
        <f t="shared" ca="1" si="1934"/>
        <v>3144.460462166624</v>
      </c>
      <c r="BM477" s="15">
        <f t="shared" ca="1" si="1934"/>
        <v>2787.8510639828673</v>
      </c>
      <c r="BN477" s="15">
        <f t="shared" ca="1" si="1934"/>
        <v>3253.2767247787483</v>
      </c>
      <c r="BO477" s="15">
        <f t="shared" ca="1" si="1934"/>
        <v>4208.5511320410906</v>
      </c>
      <c r="BP477" s="15">
        <f t="shared" ca="1" si="1934"/>
        <v>4326.6519177032314</v>
      </c>
      <c r="BQ477" s="15">
        <f t="shared" ca="1" si="1934"/>
        <v>4333.0068918147799</v>
      </c>
      <c r="BR477" s="15">
        <f ca="1">BR293/(BR484/100)</f>
        <v>4289.4467796733225</v>
      </c>
      <c r="BS477" s="15">
        <f ca="1">BS293/(BS484/100)</f>
        <v>4361.2637265759695</v>
      </c>
      <c r="BT477" s="15">
        <f ca="1">BT293/(BT484/100)</f>
        <v>4377.8291121380826</v>
      </c>
      <c r="BU477" s="15">
        <f ca="1">BU293/(BU484/100)</f>
        <v>4473.6161000948941</v>
      </c>
      <c r="BV477" s="15">
        <f ca="1">BV293/(BV484/100)</f>
        <v>4527.9581558945229</v>
      </c>
      <c r="BW477" s="15">
        <f t="shared" ref="BW477:BX477" ca="1" si="1935">BW293/(BW484/100)</f>
        <v>4585.076417752115</v>
      </c>
      <c r="BX477" s="15">
        <f t="shared" ca="1" si="1935"/>
        <v>4643.6292911899436</v>
      </c>
      <c r="BY477" s="15">
        <f t="shared" ref="BY477:CD477" ca="1" si="1936">BY293/(BY484/100)</f>
        <v>4704.5032453924778</v>
      </c>
      <c r="BZ477" s="15">
        <f t="shared" ca="1" si="1936"/>
        <v>4771.5786940390344</v>
      </c>
      <c r="CA477" s="15">
        <f t="shared" ca="1" si="1936"/>
        <v>4847.4528215341015</v>
      </c>
      <c r="CB477" s="15">
        <f t="shared" ca="1" si="1936"/>
        <v>4928.9391011972029</v>
      </c>
      <c r="CC477" s="15">
        <f t="shared" ca="1" si="1936"/>
        <v>5014.5298109164269</v>
      </c>
      <c r="CD477" s="15">
        <f t="shared" ca="1" si="1936"/>
        <v>5105.0262409806028</v>
      </c>
      <c r="CE477" s="15"/>
      <c r="CG477" s="235">
        <f t="shared" ca="1" si="1906"/>
        <v>-437.88167838098479</v>
      </c>
      <c r="CH477" s="235">
        <f t="shared" ca="1" si="1907"/>
        <v>-6.714742060475146</v>
      </c>
      <c r="CI477" s="235" t="e">
        <f ca="1">BM477-#REF!</f>
        <v>#REF!</v>
      </c>
      <c r="CJ477" s="235">
        <f t="shared" ca="1" si="1908"/>
        <v>0</v>
      </c>
      <c r="CK477" s="235">
        <f t="shared" ca="1" si="1909"/>
        <v>0</v>
      </c>
      <c r="CL477" s="235">
        <f t="shared" ca="1" si="1910"/>
        <v>0</v>
      </c>
      <c r="CM477" s="235">
        <f t="shared" ca="1" si="1911"/>
        <v>0</v>
      </c>
      <c r="CN477" s="235">
        <f t="shared" ca="1" si="1912"/>
        <v>0</v>
      </c>
      <c r="CO477" s="235">
        <f t="shared" ca="1" si="1913"/>
        <v>0</v>
      </c>
      <c r="CP477" s="235">
        <f t="shared" ca="1" si="1914"/>
        <v>0</v>
      </c>
      <c r="CQ477" s="235">
        <f t="shared" ca="1" si="1915"/>
        <v>0</v>
      </c>
      <c r="CR477" s="235">
        <f t="shared" ca="1" si="1916"/>
        <v>-9.0949470177292824E-12</v>
      </c>
      <c r="CS477" s="235">
        <f t="shared" ca="1" si="1917"/>
        <v>-1.1823431123048067E-11</v>
      </c>
      <c r="CT477" s="235">
        <f t="shared" ca="1" si="1918"/>
        <v>-1.8189894035458565E-11</v>
      </c>
      <c r="CU477" s="235">
        <f t="shared" ca="1" si="1919"/>
        <v>-2.5465851649641991E-11</v>
      </c>
      <c r="CV477" s="235">
        <f t="shared" ca="1" si="1920"/>
        <v>-3.7289282772690058E-11</v>
      </c>
      <c r="CW477" s="235">
        <f t="shared" ca="1" si="1921"/>
        <v>-4.2746250983327627E-11</v>
      </c>
      <c r="CX477" s="235">
        <f t="shared" ca="1" si="1922"/>
        <v>2.9103830456733704E-11</v>
      </c>
      <c r="CY477" s="235">
        <f t="shared" ca="1" si="1923"/>
        <v>8.2854967331513762E-10</v>
      </c>
      <c r="CZ477" s="235">
        <f t="shared" ca="1" si="1924"/>
        <v>6.9985617301426828E-9</v>
      </c>
      <c r="DB477" s="236">
        <v>1623.70000553873</v>
      </c>
      <c r="DC477" s="236">
        <v>1624.700005538728</v>
      </c>
      <c r="DD477" s="236">
        <v>1806</v>
      </c>
      <c r="DE477" s="236">
        <v>2047.2557661736507</v>
      </c>
      <c r="DF477" s="401">
        <v>2103.9357790488243</v>
      </c>
      <c r="DG477" s="236">
        <v>2925.3790478862907</v>
      </c>
      <c r="DH477" s="492">
        <v>3151.1752042270991</v>
      </c>
      <c r="DI477" s="236">
        <v>3253.2767247787488</v>
      </c>
      <c r="DJ477" s="236">
        <v>4208.5511320410924</v>
      </c>
      <c r="DK477" s="236">
        <v>4326.6519177032324</v>
      </c>
      <c r="DL477" s="236">
        <v>4333.0068918147817</v>
      </c>
      <c r="DM477" s="236">
        <v>4289.4467796733243</v>
      </c>
      <c r="DN477" s="236">
        <v>4361.2637265759722</v>
      </c>
      <c r="DO477" s="236">
        <v>4377.8291121380862</v>
      </c>
      <c r="DP477" s="236">
        <v>4473.6161000948996</v>
      </c>
      <c r="DQ477" s="258">
        <v>4527.958155894532</v>
      </c>
      <c r="DR477" s="258">
        <v>4585.0764177521269</v>
      </c>
      <c r="DS477" s="258">
        <v>4643.6292911899618</v>
      </c>
      <c r="DT477" s="258">
        <v>4704.5032453925032</v>
      </c>
      <c r="DU477" s="258">
        <v>4771.5786940390717</v>
      </c>
      <c r="DV477" s="258">
        <v>4847.4528215341443</v>
      </c>
      <c r="DW477" s="258">
        <v>4928.9391011971738</v>
      </c>
      <c r="DX477" s="258">
        <v>5014.5298109155983</v>
      </c>
      <c r="DY477" s="258">
        <v>5105.0262409736042</v>
      </c>
    </row>
    <row r="478" spans="1:130" hidden="1">
      <c r="B478" s="15" t="str">
        <f>B181</f>
        <v>Uitvoer van goederen en diensten door bedrijven</v>
      </c>
      <c r="D478" s="358" t="s">
        <v>795</v>
      </c>
      <c r="AP478" s="15">
        <f t="shared" ref="AP478:BQ478" si="1937">AP181/(AP485/100)</f>
        <v>1846.4559051332171</v>
      </c>
      <c r="AQ478" s="15">
        <f t="shared" si="1937"/>
        <v>1705.0590833912327</v>
      </c>
      <c r="AR478" s="15">
        <f t="shared" si="1937"/>
        <v>1731.269068208609</v>
      </c>
      <c r="AS478" s="15">
        <f t="shared" si="1937"/>
        <v>11941.760210124345</v>
      </c>
      <c r="AT478" s="15">
        <f t="shared" si="1937"/>
        <v>2147.9117123544233</v>
      </c>
      <c r="AU478" s="15">
        <f t="shared" si="1937"/>
        <v>2157.5332377985719</v>
      </c>
      <c r="AV478" s="15">
        <f t="shared" si="1937"/>
        <v>1963.6341781367119</v>
      </c>
      <c r="AW478" s="15">
        <f t="shared" si="1937"/>
        <v>2055.5494615174898</v>
      </c>
      <c r="AX478" s="15">
        <f t="shared" si="1937"/>
        <v>1993.8297647668899</v>
      </c>
      <c r="AY478" s="15">
        <f t="shared" si="1937"/>
        <v>2522.2350907609639</v>
      </c>
      <c r="AZ478" s="15">
        <f t="shared" si="1937"/>
        <v>2362.8368223110947</v>
      </c>
      <c r="BA478" s="15">
        <f t="shared" si="1937"/>
        <v>2374.9801862791164</v>
      </c>
      <c r="BB478" s="15">
        <f t="shared" si="1937"/>
        <v>2117.8512661384311</v>
      </c>
      <c r="BC478" s="15">
        <f t="shared" si="1937"/>
        <v>2940.2292265989449</v>
      </c>
      <c r="BD478" s="15">
        <f t="shared" si="1937"/>
        <v>3320.8952497321238</v>
      </c>
      <c r="BE478" s="15">
        <f t="shared" si="1937"/>
        <v>3753.2257641301685</v>
      </c>
      <c r="BF478" s="15">
        <f t="shared" si="1937"/>
        <v>3516.9227053925506</v>
      </c>
      <c r="BG478" s="15">
        <f t="shared" si="1937"/>
        <v>4426.3125</v>
      </c>
      <c r="BH478" s="15">
        <f t="shared" si="1937"/>
        <v>4986.1815679727179</v>
      </c>
      <c r="BI478" s="15">
        <f t="shared" si="1937"/>
        <v>4810.8341433538308</v>
      </c>
      <c r="BJ478" s="15">
        <f t="shared" si="1937"/>
        <v>5399.1767815954136</v>
      </c>
      <c r="BK478" s="15">
        <f t="shared" si="1937"/>
        <v>5294.5526203402997</v>
      </c>
      <c r="BL478" s="15">
        <f t="shared" si="1937"/>
        <v>5314.9777027652126</v>
      </c>
      <c r="BM478" s="15">
        <f t="shared" si="1937"/>
        <v>5375.8888180830791</v>
      </c>
      <c r="BN478" s="15">
        <f t="shared" si="1937"/>
        <v>5204.6394320707141</v>
      </c>
      <c r="BO478" s="15">
        <f t="shared" si="1937"/>
        <v>4622.9956543490098</v>
      </c>
      <c r="BP478" s="15">
        <f t="shared" si="1937"/>
        <v>4769.2484773547503</v>
      </c>
      <c r="BQ478" s="15">
        <f t="shared" si="1937"/>
        <v>5672.1054627871581</v>
      </c>
      <c r="BR478" s="15">
        <f>BR181/(BR485/100)</f>
        <v>5850.373732640347</v>
      </c>
      <c r="BS478" s="15">
        <f>BS181/(BS485/100)</f>
        <v>5693.6866363142017</v>
      </c>
      <c r="BT478" s="15">
        <f>BT181/(BT485/100)</f>
        <v>5762.4703727190999</v>
      </c>
      <c r="BU478" s="15">
        <f>BU181/(BU485/100)</f>
        <v>5960.7456478238182</v>
      </c>
      <c r="BV478" s="15">
        <f>BV181/(BV485/100)</f>
        <v>6167.2322475745523</v>
      </c>
      <c r="BW478" s="15">
        <f t="shared" ref="BW478:BX478" si="1938">BW181/(BW485/100)</f>
        <v>6382.2928405797002</v>
      </c>
      <c r="BX478" s="15">
        <f t="shared" si="1938"/>
        <v>6606.3083452380615</v>
      </c>
      <c r="BY478" s="15">
        <f t="shared" ref="BY478:CD478" si="1939">BY181/(BY485/100)</f>
        <v>6839.6790256169515</v>
      </c>
      <c r="BZ478" s="15">
        <f t="shared" si="1939"/>
        <v>7082.8256636196402</v>
      </c>
      <c r="CA478" s="15">
        <f t="shared" si="1939"/>
        <v>7336.7350337171956</v>
      </c>
      <c r="CB478" s="15">
        <f t="shared" si="1939"/>
        <v>7601.8638133610784</v>
      </c>
      <c r="CC478" s="15">
        <f t="shared" si="1939"/>
        <v>7878.6900299840208</v>
      </c>
      <c r="CD478" s="15">
        <f t="shared" si="1939"/>
        <v>8167.7141875604366</v>
      </c>
      <c r="CE478" s="15"/>
      <c r="CG478" s="235">
        <f t="shared" si="1906"/>
        <v>244.29712737496538</v>
      </c>
      <c r="CH478" s="235">
        <f t="shared" si="1907"/>
        <v>9.9811787845355866</v>
      </c>
      <c r="CI478" s="235" t="e">
        <f>BM478-#REF!</f>
        <v>#REF!</v>
      </c>
      <c r="CJ478" s="235">
        <f t="shared" si="1908"/>
        <v>0</v>
      </c>
      <c r="CK478" s="235">
        <f t="shared" si="1909"/>
        <v>0</v>
      </c>
      <c r="CL478" s="235">
        <f t="shared" si="1910"/>
        <v>0</v>
      </c>
      <c r="CM478" s="235">
        <f t="shared" si="1911"/>
        <v>0</v>
      </c>
      <c r="CN478" s="235">
        <f t="shared" si="1912"/>
        <v>0</v>
      </c>
      <c r="CO478" s="235">
        <f t="shared" si="1913"/>
        <v>0</v>
      </c>
      <c r="CP478" s="235">
        <f t="shared" si="1914"/>
        <v>0</v>
      </c>
      <c r="CQ478" s="235">
        <f t="shared" si="1915"/>
        <v>0</v>
      </c>
      <c r="CR478" s="235">
        <f t="shared" si="1916"/>
        <v>0</v>
      </c>
      <c r="CS478" s="235">
        <f t="shared" si="1917"/>
        <v>0</v>
      </c>
      <c r="CT478" s="235">
        <f t="shared" si="1918"/>
        <v>0</v>
      </c>
      <c r="CU478" s="235">
        <f t="shared" si="1919"/>
        <v>0</v>
      </c>
      <c r="CV478" s="235">
        <f t="shared" si="1920"/>
        <v>0</v>
      </c>
      <c r="CW478" s="235">
        <f t="shared" si="1921"/>
        <v>0</v>
      </c>
      <c r="CX478" s="235">
        <f t="shared" si="1922"/>
        <v>0</v>
      </c>
      <c r="CY478" s="235">
        <f t="shared" si="1923"/>
        <v>0</v>
      </c>
      <c r="CZ478" s="235">
        <f t="shared" si="1924"/>
        <v>0</v>
      </c>
      <c r="DB478" s="236">
        <v>4188.2678290784697</v>
      </c>
      <c r="DC478" s="236">
        <v>4189.267829078467</v>
      </c>
      <c r="DD478" s="236">
        <v>4343</v>
      </c>
      <c r="DE478" s="236">
        <v>4930.8609466964663</v>
      </c>
      <c r="DF478" s="401">
        <v>3958.1994396709815</v>
      </c>
      <c r="DG478" s="236">
        <v>5050.2554929653343</v>
      </c>
      <c r="DH478" s="492">
        <v>5304.996523980677</v>
      </c>
      <c r="DI478" s="236">
        <v>5204.6394320707141</v>
      </c>
      <c r="DJ478" s="236">
        <v>4622.9956543490098</v>
      </c>
      <c r="DK478" s="236">
        <v>4769.2484773547503</v>
      </c>
      <c r="DL478" s="236">
        <v>5672.1054627871581</v>
      </c>
      <c r="DM478" s="236">
        <v>5850.373732640347</v>
      </c>
      <c r="DN478" s="236">
        <v>5693.6866363142017</v>
      </c>
      <c r="DO478" s="236">
        <v>5762.4703727190999</v>
      </c>
      <c r="DP478" s="236">
        <v>5960.7456478238182</v>
      </c>
      <c r="DQ478" s="258">
        <v>6167.2322475745523</v>
      </c>
      <c r="DR478" s="258">
        <v>6382.2928405797002</v>
      </c>
      <c r="DS478" s="258">
        <v>6606.3083452380615</v>
      </c>
      <c r="DT478" s="258">
        <v>6839.6790256169515</v>
      </c>
      <c r="DU478" s="258">
        <v>7082.8256636196402</v>
      </c>
      <c r="DV478" s="258">
        <v>7336.7350337171956</v>
      </c>
      <c r="DW478" s="258">
        <v>7601.8638133610784</v>
      </c>
      <c r="DX478" s="258">
        <v>7878.6900299840208</v>
      </c>
      <c r="DY478" s="258">
        <v>8167.7141875604366</v>
      </c>
    </row>
    <row r="479" spans="1:130" hidden="1">
      <c r="B479" s="15" t="s">
        <v>1640</v>
      </c>
      <c r="D479" s="358" t="s">
        <v>795</v>
      </c>
      <c r="AP479" s="15">
        <f t="shared" ref="AP479:BQ479" si="1940">(AP182+AP183+AP184)/(AP486/100)</f>
        <v>2860.1894527255026</v>
      </c>
      <c r="AQ479" s="15">
        <f t="shared" si="1940"/>
        <v>2969.8216256897203</v>
      </c>
      <c r="AR479" s="15">
        <f t="shared" si="1940"/>
        <v>3071.2403696844776</v>
      </c>
      <c r="AS479" s="15">
        <f t="shared" si="1940"/>
        <v>2048.0217403135794</v>
      </c>
      <c r="AT479" s="15">
        <f t="shared" si="1940"/>
        <v>1799.5404881445095</v>
      </c>
      <c r="AU479" s="15">
        <f t="shared" si="1940"/>
        <v>2401.1662722531692</v>
      </c>
      <c r="AV479" s="15">
        <f t="shared" si="1940"/>
        <v>2752.1874406129191</v>
      </c>
      <c r="AW479" s="15">
        <f t="shared" si="1940"/>
        <v>2659.0057618497244</v>
      </c>
      <c r="AX479" s="15">
        <f t="shared" si="1940"/>
        <v>2727.9411874653538</v>
      </c>
      <c r="AY479" s="15">
        <f t="shared" si="1940"/>
        <v>2239.601464399057</v>
      </c>
      <c r="AZ479" s="15">
        <f t="shared" si="1940"/>
        <v>2061.1502153335173</v>
      </c>
      <c r="BA479" s="15">
        <f t="shared" si="1940"/>
        <v>2204.8297674433802</v>
      </c>
      <c r="BB479" s="15">
        <f t="shared" si="1940"/>
        <v>2224.0839273003126</v>
      </c>
      <c r="BC479" s="15">
        <f t="shared" si="1940"/>
        <v>2845.5977407879845</v>
      </c>
      <c r="BD479" s="15">
        <f t="shared" si="1940"/>
        <v>2637.764880131062</v>
      </c>
      <c r="BE479" s="15">
        <f t="shared" si="1940"/>
        <v>2985.2882402083619</v>
      </c>
      <c r="BF479" s="15">
        <f t="shared" si="1940"/>
        <v>2695.388037511952</v>
      </c>
      <c r="BG479" s="15">
        <f t="shared" si="1940"/>
        <v>3740.6114999999995</v>
      </c>
      <c r="BH479" s="15">
        <f t="shared" si="1940"/>
        <v>4352.5460299193901</v>
      </c>
      <c r="BI479" s="15">
        <f t="shared" si="1940"/>
        <v>4188.0228497973794</v>
      </c>
      <c r="BJ479" s="15">
        <f t="shared" si="1940"/>
        <v>3930.7008084259214</v>
      </c>
      <c r="BK479" s="15">
        <f t="shared" si="1940"/>
        <v>4828.2669382278054</v>
      </c>
      <c r="BL479" s="15">
        <f t="shared" si="1940"/>
        <v>5531.1468418735512</v>
      </c>
      <c r="BM479" s="15">
        <f t="shared" si="1940"/>
        <v>5664.0780312871693</v>
      </c>
      <c r="BN479" s="15">
        <f t="shared" si="1940"/>
        <v>5744.0910297735199</v>
      </c>
      <c r="BO479" s="15">
        <f t="shared" si="1940"/>
        <v>6357.9559324493221</v>
      </c>
      <c r="BP479" s="15">
        <f t="shared" ca="1" si="1940"/>
        <v>6071.4280497383916</v>
      </c>
      <c r="BQ479" s="15">
        <f t="shared" ca="1" si="1940"/>
        <v>6520.4226541124763</v>
      </c>
      <c r="BR479" s="15">
        <f ca="1">(BR182+BR183+BR184)/(BR486/100)</f>
        <v>6720.9118566070711</v>
      </c>
      <c r="BS479" s="15">
        <f ca="1">(BS182+BS183+BS184)/(BS486/100)</f>
        <v>6789.2364611011953</v>
      </c>
      <c r="BT479" s="15">
        <f ca="1">(BT182+BT183+BT184)/(BT486/100)</f>
        <v>6816.2776367591414</v>
      </c>
      <c r="BU479" s="15">
        <f ca="1">(BU182+BU183+BU184)/(BU486/100)</f>
        <v>6942.5518837191275</v>
      </c>
      <c r="BV479" s="15">
        <f ca="1">(BV182+BV183+BV184)/(BV486/100)</f>
        <v>7057.1684537353249</v>
      </c>
      <c r="BW479" s="15">
        <f t="shared" ref="BW479:BX479" ca="1" si="1941">(BW182+BW183+BW184)/(BW486/100)</f>
        <v>7175.1247592901191</v>
      </c>
      <c r="BX479" s="15">
        <f t="shared" ca="1" si="1941"/>
        <v>7297.7783729110288</v>
      </c>
      <c r="BY479" s="15">
        <f t="shared" ref="BY479:CD479" ca="1" si="1942">(BY182+BY183+BY184)/(BY486/100)</f>
        <v>7426.1417316618308</v>
      </c>
      <c r="BZ479" s="15">
        <f t="shared" ca="1" si="1942"/>
        <v>7551.3311430433232</v>
      </c>
      <c r="CA479" s="15">
        <f t="shared" ca="1" si="1942"/>
        <v>7689.5245441601837</v>
      </c>
      <c r="CB479" s="15">
        <f t="shared" ca="1" si="1942"/>
        <v>7834.0246413944687</v>
      </c>
      <c r="CC479" s="15">
        <f t="shared" ca="1" si="1942"/>
        <v>7985.7238588117561</v>
      </c>
      <c r="CD479" s="15">
        <f t="shared" ca="1" si="1942"/>
        <v>8145.6370526360788</v>
      </c>
      <c r="CE479" s="15"/>
      <c r="CG479" s="235">
        <f t="shared" si="1906"/>
        <v>49.484333786243042</v>
      </c>
      <c r="CH479" s="235">
        <f t="shared" si="1907"/>
        <v>0</v>
      </c>
      <c r="CI479" s="235" t="e">
        <f>BM479-#REF!</f>
        <v>#REF!</v>
      </c>
      <c r="CJ479" s="235">
        <f t="shared" si="1908"/>
        <v>0</v>
      </c>
      <c r="CK479" s="235">
        <f t="shared" si="1909"/>
        <v>0</v>
      </c>
      <c r="CL479" s="235">
        <f t="shared" ca="1" si="1910"/>
        <v>0</v>
      </c>
      <c r="CM479" s="235">
        <f t="shared" ca="1" si="1911"/>
        <v>0</v>
      </c>
      <c r="CN479" s="235">
        <f t="shared" ca="1" si="1912"/>
        <v>0</v>
      </c>
      <c r="CO479" s="235">
        <f t="shared" ca="1" si="1913"/>
        <v>0</v>
      </c>
      <c r="CP479" s="235">
        <f t="shared" ca="1" si="1914"/>
        <v>0</v>
      </c>
      <c r="CQ479" s="235">
        <f t="shared" ca="1" si="1915"/>
        <v>0</v>
      </c>
      <c r="CR479" s="235">
        <f t="shared" ca="1" si="1916"/>
        <v>0</v>
      </c>
      <c r="CS479" s="235">
        <f t="shared" ca="1" si="1917"/>
        <v>7.2759576141834259E-12</v>
      </c>
      <c r="CT479" s="235">
        <f t="shared" ca="1" si="1918"/>
        <v>7.2759576141834259E-12</v>
      </c>
      <c r="CU479" s="235">
        <f t="shared" ca="1" si="1919"/>
        <v>0</v>
      </c>
      <c r="CV479" s="235">
        <f t="shared" ca="1" si="1920"/>
        <v>0</v>
      </c>
      <c r="CW479" s="235">
        <f t="shared" ca="1" si="1921"/>
        <v>0</v>
      </c>
      <c r="CX479" s="235">
        <f t="shared" ca="1" si="1922"/>
        <v>-1.4188117347657681E-10</v>
      </c>
      <c r="CY479" s="235">
        <f t="shared" ca="1" si="1923"/>
        <v>-1.4306351658888161E-9</v>
      </c>
      <c r="CZ479" s="235">
        <f t="shared" ca="1" si="1924"/>
        <v>-1.0967596608679742E-8</v>
      </c>
      <c r="DB479" s="236">
        <v>3900.4820453278498</v>
      </c>
      <c r="DC479" s="236">
        <v>3901.4820453278512</v>
      </c>
      <c r="DD479" s="236">
        <v>4206</v>
      </c>
      <c r="DE479" s="236">
        <v>4408.2355642257799</v>
      </c>
      <c r="DF479" s="401">
        <v>3483.3206584414093</v>
      </c>
      <c r="DG479" s="236">
        <v>4778.7826044415624</v>
      </c>
      <c r="DH479" s="492">
        <v>5531.1468418735512</v>
      </c>
      <c r="DI479" s="236">
        <v>5744.0910297735199</v>
      </c>
      <c r="DJ479" s="236">
        <v>6357.9559324493221</v>
      </c>
      <c r="DK479" s="236">
        <v>6071.4280497383897</v>
      </c>
      <c r="DL479" s="236">
        <v>6520.4226541124735</v>
      </c>
      <c r="DM479" s="236">
        <v>6720.9118566070683</v>
      </c>
      <c r="DN479" s="236">
        <v>6789.2364611011926</v>
      </c>
      <c r="DO479" s="236">
        <v>6816.2776367591387</v>
      </c>
      <c r="DP479" s="236">
        <v>6942.5518837191248</v>
      </c>
      <c r="DQ479" s="258">
        <v>7057.1684537353203</v>
      </c>
      <c r="DR479" s="258">
        <v>7175.1247592901118</v>
      </c>
      <c r="DS479" s="258">
        <v>7297.7783729110215</v>
      </c>
      <c r="DT479" s="258">
        <v>7426.1417316618254</v>
      </c>
      <c r="DU479" s="258">
        <v>7551.3311430433187</v>
      </c>
      <c r="DV479" s="258">
        <v>7689.5245441601874</v>
      </c>
      <c r="DW479" s="258">
        <v>7834.0246413946106</v>
      </c>
      <c r="DX479" s="258">
        <v>7985.7238588131868</v>
      </c>
      <c r="DY479" s="258">
        <v>8145.6370526470464</v>
      </c>
    </row>
    <row r="480" spans="1:130" hidden="1">
      <c r="CG480" s="235">
        <f t="shared" si="1906"/>
        <v>0</v>
      </c>
      <c r="CH480" s="235">
        <f t="shared" si="1907"/>
        <v>0</v>
      </c>
      <c r="CI480" s="235" t="e">
        <f>BM480-#REF!</f>
        <v>#REF!</v>
      </c>
      <c r="CJ480" s="235">
        <f t="shared" si="1908"/>
        <v>0</v>
      </c>
      <c r="CK480" s="235">
        <f t="shared" si="1909"/>
        <v>0</v>
      </c>
      <c r="CL480" s="235">
        <f t="shared" si="1910"/>
        <v>0</v>
      </c>
      <c r="CM480" s="235">
        <f t="shared" si="1911"/>
        <v>0</v>
      </c>
      <c r="CN480" s="235">
        <f t="shared" si="1912"/>
        <v>0</v>
      </c>
      <c r="CO480" s="235">
        <f t="shared" si="1913"/>
        <v>0</v>
      </c>
      <c r="CP480" s="235">
        <f t="shared" si="1914"/>
        <v>0</v>
      </c>
      <c r="CQ480" s="235">
        <f t="shared" si="1915"/>
        <v>0</v>
      </c>
      <c r="CR480" s="235">
        <f t="shared" si="1916"/>
        <v>0</v>
      </c>
      <c r="CS480" s="235">
        <f t="shared" si="1917"/>
        <v>0</v>
      </c>
      <c r="CT480" s="235">
        <f t="shared" si="1918"/>
        <v>0</v>
      </c>
      <c r="CU480" s="235">
        <f t="shared" si="1919"/>
        <v>0</v>
      </c>
      <c r="CV480" s="235">
        <f t="shared" si="1920"/>
        <v>0</v>
      </c>
      <c r="CW480" s="235">
        <f t="shared" si="1921"/>
        <v>0</v>
      </c>
      <c r="CX480" s="235">
        <f t="shared" si="1922"/>
        <v>0</v>
      </c>
      <c r="CY480" s="235">
        <f t="shared" si="1923"/>
        <v>0</v>
      </c>
      <c r="CZ480" s="235">
        <f t="shared" si="1924"/>
        <v>0</v>
      </c>
      <c r="DF480" s="258"/>
    </row>
    <row r="481" spans="2:129" hidden="1">
      <c r="B481" s="8" t="s">
        <v>796</v>
      </c>
      <c r="CG481" s="235">
        <f t="shared" si="1906"/>
        <v>0</v>
      </c>
      <c r="CH481" s="235">
        <f t="shared" si="1907"/>
        <v>0</v>
      </c>
      <c r="CI481" s="235" t="e">
        <f>BM481-#REF!</f>
        <v>#REF!</v>
      </c>
      <c r="CJ481" s="235">
        <f t="shared" si="1908"/>
        <v>0</v>
      </c>
      <c r="CK481" s="235">
        <f t="shared" si="1909"/>
        <v>0</v>
      </c>
      <c r="CL481" s="235">
        <f t="shared" si="1910"/>
        <v>0</v>
      </c>
      <c r="CM481" s="235">
        <f t="shared" si="1911"/>
        <v>0</v>
      </c>
      <c r="CN481" s="235">
        <f t="shared" si="1912"/>
        <v>0</v>
      </c>
      <c r="CO481" s="235">
        <f t="shared" si="1913"/>
        <v>0</v>
      </c>
      <c r="CP481" s="235">
        <f t="shared" si="1914"/>
        <v>0</v>
      </c>
      <c r="CQ481" s="235">
        <f t="shared" si="1915"/>
        <v>0</v>
      </c>
      <c r="CR481" s="235">
        <f t="shared" si="1916"/>
        <v>0</v>
      </c>
      <c r="CS481" s="235">
        <f t="shared" si="1917"/>
        <v>0</v>
      </c>
      <c r="CT481" s="235">
        <f t="shared" si="1918"/>
        <v>0</v>
      </c>
      <c r="CU481" s="235">
        <f t="shared" si="1919"/>
        <v>0</v>
      </c>
      <c r="CV481" s="235">
        <f t="shared" si="1920"/>
        <v>0</v>
      </c>
      <c r="CW481" s="235">
        <f t="shared" si="1921"/>
        <v>0</v>
      </c>
      <c r="CX481" s="235">
        <f t="shared" si="1922"/>
        <v>0</v>
      </c>
      <c r="CY481" s="235">
        <f t="shared" si="1923"/>
        <v>0</v>
      </c>
      <c r="CZ481" s="235">
        <f t="shared" si="1924"/>
        <v>0</v>
      </c>
      <c r="DF481" s="258"/>
    </row>
    <row r="482" spans="2:129" hidden="1">
      <c r="B482" s="15" t="s">
        <v>3320</v>
      </c>
      <c r="D482" s="358" t="s">
        <v>3321</v>
      </c>
      <c r="AP482" s="359">
        <f t="shared" ref="AP482:BF482" si="1943">AQ482/(1+AQ302/100)</f>
        <v>0.12921348032966801</v>
      </c>
      <c r="AQ482" s="359">
        <f t="shared" si="1943"/>
        <v>0.16276861097008249</v>
      </c>
      <c r="AR482" s="359">
        <f t="shared" si="1943"/>
        <v>0.23383681992000815</v>
      </c>
      <c r="AS482" s="359">
        <f t="shared" si="1943"/>
        <v>0.56943581244064811</v>
      </c>
      <c r="AT482" s="359">
        <f t="shared" si="1943"/>
        <v>2.667688519715528</v>
      </c>
      <c r="AU482" s="359">
        <f t="shared" si="1943"/>
        <v>8.9516377884679361</v>
      </c>
      <c r="AV482" s="359">
        <f t="shared" si="1943"/>
        <v>8.8889763239486612</v>
      </c>
      <c r="AW482" s="359">
        <f t="shared" si="1943"/>
        <v>9.5200936429490159</v>
      </c>
      <c r="AX482" s="359">
        <f t="shared" si="1943"/>
        <v>11.328911435109328</v>
      </c>
      <c r="AY482" s="359">
        <f t="shared" si="1943"/>
        <v>22.41991573008136</v>
      </c>
      <c r="AZ482" s="359">
        <f t="shared" si="1943"/>
        <v>35.714925758019604</v>
      </c>
      <c r="BA482" s="359">
        <f t="shared" si="1943"/>
        <v>49.500887100615174</v>
      </c>
      <c r="BB482" s="359">
        <f t="shared" si="1943"/>
        <v>57.173524601210531</v>
      </c>
      <c r="BC482" s="359">
        <f t="shared" si="1943"/>
        <v>70.151914685685313</v>
      </c>
      <c r="BD482" s="359">
        <f t="shared" si="1943"/>
        <v>77.167106154253844</v>
      </c>
      <c r="BE482" s="359">
        <f t="shared" si="1943"/>
        <v>84.497981238907954</v>
      </c>
      <c r="BF482" s="359">
        <f t="shared" si="1943"/>
        <v>93.961755137665648</v>
      </c>
      <c r="BG482" s="363">
        <v>100</v>
      </c>
      <c r="BH482" s="359">
        <f t="shared" ref="BH482:BQ482" si="1944">BG482*(1+BH302/100)</f>
        <v>114.70284852812827</v>
      </c>
      <c r="BI482" s="359">
        <f t="shared" si="1944"/>
        <v>114.48024924865418</v>
      </c>
      <c r="BJ482" s="359">
        <f t="shared" si="1944"/>
        <v>122.43065905412314</v>
      </c>
      <c r="BK482" s="359">
        <f t="shared" si="1944"/>
        <v>144.10588768254024</v>
      </c>
      <c r="BL482" s="359">
        <f t="shared" si="1944"/>
        <v>151.33096389201259</v>
      </c>
      <c r="BM482" s="359">
        <f t="shared" si="1944"/>
        <v>154.25302209302737</v>
      </c>
      <c r="BN482" s="359">
        <f t="shared" si="1944"/>
        <v>159.45093220044177</v>
      </c>
      <c r="BO482" s="359">
        <f t="shared" si="1944"/>
        <v>170.45304652227225</v>
      </c>
      <c r="BP482" s="359">
        <f t="shared" ca="1" si="1944"/>
        <v>232.42211786765125</v>
      </c>
      <c r="BQ482" s="359">
        <f t="shared" ca="1" si="1944"/>
        <v>258.95317210071096</v>
      </c>
      <c r="BR482" s="359">
        <f t="shared" ref="BR482:BX482" ca="1" si="1945">BQ482*(1+BR302/100)</f>
        <v>272.67505402006805</v>
      </c>
      <c r="BS482" s="359">
        <f t="shared" ca="1" si="1945"/>
        <v>280.93416406859836</v>
      </c>
      <c r="BT482" s="359">
        <f t="shared" ca="1" si="1945"/>
        <v>290.59185230069835</v>
      </c>
      <c r="BU482" s="359">
        <f t="shared" ca="1" si="1945"/>
        <v>300.94631932387318</v>
      </c>
      <c r="BV482" s="359">
        <f t="shared" ca="1" si="1945"/>
        <v>311.76767583645358</v>
      </c>
      <c r="BW482" s="359">
        <f t="shared" ca="1" si="1945"/>
        <v>323.03287205312228</v>
      </c>
      <c r="BX482" s="359">
        <f t="shared" ca="1" si="1945"/>
        <v>334.64848444150408</v>
      </c>
      <c r="BY482" s="359">
        <f t="shared" ref="BY482" ca="1" si="1946">BX482*(1+BY302/100)</f>
        <v>346.6036609134681</v>
      </c>
      <c r="BZ482" s="359">
        <f t="shared" ref="BZ482" ca="1" si="1947">BY482*(1+BZ302/100)</f>
        <v>358.92318519514811</v>
      </c>
      <c r="CA482" s="359">
        <f t="shared" ref="CA482" ca="1" si="1948">BZ482*(1+CA302/100)</f>
        <v>371.665748046364</v>
      </c>
      <c r="CB482" s="359">
        <f t="shared" ref="CB482" ca="1" si="1949">CA482*(1+CB302/100)</f>
        <v>384.86199907311396</v>
      </c>
      <c r="CC482" s="359">
        <f t="shared" ref="CC482" ca="1" si="1950">CB482*(1+CC302/100)</f>
        <v>398.49199309941736</v>
      </c>
      <c r="CD482" s="359">
        <f t="shared" ref="CD482" ca="1" si="1951">CC482*(1+CD302/100)</f>
        <v>412.56959630673697</v>
      </c>
      <c r="CE482" s="359"/>
      <c r="CG482" s="235">
        <f t="shared" si="1906"/>
        <v>5.207398972027022E-2</v>
      </c>
      <c r="CH482" s="235">
        <f t="shared" si="1907"/>
        <v>0</v>
      </c>
      <c r="CI482" s="235" t="e">
        <f>BM482-#REF!</f>
        <v>#REF!</v>
      </c>
      <c r="CJ482" s="235">
        <f t="shared" si="1908"/>
        <v>0</v>
      </c>
      <c r="CK482" s="235">
        <f t="shared" si="1909"/>
        <v>0</v>
      </c>
      <c r="CL482" s="235">
        <f t="shared" ca="1" si="1910"/>
        <v>0</v>
      </c>
      <c r="CM482" s="235">
        <f t="shared" ca="1" si="1911"/>
        <v>0</v>
      </c>
      <c r="CN482" s="235">
        <f t="shared" ca="1" si="1912"/>
        <v>0</v>
      </c>
      <c r="CO482" s="235">
        <f t="shared" ca="1" si="1913"/>
        <v>0</v>
      </c>
      <c r="CP482" s="235">
        <f t="shared" ca="1" si="1914"/>
        <v>0</v>
      </c>
      <c r="CQ482" s="235">
        <f t="shared" ca="1" si="1915"/>
        <v>0</v>
      </c>
      <c r="CR482" s="235">
        <f t="shared" ca="1" si="1916"/>
        <v>0</v>
      </c>
      <c r="CS482" s="235">
        <f t="shared" ca="1" si="1917"/>
        <v>0</v>
      </c>
      <c r="CT482" s="235">
        <f t="shared" ca="1" si="1918"/>
        <v>0</v>
      </c>
      <c r="CU482" s="235">
        <f t="shared" ca="1" si="1919"/>
        <v>0</v>
      </c>
      <c r="CV482" s="235">
        <f t="shared" ca="1" si="1920"/>
        <v>0</v>
      </c>
      <c r="CW482" s="235">
        <f t="shared" ca="1" si="1921"/>
        <v>0</v>
      </c>
      <c r="CX482" s="235">
        <f t="shared" ca="1" si="1922"/>
        <v>-2.7853275241795927E-12</v>
      </c>
      <c r="CY482" s="235">
        <f t="shared" ca="1" si="1923"/>
        <v>-2.8364866011543199E-11</v>
      </c>
      <c r="CZ482" s="235">
        <f t="shared" ca="1" si="1924"/>
        <v>-2.1117330106790178E-10</v>
      </c>
      <c r="DB482" s="236">
        <v>92.984962406015001</v>
      </c>
      <c r="DC482" s="236">
        <v>93.984962406015029</v>
      </c>
      <c r="DD482" s="236">
        <v>100</v>
      </c>
      <c r="DE482" s="236">
        <v>114.6</v>
      </c>
      <c r="DF482" s="401">
        <v>114.4854</v>
      </c>
      <c r="DG482" s="236">
        <v>144.05381369281997</v>
      </c>
      <c r="DH482" s="492">
        <v>151.33096389201259</v>
      </c>
      <c r="DI482" s="236">
        <v>159.45093220044177</v>
      </c>
      <c r="DJ482" s="236">
        <v>170.45304652227225</v>
      </c>
      <c r="DK482" s="236">
        <v>232.42211786765128</v>
      </c>
      <c r="DL482" s="236">
        <v>258.95317210071101</v>
      </c>
      <c r="DM482" s="236">
        <v>272.67505402006805</v>
      </c>
      <c r="DN482" s="236">
        <v>280.93416406859836</v>
      </c>
      <c r="DO482" s="236">
        <v>290.59185230069835</v>
      </c>
      <c r="DP482" s="236">
        <v>300.94631932387324</v>
      </c>
      <c r="DQ482" s="258">
        <v>311.76767583645369</v>
      </c>
      <c r="DR482" s="258">
        <v>323.03287205312239</v>
      </c>
      <c r="DS482" s="258">
        <v>334.64848444150419</v>
      </c>
      <c r="DT482" s="258">
        <v>346.60366091346816</v>
      </c>
      <c r="DU482" s="258">
        <v>358.92318519514805</v>
      </c>
      <c r="DV482" s="258">
        <v>371.66574804636411</v>
      </c>
      <c r="DW482" s="258">
        <v>384.86199907311675</v>
      </c>
      <c r="DX482" s="258">
        <v>398.49199309944572</v>
      </c>
      <c r="DY482" s="258">
        <v>412.56959630694814</v>
      </c>
    </row>
    <row r="483" spans="2:129" hidden="1">
      <c r="B483" s="15" t="str">
        <f>B474</f>
        <v>Loonsom van de overheid</v>
      </c>
      <c r="D483" s="358" t="s">
        <v>3321</v>
      </c>
      <c r="AP483" s="359">
        <f t="shared" ref="AP483:BF483" si="1952">AQ483/(1+AQ311/100)</f>
        <v>8.5954157848756554E-2</v>
      </c>
      <c r="AQ483" s="359">
        <f t="shared" si="1952"/>
        <v>0.11210338122442408</v>
      </c>
      <c r="AR483" s="359">
        <f t="shared" si="1952"/>
        <v>0.13992367501323699</v>
      </c>
      <c r="AS483" s="359">
        <f t="shared" si="1952"/>
        <v>0.17400161110483947</v>
      </c>
      <c r="AT483" s="359">
        <f t="shared" si="1952"/>
        <v>0.6285380630304046</v>
      </c>
      <c r="AU483" s="359">
        <f t="shared" si="1952"/>
        <v>2.5035918179949301</v>
      </c>
      <c r="AV483" s="359">
        <f t="shared" si="1952"/>
        <v>4.948757830891406</v>
      </c>
      <c r="AW483" s="359">
        <f t="shared" si="1952"/>
        <v>6.6524911320786417</v>
      </c>
      <c r="AX483" s="359">
        <f t="shared" si="1952"/>
        <v>12.747574211348654</v>
      </c>
      <c r="AY483" s="359">
        <f t="shared" si="1952"/>
        <v>18.000202626433168</v>
      </c>
      <c r="AZ483" s="359">
        <f t="shared" si="1952"/>
        <v>28.116829349592624</v>
      </c>
      <c r="BA483" s="359">
        <f t="shared" si="1952"/>
        <v>33.81456431884758</v>
      </c>
      <c r="BB483" s="359">
        <f t="shared" si="1952"/>
        <v>59.195953124230407</v>
      </c>
      <c r="BC483" s="359">
        <f t="shared" si="1952"/>
        <v>65.789169577287012</v>
      </c>
      <c r="BD483" s="359">
        <f t="shared" si="1952"/>
        <v>70.407814061441101</v>
      </c>
      <c r="BE483" s="359">
        <f t="shared" si="1952"/>
        <v>74.6101234409049</v>
      </c>
      <c r="BF483" s="359">
        <f t="shared" si="1952"/>
        <v>87.376816677517937</v>
      </c>
      <c r="BG483" s="363">
        <v>100</v>
      </c>
      <c r="BH483" s="359">
        <f t="shared" ref="BH483:BQ483" si="1953">BG483*(1+BH311/100)</f>
        <v>111.6252096851323</v>
      </c>
      <c r="BI483" s="359">
        <f t="shared" si="1953"/>
        <v>139.67193687003484</v>
      </c>
      <c r="BJ483" s="359">
        <f t="shared" si="1953"/>
        <v>150.5244077061794</v>
      </c>
      <c r="BK483" s="359">
        <f t="shared" si="1953"/>
        <v>167.7895626828066</v>
      </c>
      <c r="BL483" s="359">
        <f t="shared" si="1953"/>
        <v>180.54137993253093</v>
      </c>
      <c r="BM483" s="359">
        <f t="shared" si="1953"/>
        <v>214.89035180628628</v>
      </c>
      <c r="BN483" s="359">
        <f t="shared" si="1953"/>
        <v>197.15533063058237</v>
      </c>
      <c r="BO483" s="359">
        <f t="shared" si="1953"/>
        <v>199.2041383423246</v>
      </c>
      <c r="BP483" s="359">
        <f t="shared" ca="1" si="1953"/>
        <v>240.96220820795369</v>
      </c>
      <c r="BQ483" s="359">
        <f t="shared" ca="1" si="1953"/>
        <v>299.50170298776857</v>
      </c>
      <c r="BR483" s="359">
        <f t="shared" ref="BR483:BX483" ca="1" si="1954">BQ483*(1+BR311/100)</f>
        <v>328.1111246972664</v>
      </c>
      <c r="BS483" s="359">
        <f t="shared" ca="1" si="1954"/>
        <v>343.34871052799292</v>
      </c>
      <c r="BT483" s="359">
        <f t="shared" ca="1" si="1954"/>
        <v>355.07251312023459</v>
      </c>
      <c r="BU483" s="359">
        <f t="shared" ca="1" si="1954"/>
        <v>368.03663097634524</v>
      </c>
      <c r="BV483" s="359">
        <f t="shared" ca="1" si="1954"/>
        <v>381.78938571400306</v>
      </c>
      <c r="BW483" s="359">
        <f t="shared" ca="1" si="1954"/>
        <v>396.15097554422397</v>
      </c>
      <c r="BX483" s="359">
        <f t="shared" ca="1" si="1954"/>
        <v>410.85445819746133</v>
      </c>
      <c r="BY483" s="359">
        <f t="shared" ref="BY483" ca="1" si="1955">BX483*(1+BY311/100)</f>
        <v>425.82931011058577</v>
      </c>
      <c r="BZ483" s="359">
        <f t="shared" ref="BZ483" ca="1" si="1956">BY483*(1+BZ311/100)</f>
        <v>441.13826503567032</v>
      </c>
      <c r="CA483" s="359">
        <f t="shared" ref="CA483" ca="1" si="1957">BZ483*(1+CA311/100)</f>
        <v>456.88567305419878</v>
      </c>
      <c r="CB483" s="359">
        <f t="shared" ref="CB483" ca="1" si="1958">CA483*(1+CB311/100)</f>
        <v>473.09992452062352</v>
      </c>
      <c r="CC483" s="359">
        <f t="shared" ref="CC483" ca="1" si="1959">CB483*(1+CC311/100)</f>
        <v>489.75252235566956</v>
      </c>
      <c r="CD483" s="359">
        <f t="shared" ref="CD483" ca="1" si="1960">CC483*(1+CD311/100)</f>
        <v>506.84853819792397</v>
      </c>
      <c r="CE483" s="359"/>
      <c r="CG483" s="235">
        <f t="shared" si="1906"/>
        <v>-1.2688279801747342</v>
      </c>
      <c r="CH483" s="235">
        <f t="shared" si="1907"/>
        <v>0</v>
      </c>
      <c r="CI483" s="235" t="e">
        <f>BM483-#REF!</f>
        <v>#REF!</v>
      </c>
      <c r="CJ483" s="235">
        <f t="shared" si="1908"/>
        <v>0</v>
      </c>
      <c r="CK483" s="235">
        <f t="shared" si="1909"/>
        <v>0</v>
      </c>
      <c r="CL483" s="235">
        <f t="shared" ca="1" si="1910"/>
        <v>0</v>
      </c>
      <c r="CM483" s="235">
        <f t="shared" ca="1" si="1911"/>
        <v>0</v>
      </c>
      <c r="CN483" s="235">
        <f t="shared" ca="1" si="1912"/>
        <v>0</v>
      </c>
      <c r="CO483" s="235">
        <f t="shared" ca="1" si="1913"/>
        <v>0</v>
      </c>
      <c r="CP483" s="235">
        <f t="shared" ca="1" si="1914"/>
        <v>0</v>
      </c>
      <c r="CQ483" s="235">
        <f t="shared" ca="1" si="1915"/>
        <v>0</v>
      </c>
      <c r="CR483" s="235">
        <f t="shared" ca="1" si="1916"/>
        <v>0</v>
      </c>
      <c r="CS483" s="235">
        <f t="shared" ca="1" si="1917"/>
        <v>0</v>
      </c>
      <c r="CT483" s="235">
        <f t="shared" ca="1" si="1918"/>
        <v>0</v>
      </c>
      <c r="CU483" s="235">
        <f t="shared" ca="1" si="1919"/>
        <v>0</v>
      </c>
      <c r="CV483" s="235">
        <f t="shared" ca="1" si="1920"/>
        <v>0</v>
      </c>
      <c r="CW483" s="235">
        <f t="shared" ca="1" si="1921"/>
        <v>0</v>
      </c>
      <c r="CX483" s="235">
        <f t="shared" ca="1" si="1922"/>
        <v>0</v>
      </c>
      <c r="CY483" s="235">
        <f t="shared" ca="1" si="1923"/>
        <v>-6.4801497501321137E-12</v>
      </c>
      <c r="CZ483" s="235">
        <f t="shared" ca="1" si="1924"/>
        <v>-7.73070496506989E-11</v>
      </c>
      <c r="DB483" s="236">
        <v>87.804763953063798</v>
      </c>
      <c r="DC483" s="236">
        <v>88.804763953063841</v>
      </c>
      <c r="DD483" s="236">
        <v>100</v>
      </c>
      <c r="DE483" s="236">
        <v>107.15335051639892</v>
      </c>
      <c r="DF483" s="401">
        <v>136.00891597290465</v>
      </c>
      <c r="DG483" s="236">
        <v>169.05839066298134</v>
      </c>
      <c r="DH483" s="492">
        <v>180.54137993253093</v>
      </c>
      <c r="DI483" s="236">
        <v>197.15533063058237</v>
      </c>
      <c r="DJ483" s="236">
        <v>199.2041383423246</v>
      </c>
      <c r="DK483" s="236">
        <v>240.96220820795364</v>
      </c>
      <c r="DL483" s="236">
        <v>299.50170298776845</v>
      </c>
      <c r="DM483" s="236">
        <v>328.11112469726629</v>
      </c>
      <c r="DN483" s="236">
        <v>343.34871052799281</v>
      </c>
      <c r="DO483" s="236">
        <v>355.0725131202347</v>
      </c>
      <c r="DP483" s="236">
        <v>368.03663097634558</v>
      </c>
      <c r="DQ483" s="258">
        <v>381.78938571400334</v>
      </c>
      <c r="DR483" s="258">
        <v>396.15097554422408</v>
      </c>
      <c r="DS483" s="258">
        <v>410.85445819746138</v>
      </c>
      <c r="DT483" s="258">
        <v>425.82931011058577</v>
      </c>
      <c r="DU483" s="258">
        <v>441.13826503567032</v>
      </c>
      <c r="DV483" s="258">
        <v>456.88567305419878</v>
      </c>
      <c r="DW483" s="258">
        <v>473.09992452062392</v>
      </c>
      <c r="DX483" s="258">
        <v>489.75252235567604</v>
      </c>
      <c r="DY483" s="258">
        <v>506.84853819800128</v>
      </c>
    </row>
    <row r="484" spans="2:129" hidden="1">
      <c r="B484" s="15" t="s">
        <v>4319</v>
      </c>
      <c r="D484" s="358" t="s">
        <v>3321</v>
      </c>
      <c r="AP484" s="359">
        <f t="shared" ref="AP484:BF484" ca="1" si="1961">AQ484/(1+AQ303/100)</f>
        <v>0.12370520410999092</v>
      </c>
      <c r="AQ484" s="359">
        <f t="shared" ca="1" si="1961"/>
        <v>0.15582990405785546</v>
      </c>
      <c r="AR484" s="359">
        <f t="shared" ca="1" si="1961"/>
        <v>0.22386852720655387</v>
      </c>
      <c r="AS484" s="359">
        <f t="shared" ca="1" si="1961"/>
        <v>0.54516117997740388</v>
      </c>
      <c r="AT484" s="359">
        <f t="shared" ca="1" si="1961"/>
        <v>2.5539669080294698</v>
      </c>
      <c r="AU484" s="359">
        <f t="shared" ca="1" si="1961"/>
        <v>8.570036012619326</v>
      </c>
      <c r="AV484" s="359">
        <f t="shared" ca="1" si="1961"/>
        <v>8.2970009275348335</v>
      </c>
      <c r="AW484" s="359">
        <f t="shared" ca="1" si="1961"/>
        <v>8.5382378809448589</v>
      </c>
      <c r="AX484" s="359">
        <f t="shared" ca="1" si="1961"/>
        <v>9.0036928235891054</v>
      </c>
      <c r="AY484" s="359">
        <f t="shared" ca="1" si="1961"/>
        <v>19.240497502186514</v>
      </c>
      <c r="AZ484" s="359">
        <f t="shared" ca="1" si="1961"/>
        <v>29.716141877458323</v>
      </c>
      <c r="BA484" s="359">
        <f t="shared" ca="1" si="1961"/>
        <v>48.839090544274974</v>
      </c>
      <c r="BB484" s="359">
        <f t="shared" ca="1" si="1961"/>
        <v>54.076614327134365</v>
      </c>
      <c r="BC484" s="359">
        <f t="shared" ca="1" si="1961"/>
        <v>67.682029589663713</v>
      </c>
      <c r="BD484" s="359">
        <f t="shared" ca="1" si="1961"/>
        <v>79.300187624337028</v>
      </c>
      <c r="BE484" s="359">
        <f t="shared" ca="1" si="1961"/>
        <v>84.904345385687478</v>
      </c>
      <c r="BF484" s="359">
        <f t="shared" ca="1" si="1961"/>
        <v>91.790519698743367</v>
      </c>
      <c r="BG484" s="363">
        <v>100</v>
      </c>
      <c r="BH484" s="359">
        <f t="shared" ref="BH484:BQ484" ca="1" si="1962">BG484*(1+BH303/100)</f>
        <v>112.79498162272202</v>
      </c>
      <c r="BI484" s="359">
        <f t="shared" ca="1" si="1962"/>
        <v>113.34509302730974</v>
      </c>
      <c r="BJ484" s="359">
        <f t="shared" ca="1" si="1962"/>
        <v>126.41196212182538</v>
      </c>
      <c r="BK484" s="359">
        <f t="shared" ca="1" si="1962"/>
        <v>147.39550709817945</v>
      </c>
      <c r="BL484" s="359">
        <f t="shared" ca="1" si="1962"/>
        <v>153.466774888012</v>
      </c>
      <c r="BM484" s="359">
        <f t="shared" ca="1" si="1962"/>
        <v>156.67177486404967</v>
      </c>
      <c r="BN484" s="359">
        <f t="shared" ca="1" si="1962"/>
        <v>155.86934840837546</v>
      </c>
      <c r="BO484" s="359">
        <f t="shared" ca="1" si="1962"/>
        <v>142.77562373512075</v>
      </c>
      <c r="BP484" s="359">
        <f t="shared" ca="1" si="1962"/>
        <v>178.82474030385808</v>
      </c>
      <c r="BQ484" s="359">
        <f t="shared" ca="1" si="1962"/>
        <v>192.43464287566897</v>
      </c>
      <c r="BR484" s="359">
        <f t="shared" ref="BR484:BU486" ca="1" si="1963">BQ484*(1+BR303/100)</f>
        <v>201.10886368985962</v>
      </c>
      <c r="BS484" s="359">
        <f t="shared" ca="1" si="1963"/>
        <v>207.50791510050396</v>
      </c>
      <c r="BT484" s="359">
        <f t="shared" ca="1" si="1963"/>
        <v>216.18422296265129</v>
      </c>
      <c r="BU484" s="359">
        <f t="shared" ca="1" si="1963"/>
        <v>225.38436862775112</v>
      </c>
      <c r="BV484" s="359">
        <f t="shared" ref="BV484:BX484" ca="1" si="1964">BU484*(1+BV303/100)</f>
        <v>235.00774367820881</v>
      </c>
      <c r="BW484" s="359">
        <f t="shared" ca="1" si="1964"/>
        <v>245.0706648783856</v>
      </c>
      <c r="BX484" s="359">
        <f t="shared" ca="1" si="1964"/>
        <v>255.54797553316132</v>
      </c>
      <c r="BY484" s="359">
        <f t="shared" ref="BY484:BY486" ca="1" si="1965">BX484*(1+BY303/100)</f>
        <v>266.45037427685702</v>
      </c>
      <c r="BZ484" s="359">
        <f t="shared" ref="BZ484:BZ486" ca="1" si="1966">BY484*(1+BZ303/100)</f>
        <v>277.79823561331716</v>
      </c>
      <c r="CA484" s="359">
        <f t="shared" ref="CA484:CA486" ca="1" si="1967">BZ484*(1+CA303/100)</f>
        <v>289.63310582193077</v>
      </c>
      <c r="CB484" s="359">
        <f t="shared" ref="CB484:CB486" ca="1" si="1968">CA484*(1+CB303/100)</f>
        <v>301.98621194947356</v>
      </c>
      <c r="CC484" s="359">
        <f t="shared" ref="CC484:CC486" ca="1" si="1969">CB484*(1+CC303/100)</f>
        <v>314.85775533895605</v>
      </c>
      <c r="CD484" s="359">
        <f t="shared" ref="CD484:CD486" ca="1" si="1970">CC484*(1+CD303/100)</f>
        <v>328.26997998013786</v>
      </c>
      <c r="CE484" s="359"/>
      <c r="CG484" s="235">
        <f t="shared" ca="1" si="1906"/>
        <v>0.11270875262314917</v>
      </c>
      <c r="CH484" s="235">
        <f t="shared" ca="1" si="1907"/>
        <v>0.86249005730692829</v>
      </c>
      <c r="CI484" s="235" t="e">
        <f ca="1">BM484-#REF!</f>
        <v>#REF!</v>
      </c>
      <c r="CJ484" s="235">
        <f t="shared" ca="1" si="1908"/>
        <v>0</v>
      </c>
      <c r="CK484" s="235">
        <f t="shared" ca="1" si="1909"/>
        <v>0</v>
      </c>
      <c r="CL484" s="235">
        <f t="shared" ca="1" si="1910"/>
        <v>0</v>
      </c>
      <c r="CM484" s="235">
        <f t="shared" ca="1" si="1911"/>
        <v>0</v>
      </c>
      <c r="CN484" s="235">
        <f t="shared" ca="1" si="1912"/>
        <v>0</v>
      </c>
      <c r="CO484" s="235">
        <f t="shared" ca="1" si="1913"/>
        <v>0</v>
      </c>
      <c r="CP484" s="235">
        <f t="shared" ca="1" si="1914"/>
        <v>0</v>
      </c>
      <c r="CQ484" s="235">
        <f t="shared" ca="1" si="1915"/>
        <v>0</v>
      </c>
      <c r="CR484" s="235">
        <f t="shared" ca="1" si="1916"/>
        <v>0</v>
      </c>
      <c r="CS484" s="235">
        <f t="shared" ca="1" si="1917"/>
        <v>0</v>
      </c>
      <c r="CT484" s="235">
        <f t="shared" ca="1" si="1918"/>
        <v>0</v>
      </c>
      <c r="CU484" s="235">
        <f t="shared" ca="1" si="1919"/>
        <v>0</v>
      </c>
      <c r="CV484" s="235">
        <f t="shared" ca="1" si="1920"/>
        <v>0</v>
      </c>
      <c r="CW484" s="235">
        <f t="shared" ca="1" si="1921"/>
        <v>0</v>
      </c>
      <c r="CX484" s="235">
        <f t="shared" ca="1" si="1922"/>
        <v>-1.4210854715202004E-12</v>
      </c>
      <c r="CY484" s="235">
        <f t="shared" ca="1" si="1923"/>
        <v>-1.7053025658242404E-11</v>
      </c>
      <c r="CZ484" s="235">
        <f t="shared" ca="1" si="1924"/>
        <v>-1.29091404232895E-10</v>
      </c>
      <c r="DB484" s="236">
        <v>91.078537262265101</v>
      </c>
      <c r="DC484" s="236">
        <v>92.078537262265058</v>
      </c>
      <c r="DD484" s="236">
        <v>100</v>
      </c>
      <c r="DE484" s="236">
        <v>115.64072756672267</v>
      </c>
      <c r="DF484" s="401">
        <v>114.72995938194664</v>
      </c>
      <c r="DG484" s="236">
        <v>147.2827983455563</v>
      </c>
      <c r="DH484" s="492">
        <v>152.60428483070507</v>
      </c>
      <c r="DI484" s="236">
        <v>155.8693484083754</v>
      </c>
      <c r="DJ484" s="236">
        <v>142.77562373512069</v>
      </c>
      <c r="DK484" s="236">
        <v>178.82474030385799</v>
      </c>
      <c r="DL484" s="236">
        <v>192.43464287566889</v>
      </c>
      <c r="DM484" s="236">
        <v>201.10886368985953</v>
      </c>
      <c r="DN484" s="236">
        <v>207.50791510050388</v>
      </c>
      <c r="DO484" s="236">
        <v>216.18422296265121</v>
      </c>
      <c r="DP484" s="236">
        <v>225.38436862775103</v>
      </c>
      <c r="DQ484" s="258">
        <v>235.00774367820873</v>
      </c>
      <c r="DR484" s="258">
        <v>245.07066487838551</v>
      </c>
      <c r="DS484" s="258">
        <v>255.54797553316124</v>
      </c>
      <c r="DT484" s="258">
        <v>266.45037427685685</v>
      </c>
      <c r="DU484" s="258">
        <v>277.79823561331688</v>
      </c>
      <c r="DV484" s="258">
        <v>289.6331058219306</v>
      </c>
      <c r="DW484" s="258">
        <v>301.98621194947498</v>
      </c>
      <c r="DX484" s="258">
        <v>314.85775533897311</v>
      </c>
      <c r="DY484" s="258">
        <v>328.26997998026695</v>
      </c>
    </row>
    <row r="485" spans="2:129" hidden="1">
      <c r="B485" s="15" t="s">
        <v>4320</v>
      </c>
      <c r="D485" s="358" t="s">
        <v>3321</v>
      </c>
      <c r="AP485" s="359">
        <f t="shared" ref="AP485:BF485" si="1971">AQ485/(1+AQ304/100)</f>
        <v>4.7041469963363829E-2</v>
      </c>
      <c r="AQ485" s="359">
        <f t="shared" si="1971"/>
        <v>3.854998377491297E-2</v>
      </c>
      <c r="AR485" s="359">
        <f t="shared" si="1971"/>
        <v>3.7492727844530914E-2</v>
      </c>
      <c r="AS485" s="359">
        <f t="shared" si="1971"/>
        <v>0.12443810408620881</v>
      </c>
      <c r="AT485" s="359">
        <f t="shared" si="1971"/>
        <v>3.5226075431686579</v>
      </c>
      <c r="AU485" s="359">
        <f t="shared" si="1971"/>
        <v>10.635748083961772</v>
      </c>
      <c r="AV485" s="359">
        <f t="shared" si="1971"/>
        <v>9.916779544180585</v>
      </c>
      <c r="AW485" s="359">
        <f t="shared" si="1971"/>
        <v>9.6272798930319592</v>
      </c>
      <c r="AX485" s="359">
        <f t="shared" si="1971"/>
        <v>8.4812506558086547</v>
      </c>
      <c r="AY485" s="359">
        <f t="shared" si="1971"/>
        <v>17.697766660812192</v>
      </c>
      <c r="AZ485" s="359">
        <f t="shared" si="1971"/>
        <v>29.396382367218305</v>
      </c>
      <c r="BA485" s="359">
        <f t="shared" si="1971"/>
        <v>45.533323025075084</v>
      </c>
      <c r="BB485" s="359">
        <f t="shared" si="1971"/>
        <v>44.806176249110329</v>
      </c>
      <c r="BC485" s="359">
        <f t="shared" si="1971"/>
        <v>53.656292024036496</v>
      </c>
      <c r="BD485" s="359">
        <f t="shared" si="1971"/>
        <v>66.520375798610104</v>
      </c>
      <c r="BE485" s="359">
        <f t="shared" si="1971"/>
        <v>72.519218694823039</v>
      </c>
      <c r="BF485" s="359">
        <f t="shared" si="1971"/>
        <v>91.626622759123705</v>
      </c>
      <c r="BG485" s="363">
        <v>100</v>
      </c>
      <c r="BH485" s="359">
        <f t="shared" ref="BH485:BQ485" si="1972">BG485*(1+BH304/100)</f>
        <v>111.62923820808714</v>
      </c>
      <c r="BI485" s="359">
        <f t="shared" si="1972"/>
        <v>100.02891092489836</v>
      </c>
      <c r="BJ485" s="359">
        <f t="shared" si="1972"/>
        <v>131.36771191078026</v>
      </c>
      <c r="BK485" s="359">
        <f t="shared" si="1972"/>
        <v>174.80891519414394</v>
      </c>
      <c r="BL485" s="359">
        <f t="shared" si="1972"/>
        <v>181.24111781293644</v>
      </c>
      <c r="BM485" s="359">
        <f t="shared" si="1972"/>
        <v>161.68944883609885</v>
      </c>
      <c r="BN485" s="359">
        <f t="shared" si="1972"/>
        <v>151.64547137244926</v>
      </c>
      <c r="BO485" s="359">
        <f t="shared" si="1972"/>
        <v>142.00013348107737</v>
      </c>
      <c r="BP485" s="359">
        <f t="shared" si="1972"/>
        <v>175.6460530161882</v>
      </c>
      <c r="BQ485" s="359">
        <f t="shared" si="1972"/>
        <v>183.48561676093431</v>
      </c>
      <c r="BR485" s="359">
        <f t="shared" si="1963"/>
        <v>188.33726621075522</v>
      </c>
      <c r="BS485" s="359">
        <f t="shared" si="1963"/>
        <v>193.77057445722559</v>
      </c>
      <c r="BT485" s="359">
        <f t="shared" si="1963"/>
        <v>196.30436169327993</v>
      </c>
      <c r="BU485" s="359">
        <f t="shared" si="1963"/>
        <v>197.81694445415727</v>
      </c>
      <c r="BV485" s="359">
        <f t="shared" ref="BV485:BX485" si="1973">BU485*(1+BV304/100)</f>
        <v>199.37682823748898</v>
      </c>
      <c r="BW485" s="359">
        <f t="shared" si="1973"/>
        <v>200.9855616425406</v>
      </c>
      <c r="BX485" s="359">
        <f t="shared" si="1973"/>
        <v>202.64475202229076</v>
      </c>
      <c r="BY485" s="359">
        <f t="shared" si="1965"/>
        <v>204.35606785062174</v>
      </c>
      <c r="BZ485" s="359">
        <f t="shared" si="1966"/>
        <v>209.91998900643767</v>
      </c>
      <c r="CA485" s="359">
        <f t="shared" si="1967"/>
        <v>215.67033487846072</v>
      </c>
      <c r="CB485" s="359">
        <f t="shared" si="1968"/>
        <v>221.61217684999576</v>
      </c>
      <c r="CC485" s="359">
        <f t="shared" si="1969"/>
        <v>227.75074077099441</v>
      </c>
      <c r="CD485" s="359">
        <f t="shared" si="1970"/>
        <v>234.09141271118639</v>
      </c>
      <c r="CE485" s="359"/>
      <c r="CG485" s="235">
        <f t="shared" si="1906"/>
        <v>3.1403726406769579</v>
      </c>
      <c r="CH485" s="235">
        <f t="shared" si="1907"/>
        <v>0</v>
      </c>
      <c r="CI485" s="235" t="e">
        <f>BM485-#REF!</f>
        <v>#REF!</v>
      </c>
      <c r="CJ485" s="235">
        <f t="shared" si="1908"/>
        <v>0</v>
      </c>
      <c r="CK485" s="235">
        <f t="shared" si="1909"/>
        <v>0</v>
      </c>
      <c r="CL485" s="235">
        <f t="shared" si="1910"/>
        <v>0</v>
      </c>
      <c r="CM485" s="235">
        <f t="shared" si="1911"/>
        <v>0</v>
      </c>
      <c r="CN485" s="235">
        <f t="shared" si="1912"/>
        <v>0</v>
      </c>
      <c r="CO485" s="235">
        <f t="shared" si="1913"/>
        <v>0</v>
      </c>
      <c r="CP485" s="235">
        <f t="shared" si="1914"/>
        <v>0</v>
      </c>
      <c r="CQ485" s="235">
        <f t="shared" si="1915"/>
        <v>0</v>
      </c>
      <c r="CR485" s="235">
        <f t="shared" si="1916"/>
        <v>0</v>
      </c>
      <c r="CS485" s="235">
        <f t="shared" si="1917"/>
        <v>0</v>
      </c>
      <c r="CT485" s="235">
        <f t="shared" si="1918"/>
        <v>0</v>
      </c>
      <c r="CU485" s="235">
        <f t="shared" si="1919"/>
        <v>0</v>
      </c>
      <c r="CV485" s="235">
        <f t="shared" si="1920"/>
        <v>0</v>
      </c>
      <c r="CW485" s="235">
        <f t="shared" si="1921"/>
        <v>0</v>
      </c>
      <c r="CX485" s="235">
        <f t="shared" si="1922"/>
        <v>0</v>
      </c>
      <c r="CY485" s="235">
        <f t="shared" si="1923"/>
        <v>0</v>
      </c>
      <c r="CZ485" s="235">
        <f t="shared" si="1924"/>
        <v>0</v>
      </c>
      <c r="DB485" s="236">
        <v>89.827327238158503</v>
      </c>
      <c r="DC485" s="236">
        <v>90.827327238158546</v>
      </c>
      <c r="DD485" s="236">
        <v>100</v>
      </c>
      <c r="DE485" s="236">
        <v>111.94799568822236</v>
      </c>
      <c r="DF485" s="401">
        <v>100.94741462375974</v>
      </c>
      <c r="DG485" s="236">
        <v>171.66854255346698</v>
      </c>
      <c r="DH485" s="492">
        <v>181.24111781293644</v>
      </c>
      <c r="DI485" s="236">
        <v>151.64547137244926</v>
      </c>
      <c r="DJ485" s="236">
        <v>142.00013348107737</v>
      </c>
      <c r="DK485" s="236">
        <v>175.6460530161882</v>
      </c>
      <c r="DL485" s="236">
        <v>183.48561676093431</v>
      </c>
      <c r="DM485" s="236">
        <v>188.33726621075522</v>
      </c>
      <c r="DN485" s="236">
        <v>193.77057445722559</v>
      </c>
      <c r="DO485" s="236">
        <v>196.30436169327993</v>
      </c>
      <c r="DP485" s="236">
        <v>197.81694445415727</v>
      </c>
      <c r="DQ485" s="258">
        <v>199.37682823748898</v>
      </c>
      <c r="DR485" s="258">
        <v>200.9855616425406</v>
      </c>
      <c r="DS485" s="258">
        <v>202.64475202229076</v>
      </c>
      <c r="DT485" s="258">
        <v>204.35606785062174</v>
      </c>
      <c r="DU485" s="258">
        <v>209.91998900643767</v>
      </c>
      <c r="DV485" s="258">
        <v>215.67033487846072</v>
      </c>
      <c r="DW485" s="258">
        <v>221.61217684999576</v>
      </c>
      <c r="DX485" s="258">
        <v>227.75074077099441</v>
      </c>
      <c r="DY485" s="258">
        <v>234.09141271118639</v>
      </c>
    </row>
    <row r="486" spans="2:129" hidden="1">
      <c r="B486" s="15" t="s">
        <v>861</v>
      </c>
      <c r="D486" s="358" t="s">
        <v>3321</v>
      </c>
      <c r="AP486" s="359">
        <f t="shared" ref="AP486:BF486" si="1974">AQ486/(1+AQ305/100)</f>
        <v>8.0700144993303496E-2</v>
      </c>
      <c r="AQ486" s="359">
        <f t="shared" si="1974"/>
        <v>0.11161338486400199</v>
      </c>
      <c r="AR486" s="359">
        <f t="shared" si="1974"/>
        <v>0.14553003105328155</v>
      </c>
      <c r="AS486" s="359">
        <f t="shared" si="1974"/>
        <v>0.7997549229123585</v>
      </c>
      <c r="AT486" s="359">
        <f t="shared" si="1974"/>
        <v>4.2107572432586702</v>
      </c>
      <c r="AU486" s="359">
        <f t="shared" si="1974"/>
        <v>8.9714124889317102</v>
      </c>
      <c r="AV486" s="359">
        <f t="shared" si="1974"/>
        <v>8.4331277395958075</v>
      </c>
      <c r="AW486" s="359">
        <f t="shared" si="1974"/>
        <v>8.4347053029317678</v>
      </c>
      <c r="AX486" s="359">
        <f t="shared" si="1974"/>
        <v>8.4347053029317678</v>
      </c>
      <c r="AY486" s="359">
        <f t="shared" si="1974"/>
        <v>18.257141348570919</v>
      </c>
      <c r="AZ486" s="359">
        <f t="shared" si="1974"/>
        <v>29.091754038071112</v>
      </c>
      <c r="BA486" s="359">
        <f t="shared" si="1974"/>
        <v>46.626463647216703</v>
      </c>
      <c r="BB486" s="359">
        <f t="shared" si="1974"/>
        <v>51.056938367356388</v>
      </c>
      <c r="BC486" s="359">
        <f t="shared" si="1974"/>
        <v>64.406303594143566</v>
      </c>
      <c r="BD486" s="359">
        <f t="shared" si="1974"/>
        <v>76.699785308365918</v>
      </c>
      <c r="BE486" s="359">
        <f t="shared" si="1974"/>
        <v>84.86416708033444</v>
      </c>
      <c r="BF486" s="359">
        <f t="shared" si="1974"/>
        <v>91.878329410631977</v>
      </c>
      <c r="BG486" s="363">
        <v>100</v>
      </c>
      <c r="BH486" s="359">
        <f t="shared" ref="BH486:BQ486" si="1975">BG486*(1+BH305/100)</f>
        <v>114.39638928051075</v>
      </c>
      <c r="BI486" s="359">
        <f t="shared" si="1975"/>
        <v>114.05381898121921</v>
      </c>
      <c r="BJ486" s="359">
        <f t="shared" si="1975"/>
        <v>128.57376448409596</v>
      </c>
      <c r="BK486" s="359">
        <f t="shared" si="1975"/>
        <v>150.88643799536902</v>
      </c>
      <c r="BL486" s="359">
        <f t="shared" si="1975"/>
        <v>156.72084375658619</v>
      </c>
      <c r="BM486" s="359">
        <f t="shared" si="1975"/>
        <v>160.58959551326907</v>
      </c>
      <c r="BN486" s="359">
        <f t="shared" si="1975"/>
        <v>160.51051336426201</v>
      </c>
      <c r="BO486" s="359">
        <f t="shared" si="1975"/>
        <v>144.06821045399474</v>
      </c>
      <c r="BP486" s="359">
        <f t="shared" si="1975"/>
        <v>183.24966628846914</v>
      </c>
      <c r="BQ486" s="359">
        <f t="shared" si="1975"/>
        <v>191.61452478886218</v>
      </c>
      <c r="BR486" s="359">
        <f t="shared" si="1963"/>
        <v>198.90957982006128</v>
      </c>
      <c r="BS486" s="359">
        <f t="shared" si="1963"/>
        <v>205.44869117556195</v>
      </c>
      <c r="BT486" s="359">
        <f t="shared" si="1963"/>
        <v>215.24100039453586</v>
      </c>
      <c r="BU486" s="359">
        <f t="shared" si="1963"/>
        <v>225.50004084110404</v>
      </c>
      <c r="BV486" s="359">
        <f t="shared" ref="BV486:BX486" si="1976">BU486*(1+BV305/100)</f>
        <v>236.24805834451269</v>
      </c>
      <c r="BW486" s="359">
        <f t="shared" si="1976"/>
        <v>247.50835903786088</v>
      </c>
      <c r="BX486" s="359">
        <f t="shared" si="1976"/>
        <v>259.30535989540562</v>
      </c>
      <c r="BY486" s="359">
        <f t="shared" si="1965"/>
        <v>271.66464167862864</v>
      </c>
      <c r="BZ486" s="359">
        <f t="shared" si="1966"/>
        <v>284.61300440587348</v>
      </c>
      <c r="CA486" s="359">
        <f t="shared" si="1967"/>
        <v>298.17852546583441</v>
      </c>
      <c r="CB486" s="359">
        <f t="shared" si="1968"/>
        <v>312.39062050091076</v>
      </c>
      <c r="CC486" s="359">
        <f t="shared" si="1969"/>
        <v>327.28010719244691</v>
      </c>
      <c r="CD486" s="359">
        <f t="shared" si="1970"/>
        <v>342.87927208617089</v>
      </c>
      <c r="CE486" s="359"/>
      <c r="CG486" s="235">
        <f t="shared" si="1906"/>
        <v>-1.5624303257989709</v>
      </c>
      <c r="CH486" s="235">
        <f t="shared" si="1907"/>
        <v>0</v>
      </c>
      <c r="CI486" s="235" t="e">
        <f>BM486-#REF!</f>
        <v>#REF!</v>
      </c>
      <c r="CJ486" s="235">
        <f t="shared" si="1908"/>
        <v>0</v>
      </c>
      <c r="CK486" s="235">
        <f t="shared" si="1909"/>
        <v>0</v>
      </c>
      <c r="CL486" s="235">
        <f t="shared" si="1910"/>
        <v>0</v>
      </c>
      <c r="CM486" s="235">
        <f t="shared" si="1911"/>
        <v>0</v>
      </c>
      <c r="CN486" s="235">
        <f t="shared" si="1912"/>
        <v>0</v>
      </c>
      <c r="CO486" s="235">
        <f t="shared" si="1913"/>
        <v>0</v>
      </c>
      <c r="CP486" s="235">
        <f t="shared" si="1914"/>
        <v>0</v>
      </c>
      <c r="CQ486" s="235">
        <f t="shared" si="1915"/>
        <v>0</v>
      </c>
      <c r="CR486" s="235">
        <f t="shared" si="1916"/>
        <v>0</v>
      </c>
      <c r="CS486" s="235">
        <f t="shared" si="1917"/>
        <v>0</v>
      </c>
      <c r="CT486" s="235">
        <f t="shared" si="1918"/>
        <v>0</v>
      </c>
      <c r="CU486" s="235">
        <f t="shared" si="1919"/>
        <v>0</v>
      </c>
      <c r="CV486" s="235">
        <f t="shared" si="1920"/>
        <v>0</v>
      </c>
      <c r="CW486" s="235">
        <f t="shared" si="1921"/>
        <v>0</v>
      </c>
      <c r="CX486" s="235">
        <f t="shared" si="1922"/>
        <v>0</v>
      </c>
      <c r="CY486" s="235">
        <f t="shared" si="1923"/>
        <v>0</v>
      </c>
      <c r="CZ486" s="235">
        <f t="shared" si="1924"/>
        <v>0</v>
      </c>
      <c r="DB486" s="236">
        <v>90.8368957840202</v>
      </c>
      <c r="DC486" s="236">
        <v>91.836895784020243</v>
      </c>
      <c r="DD486" s="236">
        <v>100</v>
      </c>
      <c r="DE486" s="236">
        <v>116.66506140409412</v>
      </c>
      <c r="DF486" s="401">
        <v>113.80950503057689</v>
      </c>
      <c r="DG486" s="236">
        <v>152.44886832116799</v>
      </c>
      <c r="DH486" s="492">
        <v>156.72084375658619</v>
      </c>
      <c r="DI486" s="236">
        <v>160.51051336426201</v>
      </c>
      <c r="DJ486" s="236">
        <v>144.06821045399474</v>
      </c>
      <c r="DK486" s="236">
        <v>183.24966628846914</v>
      </c>
      <c r="DL486" s="236">
        <v>191.61452478886218</v>
      </c>
      <c r="DM486" s="236">
        <v>198.90957982006128</v>
      </c>
      <c r="DN486" s="236">
        <v>205.44869117556195</v>
      </c>
      <c r="DO486" s="236">
        <v>215.24100039453586</v>
      </c>
      <c r="DP486" s="236">
        <v>225.50004084110404</v>
      </c>
      <c r="DQ486" s="258">
        <v>236.24805834451269</v>
      </c>
      <c r="DR486" s="258">
        <v>247.50835903786088</v>
      </c>
      <c r="DS486" s="258">
        <v>259.30535989540562</v>
      </c>
      <c r="DT486" s="258">
        <v>271.66464167862864</v>
      </c>
      <c r="DU486" s="258">
        <v>284.61300440587348</v>
      </c>
      <c r="DV486" s="258">
        <v>298.17852546583441</v>
      </c>
      <c r="DW486" s="258">
        <v>312.39062050091076</v>
      </c>
      <c r="DX486" s="258">
        <v>327.28010719244691</v>
      </c>
      <c r="DY486" s="258">
        <v>342.87927208617089</v>
      </c>
    </row>
    <row r="487" spans="2:129" hidden="1">
      <c r="CG487" s="235">
        <f t="shared" si="1906"/>
        <v>0</v>
      </c>
      <c r="CH487" s="235">
        <f t="shared" si="1907"/>
        <v>0</v>
      </c>
      <c r="CI487" s="235" t="e">
        <f>BM487-#REF!</f>
        <v>#REF!</v>
      </c>
      <c r="CJ487" s="235">
        <f t="shared" si="1908"/>
        <v>0</v>
      </c>
      <c r="CK487" s="235">
        <f t="shared" si="1909"/>
        <v>0</v>
      </c>
      <c r="CL487" s="235">
        <f t="shared" si="1910"/>
        <v>0</v>
      </c>
      <c r="CM487" s="235">
        <f t="shared" si="1911"/>
        <v>0</v>
      </c>
      <c r="CN487" s="235">
        <f t="shared" si="1912"/>
        <v>0</v>
      </c>
      <c r="CO487" s="235">
        <f t="shared" si="1913"/>
        <v>0</v>
      </c>
      <c r="CP487" s="235">
        <f t="shared" si="1914"/>
        <v>0</v>
      </c>
      <c r="CQ487" s="235">
        <f t="shared" si="1915"/>
        <v>0</v>
      </c>
      <c r="CR487" s="235">
        <f t="shared" si="1916"/>
        <v>0</v>
      </c>
      <c r="CS487" s="235">
        <f t="shared" si="1917"/>
        <v>0</v>
      </c>
      <c r="CT487" s="235">
        <f t="shared" si="1918"/>
        <v>0</v>
      </c>
      <c r="CU487" s="235">
        <f t="shared" si="1919"/>
        <v>0</v>
      </c>
      <c r="CV487" s="235">
        <f t="shared" si="1920"/>
        <v>0</v>
      </c>
      <c r="CW487" s="235">
        <f t="shared" si="1921"/>
        <v>0</v>
      </c>
      <c r="CX487" s="235">
        <f t="shared" si="1922"/>
        <v>0</v>
      </c>
      <c r="CY487" s="235">
        <f t="shared" si="1923"/>
        <v>0</v>
      </c>
      <c r="CZ487" s="235">
        <f t="shared" si="1924"/>
        <v>0</v>
      </c>
      <c r="DF487" s="258"/>
    </row>
    <row r="488" spans="2:129" hidden="1">
      <c r="CG488" s="235">
        <f t="shared" si="1906"/>
        <v>0</v>
      </c>
      <c r="CH488" s="235">
        <f t="shared" si="1907"/>
        <v>0</v>
      </c>
      <c r="CI488" s="235" t="e">
        <f>BM488-#REF!</f>
        <v>#REF!</v>
      </c>
      <c r="CJ488" s="235">
        <f t="shared" si="1908"/>
        <v>0</v>
      </c>
      <c r="CK488" s="235">
        <f t="shared" si="1909"/>
        <v>0</v>
      </c>
      <c r="CL488" s="235">
        <f t="shared" si="1910"/>
        <v>0</v>
      </c>
      <c r="CM488" s="235">
        <f t="shared" si="1911"/>
        <v>0</v>
      </c>
      <c r="CN488" s="235">
        <f t="shared" si="1912"/>
        <v>0</v>
      </c>
      <c r="CO488" s="235">
        <f t="shared" si="1913"/>
        <v>0</v>
      </c>
      <c r="CP488" s="235">
        <f t="shared" si="1914"/>
        <v>0</v>
      </c>
      <c r="CQ488" s="235">
        <f t="shared" si="1915"/>
        <v>0</v>
      </c>
      <c r="CR488" s="235">
        <f t="shared" si="1916"/>
        <v>0</v>
      </c>
      <c r="CS488" s="235">
        <f t="shared" si="1917"/>
        <v>0</v>
      </c>
      <c r="CT488" s="235">
        <f t="shared" si="1918"/>
        <v>0</v>
      </c>
      <c r="CU488" s="235">
        <f t="shared" si="1919"/>
        <v>0</v>
      </c>
      <c r="CV488" s="235">
        <f t="shared" si="1920"/>
        <v>0</v>
      </c>
      <c r="CW488" s="235">
        <f t="shared" si="1921"/>
        <v>0</v>
      </c>
      <c r="CX488" s="235">
        <f t="shared" si="1922"/>
        <v>0</v>
      </c>
      <c r="CY488" s="235">
        <f t="shared" si="1923"/>
        <v>0</v>
      </c>
      <c r="CZ488" s="235">
        <f t="shared" si="1924"/>
        <v>0</v>
      </c>
      <c r="DF488" s="258"/>
    </row>
    <row r="489" spans="2:129" hidden="1">
      <c r="B489" s="327" t="str">
        <f>B214</f>
        <v xml:space="preserve">SECTOR OVERHEID </v>
      </c>
      <c r="C489" s="327">
        <f>C214</f>
        <v>0</v>
      </c>
      <c r="D489" s="327"/>
      <c r="E489" s="346"/>
      <c r="F489" s="346"/>
      <c r="G489" s="346"/>
      <c r="H489" s="346"/>
      <c r="I489" s="346"/>
      <c r="J489" s="346"/>
      <c r="K489" s="346"/>
      <c r="L489" s="346"/>
      <c r="M489" s="346"/>
      <c r="N489" s="346"/>
      <c r="O489" s="346"/>
      <c r="P489" s="346"/>
      <c r="Q489" s="346"/>
      <c r="R489" s="346"/>
      <c r="S489" s="346"/>
      <c r="T489" s="346"/>
      <c r="U489" s="346"/>
      <c r="V489" s="346"/>
      <c r="W489" s="346"/>
      <c r="X489" s="346"/>
      <c r="Y489" s="346"/>
      <c r="Z489" s="346"/>
      <c r="AA489" s="346"/>
      <c r="AB489" s="346"/>
      <c r="AC489" s="346"/>
      <c r="AD489" s="346"/>
      <c r="AE489" s="346"/>
      <c r="AF489" s="346"/>
      <c r="AG489" s="346"/>
      <c r="AH489" s="346"/>
      <c r="AI489" s="346"/>
      <c r="AJ489" s="346"/>
      <c r="AK489" s="346"/>
      <c r="AL489" s="346"/>
      <c r="AM489" s="346"/>
      <c r="AN489" s="346"/>
      <c r="AO489" s="346"/>
      <c r="AP489" s="346"/>
      <c r="AQ489" s="346"/>
      <c r="AR489" s="346"/>
      <c r="AS489" s="346"/>
      <c r="AT489" s="346"/>
      <c r="AU489" s="327"/>
      <c r="AV489" s="327"/>
      <c r="AW489" s="327"/>
      <c r="AX489" s="327"/>
      <c r="AY489" s="327"/>
      <c r="AZ489" s="327"/>
      <c r="BA489" s="327"/>
      <c r="BB489" s="327"/>
      <c r="BC489" s="327"/>
      <c r="BD489" s="327"/>
      <c r="BE489" s="327"/>
      <c r="BF489" s="327"/>
      <c r="BG489" s="327">
        <f>BG6</f>
        <v>2007</v>
      </c>
      <c r="BH489" s="347">
        <f>BH6</f>
        <v>2008</v>
      </c>
      <c r="BI489" s="347">
        <f>BI6</f>
        <v>2009</v>
      </c>
      <c r="BJ489" s="347">
        <f>BJ6</f>
        <v>2010</v>
      </c>
      <c r="BK489" s="347">
        <f t="shared" ref="BK489:BP489" si="1977">BK6</f>
        <v>2011</v>
      </c>
      <c r="BL489" s="347">
        <f t="shared" si="1977"/>
        <v>2012</v>
      </c>
      <c r="BM489" s="347">
        <f t="shared" si="1977"/>
        <v>2013</v>
      </c>
      <c r="BN489" s="347">
        <f t="shared" si="1977"/>
        <v>2014</v>
      </c>
      <c r="BO489" s="347">
        <f t="shared" si="1977"/>
        <v>2015</v>
      </c>
      <c r="BP489" s="347">
        <f t="shared" si="1977"/>
        <v>2016</v>
      </c>
      <c r="BQ489" s="347">
        <f t="shared" ref="BQ489:BV489" si="1978">BQ6</f>
        <v>2017</v>
      </c>
      <c r="BR489" s="347">
        <f t="shared" si="1978"/>
        <v>2018</v>
      </c>
      <c r="BS489" s="347">
        <f t="shared" si="1978"/>
        <v>2019</v>
      </c>
      <c r="BT489" s="347">
        <f t="shared" si="1978"/>
        <v>2020</v>
      </c>
      <c r="BU489" s="347">
        <f t="shared" si="1978"/>
        <v>2021</v>
      </c>
      <c r="BV489" s="347">
        <f t="shared" si="1978"/>
        <v>2022</v>
      </c>
      <c r="BW489" s="347">
        <f t="shared" ref="BW489:BX489" si="1979">BW6</f>
        <v>2023</v>
      </c>
      <c r="BX489" s="347">
        <f t="shared" si="1979"/>
        <v>2024</v>
      </c>
      <c r="BY489" s="347">
        <f t="shared" ref="BY489:CD489" si="1980">BY6</f>
        <v>2025</v>
      </c>
      <c r="BZ489" s="347">
        <f t="shared" si="1980"/>
        <v>2026</v>
      </c>
      <c r="CA489" s="347">
        <f t="shared" si="1980"/>
        <v>2027</v>
      </c>
      <c r="CB489" s="347">
        <f t="shared" si="1980"/>
        <v>2028</v>
      </c>
      <c r="CC489" s="347">
        <f t="shared" si="1980"/>
        <v>2029</v>
      </c>
      <c r="CD489" s="347">
        <f t="shared" si="1980"/>
        <v>2030</v>
      </c>
      <c r="CE489" s="347"/>
      <c r="CG489" s="235">
        <f t="shared" si="1906"/>
        <v>0</v>
      </c>
      <c r="CH489" s="235">
        <f t="shared" si="1907"/>
        <v>0</v>
      </c>
      <c r="CI489" s="235" t="e">
        <f>BM489-#REF!</f>
        <v>#REF!</v>
      </c>
      <c r="CJ489" s="235">
        <f t="shared" si="1908"/>
        <v>0</v>
      </c>
      <c r="CK489" s="235">
        <f t="shared" si="1909"/>
        <v>0</v>
      </c>
      <c r="CL489" s="235">
        <f t="shared" si="1910"/>
        <v>0</v>
      </c>
      <c r="CM489" s="235">
        <f t="shared" si="1911"/>
        <v>0</v>
      </c>
      <c r="CN489" s="235">
        <f t="shared" si="1912"/>
        <v>0</v>
      </c>
      <c r="CO489" s="235">
        <f t="shared" si="1913"/>
        <v>0</v>
      </c>
      <c r="CP489" s="235">
        <f t="shared" si="1914"/>
        <v>0</v>
      </c>
      <c r="CQ489" s="235">
        <f t="shared" si="1915"/>
        <v>0</v>
      </c>
      <c r="CR489" s="235">
        <f t="shared" si="1916"/>
        <v>0</v>
      </c>
      <c r="CS489" s="235">
        <f t="shared" si="1917"/>
        <v>0</v>
      </c>
      <c r="CT489" s="235">
        <f t="shared" si="1918"/>
        <v>0</v>
      </c>
      <c r="CU489" s="235">
        <f t="shared" si="1919"/>
        <v>0</v>
      </c>
      <c r="CV489" s="235">
        <f t="shared" si="1920"/>
        <v>0</v>
      </c>
      <c r="CW489" s="235">
        <f t="shared" si="1921"/>
        <v>0</v>
      </c>
      <c r="CX489" s="235">
        <f t="shared" si="1922"/>
        <v>0</v>
      </c>
      <c r="CY489" s="235">
        <f t="shared" si="1923"/>
        <v>0</v>
      </c>
      <c r="CZ489" s="235">
        <f t="shared" si="1924"/>
        <v>0</v>
      </c>
      <c r="DD489" s="236">
        <v>2007</v>
      </c>
      <c r="DE489" s="236">
        <v>2008</v>
      </c>
      <c r="DF489" s="236">
        <v>2009</v>
      </c>
      <c r="DG489" s="236">
        <v>2011</v>
      </c>
      <c r="DH489" s="492">
        <v>2012</v>
      </c>
      <c r="DI489" s="236">
        <v>2014</v>
      </c>
      <c r="DJ489" s="236">
        <v>2015</v>
      </c>
      <c r="DK489" s="236">
        <v>2016</v>
      </c>
      <c r="DL489" s="236">
        <v>2017</v>
      </c>
      <c r="DM489" s="236">
        <v>2018</v>
      </c>
      <c r="DN489" s="236">
        <v>2019</v>
      </c>
      <c r="DO489" s="236">
        <v>2020</v>
      </c>
      <c r="DP489" s="236">
        <v>2021</v>
      </c>
      <c r="DQ489" s="258">
        <v>2022</v>
      </c>
      <c r="DR489" s="258">
        <v>2023</v>
      </c>
      <c r="DS489" s="258">
        <v>2024</v>
      </c>
      <c r="DT489" s="258">
        <v>2025</v>
      </c>
      <c r="DU489" s="258">
        <v>2026</v>
      </c>
      <c r="DV489" s="258">
        <v>2027</v>
      </c>
      <c r="DW489" s="258">
        <v>2028</v>
      </c>
      <c r="DX489" s="258">
        <v>2029</v>
      </c>
      <c r="DY489" s="258">
        <v>2030</v>
      </c>
    </row>
    <row r="490" spans="2:129" hidden="1">
      <c r="B490" s="3" t="str">
        <f>B216</f>
        <v>Inkomsten:</v>
      </c>
      <c r="C490" s="3">
        <f>C216</f>
        <v>0</v>
      </c>
      <c r="D490" s="3"/>
      <c r="BH490" s="280"/>
      <c r="BI490" s="280"/>
      <c r="BJ490" s="280"/>
      <c r="BK490" s="280"/>
      <c r="BL490" s="280"/>
      <c r="BM490" s="280"/>
      <c r="BN490" s="280"/>
      <c r="BO490" s="280"/>
      <c r="BP490" s="280"/>
      <c r="BQ490" s="280"/>
      <c r="BR490" s="280"/>
      <c r="BS490" s="280"/>
      <c r="BT490" s="280"/>
      <c r="BU490" s="280"/>
      <c r="BV490" s="280"/>
      <c r="BW490" s="280"/>
      <c r="BX490" s="280"/>
      <c r="BY490" s="280"/>
      <c r="BZ490" s="280"/>
      <c r="CA490" s="280"/>
      <c r="CB490" s="280"/>
      <c r="CC490" s="280"/>
      <c r="CD490" s="280"/>
      <c r="CE490" s="280"/>
      <c r="CF490" s="427"/>
      <c r="CG490" s="235">
        <f t="shared" si="1906"/>
        <v>0</v>
      </c>
      <c r="CH490" s="235">
        <f t="shared" si="1907"/>
        <v>0</v>
      </c>
      <c r="CI490" s="235" t="e">
        <f>BM490-#REF!</f>
        <v>#REF!</v>
      </c>
      <c r="CJ490" s="235">
        <f t="shared" si="1908"/>
        <v>0</v>
      </c>
      <c r="CK490" s="235">
        <f t="shared" si="1909"/>
        <v>0</v>
      </c>
      <c r="CL490" s="235">
        <f t="shared" si="1910"/>
        <v>0</v>
      </c>
      <c r="CM490" s="235">
        <f t="shared" si="1911"/>
        <v>0</v>
      </c>
      <c r="CN490" s="235">
        <f t="shared" si="1912"/>
        <v>0</v>
      </c>
      <c r="CO490" s="235">
        <f t="shared" si="1913"/>
        <v>0</v>
      </c>
      <c r="CP490" s="235">
        <f t="shared" si="1914"/>
        <v>0</v>
      </c>
      <c r="CQ490" s="235">
        <f t="shared" si="1915"/>
        <v>0</v>
      </c>
      <c r="CR490" s="235">
        <f t="shared" si="1916"/>
        <v>0</v>
      </c>
      <c r="CS490" s="235">
        <f t="shared" si="1917"/>
        <v>0</v>
      </c>
      <c r="CT490" s="235">
        <f t="shared" si="1918"/>
        <v>0</v>
      </c>
      <c r="CU490" s="235">
        <f t="shared" si="1919"/>
        <v>0</v>
      </c>
      <c r="CV490" s="235">
        <f t="shared" si="1920"/>
        <v>0</v>
      </c>
      <c r="CW490" s="235">
        <f t="shared" si="1921"/>
        <v>0</v>
      </c>
      <c r="CX490" s="235">
        <f t="shared" si="1922"/>
        <v>0</v>
      </c>
      <c r="CY490" s="235">
        <f t="shared" si="1923"/>
        <v>0</v>
      </c>
      <c r="CZ490" s="235">
        <f t="shared" si="1924"/>
        <v>0</v>
      </c>
    </row>
    <row r="491" spans="2:129" hidden="1">
      <c r="B491" s="3" t="str">
        <f>B215</f>
        <v>Totaal inkomsten incl. schenkingen</v>
      </c>
      <c r="C491" s="3">
        <f>C215</f>
        <v>0</v>
      </c>
      <c r="D491" s="3"/>
      <c r="BG491" s="3">
        <f t="shared" ref="BG491:BP491" si="1981">BG215</f>
        <v>2367.9297889999998</v>
      </c>
      <c r="BH491" s="280">
        <f t="shared" si="1981"/>
        <v>2354.7159219999944</v>
      </c>
      <c r="BI491" s="280">
        <f t="shared" si="1981"/>
        <v>2944.6573789999993</v>
      </c>
      <c r="BJ491" s="280">
        <f t="shared" si="1981"/>
        <v>2606.1094539999999</v>
      </c>
      <c r="BK491" s="280">
        <f t="shared" si="1981"/>
        <v>3537.501115</v>
      </c>
      <c r="BL491" s="280">
        <f t="shared" si="1981"/>
        <v>4024.4</v>
      </c>
      <c r="BM491" s="280">
        <f t="shared" si="1981"/>
        <v>3960.2999265017816</v>
      </c>
      <c r="BN491" s="280">
        <f t="shared" si="1981"/>
        <v>3750.9002090999998</v>
      </c>
      <c r="BO491" s="280">
        <f t="shared" si="1981"/>
        <v>3345.6999960999992</v>
      </c>
      <c r="BP491" s="280">
        <f t="shared" ca="1" si="1981"/>
        <v>4432.6454290922047</v>
      </c>
      <c r="BQ491" s="280">
        <f t="shared" ref="BQ491:BV491" ca="1" si="1982">BQ215</f>
        <v>5429.9047529798472</v>
      </c>
      <c r="BR491" s="280">
        <f t="shared" ca="1" si="1982"/>
        <v>5957.880569348029</v>
      </c>
      <c r="BS491" s="280">
        <f t="shared" ca="1" si="1982"/>
        <v>6171.4535376790354</v>
      </c>
      <c r="BT491" s="280">
        <f t="shared" ca="1" si="1982"/>
        <v>6364.037596880321</v>
      </c>
      <c r="BU491" s="280">
        <f t="shared" ca="1" si="1982"/>
        <v>6635.3873261020399</v>
      </c>
      <c r="BV491" s="280">
        <f t="shared" ca="1" si="1982"/>
        <v>6928.5087996095499</v>
      </c>
      <c r="BW491" s="280">
        <f t="shared" ref="BW491:BX491" ca="1" si="1983">BW215</f>
        <v>7236.3000713470155</v>
      </c>
      <c r="BX491" s="280">
        <f t="shared" ca="1" si="1983"/>
        <v>7560.1918608372189</v>
      </c>
      <c r="BY491" s="280">
        <f t="shared" ref="BY491:CD491" ca="1" si="1984">BY215</f>
        <v>7901.1231285751428</v>
      </c>
      <c r="BZ491" s="280">
        <f t="shared" ca="1" si="1984"/>
        <v>8295.4177146590628</v>
      </c>
      <c r="CA491" s="280">
        <f t="shared" ca="1" si="1984"/>
        <v>8722.4003344160756</v>
      </c>
      <c r="CB491" s="280">
        <f t="shared" ca="1" si="1984"/>
        <v>9174.3123578535178</v>
      </c>
      <c r="CC491" s="280">
        <f t="shared" ca="1" si="1984"/>
        <v>9654.7256013916613</v>
      </c>
      <c r="CD491" s="280">
        <f t="shared" ca="1" si="1984"/>
        <v>10166.324309415024</v>
      </c>
      <c r="CE491" s="280"/>
      <c r="CF491" s="428"/>
      <c r="CG491" s="235">
        <f t="shared" si="1906"/>
        <v>0</v>
      </c>
      <c r="CH491" s="235">
        <f t="shared" si="1907"/>
        <v>0</v>
      </c>
      <c r="CI491" s="235" t="e">
        <f>BM491-#REF!</f>
        <v>#REF!</v>
      </c>
      <c r="CJ491" s="235">
        <f t="shared" si="1908"/>
        <v>0</v>
      </c>
      <c r="CK491" s="235">
        <f t="shared" si="1909"/>
        <v>0</v>
      </c>
      <c r="CL491" s="235">
        <f t="shared" ca="1" si="1910"/>
        <v>0</v>
      </c>
      <c r="CM491" s="235">
        <f t="shared" ca="1" si="1911"/>
        <v>0</v>
      </c>
      <c r="CN491" s="235">
        <f t="shared" ca="1" si="1912"/>
        <v>0</v>
      </c>
      <c r="CO491" s="235">
        <f t="shared" ca="1" si="1913"/>
        <v>0</v>
      </c>
      <c r="CP491" s="235">
        <f t="shared" ca="1" si="1914"/>
        <v>0</v>
      </c>
      <c r="CQ491" s="235">
        <f t="shared" ca="1" si="1915"/>
        <v>0</v>
      </c>
      <c r="CR491" s="235">
        <f t="shared" ca="1" si="1916"/>
        <v>0</v>
      </c>
      <c r="CS491" s="235">
        <f t="shared" ca="1" si="1917"/>
        <v>0</v>
      </c>
      <c r="CT491" s="235">
        <f t="shared" ca="1" si="1918"/>
        <v>0</v>
      </c>
      <c r="CU491" s="235">
        <f t="shared" ca="1" si="1919"/>
        <v>9.0949470177292824E-12</v>
      </c>
      <c r="CV491" s="235">
        <f t="shared" ca="1" si="1920"/>
        <v>1.4551915228366852E-11</v>
      </c>
      <c r="CW491" s="235">
        <f t="shared" ca="1" si="1921"/>
        <v>7.4578565545380116E-11</v>
      </c>
      <c r="CX491" s="235">
        <f t="shared" ca="1" si="1922"/>
        <v>8.2582118920981884E-10</v>
      </c>
      <c r="CY491" s="235">
        <f t="shared" ca="1" si="1923"/>
        <v>7.7288859756663442E-9</v>
      </c>
      <c r="CZ491" s="235">
        <f t="shared" ca="1" si="1924"/>
        <v>5.8771547628566623E-8</v>
      </c>
      <c r="DD491" s="236">
        <v>2315.4115690000003</v>
      </c>
      <c r="DE491" s="236">
        <v>2723.1746910000002</v>
      </c>
      <c r="DF491" s="236">
        <v>2944.64260337</v>
      </c>
      <c r="DG491" s="236">
        <v>3537.501115</v>
      </c>
      <c r="DH491" s="492">
        <v>4024.4</v>
      </c>
      <c r="DI491" s="236">
        <v>3750.9002090999998</v>
      </c>
      <c r="DJ491" s="236">
        <v>3345.6999960999992</v>
      </c>
      <c r="DK491" s="236">
        <v>4432.6454290922038</v>
      </c>
      <c r="DL491" s="236">
        <v>5429.9047529798472</v>
      </c>
      <c r="DM491" s="236">
        <v>5957.8805693480299</v>
      </c>
      <c r="DN491" s="236">
        <v>6171.4535376790354</v>
      </c>
      <c r="DO491" s="236">
        <v>6364.0375968803219</v>
      </c>
      <c r="DP491" s="236">
        <v>6635.3873261020417</v>
      </c>
      <c r="DQ491" s="258">
        <v>6928.5087996095508</v>
      </c>
      <c r="DR491" s="258">
        <v>7236.3000713470128</v>
      </c>
      <c r="DS491" s="258">
        <v>7560.1918608372152</v>
      </c>
      <c r="DT491" s="258">
        <v>7901.1231285751337</v>
      </c>
      <c r="DU491" s="258">
        <v>8295.4177146590482</v>
      </c>
      <c r="DV491" s="258">
        <v>8722.400334416001</v>
      </c>
      <c r="DW491" s="258">
        <v>9174.312357852692</v>
      </c>
      <c r="DX491" s="258">
        <v>9654.7256013839324</v>
      </c>
      <c r="DY491" s="258">
        <v>10166.324309356252</v>
      </c>
    </row>
    <row r="492" spans="2:129" hidden="1">
      <c r="B492" s="124" t="s">
        <v>2051</v>
      </c>
      <c r="C492" s="124"/>
      <c r="D492" s="124"/>
      <c r="BG492" s="3">
        <f t="shared" ref="BG492:BP492" si="1985">BG493+BG494+BG495</f>
        <v>1944.729789</v>
      </c>
      <c r="BH492" s="280">
        <f t="shared" si="1985"/>
        <v>2111.1309249999945</v>
      </c>
      <c r="BI492" s="280">
        <f t="shared" si="1985"/>
        <v>2590.5868919999994</v>
      </c>
      <c r="BJ492" s="280">
        <f t="shared" si="1985"/>
        <v>2457.009454</v>
      </c>
      <c r="BK492" s="280">
        <f t="shared" si="1985"/>
        <v>3422.1011149999999</v>
      </c>
      <c r="BL492" s="280">
        <f t="shared" si="1985"/>
        <v>4024.5</v>
      </c>
      <c r="BM492" s="280">
        <f t="shared" si="1985"/>
        <v>3960.2999264017817</v>
      </c>
      <c r="BN492" s="280">
        <f t="shared" si="1985"/>
        <v>3750.9002089999999</v>
      </c>
      <c r="BO492" s="280">
        <f t="shared" si="1985"/>
        <v>3345.6999959999994</v>
      </c>
      <c r="BP492" s="280">
        <f t="shared" ca="1" si="1985"/>
        <v>4432.6454289669555</v>
      </c>
      <c r="BQ492" s="280">
        <f t="shared" ref="BQ492:BV492" ca="1" si="1986">BQ493+BQ494+BQ495</f>
        <v>5429.9047528450665</v>
      </c>
      <c r="BR492" s="280">
        <f t="shared" ca="1" si="1986"/>
        <v>5957.8805692071728</v>
      </c>
      <c r="BS492" s="280">
        <f t="shared" ca="1" si="1986"/>
        <v>6171.4535375336973</v>
      </c>
      <c r="BT492" s="280">
        <f t="shared" ca="1" si="1986"/>
        <v>6364.0375967289056</v>
      </c>
      <c r="BU492" s="280">
        <f t="shared" ca="1" si="1986"/>
        <v>6635.3873259441807</v>
      </c>
      <c r="BV492" s="280">
        <f t="shared" ca="1" si="1986"/>
        <v>6928.5087994449505</v>
      </c>
      <c r="BW492" s="280">
        <f t="shared" ref="BW492:BX492" ca="1" si="1987">BW493+BW494+BW495</f>
        <v>7236.3000711753684</v>
      </c>
      <c r="BX492" s="280">
        <f t="shared" ca="1" si="1987"/>
        <v>7560.1918606582331</v>
      </c>
      <c r="BY492" s="280">
        <f t="shared" ref="BY492:CD492" ca="1" si="1988">BY493+BY494+BY495</f>
        <v>7901.1231283885209</v>
      </c>
      <c r="BZ492" s="280">
        <f t="shared" ca="1" si="1988"/>
        <v>8295.4177144644927</v>
      </c>
      <c r="CA492" s="280">
        <f t="shared" ca="1" si="1988"/>
        <v>8722.4003342132164</v>
      </c>
      <c r="CB492" s="280">
        <f t="shared" ca="1" si="1988"/>
        <v>9174.3123576420076</v>
      </c>
      <c r="CC492" s="280">
        <f t="shared" ca="1" si="1988"/>
        <v>9654.7256011711343</v>
      </c>
      <c r="CD492" s="280">
        <f t="shared" ca="1" si="1988"/>
        <v>10166.324309185104</v>
      </c>
      <c r="CE492" s="280"/>
      <c r="CG492" s="235">
        <f t="shared" si="1906"/>
        <v>0</v>
      </c>
      <c r="CH492" s="235">
        <f t="shared" si="1907"/>
        <v>0</v>
      </c>
      <c r="CI492" s="235" t="e">
        <f>BM492-#REF!</f>
        <v>#REF!</v>
      </c>
      <c r="CJ492" s="235">
        <f t="shared" si="1908"/>
        <v>0</v>
      </c>
      <c r="CK492" s="235">
        <f t="shared" si="1909"/>
        <v>0</v>
      </c>
      <c r="CL492" s="235">
        <f t="shared" ca="1" si="1910"/>
        <v>0</v>
      </c>
      <c r="CM492" s="235">
        <f t="shared" ca="1" si="1911"/>
        <v>0</v>
      </c>
      <c r="CN492" s="235">
        <f t="shared" ca="1" si="1912"/>
        <v>0</v>
      </c>
      <c r="CO492" s="235">
        <f t="shared" ca="1" si="1913"/>
        <v>0</v>
      </c>
      <c r="CP492" s="235">
        <f t="shared" ca="1" si="1914"/>
        <v>0</v>
      </c>
      <c r="CQ492" s="235">
        <f t="shared" ca="1" si="1915"/>
        <v>0</v>
      </c>
      <c r="CR492" s="235">
        <f t="shared" ca="1" si="1916"/>
        <v>0</v>
      </c>
      <c r="CS492" s="235">
        <f t="shared" ca="1" si="1917"/>
        <v>0</v>
      </c>
      <c r="CT492" s="235">
        <f t="shared" ca="1" si="1918"/>
        <v>0</v>
      </c>
      <c r="CU492" s="235">
        <f t="shared" ca="1" si="1919"/>
        <v>9.0949470177292824E-12</v>
      </c>
      <c r="CV492" s="235">
        <f t="shared" ca="1" si="1920"/>
        <v>1.4551915228366852E-11</v>
      </c>
      <c r="CW492" s="235">
        <f t="shared" ca="1" si="1921"/>
        <v>7.4578565545380116E-11</v>
      </c>
      <c r="CX492" s="235">
        <f t="shared" ca="1" si="1922"/>
        <v>8.2582118920981884E-10</v>
      </c>
      <c r="CY492" s="235">
        <f t="shared" ca="1" si="1923"/>
        <v>7.7288859756663442E-9</v>
      </c>
      <c r="CZ492" s="235">
        <f t="shared" ca="1" si="1924"/>
        <v>5.8771547628566623E-8</v>
      </c>
      <c r="DD492" s="236">
        <v>1944.7077210000002</v>
      </c>
      <c r="DE492" s="236">
        <v>2479.5896940000002</v>
      </c>
      <c r="DF492" s="236">
        <v>2590.57211637</v>
      </c>
      <c r="DG492" s="236">
        <v>3422.1011149999999</v>
      </c>
      <c r="DH492" s="492">
        <v>4024.5</v>
      </c>
      <c r="DI492" s="236">
        <v>3750.9002089999999</v>
      </c>
      <c r="DJ492" s="236">
        <v>3345.6999959999994</v>
      </c>
      <c r="DK492" s="236">
        <v>4432.6454289669546</v>
      </c>
      <c r="DL492" s="236">
        <v>5429.9047528450665</v>
      </c>
      <c r="DM492" s="236">
        <v>5957.8805692071737</v>
      </c>
      <c r="DN492" s="236">
        <v>6171.4535375336973</v>
      </c>
      <c r="DO492" s="236">
        <v>6364.0375967289065</v>
      </c>
      <c r="DP492" s="236">
        <v>6635.3873259441825</v>
      </c>
      <c r="DQ492" s="258">
        <v>6928.5087994449514</v>
      </c>
      <c r="DR492" s="258">
        <v>7236.3000711753657</v>
      </c>
      <c r="DS492" s="258">
        <v>7560.1918606582294</v>
      </c>
      <c r="DT492" s="258">
        <v>7901.1231283885118</v>
      </c>
      <c r="DU492" s="258">
        <v>8295.4177144644782</v>
      </c>
      <c r="DV492" s="258">
        <v>8722.4003342131418</v>
      </c>
      <c r="DW492" s="258">
        <v>9174.3123576411817</v>
      </c>
      <c r="DX492" s="258">
        <v>9654.7256011634054</v>
      </c>
      <c r="DY492" s="258">
        <v>10166.324309126332</v>
      </c>
    </row>
    <row r="493" spans="2:129" hidden="1">
      <c r="B493" s="3" t="str">
        <f>B217</f>
        <v xml:space="preserve">Direkte belasting </v>
      </c>
      <c r="C493" s="3">
        <f>C217</f>
        <v>0</v>
      </c>
      <c r="D493" s="3"/>
      <c r="BG493" s="3">
        <f t="shared" ref="BG493:BP493" si="1989">BG217</f>
        <v>767.150217</v>
      </c>
      <c r="BH493" s="280">
        <f t="shared" si="1989"/>
        <v>835.55110499999444</v>
      </c>
      <c r="BI493" s="280">
        <f t="shared" si="1989"/>
        <v>965.39115399999946</v>
      </c>
      <c r="BJ493" s="280">
        <f t="shared" si="1989"/>
        <v>970.60945400000014</v>
      </c>
      <c r="BK493" s="280">
        <f t="shared" si="1989"/>
        <v>1340.9801830000001</v>
      </c>
      <c r="BL493" s="280">
        <f t="shared" si="1989"/>
        <v>1584.6</v>
      </c>
      <c r="BM493" s="280">
        <f t="shared" si="1989"/>
        <v>1686.5999959686728</v>
      </c>
      <c r="BN493" s="280">
        <f t="shared" si="1989"/>
        <v>1450.0002199999999</v>
      </c>
      <c r="BO493" s="280">
        <f t="shared" si="1989"/>
        <v>1143.400363</v>
      </c>
      <c r="BP493" s="280">
        <f t="shared" ca="1" si="1989"/>
        <v>1756.6248875286383</v>
      </c>
      <c r="BQ493" s="280">
        <f t="shared" ref="BQ493:BV493" ca="1" si="1990">BQ217</f>
        <v>2246.0687657541625</v>
      </c>
      <c r="BR493" s="280">
        <f t="shared" ca="1" si="1990"/>
        <v>2444.8517279215353</v>
      </c>
      <c r="BS493" s="280">
        <f t="shared" ca="1" si="1990"/>
        <v>2483.1572039307093</v>
      </c>
      <c r="BT493" s="280">
        <f t="shared" ca="1" si="1990"/>
        <v>2531.7969887132058</v>
      </c>
      <c r="BU493" s="280">
        <f t="shared" ca="1" si="1990"/>
        <v>2619.9566974602403</v>
      </c>
      <c r="BV493" s="280">
        <f t="shared" ca="1" si="1990"/>
        <v>2716.1663140666096</v>
      </c>
      <c r="BW493" s="280">
        <f t="shared" ref="BW493:BX493" ca="1" si="1991">BW217</f>
        <v>2816.9317142951345</v>
      </c>
      <c r="BX493" s="280">
        <f t="shared" ca="1" si="1991"/>
        <v>2923.0555684938658</v>
      </c>
      <c r="BY493" s="280">
        <f t="shared" ref="BY493:CD493" ca="1" si="1992">BY217</f>
        <v>3034.6147367497147</v>
      </c>
      <c r="BZ493" s="280">
        <f t="shared" ca="1" si="1992"/>
        <v>3184.6492754994865</v>
      </c>
      <c r="CA493" s="280">
        <f t="shared" ca="1" si="1992"/>
        <v>3347.4944725067739</v>
      </c>
      <c r="CB493" s="280">
        <f t="shared" ca="1" si="1992"/>
        <v>3519.7285734108737</v>
      </c>
      <c r="CC493" s="280">
        <f t="shared" ca="1" si="1992"/>
        <v>3703.0428167808541</v>
      </c>
      <c r="CD493" s="280">
        <f t="shared" ca="1" si="1992"/>
        <v>3898.2817856389056</v>
      </c>
      <c r="CE493" s="280"/>
      <c r="CG493" s="235">
        <f t="shared" si="1906"/>
        <v>0</v>
      </c>
      <c r="CH493" s="235">
        <f t="shared" si="1907"/>
        <v>0</v>
      </c>
      <c r="CI493" s="235" t="e">
        <f>BM493-#REF!</f>
        <v>#REF!</v>
      </c>
      <c r="CJ493" s="235">
        <f t="shared" si="1908"/>
        <v>0</v>
      </c>
      <c r="CK493" s="235">
        <f t="shared" si="1909"/>
        <v>0</v>
      </c>
      <c r="CL493" s="235">
        <f t="shared" ca="1" si="1910"/>
        <v>0</v>
      </c>
      <c r="CM493" s="235">
        <f t="shared" ca="1" si="1911"/>
        <v>0</v>
      </c>
      <c r="CN493" s="235">
        <f t="shared" ca="1" si="1912"/>
        <v>0</v>
      </c>
      <c r="CO493" s="235">
        <f t="shared" ca="1" si="1913"/>
        <v>0</v>
      </c>
      <c r="CP493" s="235">
        <f t="shared" ca="1" si="1914"/>
        <v>0</v>
      </c>
      <c r="CQ493" s="235">
        <f t="shared" ca="1" si="1915"/>
        <v>4.5474735088646412E-12</v>
      </c>
      <c r="CR493" s="235">
        <f t="shared" ca="1" si="1916"/>
        <v>3.637978807091713E-12</v>
      </c>
      <c r="CS493" s="235">
        <f t="shared" ca="1" si="1917"/>
        <v>0</v>
      </c>
      <c r="CT493" s="235">
        <f t="shared" ca="1" si="1918"/>
        <v>0</v>
      </c>
      <c r="CU493" s="235">
        <f t="shared" ca="1" si="1919"/>
        <v>0</v>
      </c>
      <c r="CV493" s="235">
        <f t="shared" ca="1" si="1920"/>
        <v>8.1854523159563541E-12</v>
      </c>
      <c r="CW493" s="235">
        <f t="shared" ca="1" si="1921"/>
        <v>-8.6401996668428183E-12</v>
      </c>
      <c r="CX493" s="235">
        <f t="shared" ca="1" si="1922"/>
        <v>-2.6284396881237626E-10</v>
      </c>
      <c r="CY493" s="235">
        <f t="shared" ca="1" si="1923"/>
        <v>-2.502474671928212E-9</v>
      </c>
      <c r="CZ493" s="235">
        <f t="shared" ca="1" si="1924"/>
        <v>-1.7452748579671606E-8</v>
      </c>
      <c r="DD493" s="236">
        <v>767.150217</v>
      </c>
      <c r="DE493" s="236">
        <v>1204.0335810000001</v>
      </c>
      <c r="DF493" s="236">
        <v>965.39115399999991</v>
      </c>
      <c r="DG493" s="236">
        <v>1340.9801830000001</v>
      </c>
      <c r="DH493" s="492">
        <v>1584.6</v>
      </c>
      <c r="DI493" s="236">
        <v>1450.0002199999999</v>
      </c>
      <c r="DJ493" s="236">
        <v>1143.400363</v>
      </c>
      <c r="DK493" s="236">
        <v>1756.6248875286383</v>
      </c>
      <c r="DL493" s="236">
        <v>2246.0687657541625</v>
      </c>
      <c r="DM493" s="236">
        <v>2444.8517279215348</v>
      </c>
      <c r="DN493" s="236">
        <v>2483.1572039307075</v>
      </c>
      <c r="DO493" s="236">
        <v>2531.7969887132026</v>
      </c>
      <c r="DP493" s="236">
        <v>2619.9566974602358</v>
      </c>
      <c r="DQ493" s="258">
        <v>2716.166314066606</v>
      </c>
      <c r="DR493" s="258">
        <v>2816.9317142951327</v>
      </c>
      <c r="DS493" s="258">
        <v>2923.055568493864</v>
      </c>
      <c r="DT493" s="258">
        <v>3034.6147367497115</v>
      </c>
      <c r="DU493" s="258">
        <v>3184.6492754994783</v>
      </c>
      <c r="DV493" s="258">
        <v>3347.4944725067826</v>
      </c>
      <c r="DW493" s="258">
        <v>3519.7285734111365</v>
      </c>
      <c r="DX493" s="258">
        <v>3703.0428167833566</v>
      </c>
      <c r="DY493" s="258">
        <v>3898.2817856563584</v>
      </c>
    </row>
    <row r="494" spans="2:129" hidden="1">
      <c r="B494" s="15" t="str">
        <f>B223</f>
        <v>Indirecte belastingen</v>
      </c>
      <c r="C494" s="15" t="str">
        <f>C223</f>
        <v>TKWN</v>
      </c>
      <c r="D494" s="15"/>
      <c r="BG494" s="15">
        <f t="shared" ref="BG494:BP494" si="1993">BG223</f>
        <v>754</v>
      </c>
      <c r="BH494" s="280">
        <f t="shared" si="1993"/>
        <v>847.6</v>
      </c>
      <c r="BI494" s="280">
        <f t="shared" si="1993"/>
        <v>867.5</v>
      </c>
      <c r="BJ494" s="280">
        <f t="shared" si="1993"/>
        <v>907.9</v>
      </c>
      <c r="BK494" s="280">
        <f t="shared" si="1993"/>
        <v>1326.8</v>
      </c>
      <c r="BL494" s="280">
        <f t="shared" si="1993"/>
        <v>1434.5</v>
      </c>
      <c r="BM494" s="280">
        <f t="shared" si="1993"/>
        <v>1447.0999504331087</v>
      </c>
      <c r="BN494" s="280">
        <f t="shared" si="1993"/>
        <v>1409.1</v>
      </c>
      <c r="BO494" s="280">
        <f t="shared" si="1993"/>
        <v>1530.1999999999998</v>
      </c>
      <c r="BP494" s="280">
        <f t="shared" ca="1" si="1993"/>
        <v>1870.8909928809876</v>
      </c>
      <c r="BQ494" s="280">
        <f t="shared" ref="BQ494:BV494" ca="1" si="1994">BQ223</f>
        <v>2194.464375709746</v>
      </c>
      <c r="BR494" s="280">
        <f t="shared" ca="1" si="1994"/>
        <v>2410.4929908800605</v>
      </c>
      <c r="BS494" s="280">
        <f t="shared" ca="1" si="1994"/>
        <v>2533.7858671030581</v>
      </c>
      <c r="BT494" s="280">
        <f t="shared" ca="1" si="1994"/>
        <v>2641.958680137484</v>
      </c>
      <c r="BU494" s="280">
        <f t="shared" ca="1" si="1994"/>
        <v>2782.9952544676603</v>
      </c>
      <c r="BV494" s="280">
        <f t="shared" ca="1" si="1994"/>
        <v>2932.1988364305585</v>
      </c>
      <c r="BW494" s="280">
        <f t="shared" ref="BW494:BX494" ca="1" si="1995">BW223</f>
        <v>3089.7047705349769</v>
      </c>
      <c r="BX494" s="280">
        <f t="shared" ca="1" si="1995"/>
        <v>3256.4266791886848</v>
      </c>
      <c r="BY494" s="280">
        <f t="shared" ref="BY494:CD494" ca="1" si="1996">BY223</f>
        <v>3433.2905845518326</v>
      </c>
      <c r="BZ494" s="280">
        <f t="shared" ca="1" si="1996"/>
        <v>3622.8150157971168</v>
      </c>
      <c r="CA494" s="280">
        <f t="shared" ca="1" si="1996"/>
        <v>3829.2416400765642</v>
      </c>
      <c r="CB494" s="280">
        <f t="shared" ca="1" si="1996"/>
        <v>4049.2079666236164</v>
      </c>
      <c r="CC494" s="280">
        <f t="shared" ca="1" si="1996"/>
        <v>4284.2578791185324</v>
      </c>
      <c r="CD494" s="280">
        <f t="shared" ca="1" si="1996"/>
        <v>4536.055270501527</v>
      </c>
      <c r="CE494" s="280"/>
      <c r="CG494" s="235">
        <f t="shared" si="1906"/>
        <v>0</v>
      </c>
      <c r="CH494" s="235">
        <f t="shared" si="1907"/>
        <v>0</v>
      </c>
      <c r="CI494" s="235" t="e">
        <f>BM494-#REF!</f>
        <v>#REF!</v>
      </c>
      <c r="CJ494" s="235">
        <f t="shared" si="1908"/>
        <v>0</v>
      </c>
      <c r="CK494" s="235">
        <f t="shared" si="1909"/>
        <v>0</v>
      </c>
      <c r="CL494" s="235">
        <f t="shared" ca="1" si="1910"/>
        <v>0</v>
      </c>
      <c r="CM494" s="235">
        <f t="shared" ca="1" si="1911"/>
        <v>0</v>
      </c>
      <c r="CN494" s="235">
        <f t="shared" ca="1" si="1912"/>
        <v>0</v>
      </c>
      <c r="CO494" s="235">
        <f t="shared" ca="1" si="1913"/>
        <v>0</v>
      </c>
      <c r="CP494" s="235">
        <f t="shared" ca="1" si="1914"/>
        <v>0</v>
      </c>
      <c r="CQ494" s="235">
        <f t="shared" ca="1" si="1915"/>
        <v>0</v>
      </c>
      <c r="CR494" s="235">
        <f t="shared" ca="1" si="1916"/>
        <v>0</v>
      </c>
      <c r="CS494" s="235">
        <f t="shared" ca="1" si="1917"/>
        <v>0</v>
      </c>
      <c r="CT494" s="235">
        <f t="shared" ca="1" si="1918"/>
        <v>0</v>
      </c>
      <c r="CU494" s="235">
        <f t="shared" ca="1" si="1919"/>
        <v>0</v>
      </c>
      <c r="CV494" s="235">
        <f t="shared" ca="1" si="1920"/>
        <v>4.0927261579781771E-12</v>
      </c>
      <c r="CW494" s="235">
        <f t="shared" ca="1" si="1921"/>
        <v>0</v>
      </c>
      <c r="CX494" s="235">
        <f t="shared" ca="1" si="1922"/>
        <v>-1.241460267920047E-10</v>
      </c>
      <c r="CY494" s="235">
        <f t="shared" ca="1" si="1923"/>
        <v>-1.2087184586562216E-9</v>
      </c>
      <c r="CZ494" s="235">
        <f t="shared" ca="1" si="1924"/>
        <v>-8.5847204900346696E-9</v>
      </c>
      <c r="DD494" s="236">
        <v>786.66798300000005</v>
      </c>
      <c r="DE494" s="236">
        <v>878.69809000000009</v>
      </c>
      <c r="DF494" s="236">
        <v>867.48522437000008</v>
      </c>
      <c r="DG494" s="236">
        <v>1326.8</v>
      </c>
      <c r="DH494" s="492">
        <v>1434.5</v>
      </c>
      <c r="DI494" s="236">
        <v>1409.1</v>
      </c>
      <c r="DJ494" s="236">
        <v>1530.1999999999998</v>
      </c>
      <c r="DK494" s="236">
        <v>1870.8909928809878</v>
      </c>
      <c r="DL494" s="236">
        <v>2194.464375709746</v>
      </c>
      <c r="DM494" s="236">
        <v>2410.49299088006</v>
      </c>
      <c r="DN494" s="236">
        <v>2533.7858671030581</v>
      </c>
      <c r="DO494" s="236">
        <v>2641.958680137483</v>
      </c>
      <c r="DP494" s="236">
        <v>2782.9952544676585</v>
      </c>
      <c r="DQ494" s="258">
        <v>2932.1988364305566</v>
      </c>
      <c r="DR494" s="258">
        <v>3089.7047705349751</v>
      </c>
      <c r="DS494" s="258">
        <v>3256.4266791886835</v>
      </c>
      <c r="DT494" s="258">
        <v>3433.2905845518308</v>
      </c>
      <c r="DU494" s="258">
        <v>3622.8150157971127</v>
      </c>
      <c r="DV494" s="258">
        <v>3829.2416400765674</v>
      </c>
      <c r="DW494" s="258">
        <v>4049.2079666237405</v>
      </c>
      <c r="DX494" s="258">
        <v>4284.2578791197411</v>
      </c>
      <c r="DY494" s="258">
        <v>4536.0552705101118</v>
      </c>
    </row>
    <row r="495" spans="2:129" hidden="1">
      <c r="B495" s="3" t="str">
        <f>B230</f>
        <v>Niet belasting ontvangsten</v>
      </c>
      <c r="C495" s="3" t="str">
        <f>C230</f>
        <v>NBO</v>
      </c>
      <c r="D495" s="3"/>
      <c r="BG495" s="3">
        <f t="shared" ref="BG495:BP495" si="1997">BG230</f>
        <v>423.57957200000021</v>
      </c>
      <c r="BH495" s="280">
        <f t="shared" si="1997"/>
        <v>427.97982000000002</v>
      </c>
      <c r="BI495" s="280">
        <f t="shared" si="1997"/>
        <v>757.69573799999989</v>
      </c>
      <c r="BJ495" s="280">
        <f t="shared" si="1997"/>
        <v>578.5</v>
      </c>
      <c r="BK495" s="280">
        <f t="shared" si="1997"/>
        <v>754.32093199999997</v>
      </c>
      <c r="BL495" s="280">
        <f t="shared" si="1997"/>
        <v>1005.4</v>
      </c>
      <c r="BM495" s="280">
        <f t="shared" si="1997"/>
        <v>826.59998000000007</v>
      </c>
      <c r="BN495" s="280">
        <f t="shared" si="1997"/>
        <v>891.7999890000001</v>
      </c>
      <c r="BO495" s="280">
        <f t="shared" si="1997"/>
        <v>672.09963300000004</v>
      </c>
      <c r="BP495" s="280">
        <f t="shared" ca="1" si="1997"/>
        <v>805.12954855732914</v>
      </c>
      <c r="BQ495" s="280">
        <f t="shared" ref="BQ495:BV495" ca="1" si="1998">BQ230</f>
        <v>989.37161138115675</v>
      </c>
      <c r="BR495" s="280">
        <f t="shared" ca="1" si="1998"/>
        <v>1102.5358504055775</v>
      </c>
      <c r="BS495" s="280">
        <f t="shared" ca="1" si="1998"/>
        <v>1154.5104664999301</v>
      </c>
      <c r="BT495" s="280">
        <f t="shared" ca="1" si="1998"/>
        <v>1190.2819278782167</v>
      </c>
      <c r="BU495" s="280">
        <f t="shared" ca="1" si="1998"/>
        <v>1232.4353740162819</v>
      </c>
      <c r="BV495" s="280">
        <f t="shared" ca="1" si="1998"/>
        <v>1280.1436489477826</v>
      </c>
      <c r="BW495" s="280">
        <f t="shared" ref="BW495:BX495" ca="1" si="1999">BW230</f>
        <v>1329.6635863452502</v>
      </c>
      <c r="BX495" s="280">
        <f t="shared" ca="1" si="1999"/>
        <v>1380.7096129756746</v>
      </c>
      <c r="BY495" s="280">
        <f t="shared" ref="BY495:CD495" ca="1" si="2000">BY230</f>
        <v>1433.2178070869645</v>
      </c>
      <c r="BZ495" s="280">
        <f t="shared" ca="1" si="2000"/>
        <v>1487.9534231678833</v>
      </c>
      <c r="CA495" s="280">
        <f t="shared" ca="1" si="2000"/>
        <v>1545.6642216298808</v>
      </c>
      <c r="CB495" s="280">
        <f t="shared" ca="1" si="2000"/>
        <v>1605.3758176075253</v>
      </c>
      <c r="CC495" s="280">
        <f t="shared" ca="1" si="2000"/>
        <v>1667.424905271763</v>
      </c>
      <c r="CD495" s="280">
        <f t="shared" ca="1" si="2000"/>
        <v>1731.9872530446971</v>
      </c>
      <c r="CE495" s="280"/>
      <c r="CG495" s="235">
        <f t="shared" si="1906"/>
        <v>0</v>
      </c>
      <c r="CH495" s="235">
        <f t="shared" si="1907"/>
        <v>0</v>
      </c>
      <c r="CI495" s="235" t="e">
        <f>BM495-#REF!</f>
        <v>#REF!</v>
      </c>
      <c r="CJ495" s="235">
        <f t="shared" si="1908"/>
        <v>0</v>
      </c>
      <c r="CK495" s="235">
        <f t="shared" si="1909"/>
        <v>0</v>
      </c>
      <c r="CL495" s="235">
        <f t="shared" ca="1" si="1910"/>
        <v>0</v>
      </c>
      <c r="CM495" s="235">
        <f t="shared" ca="1" si="1911"/>
        <v>0</v>
      </c>
      <c r="CN495" s="235">
        <f t="shared" ca="1" si="1912"/>
        <v>0</v>
      </c>
      <c r="CO495" s="235">
        <f t="shared" ca="1" si="1913"/>
        <v>0</v>
      </c>
      <c r="CP495" s="235">
        <f t="shared" ca="1" si="1914"/>
        <v>0</v>
      </c>
      <c r="CQ495" s="235">
        <f t="shared" ca="1" si="1915"/>
        <v>0</v>
      </c>
      <c r="CR495" s="235">
        <f t="shared" ca="1" si="1916"/>
        <v>0</v>
      </c>
      <c r="CS495" s="235">
        <f t="shared" ca="1" si="1917"/>
        <v>0</v>
      </c>
      <c r="CT495" s="235">
        <f t="shared" ca="1" si="1918"/>
        <v>2.0463630789890885E-12</v>
      </c>
      <c r="CU495" s="235">
        <f t="shared" ca="1" si="1919"/>
        <v>2.7284841053187847E-12</v>
      </c>
      <c r="CV495" s="235">
        <f t="shared" ca="1" si="1920"/>
        <v>3.637978807091713E-12</v>
      </c>
      <c r="CW495" s="235">
        <f t="shared" ca="1" si="1921"/>
        <v>4.0927261579781771E-12</v>
      </c>
      <c r="CX495" s="235">
        <f t="shared" ca="1" si="1922"/>
        <v>-4.7748471843078732E-12</v>
      </c>
      <c r="CY495" s="235">
        <f t="shared" ca="1" si="1923"/>
        <v>-1.1141310096718371E-10</v>
      </c>
      <c r="CZ495" s="235">
        <f t="shared" ca="1" si="1924"/>
        <v>-9.4428287411574274E-10</v>
      </c>
      <c r="DD495" s="236">
        <v>390.889521</v>
      </c>
      <c r="DE495" s="236">
        <v>396.858023</v>
      </c>
      <c r="DF495" s="236">
        <v>757.69573799999989</v>
      </c>
      <c r="DG495" s="236">
        <v>754.32093199999997</v>
      </c>
      <c r="DH495" s="492">
        <v>1005.4</v>
      </c>
      <c r="DI495" s="236">
        <v>891.7999890000001</v>
      </c>
      <c r="DJ495" s="236">
        <v>672.09963300000004</v>
      </c>
      <c r="DK495" s="236">
        <v>805.12954855732914</v>
      </c>
      <c r="DL495" s="236">
        <v>989.37161138115675</v>
      </c>
      <c r="DM495" s="236">
        <v>1102.5358504055775</v>
      </c>
      <c r="DN495" s="236">
        <v>1154.5104664999303</v>
      </c>
      <c r="DO495" s="236">
        <v>1190.2819278782169</v>
      </c>
      <c r="DP495" s="236">
        <v>1232.4353740162819</v>
      </c>
      <c r="DQ495" s="258">
        <v>1280.1436489477817</v>
      </c>
      <c r="DR495" s="258">
        <v>1329.6635863452486</v>
      </c>
      <c r="DS495" s="258">
        <v>1380.7096129756726</v>
      </c>
      <c r="DT495" s="258">
        <v>1433.2178070869618</v>
      </c>
      <c r="DU495" s="258">
        <v>1487.9534231678797</v>
      </c>
      <c r="DV495" s="258">
        <v>1545.6642216298767</v>
      </c>
      <c r="DW495" s="258">
        <v>1605.3758176075301</v>
      </c>
      <c r="DX495" s="258">
        <v>1667.4249052718744</v>
      </c>
      <c r="DY495" s="258">
        <v>1731.9872530456414</v>
      </c>
    </row>
    <row r="496" spans="2:129" hidden="1">
      <c r="B496" s="15" t="str">
        <f>B237</f>
        <v>Schenkingsmiddelen cf.FIN</v>
      </c>
      <c r="C496" s="15" t="str">
        <f>C237</f>
        <v>KNEOWNP</v>
      </c>
      <c r="D496" s="15"/>
      <c r="BG496" s="15">
        <f t="shared" ref="BG496:BP496" si="2001">BG237</f>
        <v>423.2</v>
      </c>
      <c r="BH496" s="280">
        <f t="shared" si="2001"/>
        <v>243.58499699999999</v>
      </c>
      <c r="BI496" s="280">
        <f t="shared" si="2001"/>
        <v>354.07048700000001</v>
      </c>
      <c r="BJ496" s="280">
        <f t="shared" si="2001"/>
        <v>149.1</v>
      </c>
      <c r="BK496" s="280">
        <f t="shared" si="2001"/>
        <v>115.4</v>
      </c>
      <c r="BL496" s="280">
        <f t="shared" si="2001"/>
        <v>0</v>
      </c>
      <c r="BM496" s="280">
        <f t="shared" si="2001"/>
        <v>9.9999999999999995E-8</v>
      </c>
      <c r="BN496" s="280">
        <f t="shared" si="2001"/>
        <v>9.9999999999999995E-8</v>
      </c>
      <c r="BO496" s="280">
        <f t="shared" si="2001"/>
        <v>9.9999999999999995E-8</v>
      </c>
      <c r="BP496" s="280">
        <f t="shared" ca="1" si="2001"/>
        <v>1.2524878941213109E-7</v>
      </c>
      <c r="BQ496" s="280">
        <f t="shared" ref="BQ496:BV496" ca="1" si="2002">BQ237</f>
        <v>1.3478116070616948E-7</v>
      </c>
      <c r="BR496" s="280">
        <f t="shared" ca="1" si="2002"/>
        <v>1.4085658211723835E-7</v>
      </c>
      <c r="BS496" s="280">
        <f t="shared" ca="1" si="2002"/>
        <v>1.4533847562485555E-7</v>
      </c>
      <c r="BT496" s="280">
        <f t="shared" ca="1" si="2002"/>
        <v>1.5141535880362826E-7</v>
      </c>
      <c r="BU496" s="280">
        <f t="shared" ca="1" si="2002"/>
        <v>1.5785913780764653E-7</v>
      </c>
      <c r="BV496" s="280">
        <f t="shared" ca="1" si="2002"/>
        <v>1.6459934653425038E-7</v>
      </c>
      <c r="BW496" s="280">
        <f t="shared" ref="BW496:BX496" ca="1" si="2003">BW237</f>
        <v>1.7164741323984269E-7</v>
      </c>
      <c r="BX496" s="280">
        <f t="shared" ca="1" si="2003"/>
        <v>1.789857181834186E-7</v>
      </c>
      <c r="BY496" s="280">
        <f t="shared" ref="BY496:CD496" ca="1" si="2004">BY237</f>
        <v>1.8662175468494493E-7</v>
      </c>
      <c r="BZ496" s="280">
        <f t="shared" ca="1" si="2004"/>
        <v>1.9456979304022664E-7</v>
      </c>
      <c r="CA496" s="280">
        <f t="shared" ca="1" si="2004"/>
        <v>2.0285893224971089E-7</v>
      </c>
      <c r="CB496" s="280">
        <f t="shared" ca="1" si="2004"/>
        <v>2.1151104372670953E-7</v>
      </c>
      <c r="CC496" s="280">
        <f t="shared" ca="1" si="2004"/>
        <v>2.2052626849180103E-7</v>
      </c>
      <c r="CD496" s="280">
        <f t="shared" ca="1" si="2004"/>
        <v>2.2992018622811179E-7</v>
      </c>
      <c r="CE496" s="280"/>
      <c r="CG496" s="235">
        <f t="shared" si="1906"/>
        <v>0</v>
      </c>
      <c r="CH496" s="235">
        <f t="shared" si="1907"/>
        <v>0</v>
      </c>
      <c r="CI496" s="235" t="e">
        <f>BM496-#REF!</f>
        <v>#REF!</v>
      </c>
      <c r="CJ496" s="235">
        <f t="shared" si="1908"/>
        <v>0</v>
      </c>
      <c r="CK496" s="235">
        <f t="shared" si="1909"/>
        <v>0</v>
      </c>
      <c r="CL496" s="235">
        <f t="shared" ca="1" si="1910"/>
        <v>0</v>
      </c>
      <c r="CM496" s="235">
        <f t="shared" ca="1" si="1911"/>
        <v>0</v>
      </c>
      <c r="CN496" s="235">
        <f t="shared" ca="1" si="1912"/>
        <v>0</v>
      </c>
      <c r="CO496" s="235">
        <f t="shared" ca="1" si="1913"/>
        <v>0</v>
      </c>
      <c r="CP496" s="235">
        <f t="shared" ca="1" si="1914"/>
        <v>0</v>
      </c>
      <c r="CQ496" s="235">
        <f t="shared" ca="1" si="1915"/>
        <v>0</v>
      </c>
      <c r="CR496" s="235">
        <f t="shared" ca="1" si="1916"/>
        <v>0</v>
      </c>
      <c r="CS496" s="235">
        <f t="shared" ca="1" si="1917"/>
        <v>0</v>
      </c>
      <c r="CT496" s="235">
        <f t="shared" ca="1" si="1918"/>
        <v>0</v>
      </c>
      <c r="CU496" s="235">
        <f t="shared" ca="1" si="1919"/>
        <v>0</v>
      </c>
      <c r="CV496" s="235">
        <f t="shared" ca="1" si="1920"/>
        <v>0</v>
      </c>
      <c r="CW496" s="235">
        <f t="shared" ca="1" si="1921"/>
        <v>0</v>
      </c>
      <c r="CX496" s="235">
        <f t="shared" ca="1" si="1922"/>
        <v>1.6411263353052069E-21</v>
      </c>
      <c r="CY496" s="235">
        <f t="shared" ca="1" si="1923"/>
        <v>1.5140713932170619E-20</v>
      </c>
      <c r="CZ496" s="235">
        <f t="shared" ca="1" si="1924"/>
        <v>1.1974928291807671E-19</v>
      </c>
      <c r="DD496" s="236">
        <v>370.70384799999999</v>
      </c>
      <c r="DE496" s="236">
        <v>243.58499699999999</v>
      </c>
      <c r="DF496" s="236">
        <v>354.07048700000001</v>
      </c>
      <c r="DG496" s="236">
        <v>115.4</v>
      </c>
      <c r="DH496" s="492">
        <v>0</v>
      </c>
      <c r="DI496" s="236">
        <v>9.9999999999999995E-8</v>
      </c>
      <c r="DJ496" s="236">
        <v>9.9999999999999995E-8</v>
      </c>
      <c r="DK496" s="236">
        <v>1.2524878941213109E-7</v>
      </c>
      <c r="DL496" s="236">
        <v>1.3478116070616948E-7</v>
      </c>
      <c r="DM496" s="236">
        <v>1.4085658211723835E-7</v>
      </c>
      <c r="DN496" s="236">
        <v>1.4533847562485555E-7</v>
      </c>
      <c r="DO496" s="236">
        <v>1.5141535880362824E-7</v>
      </c>
      <c r="DP496" s="236">
        <v>1.578591378076465E-7</v>
      </c>
      <c r="DQ496" s="258">
        <v>1.6459934653425035E-7</v>
      </c>
      <c r="DR496" s="258">
        <v>1.7164741323984266E-7</v>
      </c>
      <c r="DS496" s="258">
        <v>1.7898571818341857E-7</v>
      </c>
      <c r="DT496" s="258">
        <v>1.8662175468494485E-7</v>
      </c>
      <c r="DU496" s="258">
        <v>1.9456979304022654E-7</v>
      </c>
      <c r="DV496" s="258">
        <v>2.0285893224971071E-7</v>
      </c>
      <c r="DW496" s="258">
        <v>2.1151104372670788E-7</v>
      </c>
      <c r="DX496" s="258">
        <v>2.2052626849178589E-7</v>
      </c>
      <c r="DY496" s="258">
        <v>2.2992018622799204E-7</v>
      </c>
    </row>
    <row r="497" spans="2:129" hidden="1">
      <c r="D497" s="3"/>
      <c r="BH497" s="280"/>
      <c r="BI497" s="280"/>
      <c r="BJ497" s="280"/>
      <c r="BK497" s="280"/>
      <c r="BL497" s="280"/>
      <c r="BM497" s="280"/>
      <c r="BN497" s="280"/>
      <c r="BO497" s="280"/>
      <c r="BP497" s="280"/>
      <c r="BQ497" s="280"/>
      <c r="BR497" s="280"/>
      <c r="BS497" s="280"/>
      <c r="BT497" s="280"/>
      <c r="BU497" s="280"/>
      <c r="BV497" s="280"/>
      <c r="BW497" s="280"/>
      <c r="BX497" s="280"/>
      <c r="BY497" s="280"/>
      <c r="BZ497" s="280"/>
      <c r="CA497" s="280"/>
      <c r="CB497" s="280"/>
      <c r="CC497" s="280"/>
      <c r="CD497" s="280"/>
      <c r="CE497" s="280"/>
      <c r="CF497" s="428"/>
      <c r="CG497" s="235">
        <f t="shared" si="1906"/>
        <v>0</v>
      </c>
      <c r="CH497" s="235">
        <f t="shared" si="1907"/>
        <v>0</v>
      </c>
      <c r="CI497" s="235" t="e">
        <f>BM497-#REF!</f>
        <v>#REF!</v>
      </c>
      <c r="CJ497" s="235">
        <f t="shared" si="1908"/>
        <v>0</v>
      </c>
      <c r="CK497" s="235">
        <f t="shared" si="1909"/>
        <v>0</v>
      </c>
      <c r="CL497" s="235">
        <f t="shared" si="1910"/>
        <v>0</v>
      </c>
      <c r="CM497" s="235">
        <f t="shared" si="1911"/>
        <v>0</v>
      </c>
      <c r="CN497" s="235">
        <f t="shared" si="1912"/>
        <v>0</v>
      </c>
      <c r="CO497" s="235">
        <f t="shared" si="1913"/>
        <v>0</v>
      </c>
      <c r="CP497" s="235">
        <f t="shared" si="1914"/>
        <v>0</v>
      </c>
      <c r="CQ497" s="235">
        <f t="shared" si="1915"/>
        <v>0</v>
      </c>
      <c r="CR497" s="235">
        <f t="shared" si="1916"/>
        <v>0</v>
      </c>
      <c r="CS497" s="235">
        <f t="shared" si="1917"/>
        <v>0</v>
      </c>
      <c r="CT497" s="235">
        <f t="shared" si="1918"/>
        <v>0</v>
      </c>
      <c r="CU497" s="235">
        <f t="shared" si="1919"/>
        <v>0</v>
      </c>
      <c r="CV497" s="235">
        <f t="shared" si="1920"/>
        <v>0</v>
      </c>
      <c r="CW497" s="235">
        <f t="shared" si="1921"/>
        <v>0</v>
      </c>
      <c r="CX497" s="235">
        <f t="shared" si="1922"/>
        <v>0</v>
      </c>
      <c r="CY497" s="235">
        <f t="shared" si="1923"/>
        <v>0</v>
      </c>
      <c r="CZ497" s="235">
        <f t="shared" si="1924"/>
        <v>0</v>
      </c>
    </row>
    <row r="498" spans="2:129" hidden="1">
      <c r="B498" s="3" t="str">
        <f>B239</f>
        <v>Uitgaven:</v>
      </c>
      <c r="D498" s="3"/>
      <c r="BH498" s="280"/>
      <c r="BI498" s="280"/>
      <c r="BJ498" s="280"/>
      <c r="BK498" s="280"/>
      <c r="BL498" s="280"/>
      <c r="BM498" s="280"/>
      <c r="BN498" s="280"/>
      <c r="BO498" s="280"/>
      <c r="BP498" s="280"/>
      <c r="BQ498" s="280"/>
      <c r="BR498" s="280"/>
      <c r="BS498" s="280"/>
      <c r="BT498" s="280"/>
      <c r="BU498" s="280"/>
      <c r="BV498" s="280"/>
      <c r="BW498" s="280"/>
      <c r="BX498" s="280"/>
      <c r="BY498" s="280"/>
      <c r="BZ498" s="280"/>
      <c r="CA498" s="280"/>
      <c r="CB498" s="280"/>
      <c r="CC498" s="280"/>
      <c r="CD498" s="280"/>
      <c r="CE498" s="280"/>
      <c r="CG498" s="235">
        <f t="shared" si="1906"/>
        <v>0</v>
      </c>
      <c r="CH498" s="235">
        <f t="shared" si="1907"/>
        <v>0</v>
      </c>
      <c r="CI498" s="235" t="e">
        <f>BM498-#REF!</f>
        <v>#REF!</v>
      </c>
      <c r="CJ498" s="235">
        <f t="shared" si="1908"/>
        <v>0</v>
      </c>
      <c r="CK498" s="235">
        <f t="shared" si="1909"/>
        <v>0</v>
      </c>
      <c r="CL498" s="235">
        <f t="shared" si="1910"/>
        <v>0</v>
      </c>
      <c r="CM498" s="235">
        <f t="shared" si="1911"/>
        <v>0</v>
      </c>
      <c r="CN498" s="235">
        <f t="shared" si="1912"/>
        <v>0</v>
      </c>
      <c r="CO498" s="235">
        <f t="shared" si="1913"/>
        <v>0</v>
      </c>
      <c r="CP498" s="235">
        <f t="shared" si="1914"/>
        <v>0</v>
      </c>
      <c r="CQ498" s="235">
        <f t="shared" si="1915"/>
        <v>0</v>
      </c>
      <c r="CR498" s="235">
        <f t="shared" si="1916"/>
        <v>0</v>
      </c>
      <c r="CS498" s="235">
        <f t="shared" si="1917"/>
        <v>0</v>
      </c>
      <c r="CT498" s="235">
        <f t="shared" si="1918"/>
        <v>0</v>
      </c>
      <c r="CU498" s="235">
        <f t="shared" si="1919"/>
        <v>0</v>
      </c>
      <c r="CV498" s="235">
        <f t="shared" si="1920"/>
        <v>0</v>
      </c>
      <c r="CW498" s="235">
        <f t="shared" si="1921"/>
        <v>0</v>
      </c>
      <c r="CX498" s="235">
        <f t="shared" si="1922"/>
        <v>0</v>
      </c>
      <c r="CY498" s="235">
        <f t="shared" si="1923"/>
        <v>0</v>
      </c>
      <c r="CZ498" s="235">
        <f t="shared" si="1924"/>
        <v>0</v>
      </c>
    </row>
    <row r="499" spans="2:129" hidden="1">
      <c r="B499" s="3" t="str">
        <f>B240</f>
        <v>Totaal uitgaven, incl uit schenkingen en leningen minus aflossingen</v>
      </c>
      <c r="C499" s="3">
        <f>C240</f>
        <v>0</v>
      </c>
      <c r="D499" s="3"/>
      <c r="BG499" s="3">
        <f t="shared" ref="BG499:BP499" si="2005">BG240</f>
        <v>2018.213939</v>
      </c>
      <c r="BH499" s="280">
        <f t="shared" si="2005"/>
        <v>2209.7775859999997</v>
      </c>
      <c r="BI499" s="280">
        <f t="shared" si="2005"/>
        <v>2859.505705</v>
      </c>
      <c r="BJ499" s="280">
        <f t="shared" si="2005"/>
        <v>2955.3999999999996</v>
      </c>
      <c r="BK499" s="280">
        <f t="shared" si="2005"/>
        <v>3551.0736030000007</v>
      </c>
      <c r="BL499" s="280">
        <f t="shared" si="2005"/>
        <v>4410.5999999999995</v>
      </c>
      <c r="BM499" s="280">
        <f t="shared" si="2005"/>
        <v>4728.3999999999996</v>
      </c>
      <c r="BN499" s="280">
        <f t="shared" si="2005"/>
        <v>4564.5</v>
      </c>
      <c r="BO499" s="280">
        <f t="shared" si="2005"/>
        <v>4718.5999999999995</v>
      </c>
      <c r="BP499" s="280">
        <f t="shared" ca="1" si="2005"/>
        <v>6286.2782520604333</v>
      </c>
      <c r="BQ499" s="280">
        <f t="shared" ref="BQ499:BV499" ca="1" si="2006">BQ240</f>
        <v>7432.5831090085267</v>
      </c>
      <c r="BR499" s="280">
        <f t="shared" ca="1" si="2006"/>
        <v>8167.1186612542188</v>
      </c>
      <c r="BS499" s="280">
        <f t="shared" ca="1" si="2006"/>
        <v>8730.8912301544296</v>
      </c>
      <c r="BT499" s="280">
        <f t="shared" ca="1" si="2006"/>
        <v>9383.5770071650313</v>
      </c>
      <c r="BU499" s="280">
        <f t="shared" ca="1" si="2006"/>
        <v>10131.688047007754</v>
      </c>
      <c r="BV499" s="280">
        <f t="shared" ca="1" si="2006"/>
        <v>10966.600432723719</v>
      </c>
      <c r="BW499" s="280">
        <f t="shared" ref="BW499:BX499" ca="1" si="2007">BW240</f>
        <v>11875.388877209463</v>
      </c>
      <c r="BX499" s="280">
        <f t="shared" ca="1" si="2007"/>
        <v>12882.851520253796</v>
      </c>
      <c r="BY499" s="280">
        <f t="shared" ref="BY499:CD499" ca="1" si="2008">BY240</f>
        <v>13998.82048016738</v>
      </c>
      <c r="BZ499" s="280">
        <f t="shared" ca="1" si="2008"/>
        <v>15237.296172846618</v>
      </c>
      <c r="CA499" s="280">
        <f t="shared" ca="1" si="2008"/>
        <v>16610.165802407457</v>
      </c>
      <c r="CB499" s="280">
        <f t="shared" ca="1" si="2008"/>
        <v>18108.582500647677</v>
      </c>
      <c r="CC499" s="280">
        <f t="shared" ca="1" si="2008"/>
        <v>19767.336292945478</v>
      </c>
      <c r="CD499" s="280">
        <f t="shared" ca="1" si="2008"/>
        <v>21604.72871820649</v>
      </c>
      <c r="CE499" s="280"/>
      <c r="CG499" s="235">
        <f t="shared" si="1906"/>
        <v>0</v>
      </c>
      <c r="CH499" s="235">
        <f t="shared" si="1907"/>
        <v>0</v>
      </c>
      <c r="CI499" s="235" t="e">
        <f>BM499-#REF!</f>
        <v>#REF!</v>
      </c>
      <c r="CJ499" s="235">
        <f t="shared" si="1908"/>
        <v>0</v>
      </c>
      <c r="CK499" s="235">
        <f t="shared" si="1909"/>
        <v>0</v>
      </c>
      <c r="CL499" s="235">
        <f t="shared" ca="1" si="1910"/>
        <v>0</v>
      </c>
      <c r="CM499" s="235">
        <f t="shared" ca="1" si="1911"/>
        <v>0</v>
      </c>
      <c r="CN499" s="235">
        <f t="shared" ca="1" si="1912"/>
        <v>0</v>
      </c>
      <c r="CO499" s="235">
        <f t="shared" ca="1" si="1913"/>
        <v>0</v>
      </c>
      <c r="CP499" s="235">
        <f t="shared" ca="1" si="1914"/>
        <v>0</v>
      </c>
      <c r="CQ499" s="235">
        <f t="shared" ca="1" si="1915"/>
        <v>0</v>
      </c>
      <c r="CR499" s="235">
        <f t="shared" ca="1" si="1916"/>
        <v>0</v>
      </c>
      <c r="CS499" s="235">
        <f t="shared" ca="1" si="1917"/>
        <v>0</v>
      </c>
      <c r="CT499" s="235">
        <f t="shared" ca="1" si="1918"/>
        <v>0</v>
      </c>
      <c r="CU499" s="235">
        <f t="shared" ca="1" si="1919"/>
        <v>0</v>
      </c>
      <c r="CV499" s="235">
        <f t="shared" ca="1" si="1920"/>
        <v>0</v>
      </c>
      <c r="CW499" s="235">
        <f t="shared" ca="1" si="1921"/>
        <v>0</v>
      </c>
      <c r="CX499" s="235">
        <f t="shared" ca="1" si="1922"/>
        <v>-2.9103830456733704E-11</v>
      </c>
      <c r="CY499" s="235">
        <f t="shared" ca="1" si="1923"/>
        <v>-4.0017766878008842E-10</v>
      </c>
      <c r="CZ499" s="235">
        <f t="shared" ca="1" si="1924"/>
        <v>-3.8380676414817572E-9</v>
      </c>
      <c r="DD499" s="236">
        <v>2223.8506520000005</v>
      </c>
      <c r="DE499" s="236">
        <v>2209.8182040000002</v>
      </c>
      <c r="DF499" s="236">
        <v>2927.0650559999999</v>
      </c>
      <c r="DG499" s="236">
        <v>3551.0736030000007</v>
      </c>
      <c r="DH499" s="492">
        <v>4410.5999999999995</v>
      </c>
      <c r="DI499" s="236">
        <v>4564.5</v>
      </c>
      <c r="DJ499" s="236">
        <v>4718.5999999999995</v>
      </c>
      <c r="DK499" s="236">
        <v>6286.2782520604333</v>
      </c>
      <c r="DL499" s="236">
        <v>7432.5831090085276</v>
      </c>
      <c r="DM499" s="236">
        <v>8167.1186612542197</v>
      </c>
      <c r="DN499" s="236">
        <v>8730.8912301544296</v>
      </c>
      <c r="DO499" s="236">
        <v>9383.5770071650313</v>
      </c>
      <c r="DP499" s="236">
        <v>10131.688047007754</v>
      </c>
      <c r="DQ499" s="258">
        <v>10966.600432723721</v>
      </c>
      <c r="DR499" s="258">
        <v>11875.388877209461</v>
      </c>
      <c r="DS499" s="258">
        <v>12882.851520253793</v>
      </c>
      <c r="DT499" s="258">
        <v>13998.820480167378</v>
      </c>
      <c r="DU499" s="258">
        <v>15237.296172846611</v>
      </c>
      <c r="DV499" s="258">
        <v>16610.165802407457</v>
      </c>
      <c r="DW499" s="258">
        <v>18108.582500647706</v>
      </c>
      <c r="DX499" s="258">
        <v>19767.336292945878</v>
      </c>
      <c r="DY499" s="258">
        <v>21604.728718210328</v>
      </c>
    </row>
    <row r="500" spans="2:129" hidden="1">
      <c r="B500" s="3" t="s">
        <v>4043</v>
      </c>
      <c r="D500" s="3"/>
      <c r="BG500" s="3">
        <f t="shared" ref="BG500:BP500" si="2009">BG501+BG502+BG503+BG504</f>
        <v>1564.9453020000001</v>
      </c>
      <c r="BH500" s="280">
        <f t="shared" si="2009"/>
        <v>1682.1398399999998</v>
      </c>
      <c r="BI500" s="280">
        <f t="shared" si="2009"/>
        <v>2119.8057049999998</v>
      </c>
      <c r="BJ500" s="280">
        <f t="shared" si="2009"/>
        <v>2299.1000000000004</v>
      </c>
      <c r="BK500" s="280">
        <f t="shared" si="2009"/>
        <v>2714.373603</v>
      </c>
      <c r="BL500" s="280">
        <f t="shared" si="2009"/>
        <v>3540.6</v>
      </c>
      <c r="BM500" s="280">
        <f t="shared" si="2009"/>
        <v>3740.2000000000003</v>
      </c>
      <c r="BN500" s="280">
        <f t="shared" si="2009"/>
        <v>3513.1</v>
      </c>
      <c r="BO500" s="280">
        <f t="shared" si="2009"/>
        <v>4000.9</v>
      </c>
      <c r="BP500" s="280">
        <f t="shared" ca="1" si="2009"/>
        <v>5240.9897239665561</v>
      </c>
      <c r="BQ500" s="280">
        <f t="shared" ref="BQ500:BV500" ca="1" si="2010">BQ501+BQ502+BQ503+BQ504</f>
        <v>6159.8126205728458</v>
      </c>
      <c r="BR500" s="280">
        <f t="shared" ca="1" si="2010"/>
        <v>6647.7233519038018</v>
      </c>
      <c r="BS500" s="280">
        <f t="shared" ca="1" si="2010"/>
        <v>6949.7422721625426</v>
      </c>
      <c r="BT500" s="280">
        <f t="shared" ca="1" si="2010"/>
        <v>7289.3175098787087</v>
      </c>
      <c r="BU500" s="280">
        <f t="shared" ca="1" si="2010"/>
        <v>7659.1222092433345</v>
      </c>
      <c r="BV500" s="280">
        <f t="shared" ca="1" si="2010"/>
        <v>8052.9059716957654</v>
      </c>
      <c r="BW500" s="280">
        <f t="shared" ref="BW500:BX500" ca="1" si="2011">BW501+BW502+BW503+BW504</f>
        <v>8449.8798319307916</v>
      </c>
      <c r="BX500" s="280">
        <f t="shared" ca="1" si="2011"/>
        <v>8864.7303527895601</v>
      </c>
      <c r="BY500" s="280">
        <f t="shared" ref="BY500:CD500" ca="1" si="2012">BY501+BY502+BY503+BY504</f>
        <v>9297.2427221761754</v>
      </c>
      <c r="BZ500" s="280">
        <f t="shared" ca="1" si="2012"/>
        <v>9748.9913187407074</v>
      </c>
      <c r="CA500" s="280">
        <f t="shared" ca="1" si="2012"/>
        <v>10222.55496816917</v>
      </c>
      <c r="CB500" s="280">
        <f t="shared" ca="1" si="2012"/>
        <v>10697.966938378351</v>
      </c>
      <c r="CC500" s="280">
        <f t="shared" ca="1" si="2012"/>
        <v>11194.755394466876</v>
      </c>
      <c r="CD500" s="280">
        <f t="shared" ca="1" si="2012"/>
        <v>11713.863122749362</v>
      </c>
      <c r="CE500" s="280"/>
      <c r="CG500" s="235">
        <f t="shared" si="1906"/>
        <v>0</v>
      </c>
      <c r="CH500" s="235">
        <f t="shared" si="1907"/>
        <v>0</v>
      </c>
      <c r="CI500" s="235" t="e">
        <f>BM500-#REF!</f>
        <v>#REF!</v>
      </c>
      <c r="CJ500" s="235">
        <f t="shared" si="1908"/>
        <v>0</v>
      </c>
      <c r="CK500" s="235">
        <f t="shared" si="1909"/>
        <v>0</v>
      </c>
      <c r="CL500" s="235">
        <f t="shared" ca="1" si="1910"/>
        <v>0</v>
      </c>
      <c r="CM500" s="235">
        <f t="shared" ca="1" si="1911"/>
        <v>0</v>
      </c>
      <c r="CN500" s="235">
        <f t="shared" ca="1" si="1912"/>
        <v>0</v>
      </c>
      <c r="CO500" s="235">
        <f t="shared" ca="1" si="1913"/>
        <v>0</v>
      </c>
      <c r="CP500" s="235">
        <f t="shared" ca="1" si="1914"/>
        <v>0</v>
      </c>
      <c r="CQ500" s="235">
        <f t="shared" ca="1" si="1915"/>
        <v>0</v>
      </c>
      <c r="CR500" s="235">
        <f t="shared" ca="1" si="1916"/>
        <v>0</v>
      </c>
      <c r="CS500" s="235">
        <f t="shared" ca="1" si="1917"/>
        <v>0</v>
      </c>
      <c r="CT500" s="235">
        <f t="shared" ca="1" si="1918"/>
        <v>0</v>
      </c>
      <c r="CU500" s="235">
        <f t="shared" ca="1" si="1919"/>
        <v>0</v>
      </c>
      <c r="CV500" s="235">
        <f t="shared" ca="1" si="1920"/>
        <v>0</v>
      </c>
      <c r="CW500" s="235">
        <f t="shared" ca="1" si="1921"/>
        <v>0</v>
      </c>
      <c r="CX500" s="235">
        <f t="shared" ca="1" si="1922"/>
        <v>-8.7311491370201111E-11</v>
      </c>
      <c r="CY500" s="235">
        <f t="shared" ca="1" si="1923"/>
        <v>-9.3132257461547852E-10</v>
      </c>
      <c r="CZ500" s="235">
        <f t="shared" ca="1" si="1924"/>
        <v>-7.3341652750968933E-9</v>
      </c>
      <c r="DD500" s="236">
        <v>1559.6780220000001</v>
      </c>
      <c r="DE500" s="236">
        <v>1682.13984</v>
      </c>
      <c r="DF500" s="236">
        <v>2119.8057049999998</v>
      </c>
      <c r="DG500" s="236">
        <v>2714.373603</v>
      </c>
      <c r="DH500" s="492">
        <v>3540.6</v>
      </c>
      <c r="DI500" s="236">
        <v>3513.1</v>
      </c>
      <c r="DJ500" s="236">
        <v>4000.9</v>
      </c>
      <c r="DK500" s="236">
        <v>5240.989723966557</v>
      </c>
      <c r="DL500" s="236">
        <v>6159.8126205728458</v>
      </c>
      <c r="DM500" s="236">
        <v>6647.7233519038045</v>
      </c>
      <c r="DN500" s="236">
        <v>6949.7422721625426</v>
      </c>
      <c r="DO500" s="236">
        <v>7289.3175098787106</v>
      </c>
      <c r="DP500" s="236">
        <v>7659.1222092433363</v>
      </c>
      <c r="DQ500" s="258">
        <v>8052.9059716957681</v>
      </c>
      <c r="DR500" s="258">
        <v>8449.8798319307934</v>
      </c>
      <c r="DS500" s="258">
        <v>8864.7303527895601</v>
      </c>
      <c r="DT500" s="258">
        <v>9297.2427221761754</v>
      </c>
      <c r="DU500" s="258">
        <v>9748.9913187407019</v>
      </c>
      <c r="DV500" s="258">
        <v>10222.554968169172</v>
      </c>
      <c r="DW500" s="258">
        <v>10697.966938378438</v>
      </c>
      <c r="DX500" s="258">
        <v>11194.755394467807</v>
      </c>
      <c r="DY500" s="258">
        <v>11713.863122756697</v>
      </c>
    </row>
    <row r="501" spans="2:129" hidden="1">
      <c r="B501" s="15" t="str">
        <f>B242</f>
        <v>Loonsom van de overheid</v>
      </c>
      <c r="C501" s="15" t="str">
        <f>C242</f>
        <v>LOWN</v>
      </c>
      <c r="D501" s="15"/>
      <c r="BG501" s="15">
        <f t="shared" ref="BG501:BP501" si="2013">BG242</f>
        <v>692.43164899999999</v>
      </c>
      <c r="BH501" s="280">
        <f t="shared" si="2013"/>
        <v>758.54590599999995</v>
      </c>
      <c r="BI501" s="280">
        <f t="shared" si="2013"/>
        <v>967.63051199999995</v>
      </c>
      <c r="BJ501" s="280">
        <f t="shared" si="2013"/>
        <v>1075.3</v>
      </c>
      <c r="BK501" s="280">
        <f t="shared" si="2013"/>
        <v>1208.7736030000001</v>
      </c>
      <c r="BL501" s="280">
        <f t="shared" si="2013"/>
        <v>1315.6</v>
      </c>
      <c r="BM501" s="280">
        <f t="shared" si="2013"/>
        <v>1565.9</v>
      </c>
      <c r="BN501" s="280">
        <f t="shared" si="2013"/>
        <v>1510.8</v>
      </c>
      <c r="BO501" s="280">
        <f t="shared" si="2013"/>
        <v>1704</v>
      </c>
      <c r="BP501" s="280">
        <f t="shared" ca="1" si="2013"/>
        <v>2061.2001648316841</v>
      </c>
      <c r="BQ501" s="280">
        <f t="shared" ref="BQ501:BV501" ca="1" si="2014">BQ242</f>
        <v>2561.9492955218598</v>
      </c>
      <c r="BR501" s="280">
        <f t="shared" ca="1" si="2014"/>
        <v>2806.6754091390808</v>
      </c>
      <c r="BS501" s="280">
        <f t="shared" ca="1" si="2014"/>
        <v>2937.0183150225839</v>
      </c>
      <c r="BT501" s="280">
        <f t="shared" ca="1" si="2014"/>
        <v>3080.1273490847684</v>
      </c>
      <c r="BU501" s="280">
        <f t="shared" ca="1" si="2014"/>
        <v>3237.975001870358</v>
      </c>
      <c r="BV501" s="280">
        <f t="shared" ca="1" si="2014"/>
        <v>3407.1247020420683</v>
      </c>
      <c r="BW501" s="280">
        <f t="shared" ref="BW501:BX501" ca="1" si="2015">BW242</f>
        <v>3578.0320540949815</v>
      </c>
      <c r="BX501" s="280">
        <f t="shared" ca="1" si="2015"/>
        <v>3756.1148543986965</v>
      </c>
      <c r="BY501" s="280">
        <f t="shared" ref="BY501:CD501" ca="1" si="2016">BY242</f>
        <v>3940.961968843952</v>
      </c>
      <c r="BZ501" s="280">
        <f t="shared" ca="1" si="2016"/>
        <v>4133.387841286717</v>
      </c>
      <c r="CA501" s="280">
        <f t="shared" ca="1" si="2016"/>
        <v>4334.6400070200107</v>
      </c>
      <c r="CB501" s="280">
        <f t="shared" ca="1" si="2016"/>
        <v>4536.1845172684052</v>
      </c>
      <c r="CC501" s="280">
        <f t="shared" ca="1" si="2016"/>
        <v>4746.2628729140515</v>
      </c>
      <c r="CD501" s="280">
        <f t="shared" ca="1" si="2016"/>
        <v>4965.1900331678917</v>
      </c>
      <c r="CE501" s="280"/>
      <c r="CG501" s="235">
        <f t="shared" si="1906"/>
        <v>0</v>
      </c>
      <c r="CH501" s="235">
        <f t="shared" si="1907"/>
        <v>0</v>
      </c>
      <c r="CI501" s="235" t="e">
        <f>BM501-#REF!</f>
        <v>#REF!</v>
      </c>
      <c r="CJ501" s="235">
        <f t="shared" si="1908"/>
        <v>0</v>
      </c>
      <c r="CK501" s="235">
        <f t="shared" si="1909"/>
        <v>0</v>
      </c>
      <c r="CL501" s="235">
        <f t="shared" ca="1" si="1910"/>
        <v>0</v>
      </c>
      <c r="CM501" s="235">
        <f t="shared" ca="1" si="1911"/>
        <v>0</v>
      </c>
      <c r="CN501" s="235">
        <f t="shared" ca="1" si="1912"/>
        <v>0</v>
      </c>
      <c r="CO501" s="235">
        <f t="shared" ca="1" si="1913"/>
        <v>0</v>
      </c>
      <c r="CP501" s="235">
        <f t="shared" ca="1" si="1914"/>
        <v>0</v>
      </c>
      <c r="CQ501" s="235">
        <f t="shared" ca="1" si="1915"/>
        <v>0</v>
      </c>
      <c r="CR501" s="235">
        <f t="shared" ca="1" si="1916"/>
        <v>0</v>
      </c>
      <c r="CS501" s="235">
        <f t="shared" ca="1" si="1917"/>
        <v>0</v>
      </c>
      <c r="CT501" s="235">
        <f t="shared" ca="1" si="1918"/>
        <v>0</v>
      </c>
      <c r="CU501" s="235">
        <f t="shared" ca="1" si="1919"/>
        <v>0</v>
      </c>
      <c r="CV501" s="235">
        <f t="shared" ca="1" si="1920"/>
        <v>0</v>
      </c>
      <c r="CW501" s="235">
        <f t="shared" ca="1" si="1921"/>
        <v>0</v>
      </c>
      <c r="CX501" s="235">
        <f t="shared" ca="1" si="1922"/>
        <v>0</v>
      </c>
      <c r="CY501" s="235">
        <f t="shared" ca="1" si="1923"/>
        <v>-6.5483618527650833E-11</v>
      </c>
      <c r="CZ501" s="235">
        <f t="shared" ca="1" si="1924"/>
        <v>-7.6033757068216801E-10</v>
      </c>
      <c r="DD501" s="236">
        <v>692.43164899999999</v>
      </c>
      <c r="DE501" s="236">
        <v>758.54590599999995</v>
      </c>
      <c r="DF501" s="236">
        <v>967.63051199999995</v>
      </c>
      <c r="DG501" s="236">
        <v>1208.7736030000001</v>
      </c>
      <c r="DH501" s="492">
        <v>1315.6</v>
      </c>
      <c r="DI501" s="236">
        <v>1510.8</v>
      </c>
      <c r="DJ501" s="236">
        <v>1704</v>
      </c>
      <c r="DK501" s="236">
        <v>2061.2001648316837</v>
      </c>
      <c r="DL501" s="236">
        <v>2561.9492955218589</v>
      </c>
      <c r="DM501" s="236">
        <v>2806.6754091390799</v>
      </c>
      <c r="DN501" s="236">
        <v>2937.018315022583</v>
      </c>
      <c r="DO501" s="236">
        <v>3080.1273490847693</v>
      </c>
      <c r="DP501" s="236">
        <v>3237.9750018703608</v>
      </c>
      <c r="DQ501" s="258">
        <v>3407.1247020420706</v>
      </c>
      <c r="DR501" s="258">
        <v>3578.0320540949829</v>
      </c>
      <c r="DS501" s="258">
        <v>3756.1148543986974</v>
      </c>
      <c r="DT501" s="258">
        <v>3940.9619688439525</v>
      </c>
      <c r="DU501" s="258">
        <v>4133.387841286718</v>
      </c>
      <c r="DV501" s="258">
        <v>4334.6400070200116</v>
      </c>
      <c r="DW501" s="258">
        <v>4536.1845172684107</v>
      </c>
      <c r="DX501" s="258">
        <v>4746.262872914117</v>
      </c>
      <c r="DY501" s="258">
        <v>4965.190033168652</v>
      </c>
    </row>
    <row r="502" spans="2:129" hidden="1">
      <c r="B502" s="15" t="str">
        <f>B245</f>
        <v>materiele lopende uitgaven</v>
      </c>
      <c r="C502" s="15" t="str">
        <f>C245</f>
        <v>CMOWNB3</v>
      </c>
      <c r="D502" s="15"/>
      <c r="BG502" s="15">
        <f t="shared" ref="BG502:BP503" si="2017">BG245</f>
        <v>480.76554299999998</v>
      </c>
      <c r="BH502" s="280">
        <f t="shared" si="2017"/>
        <v>488.00600400000002</v>
      </c>
      <c r="BI502" s="280">
        <f t="shared" si="2017"/>
        <v>652.25011700000005</v>
      </c>
      <c r="BJ502" s="280">
        <f t="shared" si="2017"/>
        <v>688.6</v>
      </c>
      <c r="BK502" s="280">
        <f t="shared" si="2017"/>
        <v>733.9</v>
      </c>
      <c r="BL502" s="280">
        <f t="shared" si="2017"/>
        <v>1246.4000000000001</v>
      </c>
      <c r="BM502" s="280">
        <f t="shared" si="2017"/>
        <v>1135.7</v>
      </c>
      <c r="BN502" s="280">
        <f t="shared" si="2017"/>
        <v>1024.3</v>
      </c>
      <c r="BO502" s="280">
        <f t="shared" si="2017"/>
        <v>1129.4000000000001</v>
      </c>
      <c r="BP502" s="280">
        <f t="shared" ca="1" si="2017"/>
        <v>1563.5222813735579</v>
      </c>
      <c r="BQ502" s="280">
        <f t="shared" ref="BQ502:BS503" ca="1" si="2018">BQ245</f>
        <v>1769.0917494503831</v>
      </c>
      <c r="BR502" s="280">
        <f t="shared" ca="1" si="2018"/>
        <v>1888.6671368185289</v>
      </c>
      <c r="BS502" s="280">
        <f t="shared" ca="1" si="2018"/>
        <v>1973.0812996620969</v>
      </c>
      <c r="BT502" s="280">
        <f t="shared" ref="BT502:BV503" ca="1" si="2019">BT245</f>
        <v>2069.6849525885655</v>
      </c>
      <c r="BU502" s="280">
        <f t="shared" ca="1" si="2019"/>
        <v>2173.9055492215766</v>
      </c>
      <c r="BV502" s="280">
        <f t="shared" ca="1" si="2019"/>
        <v>2284.3595132338751</v>
      </c>
      <c r="BW502" s="280">
        <f t="shared" ref="BW502:BX502" ca="1" si="2020">BW245</f>
        <v>2395.5178197952746</v>
      </c>
      <c r="BX502" s="280">
        <f t="shared" ca="1" si="2020"/>
        <v>2511.9379789640998</v>
      </c>
      <c r="BY502" s="280">
        <f t="shared" ref="BY502:CD502" ca="1" si="2021">BY245</f>
        <v>2633.7165234940189</v>
      </c>
      <c r="BZ502" s="280">
        <f t="shared" ca="1" si="2021"/>
        <v>2761.2271180445518</v>
      </c>
      <c r="CA502" s="280">
        <f t="shared" ca="1" si="2021"/>
        <v>2895.1243663728746</v>
      </c>
      <c r="CB502" s="280">
        <f t="shared" ca="1" si="2021"/>
        <v>3029.786697897845</v>
      </c>
      <c r="CC502" s="280">
        <f t="shared" ca="1" si="2021"/>
        <v>3170.7638355356066</v>
      </c>
      <c r="CD502" s="280">
        <f t="shared" ca="1" si="2021"/>
        <v>3318.3644857735517</v>
      </c>
      <c r="CE502" s="280"/>
      <c r="CG502" s="235">
        <f t="shared" si="1906"/>
        <v>0</v>
      </c>
      <c r="CH502" s="235">
        <f t="shared" si="1907"/>
        <v>0</v>
      </c>
      <c r="CI502" s="235" t="e">
        <f>BM502-#REF!</f>
        <v>#REF!</v>
      </c>
      <c r="CJ502" s="235">
        <f t="shared" si="1908"/>
        <v>0</v>
      </c>
      <c r="CK502" s="235">
        <f t="shared" si="1909"/>
        <v>0</v>
      </c>
      <c r="CL502" s="235">
        <f t="shared" ca="1" si="1910"/>
        <v>0</v>
      </c>
      <c r="CM502" s="235">
        <f t="shared" ca="1" si="1911"/>
        <v>0</v>
      </c>
      <c r="CN502" s="235">
        <f t="shared" ca="1" si="1912"/>
        <v>0</v>
      </c>
      <c r="CO502" s="235">
        <f t="shared" ca="1" si="1913"/>
        <v>0</v>
      </c>
      <c r="CP502" s="235">
        <f t="shared" ca="1" si="1914"/>
        <v>0</v>
      </c>
      <c r="CQ502" s="235">
        <f t="shared" ca="1" si="1915"/>
        <v>0</v>
      </c>
      <c r="CR502" s="235">
        <f t="shared" ca="1" si="1916"/>
        <v>0</v>
      </c>
      <c r="CS502" s="235">
        <f t="shared" ca="1" si="1917"/>
        <v>0</v>
      </c>
      <c r="CT502" s="235">
        <f t="shared" ca="1" si="1918"/>
        <v>0</v>
      </c>
      <c r="CU502" s="235">
        <f t="shared" ca="1" si="1919"/>
        <v>0</v>
      </c>
      <c r="CV502" s="235">
        <f t="shared" ca="1" si="1920"/>
        <v>0</v>
      </c>
      <c r="CW502" s="235">
        <f t="shared" ca="1" si="1921"/>
        <v>0</v>
      </c>
      <c r="CX502" s="235">
        <f t="shared" ca="1" si="1922"/>
        <v>2.9558577807620168E-11</v>
      </c>
      <c r="CY502" s="235">
        <f t="shared" ca="1" si="1923"/>
        <v>2.9331204132176936E-10</v>
      </c>
      <c r="CZ502" s="235">
        <f t="shared" ca="1" si="1924"/>
        <v>2.382876118645072E-9</v>
      </c>
      <c r="DD502" s="236">
        <v>381.13493299999999</v>
      </c>
      <c r="DE502" s="236">
        <v>435.83193699999998</v>
      </c>
      <c r="DF502" s="236">
        <v>652.25011700000005</v>
      </c>
      <c r="DG502" s="236">
        <v>733.9</v>
      </c>
      <c r="DH502" s="492">
        <v>1246.4000000000001</v>
      </c>
      <c r="DI502" s="236">
        <v>1024.3</v>
      </c>
      <c r="DJ502" s="236">
        <v>1129.4000000000001</v>
      </c>
      <c r="DK502" s="236">
        <v>1563.5222813735577</v>
      </c>
      <c r="DL502" s="236">
        <v>1769.0917494503826</v>
      </c>
      <c r="DM502" s="236">
        <v>1888.6671368185289</v>
      </c>
      <c r="DN502" s="236">
        <v>1973.0812996620969</v>
      </c>
      <c r="DO502" s="236">
        <v>2069.6849525885655</v>
      </c>
      <c r="DP502" s="236">
        <v>2173.9055492215762</v>
      </c>
      <c r="DQ502" s="258">
        <v>2284.3595132338746</v>
      </c>
      <c r="DR502" s="258">
        <v>2395.5178197952741</v>
      </c>
      <c r="DS502" s="258">
        <v>2511.9379789640993</v>
      </c>
      <c r="DT502" s="258">
        <v>2633.7165234940185</v>
      </c>
      <c r="DU502" s="258">
        <v>2761.2271180445509</v>
      </c>
      <c r="DV502" s="258">
        <v>2895.1243663728719</v>
      </c>
      <c r="DW502" s="258">
        <v>3029.7866978978154</v>
      </c>
      <c r="DX502" s="258">
        <v>3170.7638355353133</v>
      </c>
      <c r="DY502" s="258">
        <v>3318.3644857711688</v>
      </c>
    </row>
    <row r="503" spans="2:129" hidden="1">
      <c r="B503" s="15" t="str">
        <f>B246</f>
        <v>Subsidie</v>
      </c>
      <c r="C503" s="15">
        <f>C246</f>
        <v>0</v>
      </c>
      <c r="D503" s="15"/>
      <c r="BG503" s="15">
        <f t="shared" si="2017"/>
        <v>391.74811</v>
      </c>
      <c r="BH503" s="280">
        <f t="shared" si="2017"/>
        <v>435.58792999999997</v>
      </c>
      <c r="BI503" s="280">
        <f t="shared" si="2017"/>
        <v>499.92507599999999</v>
      </c>
      <c r="BJ503" s="280">
        <f t="shared" si="2017"/>
        <v>535.20000000000005</v>
      </c>
      <c r="BK503" s="280">
        <f t="shared" si="2017"/>
        <v>771.7</v>
      </c>
      <c r="BL503" s="280">
        <f t="shared" si="2017"/>
        <v>978.6</v>
      </c>
      <c r="BM503" s="280">
        <f t="shared" si="2017"/>
        <v>1038.5999999999999</v>
      </c>
      <c r="BN503" s="280">
        <f t="shared" si="2017"/>
        <v>978</v>
      </c>
      <c r="BO503" s="280">
        <f t="shared" si="2017"/>
        <v>1167.5</v>
      </c>
      <c r="BP503" s="280">
        <f t="shared" ca="1" si="2017"/>
        <v>1616.2672777613147</v>
      </c>
      <c r="BQ503" s="280">
        <f t="shared" ca="1" si="2018"/>
        <v>1828.7715756006039</v>
      </c>
      <c r="BR503" s="280">
        <f t="shared" ca="1" si="2018"/>
        <v>1952.3808059461949</v>
      </c>
      <c r="BS503" s="280">
        <f t="shared" ca="1" si="2018"/>
        <v>2039.6426574778625</v>
      </c>
      <c r="BT503" s="280">
        <f t="shared" ca="1" si="2019"/>
        <v>2139.5052082053739</v>
      </c>
      <c r="BU503" s="280">
        <f t="shared" ca="1" si="2019"/>
        <v>2247.2416581513985</v>
      </c>
      <c r="BV503" s="280">
        <f t="shared" ca="1" si="2019"/>
        <v>2361.4217564198225</v>
      </c>
      <c r="BW503" s="280">
        <f t="shared" ref="BW503:BX503" ca="1" si="2022">BW246</f>
        <v>2476.3299580405355</v>
      </c>
      <c r="BX503" s="280">
        <f t="shared" ca="1" si="2022"/>
        <v>2596.6775194267611</v>
      </c>
      <c r="BY503" s="280">
        <f t="shared" ref="BY503:CD503" ca="1" si="2023">BY246</f>
        <v>2722.5642298382008</v>
      </c>
      <c r="BZ503" s="280">
        <f t="shared" ca="1" si="2023"/>
        <v>2854.3763594094298</v>
      </c>
      <c r="CA503" s="280">
        <f t="shared" ca="1" si="2023"/>
        <v>2992.7905947762747</v>
      </c>
      <c r="CB503" s="280">
        <f t="shared" ca="1" si="2023"/>
        <v>3131.9957232120814</v>
      </c>
      <c r="CC503" s="280">
        <f t="shared" ca="1" si="2023"/>
        <v>3277.7286860171835</v>
      </c>
      <c r="CD503" s="280">
        <f t="shared" ca="1" si="2023"/>
        <v>3430.3086038078636</v>
      </c>
      <c r="CE503" s="280"/>
      <c r="CG503" s="235">
        <f t="shared" si="1906"/>
        <v>0</v>
      </c>
      <c r="CH503" s="235">
        <f t="shared" si="1907"/>
        <v>0</v>
      </c>
      <c r="CI503" s="235" t="e">
        <f>BM503-#REF!</f>
        <v>#REF!</v>
      </c>
      <c r="CJ503" s="235">
        <f t="shared" si="1908"/>
        <v>0</v>
      </c>
      <c r="CK503" s="235">
        <f t="shared" si="1909"/>
        <v>0</v>
      </c>
      <c r="CL503" s="235">
        <f t="shared" ca="1" si="1910"/>
        <v>0</v>
      </c>
      <c r="CM503" s="235">
        <f t="shared" ca="1" si="1911"/>
        <v>0</v>
      </c>
      <c r="CN503" s="235">
        <f t="shared" ca="1" si="1912"/>
        <v>0</v>
      </c>
      <c r="CO503" s="235">
        <f t="shared" ca="1" si="1913"/>
        <v>0</v>
      </c>
      <c r="CP503" s="235">
        <f t="shared" ca="1" si="1914"/>
        <v>0</v>
      </c>
      <c r="CQ503" s="235">
        <f t="shared" ca="1" si="1915"/>
        <v>0</v>
      </c>
      <c r="CR503" s="235">
        <f t="shared" ca="1" si="1916"/>
        <v>0</v>
      </c>
      <c r="CS503" s="235">
        <f t="shared" ca="1" si="1917"/>
        <v>0</v>
      </c>
      <c r="CT503" s="235">
        <f t="shared" ca="1" si="1918"/>
        <v>0</v>
      </c>
      <c r="CU503" s="235">
        <f t="shared" ca="1" si="1919"/>
        <v>0</v>
      </c>
      <c r="CV503" s="235">
        <f t="shared" ca="1" si="1920"/>
        <v>0</v>
      </c>
      <c r="CW503" s="235">
        <f t="shared" ca="1" si="1921"/>
        <v>0</v>
      </c>
      <c r="CX503" s="235">
        <f t="shared" ca="1" si="1922"/>
        <v>1.4551915228366852E-11</v>
      </c>
      <c r="CY503" s="235">
        <f t="shared" ca="1" si="1923"/>
        <v>1.064108801074326E-10</v>
      </c>
      <c r="CZ503" s="235">
        <f t="shared" ca="1" si="1924"/>
        <v>5.0340531743131578E-10</v>
      </c>
      <c r="DD503" s="236">
        <v>486.11144000000002</v>
      </c>
      <c r="DE503" s="236">
        <v>487.76199700000001</v>
      </c>
      <c r="DF503" s="236">
        <v>499.92507599999999</v>
      </c>
      <c r="DG503" s="236">
        <v>771.7</v>
      </c>
      <c r="DH503" s="492">
        <v>978.6</v>
      </c>
      <c r="DI503" s="236">
        <v>978</v>
      </c>
      <c r="DJ503" s="236">
        <v>1167.5</v>
      </c>
      <c r="DK503" s="236">
        <v>1616.2672777613143</v>
      </c>
      <c r="DL503" s="236">
        <v>1828.7715756006035</v>
      </c>
      <c r="DM503" s="236">
        <v>1952.380805946194</v>
      </c>
      <c r="DN503" s="236">
        <v>2039.6426574778618</v>
      </c>
      <c r="DO503" s="236">
        <v>2139.5052082053739</v>
      </c>
      <c r="DP503" s="236">
        <v>2247.241658151398</v>
      </c>
      <c r="DQ503" s="258">
        <v>2361.4217564198225</v>
      </c>
      <c r="DR503" s="258">
        <v>2476.3299580405351</v>
      </c>
      <c r="DS503" s="258">
        <v>2596.6775194267611</v>
      </c>
      <c r="DT503" s="258">
        <v>2722.5642298381999</v>
      </c>
      <c r="DU503" s="258">
        <v>2854.3763594094289</v>
      </c>
      <c r="DV503" s="258">
        <v>2992.7905947762729</v>
      </c>
      <c r="DW503" s="258">
        <v>3131.9957232120669</v>
      </c>
      <c r="DX503" s="258">
        <v>3277.7286860170771</v>
      </c>
      <c r="DY503" s="258">
        <v>3430.3086038073602</v>
      </c>
    </row>
    <row r="504" spans="2:129" hidden="1">
      <c r="B504" s="15" t="str">
        <f>B251</f>
        <v>Intrest</v>
      </c>
      <c r="C504" s="15">
        <f>C251</f>
        <v>0</v>
      </c>
      <c r="D504" s="15"/>
      <c r="BG504" s="15">
        <f>BG251</f>
        <v>0</v>
      </c>
      <c r="BH504" s="280">
        <f>BH251</f>
        <v>0</v>
      </c>
      <c r="BI504" s="280">
        <f>BI251</f>
        <v>0</v>
      </c>
      <c r="BJ504" s="280">
        <f>BJ251</f>
        <v>0</v>
      </c>
      <c r="BK504" s="280">
        <f t="shared" ref="BK504:BP504" si="2024">BK251</f>
        <v>0</v>
      </c>
      <c r="BL504" s="280">
        <f t="shared" si="2024"/>
        <v>0</v>
      </c>
      <c r="BM504" s="280">
        <f t="shared" si="2024"/>
        <v>0</v>
      </c>
      <c r="BN504" s="280">
        <f t="shared" si="2024"/>
        <v>0</v>
      </c>
      <c r="BO504" s="280">
        <f t="shared" si="2024"/>
        <v>0</v>
      </c>
      <c r="BP504" s="280">
        <f t="shared" si="2024"/>
        <v>0</v>
      </c>
      <c r="BQ504" s="280">
        <f t="shared" ref="BQ504:BV504" si="2025">BQ251</f>
        <v>0</v>
      </c>
      <c r="BR504" s="280">
        <f t="shared" si="2025"/>
        <v>0</v>
      </c>
      <c r="BS504" s="280">
        <f t="shared" si="2025"/>
        <v>0</v>
      </c>
      <c r="BT504" s="280">
        <f t="shared" si="2025"/>
        <v>0</v>
      </c>
      <c r="BU504" s="280">
        <f t="shared" si="2025"/>
        <v>0</v>
      </c>
      <c r="BV504" s="280">
        <f t="shared" si="2025"/>
        <v>0</v>
      </c>
      <c r="BW504" s="280">
        <f t="shared" ref="BW504:BX504" si="2026">BW251</f>
        <v>0</v>
      </c>
      <c r="BX504" s="280">
        <f t="shared" si="2026"/>
        <v>0</v>
      </c>
      <c r="BY504" s="280">
        <f t="shared" ref="BY504:CD504" si="2027">BY251</f>
        <v>0</v>
      </c>
      <c r="BZ504" s="280">
        <f t="shared" si="2027"/>
        <v>0</v>
      </c>
      <c r="CA504" s="280">
        <f t="shared" si="2027"/>
        <v>0</v>
      </c>
      <c r="CB504" s="280">
        <f t="shared" si="2027"/>
        <v>0</v>
      </c>
      <c r="CC504" s="280">
        <f t="shared" si="2027"/>
        <v>0</v>
      </c>
      <c r="CD504" s="280">
        <f t="shared" si="2027"/>
        <v>0</v>
      </c>
      <c r="CE504" s="280"/>
      <c r="CG504" s="235">
        <f t="shared" si="1906"/>
        <v>0</v>
      </c>
      <c r="CH504" s="235">
        <f t="shared" si="1907"/>
        <v>0</v>
      </c>
      <c r="CI504" s="235" t="e">
        <f>BM504-#REF!</f>
        <v>#REF!</v>
      </c>
      <c r="CJ504" s="235">
        <f t="shared" si="1908"/>
        <v>0</v>
      </c>
      <c r="CK504" s="235">
        <f t="shared" si="1909"/>
        <v>0</v>
      </c>
      <c r="CL504" s="235">
        <f t="shared" si="1910"/>
        <v>0</v>
      </c>
      <c r="CM504" s="235">
        <f t="shared" si="1911"/>
        <v>0</v>
      </c>
      <c r="CN504" s="235">
        <f t="shared" si="1912"/>
        <v>0</v>
      </c>
      <c r="CO504" s="235">
        <f t="shared" si="1913"/>
        <v>0</v>
      </c>
      <c r="CP504" s="235">
        <f t="shared" si="1914"/>
        <v>0</v>
      </c>
      <c r="CQ504" s="235">
        <f t="shared" si="1915"/>
        <v>0</v>
      </c>
      <c r="CR504" s="235">
        <f t="shared" si="1916"/>
        <v>0</v>
      </c>
      <c r="CS504" s="235">
        <f t="shared" si="1917"/>
        <v>0</v>
      </c>
      <c r="CT504" s="235">
        <f t="shared" si="1918"/>
        <v>0</v>
      </c>
      <c r="CU504" s="235">
        <f t="shared" si="1919"/>
        <v>0</v>
      </c>
      <c r="CV504" s="235">
        <f t="shared" si="1920"/>
        <v>0</v>
      </c>
      <c r="CW504" s="235">
        <f t="shared" si="1921"/>
        <v>0</v>
      </c>
      <c r="CX504" s="235">
        <f t="shared" si="1922"/>
        <v>0</v>
      </c>
      <c r="CY504" s="235">
        <f t="shared" si="1923"/>
        <v>0</v>
      </c>
      <c r="CZ504" s="235">
        <f t="shared" si="1924"/>
        <v>0</v>
      </c>
      <c r="DD504" s="236">
        <v>0</v>
      </c>
      <c r="DE504" s="236">
        <v>0</v>
      </c>
      <c r="DF504" s="236">
        <v>0</v>
      </c>
      <c r="DG504" s="236">
        <v>0</v>
      </c>
      <c r="DH504" s="492">
        <v>0</v>
      </c>
      <c r="DI504" s="236">
        <v>0</v>
      </c>
      <c r="DJ504" s="236">
        <v>0</v>
      </c>
      <c r="DK504" s="236">
        <v>0</v>
      </c>
      <c r="DL504" s="236">
        <v>0</v>
      </c>
      <c r="DM504" s="236">
        <v>0</v>
      </c>
      <c r="DN504" s="236">
        <v>0</v>
      </c>
      <c r="DO504" s="236">
        <v>0</v>
      </c>
      <c r="DP504" s="236">
        <v>0</v>
      </c>
      <c r="DQ504" s="258">
        <v>0</v>
      </c>
      <c r="DR504" s="258">
        <v>0</v>
      </c>
      <c r="DS504" s="258">
        <v>0</v>
      </c>
      <c r="DT504" s="258">
        <v>0</v>
      </c>
      <c r="DU504" s="258">
        <v>0</v>
      </c>
      <c r="DV504" s="258">
        <v>0</v>
      </c>
      <c r="DW504" s="258">
        <v>0</v>
      </c>
      <c r="DX504" s="258">
        <v>0</v>
      </c>
      <c r="DY504" s="258">
        <v>0</v>
      </c>
    </row>
    <row r="505" spans="2:129" hidden="1">
      <c r="B505" s="15" t="str">
        <f>B259</f>
        <v>Lening minus aflossingen</v>
      </c>
      <c r="C505" s="15" t="str">
        <f>C259</f>
        <v>LMAWN</v>
      </c>
      <c r="D505" s="15"/>
      <c r="BG505" s="15">
        <f>BG259</f>
        <v>1.113318</v>
      </c>
      <c r="BH505" s="280">
        <f>BH259</f>
        <v>0</v>
      </c>
      <c r="BI505" s="280">
        <f>BI259</f>
        <v>0</v>
      </c>
      <c r="BJ505" s="280">
        <f>BJ259</f>
        <v>0</v>
      </c>
      <c r="BK505" s="280">
        <f t="shared" ref="BK505:BP505" si="2028">BK259</f>
        <v>0</v>
      </c>
      <c r="BL505" s="280">
        <f t="shared" si="2028"/>
        <v>0</v>
      </c>
      <c r="BM505" s="280">
        <f t="shared" si="2028"/>
        <v>0</v>
      </c>
      <c r="BN505" s="280">
        <f t="shared" si="2028"/>
        <v>0</v>
      </c>
      <c r="BO505" s="280">
        <f t="shared" si="2028"/>
        <v>0</v>
      </c>
      <c r="BP505" s="280">
        <f t="shared" si="2028"/>
        <v>0</v>
      </c>
      <c r="BQ505" s="280">
        <f t="shared" ref="BQ505:BV505" si="2029">BQ259</f>
        <v>0</v>
      </c>
      <c r="BR505" s="280">
        <f t="shared" si="2029"/>
        <v>0</v>
      </c>
      <c r="BS505" s="280">
        <f t="shared" si="2029"/>
        <v>0</v>
      </c>
      <c r="BT505" s="280">
        <f t="shared" si="2029"/>
        <v>0</v>
      </c>
      <c r="BU505" s="280">
        <f t="shared" si="2029"/>
        <v>0</v>
      </c>
      <c r="BV505" s="280">
        <f t="shared" si="2029"/>
        <v>0</v>
      </c>
      <c r="BW505" s="280">
        <f t="shared" ref="BW505:BX505" si="2030">BW259</f>
        <v>0</v>
      </c>
      <c r="BX505" s="280">
        <f t="shared" si="2030"/>
        <v>0</v>
      </c>
      <c r="BY505" s="280">
        <f t="shared" ref="BY505:CD505" si="2031">BY259</f>
        <v>0</v>
      </c>
      <c r="BZ505" s="280">
        <f t="shared" si="2031"/>
        <v>0</v>
      </c>
      <c r="CA505" s="280">
        <f t="shared" si="2031"/>
        <v>0</v>
      </c>
      <c r="CB505" s="280">
        <f t="shared" si="2031"/>
        <v>0</v>
      </c>
      <c r="CC505" s="280">
        <f t="shared" si="2031"/>
        <v>0</v>
      </c>
      <c r="CD505" s="280">
        <f t="shared" si="2031"/>
        <v>0</v>
      </c>
      <c r="CE505" s="280"/>
      <c r="CG505" s="235">
        <f t="shared" si="1906"/>
        <v>0</v>
      </c>
      <c r="CH505" s="235">
        <f t="shared" si="1907"/>
        <v>0</v>
      </c>
      <c r="CI505" s="235" t="e">
        <f>BM505-#REF!</f>
        <v>#REF!</v>
      </c>
      <c r="CJ505" s="235">
        <f t="shared" si="1908"/>
        <v>0</v>
      </c>
      <c r="CK505" s="235">
        <f t="shared" si="1909"/>
        <v>0</v>
      </c>
      <c r="CL505" s="235">
        <f t="shared" si="1910"/>
        <v>0</v>
      </c>
      <c r="CM505" s="235">
        <f t="shared" si="1911"/>
        <v>0</v>
      </c>
      <c r="CN505" s="235">
        <f t="shared" si="1912"/>
        <v>0</v>
      </c>
      <c r="CO505" s="235">
        <f t="shared" si="1913"/>
        <v>0</v>
      </c>
      <c r="CP505" s="235">
        <f t="shared" si="1914"/>
        <v>0</v>
      </c>
      <c r="CQ505" s="235">
        <f t="shared" si="1915"/>
        <v>0</v>
      </c>
      <c r="CR505" s="235">
        <f t="shared" si="1916"/>
        <v>0</v>
      </c>
      <c r="CS505" s="235">
        <f t="shared" si="1917"/>
        <v>0</v>
      </c>
      <c r="CT505" s="235">
        <f t="shared" si="1918"/>
        <v>0</v>
      </c>
      <c r="CU505" s="235">
        <f t="shared" si="1919"/>
        <v>0</v>
      </c>
      <c r="CV505" s="235">
        <f t="shared" si="1920"/>
        <v>0</v>
      </c>
      <c r="CW505" s="235">
        <f t="shared" si="1921"/>
        <v>0</v>
      </c>
      <c r="CX505" s="235">
        <f t="shared" si="1922"/>
        <v>0</v>
      </c>
      <c r="CY505" s="235">
        <f t="shared" si="1923"/>
        <v>0</v>
      </c>
      <c r="CZ505" s="235">
        <f t="shared" si="1924"/>
        <v>0</v>
      </c>
      <c r="DD505" s="236">
        <v>1.113318</v>
      </c>
      <c r="DE505" s="236">
        <v>0</v>
      </c>
      <c r="DF505" s="236">
        <v>0</v>
      </c>
      <c r="DG505" s="236">
        <v>0</v>
      </c>
      <c r="DH505" s="492">
        <v>0</v>
      </c>
      <c r="DI505" s="236">
        <v>0</v>
      </c>
      <c r="DJ505" s="236">
        <v>0</v>
      </c>
      <c r="DK505" s="236">
        <v>0</v>
      </c>
      <c r="DL505" s="236">
        <v>0</v>
      </c>
      <c r="DM505" s="236">
        <v>0</v>
      </c>
      <c r="DN505" s="236">
        <v>0</v>
      </c>
      <c r="DO505" s="236">
        <v>0</v>
      </c>
      <c r="DP505" s="236">
        <v>0</v>
      </c>
      <c r="DQ505" s="258">
        <v>0</v>
      </c>
      <c r="DR505" s="258">
        <v>0</v>
      </c>
      <c r="DS505" s="258">
        <v>0</v>
      </c>
      <c r="DT505" s="258">
        <v>0</v>
      </c>
      <c r="DU505" s="258">
        <v>0</v>
      </c>
      <c r="DV505" s="258">
        <v>0</v>
      </c>
      <c r="DW505" s="258">
        <v>0</v>
      </c>
      <c r="DX505" s="258">
        <v>0</v>
      </c>
      <c r="DY505" s="258">
        <v>0</v>
      </c>
    </row>
    <row r="506" spans="2:129" hidden="1">
      <c r="B506" s="15" t="str">
        <f>B257</f>
        <v>Overheidsinvesteringen uit schenkingen</v>
      </c>
      <c r="C506" s="15" t="str">
        <f>C257</f>
        <v>IOWNP</v>
      </c>
      <c r="D506" s="15"/>
      <c r="BG506" s="15">
        <f t="shared" ref="BG506:BP507" si="2032">BG257</f>
        <v>157.10108500000001</v>
      </c>
      <c r="BH506" s="280">
        <f t="shared" si="2032"/>
        <v>243.58499699999999</v>
      </c>
      <c r="BI506" s="280">
        <f t="shared" si="2032"/>
        <v>214.770487</v>
      </c>
      <c r="BJ506" s="280">
        <f t="shared" si="2032"/>
        <v>0</v>
      </c>
      <c r="BK506" s="280">
        <f t="shared" si="2032"/>
        <v>0</v>
      </c>
      <c r="BL506" s="280">
        <f t="shared" si="2032"/>
        <v>0</v>
      </c>
      <c r="BM506" s="280">
        <f t="shared" si="2032"/>
        <v>0</v>
      </c>
      <c r="BN506" s="280">
        <f t="shared" si="2032"/>
        <v>0</v>
      </c>
      <c r="BO506" s="280">
        <f t="shared" si="2032"/>
        <v>0</v>
      </c>
      <c r="BP506" s="280">
        <f t="shared" ca="1" si="2032"/>
        <v>0</v>
      </c>
      <c r="BQ506" s="280">
        <f t="shared" ref="BQ506:BS507" ca="1" si="2033">BQ257</f>
        <v>0</v>
      </c>
      <c r="BR506" s="280">
        <f t="shared" ca="1" si="2033"/>
        <v>0</v>
      </c>
      <c r="BS506" s="280">
        <f t="shared" ca="1" si="2033"/>
        <v>0</v>
      </c>
      <c r="BT506" s="280">
        <f t="shared" ref="BT506:BV507" ca="1" si="2034">BT257</f>
        <v>0</v>
      </c>
      <c r="BU506" s="280">
        <f t="shared" ca="1" si="2034"/>
        <v>0</v>
      </c>
      <c r="BV506" s="280">
        <f t="shared" ca="1" si="2034"/>
        <v>0</v>
      </c>
      <c r="BW506" s="280">
        <f t="shared" ref="BW506:BX506" ca="1" si="2035">BW257</f>
        <v>0</v>
      </c>
      <c r="BX506" s="280">
        <f t="shared" ca="1" si="2035"/>
        <v>0</v>
      </c>
      <c r="BY506" s="280">
        <f t="shared" ref="BY506:CD506" ca="1" si="2036">BY257</f>
        <v>0</v>
      </c>
      <c r="BZ506" s="280">
        <f t="shared" ca="1" si="2036"/>
        <v>0</v>
      </c>
      <c r="CA506" s="280">
        <f t="shared" ca="1" si="2036"/>
        <v>0</v>
      </c>
      <c r="CB506" s="280">
        <f t="shared" ca="1" si="2036"/>
        <v>0</v>
      </c>
      <c r="CC506" s="280">
        <f t="shared" ca="1" si="2036"/>
        <v>0</v>
      </c>
      <c r="CD506" s="280">
        <f t="shared" ca="1" si="2036"/>
        <v>0</v>
      </c>
      <c r="CE506" s="280"/>
      <c r="CG506" s="235">
        <f t="shared" si="1906"/>
        <v>0</v>
      </c>
      <c r="CH506" s="235">
        <f t="shared" si="1907"/>
        <v>0</v>
      </c>
      <c r="CI506" s="235" t="e">
        <f>BM506-#REF!</f>
        <v>#REF!</v>
      </c>
      <c r="CJ506" s="235">
        <f t="shared" si="1908"/>
        <v>0</v>
      </c>
      <c r="CK506" s="235">
        <f t="shared" si="1909"/>
        <v>0</v>
      </c>
      <c r="CL506" s="235">
        <f t="shared" ca="1" si="1910"/>
        <v>0</v>
      </c>
      <c r="CM506" s="235">
        <f t="shared" ca="1" si="1911"/>
        <v>0</v>
      </c>
      <c r="CN506" s="235">
        <f t="shared" ca="1" si="1912"/>
        <v>0</v>
      </c>
      <c r="CO506" s="235">
        <f t="shared" ca="1" si="1913"/>
        <v>0</v>
      </c>
      <c r="CP506" s="235">
        <f t="shared" ca="1" si="1914"/>
        <v>0</v>
      </c>
      <c r="CQ506" s="235">
        <f t="shared" ca="1" si="1915"/>
        <v>0</v>
      </c>
      <c r="CR506" s="235">
        <f t="shared" ca="1" si="1916"/>
        <v>0</v>
      </c>
      <c r="CS506" s="235">
        <f t="shared" ca="1" si="1917"/>
        <v>0</v>
      </c>
      <c r="CT506" s="235">
        <f t="shared" ca="1" si="1918"/>
        <v>0</v>
      </c>
      <c r="CU506" s="235">
        <f t="shared" ca="1" si="1919"/>
        <v>0</v>
      </c>
      <c r="CV506" s="235">
        <f t="shared" ca="1" si="1920"/>
        <v>0</v>
      </c>
      <c r="CW506" s="235">
        <f t="shared" ca="1" si="1921"/>
        <v>0</v>
      </c>
      <c r="CX506" s="235">
        <f t="shared" ca="1" si="1922"/>
        <v>0</v>
      </c>
      <c r="CY506" s="235">
        <f t="shared" ca="1" si="1923"/>
        <v>0</v>
      </c>
      <c r="CZ506" s="235">
        <f t="shared" ca="1" si="1924"/>
        <v>0</v>
      </c>
      <c r="DD506" s="236">
        <v>370.70384799999999</v>
      </c>
      <c r="DE506" s="236">
        <v>243.58499699999999</v>
      </c>
      <c r="DF506" s="236">
        <v>214.770487</v>
      </c>
      <c r="DG506" s="236">
        <v>0</v>
      </c>
      <c r="DH506" s="492">
        <v>0</v>
      </c>
      <c r="DI506" s="236">
        <v>0</v>
      </c>
      <c r="DJ506" s="236">
        <v>0</v>
      </c>
      <c r="DK506" s="236">
        <v>0</v>
      </c>
      <c r="DL506" s="236">
        <v>0</v>
      </c>
      <c r="DM506" s="236">
        <v>0</v>
      </c>
      <c r="DN506" s="236">
        <v>0</v>
      </c>
      <c r="DO506" s="236">
        <v>0</v>
      </c>
      <c r="DP506" s="236">
        <v>0</v>
      </c>
      <c r="DQ506" s="258">
        <v>0</v>
      </c>
      <c r="DR506" s="258">
        <v>0</v>
      </c>
      <c r="DS506" s="258">
        <v>0</v>
      </c>
      <c r="DT506" s="258">
        <v>0</v>
      </c>
      <c r="DU506" s="258">
        <v>0</v>
      </c>
      <c r="DV506" s="258">
        <v>0</v>
      </c>
      <c r="DW506" s="258">
        <v>0</v>
      </c>
      <c r="DX506" s="258">
        <v>0</v>
      </c>
      <c r="DY506" s="258">
        <v>0</v>
      </c>
    </row>
    <row r="507" spans="2:129" hidden="1">
      <c r="B507" s="15" t="str">
        <f>B258</f>
        <v xml:space="preserve">Overheidsinvesteringen uit begroting </v>
      </c>
      <c r="C507" s="15" t="str">
        <f>C258</f>
        <v>IOWNB</v>
      </c>
      <c r="D507" s="15"/>
      <c r="BG507" s="15">
        <f t="shared" si="2032"/>
        <v>197.85423399999999</v>
      </c>
      <c r="BH507" s="280">
        <f t="shared" si="2032"/>
        <v>222.45274900000001</v>
      </c>
      <c r="BI507" s="280">
        <f t="shared" si="2032"/>
        <v>391.62951299999997</v>
      </c>
      <c r="BJ507" s="280">
        <f t="shared" si="2032"/>
        <v>552.70000000000005</v>
      </c>
      <c r="BK507" s="280">
        <f t="shared" si="2032"/>
        <v>696.9</v>
      </c>
      <c r="BL507" s="280">
        <f t="shared" si="2032"/>
        <v>729.4</v>
      </c>
      <c r="BM507" s="280">
        <f t="shared" si="2032"/>
        <v>756</v>
      </c>
      <c r="BN507" s="280">
        <f t="shared" si="2032"/>
        <v>893</v>
      </c>
      <c r="BO507" s="280">
        <f t="shared" si="2032"/>
        <v>436.9</v>
      </c>
      <c r="BP507" s="280">
        <f t="shared" ca="1" si="2032"/>
        <v>555.57051174915171</v>
      </c>
      <c r="BQ507" s="280">
        <f t="shared" ca="1" si="2033"/>
        <v>607.15187835067104</v>
      </c>
      <c r="BR507" s="280">
        <f t="shared" ca="1" si="2033"/>
        <v>643.31872255500548</v>
      </c>
      <c r="BS507" s="280">
        <f t="shared" ca="1" si="2033"/>
        <v>673.06972148960313</v>
      </c>
      <c r="BT507" s="280">
        <f t="shared" ca="1" si="2034"/>
        <v>711.09850907748569</v>
      </c>
      <c r="BU507" s="280">
        <f t="shared" ca="1" si="2034"/>
        <v>751.90052939782277</v>
      </c>
      <c r="BV507" s="280">
        <f t="shared" ca="1" si="2034"/>
        <v>795.24418986210435</v>
      </c>
      <c r="BW507" s="280">
        <f t="shared" ref="BW507:BX507" ca="1" si="2037">BW258</f>
        <v>839.32271960957246</v>
      </c>
      <c r="BX507" s="280">
        <f t="shared" ca="1" si="2037"/>
        <v>885.8852230877377</v>
      </c>
      <c r="BY507" s="280">
        <f t="shared" ref="BY507:CD507" ca="1" si="2038">BY258</f>
        <v>935.05505100865093</v>
      </c>
      <c r="BZ507" s="280">
        <f t="shared" ca="1" si="2038"/>
        <v>986.9952506119605</v>
      </c>
      <c r="CA507" s="280">
        <f t="shared" ca="1" si="2038"/>
        <v>1041.9523287652391</v>
      </c>
      <c r="CB507" s="280">
        <f t="shared" ca="1" si="2038"/>
        <v>1097.9412465425451</v>
      </c>
      <c r="CC507" s="280">
        <f t="shared" ca="1" si="2038"/>
        <v>1157.0274289075683</v>
      </c>
      <c r="CD507" s="280">
        <f t="shared" ca="1" si="2038"/>
        <v>1219.3910365761951</v>
      </c>
      <c r="CE507" s="280"/>
      <c r="CF507" s="428"/>
      <c r="CG507" s="235">
        <f t="shared" si="1906"/>
        <v>0</v>
      </c>
      <c r="CH507" s="235">
        <f t="shared" si="1907"/>
        <v>0</v>
      </c>
      <c r="CI507" s="235" t="e">
        <f>BM507-#REF!</f>
        <v>#REF!</v>
      </c>
      <c r="CJ507" s="235">
        <f t="shared" si="1908"/>
        <v>0</v>
      </c>
      <c r="CK507" s="235">
        <f t="shared" si="1909"/>
        <v>0</v>
      </c>
      <c r="CL507" s="235">
        <f t="shared" ca="1" si="1910"/>
        <v>0</v>
      </c>
      <c r="CM507" s="235">
        <f t="shared" ca="1" si="1911"/>
        <v>0</v>
      </c>
      <c r="CN507" s="235">
        <f t="shared" ca="1" si="1912"/>
        <v>0</v>
      </c>
      <c r="CO507" s="235">
        <f t="shared" ca="1" si="1913"/>
        <v>0</v>
      </c>
      <c r="CP507" s="235">
        <f t="shared" ca="1" si="1914"/>
        <v>0</v>
      </c>
      <c r="CQ507" s="235">
        <f t="shared" ca="1" si="1915"/>
        <v>0</v>
      </c>
      <c r="CR507" s="235">
        <f t="shared" ca="1" si="1916"/>
        <v>0</v>
      </c>
      <c r="CS507" s="235">
        <f t="shared" ca="1" si="1917"/>
        <v>0</v>
      </c>
      <c r="CT507" s="235">
        <f t="shared" ca="1" si="1918"/>
        <v>0</v>
      </c>
      <c r="CU507" s="235">
        <f t="shared" ca="1" si="1919"/>
        <v>0</v>
      </c>
      <c r="CV507" s="235">
        <f t="shared" ca="1" si="1920"/>
        <v>9.0949470177292824E-13</v>
      </c>
      <c r="CW507" s="235">
        <f t="shared" ca="1" si="1921"/>
        <v>0</v>
      </c>
      <c r="CX507" s="235">
        <f t="shared" ca="1" si="1922"/>
        <v>9.0949470177292824E-12</v>
      </c>
      <c r="CY507" s="235">
        <f t="shared" ca="1" si="1923"/>
        <v>8.0262907431460917E-11</v>
      </c>
      <c r="CZ507" s="235">
        <f t="shared" ca="1" si="1924"/>
        <v>6.3596417021472007E-10</v>
      </c>
      <c r="DD507" s="236">
        <v>197.85423399999999</v>
      </c>
      <c r="DE507" s="236">
        <v>222.45274900000001</v>
      </c>
      <c r="DF507" s="236">
        <v>391.11515600000001</v>
      </c>
      <c r="DG507" s="236">
        <v>696.9</v>
      </c>
      <c r="DH507" s="492">
        <v>729.4</v>
      </c>
      <c r="DI507" s="236">
        <v>893</v>
      </c>
      <c r="DJ507" s="236">
        <v>436.9</v>
      </c>
      <c r="DK507" s="236">
        <v>555.57051174915171</v>
      </c>
      <c r="DL507" s="236">
        <v>607.15187835067104</v>
      </c>
      <c r="DM507" s="236">
        <v>643.31872255500548</v>
      </c>
      <c r="DN507" s="236">
        <v>673.06972148960313</v>
      </c>
      <c r="DO507" s="236">
        <v>711.09850907748557</v>
      </c>
      <c r="DP507" s="236">
        <v>751.90052939782265</v>
      </c>
      <c r="DQ507" s="258">
        <v>795.24418986210424</v>
      </c>
      <c r="DR507" s="258">
        <v>839.32271960957223</v>
      </c>
      <c r="DS507" s="258">
        <v>885.88522308773736</v>
      </c>
      <c r="DT507" s="258">
        <v>935.05505100865037</v>
      </c>
      <c r="DU507" s="258">
        <v>986.99525061195959</v>
      </c>
      <c r="DV507" s="258">
        <v>1041.9523287652376</v>
      </c>
      <c r="DW507" s="258">
        <v>1097.941246542536</v>
      </c>
      <c r="DX507" s="258">
        <v>1157.027428907488</v>
      </c>
      <c r="DY507" s="258">
        <v>1219.3910365755592</v>
      </c>
    </row>
    <row r="508" spans="2:129" hidden="1">
      <c r="BH508" s="280"/>
      <c r="BI508" s="280"/>
      <c r="BJ508" s="280"/>
      <c r="BK508" s="280"/>
      <c r="BL508" s="280"/>
      <c r="BM508" s="280"/>
      <c r="BN508" s="280"/>
      <c r="BO508" s="280"/>
      <c r="BP508" s="280"/>
      <c r="BQ508" s="280"/>
      <c r="BR508" s="280"/>
      <c r="BS508" s="280"/>
      <c r="BT508" s="280"/>
      <c r="BU508" s="280"/>
      <c r="BV508" s="280"/>
      <c r="BW508" s="280"/>
      <c r="BX508" s="280"/>
      <c r="BY508" s="280"/>
      <c r="BZ508" s="280"/>
      <c r="CA508" s="280"/>
      <c r="CB508" s="280"/>
      <c r="CC508" s="280"/>
      <c r="CD508" s="280"/>
      <c r="CE508" s="280"/>
      <c r="CG508" s="235">
        <f t="shared" si="1906"/>
        <v>0</v>
      </c>
      <c r="CH508" s="235">
        <f t="shared" si="1907"/>
        <v>0</v>
      </c>
      <c r="CI508" s="235" t="e">
        <f>BM508-#REF!</f>
        <v>#REF!</v>
      </c>
      <c r="CJ508" s="235">
        <f t="shared" si="1908"/>
        <v>0</v>
      </c>
      <c r="CK508" s="235">
        <f t="shared" si="1909"/>
        <v>0</v>
      </c>
      <c r="CL508" s="235">
        <f t="shared" si="1910"/>
        <v>0</v>
      </c>
      <c r="CM508" s="235">
        <f t="shared" si="1911"/>
        <v>0</v>
      </c>
      <c r="CN508" s="235">
        <f t="shared" si="1912"/>
        <v>0</v>
      </c>
      <c r="CO508" s="235">
        <f t="shared" si="1913"/>
        <v>0</v>
      </c>
      <c r="CP508" s="235">
        <f t="shared" si="1914"/>
        <v>0</v>
      </c>
      <c r="CQ508" s="235">
        <f t="shared" si="1915"/>
        <v>0</v>
      </c>
      <c r="CR508" s="235">
        <f t="shared" si="1916"/>
        <v>0</v>
      </c>
      <c r="CS508" s="235">
        <f t="shared" si="1917"/>
        <v>0</v>
      </c>
      <c r="CT508" s="235">
        <f t="shared" si="1918"/>
        <v>0</v>
      </c>
      <c r="CU508" s="235">
        <f t="shared" si="1919"/>
        <v>0</v>
      </c>
      <c r="CV508" s="235">
        <f t="shared" si="1920"/>
        <v>0</v>
      </c>
      <c r="CW508" s="235">
        <f t="shared" si="1921"/>
        <v>0</v>
      </c>
      <c r="CX508" s="235">
        <f t="shared" si="1922"/>
        <v>0</v>
      </c>
      <c r="CY508" s="235">
        <f t="shared" si="1923"/>
        <v>0</v>
      </c>
      <c r="CZ508" s="235">
        <f t="shared" si="1924"/>
        <v>0</v>
      </c>
    </row>
    <row r="509" spans="2:129" hidden="1">
      <c r="B509" s="3" t="s">
        <v>1832</v>
      </c>
      <c r="BG509" s="16">
        <f t="shared" ref="BG509:BP509" si="2039">BG492-BG500</f>
        <v>379.7844869999999</v>
      </c>
      <c r="BH509" s="280">
        <f t="shared" si="2039"/>
        <v>428.99108499999465</v>
      </c>
      <c r="BI509" s="280">
        <f t="shared" si="2039"/>
        <v>470.78118699999959</v>
      </c>
      <c r="BJ509" s="280">
        <f t="shared" si="2039"/>
        <v>157.90945399999964</v>
      </c>
      <c r="BK509" s="280">
        <f t="shared" si="2039"/>
        <v>707.72751199999993</v>
      </c>
      <c r="BL509" s="280">
        <f t="shared" si="2039"/>
        <v>483.90000000000009</v>
      </c>
      <c r="BM509" s="280">
        <f t="shared" si="2039"/>
        <v>220.09992640178143</v>
      </c>
      <c r="BN509" s="280">
        <f t="shared" si="2039"/>
        <v>237.800209</v>
      </c>
      <c r="BO509" s="280">
        <f t="shared" si="2039"/>
        <v>-655.20000400000072</v>
      </c>
      <c r="BP509" s="280">
        <f t="shared" ca="1" si="2039"/>
        <v>-808.34429499960061</v>
      </c>
      <c r="BQ509" s="280">
        <f t="shared" ref="BQ509:BV509" ca="1" si="2040">BQ492-BQ500</f>
        <v>-729.90786772777938</v>
      </c>
      <c r="BR509" s="280">
        <f t="shared" ca="1" si="2040"/>
        <v>-689.842782696629</v>
      </c>
      <c r="BS509" s="280">
        <f t="shared" ca="1" si="2040"/>
        <v>-778.2887346288453</v>
      </c>
      <c r="BT509" s="280">
        <f t="shared" ca="1" si="2040"/>
        <v>-925.27991314980318</v>
      </c>
      <c r="BU509" s="280">
        <f t="shared" ca="1" si="2040"/>
        <v>-1023.7348832991538</v>
      </c>
      <c r="BV509" s="280">
        <f t="shared" ca="1" si="2040"/>
        <v>-1124.3971722508149</v>
      </c>
      <c r="BW509" s="280">
        <f t="shared" ref="BW509:BX509" ca="1" si="2041">BW492-BW500</f>
        <v>-1213.5797607554232</v>
      </c>
      <c r="BX509" s="280">
        <f t="shared" ca="1" si="2041"/>
        <v>-1304.5384921313271</v>
      </c>
      <c r="BY509" s="280">
        <f t="shared" ref="BY509:CD509" ca="1" si="2042">BY492-BY500</f>
        <v>-1396.1195937876546</v>
      </c>
      <c r="BZ509" s="280">
        <f t="shared" ca="1" si="2042"/>
        <v>-1453.5736042762146</v>
      </c>
      <c r="CA509" s="280">
        <f t="shared" ca="1" si="2042"/>
        <v>-1500.1546339559536</v>
      </c>
      <c r="CB509" s="280">
        <f t="shared" ca="1" si="2042"/>
        <v>-1523.6545807363436</v>
      </c>
      <c r="CC509" s="280">
        <f t="shared" ca="1" si="2042"/>
        <v>-1540.0297932957419</v>
      </c>
      <c r="CD509" s="280">
        <f t="shared" ca="1" si="2042"/>
        <v>-1547.5388135642588</v>
      </c>
      <c r="CE509" s="280"/>
      <c r="CG509" s="235">
        <f t="shared" si="1906"/>
        <v>0</v>
      </c>
      <c r="CH509" s="235">
        <f t="shared" si="1907"/>
        <v>0</v>
      </c>
      <c r="CI509" s="235" t="e">
        <f>BM509-#REF!</f>
        <v>#REF!</v>
      </c>
      <c r="CJ509" s="235">
        <f t="shared" si="1908"/>
        <v>0</v>
      </c>
      <c r="CK509" s="235">
        <f t="shared" si="1909"/>
        <v>0</v>
      </c>
      <c r="CL509" s="235">
        <f t="shared" ca="1" si="1910"/>
        <v>1.8189894035458565E-12</v>
      </c>
      <c r="CM509" s="235">
        <f t="shared" ca="1" si="1911"/>
        <v>0</v>
      </c>
      <c r="CN509" s="235">
        <f t="shared" ca="1" si="1912"/>
        <v>1.8189894035458565E-12</v>
      </c>
      <c r="CO509" s="235">
        <f t="shared" ca="1" si="1913"/>
        <v>0</v>
      </c>
      <c r="CP509" s="235">
        <f t="shared" ca="1" si="1914"/>
        <v>9.0949470177292824E-13</v>
      </c>
      <c r="CQ509" s="235">
        <f t="shared" ca="1" si="1915"/>
        <v>0</v>
      </c>
      <c r="CR509" s="235">
        <f t="shared" ca="1" si="1916"/>
        <v>1.8189894035458565E-12</v>
      </c>
      <c r="CS509" s="235">
        <f t="shared" ca="1" si="1917"/>
        <v>4.5474735088646412E-12</v>
      </c>
      <c r="CT509" s="235">
        <f t="shared" ca="1" si="1918"/>
        <v>3.637978807091713E-12</v>
      </c>
      <c r="CU509" s="235">
        <f t="shared" ca="1" si="1919"/>
        <v>9.0949470177292824E-12</v>
      </c>
      <c r="CV509" s="235">
        <f t="shared" ca="1" si="1920"/>
        <v>9.0949470177292824E-12</v>
      </c>
      <c r="CW509" s="235">
        <f t="shared" ca="1" si="1921"/>
        <v>7.6397554948925972E-11</v>
      </c>
      <c r="CX509" s="235">
        <f t="shared" ca="1" si="1922"/>
        <v>9.1313268058001995E-10</v>
      </c>
      <c r="CY509" s="235">
        <f t="shared" ca="1" si="1923"/>
        <v>8.6602085502818227E-9</v>
      </c>
      <c r="CZ509" s="235">
        <f t="shared" ca="1" si="1924"/>
        <v>6.6105712903663516E-8</v>
      </c>
      <c r="DD509" s="236">
        <v>385.02969900000016</v>
      </c>
      <c r="DE509" s="236">
        <v>797.44985400000019</v>
      </c>
      <c r="DF509" s="236">
        <v>470.76641137000024</v>
      </c>
      <c r="DG509" s="236">
        <v>707.72751199999993</v>
      </c>
      <c r="DH509" s="492">
        <v>483.90000000000009</v>
      </c>
      <c r="DI509" s="236">
        <v>237.800209</v>
      </c>
      <c r="DJ509" s="236">
        <v>-655.20000400000072</v>
      </c>
      <c r="DK509" s="236">
        <v>-808.34429499960243</v>
      </c>
      <c r="DL509" s="236">
        <v>-729.90786772777938</v>
      </c>
      <c r="DM509" s="236">
        <v>-689.84278269663082</v>
      </c>
      <c r="DN509" s="236">
        <v>-778.2887346288453</v>
      </c>
      <c r="DO509" s="236">
        <v>-925.27991314980409</v>
      </c>
      <c r="DP509" s="236">
        <v>-1023.7348832991538</v>
      </c>
      <c r="DQ509" s="258">
        <v>-1124.3971722508168</v>
      </c>
      <c r="DR509" s="258">
        <v>-1213.5797607554277</v>
      </c>
      <c r="DS509" s="258">
        <v>-1304.5384921313307</v>
      </c>
      <c r="DT509" s="258">
        <v>-1396.1195937876637</v>
      </c>
      <c r="DU509" s="258">
        <v>-1453.5736042762237</v>
      </c>
      <c r="DV509" s="258">
        <v>-1500.15463395603</v>
      </c>
      <c r="DW509" s="258">
        <v>-1523.6545807372568</v>
      </c>
      <c r="DX509" s="258">
        <v>-1540.0297933044021</v>
      </c>
      <c r="DY509" s="258">
        <v>-1547.5388136303645</v>
      </c>
    </row>
    <row r="510" spans="2:129" hidden="1">
      <c r="B510" s="3" t="s">
        <v>1833</v>
      </c>
      <c r="BG510" s="16">
        <f t="shared" ref="BG510:BP510" si="2043">BG266</f>
        <v>458.21584999999982</v>
      </c>
      <c r="BH510" s="280">
        <f t="shared" si="2043"/>
        <v>156.33833599999477</v>
      </c>
      <c r="BI510" s="280">
        <f t="shared" si="2043"/>
        <v>-222.44832600000058</v>
      </c>
      <c r="BJ510" s="280">
        <f t="shared" si="2043"/>
        <v>-305.89054599999986</v>
      </c>
      <c r="BK510" s="280">
        <f t="shared" si="2043"/>
        <v>-284.67248800000073</v>
      </c>
      <c r="BL510" s="280">
        <f t="shared" si="2043"/>
        <v>-445.0999999999998</v>
      </c>
      <c r="BM510" s="280">
        <f t="shared" si="2043"/>
        <v>-1027.2000734982184</v>
      </c>
      <c r="BN510" s="280">
        <f t="shared" si="2043"/>
        <v>-961.09979090000013</v>
      </c>
      <c r="BO510" s="280">
        <f t="shared" si="2043"/>
        <v>-1372.9000039000005</v>
      </c>
      <c r="BP510" s="280">
        <f t="shared" ca="1" si="2043"/>
        <v>-1853.6328229682299</v>
      </c>
      <c r="BQ510" s="280">
        <f t="shared" ref="BQ510:BV510" ca="1" si="2044">BQ266</f>
        <v>-2002.6783560286819</v>
      </c>
      <c r="BR510" s="280">
        <f t="shared" ca="1" si="2044"/>
        <v>-2209.238091906192</v>
      </c>
      <c r="BS510" s="280">
        <f t="shared" ca="1" si="2044"/>
        <v>-2559.4376924753969</v>
      </c>
      <c r="BT510" s="280">
        <f t="shared" ca="1" si="2044"/>
        <v>-3019.5394102847113</v>
      </c>
      <c r="BU510" s="280">
        <f t="shared" ca="1" si="2044"/>
        <v>-3496.3007209057141</v>
      </c>
      <c r="BV510" s="280">
        <f t="shared" ca="1" si="2044"/>
        <v>-4038.0916331141693</v>
      </c>
      <c r="BW510" s="280">
        <f t="shared" ref="BW510:BX510" ca="1" si="2045">BW266</f>
        <v>-4639.0888058624514</v>
      </c>
      <c r="BX510" s="280">
        <f t="shared" ca="1" si="2045"/>
        <v>-5322.6596594165849</v>
      </c>
      <c r="BY510" s="280">
        <f t="shared" ref="BY510:CD510" ca="1" si="2046">BY266</f>
        <v>-6097.6973515922482</v>
      </c>
      <c r="BZ510" s="280">
        <f t="shared" ca="1" si="2046"/>
        <v>-6941.878458187568</v>
      </c>
      <c r="CA510" s="280">
        <f t="shared" ca="1" si="2046"/>
        <v>-7887.7654679913921</v>
      </c>
      <c r="CB510" s="280">
        <f t="shared" ca="1" si="2046"/>
        <v>-8934.2701427941647</v>
      </c>
      <c r="CC510" s="280">
        <f t="shared" ca="1" si="2046"/>
        <v>-10112.610691553815</v>
      </c>
      <c r="CD510" s="280">
        <f t="shared" ca="1" si="2046"/>
        <v>-11438.404408791448</v>
      </c>
      <c r="CE510" s="280"/>
      <c r="CG510" s="235">
        <f t="shared" si="1906"/>
        <v>-1.2000000000000455</v>
      </c>
      <c r="CH510" s="235">
        <f t="shared" si="1907"/>
        <v>0</v>
      </c>
      <c r="CI510" s="235" t="e">
        <f>BM510-#REF!</f>
        <v>#REF!</v>
      </c>
      <c r="CJ510" s="235">
        <f t="shared" si="1908"/>
        <v>0</v>
      </c>
      <c r="CK510" s="235">
        <f t="shared" si="1909"/>
        <v>0</v>
      </c>
      <c r="CL510" s="235">
        <f t="shared" ca="1" si="1910"/>
        <v>0</v>
      </c>
      <c r="CM510" s="235">
        <f t="shared" ca="1" si="1911"/>
        <v>-2.7284841053187847E-12</v>
      </c>
      <c r="CN510" s="235">
        <f t="shared" ca="1" si="1912"/>
        <v>0</v>
      </c>
      <c r="CO510" s="235">
        <f t="shared" ca="1" si="1913"/>
        <v>-3.637978807091713E-12</v>
      </c>
      <c r="CP510" s="235">
        <f t="shared" ca="1" si="1914"/>
        <v>0</v>
      </c>
      <c r="CQ510" s="235">
        <f t="shared" ca="1" si="1915"/>
        <v>3.637978807091713E-12</v>
      </c>
      <c r="CR510" s="235">
        <f t="shared" ca="1" si="1916"/>
        <v>5.9117155615240335E-12</v>
      </c>
      <c r="CS510" s="235">
        <f t="shared" ca="1" si="1917"/>
        <v>7.2759576141834259E-12</v>
      </c>
      <c r="CT510" s="235">
        <f t="shared" ca="1" si="1918"/>
        <v>0</v>
      </c>
      <c r="CU510" s="235">
        <f t="shared" ca="1" si="1919"/>
        <v>0</v>
      </c>
      <c r="CV510" s="235">
        <f t="shared" ca="1" si="1920"/>
        <v>0</v>
      </c>
      <c r="CW510" s="235">
        <f t="shared" ca="1" si="1921"/>
        <v>-9.0949470177292824E-12</v>
      </c>
      <c r="CX510" s="235">
        <f t="shared" ca="1" si="1922"/>
        <v>-3.0013325158506632E-10</v>
      </c>
      <c r="CY510" s="235">
        <f t="shared" ca="1" si="1923"/>
        <v>-3.0686351237818599E-9</v>
      </c>
      <c r="CZ510" s="235">
        <f t="shared" ca="1" si="1924"/>
        <v>-2.4108885554596782E-8</v>
      </c>
      <c r="DD510" s="236">
        <v>91.56091700000006</v>
      </c>
      <c r="DE510" s="236">
        <v>513.35648700000024</v>
      </c>
      <c r="DF510" s="236">
        <v>17.577547370000104</v>
      </c>
      <c r="DG510" s="236">
        <v>-283.47248800000068</v>
      </c>
      <c r="DH510" s="492">
        <v>-445.0999999999998</v>
      </c>
      <c r="DI510" s="236">
        <v>-961.09979090000013</v>
      </c>
      <c r="DJ510" s="236">
        <v>-1372.9000039000005</v>
      </c>
      <c r="DK510" s="236">
        <v>-1853.632822968229</v>
      </c>
      <c r="DL510" s="236">
        <v>-2002.6783560286792</v>
      </c>
      <c r="DM510" s="236">
        <v>-2209.2380919061893</v>
      </c>
      <c r="DN510" s="236">
        <v>-2559.4376924753933</v>
      </c>
      <c r="DO510" s="236">
        <v>-3019.5394102847094</v>
      </c>
      <c r="DP510" s="236">
        <v>-3496.3007209057178</v>
      </c>
      <c r="DQ510" s="258">
        <v>-4038.0916331141752</v>
      </c>
      <c r="DR510" s="258">
        <v>-4639.0888058624587</v>
      </c>
      <c r="DS510" s="258">
        <v>-5322.6596594165894</v>
      </c>
      <c r="DT510" s="258">
        <v>-6097.6973515922546</v>
      </c>
      <c r="DU510" s="258">
        <v>-6941.8784581875734</v>
      </c>
      <c r="DV510" s="258">
        <v>-7887.765467991383</v>
      </c>
      <c r="DW510" s="258">
        <v>-8934.2701427938646</v>
      </c>
      <c r="DX510" s="258">
        <v>-10112.610691550746</v>
      </c>
      <c r="DY510" s="258">
        <v>-11438.404408767339</v>
      </c>
    </row>
    <row r="511" spans="2:129" hidden="1">
      <c r="B511" s="3" t="s">
        <v>1836</v>
      </c>
      <c r="BG511" s="16">
        <f ca="1">BG419</f>
        <v>8426.0564134294327</v>
      </c>
      <c r="BH511" s="16">
        <f ca="1">BH419</f>
        <v>9857.9833034972798</v>
      </c>
      <c r="BI511" s="16">
        <f ca="1">BI419</f>
        <v>9809.471481893328</v>
      </c>
      <c r="BJ511" s="16">
        <f ca="1">BJ419</f>
        <v>12225.421392335058</v>
      </c>
      <c r="BK511" s="16">
        <f t="shared" ref="BK511:BP511" ca="1" si="2047">BK419</f>
        <v>16133.355781955594</v>
      </c>
      <c r="BL511" s="16">
        <f t="shared" ca="1" si="2047"/>
        <v>17423.098603763883</v>
      </c>
      <c r="BM511" s="16">
        <f t="shared" ca="1" si="2047"/>
        <v>17202.653420649618</v>
      </c>
      <c r="BN511" s="16">
        <f t="shared" si="2047"/>
        <v>17194.136999999999</v>
      </c>
      <c r="BO511" s="16">
        <f t="shared" ca="1" si="2047"/>
        <v>17457.881129171292</v>
      </c>
      <c r="BP511" s="16">
        <f t="shared" ca="1" si="2047"/>
        <v>21935.81538304127</v>
      </c>
      <c r="BQ511" s="16">
        <f t="shared" ref="BQ511:BV511" ca="1" si="2048">BQ419</f>
        <v>27163.700026800016</v>
      </c>
      <c r="BR511" s="16">
        <f t="shared" ca="1" si="2048"/>
        <v>29859.82564807286</v>
      </c>
      <c r="BS511" s="16">
        <f t="shared" ca="1" si="2048"/>
        <v>30995.419134880554</v>
      </c>
      <c r="BT511" s="16">
        <f t="shared" ca="1" si="2048"/>
        <v>31947.692109834541</v>
      </c>
      <c r="BU511" s="16">
        <f t="shared" ca="1" si="2048"/>
        <v>33218.773650097864</v>
      </c>
      <c r="BV511" s="16">
        <f t="shared" ca="1" si="2048"/>
        <v>34578.925328158461</v>
      </c>
      <c r="BW511" s="16">
        <f t="shared" ref="BW511:BX511" ca="1" si="2049">BW419</f>
        <v>35983.981405857819</v>
      </c>
      <c r="BX511" s="16">
        <f t="shared" ca="1" si="2049"/>
        <v>37441.609021964643</v>
      </c>
      <c r="BY511" s="16">
        <f t="shared" ref="BY511:CD511" ca="1" si="2050">BY419</f>
        <v>38954.086319982642</v>
      </c>
      <c r="BZ511" s="16">
        <f t="shared" ca="1" si="2050"/>
        <v>40862.834279001778</v>
      </c>
      <c r="CA511" s="16">
        <f t="shared" ca="1" si="2050"/>
        <v>42914.876751623706</v>
      </c>
      <c r="CB511" s="16">
        <f t="shared" ca="1" si="2050"/>
        <v>45071.63441183923</v>
      </c>
      <c r="CC511" s="16">
        <f t="shared" ca="1" si="2050"/>
        <v>47352.640054842886</v>
      </c>
      <c r="CD511" s="16">
        <f t="shared" ca="1" si="2050"/>
        <v>49769.325421278103</v>
      </c>
      <c r="CE511" s="16"/>
      <c r="CG511" s="235">
        <f t="shared" ca="1" si="1906"/>
        <v>3432.9141957967913</v>
      </c>
      <c r="CH511" s="235">
        <f t="shared" ca="1" si="1907"/>
        <v>-248.17719861434307</v>
      </c>
      <c r="CI511" s="235" t="e">
        <f ca="1">BM511-#REF!</f>
        <v>#REF!</v>
      </c>
      <c r="CJ511" s="235">
        <f t="shared" si="1908"/>
        <v>0</v>
      </c>
      <c r="CK511" s="235">
        <f t="shared" ca="1" si="1909"/>
        <v>0</v>
      </c>
      <c r="CL511" s="235">
        <f t="shared" ca="1" si="1910"/>
        <v>0</v>
      </c>
      <c r="CM511" s="235">
        <f t="shared" ca="1" si="1911"/>
        <v>0</v>
      </c>
      <c r="CN511" s="235">
        <f t="shared" ca="1" si="1912"/>
        <v>0</v>
      </c>
      <c r="CO511" s="235">
        <f t="shared" ca="1" si="1913"/>
        <v>0</v>
      </c>
      <c r="CP511" s="235">
        <f t="shared" ca="1" si="1914"/>
        <v>-3.2741809263825417E-11</v>
      </c>
      <c r="CQ511" s="235">
        <f t="shared" ca="1" si="1915"/>
        <v>0</v>
      </c>
      <c r="CR511" s="235">
        <f t="shared" ca="1" si="1916"/>
        <v>-5.8207660913467407E-11</v>
      </c>
      <c r="CS511" s="235">
        <f t="shared" ca="1" si="1917"/>
        <v>-5.8207660913467407E-11</v>
      </c>
      <c r="CT511" s="235">
        <f t="shared" ca="1" si="1918"/>
        <v>-8.0035533756017685E-11</v>
      </c>
      <c r="CU511" s="235">
        <f t="shared" ca="1" si="1919"/>
        <v>-7.2759576141834259E-11</v>
      </c>
      <c r="CV511" s="235">
        <f t="shared" ca="1" si="1920"/>
        <v>-7.2759576141834259E-11</v>
      </c>
      <c r="CW511" s="235">
        <f t="shared" ca="1" si="1921"/>
        <v>7.2759576141834259E-11</v>
      </c>
      <c r="CX511" s="235">
        <f t="shared" ca="1" si="1922"/>
        <v>2.2264430299401283E-9</v>
      </c>
      <c r="CY511" s="235">
        <f t="shared" ca="1" si="1923"/>
        <v>2.3137545213103294E-8</v>
      </c>
      <c r="CZ511" s="235">
        <f t="shared" ca="1" si="1924"/>
        <v>1.8000719137489796E-7</v>
      </c>
      <c r="DD511" s="236">
        <v>6640.9629999999997</v>
      </c>
      <c r="DE511" s="236">
        <v>7738.7872344929983</v>
      </c>
      <c r="DF511" s="236">
        <v>7842.005437712427</v>
      </c>
      <c r="DG511" s="236">
        <v>12700.441586158802</v>
      </c>
      <c r="DH511" s="492">
        <v>17671.275802378226</v>
      </c>
      <c r="DI511" s="236">
        <v>17194.136999999999</v>
      </c>
      <c r="DJ511" s="236">
        <v>17457.881129171299</v>
      </c>
      <c r="DK511" s="236">
        <v>21935.815383041274</v>
      </c>
      <c r="DL511" s="236">
        <v>27163.700026800019</v>
      </c>
      <c r="DM511" s="236">
        <v>29859.825648072871</v>
      </c>
      <c r="DN511" s="236">
        <v>30995.419134880558</v>
      </c>
      <c r="DO511" s="236">
        <v>31947.692109834574</v>
      </c>
      <c r="DP511" s="236">
        <v>33218.773650097901</v>
      </c>
      <c r="DQ511" s="258">
        <v>34578.925328158519</v>
      </c>
      <c r="DR511" s="258">
        <v>35983.981405857878</v>
      </c>
      <c r="DS511" s="258">
        <v>37441.609021964723</v>
      </c>
      <c r="DT511" s="258">
        <v>38954.086319982714</v>
      </c>
      <c r="DU511" s="258">
        <v>40862.834279001851</v>
      </c>
      <c r="DV511" s="258">
        <v>42914.876751623633</v>
      </c>
      <c r="DW511" s="258">
        <v>45071.634411837003</v>
      </c>
      <c r="DX511" s="258">
        <v>47352.640054819749</v>
      </c>
      <c r="DY511" s="258">
        <v>49769.325421098096</v>
      </c>
    </row>
    <row r="512" spans="2:129" hidden="1">
      <c r="B512" s="3" t="s">
        <v>1834</v>
      </c>
      <c r="BG512" s="285">
        <f ca="1">BG509/BG511*100</f>
        <v>4.5072625717850654</v>
      </c>
      <c r="BH512" s="285">
        <f ca="1">BH509/BH511*100</f>
        <v>4.3517124323775542</v>
      </c>
      <c r="BI512" s="285">
        <f ca="1">BI509/BI511*100</f>
        <v>4.799251293701035</v>
      </c>
      <c r="BJ512" s="285">
        <f ca="1">BJ509/BJ511*100</f>
        <v>1.2916483524977203</v>
      </c>
      <c r="BK512" s="285">
        <f t="shared" ref="BK512:BP512" ca="1" si="2051">BK509/BK511*100</f>
        <v>4.3867346729659316</v>
      </c>
      <c r="BL512" s="285">
        <f t="shared" ca="1" si="2051"/>
        <v>2.7773475373402521</v>
      </c>
      <c r="BM512" s="285">
        <f t="shared" ca="1" si="2051"/>
        <v>1.2794533553619072</v>
      </c>
      <c r="BN512" s="285">
        <f t="shared" si="2051"/>
        <v>1.3830307912516926</v>
      </c>
      <c r="BO512" s="285">
        <f t="shared" ca="1" si="2051"/>
        <v>-3.7530327944849651</v>
      </c>
      <c r="BP512" s="285">
        <f t="shared" ca="1" si="2051"/>
        <v>-3.6850432996647897</v>
      </c>
      <c r="BQ512" s="285">
        <f t="shared" ref="BQ512:BV512" ca="1" si="2052">BQ509/BQ511*100</f>
        <v>-2.6870708592998889</v>
      </c>
      <c r="BR512" s="285">
        <f t="shared" ca="1" si="2052"/>
        <v>-2.3102706319423914</v>
      </c>
      <c r="BS512" s="285">
        <f t="shared" ca="1" si="2052"/>
        <v>-2.5109798684832159</v>
      </c>
      <c r="BT512" s="285">
        <f t="shared" ca="1" si="2052"/>
        <v>-2.8962339751138764</v>
      </c>
      <c r="BU512" s="285">
        <f t="shared" ca="1" si="2052"/>
        <v>-3.0817961375769745</v>
      </c>
      <c r="BV512" s="285">
        <f t="shared" ca="1" si="2052"/>
        <v>-3.2516833926449156</v>
      </c>
      <c r="BW512" s="285">
        <f t="shared" ref="BW512:BX512" ca="1" si="2053">BW509/BW511*100</f>
        <v>-3.3725555465017694</v>
      </c>
      <c r="BX512" s="285">
        <f t="shared" ca="1" si="2053"/>
        <v>-3.4841945263784901</v>
      </c>
      <c r="BY512" s="285">
        <f t="shared" ref="BY512:CD512" ca="1" si="2054">BY509/BY511*100</f>
        <v>-3.58401319522536</v>
      </c>
      <c r="BZ512" s="285">
        <f t="shared" ca="1" si="2054"/>
        <v>-3.5572021126864515</v>
      </c>
      <c r="CA512" s="285">
        <f t="shared" ca="1" si="2054"/>
        <v>-3.4956517355003109</v>
      </c>
      <c r="CB512" s="285">
        <f t="shared" ca="1" si="2054"/>
        <v>-3.380517703915606</v>
      </c>
      <c r="CC512" s="285">
        <f t="shared" ca="1" si="2054"/>
        <v>-3.2522575119615502</v>
      </c>
      <c r="CD512" s="285">
        <f t="shared" ca="1" si="2054"/>
        <v>-3.1094229235878545</v>
      </c>
      <c r="CE512" s="285"/>
      <c r="CG512" s="235">
        <f t="shared" ca="1" si="1906"/>
        <v>-1.1857291441291817</v>
      </c>
      <c r="CH512" s="235">
        <f t="shared" ca="1" si="1907"/>
        <v>3.9005351911421293E-2</v>
      </c>
      <c r="CI512" s="235" t="e">
        <f ca="1">BM512-#REF!</f>
        <v>#REF!</v>
      </c>
      <c r="CJ512" s="235">
        <f t="shared" si="1908"/>
        <v>0</v>
      </c>
      <c r="CK512" s="235">
        <f t="shared" ca="1" si="1909"/>
        <v>0</v>
      </c>
      <c r="CL512" s="235">
        <f t="shared" ca="1" si="1910"/>
        <v>7.5495165674510645E-15</v>
      </c>
      <c r="CM512" s="235">
        <f t="shared" ca="1" si="1911"/>
        <v>0</v>
      </c>
      <c r="CN512" s="235">
        <f t="shared" ca="1" si="1912"/>
        <v>4.8849813083506888E-15</v>
      </c>
      <c r="CO512" s="235">
        <f t="shared" ca="1" si="1913"/>
        <v>0</v>
      </c>
      <c r="CP512" s="235">
        <f t="shared" ca="1" si="1914"/>
        <v>0</v>
      </c>
      <c r="CQ512" s="235">
        <f t="shared" ca="1" si="1915"/>
        <v>0</v>
      </c>
      <c r="CR512" s="235">
        <f t="shared" ca="1" si="1916"/>
        <v>0</v>
      </c>
      <c r="CS512" s="235">
        <f t="shared" ca="1" si="1917"/>
        <v>7.1054273576010019E-15</v>
      </c>
      <c r="CT512" s="235">
        <f t="shared" ca="1" si="1918"/>
        <v>0</v>
      </c>
      <c r="CU512" s="235">
        <f t="shared" ca="1" si="1919"/>
        <v>1.6431300764452317E-14</v>
      </c>
      <c r="CV512" s="235">
        <f t="shared" ca="1" si="1920"/>
        <v>1.5987211554602254E-14</v>
      </c>
      <c r="CW512" s="235">
        <f t="shared" ca="1" si="1921"/>
        <v>1.8385293287792592E-13</v>
      </c>
      <c r="CX512" s="235">
        <f t="shared" ca="1" si="1922"/>
        <v>2.1924684290297591E-12</v>
      </c>
      <c r="CY512" s="235">
        <f t="shared" ca="1" si="1923"/>
        <v>1.9878765300518353E-11</v>
      </c>
      <c r="CZ512" s="235">
        <f t="shared" ca="1" si="1924"/>
        <v>1.4407053328113761E-10</v>
      </c>
      <c r="DD512" s="236">
        <v>5.7977991896657182</v>
      </c>
      <c r="DE512" s="236">
        <v>10.304584295141751</v>
      </c>
      <c r="DF512" s="259">
        <v>6.0031380379573722</v>
      </c>
      <c r="DG512" s="236">
        <v>5.5724638170951133</v>
      </c>
      <c r="DH512" s="492">
        <v>2.7383421854288308</v>
      </c>
      <c r="DI512" s="236">
        <v>1.3830307912516926</v>
      </c>
      <c r="DJ512" s="236">
        <v>-3.7530327944849637</v>
      </c>
      <c r="DK512" s="236">
        <v>-3.6850432996647973</v>
      </c>
      <c r="DL512" s="236">
        <v>-2.6870708592998884</v>
      </c>
      <c r="DM512" s="236">
        <v>-2.3102706319423962</v>
      </c>
      <c r="DN512" s="236">
        <v>-2.5109798684832154</v>
      </c>
      <c r="DO512" s="236">
        <v>-2.8962339751138764</v>
      </c>
      <c r="DP512" s="236">
        <v>-3.0817961375769714</v>
      </c>
      <c r="DQ512" s="258">
        <v>-3.2516833926449147</v>
      </c>
      <c r="DR512" s="258">
        <v>-3.3725555465017765</v>
      </c>
      <c r="DS512" s="258">
        <v>-3.4841945263784924</v>
      </c>
      <c r="DT512" s="258">
        <v>-3.5840131952253764</v>
      </c>
      <c r="DU512" s="258">
        <v>-3.5572021126864675</v>
      </c>
      <c r="DV512" s="258">
        <v>-3.4956517355004948</v>
      </c>
      <c r="DW512" s="258">
        <v>-3.3805177039177985</v>
      </c>
      <c r="DX512" s="258">
        <v>-3.252257511981429</v>
      </c>
      <c r="DY512" s="258">
        <v>-3.1094229237319251</v>
      </c>
    </row>
    <row r="513" spans="2:131" hidden="1">
      <c r="B513" s="3" t="s">
        <v>1835</v>
      </c>
      <c r="BG513" s="285">
        <f ca="1">BG510/BG511*100</f>
        <v>5.4380819153987181</v>
      </c>
      <c r="BH513" s="285">
        <f ca="1">BH510/BH511*100</f>
        <v>1.5859058712802971</v>
      </c>
      <c r="BI513" s="285">
        <f ca="1">BI510/BI511*100</f>
        <v>-2.2676892064022369</v>
      </c>
      <c r="BJ513" s="285">
        <f ca="1">BJ510/BJ511*100</f>
        <v>-2.5020859092168659</v>
      </c>
      <c r="BK513" s="285">
        <f t="shared" ref="BK513:BP513" ca="1" si="2055">BK510/BK511*100</f>
        <v>-1.7644964373648393</v>
      </c>
      <c r="BL513" s="285">
        <f t="shared" ca="1" si="2055"/>
        <v>-2.5546546577188378</v>
      </c>
      <c r="BM513" s="285">
        <f t="shared" ca="1" si="2055"/>
        <v>-5.9711722859288336</v>
      </c>
      <c r="BN513" s="285">
        <f t="shared" si="2055"/>
        <v>-5.5896948529606352</v>
      </c>
      <c r="BO513" s="285">
        <f t="shared" ca="1" si="2055"/>
        <v>-7.8640700652151283</v>
      </c>
      <c r="BP513" s="285">
        <f t="shared" ca="1" si="2055"/>
        <v>-8.4502572190741816</v>
      </c>
      <c r="BQ513" s="285">
        <f t="shared" ref="BQ513:BV513" ca="1" si="2056">BQ510/BQ511*100</f>
        <v>-7.3726272711479535</v>
      </c>
      <c r="BR513" s="285">
        <f t="shared" ca="1" si="2056"/>
        <v>-7.3986972259791992</v>
      </c>
      <c r="BS513" s="285">
        <f t="shared" ca="1" si="2056"/>
        <v>-8.2574708260523106</v>
      </c>
      <c r="BT513" s="285">
        <f t="shared" ca="1" si="2056"/>
        <v>-9.4515102997227096</v>
      </c>
      <c r="BU513" s="285">
        <f t="shared" ca="1" si="2056"/>
        <v>-10.525074639218097</v>
      </c>
      <c r="BV513" s="285">
        <f t="shared" ca="1" si="2056"/>
        <v>-11.677898010976799</v>
      </c>
      <c r="BW513" s="285">
        <f t="shared" ref="BW513:BX513" ca="1" si="2057">BW510/BW511*100</f>
        <v>-12.892094272556665</v>
      </c>
      <c r="BX513" s="285">
        <f t="shared" ca="1" si="2057"/>
        <v>-14.21589455809475</v>
      </c>
      <c r="BY513" s="285">
        <f t="shared" ref="BY513:CD513" ca="1" si="2058">BY510/BY511*100</f>
        <v>-15.653549929277267</v>
      </c>
      <c r="BZ513" s="285">
        <f t="shared" ca="1" si="2058"/>
        <v>-16.988245139311829</v>
      </c>
      <c r="CA513" s="285">
        <f t="shared" ca="1" si="2058"/>
        <v>-18.380025914190597</v>
      </c>
      <c r="CB513" s="285">
        <f t="shared" ca="1" si="2058"/>
        <v>-19.822378885038496</v>
      </c>
      <c r="CC513" s="285">
        <f t="shared" ca="1" si="2058"/>
        <v>-21.355959625147804</v>
      </c>
      <c r="CD513" s="285">
        <f t="shared" ca="1" si="2058"/>
        <v>-22.982839956076912</v>
      </c>
      <c r="CE513" s="285"/>
      <c r="CG513" s="235">
        <f t="shared" ca="1" si="1906"/>
        <v>0.46749278975726893</v>
      </c>
      <c r="CH513" s="235">
        <f t="shared" ca="1" si="1907"/>
        <v>-3.5877830410774525E-2</v>
      </c>
      <c r="CI513" s="235" t="e">
        <f ca="1">BM513-#REF!</f>
        <v>#REF!</v>
      </c>
      <c r="CJ513" s="235">
        <f t="shared" si="1908"/>
        <v>0</v>
      </c>
      <c r="CK513" s="235">
        <f t="shared" ca="1" si="1909"/>
        <v>0</v>
      </c>
      <c r="CL513" s="235">
        <f t="shared" ca="1" si="1910"/>
        <v>0</v>
      </c>
      <c r="CM513" s="235">
        <f t="shared" ca="1" si="1911"/>
        <v>-1.0658141036401503E-14</v>
      </c>
      <c r="CN513" s="235">
        <f t="shared" ca="1" si="1912"/>
        <v>-1.2434497875801753E-14</v>
      </c>
      <c r="CO513" s="235">
        <f t="shared" ca="1" si="1913"/>
        <v>0</v>
      </c>
      <c r="CP513" s="235">
        <f t="shared" ca="1" si="1914"/>
        <v>-1.5987211554602254E-14</v>
      </c>
      <c r="CQ513" s="235">
        <f t="shared" ca="1" si="1915"/>
        <v>0</v>
      </c>
      <c r="CR513" s="235">
        <f t="shared" ca="1" si="1916"/>
        <v>0</v>
      </c>
      <c r="CS513" s="235">
        <f t="shared" ca="1" si="1917"/>
        <v>0</v>
      </c>
      <c r="CT513" s="235">
        <f t="shared" ca="1" si="1918"/>
        <v>-1.7763568394002505E-14</v>
      </c>
      <c r="CU513" s="235">
        <f t="shared" ca="1" si="1919"/>
        <v>0</v>
      </c>
      <c r="CV513" s="235">
        <f t="shared" ca="1" si="1920"/>
        <v>0</v>
      </c>
      <c r="CW513" s="235">
        <f t="shared" ca="1" si="1921"/>
        <v>0</v>
      </c>
      <c r="CX513" s="235">
        <f t="shared" ca="1" si="1922"/>
        <v>3.1263880373444408E-13</v>
      </c>
      <c r="CY513" s="235">
        <f t="shared" ca="1" si="1923"/>
        <v>3.957723038183758E-12</v>
      </c>
      <c r="CZ513" s="235">
        <f t="shared" ca="1" si="1924"/>
        <v>3.4685143646129291E-11</v>
      </c>
      <c r="DD513" s="236">
        <v>1.3787295155838102</v>
      </c>
      <c r="DE513" s="236">
        <v>6.63355215028899</v>
      </c>
      <c r="DF513" s="259">
        <v>0.22414607474599774</v>
      </c>
      <c r="DG513" s="236">
        <v>-2.2319892271221082</v>
      </c>
      <c r="DH513" s="492">
        <v>-2.5187768273080633</v>
      </c>
      <c r="DI513" s="236">
        <v>-5.5896948529606352</v>
      </c>
      <c r="DJ513" s="236">
        <v>-7.8640700652151256</v>
      </c>
      <c r="DK513" s="236">
        <v>-8.4502572190741763</v>
      </c>
      <c r="DL513" s="236">
        <v>-7.3726272711479428</v>
      </c>
      <c r="DM513" s="236">
        <v>-7.3986972259791868</v>
      </c>
      <c r="DN513" s="236">
        <v>-8.2574708260522982</v>
      </c>
      <c r="DO513" s="236">
        <v>-9.4515102997226936</v>
      </c>
      <c r="DP513" s="236">
        <v>-10.525074639218095</v>
      </c>
      <c r="DQ513" s="258">
        <v>-11.677898010976797</v>
      </c>
      <c r="DR513" s="258">
        <v>-12.892094272556665</v>
      </c>
      <c r="DS513" s="258">
        <v>-14.215894558094732</v>
      </c>
      <c r="DT513" s="258">
        <v>-15.653549929277254</v>
      </c>
      <c r="DU513" s="258">
        <v>-16.988245139311815</v>
      </c>
      <c r="DV513" s="258">
        <v>-18.380025914190604</v>
      </c>
      <c r="DW513" s="258">
        <v>-19.822378885038809</v>
      </c>
      <c r="DX513" s="258">
        <v>-21.355959625151762</v>
      </c>
      <c r="DY513" s="258">
        <v>-22.982839956111597</v>
      </c>
    </row>
    <row r="514" spans="2:131" hidden="1">
      <c r="CG514" s="235">
        <f t="shared" si="1906"/>
        <v>0</v>
      </c>
      <c r="CH514" s="235">
        <f t="shared" si="1907"/>
        <v>0</v>
      </c>
      <c r="CI514" s="235" t="e">
        <f>BM514-#REF!</f>
        <v>#REF!</v>
      </c>
      <c r="CJ514" s="235">
        <f t="shared" si="1908"/>
        <v>0</v>
      </c>
      <c r="CK514" s="235">
        <f t="shared" si="1909"/>
        <v>0</v>
      </c>
      <c r="CL514" s="235">
        <f t="shared" si="1910"/>
        <v>0</v>
      </c>
      <c r="CM514" s="235">
        <f t="shared" si="1911"/>
        <v>0</v>
      </c>
      <c r="CN514" s="235">
        <f t="shared" si="1912"/>
        <v>0</v>
      </c>
      <c r="CO514" s="235">
        <f t="shared" si="1913"/>
        <v>0</v>
      </c>
      <c r="CP514" s="235">
        <f t="shared" si="1914"/>
        <v>0</v>
      </c>
      <c r="CQ514" s="235">
        <f t="shared" si="1915"/>
        <v>0</v>
      </c>
      <c r="CR514" s="235">
        <f t="shared" si="1916"/>
        <v>0</v>
      </c>
      <c r="CS514" s="235">
        <f t="shared" si="1917"/>
        <v>0</v>
      </c>
      <c r="CT514" s="235">
        <f t="shared" si="1918"/>
        <v>0</v>
      </c>
      <c r="CU514" s="235">
        <f t="shared" si="1919"/>
        <v>0</v>
      </c>
      <c r="CV514" s="235">
        <f t="shared" si="1920"/>
        <v>0</v>
      </c>
      <c r="CW514" s="235">
        <f t="shared" si="1921"/>
        <v>0</v>
      </c>
      <c r="CX514" s="235">
        <f t="shared" si="1922"/>
        <v>0</v>
      </c>
      <c r="CY514" s="235">
        <f t="shared" si="1923"/>
        <v>0</v>
      </c>
      <c r="CZ514" s="235">
        <f t="shared" si="1924"/>
        <v>0</v>
      </c>
    </row>
    <row r="515" spans="2:131" s="413" customFormat="1" ht="18.75" hidden="1">
      <c r="B515" s="418" t="s">
        <v>3534</v>
      </c>
      <c r="C515" s="65"/>
      <c r="CF515" s="429"/>
      <c r="DA515" s="150"/>
      <c r="DG515" s="419"/>
      <c r="DH515" s="502"/>
      <c r="DI515" s="419"/>
      <c r="DJ515" s="419"/>
      <c r="DK515" s="419"/>
      <c r="DL515" s="419"/>
      <c r="DM515" s="419"/>
      <c r="DN515" s="419"/>
      <c r="DO515" s="419"/>
      <c r="DP515" s="419"/>
      <c r="DQ515" s="1017"/>
      <c r="DR515" s="1017"/>
      <c r="DS515" s="1017"/>
      <c r="DT515" s="1017"/>
      <c r="DU515" s="1017"/>
      <c r="DV515" s="1017"/>
      <c r="DW515" s="1017"/>
      <c r="DX515" s="1017"/>
      <c r="DY515" s="1017"/>
      <c r="DZ515" s="1017"/>
      <c r="EA515" s="996"/>
    </row>
    <row r="516" spans="2:131" customFormat="1" hidden="1">
      <c r="B516" s="42" t="s">
        <v>546</v>
      </c>
      <c r="C516" s="19"/>
      <c r="D516" s="206"/>
      <c r="CF516" s="430"/>
      <c r="DA516" s="150"/>
      <c r="DG516" s="419"/>
      <c r="DH516" s="502"/>
      <c r="DI516" s="419"/>
      <c r="DJ516" s="419"/>
      <c r="DK516" s="419"/>
      <c r="DL516" s="419"/>
      <c r="DM516" s="419"/>
      <c r="DN516" s="419"/>
      <c r="DO516" s="419"/>
      <c r="DP516" s="419"/>
      <c r="DQ516" s="1017"/>
      <c r="DR516" s="1017"/>
      <c r="DS516" s="1017"/>
      <c r="DT516" s="1017"/>
      <c r="DU516" s="1017"/>
      <c r="DV516" s="1017"/>
      <c r="DW516" s="1017"/>
      <c r="DX516" s="1017"/>
      <c r="DY516" s="1017"/>
      <c r="DZ516" s="1017"/>
      <c r="EA516" s="996"/>
    </row>
    <row r="517" spans="2:131" customFormat="1" hidden="1">
      <c r="B517" s="73" t="s">
        <v>3542</v>
      </c>
      <c r="C517" s="85" t="s">
        <v>362</v>
      </c>
      <c r="D517" s="207"/>
      <c r="BG517" s="414">
        <f>+Model!BG176/BG$561</f>
        <v>1475.3304663412205</v>
      </c>
      <c r="BH517" s="414">
        <f>+Model!BH176/BH$561</f>
        <v>1819.5930040221119</v>
      </c>
      <c r="BI517" s="414">
        <f>+Model!BI176/BI$561</f>
        <v>1484.6848063781267</v>
      </c>
      <c r="BJ517" s="414">
        <f>+Model!BJ176/BJ$561</f>
        <v>1946.7189576465591</v>
      </c>
      <c r="BK517" s="414">
        <f>+Model!BK176/BK$561</f>
        <v>2504.8952650034871</v>
      </c>
      <c r="BL517" s="414">
        <f>+Model!BL176/BL$561</f>
        <v>2524.025983400823</v>
      </c>
      <c r="BM517" s="414">
        <f>+Model!BM176/BM$561</f>
        <v>2227.9645484076918</v>
      </c>
      <c r="BN517" s="414">
        <f>+Model!BN176/BN$561</f>
        <v>2053.2813771457745</v>
      </c>
      <c r="BO517" s="414">
        <f>+Model!BO176/BO$561</f>
        <v>1722.2553426432678</v>
      </c>
      <c r="BP517" s="414">
        <f>+Model!BP176/BP$561</f>
        <v>1735.0875720576685</v>
      </c>
      <c r="BQ517" s="414">
        <f>+Model!BQ176/BQ$561</f>
        <v>2138.8670389542153</v>
      </c>
      <c r="BR517" s="414">
        <f>+Model!BR176/BR$561</f>
        <v>2264.2261176036095</v>
      </c>
      <c r="BS517" s="414">
        <f>+Model!BS176/BS$561</f>
        <v>2267.9405693958975</v>
      </c>
      <c r="BT517" s="414">
        <f>+Model!BT176/BT$561</f>
        <v>2325.5893032427548</v>
      </c>
      <c r="BU517" s="414">
        <f>+Model!BU176/BU$561</f>
        <v>2424.1730426189888</v>
      </c>
      <c r="BV517" s="414">
        <f>+Model!BV176/BV$561</f>
        <v>2527.9584855359544</v>
      </c>
      <c r="BW517" s="414">
        <f>+Model!BW176/BW$561</f>
        <v>2637.255548232954</v>
      </c>
      <c r="BX517" s="414">
        <f>+Model!BX176/BX$561</f>
        <v>2752.3951867119945</v>
      </c>
      <c r="BY517" s="414">
        <f>+Model!BY176/BY$561</f>
        <v>2873.7310078643877</v>
      </c>
      <c r="BZ517" s="414">
        <f>+Model!BZ176/BZ$561</f>
        <v>3057.1971973400377</v>
      </c>
      <c r="CA517" s="414">
        <f>+Model!CA176/CA$561</f>
        <v>3253.8272314556611</v>
      </c>
      <c r="CB517" s="414">
        <f>+Model!CB176/CB$561</f>
        <v>3464.5836491294012</v>
      </c>
      <c r="CC517" s="414">
        <f>+Model!CC176/CC$561</f>
        <v>3690.5008944400802</v>
      </c>
      <c r="CD517" s="414">
        <f>+Model!CD176/CD$561</f>
        <v>3932.6908299770694</v>
      </c>
      <c r="CE517" s="414"/>
      <c r="CF517" s="430"/>
      <c r="CG517" s="235">
        <f t="shared" ref="CG517:CG547" si="2059">BK517-DG517</f>
        <v>20.50265451149744</v>
      </c>
      <c r="CH517" s="235">
        <f t="shared" ref="CH517:CH547" si="2060">BL517-DH517</f>
        <v>0</v>
      </c>
      <c r="CI517" s="235" t="e">
        <f>BM517-#REF!</f>
        <v>#REF!</v>
      </c>
      <c r="CJ517" s="235">
        <f t="shared" ref="CJ517:CJ547" si="2061">BN517-DI517</f>
        <v>0</v>
      </c>
      <c r="CK517" s="235">
        <f t="shared" ref="CK517:CK547" si="2062">BO517-DJ517</f>
        <v>0</v>
      </c>
      <c r="CL517" s="235">
        <f t="shared" ref="CL517:CL547" si="2063">BP517-DK517</f>
        <v>0</v>
      </c>
      <c r="CM517" s="235">
        <f t="shared" ref="CM517:CM547" si="2064">BQ517-DL517</f>
        <v>0</v>
      </c>
      <c r="CN517" s="235">
        <f t="shared" ref="CN517:CN547" si="2065">BR517-DM517</f>
        <v>0</v>
      </c>
      <c r="CO517" s="235">
        <f t="shared" ref="CO517:CO547" si="2066">BS517-DN517</f>
        <v>0</v>
      </c>
      <c r="CP517" s="235">
        <f t="shared" ref="CP517:CP547" si="2067">BT517-DO517</f>
        <v>0</v>
      </c>
      <c r="CQ517" s="235">
        <f t="shared" ref="CQ517:CQ547" si="2068">BU517-DP517</f>
        <v>0</v>
      </c>
      <c r="CR517" s="235">
        <f t="shared" ref="CR517:CR547" si="2069">BV517-DQ517</f>
        <v>0</v>
      </c>
      <c r="CS517" s="235">
        <f t="shared" ref="CS517:CS547" si="2070">BW517-DR517</f>
        <v>0</v>
      </c>
      <c r="CT517" s="235">
        <f t="shared" ref="CT517:CT547" si="2071">BX517-DS517</f>
        <v>0</v>
      </c>
      <c r="CU517" s="235">
        <f t="shared" ref="CU517:CU547" si="2072">BY517-DT517</f>
        <v>0</v>
      </c>
      <c r="CV517" s="235">
        <f t="shared" ref="CV517:CV547" si="2073">BZ517-DU517</f>
        <v>0</v>
      </c>
      <c r="CW517" s="235">
        <f t="shared" ref="CW517:CW547" si="2074">CA517-DV517</f>
        <v>0</v>
      </c>
      <c r="CX517" s="235">
        <f t="shared" ref="CX517:CX547" si="2075">CB517-DW517</f>
        <v>0</v>
      </c>
      <c r="CY517" s="235">
        <f t="shared" ref="CY517:CY547" si="2076">CC517-DX517</f>
        <v>0</v>
      </c>
      <c r="CZ517" s="235">
        <f t="shared" ref="CZ517:CZ547" si="2077">CD517-DY517</f>
        <v>0</v>
      </c>
      <c r="DA517" s="150"/>
      <c r="DG517" s="419">
        <v>2484.3926104919897</v>
      </c>
      <c r="DH517" s="502">
        <v>2524.025983400823</v>
      </c>
      <c r="DI517" s="419">
        <v>2053.2813771457745</v>
      </c>
      <c r="DJ517" s="419">
        <v>1722.2553426432678</v>
      </c>
      <c r="DK517" s="419">
        <v>1735.0875720576685</v>
      </c>
      <c r="DL517" s="419">
        <v>2138.8670389542153</v>
      </c>
      <c r="DM517" s="419">
        <v>2264.2261176036095</v>
      </c>
      <c r="DN517" s="419">
        <v>2267.9405693958975</v>
      </c>
      <c r="DO517" s="419">
        <v>2325.5893032427548</v>
      </c>
      <c r="DP517" s="419">
        <v>2424.1730426189888</v>
      </c>
      <c r="DQ517" s="1017">
        <v>2527.9584855359544</v>
      </c>
      <c r="DR517" s="1017">
        <v>2637.255548232954</v>
      </c>
      <c r="DS517" s="1017">
        <v>2752.3951867119945</v>
      </c>
      <c r="DT517" s="1017">
        <v>2873.7310078643877</v>
      </c>
      <c r="DU517" s="1017">
        <v>3057.1971973400377</v>
      </c>
      <c r="DV517" s="1017">
        <v>3253.8272314556611</v>
      </c>
      <c r="DW517" s="1017">
        <v>3464.5836491294012</v>
      </c>
      <c r="DX517" s="1017">
        <v>3690.5008944400802</v>
      </c>
      <c r="DY517" s="1017">
        <v>3932.6908299770694</v>
      </c>
      <c r="DZ517" s="1017"/>
      <c r="EA517" s="996"/>
    </row>
    <row r="518" spans="2:131" customFormat="1" hidden="1">
      <c r="B518" s="3" t="s">
        <v>4019</v>
      </c>
      <c r="C518" s="3"/>
      <c r="D518" s="197"/>
      <c r="BG518" s="414">
        <f>+Model!BG178/BG$561</f>
        <v>-137.16953365877956</v>
      </c>
      <c r="BH518" s="414">
        <f>+Model!BH178/BH$561</f>
        <v>-208.106995977888</v>
      </c>
      <c r="BI518" s="414">
        <f>+Model!BI178/BI$561</f>
        <v>-203.81519362187342</v>
      </c>
      <c r="BJ518" s="414">
        <f>+Model!BJ178/BJ$561</f>
        <v>-378.7810423534408</v>
      </c>
      <c r="BK518" s="414">
        <f>+Model!BK178/BK$561</f>
        <v>-342.90473499651296</v>
      </c>
      <c r="BL518" s="414">
        <f>+Model!BL178/BL$561</f>
        <v>-351.47401659917716</v>
      </c>
      <c r="BM518" s="414">
        <f>+Model!BM178/BM$561</f>
        <v>-366.73545159230775</v>
      </c>
      <c r="BN518" s="414">
        <f>+Model!BN178/BN$561</f>
        <v>-302.71862285422577</v>
      </c>
      <c r="BO518" s="414">
        <f>+Model!BO178/BO$561</f>
        <v>-237.3446573567322</v>
      </c>
      <c r="BP518" s="414">
        <f>+Model!BP178/BP$561</f>
        <v>-259.43545389668236</v>
      </c>
      <c r="BQ518" s="414">
        <f>+Model!BQ178/BQ$561</f>
        <v>-339.10860193284776</v>
      </c>
      <c r="BR518" s="414">
        <f>+Model!BR178/BR$561</f>
        <v>-359.21053743613982</v>
      </c>
      <c r="BS518" s="414">
        <f>+Model!BS178/BS$561</f>
        <v>-358.89021702798647</v>
      </c>
      <c r="BT518" s="414">
        <f>+Model!BT178/BT$561</f>
        <v>-367.73943078833975</v>
      </c>
      <c r="BU518" s="414">
        <f>+Model!BU178/BU$561</f>
        <v>-383.29479243082977</v>
      </c>
      <c r="BV518" s="414">
        <f>+Model!BV178/BV$561</f>
        <v>-399.66819190541389</v>
      </c>
      <c r="BW518" s="414">
        <f>+Model!BW178/BW$561</f>
        <v>-416.90804969818163</v>
      </c>
      <c r="BX518" s="414">
        <f>+Model!BX178/BX$561</f>
        <v>-435.06604282028394</v>
      </c>
      <c r="BY518" s="414">
        <f>+Model!BY178/BY$561</f>
        <v>-454.19735174383146</v>
      </c>
      <c r="BZ518" s="414">
        <f>+Model!BZ178/BZ$561</f>
        <v>-482.8663394255567</v>
      </c>
      <c r="CA518" s="414">
        <f>+Model!CA178/CA$561</f>
        <v>-513.59205815463042</v>
      </c>
      <c r="CB518" s="414">
        <f>+Model!CB178/CB$561</f>
        <v>-546.52489324240423</v>
      </c>
      <c r="CC518" s="414">
        <f>+Model!CC178/CC$561</f>
        <v>-581.82646421208335</v>
      </c>
      <c r="CD518" s="414">
        <f>+Model!CD178/CD$561</f>
        <v>-619.67048618298406</v>
      </c>
      <c r="CE518" s="414"/>
      <c r="CF518" s="430"/>
      <c r="CG518" s="235">
        <f t="shared" si="2059"/>
        <v>-159.697345488503</v>
      </c>
      <c r="CH518" s="235">
        <f t="shared" si="2060"/>
        <v>-5.4000000000000341</v>
      </c>
      <c r="CI518" s="235" t="e">
        <f>BM518-#REF!</f>
        <v>#REF!</v>
      </c>
      <c r="CJ518" s="235">
        <f t="shared" si="2061"/>
        <v>0</v>
      </c>
      <c r="CK518" s="235">
        <f t="shared" si="2062"/>
        <v>0</v>
      </c>
      <c r="CL518" s="235">
        <f t="shared" si="2063"/>
        <v>0</v>
      </c>
      <c r="CM518" s="235">
        <f t="shared" si="2064"/>
        <v>0</v>
      </c>
      <c r="CN518" s="235">
        <f t="shared" si="2065"/>
        <v>0</v>
      </c>
      <c r="CO518" s="235">
        <f t="shared" si="2066"/>
        <v>0</v>
      </c>
      <c r="CP518" s="235">
        <f t="shared" si="2067"/>
        <v>0</v>
      </c>
      <c r="CQ518" s="235">
        <f t="shared" si="2068"/>
        <v>0</v>
      </c>
      <c r="CR518" s="235">
        <f t="shared" si="2069"/>
        <v>0</v>
      </c>
      <c r="CS518" s="235">
        <f t="shared" si="2070"/>
        <v>0</v>
      </c>
      <c r="CT518" s="235">
        <f t="shared" si="2071"/>
        <v>0</v>
      </c>
      <c r="CU518" s="235">
        <f t="shared" si="2072"/>
        <v>0</v>
      </c>
      <c r="CV518" s="235">
        <f t="shared" si="2073"/>
        <v>0</v>
      </c>
      <c r="CW518" s="235">
        <f t="shared" si="2074"/>
        <v>0</v>
      </c>
      <c r="CX518" s="235">
        <f t="shared" si="2075"/>
        <v>0</v>
      </c>
      <c r="CY518" s="235">
        <f t="shared" si="2076"/>
        <v>0</v>
      </c>
      <c r="CZ518" s="235">
        <f t="shared" si="2077"/>
        <v>0</v>
      </c>
      <c r="DA518" s="150"/>
      <c r="DG518" s="419">
        <v>-183.20738950800995</v>
      </c>
      <c r="DH518" s="502">
        <v>-346.07401659917713</v>
      </c>
      <c r="DI518" s="419">
        <v>-302.71862285422577</v>
      </c>
      <c r="DJ518" s="419">
        <v>-237.3446573567322</v>
      </c>
      <c r="DK518" s="419">
        <v>-259.43545389668236</v>
      </c>
      <c r="DL518" s="419">
        <v>-339.10860193284776</v>
      </c>
      <c r="DM518" s="419">
        <v>-359.21053743613982</v>
      </c>
      <c r="DN518" s="419">
        <v>-358.89021702798647</v>
      </c>
      <c r="DO518" s="419">
        <v>-367.73943078833975</v>
      </c>
      <c r="DP518" s="419">
        <v>-383.29479243082977</v>
      </c>
      <c r="DQ518" s="1017">
        <v>-399.66819190541389</v>
      </c>
      <c r="DR518" s="1017">
        <v>-416.90804969818163</v>
      </c>
      <c r="DS518" s="1017">
        <v>-435.06604282028394</v>
      </c>
      <c r="DT518" s="1017">
        <v>-454.19735174383146</v>
      </c>
      <c r="DU518" s="1017">
        <v>-482.8663394255567</v>
      </c>
      <c r="DV518" s="1017">
        <v>-513.59205815463042</v>
      </c>
      <c r="DW518" s="1017">
        <v>-546.52489324240423</v>
      </c>
      <c r="DX518" s="1017">
        <v>-581.82646421208335</v>
      </c>
      <c r="DY518" s="1017">
        <v>-619.67048618298406</v>
      </c>
      <c r="DZ518" s="1017"/>
      <c r="EA518" s="996"/>
    </row>
    <row r="519" spans="2:131" customFormat="1" hidden="1">
      <c r="B519" s="70" t="s">
        <v>3676</v>
      </c>
      <c r="C519" s="66"/>
      <c r="D519" s="205"/>
      <c r="BE519" s="51"/>
      <c r="BF519" s="150"/>
      <c r="BG519" s="417"/>
      <c r="BH519" s="417"/>
      <c r="BI519" s="417"/>
      <c r="BJ519" s="417"/>
      <c r="BK519" s="417"/>
      <c r="BL519" s="417"/>
      <c r="BM519" s="417"/>
      <c r="BN519" s="417"/>
      <c r="BO519" s="417"/>
      <c r="BP519" s="417"/>
      <c r="BQ519" s="417"/>
      <c r="BR519" s="417"/>
      <c r="BS519" s="417"/>
      <c r="BT519" s="417"/>
      <c r="BU519" s="417"/>
      <c r="BV519" s="417"/>
      <c r="BW519" s="417"/>
      <c r="BX519" s="417"/>
      <c r="BY519" s="417"/>
      <c r="BZ519" s="417"/>
      <c r="CA519" s="417"/>
      <c r="CB519" s="417"/>
      <c r="CC519" s="417"/>
      <c r="CD519" s="417"/>
      <c r="CE519" s="417"/>
      <c r="CF519" s="430"/>
      <c r="CG519" s="235">
        <f t="shared" si="2059"/>
        <v>0</v>
      </c>
      <c r="CH519" s="235">
        <f t="shared" si="2060"/>
        <v>0</v>
      </c>
      <c r="CI519" s="235" t="e">
        <f>BM519-#REF!</f>
        <v>#REF!</v>
      </c>
      <c r="CJ519" s="235">
        <f t="shared" si="2061"/>
        <v>0</v>
      </c>
      <c r="CK519" s="235">
        <f t="shared" si="2062"/>
        <v>0</v>
      </c>
      <c r="CL519" s="235">
        <f t="shared" si="2063"/>
        <v>0</v>
      </c>
      <c r="CM519" s="235">
        <f t="shared" si="2064"/>
        <v>0</v>
      </c>
      <c r="CN519" s="235">
        <f t="shared" si="2065"/>
        <v>0</v>
      </c>
      <c r="CO519" s="235">
        <f t="shared" si="2066"/>
        <v>0</v>
      </c>
      <c r="CP519" s="235">
        <f t="shared" si="2067"/>
        <v>0</v>
      </c>
      <c r="CQ519" s="235">
        <f t="shared" si="2068"/>
        <v>0</v>
      </c>
      <c r="CR519" s="235">
        <f t="shared" si="2069"/>
        <v>0</v>
      </c>
      <c r="CS519" s="235">
        <f t="shared" si="2070"/>
        <v>0</v>
      </c>
      <c r="CT519" s="235">
        <f t="shared" si="2071"/>
        <v>0</v>
      </c>
      <c r="CU519" s="235">
        <f t="shared" si="2072"/>
        <v>0</v>
      </c>
      <c r="CV519" s="235">
        <f t="shared" si="2073"/>
        <v>0</v>
      </c>
      <c r="CW519" s="235">
        <f t="shared" si="2074"/>
        <v>0</v>
      </c>
      <c r="CX519" s="235">
        <f t="shared" si="2075"/>
        <v>0</v>
      </c>
      <c r="CY519" s="235">
        <f t="shared" si="2076"/>
        <v>0</v>
      </c>
      <c r="CZ519" s="235">
        <f t="shared" si="2077"/>
        <v>0</v>
      </c>
      <c r="DA519" s="150"/>
      <c r="DG519" s="419"/>
      <c r="DH519" s="502"/>
      <c r="DI519" s="419"/>
      <c r="DJ519" s="419"/>
      <c r="DK519" s="419"/>
      <c r="DL519" s="419"/>
      <c r="DM519" s="419"/>
      <c r="DN519" s="419"/>
      <c r="DO519" s="419"/>
      <c r="DP519" s="419"/>
      <c r="DQ519" s="1017"/>
      <c r="DR519" s="1017"/>
      <c r="DS519" s="1017"/>
      <c r="DT519" s="1017"/>
      <c r="DU519" s="1017"/>
      <c r="DV519" s="1017"/>
      <c r="DW519" s="1017"/>
      <c r="DX519" s="1017"/>
      <c r="DY519" s="1017"/>
      <c r="DZ519" s="1017"/>
      <c r="EA519" s="996"/>
    </row>
    <row r="520" spans="2:131" customFormat="1" hidden="1">
      <c r="B520" s="133" t="s">
        <v>1358</v>
      </c>
      <c r="C520" s="19"/>
      <c r="D520" s="218"/>
      <c r="BE520" s="51"/>
      <c r="BF520" s="150"/>
      <c r="BG520" s="417"/>
      <c r="BH520" s="417"/>
      <c r="BI520" s="417"/>
      <c r="BJ520" s="417"/>
      <c r="BK520" s="417"/>
      <c r="BL520" s="417"/>
      <c r="BM520" s="417"/>
      <c r="BN520" s="417"/>
      <c r="BO520" s="417"/>
      <c r="BP520" s="417"/>
      <c r="BQ520" s="417"/>
      <c r="BR520" s="417"/>
      <c r="BS520" s="417"/>
      <c r="BT520" s="417"/>
      <c r="BU520" s="417"/>
      <c r="BV520" s="417"/>
      <c r="BW520" s="417"/>
      <c r="BX520" s="417"/>
      <c r="BY520" s="417"/>
      <c r="BZ520" s="417"/>
      <c r="CA520" s="417"/>
      <c r="CB520" s="417"/>
      <c r="CC520" s="417"/>
      <c r="CD520" s="417"/>
      <c r="CE520" s="417"/>
      <c r="CF520" s="430"/>
      <c r="CG520" s="235">
        <f t="shared" si="2059"/>
        <v>0</v>
      </c>
      <c r="CH520" s="235">
        <f t="shared" si="2060"/>
        <v>0</v>
      </c>
      <c r="CI520" s="235" t="e">
        <f>BM520-#REF!</f>
        <v>#REF!</v>
      </c>
      <c r="CJ520" s="235">
        <f t="shared" si="2061"/>
        <v>0</v>
      </c>
      <c r="CK520" s="235">
        <f t="shared" si="2062"/>
        <v>0</v>
      </c>
      <c r="CL520" s="235">
        <f t="shared" si="2063"/>
        <v>0</v>
      </c>
      <c r="CM520" s="235">
        <f t="shared" si="2064"/>
        <v>0</v>
      </c>
      <c r="CN520" s="235">
        <f t="shared" si="2065"/>
        <v>0</v>
      </c>
      <c r="CO520" s="235">
        <f t="shared" si="2066"/>
        <v>0</v>
      </c>
      <c r="CP520" s="235">
        <f t="shared" si="2067"/>
        <v>0</v>
      </c>
      <c r="CQ520" s="235">
        <f t="shared" si="2068"/>
        <v>0</v>
      </c>
      <c r="CR520" s="235">
        <f t="shared" si="2069"/>
        <v>0</v>
      </c>
      <c r="CS520" s="235">
        <f t="shared" si="2070"/>
        <v>0</v>
      </c>
      <c r="CT520" s="235">
        <f t="shared" si="2071"/>
        <v>0</v>
      </c>
      <c r="CU520" s="235">
        <f t="shared" si="2072"/>
        <v>0</v>
      </c>
      <c r="CV520" s="235">
        <f t="shared" si="2073"/>
        <v>0</v>
      </c>
      <c r="CW520" s="235">
        <f t="shared" si="2074"/>
        <v>0</v>
      </c>
      <c r="CX520" s="235">
        <f t="shared" si="2075"/>
        <v>0</v>
      </c>
      <c r="CY520" s="235">
        <f t="shared" si="2076"/>
        <v>0</v>
      </c>
      <c r="CZ520" s="235">
        <f t="shared" si="2077"/>
        <v>0</v>
      </c>
      <c r="DA520" s="150"/>
      <c r="DG520" s="419"/>
      <c r="DH520" s="502"/>
      <c r="DI520" s="419"/>
      <c r="DJ520" s="419"/>
      <c r="DK520" s="419"/>
      <c r="DL520" s="419"/>
      <c r="DM520" s="419"/>
      <c r="DN520" s="419"/>
      <c r="DO520" s="419"/>
      <c r="DP520" s="419"/>
      <c r="DQ520" s="1017"/>
      <c r="DR520" s="1017"/>
      <c r="DS520" s="1017"/>
      <c r="DT520" s="1017"/>
      <c r="DU520" s="1017"/>
      <c r="DV520" s="1017"/>
      <c r="DW520" s="1017"/>
      <c r="DX520" s="1017"/>
      <c r="DY520" s="1017"/>
      <c r="DZ520" s="1017"/>
      <c r="EA520" s="996"/>
    </row>
    <row r="521" spans="2:131" customFormat="1" hidden="1">
      <c r="B521" s="80" t="s">
        <v>547</v>
      </c>
      <c r="C521" s="19"/>
      <c r="D521" s="218"/>
      <c r="BE521" s="51"/>
      <c r="BF521" s="150"/>
      <c r="BG521" s="417"/>
      <c r="BH521" s="417"/>
      <c r="BI521" s="417"/>
      <c r="BJ521" s="417"/>
      <c r="BK521" s="417"/>
      <c r="BL521" s="417"/>
      <c r="BM521" s="417"/>
      <c r="BN521" s="417"/>
      <c r="BO521" s="417"/>
      <c r="BP521" s="417"/>
      <c r="BQ521" s="417"/>
      <c r="BR521" s="417"/>
      <c r="BS521" s="417"/>
      <c r="BT521" s="417"/>
      <c r="BU521" s="417"/>
      <c r="BV521" s="417"/>
      <c r="BW521" s="417"/>
      <c r="BX521" s="417"/>
      <c r="BY521" s="417"/>
      <c r="BZ521" s="417"/>
      <c r="CA521" s="417"/>
      <c r="CB521" s="417"/>
      <c r="CC521" s="417"/>
      <c r="CD521" s="417"/>
      <c r="CE521" s="417"/>
      <c r="CF521" s="430"/>
      <c r="CG521" s="235">
        <f t="shared" si="2059"/>
        <v>0</v>
      </c>
      <c r="CH521" s="235">
        <f t="shared" si="2060"/>
        <v>0</v>
      </c>
      <c r="CI521" s="235" t="e">
        <f>BM521-#REF!</f>
        <v>#REF!</v>
      </c>
      <c r="CJ521" s="235">
        <f t="shared" si="2061"/>
        <v>0</v>
      </c>
      <c r="CK521" s="235">
        <f t="shared" si="2062"/>
        <v>0</v>
      </c>
      <c r="CL521" s="235">
        <f t="shared" si="2063"/>
        <v>0</v>
      </c>
      <c r="CM521" s="235">
        <f t="shared" si="2064"/>
        <v>0</v>
      </c>
      <c r="CN521" s="235">
        <f t="shared" si="2065"/>
        <v>0</v>
      </c>
      <c r="CO521" s="235">
        <f t="shared" si="2066"/>
        <v>0</v>
      </c>
      <c r="CP521" s="235">
        <f t="shared" si="2067"/>
        <v>0</v>
      </c>
      <c r="CQ521" s="235">
        <f t="shared" si="2068"/>
        <v>0</v>
      </c>
      <c r="CR521" s="235">
        <f t="shared" si="2069"/>
        <v>0</v>
      </c>
      <c r="CS521" s="235">
        <f t="shared" si="2070"/>
        <v>0</v>
      </c>
      <c r="CT521" s="235">
        <f t="shared" si="2071"/>
        <v>0</v>
      </c>
      <c r="CU521" s="235">
        <f t="shared" si="2072"/>
        <v>0</v>
      </c>
      <c r="CV521" s="235">
        <f t="shared" si="2073"/>
        <v>0</v>
      </c>
      <c r="CW521" s="235">
        <f t="shared" si="2074"/>
        <v>0</v>
      </c>
      <c r="CX521" s="235">
        <f t="shared" si="2075"/>
        <v>0</v>
      </c>
      <c r="CY521" s="235">
        <f t="shared" si="2076"/>
        <v>0</v>
      </c>
      <c r="CZ521" s="235">
        <f t="shared" si="2077"/>
        <v>0</v>
      </c>
      <c r="DA521" s="150"/>
      <c r="DG521" s="419"/>
      <c r="DH521" s="502"/>
      <c r="DI521" s="419"/>
      <c r="DJ521" s="419"/>
      <c r="DK521" s="419"/>
      <c r="DL521" s="419"/>
      <c r="DM521" s="419"/>
      <c r="DN521" s="419"/>
      <c r="DO521" s="419"/>
      <c r="DP521" s="419"/>
      <c r="DQ521" s="1017"/>
      <c r="DR521" s="1017"/>
      <c r="DS521" s="1017"/>
      <c r="DT521" s="1017"/>
      <c r="DU521" s="1017"/>
      <c r="DV521" s="1017"/>
      <c r="DW521" s="1017"/>
      <c r="DX521" s="1017"/>
      <c r="DY521" s="1017"/>
      <c r="DZ521" s="1017"/>
      <c r="EA521" s="996"/>
    </row>
    <row r="522" spans="2:131" customFormat="1" hidden="1">
      <c r="B522" s="80" t="s">
        <v>1304</v>
      </c>
      <c r="C522" s="51" t="s">
        <v>913</v>
      </c>
      <c r="D522" s="207"/>
      <c r="BG522" s="414">
        <f>+Model!BG181/BG$561</f>
        <v>1612.5</v>
      </c>
      <c r="BH522" s="414">
        <f>+Model!BH181/BH$561</f>
        <v>2027.7</v>
      </c>
      <c r="BI522" s="414">
        <f>+Model!BI181/BI$561</f>
        <v>1688.5</v>
      </c>
      <c r="BJ522" s="414">
        <f>+Model!BJ181/BJ$561</f>
        <v>2325.5</v>
      </c>
      <c r="BK522" s="414">
        <f>+Model!BK181/BK$561</f>
        <v>2847.8</v>
      </c>
      <c r="BL522" s="414">
        <f>+Model!BL181/BL$561</f>
        <v>2875.5000000000005</v>
      </c>
      <c r="BM522" s="414">
        <f>+Model!BM181/BM$561</f>
        <v>2594.6999999999998</v>
      </c>
      <c r="BN522" s="414">
        <f>+Model!BN181/BN$561</f>
        <v>2356</v>
      </c>
      <c r="BO522" s="414">
        <f>+Model!BO181/BO$561</f>
        <v>1959.6</v>
      </c>
      <c r="BP522" s="414">
        <f>+Model!BP181/BP$561</f>
        <v>1994.5230259543507</v>
      </c>
      <c r="BQ522" s="414">
        <f>+Model!BQ181/BQ$561</f>
        <v>2477.975640887063</v>
      </c>
      <c r="BR522" s="414">
        <f>+Model!BR181/BR$561</f>
        <v>2623.4366550397494</v>
      </c>
      <c r="BS522" s="414">
        <f>+Model!BS181/BS$561</f>
        <v>2626.8307864238836</v>
      </c>
      <c r="BT522" s="414">
        <f>+Model!BT181/BT$561</f>
        <v>2693.3287340310949</v>
      </c>
      <c r="BU522" s="414">
        <f>+Model!BU181/BU$561</f>
        <v>2807.4678350498189</v>
      </c>
      <c r="BV522" s="414">
        <f>+Model!BV181/BV$561</f>
        <v>2927.6266774413684</v>
      </c>
      <c r="BW522" s="414">
        <f>+Model!BW181/BW$561</f>
        <v>3054.1635979311359</v>
      </c>
      <c r="BX522" s="414">
        <f>+Model!BX181/BX$561</f>
        <v>3187.4612295322781</v>
      </c>
      <c r="BY522" s="414">
        <f>+Model!BY181/BY$561</f>
        <v>3327.9283596082191</v>
      </c>
      <c r="BZ522" s="414">
        <f>+Model!BZ181/BZ$561</f>
        <v>3540.0635367655941</v>
      </c>
      <c r="CA522" s="414">
        <f>+Model!CA181/CA$561</f>
        <v>3767.4192896102913</v>
      </c>
      <c r="CB522" s="414">
        <f>+Model!CB181/CB$561</f>
        <v>4011.1085423718055</v>
      </c>
      <c r="CC522" s="414">
        <f>+Model!CC181/CC$561</f>
        <v>4272.3273586521636</v>
      </c>
      <c r="CD522" s="414">
        <f>+Model!CD181/CD$561</f>
        <v>4552.3613161600533</v>
      </c>
      <c r="CE522" s="414"/>
      <c r="CF522" s="430"/>
      <c r="CG522" s="235">
        <f t="shared" si="2059"/>
        <v>180.20000000000073</v>
      </c>
      <c r="CH522" s="235">
        <f t="shared" si="2060"/>
        <v>5.4000000000000909</v>
      </c>
      <c r="CI522" s="235" t="e">
        <f>BM522-#REF!</f>
        <v>#REF!</v>
      </c>
      <c r="CJ522" s="235">
        <f t="shared" si="2061"/>
        <v>0</v>
      </c>
      <c r="CK522" s="235">
        <f t="shared" si="2062"/>
        <v>0</v>
      </c>
      <c r="CL522" s="235">
        <f t="shared" si="2063"/>
        <v>0</v>
      </c>
      <c r="CM522" s="235">
        <f t="shared" si="2064"/>
        <v>0</v>
      </c>
      <c r="CN522" s="235">
        <f t="shared" si="2065"/>
        <v>0</v>
      </c>
      <c r="CO522" s="235">
        <f t="shared" si="2066"/>
        <v>0</v>
      </c>
      <c r="CP522" s="235">
        <f t="shared" si="2067"/>
        <v>0</v>
      </c>
      <c r="CQ522" s="235">
        <f t="shared" si="2068"/>
        <v>0</v>
      </c>
      <c r="CR522" s="235">
        <f t="shared" si="2069"/>
        <v>0</v>
      </c>
      <c r="CS522" s="235">
        <f t="shared" si="2070"/>
        <v>0</v>
      </c>
      <c r="CT522" s="235">
        <f t="shared" si="2071"/>
        <v>0</v>
      </c>
      <c r="CU522" s="235">
        <f t="shared" si="2072"/>
        <v>0</v>
      </c>
      <c r="CV522" s="235">
        <f t="shared" si="2073"/>
        <v>0</v>
      </c>
      <c r="CW522" s="235">
        <f t="shared" si="2074"/>
        <v>0</v>
      </c>
      <c r="CX522" s="235">
        <f t="shared" si="2075"/>
        <v>0</v>
      </c>
      <c r="CY522" s="235">
        <f t="shared" si="2076"/>
        <v>0</v>
      </c>
      <c r="CZ522" s="235">
        <f t="shared" si="2077"/>
        <v>0</v>
      </c>
      <c r="DA522" s="150"/>
      <c r="DG522" s="419">
        <v>2667.5999999999995</v>
      </c>
      <c r="DH522" s="502">
        <v>2870.1000000000004</v>
      </c>
      <c r="DI522" s="419">
        <v>2356</v>
      </c>
      <c r="DJ522" s="419">
        <v>1959.6</v>
      </c>
      <c r="DK522" s="419">
        <v>1994.5230259543507</v>
      </c>
      <c r="DL522" s="419">
        <v>2477.975640887063</v>
      </c>
      <c r="DM522" s="419">
        <v>2623.4366550397494</v>
      </c>
      <c r="DN522" s="419">
        <v>2626.8307864238836</v>
      </c>
      <c r="DO522" s="419">
        <v>2693.3287340310949</v>
      </c>
      <c r="DP522" s="419">
        <v>2807.4678350498189</v>
      </c>
      <c r="DQ522" s="1017">
        <v>2927.6266774413684</v>
      </c>
      <c r="DR522" s="1017">
        <v>3054.1635979311359</v>
      </c>
      <c r="DS522" s="1017">
        <v>3187.4612295322781</v>
      </c>
      <c r="DT522" s="1017">
        <v>3327.9283596082191</v>
      </c>
      <c r="DU522" s="1017">
        <v>3540.0635367655941</v>
      </c>
      <c r="DV522" s="1017">
        <v>3767.4192896102913</v>
      </c>
      <c r="DW522" s="1017">
        <v>4011.1085423718055</v>
      </c>
      <c r="DX522" s="1017">
        <v>4272.3273586521636</v>
      </c>
      <c r="DY522" s="1017">
        <v>4552.3613161600533</v>
      </c>
      <c r="DZ522" s="1017"/>
      <c r="EA522" s="996"/>
    </row>
    <row r="523" spans="2:131" customFormat="1" hidden="1">
      <c r="B523" s="80" t="s">
        <v>1513</v>
      </c>
      <c r="C523" s="51" t="s">
        <v>914</v>
      </c>
      <c r="D523" s="207"/>
      <c r="BG523" s="414">
        <f>+Model!BG182/BG$561</f>
        <v>1362.6999999999998</v>
      </c>
      <c r="BH523" s="414">
        <f>+Model!BH182/BH$561</f>
        <v>1813.9000000000003</v>
      </c>
      <c r="BI523" s="414">
        <f>+Model!BI182/BI$561</f>
        <v>1676</v>
      </c>
      <c r="BJ523" s="414">
        <f>+Model!BJ182/BJ$561</f>
        <v>1657.0000000000002</v>
      </c>
      <c r="BK523" s="414">
        <f>+Model!BK182/BK$561</f>
        <v>2241.6</v>
      </c>
      <c r="BL523" s="414">
        <f>+Model!BL182/BL$561</f>
        <v>2587.5999999999995</v>
      </c>
      <c r="BM523" s="414">
        <f>+Model!BM182/BM$561</f>
        <v>2715.2</v>
      </c>
      <c r="BN523" s="414">
        <f>+Model!BN182/BN$561</f>
        <v>2752.2000000000003</v>
      </c>
      <c r="BO523" s="414">
        <f>+Model!BO182/BO$561</f>
        <v>2734.2666666666664</v>
      </c>
      <c r="BP523" s="414">
        <f ca="1">+Model!BP182/BP$561</f>
        <v>2649.0170571643125</v>
      </c>
      <c r="BQ523" s="414">
        <f ca="1">+Model!BQ182/BQ$561</f>
        <v>2974.7802102149849</v>
      </c>
      <c r="BR523" s="414">
        <f ca="1">+Model!BR182/BR$561</f>
        <v>3182.9851271556677</v>
      </c>
      <c r="BS523" s="414">
        <f ca="1">+Model!BS182/BS$561</f>
        <v>3321.0470119396291</v>
      </c>
      <c r="BT523" s="414">
        <f ca="1">+Model!BT182/BT$561</f>
        <v>3493.1962321498577</v>
      </c>
      <c r="BU523" s="414">
        <f ca="1">+Model!BU182/BU$561</f>
        <v>3727.489841238445</v>
      </c>
      <c r="BV523" s="414">
        <f ca="1">+Model!BV182/BV$561</f>
        <v>3969.6246300121848</v>
      </c>
      <c r="BW523" s="414">
        <f ca="1">+Model!BW182/BW$561</f>
        <v>4228.3413215805331</v>
      </c>
      <c r="BX523" s="414">
        <f ca="1">+Model!BX182/BX$561</f>
        <v>4505.6024938680994</v>
      </c>
      <c r="BY523" s="414">
        <f ca="1">+Model!BY182/BY$561</f>
        <v>4803.3812680633855</v>
      </c>
      <c r="BZ523" s="414">
        <f ca="1">+Model!BZ182/BZ$561</f>
        <v>5117.1596282980927</v>
      </c>
      <c r="CA523" s="414">
        <f ca="1">+Model!CA182/CA$561</f>
        <v>5459.16926216911</v>
      </c>
      <c r="CB523" s="414">
        <f ca="1">+Model!CB182/CB$561</f>
        <v>5826.8471874872448</v>
      </c>
      <c r="CC523" s="414">
        <f ca="1">+Model!CC182/CC$561</f>
        <v>6222.7822869552192</v>
      </c>
      <c r="CD523" s="414">
        <f ca="1">+Model!CD182/CD$561</f>
        <v>6649.9288173476216</v>
      </c>
      <c r="CE523" s="414"/>
      <c r="CF523" s="430"/>
      <c r="CG523" s="235">
        <f t="shared" si="2059"/>
        <v>0</v>
      </c>
      <c r="CH523" s="235">
        <f t="shared" si="2060"/>
        <v>0</v>
      </c>
      <c r="CI523" s="235" t="e">
        <f>BM523-#REF!</f>
        <v>#REF!</v>
      </c>
      <c r="CJ523" s="235">
        <f t="shared" si="2061"/>
        <v>0</v>
      </c>
      <c r="CK523" s="235">
        <f t="shared" si="2062"/>
        <v>0</v>
      </c>
      <c r="CL523" s="235">
        <f t="shared" ca="1" si="2063"/>
        <v>0</v>
      </c>
      <c r="CM523" s="235">
        <f t="shared" ca="1" si="2064"/>
        <v>0</v>
      </c>
      <c r="CN523" s="235">
        <f t="shared" ca="1" si="2065"/>
        <v>0</v>
      </c>
      <c r="CO523" s="235">
        <f t="shared" ca="1" si="2066"/>
        <v>0</v>
      </c>
      <c r="CP523" s="235">
        <f t="shared" ca="1" si="2067"/>
        <v>0</v>
      </c>
      <c r="CQ523" s="235">
        <f t="shared" ca="1" si="2068"/>
        <v>0</v>
      </c>
      <c r="CR523" s="235">
        <f t="shared" ca="1" si="2069"/>
        <v>0</v>
      </c>
      <c r="CS523" s="235">
        <f t="shared" ca="1" si="2070"/>
        <v>0</v>
      </c>
      <c r="CT523" s="235">
        <f t="shared" ca="1" si="2071"/>
        <v>0</v>
      </c>
      <c r="CU523" s="235">
        <f t="shared" ca="1" si="2072"/>
        <v>0</v>
      </c>
      <c r="CV523" s="235">
        <f t="shared" ca="1" si="2073"/>
        <v>0</v>
      </c>
      <c r="CW523" s="235">
        <f t="shared" ca="1" si="2074"/>
        <v>0</v>
      </c>
      <c r="CX523" s="235">
        <f t="shared" ca="1" si="2075"/>
        <v>-1.0550138540565968E-10</v>
      </c>
      <c r="CY523" s="235">
        <f t="shared" ca="1" si="2076"/>
        <v>-1.11504050437361E-9</v>
      </c>
      <c r="CZ523" s="235">
        <f t="shared" ca="1" si="2077"/>
        <v>-8.9539753389544785E-9</v>
      </c>
      <c r="DA523" s="150"/>
      <c r="DG523" s="419">
        <v>2241.6</v>
      </c>
      <c r="DH523" s="502">
        <v>2587.5999999999995</v>
      </c>
      <c r="DI523" s="419">
        <v>2752.2000000000003</v>
      </c>
      <c r="DJ523" s="419">
        <v>2734.2666666666664</v>
      </c>
      <c r="DK523" s="419">
        <v>2649.0170571643121</v>
      </c>
      <c r="DL523" s="419">
        <v>2974.7802102149835</v>
      </c>
      <c r="DM523" s="419">
        <v>3182.9851271556663</v>
      </c>
      <c r="DN523" s="419">
        <v>3321.0470119396282</v>
      </c>
      <c r="DO523" s="419">
        <v>3493.1962321498563</v>
      </c>
      <c r="DP523" s="419">
        <v>3727.4898412384437</v>
      </c>
      <c r="DQ523" s="1017">
        <v>3969.624630012182</v>
      </c>
      <c r="DR523" s="1017">
        <v>4228.3413215805285</v>
      </c>
      <c r="DS523" s="1017">
        <v>4505.6024938680948</v>
      </c>
      <c r="DT523" s="1017">
        <v>4803.3812680633819</v>
      </c>
      <c r="DU523" s="1017">
        <v>5117.15962829809</v>
      </c>
      <c r="DV523" s="1017">
        <v>5459.1692621691118</v>
      </c>
      <c r="DW523" s="1017">
        <v>5826.8471874873503</v>
      </c>
      <c r="DX523" s="1017">
        <v>6222.7822869563342</v>
      </c>
      <c r="DY523" s="1017">
        <v>6649.9288173565756</v>
      </c>
      <c r="DZ523" s="1017"/>
      <c r="EA523" s="996"/>
    </row>
    <row r="524" spans="2:131" customFormat="1" hidden="1">
      <c r="B524" s="80" t="s">
        <v>3245</v>
      </c>
      <c r="C524" s="51" t="s">
        <v>915</v>
      </c>
      <c r="D524" s="207"/>
      <c r="BG524" s="414">
        <f>+Model!BG183/BG$561</f>
        <v>0</v>
      </c>
      <c r="BH524" s="414">
        <f>+Model!BH183/BH$561</f>
        <v>0</v>
      </c>
      <c r="BI524" s="414">
        <f>+Model!BI183/BI$561</f>
        <v>0</v>
      </c>
      <c r="BJ524" s="414">
        <f>+Model!BJ183/BJ$561</f>
        <v>0</v>
      </c>
      <c r="BK524" s="414">
        <f>+Model!BK183/BK$561</f>
        <v>0</v>
      </c>
      <c r="BL524" s="414">
        <f>+Model!BL183/BL$561</f>
        <v>0</v>
      </c>
      <c r="BM524" s="414">
        <f>+Model!BM183/BM$561</f>
        <v>0</v>
      </c>
      <c r="BN524" s="414">
        <f>+Model!BN183/BN$561</f>
        <v>0</v>
      </c>
      <c r="BO524" s="414">
        <f>+Model!BO183/BO$561</f>
        <v>0</v>
      </c>
      <c r="BP524" s="414">
        <f ca="1">+Model!BP183/BP$561</f>
        <v>0</v>
      </c>
      <c r="BQ524" s="414">
        <f ca="1">+Model!BQ183/BQ$561</f>
        <v>0</v>
      </c>
      <c r="BR524" s="414">
        <f ca="1">+Model!BR183/BR$561</f>
        <v>0</v>
      </c>
      <c r="BS524" s="414">
        <f ca="1">+Model!BS183/BS$561</f>
        <v>0</v>
      </c>
      <c r="BT524" s="414">
        <f ca="1">+Model!BT183/BT$561</f>
        <v>0</v>
      </c>
      <c r="BU524" s="414">
        <f ca="1">+Model!BU183/BU$561</f>
        <v>0</v>
      </c>
      <c r="BV524" s="414">
        <f ca="1">+Model!BV183/BV$561</f>
        <v>0</v>
      </c>
      <c r="BW524" s="414">
        <f ca="1">+Model!BW183/BW$561</f>
        <v>0</v>
      </c>
      <c r="BX524" s="414">
        <f ca="1">+Model!BX183/BX$561</f>
        <v>0</v>
      </c>
      <c r="BY524" s="414">
        <f ca="1">+Model!BY183/BY$561</f>
        <v>0</v>
      </c>
      <c r="BZ524" s="414">
        <f ca="1">+Model!BZ183/BZ$561</f>
        <v>0</v>
      </c>
      <c r="CA524" s="414">
        <f ca="1">+Model!CA183/CA$561</f>
        <v>0</v>
      </c>
      <c r="CB524" s="414">
        <f ca="1">+Model!CB183/CB$561</f>
        <v>0</v>
      </c>
      <c r="CC524" s="414">
        <f ca="1">+Model!CC183/CC$561</f>
        <v>0</v>
      </c>
      <c r="CD524" s="414">
        <f ca="1">+Model!CD183/CD$561</f>
        <v>0</v>
      </c>
      <c r="CE524" s="414"/>
      <c r="CF524" s="430"/>
      <c r="CG524" s="235">
        <f t="shared" si="2059"/>
        <v>0</v>
      </c>
      <c r="CH524" s="235">
        <f t="shared" si="2060"/>
        <v>0</v>
      </c>
      <c r="CI524" s="235" t="e">
        <f>BM524-#REF!</f>
        <v>#REF!</v>
      </c>
      <c r="CJ524" s="235">
        <f t="shared" si="2061"/>
        <v>0</v>
      </c>
      <c r="CK524" s="235">
        <f t="shared" si="2062"/>
        <v>0</v>
      </c>
      <c r="CL524" s="235">
        <f t="shared" ca="1" si="2063"/>
        <v>0</v>
      </c>
      <c r="CM524" s="235">
        <f t="shared" ca="1" si="2064"/>
        <v>0</v>
      </c>
      <c r="CN524" s="235">
        <f t="shared" ca="1" si="2065"/>
        <v>0</v>
      </c>
      <c r="CO524" s="235">
        <f t="shared" ca="1" si="2066"/>
        <v>0</v>
      </c>
      <c r="CP524" s="235">
        <f t="shared" ca="1" si="2067"/>
        <v>0</v>
      </c>
      <c r="CQ524" s="235">
        <f t="shared" ca="1" si="2068"/>
        <v>0</v>
      </c>
      <c r="CR524" s="235">
        <f t="shared" ca="1" si="2069"/>
        <v>0</v>
      </c>
      <c r="CS524" s="235">
        <f t="shared" ca="1" si="2070"/>
        <v>0</v>
      </c>
      <c r="CT524" s="235">
        <f t="shared" ca="1" si="2071"/>
        <v>0</v>
      </c>
      <c r="CU524" s="235">
        <f t="shared" ca="1" si="2072"/>
        <v>0</v>
      </c>
      <c r="CV524" s="235">
        <f t="shared" ca="1" si="2073"/>
        <v>0</v>
      </c>
      <c r="CW524" s="235">
        <f t="shared" ca="1" si="2074"/>
        <v>0</v>
      </c>
      <c r="CX524" s="235">
        <f t="shared" ca="1" si="2075"/>
        <v>0</v>
      </c>
      <c r="CY524" s="235">
        <f t="shared" ca="1" si="2076"/>
        <v>0</v>
      </c>
      <c r="CZ524" s="235">
        <f t="shared" ca="1" si="2077"/>
        <v>0</v>
      </c>
      <c r="DA524" s="150"/>
      <c r="DG524" s="419">
        <v>0</v>
      </c>
      <c r="DH524" s="502">
        <v>0</v>
      </c>
      <c r="DI524" s="419">
        <v>0</v>
      </c>
      <c r="DJ524" s="419">
        <v>0</v>
      </c>
      <c r="DK524" s="419">
        <v>0</v>
      </c>
      <c r="DL524" s="419">
        <v>0</v>
      </c>
      <c r="DM524" s="419">
        <v>0</v>
      </c>
      <c r="DN524" s="419">
        <v>0</v>
      </c>
      <c r="DO524" s="419">
        <v>0</v>
      </c>
      <c r="DP524" s="419">
        <v>0</v>
      </c>
      <c r="DQ524" s="1017">
        <v>0</v>
      </c>
      <c r="DR524" s="1017">
        <v>0</v>
      </c>
      <c r="DS524" s="1017">
        <v>0</v>
      </c>
      <c r="DT524" s="1017">
        <v>0</v>
      </c>
      <c r="DU524" s="1017">
        <v>0</v>
      </c>
      <c r="DV524" s="1017">
        <v>0</v>
      </c>
      <c r="DW524" s="1017">
        <v>0</v>
      </c>
      <c r="DX524" s="1017">
        <v>0</v>
      </c>
      <c r="DY524" s="1017">
        <v>0</v>
      </c>
      <c r="DZ524" s="1017"/>
      <c r="EA524" s="996"/>
    </row>
    <row r="525" spans="2:131" customFormat="1" hidden="1">
      <c r="B525" s="80" t="s">
        <v>4033</v>
      </c>
      <c r="C525" s="51" t="s">
        <v>916</v>
      </c>
      <c r="D525" s="207"/>
      <c r="BG525" s="414">
        <f>+Model!BG184/BG$561</f>
        <v>0</v>
      </c>
      <c r="BH525" s="414">
        <f>+Model!BH184/BH$561</f>
        <v>0</v>
      </c>
      <c r="BI525" s="414">
        <f>+Model!BI184/BI$561</f>
        <v>0</v>
      </c>
      <c r="BJ525" s="414">
        <f>+Model!BJ184/BJ$561</f>
        <v>0</v>
      </c>
      <c r="BK525" s="414">
        <f>+Model!BK184/BK$561</f>
        <v>0</v>
      </c>
      <c r="BL525" s="414">
        <f>+Model!BL184/BL$561</f>
        <v>0</v>
      </c>
      <c r="BM525" s="414">
        <f>+Model!BM184/BM$561</f>
        <v>0</v>
      </c>
      <c r="BN525" s="414">
        <f>+Model!BN184/BN$561</f>
        <v>0</v>
      </c>
      <c r="BO525" s="414">
        <f>+Model!BO184/BO$561</f>
        <v>0</v>
      </c>
      <c r="BP525" s="414">
        <f ca="1">+Model!BP184/BP$561</f>
        <v>0</v>
      </c>
      <c r="BQ525" s="414">
        <f ca="1">+Model!BQ184/BQ$561</f>
        <v>0</v>
      </c>
      <c r="BR525" s="414">
        <f ca="1">+Model!BR184/BR$561</f>
        <v>0</v>
      </c>
      <c r="BS525" s="414">
        <f ca="1">+Model!BS184/BS$561</f>
        <v>0</v>
      </c>
      <c r="BT525" s="414">
        <f ca="1">+Model!BT184/BT$561</f>
        <v>0</v>
      </c>
      <c r="BU525" s="414">
        <f ca="1">+Model!BU184/BU$561</f>
        <v>0</v>
      </c>
      <c r="BV525" s="414">
        <f ca="1">+Model!BV184/BV$561</f>
        <v>0</v>
      </c>
      <c r="BW525" s="414">
        <f ca="1">+Model!BW184/BW$561</f>
        <v>0</v>
      </c>
      <c r="BX525" s="414">
        <f ca="1">+Model!BX184/BX$561</f>
        <v>0</v>
      </c>
      <c r="BY525" s="414">
        <f ca="1">+Model!BY184/BY$561</f>
        <v>0</v>
      </c>
      <c r="BZ525" s="414">
        <f ca="1">+Model!BZ184/BZ$561</f>
        <v>0</v>
      </c>
      <c r="CA525" s="414">
        <f ca="1">+Model!CA184/CA$561</f>
        <v>0</v>
      </c>
      <c r="CB525" s="414">
        <f ca="1">+Model!CB184/CB$561</f>
        <v>0</v>
      </c>
      <c r="CC525" s="414">
        <f ca="1">+Model!CC184/CC$561</f>
        <v>0</v>
      </c>
      <c r="CD525" s="414">
        <f ca="1">+Model!CD184/CD$561</f>
        <v>0</v>
      </c>
      <c r="CE525" s="414"/>
      <c r="CF525" s="430"/>
      <c r="CG525" s="235">
        <f t="shared" si="2059"/>
        <v>0</v>
      </c>
      <c r="CH525" s="235">
        <f t="shared" si="2060"/>
        <v>0</v>
      </c>
      <c r="CI525" s="235" t="e">
        <f>BM525-#REF!</f>
        <v>#REF!</v>
      </c>
      <c r="CJ525" s="235">
        <f t="shared" si="2061"/>
        <v>0</v>
      </c>
      <c r="CK525" s="235">
        <f t="shared" si="2062"/>
        <v>0</v>
      </c>
      <c r="CL525" s="235">
        <f t="shared" ca="1" si="2063"/>
        <v>0</v>
      </c>
      <c r="CM525" s="235">
        <f t="shared" ca="1" si="2064"/>
        <v>0</v>
      </c>
      <c r="CN525" s="235">
        <f t="shared" ca="1" si="2065"/>
        <v>0</v>
      </c>
      <c r="CO525" s="235">
        <f t="shared" ca="1" si="2066"/>
        <v>0</v>
      </c>
      <c r="CP525" s="235">
        <f t="shared" ca="1" si="2067"/>
        <v>0</v>
      </c>
      <c r="CQ525" s="235">
        <f t="shared" ca="1" si="2068"/>
        <v>0</v>
      </c>
      <c r="CR525" s="235">
        <f t="shared" ca="1" si="2069"/>
        <v>0</v>
      </c>
      <c r="CS525" s="235">
        <f t="shared" ca="1" si="2070"/>
        <v>0</v>
      </c>
      <c r="CT525" s="235">
        <f t="shared" ca="1" si="2071"/>
        <v>0</v>
      </c>
      <c r="CU525" s="235">
        <f t="shared" ca="1" si="2072"/>
        <v>0</v>
      </c>
      <c r="CV525" s="235">
        <f t="shared" ca="1" si="2073"/>
        <v>0</v>
      </c>
      <c r="CW525" s="235">
        <f t="shared" ca="1" si="2074"/>
        <v>0</v>
      </c>
      <c r="CX525" s="235">
        <f t="shared" ca="1" si="2075"/>
        <v>0</v>
      </c>
      <c r="CY525" s="235">
        <f t="shared" ca="1" si="2076"/>
        <v>0</v>
      </c>
      <c r="CZ525" s="235">
        <f t="shared" ca="1" si="2077"/>
        <v>0</v>
      </c>
      <c r="DA525" s="150"/>
      <c r="DG525" s="419">
        <v>0</v>
      </c>
      <c r="DH525" s="502">
        <v>0</v>
      </c>
      <c r="DI525" s="419">
        <v>0</v>
      </c>
      <c r="DJ525" s="419">
        <v>0</v>
      </c>
      <c r="DK525" s="419">
        <v>0</v>
      </c>
      <c r="DL525" s="419">
        <v>0</v>
      </c>
      <c r="DM525" s="419">
        <v>0</v>
      </c>
      <c r="DN525" s="419">
        <v>0</v>
      </c>
      <c r="DO525" s="419">
        <v>0</v>
      </c>
      <c r="DP525" s="419">
        <v>0</v>
      </c>
      <c r="DQ525" s="1017">
        <v>0</v>
      </c>
      <c r="DR525" s="1017">
        <v>0</v>
      </c>
      <c r="DS525" s="1017">
        <v>0</v>
      </c>
      <c r="DT525" s="1017">
        <v>0</v>
      </c>
      <c r="DU525" s="1017">
        <v>0</v>
      </c>
      <c r="DV525" s="1017">
        <v>0</v>
      </c>
      <c r="DW525" s="1017">
        <v>0</v>
      </c>
      <c r="DX525" s="1017">
        <v>0</v>
      </c>
      <c r="DY525" s="1017">
        <v>0</v>
      </c>
      <c r="DZ525" s="1017"/>
      <c r="EA525" s="996"/>
    </row>
    <row r="526" spans="2:131" customFormat="1" hidden="1">
      <c r="B526" s="80" t="s">
        <v>547</v>
      </c>
      <c r="C526" s="51"/>
      <c r="D526" s="207"/>
      <c r="BG526" s="414">
        <f t="shared" ref="BG526:BP526" si="2078">+BG522-BG523-BG524-BG525</f>
        <v>249.80000000000018</v>
      </c>
      <c r="BH526" s="414">
        <f t="shared" si="2078"/>
        <v>213.79999999999973</v>
      </c>
      <c r="BI526" s="414">
        <f t="shared" si="2078"/>
        <v>12.5</v>
      </c>
      <c r="BJ526" s="414">
        <f t="shared" si="2078"/>
        <v>668.49999999999977</v>
      </c>
      <c r="BK526" s="414">
        <f t="shared" si="2078"/>
        <v>606.20000000000027</v>
      </c>
      <c r="BL526" s="414">
        <f t="shared" si="2078"/>
        <v>287.900000000001</v>
      </c>
      <c r="BM526" s="414">
        <f t="shared" si="2078"/>
        <v>-120.5</v>
      </c>
      <c r="BN526" s="414">
        <f t="shared" si="2078"/>
        <v>-396.20000000000027</v>
      </c>
      <c r="BO526" s="414">
        <f t="shared" si="2078"/>
        <v>-774.66666666666652</v>
      </c>
      <c r="BP526" s="414">
        <f t="shared" ca="1" si="2078"/>
        <v>-654.4940312099618</v>
      </c>
      <c r="BQ526" s="414">
        <f t="shared" ref="BQ526:BV526" ca="1" si="2079">+BQ522-BQ523-BQ524-BQ525</f>
        <v>-496.80456932792185</v>
      </c>
      <c r="BR526" s="414">
        <f t="shared" ca="1" si="2079"/>
        <v>-559.54847211591823</v>
      </c>
      <c r="BS526" s="414">
        <f t="shared" ca="1" si="2079"/>
        <v>-694.21622551574546</v>
      </c>
      <c r="BT526" s="414">
        <f t="shared" ca="1" si="2079"/>
        <v>-799.8674981187628</v>
      </c>
      <c r="BU526" s="414">
        <f t="shared" ca="1" si="2079"/>
        <v>-920.02200618862616</v>
      </c>
      <c r="BV526" s="414">
        <f t="shared" ca="1" si="2079"/>
        <v>-1041.9979525708163</v>
      </c>
      <c r="BW526" s="414">
        <f t="shared" ref="BW526:BX526" ca="1" si="2080">+BW522-BW523-BW524-BW525</f>
        <v>-1174.1777236493972</v>
      </c>
      <c r="BX526" s="414">
        <f t="shared" ca="1" si="2080"/>
        <v>-1318.1412643358212</v>
      </c>
      <c r="BY526" s="414">
        <f t="shared" ref="BY526:CD526" ca="1" si="2081">+BY522-BY523-BY524-BY525</f>
        <v>-1475.4529084551664</v>
      </c>
      <c r="BZ526" s="414">
        <f t="shared" ca="1" si="2081"/>
        <v>-1577.0960915324986</v>
      </c>
      <c r="CA526" s="414">
        <f t="shared" ca="1" si="2081"/>
        <v>-1691.7499725588186</v>
      </c>
      <c r="CB526" s="414">
        <f t="shared" ca="1" si="2081"/>
        <v>-1815.7386451154393</v>
      </c>
      <c r="CC526" s="414">
        <f t="shared" ca="1" si="2081"/>
        <v>-1950.4549283030556</v>
      </c>
      <c r="CD526" s="414">
        <f t="shared" ca="1" si="2081"/>
        <v>-2097.5675011875683</v>
      </c>
      <c r="CE526" s="414"/>
      <c r="CF526" s="430"/>
      <c r="CG526" s="235">
        <f t="shared" si="2059"/>
        <v>180.20000000000073</v>
      </c>
      <c r="CH526" s="235">
        <f t="shared" si="2060"/>
        <v>5.4000000000000909</v>
      </c>
      <c r="CI526" s="235" t="e">
        <f>BM526-#REF!</f>
        <v>#REF!</v>
      </c>
      <c r="CJ526" s="235">
        <f t="shared" si="2061"/>
        <v>0</v>
      </c>
      <c r="CK526" s="235">
        <f t="shared" si="2062"/>
        <v>0</v>
      </c>
      <c r="CL526" s="235">
        <f t="shared" ca="1" si="2063"/>
        <v>0</v>
      </c>
      <c r="CM526" s="235">
        <f t="shared" ca="1" si="2064"/>
        <v>-1.3642420526593924E-12</v>
      </c>
      <c r="CN526" s="235">
        <f t="shared" ca="1" si="2065"/>
        <v>-1.3642420526593924E-12</v>
      </c>
      <c r="CO526" s="235">
        <f t="shared" ca="1" si="2066"/>
        <v>-9.0949470177292824E-13</v>
      </c>
      <c r="CP526" s="235">
        <f t="shared" ca="1" si="2067"/>
        <v>-1.3642420526593924E-12</v>
      </c>
      <c r="CQ526" s="235">
        <f t="shared" ca="1" si="2068"/>
        <v>-1.3642420526593924E-12</v>
      </c>
      <c r="CR526" s="235">
        <f t="shared" ca="1" si="2069"/>
        <v>-2.7284841053187847E-12</v>
      </c>
      <c r="CS526" s="235">
        <f t="shared" ca="1" si="2070"/>
        <v>-4.5474735088646412E-12</v>
      </c>
      <c r="CT526" s="235">
        <f t="shared" ca="1" si="2071"/>
        <v>-4.5474735088646412E-12</v>
      </c>
      <c r="CU526" s="235">
        <f t="shared" ca="1" si="2072"/>
        <v>-3.637978807091713E-12</v>
      </c>
      <c r="CV526" s="235">
        <f t="shared" ca="1" si="2073"/>
        <v>-2.7284841053187847E-12</v>
      </c>
      <c r="CW526" s="235">
        <f t="shared" ca="1" si="2074"/>
        <v>1.8189894035458565E-12</v>
      </c>
      <c r="CX526" s="235">
        <f t="shared" ca="1" si="2075"/>
        <v>1.0550138540565968E-10</v>
      </c>
      <c r="CY526" s="235">
        <f t="shared" ca="1" si="2076"/>
        <v>1.11504050437361E-9</v>
      </c>
      <c r="CZ526" s="235">
        <f t="shared" ca="1" si="2077"/>
        <v>8.9539753389544785E-9</v>
      </c>
      <c r="DA526" s="150"/>
      <c r="DG526" s="419">
        <v>425.99999999999955</v>
      </c>
      <c r="DH526" s="502">
        <v>282.50000000000091</v>
      </c>
      <c r="DI526" s="419">
        <v>-396.20000000000027</v>
      </c>
      <c r="DJ526" s="419">
        <v>-774.66666666666652</v>
      </c>
      <c r="DK526" s="419">
        <v>-654.49403120996135</v>
      </c>
      <c r="DL526" s="419">
        <v>-496.80456932792049</v>
      </c>
      <c r="DM526" s="419">
        <v>-559.54847211591687</v>
      </c>
      <c r="DN526" s="419">
        <v>-694.21622551574455</v>
      </c>
      <c r="DO526" s="419">
        <v>-799.86749811876143</v>
      </c>
      <c r="DP526" s="419">
        <v>-920.0220061886248</v>
      </c>
      <c r="DQ526" s="1017">
        <v>-1041.9979525708136</v>
      </c>
      <c r="DR526" s="1017">
        <v>-1174.1777236493926</v>
      </c>
      <c r="DS526" s="1017">
        <v>-1318.1412643358167</v>
      </c>
      <c r="DT526" s="1017">
        <v>-1475.4529084551627</v>
      </c>
      <c r="DU526" s="1017">
        <v>-1577.0960915324958</v>
      </c>
      <c r="DV526" s="1017">
        <v>-1691.7499725588204</v>
      </c>
      <c r="DW526" s="1017">
        <v>-1815.7386451155448</v>
      </c>
      <c r="DX526" s="1017">
        <v>-1950.4549283041706</v>
      </c>
      <c r="DY526" s="1017">
        <v>-2097.5675011965222</v>
      </c>
      <c r="DZ526" s="1017"/>
      <c r="EA526" s="996"/>
    </row>
    <row r="527" spans="2:131" customFormat="1" hidden="1">
      <c r="B527" s="133" t="s">
        <v>917</v>
      </c>
      <c r="C527" s="19"/>
      <c r="D527" s="218"/>
      <c r="BG527" s="414"/>
      <c r="BH527" s="414"/>
      <c r="BI527" s="414"/>
      <c r="BJ527" s="414"/>
      <c r="BK527" s="414"/>
      <c r="BL527" s="414"/>
      <c r="BM527" s="414"/>
      <c r="BN527" s="414"/>
      <c r="BO527" s="414"/>
      <c r="BP527" s="414"/>
      <c r="BQ527" s="414"/>
      <c r="BR527" s="414"/>
      <c r="BS527" s="414"/>
      <c r="BT527" s="414"/>
      <c r="BU527" s="414"/>
      <c r="BV527" s="414"/>
      <c r="BW527" s="414"/>
      <c r="BX527" s="414"/>
      <c r="BY527" s="414"/>
      <c r="BZ527" s="414"/>
      <c r="CA527" s="414"/>
      <c r="CB527" s="414"/>
      <c r="CC527" s="414"/>
      <c r="CD527" s="414"/>
      <c r="CE527" s="414"/>
      <c r="CF527" s="430"/>
      <c r="CG527" s="235">
        <f t="shared" si="2059"/>
        <v>0</v>
      </c>
      <c r="CH527" s="235">
        <f t="shared" si="2060"/>
        <v>0</v>
      </c>
      <c r="CI527" s="235" t="e">
        <f>BM527-#REF!</f>
        <v>#REF!</v>
      </c>
      <c r="CJ527" s="235">
        <f t="shared" si="2061"/>
        <v>0</v>
      </c>
      <c r="CK527" s="235">
        <f t="shared" si="2062"/>
        <v>0</v>
      </c>
      <c r="CL527" s="235">
        <f t="shared" si="2063"/>
        <v>0</v>
      </c>
      <c r="CM527" s="235">
        <f t="shared" si="2064"/>
        <v>0</v>
      </c>
      <c r="CN527" s="235">
        <f t="shared" si="2065"/>
        <v>0</v>
      </c>
      <c r="CO527" s="235">
        <f t="shared" si="2066"/>
        <v>0</v>
      </c>
      <c r="CP527" s="235">
        <f t="shared" si="2067"/>
        <v>0</v>
      </c>
      <c r="CQ527" s="235">
        <f t="shared" si="2068"/>
        <v>0</v>
      </c>
      <c r="CR527" s="235">
        <f t="shared" si="2069"/>
        <v>0</v>
      </c>
      <c r="CS527" s="235">
        <f t="shared" si="2070"/>
        <v>0</v>
      </c>
      <c r="CT527" s="235">
        <f t="shared" si="2071"/>
        <v>0</v>
      </c>
      <c r="CU527" s="235">
        <f t="shared" si="2072"/>
        <v>0</v>
      </c>
      <c r="CV527" s="235">
        <f t="shared" si="2073"/>
        <v>0</v>
      </c>
      <c r="CW527" s="235">
        <f t="shared" si="2074"/>
        <v>0</v>
      </c>
      <c r="CX527" s="235">
        <f t="shared" si="2075"/>
        <v>0</v>
      </c>
      <c r="CY527" s="235">
        <f t="shared" si="2076"/>
        <v>0</v>
      </c>
      <c r="CZ527" s="235">
        <f t="shared" si="2077"/>
        <v>0</v>
      </c>
      <c r="DA527" s="150"/>
      <c r="DG527" s="419"/>
      <c r="DH527" s="502"/>
      <c r="DI527" s="419"/>
      <c r="DJ527" s="419"/>
      <c r="DK527" s="419"/>
      <c r="DL527" s="419"/>
      <c r="DM527" s="419"/>
      <c r="DN527" s="419"/>
      <c r="DO527" s="419"/>
      <c r="DP527" s="419"/>
      <c r="DQ527" s="1017"/>
      <c r="DR527" s="1017"/>
      <c r="DS527" s="1017"/>
      <c r="DT527" s="1017"/>
      <c r="DU527" s="1017"/>
      <c r="DV527" s="1017"/>
      <c r="DW527" s="1017"/>
      <c r="DX527" s="1017"/>
      <c r="DY527" s="1017"/>
      <c r="DZ527" s="1017"/>
      <c r="EA527" s="996"/>
    </row>
    <row r="528" spans="2:131" customFormat="1" hidden="1">
      <c r="B528" s="80" t="s">
        <v>4034</v>
      </c>
      <c r="C528" s="51" t="s">
        <v>918</v>
      </c>
      <c r="D528" s="207"/>
      <c r="BG528" s="414">
        <f>+Model!BG186/BG$561</f>
        <v>0</v>
      </c>
      <c r="BH528" s="414">
        <f>+Model!BH186/BH$561</f>
        <v>0</v>
      </c>
      <c r="BI528" s="414">
        <f>+Model!BI186/BI$561</f>
        <v>0</v>
      </c>
      <c r="BJ528" s="414">
        <f>+Model!BJ186/BJ$561</f>
        <v>0</v>
      </c>
      <c r="BK528" s="414">
        <f>+Model!BK186/BK$561</f>
        <v>0</v>
      </c>
      <c r="BL528" s="414">
        <f>+Model!BL186/BL$561</f>
        <v>0</v>
      </c>
      <c r="BM528" s="414">
        <f>+Model!BM186/BM$561</f>
        <v>0</v>
      </c>
      <c r="BN528" s="414">
        <f>+Model!BN186/BN$561</f>
        <v>0</v>
      </c>
      <c r="BO528" s="414">
        <f>+Model!BO186/BO$561</f>
        <v>0</v>
      </c>
      <c r="BP528" s="414">
        <f>+Model!BP186/BP$561</f>
        <v>0</v>
      </c>
      <c r="BQ528" s="414">
        <f>+Model!BQ186/BQ$561</f>
        <v>0</v>
      </c>
      <c r="BR528" s="414">
        <f>+Model!BR186/BR$561</f>
        <v>0</v>
      </c>
      <c r="BS528" s="414">
        <f>+Model!BS186/BS$561</f>
        <v>0</v>
      </c>
      <c r="BT528" s="414">
        <f>+Model!BT186/BT$561</f>
        <v>0</v>
      </c>
      <c r="BU528" s="414">
        <f>+Model!BU186/BU$561</f>
        <v>0</v>
      </c>
      <c r="BV528" s="414">
        <f>+Model!BV186/BV$561</f>
        <v>0</v>
      </c>
      <c r="BW528" s="414">
        <f>+Model!BW186/BW$561</f>
        <v>0</v>
      </c>
      <c r="BX528" s="414">
        <f>+Model!BX186/BX$561</f>
        <v>0</v>
      </c>
      <c r="BY528" s="414">
        <f>+Model!BY186/BY$561</f>
        <v>0</v>
      </c>
      <c r="BZ528" s="414">
        <f>+Model!BZ186/BZ$561</f>
        <v>0</v>
      </c>
      <c r="CA528" s="414">
        <f>+Model!CA186/CA$561</f>
        <v>0</v>
      </c>
      <c r="CB528" s="414">
        <f>+Model!CB186/CB$561</f>
        <v>0</v>
      </c>
      <c r="CC528" s="414">
        <f>+Model!CC186/CC$561</f>
        <v>0</v>
      </c>
      <c r="CD528" s="414">
        <f>+Model!CD186/CD$561</f>
        <v>0</v>
      </c>
      <c r="CE528" s="414"/>
      <c r="CF528" s="430"/>
      <c r="CG528" s="235">
        <f t="shared" si="2059"/>
        <v>0</v>
      </c>
      <c r="CH528" s="235">
        <f t="shared" si="2060"/>
        <v>0</v>
      </c>
      <c r="CI528" s="235" t="e">
        <f>BM528-#REF!</f>
        <v>#REF!</v>
      </c>
      <c r="CJ528" s="235">
        <f t="shared" si="2061"/>
        <v>0</v>
      </c>
      <c r="CK528" s="235">
        <f t="shared" si="2062"/>
        <v>0</v>
      </c>
      <c r="CL528" s="235">
        <f t="shared" si="2063"/>
        <v>0</v>
      </c>
      <c r="CM528" s="235">
        <f t="shared" si="2064"/>
        <v>0</v>
      </c>
      <c r="CN528" s="235">
        <f t="shared" si="2065"/>
        <v>0</v>
      </c>
      <c r="CO528" s="235">
        <f t="shared" si="2066"/>
        <v>0</v>
      </c>
      <c r="CP528" s="235">
        <f t="shared" si="2067"/>
        <v>0</v>
      </c>
      <c r="CQ528" s="235">
        <f t="shared" si="2068"/>
        <v>0</v>
      </c>
      <c r="CR528" s="235">
        <f t="shared" si="2069"/>
        <v>0</v>
      </c>
      <c r="CS528" s="235">
        <f t="shared" si="2070"/>
        <v>0</v>
      </c>
      <c r="CT528" s="235">
        <f t="shared" si="2071"/>
        <v>0</v>
      </c>
      <c r="CU528" s="235">
        <f t="shared" si="2072"/>
        <v>0</v>
      </c>
      <c r="CV528" s="235">
        <f t="shared" si="2073"/>
        <v>0</v>
      </c>
      <c r="CW528" s="235">
        <f t="shared" si="2074"/>
        <v>0</v>
      </c>
      <c r="CX528" s="235">
        <f t="shared" si="2075"/>
        <v>0</v>
      </c>
      <c r="CY528" s="235">
        <f t="shared" si="2076"/>
        <v>0</v>
      </c>
      <c r="CZ528" s="235">
        <f t="shared" si="2077"/>
        <v>0</v>
      </c>
      <c r="DA528" s="150"/>
      <c r="DG528" s="419">
        <v>0</v>
      </c>
      <c r="DH528" s="502">
        <v>0</v>
      </c>
      <c r="DI528" s="419">
        <v>0</v>
      </c>
      <c r="DJ528" s="419">
        <v>0</v>
      </c>
      <c r="DK528" s="419">
        <v>0</v>
      </c>
      <c r="DL528" s="419">
        <v>0</v>
      </c>
      <c r="DM528" s="419">
        <v>0</v>
      </c>
      <c r="DN528" s="419">
        <v>0</v>
      </c>
      <c r="DO528" s="419">
        <v>0</v>
      </c>
      <c r="DP528" s="419">
        <v>0</v>
      </c>
      <c r="DQ528" s="1017">
        <v>0</v>
      </c>
      <c r="DR528" s="1017">
        <v>0</v>
      </c>
      <c r="DS528" s="1017">
        <v>0</v>
      </c>
      <c r="DT528" s="1017">
        <v>0</v>
      </c>
      <c r="DU528" s="1017">
        <v>0</v>
      </c>
      <c r="DV528" s="1017">
        <v>0</v>
      </c>
      <c r="DW528" s="1017">
        <v>0</v>
      </c>
      <c r="DX528" s="1017">
        <v>0</v>
      </c>
      <c r="DY528" s="1017">
        <v>0</v>
      </c>
      <c r="DZ528" s="1017"/>
      <c r="EA528" s="996"/>
    </row>
    <row r="529" spans="2:131" customFormat="1" hidden="1">
      <c r="B529" s="80" t="s">
        <v>4617</v>
      </c>
      <c r="C529" s="51" t="s">
        <v>919</v>
      </c>
      <c r="D529" s="207"/>
      <c r="BG529" s="414">
        <f>+Model!BG187/BG$561</f>
        <v>0</v>
      </c>
      <c r="BH529" s="414">
        <f>+Model!BH187/BH$561</f>
        <v>0</v>
      </c>
      <c r="BI529" s="414">
        <f>+Model!BI187/BI$561</f>
        <v>0</v>
      </c>
      <c r="BJ529" s="414">
        <f>+Model!BJ187/BJ$561</f>
        <v>0</v>
      </c>
      <c r="BK529" s="414">
        <f>+Model!BK187/BK$561</f>
        <v>0</v>
      </c>
      <c r="BL529" s="414">
        <f>+Model!BL187/BL$561</f>
        <v>0</v>
      </c>
      <c r="BM529" s="414">
        <f>+Model!BM187/BM$561</f>
        <v>0</v>
      </c>
      <c r="BN529" s="414">
        <f>+Model!BN187/BN$561</f>
        <v>0</v>
      </c>
      <c r="BO529" s="414">
        <f>+Model!BO187/BO$561</f>
        <v>0</v>
      </c>
      <c r="BP529" s="414">
        <f ca="1">+Model!BP187/BP$561</f>
        <v>0</v>
      </c>
      <c r="BQ529" s="414">
        <f ca="1">+Model!BQ187/BQ$561</f>
        <v>0</v>
      </c>
      <c r="BR529" s="414">
        <f ca="1">+Model!BR187/BR$561</f>
        <v>0</v>
      </c>
      <c r="BS529" s="414">
        <f ca="1">+Model!BS187/BS$561</f>
        <v>0</v>
      </c>
      <c r="BT529" s="414">
        <f ca="1">+Model!BT187/BT$561</f>
        <v>0</v>
      </c>
      <c r="BU529" s="414">
        <f ca="1">+Model!BU187/BU$561</f>
        <v>0</v>
      </c>
      <c r="BV529" s="414">
        <f ca="1">+Model!BV187/BV$561</f>
        <v>0</v>
      </c>
      <c r="BW529" s="414">
        <f ca="1">+Model!BW187/BW$561</f>
        <v>0</v>
      </c>
      <c r="BX529" s="414">
        <f ca="1">+Model!BX187/BX$561</f>
        <v>0</v>
      </c>
      <c r="BY529" s="414">
        <f ca="1">+Model!BY187/BY$561</f>
        <v>0</v>
      </c>
      <c r="BZ529" s="414">
        <f ca="1">+Model!BZ187/BZ$561</f>
        <v>0</v>
      </c>
      <c r="CA529" s="414">
        <f ca="1">+Model!CA187/CA$561</f>
        <v>0</v>
      </c>
      <c r="CB529" s="414">
        <f ca="1">+Model!CB187/CB$561</f>
        <v>0</v>
      </c>
      <c r="CC529" s="414">
        <f ca="1">+Model!CC187/CC$561</f>
        <v>0</v>
      </c>
      <c r="CD529" s="414">
        <f ca="1">+Model!CD187/CD$561</f>
        <v>0</v>
      </c>
      <c r="CE529" s="414"/>
      <c r="CF529" s="430"/>
      <c r="CG529" s="235">
        <f t="shared" si="2059"/>
        <v>0</v>
      </c>
      <c r="CH529" s="235">
        <f t="shared" si="2060"/>
        <v>0</v>
      </c>
      <c r="CI529" s="235" t="e">
        <f>BM529-#REF!</f>
        <v>#REF!</v>
      </c>
      <c r="CJ529" s="235">
        <f t="shared" si="2061"/>
        <v>0</v>
      </c>
      <c r="CK529" s="235">
        <f t="shared" si="2062"/>
        <v>0</v>
      </c>
      <c r="CL529" s="235">
        <f t="shared" ca="1" si="2063"/>
        <v>0</v>
      </c>
      <c r="CM529" s="235">
        <f t="shared" ca="1" si="2064"/>
        <v>0</v>
      </c>
      <c r="CN529" s="235">
        <f t="shared" ca="1" si="2065"/>
        <v>0</v>
      </c>
      <c r="CO529" s="235">
        <f t="shared" ca="1" si="2066"/>
        <v>0</v>
      </c>
      <c r="CP529" s="235">
        <f t="shared" ca="1" si="2067"/>
        <v>0</v>
      </c>
      <c r="CQ529" s="235">
        <f t="shared" ca="1" si="2068"/>
        <v>0</v>
      </c>
      <c r="CR529" s="235">
        <f t="shared" ca="1" si="2069"/>
        <v>0</v>
      </c>
      <c r="CS529" s="235">
        <f t="shared" ca="1" si="2070"/>
        <v>0</v>
      </c>
      <c r="CT529" s="235">
        <f t="shared" ca="1" si="2071"/>
        <v>0</v>
      </c>
      <c r="CU529" s="235">
        <f t="shared" ca="1" si="2072"/>
        <v>0</v>
      </c>
      <c r="CV529" s="235">
        <f t="shared" ca="1" si="2073"/>
        <v>0</v>
      </c>
      <c r="CW529" s="235">
        <f t="shared" ca="1" si="2074"/>
        <v>0</v>
      </c>
      <c r="CX529" s="235">
        <f t="shared" ca="1" si="2075"/>
        <v>0</v>
      </c>
      <c r="CY529" s="235">
        <f t="shared" ca="1" si="2076"/>
        <v>0</v>
      </c>
      <c r="CZ529" s="235">
        <f t="shared" ca="1" si="2077"/>
        <v>0</v>
      </c>
      <c r="DA529" s="150"/>
      <c r="DG529" s="419">
        <v>0</v>
      </c>
      <c r="DH529" s="502">
        <v>0</v>
      </c>
      <c r="DI529" s="419">
        <v>0</v>
      </c>
      <c r="DJ529" s="419">
        <v>0</v>
      </c>
      <c r="DK529" s="419">
        <v>0</v>
      </c>
      <c r="DL529" s="419">
        <v>0</v>
      </c>
      <c r="DM529" s="419">
        <v>0</v>
      </c>
      <c r="DN529" s="419">
        <v>0</v>
      </c>
      <c r="DO529" s="419">
        <v>0</v>
      </c>
      <c r="DP529" s="419">
        <v>0</v>
      </c>
      <c r="DQ529" s="1017">
        <v>0</v>
      </c>
      <c r="DR529" s="1017">
        <v>0</v>
      </c>
      <c r="DS529" s="1017">
        <v>0</v>
      </c>
      <c r="DT529" s="1017">
        <v>0</v>
      </c>
      <c r="DU529" s="1017">
        <v>0</v>
      </c>
      <c r="DV529" s="1017">
        <v>0</v>
      </c>
      <c r="DW529" s="1017">
        <v>0</v>
      </c>
      <c r="DX529" s="1017">
        <v>0</v>
      </c>
      <c r="DY529" s="1017">
        <v>0</v>
      </c>
      <c r="DZ529" s="1017"/>
      <c r="EA529" s="996"/>
    </row>
    <row r="530" spans="2:131" customFormat="1" hidden="1">
      <c r="B530" s="80" t="s">
        <v>4618</v>
      </c>
      <c r="C530" s="51" t="s">
        <v>920</v>
      </c>
      <c r="D530" s="207"/>
      <c r="BG530" s="414">
        <f>+Model!BG188/BG$561</f>
        <v>43.6</v>
      </c>
      <c r="BH530" s="414">
        <f>+Model!BH188/BH$561</f>
        <v>42.2</v>
      </c>
      <c r="BI530" s="414">
        <f>+Model!BI188/BI$561</f>
        <v>29.8</v>
      </c>
      <c r="BJ530" s="414">
        <f>+Model!BJ188/BJ$561</f>
        <v>26.1</v>
      </c>
      <c r="BK530" s="414">
        <f>+Model!BK188/BK$561</f>
        <v>16.2</v>
      </c>
      <c r="BL530" s="414">
        <f>+Model!BL188/BL$561</f>
        <v>27.1</v>
      </c>
      <c r="BM530" s="414">
        <f>+Model!BM188/BM$561</f>
        <v>27.1</v>
      </c>
      <c r="BN530" s="414">
        <f>+Model!BN188/BN$561</f>
        <v>21.600000000000005</v>
      </c>
      <c r="BO530" s="414">
        <f>+Model!BO188/BO$561</f>
        <v>13.866666666666665</v>
      </c>
      <c r="BP530" s="414">
        <f ca="1">+Model!BP188/BP$561</f>
        <v>26.988491608835137</v>
      </c>
      <c r="BQ530" s="414">
        <f ca="1">+Model!BQ188/BQ$561</f>
        <v>24.792904208609443</v>
      </c>
      <c r="BR530" s="414">
        <f ca="1">+Model!BR188/BR$561</f>
        <v>22.236508229559146</v>
      </c>
      <c r="BS530" s="414">
        <f ca="1">+Model!BS188/BS$561</f>
        <v>16.294585457125777</v>
      </c>
      <c r="BT530" s="414">
        <f ca="1">+Model!BT188/BT$561</f>
        <v>5.6217900780415242</v>
      </c>
      <c r="BU530" s="414">
        <f ca="1">+Model!BU188/BU$561</f>
        <v>-9.2238956601632225</v>
      </c>
      <c r="BV530" s="414">
        <f ca="1">+Model!BV188/BV$561</f>
        <v>-28.531510836320365</v>
      </c>
      <c r="BW530" s="414">
        <f ca="1">+Model!BW188/BW$561</f>
        <v>-52.661618293846651</v>
      </c>
      <c r="BX530" s="414">
        <f ca="1">+Model!BX188/BX$561</f>
        <v>-82.1331328218686</v>
      </c>
      <c r="BY530" s="414">
        <f ca="1">+Model!BY188/BY$561</f>
        <v>-117.54380164517205</v>
      </c>
      <c r="BZ530" s="414">
        <f ca="1">+Model!BZ188/BZ$561</f>
        <v>-159.13810548260705</v>
      </c>
      <c r="CA530" s="414">
        <f ca="1">+Model!CA188/CA$561</f>
        <v>-207.25031134842351</v>
      </c>
      <c r="CB530" s="414">
        <f ca="1">+Model!CB188/CB$561</f>
        <v>-262.69531613892548</v>
      </c>
      <c r="CC530" s="414">
        <f ca="1">+Model!CC188/CC$561</f>
        <v>-326.2826327443147</v>
      </c>
      <c r="CD530" s="414">
        <f ca="1">+Model!CD188/CD$561</f>
        <v>-398.92986744944869</v>
      </c>
      <c r="CE530" s="414"/>
      <c r="CF530" s="430"/>
      <c r="CG530" s="235">
        <f t="shared" si="2059"/>
        <v>0</v>
      </c>
      <c r="CH530" s="235">
        <f t="shared" si="2060"/>
        <v>0</v>
      </c>
      <c r="CI530" s="235" t="e">
        <f>BM530-#REF!</f>
        <v>#REF!</v>
      </c>
      <c r="CJ530" s="235">
        <f t="shared" si="2061"/>
        <v>0</v>
      </c>
      <c r="CK530" s="235">
        <f t="shared" si="2062"/>
        <v>0</v>
      </c>
      <c r="CL530" s="235">
        <f t="shared" ca="1" si="2063"/>
        <v>0</v>
      </c>
      <c r="CM530" s="235">
        <f t="shared" ca="1" si="2064"/>
        <v>-8.5265128291212022E-14</v>
      </c>
      <c r="CN530" s="235">
        <f t="shared" ca="1" si="2065"/>
        <v>-1.8829382497642655E-13</v>
      </c>
      <c r="CO530" s="235">
        <f t="shared" ca="1" si="2066"/>
        <v>-3.1619151741324458E-13</v>
      </c>
      <c r="CP530" s="235">
        <f t="shared" ca="1" si="2067"/>
        <v>-4.9205084451386938E-13</v>
      </c>
      <c r="CQ530" s="235">
        <f t="shared" ca="1" si="2068"/>
        <v>-7.2475359047530219E-13</v>
      </c>
      <c r="CR530" s="235">
        <f t="shared" ca="1" si="2069"/>
        <v>-9.7344354799133725E-13</v>
      </c>
      <c r="CS530" s="235">
        <f t="shared" ca="1" si="2070"/>
        <v>-1.2150280781497713E-12</v>
      </c>
      <c r="CT530" s="235">
        <f t="shared" ca="1" si="2071"/>
        <v>-1.4210854715202004E-12</v>
      </c>
      <c r="CU530" s="235">
        <f t="shared" ca="1" si="2072"/>
        <v>-1.5631940186722204E-12</v>
      </c>
      <c r="CV530" s="235">
        <f t="shared" ca="1" si="2073"/>
        <v>-1.8474111129762605E-12</v>
      </c>
      <c r="CW530" s="235">
        <f t="shared" ca="1" si="2074"/>
        <v>-2.3590018827235326E-12</v>
      </c>
      <c r="CX530" s="235">
        <f t="shared" ca="1" si="2075"/>
        <v>-3.808509063674137E-12</v>
      </c>
      <c r="CY530" s="235">
        <f t="shared" ca="1" si="2076"/>
        <v>-1.6086687537608668E-11</v>
      </c>
      <c r="CZ530" s="235">
        <f t="shared" ca="1" si="2077"/>
        <v>-1.2829559636884369E-10</v>
      </c>
      <c r="DA530" s="150"/>
      <c r="DG530" s="419">
        <v>16.2</v>
      </c>
      <c r="DH530" s="502">
        <v>27.1</v>
      </c>
      <c r="DI530" s="419">
        <v>21.600000000000005</v>
      </c>
      <c r="DJ530" s="419">
        <v>13.866666666666665</v>
      </c>
      <c r="DK530" s="419">
        <v>26.988491608835158</v>
      </c>
      <c r="DL530" s="419">
        <v>24.792904208609528</v>
      </c>
      <c r="DM530" s="419">
        <v>22.236508229559334</v>
      </c>
      <c r="DN530" s="419">
        <v>16.294585457126093</v>
      </c>
      <c r="DO530" s="419">
        <v>5.6217900780420162</v>
      </c>
      <c r="DP530" s="419">
        <v>-9.2238956601624977</v>
      </c>
      <c r="DQ530" s="1017">
        <v>-28.531510836319391</v>
      </c>
      <c r="DR530" s="1017">
        <v>-52.661618293845436</v>
      </c>
      <c r="DS530" s="1017">
        <v>-82.133132821867179</v>
      </c>
      <c r="DT530" s="1017">
        <v>-117.54380164517049</v>
      </c>
      <c r="DU530" s="1017">
        <v>-159.1381054826052</v>
      </c>
      <c r="DV530" s="1017">
        <v>-207.25031134842115</v>
      </c>
      <c r="DW530" s="1017">
        <v>-262.69531613892167</v>
      </c>
      <c r="DX530" s="1017">
        <v>-326.28263274429861</v>
      </c>
      <c r="DY530" s="1017">
        <v>-398.9298674493204</v>
      </c>
      <c r="DZ530" s="1017"/>
      <c r="EA530" s="996"/>
    </row>
    <row r="531" spans="2:131" customFormat="1" hidden="1">
      <c r="B531" s="80" t="s">
        <v>4315</v>
      </c>
      <c r="C531" s="87" t="s">
        <v>3380</v>
      </c>
      <c r="D531" s="219"/>
      <c r="BG531" s="414">
        <f>+Model!BG189/BG$561</f>
        <v>0</v>
      </c>
      <c r="BH531" s="414">
        <f>+Model!BH189/BH$561</f>
        <v>0</v>
      </c>
      <c r="BI531" s="414">
        <f>+Model!BI189/BI$561</f>
        <v>0</v>
      </c>
      <c r="BJ531" s="414">
        <f>+Model!BJ189/BJ$561</f>
        <v>0</v>
      </c>
      <c r="BK531" s="414">
        <f>+Model!BK189/BK$561</f>
        <v>0</v>
      </c>
      <c r="BL531" s="414">
        <f>+Model!BL189/BL$561</f>
        <v>0</v>
      </c>
      <c r="BM531" s="414">
        <f>+Model!BM189/BM$561</f>
        <v>0</v>
      </c>
      <c r="BN531" s="414">
        <f>+Model!BN189/BN$561</f>
        <v>1</v>
      </c>
      <c r="BO531" s="414">
        <f>+Model!BO189/BO$561</f>
        <v>2</v>
      </c>
      <c r="BP531" s="414">
        <f>+Model!BP189/BP$561</f>
        <v>40.702253513839274</v>
      </c>
      <c r="BQ531" s="414">
        <f>+Model!BQ189/BQ$561</f>
        <v>43.651204094130748</v>
      </c>
      <c r="BR531" s="414">
        <f>+Model!BR189/BR$561</f>
        <v>46.913763151440087</v>
      </c>
      <c r="BS531" s="414">
        <f>+Model!BS189/BS$561</f>
        <v>50.326618546614576</v>
      </c>
      <c r="BT531" s="414">
        <f>+Model!BT189/BT$561</f>
        <v>53.597940221254888</v>
      </c>
      <c r="BU531" s="414">
        <f>+Model!BU189/BU$561</f>
        <v>56.978835830864384</v>
      </c>
      <c r="BV531" s="414">
        <f>+Model!BV189/BV$561</f>
        <v>60.399954034600697</v>
      </c>
      <c r="BW531" s="414">
        <f>+Model!BW189/BW$561</f>
        <v>63.8238807669672</v>
      </c>
      <c r="BX531" s="414">
        <f>+Model!BX189/BX$561</f>
        <v>67.299677958454808</v>
      </c>
      <c r="BY531" s="414">
        <f>+Model!BY189/BY$561</f>
        <v>70.807732197622798</v>
      </c>
      <c r="BZ531" s="414">
        <f>+Model!BZ189/BZ$561</f>
        <v>74.345335995234009</v>
      </c>
      <c r="CA531" s="414">
        <f>+Model!CA189/CA$561</f>
        <v>77.921578627321892</v>
      </c>
      <c r="CB531" s="414">
        <f>+Model!CB189/CB$561</f>
        <v>81.531962664669834</v>
      </c>
      <c r="CC531" s="414">
        <f>+Model!CC189/CC$561</f>
        <v>85.17712860041911</v>
      </c>
      <c r="CD531" s="414">
        <f>+Model!CD189/CD$561</f>
        <v>88.858854906921522</v>
      </c>
      <c r="CE531" s="414"/>
      <c r="CF531" s="430"/>
      <c r="CG531" s="235">
        <f t="shared" si="2059"/>
        <v>0</v>
      </c>
      <c r="CH531" s="235">
        <f t="shared" si="2060"/>
        <v>0</v>
      </c>
      <c r="CI531" s="235" t="e">
        <f>BM531-#REF!</f>
        <v>#REF!</v>
      </c>
      <c r="CJ531" s="235">
        <f t="shared" si="2061"/>
        <v>0</v>
      </c>
      <c r="CK531" s="235">
        <f t="shared" si="2062"/>
        <v>0</v>
      </c>
      <c r="CL531" s="235">
        <f t="shared" si="2063"/>
        <v>0</v>
      </c>
      <c r="CM531" s="235">
        <f t="shared" si="2064"/>
        <v>0</v>
      </c>
      <c r="CN531" s="235">
        <f t="shared" si="2065"/>
        <v>0</v>
      </c>
      <c r="CO531" s="235">
        <f t="shared" si="2066"/>
        <v>0</v>
      </c>
      <c r="CP531" s="235">
        <f t="shared" si="2067"/>
        <v>0</v>
      </c>
      <c r="CQ531" s="235">
        <f t="shared" si="2068"/>
        <v>0</v>
      </c>
      <c r="CR531" s="235">
        <f t="shared" si="2069"/>
        <v>0</v>
      </c>
      <c r="CS531" s="235">
        <f t="shared" si="2070"/>
        <v>0</v>
      </c>
      <c r="CT531" s="235">
        <f t="shared" si="2071"/>
        <v>0</v>
      </c>
      <c r="CU531" s="235">
        <f t="shared" si="2072"/>
        <v>0</v>
      </c>
      <c r="CV531" s="235">
        <f t="shared" si="2073"/>
        <v>0</v>
      </c>
      <c r="CW531" s="235">
        <f t="shared" si="2074"/>
        <v>0</v>
      </c>
      <c r="CX531" s="235">
        <f t="shared" si="2075"/>
        <v>0</v>
      </c>
      <c r="CY531" s="235">
        <f t="shared" si="2076"/>
        <v>0</v>
      </c>
      <c r="CZ531" s="235">
        <f t="shared" si="2077"/>
        <v>0</v>
      </c>
      <c r="DA531" s="150"/>
      <c r="DG531" s="419">
        <v>0</v>
      </c>
      <c r="DH531" s="502">
        <v>0</v>
      </c>
      <c r="DI531" s="419">
        <v>1</v>
      </c>
      <c r="DJ531" s="419">
        <v>2</v>
      </c>
      <c r="DK531" s="419">
        <v>40.702253513839274</v>
      </c>
      <c r="DL531" s="419">
        <v>43.651204094130748</v>
      </c>
      <c r="DM531" s="419">
        <v>46.913763151440087</v>
      </c>
      <c r="DN531" s="419">
        <v>50.326618546614576</v>
      </c>
      <c r="DO531" s="419">
        <v>53.597940221254888</v>
      </c>
      <c r="DP531" s="419">
        <v>56.978835830864384</v>
      </c>
      <c r="DQ531" s="1017">
        <v>60.399954034600697</v>
      </c>
      <c r="DR531" s="1017">
        <v>63.8238807669672</v>
      </c>
      <c r="DS531" s="1017">
        <v>67.299677958454808</v>
      </c>
      <c r="DT531" s="1017">
        <v>70.807732197622798</v>
      </c>
      <c r="DU531" s="1017">
        <v>74.345335995234009</v>
      </c>
      <c r="DV531" s="1017">
        <v>77.921578627321892</v>
      </c>
      <c r="DW531" s="1017">
        <v>81.531962664669834</v>
      </c>
      <c r="DX531" s="1017">
        <v>85.17712860041911</v>
      </c>
      <c r="DY531" s="1017">
        <v>88.858854906921522</v>
      </c>
      <c r="DZ531" s="1017"/>
      <c r="EA531" s="996"/>
    </row>
    <row r="532" spans="2:131" customFormat="1" hidden="1">
      <c r="B532" s="80" t="s">
        <v>4589</v>
      </c>
      <c r="C532" s="51" t="s">
        <v>921</v>
      </c>
      <c r="D532" s="207"/>
      <c r="BG532" s="414">
        <f>+Model!BG190/BG$561</f>
        <v>46.2</v>
      </c>
      <c r="BH532" s="414">
        <f>+Model!BH190/BH$561</f>
        <v>21.8</v>
      </c>
      <c r="BI532" s="414">
        <f>+Model!BI190/BI$561</f>
        <v>25</v>
      </c>
      <c r="BJ532" s="414">
        <f>+Model!BJ190/BJ$561</f>
        <v>130.4</v>
      </c>
      <c r="BK532" s="414">
        <f>+Model!BK190/BK$561</f>
        <v>278.3</v>
      </c>
      <c r="BL532" s="414">
        <f>+Model!BL190/BL$561</f>
        <v>218.59999999999997</v>
      </c>
      <c r="BM532" s="414">
        <f>+Model!BM190/BM$561</f>
        <v>148.9</v>
      </c>
      <c r="BN532" s="414">
        <f>+Model!BN190/BN$561</f>
        <v>81.500000000000014</v>
      </c>
      <c r="BO532" s="414">
        <f>+Model!BO190/BO$561</f>
        <v>-38.666666666666664</v>
      </c>
      <c r="BP532" s="414">
        <f>+Model!BP190/BP$561</f>
        <v>-41.809793456223225</v>
      </c>
      <c r="BQ532" s="414">
        <f ca="1">+Model!BQ190/BQ$561</f>
        <v>-91.40852012587672</v>
      </c>
      <c r="BR532" s="414">
        <f ca="1">+Model!BR190/BR$561</f>
        <v>-120.64719512004244</v>
      </c>
      <c r="BS532" s="414">
        <f ca="1">+Model!BS190/BS$561</f>
        <v>-135.91922216069264</v>
      </c>
      <c r="BT532" s="414">
        <f ca="1">+Model!BT190/BT$561</f>
        <v>-167.31878627459119</v>
      </c>
      <c r="BU532" s="414">
        <f ca="1">+Model!BU190/BU$561</f>
        <v>-200.87220892773357</v>
      </c>
      <c r="BV532" s="414">
        <f ca="1">+Model!BV190/BV$561</f>
        <v>-238.49783264649389</v>
      </c>
      <c r="BW532" s="414">
        <f ca="1">+Model!BW190/BW$561</f>
        <v>-280.26985192207195</v>
      </c>
      <c r="BX532" s="414">
        <f ca="1">+Model!BX190/BX$561</f>
        <v>-326.13701816154941</v>
      </c>
      <c r="BY532" s="414">
        <f ca="1">+Model!BY190/BY$561</f>
        <v>-376.30363013526119</v>
      </c>
      <c r="BZ532" s="414">
        <f ca="1">+Model!BZ190/BZ$561</f>
        <v>-381.22216658529209</v>
      </c>
      <c r="CA532" s="414">
        <f ca="1">+Model!CA190/CA$561</f>
        <v>-385.78348418331956</v>
      </c>
      <c r="CB532" s="414">
        <f ca="1">+Model!CB190/CB$561</f>
        <v>-389.93517156408791</v>
      </c>
      <c r="CC532" s="414">
        <f ca="1">+Model!CC190/CC$561</f>
        <v>-393.52846366184048</v>
      </c>
      <c r="CD532" s="414">
        <f ca="1">+Model!CD190/CD$561</f>
        <v>-396.45103756709096</v>
      </c>
      <c r="CE532" s="414"/>
      <c r="CF532" s="430"/>
      <c r="CG532" s="235">
        <f t="shared" si="2059"/>
        <v>0</v>
      </c>
      <c r="CH532" s="235">
        <f t="shared" si="2060"/>
        <v>9.9999999999965894E-2</v>
      </c>
      <c r="CI532" s="235" t="e">
        <f>BM532-#REF!</f>
        <v>#REF!</v>
      </c>
      <c r="CJ532" s="235">
        <f t="shared" si="2061"/>
        <v>0</v>
      </c>
      <c r="CK532" s="235">
        <f t="shared" si="2062"/>
        <v>0</v>
      </c>
      <c r="CL532" s="235">
        <f t="shared" si="2063"/>
        <v>0</v>
      </c>
      <c r="CM532" s="235">
        <f t="shared" ca="1" si="2064"/>
        <v>0</v>
      </c>
      <c r="CN532" s="235">
        <f t="shared" ca="1" si="2065"/>
        <v>0</v>
      </c>
      <c r="CO532" s="235">
        <f t="shared" ca="1" si="2066"/>
        <v>0</v>
      </c>
      <c r="CP532" s="235">
        <f t="shared" ca="1" si="2067"/>
        <v>0</v>
      </c>
      <c r="CQ532" s="235">
        <f t="shared" ca="1" si="2068"/>
        <v>0</v>
      </c>
      <c r="CR532" s="235">
        <f t="shared" ca="1" si="2069"/>
        <v>0</v>
      </c>
      <c r="CS532" s="235">
        <f t="shared" ca="1" si="2070"/>
        <v>0</v>
      </c>
      <c r="CT532" s="235">
        <f t="shared" ca="1" si="2071"/>
        <v>0</v>
      </c>
      <c r="CU532" s="235">
        <f t="shared" ca="1" si="2072"/>
        <v>0</v>
      </c>
      <c r="CV532" s="235">
        <f t="shared" ca="1" si="2073"/>
        <v>0</v>
      </c>
      <c r="CW532" s="235">
        <f t="shared" ca="1" si="2074"/>
        <v>-4.5474735088646412E-13</v>
      </c>
      <c r="CX532" s="235">
        <f t="shared" ca="1" si="2075"/>
        <v>-2.5579538487363607E-12</v>
      </c>
      <c r="CY532" s="235">
        <f t="shared" ca="1" si="2076"/>
        <v>-1.1709744285326451E-11</v>
      </c>
      <c r="CZ532" s="235">
        <f t="shared" ca="1" si="2077"/>
        <v>1.5575096767861396E-11</v>
      </c>
      <c r="DA532" s="150"/>
      <c r="DG532" s="419">
        <v>278.3</v>
      </c>
      <c r="DH532" s="502">
        <v>218.5</v>
      </c>
      <c r="DI532" s="419">
        <v>81.500000000000014</v>
      </c>
      <c r="DJ532" s="419">
        <v>-38.666666666666664</v>
      </c>
      <c r="DK532" s="419">
        <v>-41.809793456223225</v>
      </c>
      <c r="DL532" s="419">
        <v>-91.40852012587672</v>
      </c>
      <c r="DM532" s="419">
        <v>-120.64719512004244</v>
      </c>
      <c r="DN532" s="419">
        <v>-135.91922216069264</v>
      </c>
      <c r="DO532" s="419">
        <v>-167.31878627459119</v>
      </c>
      <c r="DP532" s="419">
        <v>-200.87220892773357</v>
      </c>
      <c r="DQ532" s="1017">
        <v>-238.49783264649389</v>
      </c>
      <c r="DR532" s="1017">
        <v>-280.26985192207172</v>
      </c>
      <c r="DS532" s="1017">
        <v>-326.13701816154918</v>
      </c>
      <c r="DT532" s="1017">
        <v>-376.30363013526096</v>
      </c>
      <c r="DU532" s="1017">
        <v>-381.22216658529192</v>
      </c>
      <c r="DV532" s="1017">
        <v>-385.7834841833191</v>
      </c>
      <c r="DW532" s="1017">
        <v>-389.93517156408535</v>
      </c>
      <c r="DX532" s="1017">
        <v>-393.52846366182877</v>
      </c>
      <c r="DY532" s="1017">
        <v>-396.45103756710654</v>
      </c>
      <c r="DZ532" s="1017"/>
      <c r="EA532" s="996"/>
    </row>
    <row r="533" spans="2:131" customFormat="1" hidden="1">
      <c r="B533" s="133" t="s">
        <v>2062</v>
      </c>
      <c r="C533" s="19"/>
      <c r="D533" s="218"/>
      <c r="BF533" s="150"/>
      <c r="BG533" s="417"/>
      <c r="BH533" s="417"/>
      <c r="BI533" s="417"/>
      <c r="BJ533" s="417"/>
      <c r="BK533" s="417"/>
      <c r="BL533" s="417"/>
      <c r="BM533" s="417"/>
      <c r="BN533" s="417"/>
      <c r="BO533" s="417"/>
      <c r="BP533" s="417"/>
      <c r="BQ533" s="417"/>
      <c r="BR533" s="417"/>
      <c r="BS533" s="417"/>
      <c r="BT533" s="417"/>
      <c r="BU533" s="417"/>
      <c r="BV533" s="417"/>
      <c r="BW533" s="417"/>
      <c r="BX533" s="417"/>
      <c r="BY533" s="417"/>
      <c r="BZ533" s="417"/>
      <c r="CA533" s="417"/>
      <c r="CB533" s="417"/>
      <c r="CC533" s="417"/>
      <c r="CD533" s="417"/>
      <c r="CE533" s="417"/>
      <c r="CF533" s="430"/>
      <c r="CG533" s="235">
        <f t="shared" si="2059"/>
        <v>0</v>
      </c>
      <c r="CH533" s="235">
        <f t="shared" si="2060"/>
        <v>0</v>
      </c>
      <c r="CI533" s="235" t="e">
        <f>BM533-#REF!</f>
        <v>#REF!</v>
      </c>
      <c r="CJ533" s="235">
        <f t="shared" si="2061"/>
        <v>0</v>
      </c>
      <c r="CK533" s="235">
        <f t="shared" si="2062"/>
        <v>0</v>
      </c>
      <c r="CL533" s="235">
        <f t="shared" si="2063"/>
        <v>0</v>
      </c>
      <c r="CM533" s="235">
        <f t="shared" si="2064"/>
        <v>0</v>
      </c>
      <c r="CN533" s="235">
        <f t="shared" si="2065"/>
        <v>0</v>
      </c>
      <c r="CO533" s="235">
        <f t="shared" si="2066"/>
        <v>0</v>
      </c>
      <c r="CP533" s="235">
        <f t="shared" si="2067"/>
        <v>0</v>
      </c>
      <c r="CQ533" s="235">
        <f t="shared" si="2068"/>
        <v>0</v>
      </c>
      <c r="CR533" s="235">
        <f t="shared" si="2069"/>
        <v>0</v>
      </c>
      <c r="CS533" s="235">
        <f t="shared" si="2070"/>
        <v>0</v>
      </c>
      <c r="CT533" s="235">
        <f t="shared" si="2071"/>
        <v>0</v>
      </c>
      <c r="CU533" s="235">
        <f t="shared" si="2072"/>
        <v>0</v>
      </c>
      <c r="CV533" s="235">
        <f t="shared" si="2073"/>
        <v>0</v>
      </c>
      <c r="CW533" s="235">
        <f t="shared" si="2074"/>
        <v>0</v>
      </c>
      <c r="CX533" s="235">
        <f t="shared" si="2075"/>
        <v>0</v>
      </c>
      <c r="CY533" s="235">
        <f t="shared" si="2076"/>
        <v>0</v>
      </c>
      <c r="CZ533" s="235">
        <f t="shared" si="2077"/>
        <v>0</v>
      </c>
      <c r="DA533" s="150"/>
      <c r="DG533" s="419"/>
      <c r="DH533" s="502"/>
      <c r="DI533" s="419"/>
      <c r="DJ533" s="419"/>
      <c r="DK533" s="419"/>
      <c r="DL533" s="419"/>
      <c r="DM533" s="419"/>
      <c r="DN533" s="419"/>
      <c r="DO533" s="419"/>
      <c r="DP533" s="419"/>
      <c r="DQ533" s="1017"/>
      <c r="DR533" s="1017"/>
      <c r="DS533" s="1017"/>
      <c r="DT533" s="1017"/>
      <c r="DU533" s="1017"/>
      <c r="DV533" s="1017"/>
      <c r="DW533" s="1017"/>
      <c r="DX533" s="1017"/>
      <c r="DY533" s="1017"/>
      <c r="DZ533" s="1017"/>
      <c r="EA533" s="996"/>
    </row>
    <row r="534" spans="2:131" customFormat="1" hidden="1">
      <c r="B534" s="80" t="s">
        <v>571</v>
      </c>
      <c r="C534" s="51" t="s">
        <v>397</v>
      </c>
      <c r="D534" s="207"/>
      <c r="BG534" s="414">
        <f>+Model!BG193/BG$561</f>
        <v>139.80000000000001</v>
      </c>
      <c r="BH534" s="414">
        <f>+Model!BH193/BH$561</f>
        <v>141</v>
      </c>
      <c r="BI534" s="414">
        <f>+Model!BI193/BI$561</f>
        <v>147.19999999999999</v>
      </c>
      <c r="BJ534" s="414">
        <f>+Model!BJ193/BJ$561</f>
        <v>141.80000000000001</v>
      </c>
      <c r="BK534" s="414">
        <f>+Model!BK193/BK$561</f>
        <v>159.40000000000003</v>
      </c>
      <c r="BL534" s="414">
        <f>+Model!BL193/BL$561</f>
        <v>145.5</v>
      </c>
      <c r="BM534" s="414">
        <f>+Model!BM193/BM$561</f>
        <v>153.20000000000002</v>
      </c>
      <c r="BN534" s="414">
        <f>+Model!BN193/BN$561</f>
        <v>151.4</v>
      </c>
      <c r="BO534" s="414">
        <f>+Model!BO193/BO$561</f>
        <v>140.13333333333333</v>
      </c>
      <c r="BP534" s="414">
        <f>+Model!BP193/BP$561</f>
        <v>142.17132144725676</v>
      </c>
      <c r="BQ534" s="414">
        <f>+Model!BQ193/BQ$561</f>
        <v>148.66106307029526</v>
      </c>
      <c r="BR534" s="414">
        <f>+Model!BR193/BR$561</f>
        <v>154.32081478947916</v>
      </c>
      <c r="BS534" s="414">
        <f>+Model!BS193/BS$561</f>
        <v>159.39407970358172</v>
      </c>
      <c r="BT534" s="414">
        <f>+Model!BT193/BT$561</f>
        <v>166.99128612626691</v>
      </c>
      <c r="BU534" s="414">
        <f>+Model!BU193/BU$561</f>
        <v>174.95059850380451</v>
      </c>
      <c r="BV534" s="414">
        <f>+Model!BV193/BV$561</f>
        <v>183.28927590686402</v>
      </c>
      <c r="BW534" s="414">
        <f>+Model!BW193/BW$561</f>
        <v>192.02540002589339</v>
      </c>
      <c r="BX534" s="414">
        <f>+Model!BX193/BX$561</f>
        <v>201.17791437967855</v>
      </c>
      <c r="BY534" s="414">
        <f>+Model!BY193/BY$561</f>
        <v>210.76666539270229</v>
      </c>
      <c r="BZ534" s="414">
        <f>+Model!BZ193/BZ$561</f>
        <v>220.81244543037454</v>
      </c>
      <c r="CA534" s="414">
        <f>+Model!CA193/CA$561</f>
        <v>231.33703788545284</v>
      </c>
      <c r="CB534" s="414">
        <f>+Model!CB193/CB$561</f>
        <v>242.36326441341868</v>
      </c>
      <c r="CC534" s="414">
        <f>+Model!CC193/CC$561</f>
        <v>253.91503441923527</v>
      </c>
      <c r="CD534" s="414">
        <f>+Model!CD193/CD$561</f>
        <v>266.01739690279493</v>
      </c>
      <c r="CE534" s="414"/>
      <c r="CF534" s="430"/>
      <c r="CG534" s="235">
        <f t="shared" si="2059"/>
        <v>0</v>
      </c>
      <c r="CH534" s="235">
        <f t="shared" si="2060"/>
        <v>0</v>
      </c>
      <c r="CI534" s="235" t="e">
        <f>BM534-#REF!</f>
        <v>#REF!</v>
      </c>
      <c r="CJ534" s="235">
        <f t="shared" si="2061"/>
        <v>0</v>
      </c>
      <c r="CK534" s="235">
        <f t="shared" si="2062"/>
        <v>0</v>
      </c>
      <c r="CL534" s="235">
        <f t="shared" si="2063"/>
        <v>0</v>
      </c>
      <c r="CM534" s="235">
        <f t="shared" si="2064"/>
        <v>0</v>
      </c>
      <c r="CN534" s="235">
        <f t="shared" si="2065"/>
        <v>0</v>
      </c>
      <c r="CO534" s="235">
        <f t="shared" si="2066"/>
        <v>0</v>
      </c>
      <c r="CP534" s="235">
        <f t="shared" si="2067"/>
        <v>0</v>
      </c>
      <c r="CQ534" s="235">
        <f t="shared" si="2068"/>
        <v>0</v>
      </c>
      <c r="CR534" s="235">
        <f t="shared" si="2069"/>
        <v>0</v>
      </c>
      <c r="CS534" s="235">
        <f t="shared" si="2070"/>
        <v>0</v>
      </c>
      <c r="CT534" s="235">
        <f t="shared" si="2071"/>
        <v>0</v>
      </c>
      <c r="CU534" s="235">
        <f t="shared" si="2072"/>
        <v>0</v>
      </c>
      <c r="CV534" s="235">
        <f t="shared" si="2073"/>
        <v>0</v>
      </c>
      <c r="CW534" s="235">
        <f t="shared" si="2074"/>
        <v>0</v>
      </c>
      <c r="CX534" s="235">
        <f t="shared" si="2075"/>
        <v>0</v>
      </c>
      <c r="CY534" s="235">
        <f t="shared" si="2076"/>
        <v>0</v>
      </c>
      <c r="CZ534" s="235">
        <f t="shared" si="2077"/>
        <v>0</v>
      </c>
      <c r="DA534" s="150"/>
      <c r="DG534" s="419">
        <v>159.40000000000003</v>
      </c>
      <c r="DH534" s="502">
        <v>145.5</v>
      </c>
      <c r="DI534" s="419">
        <v>151.4</v>
      </c>
      <c r="DJ534" s="419">
        <v>140.13333333333333</v>
      </c>
      <c r="DK534" s="419">
        <v>142.17132144725676</v>
      </c>
      <c r="DL534" s="419">
        <v>148.66106307029526</v>
      </c>
      <c r="DM534" s="419">
        <v>154.32081478947916</v>
      </c>
      <c r="DN534" s="419">
        <v>159.39407970358172</v>
      </c>
      <c r="DO534" s="419">
        <v>166.99128612626691</v>
      </c>
      <c r="DP534" s="419">
        <v>174.95059850380451</v>
      </c>
      <c r="DQ534" s="1017">
        <v>183.28927590686402</v>
      </c>
      <c r="DR534" s="1017">
        <v>192.02540002589339</v>
      </c>
      <c r="DS534" s="1017">
        <v>201.17791437967855</v>
      </c>
      <c r="DT534" s="1017">
        <v>210.76666539270229</v>
      </c>
      <c r="DU534" s="1017">
        <v>220.81244543037454</v>
      </c>
      <c r="DV534" s="1017">
        <v>231.33703788545284</v>
      </c>
      <c r="DW534" s="1017">
        <v>242.36326441341868</v>
      </c>
      <c r="DX534" s="1017">
        <v>253.91503441923527</v>
      </c>
      <c r="DY534" s="1017">
        <v>266.01739690279493</v>
      </c>
      <c r="DZ534" s="1017"/>
      <c r="EA534" s="996"/>
    </row>
    <row r="535" spans="2:131" customFormat="1" hidden="1">
      <c r="B535" s="80" t="s">
        <v>730</v>
      </c>
      <c r="C535" s="51" t="s">
        <v>922</v>
      </c>
      <c r="D535" s="207"/>
      <c r="BG535" s="414">
        <f>+Model!BG194/BG$561</f>
        <v>62.4</v>
      </c>
      <c r="BH535" s="414">
        <f>+Model!BH194/BH$561</f>
        <v>50.5</v>
      </c>
      <c r="BI535" s="414">
        <f>+Model!BI194/BI$561</f>
        <v>53.2</v>
      </c>
      <c r="BJ535" s="414">
        <f>+Model!BJ194/BJ$561</f>
        <v>55.3</v>
      </c>
      <c r="BK535" s="414">
        <f>+Model!BK194/BK$561</f>
        <v>72.099999999999994</v>
      </c>
      <c r="BL535" s="414">
        <f>+Model!BL194/BL$561</f>
        <v>72.8</v>
      </c>
      <c r="BM535" s="414">
        <f>+Model!BM194/BM$561</f>
        <v>86.600000000000009</v>
      </c>
      <c r="BN535" s="414">
        <f>+Model!BN194/BN$561</f>
        <v>80.2</v>
      </c>
      <c r="BO535" s="414">
        <f>+Model!BO194/BO$561</f>
        <v>74.666666666666657</v>
      </c>
      <c r="BP535" s="414">
        <f ca="1">+Model!BP194/BP$561</f>
        <v>81.207280453025618</v>
      </c>
      <c r="BQ535" s="414">
        <f ca="1">+Model!BQ194/BQ$561</f>
        <v>90.477115792213795</v>
      </c>
      <c r="BR535" s="414">
        <f ca="1">+Model!BR194/BR$561</f>
        <v>95.271481851656787</v>
      </c>
      <c r="BS535" s="414">
        <f ca="1">+Model!BS194/BS$561</f>
        <v>98.157179100080114</v>
      </c>
      <c r="BT535" s="414">
        <f ca="1">+Model!BT194/BT$561</f>
        <v>101.53153350312633</v>
      </c>
      <c r="BU535" s="414">
        <f ca="1">+Model!BU194/BU$561</f>
        <v>105.14933939529783</v>
      </c>
      <c r="BV535" s="414">
        <f ca="1">+Model!BV194/BV$561</f>
        <v>108.93027445114177</v>
      </c>
      <c r="BW535" s="414">
        <f ca="1">+Model!BW194/BW$561</f>
        <v>112.86628517558715</v>
      </c>
      <c r="BX535" s="414">
        <f ca="1">+Model!BX194/BX$561</f>
        <v>116.92472979140506</v>
      </c>
      <c r="BY535" s="414">
        <f ca="1">+Model!BY194/BY$561</f>
        <v>121.10181662604542</v>
      </c>
      <c r="BZ535" s="414">
        <f ca="1">+Model!BZ194/BZ$561</f>
        <v>125.40620500598406</v>
      </c>
      <c r="CA535" s="414">
        <f ca="1">+Model!CA194/CA$561</f>
        <v>129.85840122828267</v>
      </c>
      <c r="CB535" s="414">
        <f ca="1">+Model!CB194/CB$561</f>
        <v>134.46911413241355</v>
      </c>
      <c r="CC535" s="414">
        <f ca="1">+Model!CC194/CC$561</f>
        <v>139.23137496034971</v>
      </c>
      <c r="CD535" s="414">
        <f ca="1">+Model!CD194/CD$561</f>
        <v>144.15002849578556</v>
      </c>
      <c r="CE535" s="414"/>
      <c r="CF535" s="430"/>
      <c r="CG535" s="235">
        <f t="shared" si="2059"/>
        <v>0</v>
      </c>
      <c r="CH535" s="235">
        <f t="shared" si="2060"/>
        <v>0</v>
      </c>
      <c r="CI535" s="235" t="e">
        <f>BM535-#REF!</f>
        <v>#REF!</v>
      </c>
      <c r="CJ535" s="235">
        <f t="shared" si="2061"/>
        <v>0</v>
      </c>
      <c r="CK535" s="235">
        <f t="shared" si="2062"/>
        <v>0</v>
      </c>
      <c r="CL535" s="235">
        <f t="shared" ca="1" si="2063"/>
        <v>0</v>
      </c>
      <c r="CM535" s="235">
        <f t="shared" ca="1" si="2064"/>
        <v>0</v>
      </c>
      <c r="CN535" s="235">
        <f t="shared" ca="1" si="2065"/>
        <v>0</v>
      </c>
      <c r="CO535" s="235">
        <f t="shared" ca="1" si="2066"/>
        <v>0</v>
      </c>
      <c r="CP535" s="235">
        <f t="shared" ca="1" si="2067"/>
        <v>0</v>
      </c>
      <c r="CQ535" s="235">
        <f t="shared" ca="1" si="2068"/>
        <v>0</v>
      </c>
      <c r="CR535" s="235">
        <f t="shared" ca="1" si="2069"/>
        <v>0</v>
      </c>
      <c r="CS535" s="235">
        <f t="shared" ca="1" si="2070"/>
        <v>0</v>
      </c>
      <c r="CT535" s="235">
        <f t="shared" ca="1" si="2071"/>
        <v>0</v>
      </c>
      <c r="CU535" s="235">
        <f t="shared" ca="1" si="2072"/>
        <v>0</v>
      </c>
      <c r="CV535" s="235">
        <f t="shared" ca="1" si="2073"/>
        <v>0</v>
      </c>
      <c r="CW535" s="235">
        <f t="shared" ca="1" si="2074"/>
        <v>0</v>
      </c>
      <c r="CX535" s="235">
        <f t="shared" ca="1" si="2075"/>
        <v>1.3358203432289883E-12</v>
      </c>
      <c r="CY535" s="235">
        <f t="shared" ca="1" si="2076"/>
        <v>1.2903456081403419E-11</v>
      </c>
      <c r="CZ535" s="235">
        <f t="shared" ca="1" si="2077"/>
        <v>1.035687091643922E-10</v>
      </c>
      <c r="DA535" s="150"/>
      <c r="DG535" s="419">
        <v>72.099999999999994</v>
      </c>
      <c r="DH535" s="502">
        <v>72.8</v>
      </c>
      <c r="DI535" s="419">
        <v>80.2</v>
      </c>
      <c r="DJ535" s="419">
        <v>74.666666666666657</v>
      </c>
      <c r="DK535" s="419">
        <v>81.207280453025604</v>
      </c>
      <c r="DL535" s="419">
        <v>90.47711579221378</v>
      </c>
      <c r="DM535" s="419">
        <v>95.271481851656802</v>
      </c>
      <c r="DN535" s="419">
        <v>98.157179100080128</v>
      </c>
      <c r="DO535" s="419">
        <v>101.53153350312634</v>
      </c>
      <c r="DP535" s="419">
        <v>105.14933939529783</v>
      </c>
      <c r="DQ535" s="1017">
        <v>108.93027445114177</v>
      </c>
      <c r="DR535" s="1017">
        <v>112.86628517558715</v>
      </c>
      <c r="DS535" s="1017">
        <v>116.92472979140506</v>
      </c>
      <c r="DT535" s="1017">
        <v>121.10181662604542</v>
      </c>
      <c r="DU535" s="1017">
        <v>125.40620500598403</v>
      </c>
      <c r="DV535" s="1017">
        <v>129.85840122828253</v>
      </c>
      <c r="DW535" s="1017">
        <v>134.46911413241222</v>
      </c>
      <c r="DX535" s="1017">
        <v>139.23137496033681</v>
      </c>
      <c r="DY535" s="1017">
        <v>144.15002849568199</v>
      </c>
      <c r="DZ535" s="1017"/>
      <c r="EA535" s="996"/>
    </row>
    <row r="536" spans="2:131" customFormat="1" hidden="1">
      <c r="B536" s="80" t="s">
        <v>1381</v>
      </c>
      <c r="C536" s="51" t="s">
        <v>364</v>
      </c>
      <c r="D536" s="207"/>
      <c r="BG536" s="414">
        <f>+Model!BG195/BG$561</f>
        <v>0</v>
      </c>
      <c r="BH536" s="414">
        <f>+Model!BH195/BH$561</f>
        <v>0</v>
      </c>
      <c r="BI536" s="414">
        <f>+Model!BI195/BI$561</f>
        <v>0</v>
      </c>
      <c r="BJ536" s="414">
        <f>+Model!BJ195/BJ$561</f>
        <v>0</v>
      </c>
      <c r="BK536" s="414">
        <f>+Model!BK195/BK$561</f>
        <v>0</v>
      </c>
      <c r="BL536" s="414">
        <f>+Model!BL195/BL$561</f>
        <v>0</v>
      </c>
      <c r="BM536" s="414">
        <f>+Model!BM195/BM$561</f>
        <v>0</v>
      </c>
      <c r="BN536" s="414">
        <f>+Model!BN195/BN$561</f>
        <v>0</v>
      </c>
      <c r="BO536" s="414">
        <f>+Model!BO195/BO$561</f>
        <v>0</v>
      </c>
      <c r="BP536" s="414">
        <f>+Model!BP195/BP$561</f>
        <v>0</v>
      </c>
      <c r="BQ536" s="414">
        <f>+Model!BQ195/BQ$561</f>
        <v>0</v>
      </c>
      <c r="BR536" s="414">
        <f>+Model!BR195/BR$561</f>
        <v>0</v>
      </c>
      <c r="BS536" s="414">
        <f>+Model!BS195/BS$561</f>
        <v>0</v>
      </c>
      <c r="BT536" s="414">
        <f>+Model!BT195/BT$561</f>
        <v>0</v>
      </c>
      <c r="BU536" s="414">
        <f>+Model!BU195/BU$561</f>
        <v>0</v>
      </c>
      <c r="BV536" s="414">
        <f>+Model!BV195/BV$561</f>
        <v>0</v>
      </c>
      <c r="BW536" s="414">
        <f>+Model!BW195/BW$561</f>
        <v>0</v>
      </c>
      <c r="BX536" s="414">
        <f>+Model!BX195/BX$561</f>
        <v>0</v>
      </c>
      <c r="BY536" s="414">
        <f>+Model!BY195/BY$561</f>
        <v>0</v>
      </c>
      <c r="BZ536" s="414">
        <f>+Model!BZ195/BZ$561</f>
        <v>0</v>
      </c>
      <c r="CA536" s="414">
        <f>+Model!CA195/CA$561</f>
        <v>0</v>
      </c>
      <c r="CB536" s="414">
        <f>+Model!CB195/CB$561</f>
        <v>0</v>
      </c>
      <c r="CC536" s="414">
        <f>+Model!CC195/CC$561</f>
        <v>0</v>
      </c>
      <c r="CD536" s="414">
        <f>+Model!CD195/CD$561</f>
        <v>0</v>
      </c>
      <c r="CE536" s="414"/>
      <c r="CF536" s="430"/>
      <c r="CG536" s="235">
        <f t="shared" si="2059"/>
        <v>0</v>
      </c>
      <c r="CH536" s="235">
        <f t="shared" si="2060"/>
        <v>0</v>
      </c>
      <c r="CI536" s="235" t="e">
        <f>BM536-#REF!</f>
        <v>#REF!</v>
      </c>
      <c r="CJ536" s="235">
        <f t="shared" si="2061"/>
        <v>0</v>
      </c>
      <c r="CK536" s="235">
        <f t="shared" si="2062"/>
        <v>0</v>
      </c>
      <c r="CL536" s="235">
        <f t="shared" si="2063"/>
        <v>0</v>
      </c>
      <c r="CM536" s="235">
        <f t="shared" si="2064"/>
        <v>0</v>
      </c>
      <c r="CN536" s="235">
        <f t="shared" si="2065"/>
        <v>0</v>
      </c>
      <c r="CO536" s="235">
        <f t="shared" si="2066"/>
        <v>0</v>
      </c>
      <c r="CP536" s="235">
        <f t="shared" si="2067"/>
        <v>0</v>
      </c>
      <c r="CQ536" s="235">
        <f t="shared" si="2068"/>
        <v>0</v>
      </c>
      <c r="CR536" s="235">
        <f t="shared" si="2069"/>
        <v>0</v>
      </c>
      <c r="CS536" s="235">
        <f t="shared" si="2070"/>
        <v>0</v>
      </c>
      <c r="CT536" s="235">
        <f t="shared" si="2071"/>
        <v>0</v>
      </c>
      <c r="CU536" s="235">
        <f t="shared" si="2072"/>
        <v>0</v>
      </c>
      <c r="CV536" s="235">
        <f t="shared" si="2073"/>
        <v>0</v>
      </c>
      <c r="CW536" s="235">
        <f t="shared" si="2074"/>
        <v>0</v>
      </c>
      <c r="CX536" s="235">
        <f t="shared" si="2075"/>
        <v>0</v>
      </c>
      <c r="CY536" s="235">
        <f t="shared" si="2076"/>
        <v>0</v>
      </c>
      <c r="CZ536" s="235">
        <f t="shared" si="2077"/>
        <v>0</v>
      </c>
      <c r="DA536" s="150"/>
      <c r="DG536" s="419">
        <v>0</v>
      </c>
      <c r="DH536" s="502">
        <v>0</v>
      </c>
      <c r="DI536" s="419">
        <v>0</v>
      </c>
      <c r="DJ536" s="419">
        <v>0</v>
      </c>
      <c r="DK536" s="419">
        <v>0</v>
      </c>
      <c r="DL536" s="419">
        <v>0</v>
      </c>
      <c r="DM536" s="419">
        <v>0</v>
      </c>
      <c r="DN536" s="419">
        <v>0</v>
      </c>
      <c r="DO536" s="419">
        <v>0</v>
      </c>
      <c r="DP536" s="419">
        <v>0</v>
      </c>
      <c r="DQ536" s="1017">
        <v>0</v>
      </c>
      <c r="DR536" s="1017">
        <v>0</v>
      </c>
      <c r="DS536" s="1017">
        <v>0</v>
      </c>
      <c r="DT536" s="1017">
        <v>0</v>
      </c>
      <c r="DU536" s="1017">
        <v>0</v>
      </c>
      <c r="DV536" s="1017">
        <v>0</v>
      </c>
      <c r="DW536" s="1017">
        <v>0</v>
      </c>
      <c r="DX536" s="1017">
        <v>0</v>
      </c>
      <c r="DY536" s="1017">
        <v>0</v>
      </c>
      <c r="DZ536" s="1017"/>
      <c r="EA536" s="996"/>
    </row>
    <row r="537" spans="2:131" customFormat="1" hidden="1">
      <c r="B537" s="80" t="s">
        <v>1999</v>
      </c>
      <c r="C537" s="51" t="s">
        <v>3377</v>
      </c>
      <c r="D537" s="207"/>
      <c r="BG537" s="414">
        <f>+Model!BG196/BG$561</f>
        <v>0</v>
      </c>
      <c r="BH537" s="414">
        <f>+Model!BH196/BH$561</f>
        <v>0</v>
      </c>
      <c r="BI537" s="414">
        <f>+Model!BI196/BI$561</f>
        <v>0</v>
      </c>
      <c r="BJ537" s="414">
        <f>+Model!BJ196/BJ$561</f>
        <v>0</v>
      </c>
      <c r="BK537" s="414">
        <f>+Model!BK196/BK$561</f>
        <v>0</v>
      </c>
      <c r="BL537" s="414">
        <f>+Model!BL196/BL$561</f>
        <v>0</v>
      </c>
      <c r="BM537" s="414">
        <f>+Model!BM196/BM$561</f>
        <v>0</v>
      </c>
      <c r="BN537" s="414">
        <f>+Model!BN196/BN$561</f>
        <v>0</v>
      </c>
      <c r="BO537" s="414">
        <f>+Model!BO196/BO$561</f>
        <v>0</v>
      </c>
      <c r="BP537" s="414">
        <f ca="1">+Model!BP196/BP$561</f>
        <v>0</v>
      </c>
      <c r="BQ537" s="414">
        <f ca="1">+Model!BQ196/BQ$561</f>
        <v>0</v>
      </c>
      <c r="BR537" s="414">
        <f ca="1">+Model!BR196/BR$561</f>
        <v>0</v>
      </c>
      <c r="BS537" s="414">
        <f ca="1">+Model!BS196/BS$561</f>
        <v>0</v>
      </c>
      <c r="BT537" s="414">
        <f ca="1">+Model!BT196/BT$561</f>
        <v>0</v>
      </c>
      <c r="BU537" s="414">
        <f ca="1">+Model!BU196/BU$561</f>
        <v>0</v>
      </c>
      <c r="BV537" s="414">
        <f ca="1">+Model!BV196/BV$561</f>
        <v>0</v>
      </c>
      <c r="BW537" s="414">
        <f ca="1">+Model!BW196/BW$561</f>
        <v>0</v>
      </c>
      <c r="BX537" s="414">
        <f ca="1">+Model!BX196/BX$561</f>
        <v>0</v>
      </c>
      <c r="BY537" s="414">
        <f ca="1">+Model!BY196/BY$561</f>
        <v>0</v>
      </c>
      <c r="BZ537" s="414">
        <f ca="1">+Model!BZ196/BZ$561</f>
        <v>0</v>
      </c>
      <c r="CA537" s="414">
        <f ca="1">+Model!CA196/CA$561</f>
        <v>0</v>
      </c>
      <c r="CB537" s="414">
        <f ca="1">+Model!CB196/CB$561</f>
        <v>0</v>
      </c>
      <c r="CC537" s="414">
        <f ca="1">+Model!CC196/CC$561</f>
        <v>0</v>
      </c>
      <c r="CD537" s="414">
        <f ca="1">+Model!CD196/CD$561</f>
        <v>0</v>
      </c>
      <c r="CE537" s="414"/>
      <c r="CF537" s="430"/>
      <c r="CG537" s="235">
        <f t="shared" si="2059"/>
        <v>0</v>
      </c>
      <c r="CH537" s="235">
        <f t="shared" si="2060"/>
        <v>0</v>
      </c>
      <c r="CI537" s="235" t="e">
        <f>BM537-#REF!</f>
        <v>#REF!</v>
      </c>
      <c r="CJ537" s="235">
        <f t="shared" si="2061"/>
        <v>0</v>
      </c>
      <c r="CK537" s="235">
        <f t="shared" si="2062"/>
        <v>0</v>
      </c>
      <c r="CL537" s="235">
        <f t="shared" ca="1" si="2063"/>
        <v>0</v>
      </c>
      <c r="CM537" s="235">
        <f t="shared" ca="1" si="2064"/>
        <v>0</v>
      </c>
      <c r="CN537" s="235">
        <f t="shared" ca="1" si="2065"/>
        <v>0</v>
      </c>
      <c r="CO537" s="235">
        <f t="shared" ca="1" si="2066"/>
        <v>0</v>
      </c>
      <c r="CP537" s="235">
        <f t="shared" ca="1" si="2067"/>
        <v>0</v>
      </c>
      <c r="CQ537" s="235">
        <f t="shared" ca="1" si="2068"/>
        <v>0</v>
      </c>
      <c r="CR537" s="235">
        <f t="shared" ca="1" si="2069"/>
        <v>0</v>
      </c>
      <c r="CS537" s="235">
        <f t="shared" ca="1" si="2070"/>
        <v>0</v>
      </c>
      <c r="CT537" s="235">
        <f t="shared" ca="1" si="2071"/>
        <v>0</v>
      </c>
      <c r="CU537" s="235">
        <f t="shared" ca="1" si="2072"/>
        <v>0</v>
      </c>
      <c r="CV537" s="235">
        <f t="shared" ca="1" si="2073"/>
        <v>0</v>
      </c>
      <c r="CW537" s="235">
        <f t="shared" ca="1" si="2074"/>
        <v>0</v>
      </c>
      <c r="CX537" s="235">
        <f t="shared" ca="1" si="2075"/>
        <v>0</v>
      </c>
      <c r="CY537" s="235">
        <f t="shared" ca="1" si="2076"/>
        <v>0</v>
      </c>
      <c r="CZ537" s="235">
        <f t="shared" ca="1" si="2077"/>
        <v>0</v>
      </c>
      <c r="DA537" s="150"/>
      <c r="DG537" s="419">
        <v>0</v>
      </c>
      <c r="DH537" s="502">
        <v>0</v>
      </c>
      <c r="DI537" s="419">
        <v>0</v>
      </c>
      <c r="DJ537" s="419">
        <v>0</v>
      </c>
      <c r="DK537" s="419">
        <v>0</v>
      </c>
      <c r="DL537" s="419">
        <v>0</v>
      </c>
      <c r="DM537" s="419">
        <v>0</v>
      </c>
      <c r="DN537" s="419">
        <v>0</v>
      </c>
      <c r="DO537" s="419">
        <v>0</v>
      </c>
      <c r="DP537" s="419">
        <v>0</v>
      </c>
      <c r="DQ537" s="1017">
        <v>0</v>
      </c>
      <c r="DR537" s="1017">
        <v>0</v>
      </c>
      <c r="DS537" s="1017">
        <v>0</v>
      </c>
      <c r="DT537" s="1017">
        <v>0</v>
      </c>
      <c r="DU537" s="1017">
        <v>0</v>
      </c>
      <c r="DV537" s="1017">
        <v>0</v>
      </c>
      <c r="DW537" s="1017">
        <v>0</v>
      </c>
      <c r="DX537" s="1017">
        <v>0</v>
      </c>
      <c r="DY537" s="1017">
        <v>0</v>
      </c>
      <c r="DZ537" s="1017"/>
      <c r="EA537" s="996"/>
    </row>
    <row r="538" spans="2:131" customFormat="1" hidden="1">
      <c r="B538" s="133" t="s">
        <v>1678</v>
      </c>
      <c r="C538" s="19"/>
      <c r="D538" s="218"/>
      <c r="BG538" s="414"/>
      <c r="BH538" s="414"/>
      <c r="BI538" s="414"/>
      <c r="BJ538" s="414"/>
      <c r="BK538" s="414"/>
      <c r="BL538" s="414"/>
      <c r="BM538" s="414"/>
      <c r="BN538" s="414"/>
      <c r="BO538" s="414"/>
      <c r="BP538" s="414"/>
      <c r="BQ538" s="414"/>
      <c r="BR538" s="414"/>
      <c r="BS538" s="414"/>
      <c r="BT538" s="414"/>
      <c r="BU538" s="414"/>
      <c r="BV538" s="414"/>
      <c r="BW538" s="414"/>
      <c r="BX538" s="414"/>
      <c r="BY538" s="414"/>
      <c r="BZ538" s="414"/>
      <c r="CA538" s="414"/>
      <c r="CB538" s="414"/>
      <c r="CC538" s="414"/>
      <c r="CD538" s="414"/>
      <c r="CE538" s="414"/>
      <c r="CF538" s="430"/>
      <c r="CG538" s="235">
        <f t="shared" si="2059"/>
        <v>0</v>
      </c>
      <c r="CH538" s="235">
        <f t="shared" si="2060"/>
        <v>0</v>
      </c>
      <c r="CI538" s="235" t="e">
        <f>BM538-#REF!</f>
        <v>#REF!</v>
      </c>
      <c r="CJ538" s="235">
        <f t="shared" si="2061"/>
        <v>0</v>
      </c>
      <c r="CK538" s="235">
        <f t="shared" si="2062"/>
        <v>0</v>
      </c>
      <c r="CL538" s="235">
        <f t="shared" si="2063"/>
        <v>0</v>
      </c>
      <c r="CM538" s="235">
        <f t="shared" si="2064"/>
        <v>0</v>
      </c>
      <c r="CN538" s="235">
        <f t="shared" si="2065"/>
        <v>0</v>
      </c>
      <c r="CO538" s="235">
        <f t="shared" si="2066"/>
        <v>0</v>
      </c>
      <c r="CP538" s="235">
        <f t="shared" si="2067"/>
        <v>0</v>
      </c>
      <c r="CQ538" s="235">
        <f t="shared" si="2068"/>
        <v>0</v>
      </c>
      <c r="CR538" s="235">
        <f t="shared" si="2069"/>
        <v>0</v>
      </c>
      <c r="CS538" s="235">
        <f t="shared" si="2070"/>
        <v>0</v>
      </c>
      <c r="CT538" s="235">
        <f t="shared" si="2071"/>
        <v>0</v>
      </c>
      <c r="CU538" s="235">
        <f t="shared" si="2072"/>
        <v>0</v>
      </c>
      <c r="CV538" s="235">
        <f t="shared" si="2073"/>
        <v>0</v>
      </c>
      <c r="CW538" s="235">
        <f t="shared" si="2074"/>
        <v>0</v>
      </c>
      <c r="CX538" s="235">
        <f t="shared" si="2075"/>
        <v>0</v>
      </c>
      <c r="CY538" s="235">
        <f t="shared" si="2076"/>
        <v>0</v>
      </c>
      <c r="CZ538" s="235">
        <f t="shared" si="2077"/>
        <v>0</v>
      </c>
      <c r="DA538" s="150"/>
      <c r="DG538" s="419"/>
      <c r="DH538" s="502"/>
      <c r="DI538" s="419"/>
      <c r="DJ538" s="419"/>
      <c r="DK538" s="419"/>
      <c r="DL538" s="419"/>
      <c r="DM538" s="419"/>
      <c r="DN538" s="419"/>
      <c r="DO538" s="419"/>
      <c r="DP538" s="419"/>
      <c r="DQ538" s="1017"/>
      <c r="DR538" s="1017"/>
      <c r="DS538" s="1017"/>
      <c r="DT538" s="1017"/>
      <c r="DU538" s="1017"/>
      <c r="DV538" s="1017"/>
      <c r="DW538" s="1017"/>
      <c r="DX538" s="1017"/>
      <c r="DY538" s="1017"/>
      <c r="DZ538" s="1017"/>
      <c r="EA538" s="996"/>
    </row>
    <row r="539" spans="2:131" customFormat="1" hidden="1">
      <c r="B539" s="80" t="s">
        <v>533</v>
      </c>
      <c r="C539" s="51" t="s">
        <v>4318</v>
      </c>
      <c r="D539" s="207"/>
      <c r="BG539" s="414">
        <f>+Model!BG198/BG$561</f>
        <v>-268.29999999999995</v>
      </c>
      <c r="BH539" s="414">
        <f>+Model!BH198/BH$561</f>
        <v>-60.499999999999972</v>
      </c>
      <c r="BI539" s="414">
        <f>+Model!BI198/BI$561</f>
        <v>-135.30000000000007</v>
      </c>
      <c r="BJ539" s="414">
        <f>+Model!BJ198/BJ$561</f>
        <v>-568</v>
      </c>
      <c r="BK539" s="414">
        <f>+Model!BK198/BK$561</f>
        <v>-205.60000000000005</v>
      </c>
      <c r="BL539" s="414">
        <f>+Model!BL198/BL$561</f>
        <v>325.5</v>
      </c>
      <c r="BM539" s="414">
        <f>+Model!BM198/BM$561</f>
        <v>221.40000000000003</v>
      </c>
      <c r="BN539" s="414">
        <f>+Model!BN198/BN$561</f>
        <v>355.1</v>
      </c>
      <c r="BO539" s="414">
        <f>+Model!BO198/BO$561</f>
        <v>309.33333333333337</v>
      </c>
      <c r="BP539" s="414">
        <f>+Model!BP198/BP$561</f>
        <v>309.33333333333343</v>
      </c>
      <c r="BQ539" s="414">
        <f>+Model!BQ198/BQ$561</f>
        <v>309.33333333333343</v>
      </c>
      <c r="BR539" s="414">
        <f>+Model!BR198/BR$561</f>
        <v>309.33333333333343</v>
      </c>
      <c r="BS539" s="414">
        <f>+Model!BS198/BS$561</f>
        <v>309.33333333333343</v>
      </c>
      <c r="BT539" s="414">
        <f>+Model!BT198/BT$561</f>
        <v>309.33333333333343</v>
      </c>
      <c r="BU539" s="414">
        <f>+Model!BU198/BU$561</f>
        <v>309.33333333333343</v>
      </c>
      <c r="BV539" s="414">
        <f>+Model!BV198/BV$561</f>
        <v>309.33333333333343</v>
      </c>
      <c r="BW539" s="414">
        <f>+Model!BW198/BW$561</f>
        <v>309.33333333333343</v>
      </c>
      <c r="BX539" s="414">
        <f>+Model!BX198/BX$561</f>
        <v>309.33333333333343</v>
      </c>
      <c r="BY539" s="414">
        <f>+Model!BY198/BY$561</f>
        <v>309.33333333333343</v>
      </c>
      <c r="BZ539" s="414">
        <f>+Model!BZ198/BZ$561</f>
        <v>309.33333333333343</v>
      </c>
      <c r="CA539" s="414">
        <f>+Model!CA198/CA$561</f>
        <v>309.33333333333343</v>
      </c>
      <c r="CB539" s="414">
        <f>+Model!CB198/CB$561</f>
        <v>309.33333333333343</v>
      </c>
      <c r="CC539" s="414">
        <f>+Model!CC198/CC$561</f>
        <v>309.33333333333343</v>
      </c>
      <c r="CD539" s="414">
        <f>+Model!CD198/CD$561</f>
        <v>309.33333333333343</v>
      </c>
      <c r="CE539" s="414"/>
      <c r="CF539" s="430"/>
      <c r="CG539" s="235">
        <f t="shared" si="2059"/>
        <v>9.9999999999965894E-2</v>
      </c>
      <c r="CH539" s="235">
        <f t="shared" si="2060"/>
        <v>0</v>
      </c>
      <c r="CI539" s="235" t="e">
        <f>BM539-#REF!</f>
        <v>#REF!</v>
      </c>
      <c r="CJ539" s="235">
        <f t="shared" si="2061"/>
        <v>0</v>
      </c>
      <c r="CK539" s="235">
        <f t="shared" si="2062"/>
        <v>0</v>
      </c>
      <c r="CL539" s="235">
        <f t="shared" si="2063"/>
        <v>0</v>
      </c>
      <c r="CM539" s="235">
        <f t="shared" si="2064"/>
        <v>0</v>
      </c>
      <c r="CN539" s="235">
        <f t="shared" si="2065"/>
        <v>0</v>
      </c>
      <c r="CO539" s="235">
        <f t="shared" si="2066"/>
        <v>0</v>
      </c>
      <c r="CP539" s="235">
        <f t="shared" si="2067"/>
        <v>0</v>
      </c>
      <c r="CQ539" s="235">
        <f t="shared" si="2068"/>
        <v>0</v>
      </c>
      <c r="CR539" s="235">
        <f t="shared" si="2069"/>
        <v>0</v>
      </c>
      <c r="CS539" s="235">
        <f t="shared" si="2070"/>
        <v>0</v>
      </c>
      <c r="CT539" s="235">
        <f t="shared" si="2071"/>
        <v>0</v>
      </c>
      <c r="CU539" s="235">
        <f t="shared" si="2072"/>
        <v>0</v>
      </c>
      <c r="CV539" s="235">
        <f t="shared" si="2073"/>
        <v>0</v>
      </c>
      <c r="CW539" s="235">
        <f t="shared" si="2074"/>
        <v>0</v>
      </c>
      <c r="CX539" s="235">
        <f t="shared" si="2075"/>
        <v>0</v>
      </c>
      <c r="CY539" s="235">
        <f t="shared" si="2076"/>
        <v>0</v>
      </c>
      <c r="CZ539" s="235">
        <f t="shared" si="2077"/>
        <v>0</v>
      </c>
      <c r="DA539" s="150"/>
      <c r="DG539" s="419">
        <v>-205.70000000000002</v>
      </c>
      <c r="DH539" s="502">
        <v>325.5</v>
      </c>
      <c r="DI539" s="419">
        <v>355.1</v>
      </c>
      <c r="DJ539" s="419">
        <v>309.33333333333337</v>
      </c>
      <c r="DK539" s="419">
        <v>309.33333333333343</v>
      </c>
      <c r="DL539" s="419">
        <v>309.33333333333343</v>
      </c>
      <c r="DM539" s="419">
        <v>309.33333333333343</v>
      </c>
      <c r="DN539" s="419">
        <v>309.33333333333343</v>
      </c>
      <c r="DO539" s="419">
        <v>309.33333333333343</v>
      </c>
      <c r="DP539" s="419">
        <v>309.33333333333343</v>
      </c>
      <c r="DQ539" s="1017">
        <v>309.33333333333343</v>
      </c>
      <c r="DR539" s="1017">
        <v>309.33333333333343</v>
      </c>
      <c r="DS539" s="1017">
        <v>309.33333333333343</v>
      </c>
      <c r="DT539" s="1017">
        <v>309.33333333333343</v>
      </c>
      <c r="DU539" s="1017">
        <v>309.33333333333343</v>
      </c>
      <c r="DV539" s="1017">
        <v>309.33333333333343</v>
      </c>
      <c r="DW539" s="1017">
        <v>309.33333333333343</v>
      </c>
      <c r="DX539" s="1017">
        <v>309.33333333333343</v>
      </c>
      <c r="DY539" s="1017">
        <v>309.33333333333343</v>
      </c>
      <c r="DZ539" s="1017"/>
      <c r="EA539" s="996"/>
    </row>
    <row r="540" spans="2:131" customFormat="1" hidden="1">
      <c r="B540" s="18" t="s">
        <v>4536</v>
      </c>
      <c r="C540" s="97" t="s">
        <v>1397</v>
      </c>
      <c r="D540" s="207"/>
      <c r="BG540" s="414">
        <f>+Model!BG199/BG$561</f>
        <v>8.1</v>
      </c>
      <c r="BH540" s="414">
        <f>+Model!BH199/BH$561</f>
        <v>31.9</v>
      </c>
      <c r="BI540" s="414">
        <f>+Model!BI199/BI$561</f>
        <v>87.4</v>
      </c>
      <c r="BJ540" s="414">
        <f>+Model!BJ199/BJ$561</f>
        <v>53.9</v>
      </c>
      <c r="BK540" s="414">
        <f>+Model!BK199/BK$561</f>
        <v>35</v>
      </c>
      <c r="BL540" s="414">
        <f>+Model!BL199/BL$561</f>
        <v>-7</v>
      </c>
      <c r="BM540" s="414">
        <f>+Model!BM199/BM$561</f>
        <v>0.1</v>
      </c>
      <c r="BN540" s="414">
        <f>+Model!BN199/BN$561</f>
        <v>-0.5</v>
      </c>
      <c r="BO540" s="414">
        <f>+Model!BO199/BO$561</f>
        <v>0</v>
      </c>
      <c r="BP540" s="414">
        <f ca="1">+Model!BP199/BP$561</f>
        <v>6.0116165266978801E-9</v>
      </c>
      <c r="BQ540" s="414">
        <f ca="1">+Model!BQ199/BQ$561</f>
        <v>8.2812287395641628E-9</v>
      </c>
      <c r="BR540" s="414">
        <f ca="1">+Model!BR199/BR$561</f>
        <v>9.7277576469615133E-9</v>
      </c>
      <c r="BS540" s="414">
        <f ca="1">+Model!BS199/BS$561</f>
        <v>1.0794875148775132E-8</v>
      </c>
      <c r="BT540" s="414">
        <f ca="1">+Model!BT199/BT$561</f>
        <v>1.2241752096101961E-8</v>
      </c>
      <c r="BU540" s="414">
        <f ca="1">+Model!BU199/BU$561</f>
        <v>1.3775985192296787E-8</v>
      </c>
      <c r="BV540" s="414">
        <f ca="1">+Model!BV199/BV$561</f>
        <v>1.5380796793869131E-8</v>
      </c>
      <c r="BW540" s="414">
        <f ca="1">+Model!BW199/BW$561</f>
        <v>1.7058907914248255E-8</v>
      </c>
      <c r="BX540" s="414">
        <f ca="1">+Model!BX199/BX$561</f>
        <v>1.8806123377004421E-8</v>
      </c>
      <c r="BY540" s="414">
        <f ca="1">+Model!BY199/BY$561</f>
        <v>2.0624227305939244E-8</v>
      </c>
      <c r="BZ540" s="414">
        <f ca="1">+Model!BZ199/BZ$561</f>
        <v>2.2516617390530108E-8</v>
      </c>
      <c r="CA540" s="414">
        <f ca="1">+Model!CA199/CA$561</f>
        <v>2.4490221964216829E-8</v>
      </c>
      <c r="CB540" s="414">
        <f ca="1">+Model!CB199/CB$561</f>
        <v>2.6550248506359342E-8</v>
      </c>
      <c r="CC540" s="414">
        <f ca="1">+Model!CC199/CC$561</f>
        <v>2.8696730593285847E-8</v>
      </c>
      <c r="CD540" s="414">
        <f ca="1">+Model!CD199/CD$561</f>
        <v>3.0933377673359788E-8</v>
      </c>
      <c r="CE540" s="414"/>
      <c r="CF540" s="430"/>
      <c r="CG540" s="235">
        <f t="shared" si="2059"/>
        <v>0</v>
      </c>
      <c r="CH540" s="235">
        <f t="shared" si="2060"/>
        <v>0</v>
      </c>
      <c r="CI540" s="235" t="e">
        <f>BM540-#REF!</f>
        <v>#REF!</v>
      </c>
      <c r="CJ540" s="235">
        <f t="shared" si="2061"/>
        <v>0</v>
      </c>
      <c r="CK540" s="235">
        <f t="shared" si="2062"/>
        <v>0</v>
      </c>
      <c r="CL540" s="235">
        <f t="shared" ca="1" si="2063"/>
        <v>0</v>
      </c>
      <c r="CM540" s="235">
        <f t="shared" ca="1" si="2064"/>
        <v>0</v>
      </c>
      <c r="CN540" s="235">
        <f t="shared" ca="1" si="2065"/>
        <v>0</v>
      </c>
      <c r="CO540" s="235">
        <f t="shared" ca="1" si="2066"/>
        <v>0</v>
      </c>
      <c r="CP540" s="235">
        <f t="shared" ca="1" si="2067"/>
        <v>0</v>
      </c>
      <c r="CQ540" s="235">
        <f t="shared" ca="1" si="2068"/>
        <v>0</v>
      </c>
      <c r="CR540" s="235">
        <f t="shared" ca="1" si="2069"/>
        <v>0</v>
      </c>
      <c r="CS540" s="235">
        <f t="shared" ca="1" si="2070"/>
        <v>0</v>
      </c>
      <c r="CT540" s="235">
        <f t="shared" ca="1" si="2071"/>
        <v>0</v>
      </c>
      <c r="CU540" s="235">
        <f t="shared" ca="1" si="2072"/>
        <v>0</v>
      </c>
      <c r="CV540" s="235">
        <f t="shared" ca="1" si="2073"/>
        <v>0</v>
      </c>
      <c r="CW540" s="235">
        <f t="shared" ca="1" si="2074"/>
        <v>2.6469779601696886E-23</v>
      </c>
      <c r="CX540" s="235">
        <f t="shared" ca="1" si="2075"/>
        <v>2.150669592637872E-22</v>
      </c>
      <c r="CY540" s="235">
        <f t="shared" ca="1" si="2076"/>
        <v>1.5451733842490557E-21</v>
      </c>
      <c r="CZ540" s="235">
        <f t="shared" ca="1" si="2077"/>
        <v>8.2321014561277314E-21</v>
      </c>
      <c r="DA540" s="150"/>
      <c r="DG540" s="419">
        <v>35</v>
      </c>
      <c r="DH540" s="502">
        <v>-7</v>
      </c>
      <c r="DI540" s="419">
        <v>-0.5</v>
      </c>
      <c r="DJ540" s="419">
        <v>0</v>
      </c>
      <c r="DK540" s="419">
        <v>6.0116165266978801E-9</v>
      </c>
      <c r="DL540" s="419">
        <v>8.2812287395641628E-9</v>
      </c>
      <c r="DM540" s="419">
        <v>9.7277576469615133E-9</v>
      </c>
      <c r="DN540" s="419">
        <v>1.0794875148775132E-8</v>
      </c>
      <c r="DO540" s="419">
        <v>1.2241752096101961E-8</v>
      </c>
      <c r="DP540" s="419">
        <v>1.377598519229678E-8</v>
      </c>
      <c r="DQ540" s="1017">
        <v>1.5380796793869125E-8</v>
      </c>
      <c r="DR540" s="1017">
        <v>1.7058907914248235E-8</v>
      </c>
      <c r="DS540" s="1017">
        <v>1.8806123377004405E-8</v>
      </c>
      <c r="DT540" s="1017">
        <v>2.0624227305939231E-8</v>
      </c>
      <c r="DU540" s="1017">
        <v>2.2516617390530098E-8</v>
      </c>
      <c r="DV540" s="1017">
        <v>2.4490221964216803E-8</v>
      </c>
      <c r="DW540" s="1017">
        <v>2.6550248506359127E-8</v>
      </c>
      <c r="DX540" s="1017">
        <v>2.8696730593284302E-8</v>
      </c>
      <c r="DY540" s="1017">
        <v>3.0933377673351555E-8</v>
      </c>
      <c r="DZ540" s="1017"/>
      <c r="EA540" s="996"/>
    </row>
    <row r="541" spans="2:131" customFormat="1" hidden="1">
      <c r="B541" s="18" t="s">
        <v>4307</v>
      </c>
      <c r="C541" s="97" t="s">
        <v>1398</v>
      </c>
      <c r="D541" s="207"/>
      <c r="BG541" s="414">
        <f>+Model!BG201/BG$561</f>
        <v>0</v>
      </c>
      <c r="BH541" s="414">
        <f>+Model!BH201/BH$561</f>
        <v>0</v>
      </c>
      <c r="BI541" s="414">
        <f>+Model!BI201/BI$561</f>
        <v>0</v>
      </c>
      <c r="BJ541" s="414">
        <f>+Model!BJ201/BJ$561</f>
        <v>0</v>
      </c>
      <c r="BK541" s="414">
        <f>+Model!BK201/BK$561</f>
        <v>0</v>
      </c>
      <c r="BL541" s="414">
        <f>+Model!BL201/BL$561</f>
        <v>0</v>
      </c>
      <c r="BM541" s="414">
        <f>+Model!BM201/BM$561</f>
        <v>0</v>
      </c>
      <c r="BN541" s="414">
        <f>+Model!BN201/BN$561</f>
        <v>0</v>
      </c>
      <c r="BO541" s="414">
        <f>+Model!BO201/BO$561</f>
        <v>0</v>
      </c>
      <c r="BP541" s="414">
        <f>+Model!BP201/BP$561</f>
        <v>0</v>
      </c>
      <c r="BQ541" s="414">
        <f>+Model!BQ201/BQ$561</f>
        <v>0</v>
      </c>
      <c r="BR541" s="414">
        <f>+Model!BR201/BR$561</f>
        <v>0</v>
      </c>
      <c r="BS541" s="414">
        <f>+Model!BS201/BS$561</f>
        <v>0</v>
      </c>
      <c r="BT541" s="414">
        <f>+Model!BT201/BT$561</f>
        <v>0</v>
      </c>
      <c r="BU541" s="414">
        <f>+Model!BU201/BU$561</f>
        <v>0</v>
      </c>
      <c r="BV541" s="414">
        <f>+Model!BV201/BV$561</f>
        <v>0</v>
      </c>
      <c r="BW541" s="414">
        <f>+Model!BW201/BW$561</f>
        <v>0</v>
      </c>
      <c r="BX541" s="414">
        <f>+Model!BX201/BX$561</f>
        <v>0</v>
      </c>
      <c r="BY541" s="414">
        <f>+Model!BY201/BY$561</f>
        <v>0</v>
      </c>
      <c r="BZ541" s="414">
        <f>+Model!BZ201/BZ$561</f>
        <v>0</v>
      </c>
      <c r="CA541" s="414">
        <f>+Model!CA201/CA$561</f>
        <v>0</v>
      </c>
      <c r="CB541" s="414">
        <f>+Model!CB201/CB$561</f>
        <v>0</v>
      </c>
      <c r="CC541" s="414">
        <f>+Model!CC201/CC$561</f>
        <v>0</v>
      </c>
      <c r="CD541" s="414">
        <f>+Model!CD201/CD$561</f>
        <v>0</v>
      </c>
      <c r="CE541" s="414"/>
      <c r="CF541" s="430"/>
      <c r="CG541" s="235">
        <f t="shared" si="2059"/>
        <v>0</v>
      </c>
      <c r="CH541" s="235">
        <f t="shared" si="2060"/>
        <v>0</v>
      </c>
      <c r="CI541" s="235" t="e">
        <f>BM541-#REF!</f>
        <v>#REF!</v>
      </c>
      <c r="CJ541" s="235">
        <f t="shared" si="2061"/>
        <v>0</v>
      </c>
      <c r="CK541" s="235">
        <f t="shared" si="2062"/>
        <v>0</v>
      </c>
      <c r="CL541" s="235">
        <f t="shared" si="2063"/>
        <v>0</v>
      </c>
      <c r="CM541" s="235">
        <f t="shared" si="2064"/>
        <v>0</v>
      </c>
      <c r="CN541" s="235">
        <f t="shared" si="2065"/>
        <v>0</v>
      </c>
      <c r="CO541" s="235">
        <f t="shared" si="2066"/>
        <v>0</v>
      </c>
      <c r="CP541" s="235">
        <f t="shared" si="2067"/>
        <v>0</v>
      </c>
      <c r="CQ541" s="235">
        <f t="shared" si="2068"/>
        <v>0</v>
      </c>
      <c r="CR541" s="235">
        <f t="shared" si="2069"/>
        <v>0</v>
      </c>
      <c r="CS541" s="235">
        <f t="shared" si="2070"/>
        <v>0</v>
      </c>
      <c r="CT541" s="235">
        <f t="shared" si="2071"/>
        <v>0</v>
      </c>
      <c r="CU541" s="235">
        <f t="shared" si="2072"/>
        <v>0</v>
      </c>
      <c r="CV541" s="235">
        <f t="shared" si="2073"/>
        <v>0</v>
      </c>
      <c r="CW541" s="235">
        <f t="shared" si="2074"/>
        <v>0</v>
      </c>
      <c r="CX541" s="235">
        <f t="shared" si="2075"/>
        <v>0</v>
      </c>
      <c r="CY541" s="235">
        <f t="shared" si="2076"/>
        <v>0</v>
      </c>
      <c r="CZ541" s="235">
        <f t="shared" si="2077"/>
        <v>0</v>
      </c>
      <c r="DA541" s="150"/>
      <c r="DG541" s="419">
        <v>0</v>
      </c>
      <c r="DH541" s="502">
        <v>0</v>
      </c>
      <c r="DI541" s="419">
        <v>0</v>
      </c>
      <c r="DJ541" s="419">
        <v>0</v>
      </c>
      <c r="DK541" s="419">
        <v>0</v>
      </c>
      <c r="DL541" s="419">
        <v>0</v>
      </c>
      <c r="DM541" s="419">
        <v>0</v>
      </c>
      <c r="DN541" s="419">
        <v>0</v>
      </c>
      <c r="DO541" s="419">
        <v>0</v>
      </c>
      <c r="DP541" s="419">
        <v>0</v>
      </c>
      <c r="DQ541" s="1017">
        <v>0</v>
      </c>
      <c r="DR541" s="1017">
        <v>0</v>
      </c>
      <c r="DS541" s="1017">
        <v>0</v>
      </c>
      <c r="DT541" s="1017">
        <v>0</v>
      </c>
      <c r="DU541" s="1017">
        <v>0</v>
      </c>
      <c r="DV541" s="1017">
        <v>0</v>
      </c>
      <c r="DW541" s="1017">
        <v>0</v>
      </c>
      <c r="DX541" s="1017">
        <v>0</v>
      </c>
      <c r="DY541" s="1017">
        <v>0</v>
      </c>
      <c r="DZ541" s="1017"/>
      <c r="EA541" s="996"/>
    </row>
    <row r="542" spans="2:131" customFormat="1" hidden="1">
      <c r="B542" s="18" t="s">
        <v>2277</v>
      </c>
      <c r="C542" s="97" t="s">
        <v>3499</v>
      </c>
      <c r="D542" s="207"/>
      <c r="BG542" s="414">
        <f>+Model!BG202/BG$561</f>
        <v>-98.1</v>
      </c>
      <c r="BH542" s="414">
        <f>+Model!BH202/BH$561</f>
        <v>12.2</v>
      </c>
      <c r="BI542" s="414">
        <f>+Model!BI202/BI$561</f>
        <v>-5.9</v>
      </c>
      <c r="BJ542" s="414">
        <f>+Model!BJ202/BJ$561</f>
        <v>66.400000000000006</v>
      </c>
      <c r="BK542" s="414">
        <f>+Model!BK202/BK$561</f>
        <v>120.70000000000002</v>
      </c>
      <c r="BL542" s="414">
        <f>+Model!BL202/BL$561</f>
        <v>103.4</v>
      </c>
      <c r="BM542" s="414">
        <f>+Model!BM202/BM$561</f>
        <v>164.9</v>
      </c>
      <c r="BN542" s="414">
        <f>+Model!BN202/BN$561</f>
        <v>79.7</v>
      </c>
      <c r="BO542" s="414">
        <f>+Model!BO202/BO$561</f>
        <v>110.93333333333332</v>
      </c>
      <c r="BP542" s="414">
        <f>+Model!BP202/BP$561</f>
        <v>120.1334435714286</v>
      </c>
      <c r="BQ542" s="414">
        <f>+Model!BQ202/BQ$561</f>
        <v>92.516096636595236</v>
      </c>
      <c r="BR542" s="414">
        <f>+Model!BR202/BR$561</f>
        <v>102.35479395480253</v>
      </c>
      <c r="BS542" s="414">
        <f>+Model!BS202/BS$561</f>
        <v>107.06997318194469</v>
      </c>
      <c r="BT542" s="414">
        <f>+Model!BT202/BT$561</f>
        <v>102.62969959655912</v>
      </c>
      <c r="BU542" s="414">
        <f>+Model!BU202/BU$561</f>
        <v>106.06731324265081</v>
      </c>
      <c r="BV542" s="414">
        <f>+Model!BV202/BV$561</f>
        <v>107.32919854859047</v>
      </c>
      <c r="BW542" s="414">
        <f>+Model!BW202/BW$561</f>
        <v>107.41730925071337</v>
      </c>
      <c r="BX542" s="414">
        <f>+Model!BX202/BX$561</f>
        <v>109.04461777216039</v>
      </c>
      <c r="BY542" s="414">
        <f>+Model!BY202/BY$561</f>
        <v>110.0566035817407</v>
      </c>
      <c r="BZ542" s="414">
        <f>+Model!BZ202/BZ$561</f>
        <v>110.98364855250848</v>
      </c>
      <c r="CA542" s="414">
        <f>+Model!CA202/CA$561</f>
        <v>112.19584728118862</v>
      </c>
      <c r="CB542" s="414">
        <f>+Model!CB202/CB$561</f>
        <v>113.26695019130732</v>
      </c>
      <c r="CC542" s="414">
        <f>+Model!CC202/CC$561</f>
        <v>114.35814700389902</v>
      </c>
      <c r="CD542" s="414">
        <f>+Model!CD202/CD$561</f>
        <v>115.50513902752667</v>
      </c>
      <c r="CE542" s="414"/>
      <c r="CF542" s="430"/>
      <c r="CG542" s="235">
        <f t="shared" si="2059"/>
        <v>0</v>
      </c>
      <c r="CH542" s="235">
        <f t="shared" si="2060"/>
        <v>0</v>
      </c>
      <c r="CI542" s="235" t="e">
        <f>BM542-#REF!</f>
        <v>#REF!</v>
      </c>
      <c r="CJ542" s="235">
        <f t="shared" si="2061"/>
        <v>0</v>
      </c>
      <c r="CK542" s="235">
        <f t="shared" si="2062"/>
        <v>0</v>
      </c>
      <c r="CL542" s="235">
        <f t="shared" si="2063"/>
        <v>0</v>
      </c>
      <c r="CM542" s="235">
        <f t="shared" si="2064"/>
        <v>0</v>
      </c>
      <c r="CN542" s="235">
        <f t="shared" si="2065"/>
        <v>0</v>
      </c>
      <c r="CO542" s="235">
        <f t="shared" si="2066"/>
        <v>0</v>
      </c>
      <c r="CP542" s="235">
        <f t="shared" si="2067"/>
        <v>0</v>
      </c>
      <c r="CQ542" s="235">
        <f t="shared" si="2068"/>
        <v>0</v>
      </c>
      <c r="CR542" s="235">
        <f t="shared" si="2069"/>
        <v>0</v>
      </c>
      <c r="CS542" s="235">
        <f t="shared" si="2070"/>
        <v>0</v>
      </c>
      <c r="CT542" s="235">
        <f t="shared" si="2071"/>
        <v>0</v>
      </c>
      <c r="CU542" s="235">
        <f t="shared" si="2072"/>
        <v>0</v>
      </c>
      <c r="CV542" s="235">
        <f t="shared" si="2073"/>
        <v>0</v>
      </c>
      <c r="CW542" s="235">
        <f t="shared" si="2074"/>
        <v>0</v>
      </c>
      <c r="CX542" s="235">
        <f t="shared" si="2075"/>
        <v>0</v>
      </c>
      <c r="CY542" s="235">
        <f t="shared" si="2076"/>
        <v>0</v>
      </c>
      <c r="CZ542" s="235">
        <f t="shared" si="2077"/>
        <v>0</v>
      </c>
      <c r="DA542" s="150"/>
      <c r="DG542" s="419">
        <v>120.70000000000002</v>
      </c>
      <c r="DH542" s="502">
        <v>103.4</v>
      </c>
      <c r="DI542" s="419">
        <v>79.7</v>
      </c>
      <c r="DJ542" s="419">
        <v>110.93333333333332</v>
      </c>
      <c r="DK542" s="419">
        <v>120.1334435714286</v>
      </c>
      <c r="DL542" s="419">
        <v>92.516096636595236</v>
      </c>
      <c r="DM542" s="419">
        <v>102.35479395480253</v>
      </c>
      <c r="DN542" s="419">
        <v>107.06997318194469</v>
      </c>
      <c r="DO542" s="419">
        <v>102.62969959655912</v>
      </c>
      <c r="DP542" s="419">
        <v>106.06731324265081</v>
      </c>
      <c r="DQ542" s="1017">
        <v>107.32919854859047</v>
      </c>
      <c r="DR542" s="1017">
        <v>107.41730925071337</v>
      </c>
      <c r="DS542" s="1017">
        <v>109.04461777216039</v>
      </c>
      <c r="DT542" s="1017">
        <v>110.0566035817407</v>
      </c>
      <c r="DU542" s="1017">
        <v>110.98364855250848</v>
      </c>
      <c r="DV542" s="1017">
        <v>112.19584728118862</v>
      </c>
      <c r="DW542" s="1017">
        <v>113.26695019130732</v>
      </c>
      <c r="DX542" s="1017">
        <v>114.35814700389902</v>
      </c>
      <c r="DY542" s="1017">
        <v>115.50513902752667</v>
      </c>
      <c r="DZ542" s="1017"/>
      <c r="EA542" s="996"/>
    </row>
    <row r="543" spans="2:131" customFormat="1" hidden="1">
      <c r="B543" s="133" t="s">
        <v>1080</v>
      </c>
      <c r="C543" s="19"/>
      <c r="D543" s="218"/>
      <c r="BG543" s="414" t="s">
        <v>2219</v>
      </c>
      <c r="BH543" s="414"/>
      <c r="BI543" s="414"/>
      <c r="BJ543" s="414"/>
      <c r="BK543" s="414"/>
      <c r="BL543" s="414"/>
      <c r="BM543" s="414"/>
      <c r="BN543" s="414"/>
      <c r="BO543" s="414"/>
      <c r="BP543" s="414"/>
      <c r="BQ543" s="414"/>
      <c r="BR543" s="414"/>
      <c r="BS543" s="414"/>
      <c r="BT543" s="414"/>
      <c r="BU543" s="414"/>
      <c r="BV543" s="414"/>
      <c r="BW543" s="414"/>
      <c r="BX543" s="414"/>
      <c r="BY543" s="414"/>
      <c r="BZ543" s="414"/>
      <c r="CA543" s="414"/>
      <c r="CB543" s="414"/>
      <c r="CC543" s="414"/>
      <c r="CD543" s="414"/>
      <c r="CE543" s="414"/>
      <c r="CF543" s="430"/>
      <c r="CG543" s="235">
        <f t="shared" si="2059"/>
        <v>0</v>
      </c>
      <c r="CH543" s="235">
        <f t="shared" si="2060"/>
        <v>0</v>
      </c>
      <c r="CI543" s="235" t="e">
        <f>BM543-#REF!</f>
        <v>#REF!</v>
      </c>
      <c r="CJ543" s="235">
        <f t="shared" si="2061"/>
        <v>0</v>
      </c>
      <c r="CK543" s="235">
        <f t="shared" si="2062"/>
        <v>0</v>
      </c>
      <c r="CL543" s="235">
        <f t="shared" si="2063"/>
        <v>0</v>
      </c>
      <c r="CM543" s="235">
        <f t="shared" si="2064"/>
        <v>0</v>
      </c>
      <c r="CN543" s="235">
        <f t="shared" si="2065"/>
        <v>0</v>
      </c>
      <c r="CO543" s="235">
        <f t="shared" si="2066"/>
        <v>0</v>
      </c>
      <c r="CP543" s="235">
        <f t="shared" si="2067"/>
        <v>0</v>
      </c>
      <c r="CQ543" s="235">
        <f t="shared" si="2068"/>
        <v>0</v>
      </c>
      <c r="CR543" s="235">
        <f t="shared" si="2069"/>
        <v>0</v>
      </c>
      <c r="CS543" s="235">
        <f t="shared" si="2070"/>
        <v>0</v>
      </c>
      <c r="CT543" s="235">
        <f t="shared" si="2071"/>
        <v>0</v>
      </c>
      <c r="CU543" s="235">
        <f t="shared" si="2072"/>
        <v>0</v>
      </c>
      <c r="CV543" s="235">
        <f t="shared" si="2073"/>
        <v>0</v>
      </c>
      <c r="CW543" s="235">
        <f t="shared" si="2074"/>
        <v>0</v>
      </c>
      <c r="CX543" s="235">
        <f t="shared" si="2075"/>
        <v>0</v>
      </c>
      <c r="CY543" s="235">
        <f t="shared" si="2076"/>
        <v>0</v>
      </c>
      <c r="CZ543" s="235">
        <f t="shared" si="2077"/>
        <v>0</v>
      </c>
      <c r="DA543" s="150"/>
      <c r="DG543" s="419"/>
      <c r="DH543" s="502"/>
      <c r="DI543" s="419"/>
      <c r="DJ543" s="419"/>
      <c r="DK543" s="419"/>
      <c r="DL543" s="419"/>
      <c r="DM543" s="419"/>
      <c r="DN543" s="419"/>
      <c r="DO543" s="419"/>
      <c r="DP543" s="419"/>
      <c r="DQ543" s="1017"/>
      <c r="DR543" s="1017"/>
      <c r="DS543" s="1017"/>
      <c r="DT543" s="1017"/>
      <c r="DU543" s="1017"/>
      <c r="DV543" s="1017"/>
      <c r="DW543" s="1017"/>
      <c r="DX543" s="1017"/>
      <c r="DY543" s="1017"/>
      <c r="DZ543" s="1017"/>
      <c r="EA543" s="996"/>
    </row>
    <row r="544" spans="2:131" customFormat="1" hidden="1">
      <c r="B544" s="80" t="s">
        <v>1571</v>
      </c>
      <c r="C544" s="51" t="s">
        <v>1680</v>
      </c>
      <c r="D544" s="207"/>
      <c r="BG544" s="414">
        <f>+Model!BG204/BG$561</f>
        <v>324.60000000000019</v>
      </c>
      <c r="BH544" s="414">
        <f>+Model!BH204/BH$561</f>
        <v>324.69999999999982</v>
      </c>
      <c r="BI544" s="414">
        <f>+Model!BI204/BI$561</f>
        <v>111.3</v>
      </c>
      <c r="BJ544" s="414">
        <f>+Model!BJ204/BJ$561</f>
        <v>650.69999999999982</v>
      </c>
      <c r="BK544" s="414">
        <f>+Model!BK204/BK$561</f>
        <v>431.4000000000002</v>
      </c>
      <c r="BL544" s="414">
        <f>+Model!BL204/BL$561</f>
        <v>169.10000000000056</v>
      </c>
      <c r="BM544" s="414">
        <f>+Model!BM204/BM$561</f>
        <v>-175.7000000000003</v>
      </c>
      <c r="BN544" s="414">
        <f>+Model!BN204/BN$561</f>
        <v>-385.90000000000015</v>
      </c>
      <c r="BO544" s="414">
        <f>+Model!BO204/BO$561</f>
        <v>-658.66666666666652</v>
      </c>
      <c r="BP544" s="414">
        <f ca="1">+Model!BP204/BP$561</f>
        <v>-565.43395866451169</v>
      </c>
      <c r="BQ544" s="414">
        <f ca="1">+Model!BQ204/BQ$561</f>
        <v>-366.07040180948508</v>
      </c>
      <c r="BR544" s="414">
        <f ca="1">+Model!BR204/BR$561</f>
        <v>-404.52919897993445</v>
      </c>
      <c r="BS544" s="414">
        <f ca="1">+Model!BS204/BS$561</f>
        <v>-531.09213584104009</v>
      </c>
      <c r="BT544" s="414">
        <f ca="1">+Model!BT204/BT$561</f>
        <v>-615.06510936424445</v>
      </c>
      <c r="BU544" s="414">
        <f ca="1">+Model!BU204/BU$561</f>
        <v>-715.55126964341343</v>
      </c>
      <c r="BV544" s="414">
        <f ca="1">+Model!BV204/BV$561</f>
        <v>-818.07258333952132</v>
      </c>
      <c r="BW544" s="414">
        <f ca="1">+Model!BW204/BW$561</f>
        <v>-931.23425593783293</v>
      </c>
      <c r="BX544" s="414">
        <f ca="1">+Model!BX204/BX$561</f>
        <v>-1057.1838723663216</v>
      </c>
      <c r="BY544" s="414">
        <f ca="1">+Model!BY204/BY$561</f>
        <v>-1197.8359633960429</v>
      </c>
      <c r="BZ544" s="414">
        <f ca="1">+Model!BZ204/BZ$561</f>
        <v>-1333.9511260006573</v>
      </c>
      <c r="CA544" s="414">
        <f ca="1">+Model!CA204/CA$561</f>
        <v>-1489.6597416940738</v>
      </c>
      <c r="CB544" s="414">
        <f ca="1">+Model!CB204/CB$561</f>
        <v>-1662.136602073942</v>
      </c>
      <c r="CC544" s="414">
        <f ca="1">+Model!CC204/CC$561</f>
        <v>-1853.7025665270637</v>
      </c>
      <c r="CD544" s="414">
        <f ca="1">+Model!CD204/CD$561</f>
        <v>-2067.0378175698379</v>
      </c>
      <c r="CE544" s="414"/>
      <c r="CF544" s="430"/>
      <c r="CG544" s="235">
        <f t="shared" si="2059"/>
        <v>180.20000000000044</v>
      </c>
      <c r="CH544" s="235">
        <f t="shared" si="2060"/>
        <v>5.3000000000000114</v>
      </c>
      <c r="CI544" s="235" t="e">
        <f>BM544-#REF!</f>
        <v>#REF!</v>
      </c>
      <c r="CJ544" s="235">
        <f t="shared" si="2061"/>
        <v>0</v>
      </c>
      <c r="CK544" s="235">
        <f t="shared" si="2062"/>
        <v>0</v>
      </c>
      <c r="CL544" s="235">
        <f t="shared" ca="1" si="2063"/>
        <v>-9.0949470177292824E-13</v>
      </c>
      <c r="CM544" s="235">
        <f t="shared" ca="1" si="2064"/>
        <v>-1.4210854715202004E-12</v>
      </c>
      <c r="CN544" s="235">
        <f t="shared" ca="1" si="2065"/>
        <v>-1.4210854715202004E-12</v>
      </c>
      <c r="CO544" s="235">
        <f t="shared" ca="1" si="2066"/>
        <v>-1.4779288903810084E-12</v>
      </c>
      <c r="CP544" s="235">
        <f t="shared" ca="1" si="2067"/>
        <v>-1.8189894035458565E-12</v>
      </c>
      <c r="CQ544" s="235">
        <f t="shared" ca="1" si="2068"/>
        <v>-1.9326762412674725E-12</v>
      </c>
      <c r="CR544" s="235">
        <f t="shared" ca="1" si="2069"/>
        <v>-3.637978807091713E-12</v>
      </c>
      <c r="CS544" s="235">
        <f t="shared" ca="1" si="2070"/>
        <v>-5.4569682106375694E-12</v>
      </c>
      <c r="CT544" s="235">
        <f t="shared" ca="1" si="2071"/>
        <v>-5.4569682106375694E-12</v>
      </c>
      <c r="CU544" s="235">
        <f t="shared" ca="1" si="2072"/>
        <v>-4.5474735088646412E-12</v>
      </c>
      <c r="CV544" s="235">
        <f t="shared" ca="1" si="2073"/>
        <v>-5.0022208597511053E-12</v>
      </c>
      <c r="CW544" s="235">
        <f t="shared" ca="1" si="2074"/>
        <v>0</v>
      </c>
      <c r="CX544" s="235">
        <f t="shared" ca="1" si="2075"/>
        <v>1.0277290130034089E-10</v>
      </c>
      <c r="CY544" s="235">
        <f t="shared" ca="1" si="2076"/>
        <v>1.0970779840135947E-9</v>
      </c>
      <c r="CZ544" s="235">
        <f t="shared" ca="1" si="2077"/>
        <v>8.7061380327213556E-9</v>
      </c>
      <c r="DA544" s="150"/>
      <c r="DG544" s="419">
        <v>251.19999999999976</v>
      </c>
      <c r="DH544" s="502">
        <v>163.80000000000055</v>
      </c>
      <c r="DI544" s="419">
        <v>-385.90000000000015</v>
      </c>
      <c r="DJ544" s="419">
        <v>-658.66666666666652</v>
      </c>
      <c r="DK544" s="419">
        <v>-565.43395866451078</v>
      </c>
      <c r="DL544" s="419">
        <v>-366.07040180948366</v>
      </c>
      <c r="DM544" s="419">
        <v>-404.52919897993303</v>
      </c>
      <c r="DN544" s="419">
        <v>-531.09213584103861</v>
      </c>
      <c r="DO544" s="419">
        <v>-615.06510936424263</v>
      </c>
      <c r="DP544" s="419">
        <v>-715.5512696434115</v>
      </c>
      <c r="DQ544" s="1017">
        <v>-818.07258333951768</v>
      </c>
      <c r="DR544" s="1017">
        <v>-931.23425593782747</v>
      </c>
      <c r="DS544" s="1017">
        <v>-1057.1838723663161</v>
      </c>
      <c r="DT544" s="1017">
        <v>-1197.8359633960383</v>
      </c>
      <c r="DU544" s="1017">
        <v>-1333.9511260006523</v>
      </c>
      <c r="DV544" s="1017">
        <v>-1489.6597416940742</v>
      </c>
      <c r="DW544" s="1017">
        <v>-1662.1366020740447</v>
      </c>
      <c r="DX544" s="1017">
        <v>-1853.7025665281608</v>
      </c>
      <c r="DY544" s="1017">
        <v>-2067.037817578544</v>
      </c>
      <c r="DZ544" s="1017"/>
      <c r="EA544" s="996"/>
    </row>
    <row r="545" spans="2:131" customFormat="1" hidden="1">
      <c r="B545" s="80" t="s">
        <v>548</v>
      </c>
      <c r="C545" s="51" t="s">
        <v>1681</v>
      </c>
      <c r="D545" s="207"/>
      <c r="BG545" s="414">
        <f>+Model!BG205/BG$561</f>
        <v>-358.29999999999995</v>
      </c>
      <c r="BH545" s="414">
        <f>+Model!BH205/BH$561</f>
        <v>-16.399999999999977</v>
      </c>
      <c r="BI545" s="414">
        <f>+Model!BI205/BI$561</f>
        <v>-53.800000000000054</v>
      </c>
      <c r="BJ545" s="414">
        <f>+Model!BJ205/BJ$561</f>
        <v>-447.7</v>
      </c>
      <c r="BK545" s="414">
        <f>+Model!BK205/BK$561</f>
        <v>-49.900000000000041</v>
      </c>
      <c r="BL545" s="414">
        <f>+Model!BL205/BL$561</f>
        <v>421.9</v>
      </c>
      <c r="BM545" s="414">
        <f>+Model!BM205/BM$561</f>
        <v>386.40000000000009</v>
      </c>
      <c r="BN545" s="414">
        <f>+Model!BN205/BN$561</f>
        <v>434.30000000000007</v>
      </c>
      <c r="BO545" s="414">
        <f>+Model!BO205/BO$561</f>
        <v>420.26666666666671</v>
      </c>
      <c r="BP545" s="414">
        <f ca="1">+Model!BP205/BP$561</f>
        <v>429.46677691077366</v>
      </c>
      <c r="BQ545" s="414">
        <f ca="1">+Model!BQ205/BQ$561</f>
        <v>401.84942997820986</v>
      </c>
      <c r="BR545" s="414">
        <f ca="1">+Model!BR205/BR$561</f>
        <v>411.68812729786373</v>
      </c>
      <c r="BS545" s="414">
        <f ca="1">+Model!BS205/BS$561</f>
        <v>416.40330652607304</v>
      </c>
      <c r="BT545" s="414">
        <f ca="1">+Model!BT205/BT$561</f>
        <v>411.9630329421343</v>
      </c>
      <c r="BU545" s="414">
        <f ca="1">+Model!BU205/BU$561</f>
        <v>415.40064658976024</v>
      </c>
      <c r="BV545" s="414">
        <f ca="1">+Model!BV205/BV$561</f>
        <v>416.66253189730475</v>
      </c>
      <c r="BW545" s="414">
        <f ca="1">+Model!BW205/BW$561</f>
        <v>416.75064260110577</v>
      </c>
      <c r="BX545" s="414">
        <f ca="1">+Model!BX205/BX$561</f>
        <v>418.37795112429995</v>
      </c>
      <c r="BY545" s="414">
        <f ca="1">+Model!BY205/BY$561</f>
        <v>419.38993693569842</v>
      </c>
      <c r="BZ545" s="414">
        <f ca="1">+Model!BZ205/BZ$561</f>
        <v>420.31698190835851</v>
      </c>
      <c r="CA545" s="414">
        <f ca="1">+Model!CA205/CA$561</f>
        <v>421.52918063901228</v>
      </c>
      <c r="CB545" s="414">
        <f ca="1">+Model!CB205/CB$561</f>
        <v>422.60028355119101</v>
      </c>
      <c r="CC545" s="414">
        <f ca="1">+Model!CC205/CC$561</f>
        <v>423.69148036592918</v>
      </c>
      <c r="CD545" s="414">
        <f ca="1">+Model!CD205/CD$561</f>
        <v>424.83847239179352</v>
      </c>
      <c r="CE545" s="414"/>
      <c r="CF545" s="430"/>
      <c r="CG545" s="235">
        <f t="shared" si="2059"/>
        <v>9.9999999999972999E-2</v>
      </c>
      <c r="CH545" s="235">
        <f t="shared" si="2060"/>
        <v>0</v>
      </c>
      <c r="CI545" s="235" t="e">
        <f>BM545-#REF!</f>
        <v>#REF!</v>
      </c>
      <c r="CJ545" s="235">
        <f t="shared" si="2061"/>
        <v>0</v>
      </c>
      <c r="CK545" s="235">
        <f t="shared" si="2062"/>
        <v>0</v>
      </c>
      <c r="CL545" s="235">
        <f t="shared" ca="1" si="2063"/>
        <v>0</v>
      </c>
      <c r="CM545" s="235">
        <f t="shared" ca="1" si="2064"/>
        <v>0</v>
      </c>
      <c r="CN545" s="235">
        <f t="shared" ca="1" si="2065"/>
        <v>0</v>
      </c>
      <c r="CO545" s="235">
        <f t="shared" ca="1" si="2066"/>
        <v>0</v>
      </c>
      <c r="CP545" s="235">
        <f t="shared" ca="1" si="2067"/>
        <v>0</v>
      </c>
      <c r="CQ545" s="235">
        <f t="shared" ca="1" si="2068"/>
        <v>0</v>
      </c>
      <c r="CR545" s="235">
        <f t="shared" ca="1" si="2069"/>
        <v>0</v>
      </c>
      <c r="CS545" s="235">
        <f t="shared" ca="1" si="2070"/>
        <v>0</v>
      </c>
      <c r="CT545" s="235">
        <f t="shared" ca="1" si="2071"/>
        <v>0</v>
      </c>
      <c r="CU545" s="235">
        <f t="shared" ca="1" si="2072"/>
        <v>0</v>
      </c>
      <c r="CV545" s="235">
        <f t="shared" ca="1" si="2073"/>
        <v>0</v>
      </c>
      <c r="CW545" s="235">
        <f t="shared" ca="1" si="2074"/>
        <v>0</v>
      </c>
      <c r="CX545" s="235">
        <f t="shared" ca="1" si="2075"/>
        <v>0</v>
      </c>
      <c r="CY545" s="235">
        <f t="shared" ca="1" si="2076"/>
        <v>0</v>
      </c>
      <c r="CZ545" s="235">
        <f t="shared" ca="1" si="2077"/>
        <v>0</v>
      </c>
      <c r="DA545" s="150"/>
      <c r="DG545" s="419">
        <v>-50.000000000000014</v>
      </c>
      <c r="DH545" s="502">
        <v>421.9</v>
      </c>
      <c r="DI545" s="419">
        <v>434.30000000000007</v>
      </c>
      <c r="DJ545" s="419">
        <v>420.26666666666671</v>
      </c>
      <c r="DK545" s="419">
        <v>429.46677691077366</v>
      </c>
      <c r="DL545" s="419">
        <v>401.84942997820986</v>
      </c>
      <c r="DM545" s="419">
        <v>411.68812729786373</v>
      </c>
      <c r="DN545" s="419">
        <v>416.40330652607304</v>
      </c>
      <c r="DO545" s="419">
        <v>411.9630329421343</v>
      </c>
      <c r="DP545" s="419">
        <v>415.40064658976024</v>
      </c>
      <c r="DQ545" s="1017">
        <v>416.66253189730475</v>
      </c>
      <c r="DR545" s="1017">
        <v>416.75064260110577</v>
      </c>
      <c r="DS545" s="1017">
        <v>418.37795112429995</v>
      </c>
      <c r="DT545" s="1017">
        <v>419.38993693569842</v>
      </c>
      <c r="DU545" s="1017">
        <v>420.31698190835851</v>
      </c>
      <c r="DV545" s="1017">
        <v>421.52918063901228</v>
      </c>
      <c r="DW545" s="1017">
        <v>422.60028355119101</v>
      </c>
      <c r="DX545" s="1017">
        <v>423.69148036592918</v>
      </c>
      <c r="DY545" s="1017">
        <v>424.83847239179352</v>
      </c>
      <c r="DZ545" s="1017"/>
      <c r="EA545" s="996"/>
    </row>
    <row r="546" spans="2:131" customFormat="1" hidden="1">
      <c r="B546" s="80" t="s">
        <v>549</v>
      </c>
      <c r="C546" s="51" t="s">
        <v>2607</v>
      </c>
      <c r="D546" s="207"/>
      <c r="BG546" s="414">
        <f>+Model!BG206/BG$561</f>
        <v>179.79999999999987</v>
      </c>
      <c r="BH546" s="414">
        <f>+Model!BH206/BH$561</f>
        <v>-99.899999999999963</v>
      </c>
      <c r="BI546" s="414">
        <f>+Model!BI206/BI$561</f>
        <v>-18.999999999999829</v>
      </c>
      <c r="BJ546" s="414">
        <f>+Model!BJ206/BJ$561</f>
        <v>-167.99999999999983</v>
      </c>
      <c r="BK546" s="414">
        <f>+Model!BK206/BK$561</f>
        <v>-257.40000000000009</v>
      </c>
      <c r="BL546" s="414">
        <f>+Model!BL206/BL$561</f>
        <v>-410.89999999999975</v>
      </c>
      <c r="BM546" s="414">
        <f>+Model!BM206/BM$561</f>
        <v>-359.50000000000006</v>
      </c>
      <c r="BN546" s="414">
        <f>+Model!BN206/BN$561</f>
        <v>-199.60000000000011</v>
      </c>
      <c r="BO546" s="414">
        <f>+Model!BO206/BO$561</f>
        <v>-43.466666666666526</v>
      </c>
      <c r="BP546" s="414">
        <f>+Model!BP206/BP$561</f>
        <v>-34.669841269841157</v>
      </c>
      <c r="BQ546" s="414">
        <f>+Model!BQ206/BQ$561</f>
        <v>-34.669841269841157</v>
      </c>
      <c r="BR546" s="414">
        <f>+Model!BR206/BR$561</f>
        <v>-34.669841269841157</v>
      </c>
      <c r="BS546" s="414">
        <f>+Model!BS206/BS$561</f>
        <v>-34.669841269841157</v>
      </c>
      <c r="BT546" s="414">
        <f>+Model!BT206/BT$561</f>
        <v>-34.669841269841157</v>
      </c>
      <c r="BU546" s="414">
        <f>+Model!BU206/BU$561</f>
        <v>-34.669841269841157</v>
      </c>
      <c r="BV546" s="414">
        <f>+Model!BV206/BV$561</f>
        <v>-34.669841269841157</v>
      </c>
      <c r="BW546" s="414">
        <f>+Model!BW206/BW$561</f>
        <v>-34.669841269841157</v>
      </c>
      <c r="BX546" s="414">
        <f>+Model!BX206/BX$561</f>
        <v>-34.669841269841157</v>
      </c>
      <c r="BY546" s="414">
        <f>+Model!BY206/BY$561</f>
        <v>-34.669841269841157</v>
      </c>
      <c r="BZ546" s="414">
        <f>+Model!BZ206/BZ$561</f>
        <v>-34.669841269841157</v>
      </c>
      <c r="CA546" s="414">
        <f>+Model!CA206/CA$561</f>
        <v>-34.669841269841157</v>
      </c>
      <c r="CB546" s="414">
        <f>+Model!CB206/CB$561</f>
        <v>-34.669841269841157</v>
      </c>
      <c r="CC546" s="414">
        <f>+Model!CC206/CC$561</f>
        <v>-34.669841269841157</v>
      </c>
      <c r="CD546" s="414">
        <f>+Model!CD206/CD$561</f>
        <v>-34.669841269841157</v>
      </c>
      <c r="CE546" s="414"/>
      <c r="CF546" s="430"/>
      <c r="CG546" s="235">
        <f t="shared" si="2059"/>
        <v>-180.30000000000021</v>
      </c>
      <c r="CH546" s="235">
        <f t="shared" si="2060"/>
        <v>-5.2999999999996135</v>
      </c>
      <c r="CI546" s="235" t="e">
        <f>BM546-#REF!</f>
        <v>#REF!</v>
      </c>
      <c r="CJ546" s="235">
        <f t="shared" si="2061"/>
        <v>0</v>
      </c>
      <c r="CK546" s="235">
        <f t="shared" si="2062"/>
        <v>0</v>
      </c>
      <c r="CL546" s="235">
        <f t="shared" si="2063"/>
        <v>0</v>
      </c>
      <c r="CM546" s="235">
        <f t="shared" si="2064"/>
        <v>0</v>
      </c>
      <c r="CN546" s="235">
        <f t="shared" si="2065"/>
        <v>0</v>
      </c>
      <c r="CO546" s="235">
        <f t="shared" si="2066"/>
        <v>0</v>
      </c>
      <c r="CP546" s="235">
        <f t="shared" si="2067"/>
        <v>0</v>
      </c>
      <c r="CQ546" s="235">
        <f t="shared" si="2068"/>
        <v>0</v>
      </c>
      <c r="CR546" s="235">
        <f t="shared" si="2069"/>
        <v>0</v>
      </c>
      <c r="CS546" s="235">
        <f t="shared" si="2070"/>
        <v>0</v>
      </c>
      <c r="CT546" s="235">
        <f t="shared" si="2071"/>
        <v>0</v>
      </c>
      <c r="CU546" s="235">
        <f t="shared" si="2072"/>
        <v>0</v>
      </c>
      <c r="CV546" s="235">
        <f t="shared" si="2073"/>
        <v>0</v>
      </c>
      <c r="CW546" s="235">
        <f t="shared" si="2074"/>
        <v>0</v>
      </c>
      <c r="CX546" s="235">
        <f t="shared" si="2075"/>
        <v>0</v>
      </c>
      <c r="CY546" s="235">
        <f t="shared" si="2076"/>
        <v>0</v>
      </c>
      <c r="CZ546" s="235">
        <f t="shared" si="2077"/>
        <v>0</v>
      </c>
      <c r="DA546" s="150"/>
      <c r="DG546" s="419">
        <v>-77.099999999999881</v>
      </c>
      <c r="DH546" s="502">
        <v>-405.60000000000014</v>
      </c>
      <c r="DI546" s="419">
        <v>-199.60000000000011</v>
      </c>
      <c r="DJ546" s="419">
        <v>-43.466666666666526</v>
      </c>
      <c r="DK546" s="419">
        <v>-34.669841269841157</v>
      </c>
      <c r="DL546" s="419">
        <v>-34.669841269841157</v>
      </c>
      <c r="DM546" s="419">
        <v>-34.669841269841157</v>
      </c>
      <c r="DN546" s="419">
        <v>-34.669841269841157</v>
      </c>
      <c r="DO546" s="419">
        <v>-34.669841269841157</v>
      </c>
      <c r="DP546" s="419">
        <v>-34.669841269841157</v>
      </c>
      <c r="DQ546" s="1017">
        <v>-34.669841269841157</v>
      </c>
      <c r="DR546" s="1017">
        <v>-34.669841269841157</v>
      </c>
      <c r="DS546" s="1017">
        <v>-34.669841269841157</v>
      </c>
      <c r="DT546" s="1017">
        <v>-34.669841269841157</v>
      </c>
      <c r="DU546" s="1017">
        <v>-34.669841269841157</v>
      </c>
      <c r="DV546" s="1017">
        <v>-34.669841269841157</v>
      </c>
      <c r="DW546" s="1017">
        <v>-34.669841269841157</v>
      </c>
      <c r="DX546" s="1017">
        <v>-34.669841269841157</v>
      </c>
      <c r="DY546" s="1017">
        <v>-34.669841269841157</v>
      </c>
      <c r="DZ546" s="1017"/>
      <c r="EA546" s="996"/>
    </row>
    <row r="547" spans="2:131" customFormat="1" hidden="1">
      <c r="B547" s="80" t="s">
        <v>1703</v>
      </c>
      <c r="C547" s="51" t="s">
        <v>941</v>
      </c>
      <c r="D547" s="207"/>
      <c r="BG547" s="414">
        <f>+Model!BG208/BG$561</f>
        <v>146.10000000000008</v>
      </c>
      <c r="BH547" s="414">
        <f>+Model!BH208/BH$561</f>
        <v>208.39999999999986</v>
      </c>
      <c r="BI547" s="414">
        <f>+Model!BI208/BI$561</f>
        <v>38.500000000000107</v>
      </c>
      <c r="BJ547" s="414">
        <f>+Model!BJ208/BJ$561</f>
        <v>35</v>
      </c>
      <c r="BK547" s="414">
        <f>+Model!BK208/BK$561</f>
        <v>124.10000000000005</v>
      </c>
      <c r="BL547" s="414">
        <f>+Model!BL208/BL$561</f>
        <v>180.10000000000082</v>
      </c>
      <c r="BM547" s="414">
        <f>+Model!BM208/BM$561</f>
        <v>-148.8000000000003</v>
      </c>
      <c r="BN547" s="414">
        <f>+Model!BN208/BN$561</f>
        <v>-151.20000000000022</v>
      </c>
      <c r="BO547" s="414">
        <f>+Model!BO208/BO$561</f>
        <v>-281.86666666666633</v>
      </c>
      <c r="BP547" s="414">
        <f ca="1">+Model!BP208/BP$561</f>
        <v>-170.63702302357919</v>
      </c>
      <c r="BQ547" s="414">
        <f ca="1">+Model!BQ208/BQ$561</f>
        <v>1.1091868988836562</v>
      </c>
      <c r="BR547" s="414">
        <f ca="1">+Model!BR208/BR$561</f>
        <v>-27.510912951911902</v>
      </c>
      <c r="BS547" s="414">
        <f ca="1">+Model!BS208/BS$561</f>
        <v>-149.35867058480824</v>
      </c>
      <c r="BT547" s="414">
        <f ca="1">+Model!BT208/BT$561</f>
        <v>-237.7719176919513</v>
      </c>
      <c r="BU547" s="414">
        <f ca="1">+Model!BU208/BU$561</f>
        <v>-334.82046432349443</v>
      </c>
      <c r="BV547" s="414">
        <f ca="1">+Model!BV208/BV$561</f>
        <v>-436.0798927120577</v>
      </c>
      <c r="BW547" s="414">
        <f ca="1">+Model!BW208/BW$561</f>
        <v>-549.15345460656829</v>
      </c>
      <c r="BX547" s="414">
        <f ca="1">+Model!BX208/BX$561</f>
        <v>-673.47576251186263</v>
      </c>
      <c r="BY547" s="414">
        <f ca="1">+Model!BY208/BY$561</f>
        <v>-813.11586773018564</v>
      </c>
      <c r="BZ547" s="414">
        <f ca="1">+Model!BZ208/BZ$561</f>
        <v>-948.30398536213988</v>
      </c>
      <c r="CA547" s="414">
        <f ca="1">+Model!CA208/CA$561</f>
        <v>-1102.8004023249027</v>
      </c>
      <c r="CB547" s="414">
        <f ca="1">+Model!CB208/CB$561</f>
        <v>-1274.206159792592</v>
      </c>
      <c r="CC547" s="414">
        <f ca="1">+Model!CC208/CC$561</f>
        <v>-1464.6809274309758</v>
      </c>
      <c r="CD547" s="414">
        <f ca="1">+Model!CD208/CD$561</f>
        <v>-1676.8691864478853</v>
      </c>
      <c r="CE547" s="414"/>
      <c r="CF547" s="430"/>
      <c r="CG547" s="235">
        <f t="shared" si="2059"/>
        <v>1.7053025658242404E-13</v>
      </c>
      <c r="CH547" s="235">
        <f t="shared" si="2060"/>
        <v>3.979039320256561E-13</v>
      </c>
      <c r="CI547" s="235" t="e">
        <f>BM547-#REF!</f>
        <v>#REF!</v>
      </c>
      <c r="CJ547" s="235">
        <f t="shared" si="2061"/>
        <v>0</v>
      </c>
      <c r="CK547" s="235">
        <f t="shared" si="2062"/>
        <v>0</v>
      </c>
      <c r="CL547" s="235">
        <f t="shared" ca="1" si="2063"/>
        <v>-8.8107299234252423E-13</v>
      </c>
      <c r="CM547" s="235">
        <f t="shared" ca="1" si="2064"/>
        <v>-1.4075407506197735E-12</v>
      </c>
      <c r="CN547" s="235">
        <f t="shared" ca="1" si="2065"/>
        <v>-1.4601653219870059E-12</v>
      </c>
      <c r="CO547" s="235">
        <f t="shared" ca="1" si="2066"/>
        <v>-1.5347723092418164E-12</v>
      </c>
      <c r="CP547" s="235">
        <f t="shared" ca="1" si="2067"/>
        <v>-1.8474111129762605E-12</v>
      </c>
      <c r="CQ547" s="235">
        <f t="shared" ca="1" si="2068"/>
        <v>-1.9895196601282805E-12</v>
      </c>
      <c r="CR547" s="235">
        <f t="shared" ca="1" si="2069"/>
        <v>-3.5811353882309049E-12</v>
      </c>
      <c r="CS547" s="235">
        <f t="shared" ca="1" si="2070"/>
        <v>-5.3432813729159534E-12</v>
      </c>
      <c r="CT547" s="235">
        <f t="shared" ca="1" si="2071"/>
        <v>-5.3432813729159534E-12</v>
      </c>
      <c r="CU547" s="235">
        <f t="shared" ca="1" si="2072"/>
        <v>-4.7748471843078732E-12</v>
      </c>
      <c r="CV547" s="235">
        <f t="shared" ca="1" si="2073"/>
        <v>-5.0022208597511053E-12</v>
      </c>
      <c r="CW547" s="235">
        <f t="shared" ca="1" si="2074"/>
        <v>0</v>
      </c>
      <c r="CX547" s="235">
        <f t="shared" ca="1" si="2075"/>
        <v>1.0277290130034089E-10</v>
      </c>
      <c r="CY547" s="235">
        <f t="shared" ca="1" si="2076"/>
        <v>1.0970779840135947E-9</v>
      </c>
      <c r="CZ547" s="235">
        <f t="shared" ca="1" si="2077"/>
        <v>8.706592780072242E-9</v>
      </c>
      <c r="DA547" s="150"/>
      <c r="DG547" s="419">
        <v>124.09999999999988</v>
      </c>
      <c r="DH547" s="502">
        <v>180.10000000000042</v>
      </c>
      <c r="DI547" s="419">
        <v>-151.20000000000022</v>
      </c>
      <c r="DJ547" s="419">
        <v>-281.86666666666633</v>
      </c>
      <c r="DK547" s="419">
        <v>-170.63702302357831</v>
      </c>
      <c r="DL547" s="419">
        <v>1.1091868988850637</v>
      </c>
      <c r="DM547" s="419">
        <v>-27.510912951910441</v>
      </c>
      <c r="DN547" s="419">
        <v>-149.3586705848067</v>
      </c>
      <c r="DO547" s="419">
        <v>-237.77191769194945</v>
      </c>
      <c r="DP547" s="419">
        <v>-334.82046432349244</v>
      </c>
      <c r="DQ547" s="1017">
        <v>-436.07989271205412</v>
      </c>
      <c r="DR547" s="1017">
        <v>-549.15345460656295</v>
      </c>
      <c r="DS547" s="1017">
        <v>-673.47576251185728</v>
      </c>
      <c r="DT547" s="1017">
        <v>-813.11586773018087</v>
      </c>
      <c r="DU547" s="1017">
        <v>-948.30398536213488</v>
      </c>
      <c r="DV547" s="1017">
        <v>-1102.800402324903</v>
      </c>
      <c r="DW547" s="1017">
        <v>-1274.2061597926947</v>
      </c>
      <c r="DX547" s="1017">
        <v>-1464.6809274320728</v>
      </c>
      <c r="DY547" s="1017">
        <v>-1676.8691864565919</v>
      </c>
      <c r="DZ547" s="1017"/>
      <c r="EA547" s="996"/>
    </row>
    <row r="548" spans="2:131" s="413" customFormat="1" hidden="1">
      <c r="B548" s="79" t="s">
        <v>2395</v>
      </c>
      <c r="C548" s="411"/>
      <c r="D548" s="412"/>
      <c r="BG548" s="415"/>
      <c r="BH548" s="415"/>
      <c r="BI548" s="415"/>
      <c r="BJ548" s="415"/>
      <c r="BK548" s="415"/>
      <c r="BL548" s="415"/>
      <c r="BM548" s="415"/>
      <c r="BN548" s="415"/>
      <c r="BO548" s="415"/>
      <c r="BP548" s="415"/>
      <c r="BQ548" s="415"/>
      <c r="BR548" s="415"/>
      <c r="BS548" s="415"/>
      <c r="BT548" s="415"/>
      <c r="BU548" s="415"/>
      <c r="BV548" s="415"/>
      <c r="BW548" s="415"/>
      <c r="BX548" s="415"/>
      <c r="BY548" s="415"/>
      <c r="BZ548" s="415"/>
      <c r="CA548" s="415"/>
      <c r="CB548" s="415"/>
      <c r="CC548" s="415"/>
      <c r="CD548" s="415"/>
      <c r="CE548" s="415"/>
      <c r="CF548" s="429"/>
      <c r="DA548" s="150"/>
      <c r="DG548" s="419"/>
      <c r="DH548" s="502"/>
      <c r="DI548" s="419"/>
      <c r="DJ548" s="419"/>
      <c r="DK548" s="419"/>
      <c r="DL548" s="419"/>
      <c r="DM548" s="419"/>
      <c r="DN548" s="419"/>
      <c r="DO548" s="419"/>
      <c r="DP548" s="419"/>
      <c r="DQ548" s="1017"/>
      <c r="DR548" s="1017"/>
      <c r="DS548" s="1017"/>
      <c r="DT548" s="1017"/>
      <c r="DU548" s="1017"/>
      <c r="DV548" s="1017"/>
      <c r="DW548" s="1017"/>
      <c r="DX548" s="1017"/>
      <c r="DY548" s="1017"/>
      <c r="DZ548" s="1017"/>
      <c r="EA548" s="996"/>
    </row>
    <row r="549" spans="2:131" customFormat="1" hidden="1">
      <c r="B549" s="19" t="s">
        <v>2033</v>
      </c>
      <c r="C549" s="18"/>
      <c r="D549" s="207" t="s">
        <v>2499</v>
      </c>
      <c r="BG549" s="414">
        <f>+Model!BG349/BG$561</f>
        <v>255.77413479052819</v>
      </c>
      <c r="BH549" s="414">
        <f>+Model!BH349/BH$561</f>
        <v>177.04918032786884</v>
      </c>
      <c r="BI549" s="414">
        <f>+Model!BI349/BI$561</f>
        <v>81.157894736842167</v>
      </c>
      <c r="BJ549" s="414">
        <f>+Model!BJ349/BJ$561</f>
        <v>39.475409836065609</v>
      </c>
      <c r="BK549" s="414">
        <f>+Model!BK349/BK$561</f>
        <v>440.61538461538464</v>
      </c>
      <c r="BL549" s="414">
        <f>+Model!BL349/BL$561</f>
        <v>206.11940298507463</v>
      </c>
      <c r="BM549" s="414">
        <f>+Model!BM349/BM$561</f>
        <v>-150.68656716417917</v>
      </c>
      <c r="BN549" s="414">
        <f>+Model!BN349/BN$561</f>
        <v>-223.55223880597018</v>
      </c>
      <c r="BO549" s="414">
        <f>+Model!BO349/BO$561</f>
        <v>-358.8059701492536</v>
      </c>
      <c r="BP549" s="414">
        <f ca="1">+Model!BP349/BP$561</f>
        <v>-72.843230083517696</v>
      </c>
      <c r="BQ549" s="414">
        <f ca="1">+Model!BQ349/BQ$561</f>
        <v>-60.259067069370346</v>
      </c>
      <c r="BR549" s="414">
        <f ca="1">+Model!BR349/BR$561</f>
        <v>-88.879166920166654</v>
      </c>
      <c r="BS549" s="414">
        <f ca="1">+Model!BS349/BS$561</f>
        <v>-210.72692455306228</v>
      </c>
      <c r="BT549" s="414">
        <f ca="1">+Model!BT349/BT$561</f>
        <v>-299.14017166020614</v>
      </c>
      <c r="BU549" s="414">
        <f ca="1">+Model!BU349/BU$561</f>
        <v>-396.18871829175089</v>
      </c>
      <c r="BV549" s="414">
        <f ca="1">+Model!BV349/BV$561</f>
        <v>-497.44814668031256</v>
      </c>
      <c r="BW549" s="414">
        <f ca="1">+Model!BW349/BW$561</f>
        <v>-610.52170857482417</v>
      </c>
      <c r="BX549" s="414">
        <f ca="1">+Model!BX349/BX$561</f>
        <v>-734.84401648011954</v>
      </c>
      <c r="BY549" s="414">
        <f ca="1">+Model!BY349/BY$561</f>
        <v>-874.48412169844744</v>
      </c>
      <c r="BZ549" s="414">
        <f ca="1">+Model!BZ349/BZ$561</f>
        <v>-1009.6722393304091</v>
      </c>
      <c r="CA549" s="414">
        <f ca="1">+Model!CA349/CA$561</f>
        <v>-1164.1686562931793</v>
      </c>
      <c r="CB549" s="414">
        <f ca="1">+Model!CB349/CB$561</f>
        <v>-1335.574413760879</v>
      </c>
      <c r="CC549" s="414">
        <f ca="1">+Model!CC349/CC$561</f>
        <v>-1526.0491813992744</v>
      </c>
      <c r="CD549" s="414">
        <f ca="1">+Model!CD349/CD$561</f>
        <v>-1738.2374404162051</v>
      </c>
      <c r="CE549" s="414"/>
      <c r="CF549" s="430"/>
      <c r="CG549" s="235">
        <f t="shared" ref="CG549:CG559" si="2082">BK549-DG549</f>
        <v>0</v>
      </c>
      <c r="CH549" s="235">
        <f t="shared" ref="CH549:CH559" si="2083">BL549-DH549</f>
        <v>0</v>
      </c>
      <c r="CI549" s="235" t="e">
        <f>BM549-#REF!</f>
        <v>#REF!</v>
      </c>
      <c r="CJ549" s="235">
        <f t="shared" ref="CJ549:CJ559" si="2084">BN549-DI549</f>
        <v>0</v>
      </c>
      <c r="CK549" s="235">
        <f t="shared" ref="CK549:CK559" si="2085">BO549-DJ549</f>
        <v>0</v>
      </c>
      <c r="CL549" s="235">
        <f t="shared" ref="CL549:CL559" ca="1" si="2086">BP549-DK549</f>
        <v>-8.6686213762732223E-13</v>
      </c>
      <c r="CM549" s="235">
        <f t="shared" ref="CM549:CM559" ca="1" si="2087">BQ549-DL549</f>
        <v>-2.0605739337042905E-12</v>
      </c>
      <c r="CN549" s="235">
        <f t="shared" ref="CN549:CN559" ca="1" si="2088">BR549-DM549</f>
        <v>-2.3732127374387346E-12</v>
      </c>
      <c r="CO549" s="235">
        <f t="shared" ref="CO549:CO559" ca="1" si="2089">BS549-DN549</f>
        <v>-3.3537617127876729E-12</v>
      </c>
      <c r="CP549" s="235">
        <f t="shared" ref="CP549:CP559" ca="1" si="2090">BT549-DO549</f>
        <v>-4.5474735088646412E-12</v>
      </c>
      <c r="CQ549" s="235">
        <f t="shared" ref="CQ549:CQ559" ca="1" si="2091">BU549-DP549</f>
        <v>-5.8548721426632255E-12</v>
      </c>
      <c r="CR549" s="235">
        <f t="shared" ref="CR549:CR559" ca="1" si="2092">BV549-DQ549</f>
        <v>-5.2295945351943374E-12</v>
      </c>
      <c r="CS549" s="235">
        <f t="shared" ref="CS549:CS559" ca="1" si="2093">BW549-DR549</f>
        <v>-5.6843418860808015E-12</v>
      </c>
      <c r="CT549" s="235">
        <f t="shared" ref="CT549:CT559" ca="1" si="2094">BX549-DS549</f>
        <v>-3.0695446184836328E-12</v>
      </c>
      <c r="CU549" s="235">
        <f t="shared" ref="CU549:CU559" ca="1" si="2095">BY549-DT549</f>
        <v>-4.3200998334214091E-12</v>
      </c>
      <c r="CV549" s="235">
        <f t="shared" ref="CV549:CV559" ca="1" si="2096">BZ549-DU549</f>
        <v>-7.8443918027915061E-12</v>
      </c>
      <c r="CW549" s="235">
        <f t="shared" ref="CW549:CW559" ca="1" si="2097">CA549-DV549</f>
        <v>-1.2960299500264227E-11</v>
      </c>
      <c r="CX549" s="235">
        <f t="shared" ref="CX549:CX559" ca="1" si="2098">CB549-DW549</f>
        <v>-5.4569682106375694E-11</v>
      </c>
      <c r="CY549" s="235">
        <f t="shared" ref="CY549:CY559" ca="1" si="2099">CC549-DX549</f>
        <v>-4.886260285275057E-10</v>
      </c>
      <c r="CZ549" s="235">
        <f t="shared" ref="CZ549:CZ559" ca="1" si="2100">CD549-DY549</f>
        <v>-4.5008619053987786E-9</v>
      </c>
      <c r="DA549" s="150"/>
      <c r="DG549" s="419">
        <v>440.61538461538464</v>
      </c>
      <c r="DH549" s="502">
        <v>206.11940298507463</v>
      </c>
      <c r="DI549" s="419">
        <v>-223.55223880597018</v>
      </c>
      <c r="DJ549" s="419">
        <v>-358.8059701492536</v>
      </c>
      <c r="DK549" s="419">
        <v>-72.843230083516829</v>
      </c>
      <c r="DL549" s="419">
        <v>-60.259067069368285</v>
      </c>
      <c r="DM549" s="419">
        <v>-88.87916692016428</v>
      </c>
      <c r="DN549" s="419">
        <v>-210.72692455305892</v>
      </c>
      <c r="DO549" s="419">
        <v>-299.14017166020159</v>
      </c>
      <c r="DP549" s="419">
        <v>-396.18871829174503</v>
      </c>
      <c r="DQ549" s="1017">
        <v>-497.44814668030733</v>
      </c>
      <c r="DR549" s="1017">
        <v>-610.52170857481849</v>
      </c>
      <c r="DS549" s="1017">
        <v>-734.84401648011647</v>
      </c>
      <c r="DT549" s="1017">
        <v>-874.48412169844312</v>
      </c>
      <c r="DU549" s="1017">
        <v>-1009.6722393304012</v>
      </c>
      <c r="DV549" s="1017">
        <v>-1164.1686562931664</v>
      </c>
      <c r="DW549" s="1017">
        <v>-1335.5744137608244</v>
      </c>
      <c r="DX549" s="1017">
        <v>-1526.0491813987858</v>
      </c>
      <c r="DY549" s="1017">
        <v>-1738.2374404117043</v>
      </c>
      <c r="DZ549" s="1017"/>
      <c r="EA549" s="996"/>
    </row>
    <row r="550" spans="2:131" customFormat="1" hidden="1">
      <c r="B550" s="80" t="s">
        <v>3826</v>
      </c>
      <c r="C550" s="51" t="s">
        <v>2761</v>
      </c>
      <c r="D550" s="207"/>
      <c r="BG550" s="414">
        <f>+Model!BG350/BG$561</f>
        <v>292.75045537340617</v>
      </c>
      <c r="BH550" s="414">
        <f>+Model!BH350/BH$561</f>
        <v>269.43533697632068</v>
      </c>
      <c r="BI550" s="414">
        <f>+Model!BI350/BI$561</f>
        <v>230.94736842105257</v>
      </c>
      <c r="BJ550" s="414">
        <f>+Model!BJ350/BJ$561</f>
        <v>173.90163934426218</v>
      </c>
      <c r="BK550" s="414">
        <f>+Model!BK350/BK$561</f>
        <v>364.55384615384622</v>
      </c>
      <c r="BL550" s="414">
        <f>+Model!BL350/BL$561</f>
        <v>423.43283582089549</v>
      </c>
      <c r="BM550" s="414">
        <f>+Model!BM350/BM$561</f>
        <v>268.5373134328359</v>
      </c>
      <c r="BN550" s="414">
        <f>+Model!BN350/BN$561</f>
        <v>146.89552238805982</v>
      </c>
      <c r="BO550" s="414">
        <f>+Model!BO350/BO$561</f>
        <v>-12.08955223880597</v>
      </c>
      <c r="BP550" s="414">
        <f ca="1">+Model!BP350/BP$561</f>
        <v>335.72796580574328</v>
      </c>
      <c r="BQ550" s="414">
        <f ca="1">+Model!BQ350/BQ$561</f>
        <v>411.41650743578401</v>
      </c>
      <c r="BR550" s="414">
        <f ca="1">+Model!BR350/BR$561</f>
        <v>422.13859976142567</v>
      </c>
      <c r="BS550" s="414">
        <f ca="1">+Model!BS350/BS$561</f>
        <v>378.95652017977011</v>
      </c>
      <c r="BT550" s="414">
        <f ca="1">+Model!BT350/BT$561</f>
        <v>404.53157470784845</v>
      </c>
      <c r="BU550" s="414">
        <f ca="1">+Model!BU350/BU$561</f>
        <v>417.56001219711743</v>
      </c>
      <c r="BV550" s="414">
        <f ca="1">+Model!BV350/BV$561</f>
        <v>444.0365347427246</v>
      </c>
      <c r="BW550" s="414">
        <f ca="1">+Model!BW350/BW$561</f>
        <v>473.96942708615705</v>
      </c>
      <c r="BX550" s="414">
        <f ca="1">+Model!BX350/BX$561</f>
        <v>510.77477579135137</v>
      </c>
      <c r="BY550" s="414">
        <f ca="1">+Model!BY350/BY$561</f>
        <v>554.65546861479129</v>
      </c>
      <c r="BZ550" s="414">
        <f ca="1">+Model!BZ350/BZ$561</f>
        <v>619.53580758237638</v>
      </c>
      <c r="CA550" s="414">
        <f ca="1">+Model!CA350/CA$561</f>
        <v>689.0383847013602</v>
      </c>
      <c r="CB550" s="414">
        <f ca="1">+Model!CB350/CB$561</f>
        <v>765.72930403848738</v>
      </c>
      <c r="CC550" s="414">
        <f ca="1">+Model!CC350/CC$561</f>
        <v>854.72061310170307</v>
      </c>
      <c r="CD550" s="414">
        <f ca="1">+Model!CD350/CD$561</f>
        <v>957.05053283200994</v>
      </c>
      <c r="CE550" s="414"/>
      <c r="CF550" s="430"/>
      <c r="CG550" s="235">
        <f t="shared" si="2082"/>
        <v>0</v>
      </c>
      <c r="CH550" s="235">
        <f t="shared" si="2083"/>
        <v>2.9850746268721196E-2</v>
      </c>
      <c r="CI550" s="235" t="e">
        <f>BM550-#REF!</f>
        <v>#REF!</v>
      </c>
      <c r="CJ550" s="235">
        <f t="shared" si="2084"/>
        <v>0</v>
      </c>
      <c r="CK550" s="235">
        <f t="shared" si="2085"/>
        <v>0</v>
      </c>
      <c r="CL550" s="235">
        <f t="shared" ca="1" si="2086"/>
        <v>-6.8212102632969618E-13</v>
      </c>
      <c r="CM550" s="235">
        <f t="shared" ca="1" si="2087"/>
        <v>-1.4210854715202004E-12</v>
      </c>
      <c r="CN550" s="235">
        <f t="shared" ca="1" si="2088"/>
        <v>-1.7621459846850485E-12</v>
      </c>
      <c r="CO550" s="235">
        <f t="shared" ca="1" si="2089"/>
        <v>-2.4442670110147446E-12</v>
      </c>
      <c r="CP550" s="235">
        <f t="shared" ca="1" si="2090"/>
        <v>-4.0927261579781771E-12</v>
      </c>
      <c r="CQ550" s="235">
        <f t="shared" ca="1" si="2091"/>
        <v>-6.7643668444361538E-12</v>
      </c>
      <c r="CR550" s="235">
        <f t="shared" ca="1" si="2092"/>
        <v>-6.5938365878537297E-12</v>
      </c>
      <c r="CS550" s="235">
        <f t="shared" ca="1" si="2093"/>
        <v>-7.3328010330442339E-12</v>
      </c>
      <c r="CT550" s="235">
        <f t="shared" ca="1" si="2094"/>
        <v>-3.922195901395753E-12</v>
      </c>
      <c r="CU550" s="235">
        <f t="shared" ca="1" si="2095"/>
        <v>-6.0254023992456496E-12</v>
      </c>
      <c r="CV550" s="235">
        <f t="shared" ca="1" si="2096"/>
        <v>-9.0949470177292824E-12</v>
      </c>
      <c r="CW550" s="235">
        <f t="shared" ca="1" si="2097"/>
        <v>-1.0913936421275139E-11</v>
      </c>
      <c r="CX550" s="235">
        <f t="shared" ca="1" si="2098"/>
        <v>1.6370904631912708E-11</v>
      </c>
      <c r="CY550" s="235">
        <f t="shared" ca="1" si="2099"/>
        <v>2.4249402486020699E-10</v>
      </c>
      <c r="CZ550" s="235">
        <f t="shared" ca="1" si="2100"/>
        <v>1.2395275916787796E-9</v>
      </c>
      <c r="DA550" s="150"/>
      <c r="DG550" s="419">
        <v>364.55384615384622</v>
      </c>
      <c r="DH550" s="502">
        <v>423.40298507462677</v>
      </c>
      <c r="DI550" s="419">
        <v>146.89552238805982</v>
      </c>
      <c r="DJ550" s="419">
        <v>-12.08955223880597</v>
      </c>
      <c r="DK550" s="419">
        <v>335.72796580574396</v>
      </c>
      <c r="DL550" s="419">
        <v>411.41650743578543</v>
      </c>
      <c r="DM550" s="419">
        <v>422.13859976142743</v>
      </c>
      <c r="DN550" s="419">
        <v>378.95652017977255</v>
      </c>
      <c r="DO550" s="419">
        <v>404.53157470785254</v>
      </c>
      <c r="DP550" s="419">
        <v>417.56001219712419</v>
      </c>
      <c r="DQ550" s="1017">
        <v>444.03653474273119</v>
      </c>
      <c r="DR550" s="1017">
        <v>473.96942708616439</v>
      </c>
      <c r="DS550" s="1017">
        <v>510.7747757913553</v>
      </c>
      <c r="DT550" s="1017">
        <v>554.65546861479731</v>
      </c>
      <c r="DU550" s="1017">
        <v>619.53580758238547</v>
      </c>
      <c r="DV550" s="1017">
        <v>689.03838470137111</v>
      </c>
      <c r="DW550" s="1017">
        <v>765.72930403847101</v>
      </c>
      <c r="DX550" s="1017">
        <v>854.72061310146057</v>
      </c>
      <c r="DY550" s="1017">
        <v>957.05053283077041</v>
      </c>
      <c r="DZ550" s="1017"/>
      <c r="EA550" s="996"/>
    </row>
    <row r="551" spans="2:131" customFormat="1" hidden="1">
      <c r="B551" s="19" t="s">
        <v>1969</v>
      </c>
      <c r="C551" s="51" t="s">
        <v>2873</v>
      </c>
      <c r="D551" s="207"/>
      <c r="BG551" s="414">
        <f>+Model!BG351/BG$561</f>
        <v>19.899999999999999</v>
      </c>
      <c r="BH551" s="414">
        <f>+Model!BH351/BH$561</f>
        <v>-9.1</v>
      </c>
      <c r="BI551" s="414">
        <f>+Model!BI351/BI$561</f>
        <v>16</v>
      </c>
      <c r="BJ551" s="414">
        <f>+Model!BJ351/BJ$561</f>
        <v>-1.2</v>
      </c>
      <c r="BK551" s="414">
        <f>+Model!BK351/BK$561</f>
        <v>1.9</v>
      </c>
      <c r="BL551" s="414">
        <f>+Model!BL351/BL$561</f>
        <v>11.3</v>
      </c>
      <c r="BM551" s="414">
        <f>+Model!BM351/BM$561</f>
        <v>-80.900000000000006</v>
      </c>
      <c r="BN551" s="414">
        <f>+Model!BN351/BN$561</f>
        <v>-3.5</v>
      </c>
      <c r="BO551" s="414">
        <f>+Model!BO351/BO$561</f>
        <v>-22.266666666666666</v>
      </c>
      <c r="BP551" s="414">
        <f>+Model!BP351/BP$561</f>
        <v>-17.760317460317459</v>
      </c>
      <c r="BQ551" s="414">
        <f>+Model!BQ351/BQ$561</f>
        <v>-17.760317460317459</v>
      </c>
      <c r="BR551" s="414">
        <f>+Model!BR351/BR$561</f>
        <v>-17.760317460317459</v>
      </c>
      <c r="BS551" s="414">
        <f>+Model!BS351/BS$561</f>
        <v>-17.760317460317459</v>
      </c>
      <c r="BT551" s="414">
        <f>+Model!BT351/BT$561</f>
        <v>-17.760317460317459</v>
      </c>
      <c r="BU551" s="414">
        <f>+Model!BU351/BU$561</f>
        <v>-17.760317460317459</v>
      </c>
      <c r="BV551" s="414">
        <f>+Model!BV351/BV$561</f>
        <v>-17.760317460317459</v>
      </c>
      <c r="BW551" s="414">
        <f>+Model!BW351/BW$561</f>
        <v>-17.760317460317459</v>
      </c>
      <c r="BX551" s="414">
        <f>+Model!BX351/BX$561</f>
        <v>-17.760317460317459</v>
      </c>
      <c r="BY551" s="414">
        <f>+Model!BY351/BY$561</f>
        <v>-17.760317460317459</v>
      </c>
      <c r="BZ551" s="414">
        <f>+Model!BZ351/BZ$561</f>
        <v>-17.760317460317459</v>
      </c>
      <c r="CA551" s="414">
        <f>+Model!CA351/CA$561</f>
        <v>-17.760317460317459</v>
      </c>
      <c r="CB551" s="414">
        <f>+Model!CB351/CB$561</f>
        <v>-17.760317460317459</v>
      </c>
      <c r="CC551" s="414">
        <f>+Model!CC351/CC$561</f>
        <v>-17.760317460317459</v>
      </c>
      <c r="CD551" s="414">
        <f>+Model!CD351/CD$561</f>
        <v>-17.760317460317459</v>
      </c>
      <c r="CE551" s="414"/>
      <c r="CF551" s="430"/>
      <c r="CG551" s="235">
        <f t="shared" si="2082"/>
        <v>0</v>
      </c>
      <c r="CH551" s="235">
        <f t="shared" si="2083"/>
        <v>0</v>
      </c>
      <c r="CI551" s="235" t="e">
        <f>BM551-#REF!</f>
        <v>#REF!</v>
      </c>
      <c r="CJ551" s="235">
        <f t="shared" si="2084"/>
        <v>0</v>
      </c>
      <c r="CK551" s="235">
        <f t="shared" si="2085"/>
        <v>0</v>
      </c>
      <c r="CL551" s="235">
        <f t="shared" si="2086"/>
        <v>0</v>
      </c>
      <c r="CM551" s="235">
        <f t="shared" si="2087"/>
        <v>0</v>
      </c>
      <c r="CN551" s="235">
        <f t="shared" si="2088"/>
        <v>0</v>
      </c>
      <c r="CO551" s="235">
        <f t="shared" si="2089"/>
        <v>0</v>
      </c>
      <c r="CP551" s="235">
        <f t="shared" si="2090"/>
        <v>0</v>
      </c>
      <c r="CQ551" s="235">
        <f t="shared" si="2091"/>
        <v>0</v>
      </c>
      <c r="CR551" s="235">
        <f t="shared" si="2092"/>
        <v>0</v>
      </c>
      <c r="CS551" s="235">
        <f t="shared" si="2093"/>
        <v>0</v>
      </c>
      <c r="CT551" s="235">
        <f t="shared" si="2094"/>
        <v>0</v>
      </c>
      <c r="CU551" s="235">
        <f t="shared" si="2095"/>
        <v>0</v>
      </c>
      <c r="CV551" s="235">
        <f t="shared" si="2096"/>
        <v>0</v>
      </c>
      <c r="CW551" s="235">
        <f t="shared" si="2097"/>
        <v>0</v>
      </c>
      <c r="CX551" s="235">
        <f t="shared" si="2098"/>
        <v>0</v>
      </c>
      <c r="CY551" s="235">
        <f t="shared" si="2099"/>
        <v>0</v>
      </c>
      <c r="CZ551" s="235">
        <f t="shared" si="2100"/>
        <v>0</v>
      </c>
      <c r="DA551" s="150"/>
      <c r="DG551" s="419">
        <v>1.9</v>
      </c>
      <c r="DH551" s="502">
        <v>11.3</v>
      </c>
      <c r="DI551" s="419">
        <v>-3.5</v>
      </c>
      <c r="DJ551" s="419">
        <v>-22.266666666666666</v>
      </c>
      <c r="DK551" s="419">
        <v>-17.760317460317459</v>
      </c>
      <c r="DL551" s="419">
        <v>-17.760317460317459</v>
      </c>
      <c r="DM551" s="419">
        <v>-17.760317460317459</v>
      </c>
      <c r="DN551" s="419">
        <v>-17.760317460317459</v>
      </c>
      <c r="DO551" s="419">
        <v>-17.760317460317459</v>
      </c>
      <c r="DP551" s="419">
        <v>-17.760317460317459</v>
      </c>
      <c r="DQ551" s="1017">
        <v>-17.760317460317459</v>
      </c>
      <c r="DR551" s="1017">
        <v>-17.760317460317459</v>
      </c>
      <c r="DS551" s="1017">
        <v>-17.760317460317459</v>
      </c>
      <c r="DT551" s="1017">
        <v>-17.760317460317459</v>
      </c>
      <c r="DU551" s="1017">
        <v>-17.760317460317459</v>
      </c>
      <c r="DV551" s="1017">
        <v>-17.760317460317459</v>
      </c>
      <c r="DW551" s="1017">
        <v>-17.760317460317459</v>
      </c>
      <c r="DX551" s="1017">
        <v>-17.760317460317459</v>
      </c>
      <c r="DY551" s="1017">
        <v>-17.760317460317459</v>
      </c>
      <c r="DZ551" s="1017"/>
      <c r="EA551" s="996"/>
    </row>
    <row r="552" spans="2:131" customFormat="1" hidden="1">
      <c r="B552" s="38" t="str">
        <f>B547</f>
        <v>Saldo op de betalingsbalans</v>
      </c>
      <c r="C552" s="18"/>
      <c r="D552" s="207"/>
      <c r="BG552" s="414">
        <f>+Model!BG352/BG$561</f>
        <v>146.10000000000008</v>
      </c>
      <c r="BH552" s="414">
        <f>+Model!BH352/BH$561</f>
        <v>208.39999999999986</v>
      </c>
      <c r="BI552" s="414">
        <f>+Model!BI352/BI$561</f>
        <v>38.500000000000107</v>
      </c>
      <c r="BJ552" s="414">
        <f>+Model!BJ352/BJ$561</f>
        <v>35</v>
      </c>
      <c r="BK552" s="414">
        <f>+Model!BK352/BK$561</f>
        <v>124.10000000000005</v>
      </c>
      <c r="BL552" s="414">
        <f>+Model!BL352/BL$561</f>
        <v>180.10000000000082</v>
      </c>
      <c r="BM552" s="414">
        <f>+Model!BM352/BM$561</f>
        <v>-148.8000000000003</v>
      </c>
      <c r="BN552" s="414">
        <f>+Model!BN352/BN$561</f>
        <v>-151.20000000000022</v>
      </c>
      <c r="BO552" s="414">
        <f>+Model!BO352/BO$561</f>
        <v>-281.86666666666633</v>
      </c>
      <c r="BP552" s="414">
        <f ca="1">+Model!BP352/BP$561</f>
        <v>-170.63702302357919</v>
      </c>
      <c r="BQ552" s="414">
        <f ca="1">+Model!BQ352/BQ$561</f>
        <v>1.1091868988836562</v>
      </c>
      <c r="BR552" s="414">
        <f ca="1">+Model!BR352/BR$561</f>
        <v>-27.510912951911902</v>
      </c>
      <c r="BS552" s="414">
        <f ca="1">+Model!BS352/BS$561</f>
        <v>-149.35867058480824</v>
      </c>
      <c r="BT552" s="414">
        <f ca="1">+Model!BT352/BT$561</f>
        <v>-237.7719176919513</v>
      </c>
      <c r="BU552" s="414">
        <f ca="1">+Model!BU352/BU$561</f>
        <v>-334.82046432349443</v>
      </c>
      <c r="BV552" s="414">
        <f ca="1">+Model!BV352/BV$561</f>
        <v>-436.0798927120577</v>
      </c>
      <c r="BW552" s="414">
        <f ca="1">+Model!BW352/BW$561</f>
        <v>-549.15345460656829</v>
      </c>
      <c r="BX552" s="414">
        <f ca="1">+Model!BX352/BX$561</f>
        <v>-673.47576251186263</v>
      </c>
      <c r="BY552" s="414">
        <f ca="1">+Model!BY352/BY$561</f>
        <v>-813.11586773018564</v>
      </c>
      <c r="BZ552" s="414">
        <f ca="1">+Model!BZ352/BZ$561</f>
        <v>-948.30398536213988</v>
      </c>
      <c r="CA552" s="414">
        <f ca="1">+Model!CA352/CA$561</f>
        <v>-1102.8004023249027</v>
      </c>
      <c r="CB552" s="414">
        <f ca="1">+Model!CB352/CB$561</f>
        <v>-1274.206159792592</v>
      </c>
      <c r="CC552" s="414">
        <f ca="1">+Model!CC352/CC$561</f>
        <v>-1464.6809274309758</v>
      </c>
      <c r="CD552" s="414">
        <f ca="1">+Model!CD352/CD$561</f>
        <v>-1676.8691864478853</v>
      </c>
      <c r="CE552" s="414"/>
      <c r="CF552" s="430"/>
      <c r="CG552" s="235">
        <f t="shared" si="2082"/>
        <v>1.7053025658242404E-13</v>
      </c>
      <c r="CH552" s="235">
        <f t="shared" si="2083"/>
        <v>3.979039320256561E-13</v>
      </c>
      <c r="CI552" s="235" t="e">
        <f>BM552-#REF!</f>
        <v>#REF!</v>
      </c>
      <c r="CJ552" s="235">
        <f t="shared" si="2084"/>
        <v>0</v>
      </c>
      <c r="CK552" s="235">
        <f t="shared" si="2085"/>
        <v>0</v>
      </c>
      <c r="CL552" s="235">
        <f t="shared" ca="1" si="2086"/>
        <v>-8.8107299234252423E-13</v>
      </c>
      <c r="CM552" s="235">
        <f t="shared" ca="1" si="2087"/>
        <v>-1.4075407506197735E-12</v>
      </c>
      <c r="CN552" s="235">
        <f t="shared" ca="1" si="2088"/>
        <v>-1.4601653219870059E-12</v>
      </c>
      <c r="CO552" s="235">
        <f t="shared" ca="1" si="2089"/>
        <v>-1.5347723092418164E-12</v>
      </c>
      <c r="CP552" s="235">
        <f t="shared" ca="1" si="2090"/>
        <v>-1.8474111129762605E-12</v>
      </c>
      <c r="CQ552" s="235">
        <f t="shared" ca="1" si="2091"/>
        <v>-1.9895196601282805E-12</v>
      </c>
      <c r="CR552" s="235">
        <f t="shared" ca="1" si="2092"/>
        <v>-3.5811353882309049E-12</v>
      </c>
      <c r="CS552" s="235">
        <f t="shared" ca="1" si="2093"/>
        <v>-5.3432813729159534E-12</v>
      </c>
      <c r="CT552" s="235">
        <f t="shared" ca="1" si="2094"/>
        <v>-5.3432813729159534E-12</v>
      </c>
      <c r="CU552" s="235">
        <f t="shared" ca="1" si="2095"/>
        <v>-4.7748471843078732E-12</v>
      </c>
      <c r="CV552" s="235">
        <f t="shared" ca="1" si="2096"/>
        <v>-5.0022208597511053E-12</v>
      </c>
      <c r="CW552" s="235">
        <f t="shared" ca="1" si="2097"/>
        <v>0</v>
      </c>
      <c r="CX552" s="235">
        <f t="shared" ca="1" si="2098"/>
        <v>1.0277290130034089E-10</v>
      </c>
      <c r="CY552" s="235">
        <f t="shared" ca="1" si="2099"/>
        <v>1.0970779840135947E-9</v>
      </c>
      <c r="CZ552" s="235">
        <f t="shared" ca="1" si="2100"/>
        <v>8.706592780072242E-9</v>
      </c>
      <c r="DA552" s="150"/>
      <c r="DG552" s="419">
        <v>124.09999999999988</v>
      </c>
      <c r="DH552" s="502">
        <v>180.10000000000042</v>
      </c>
      <c r="DI552" s="419">
        <v>-151.20000000000022</v>
      </c>
      <c r="DJ552" s="419">
        <v>-281.86666666666633</v>
      </c>
      <c r="DK552" s="419">
        <v>-170.63702302357831</v>
      </c>
      <c r="DL552" s="419">
        <v>1.1091868988850637</v>
      </c>
      <c r="DM552" s="419">
        <v>-27.510912951910441</v>
      </c>
      <c r="DN552" s="419">
        <v>-149.3586705848067</v>
      </c>
      <c r="DO552" s="419">
        <v>-237.77191769194945</v>
      </c>
      <c r="DP552" s="419">
        <v>-334.82046432349244</v>
      </c>
      <c r="DQ552" s="1017">
        <v>-436.07989271205412</v>
      </c>
      <c r="DR552" s="1017">
        <v>-549.15345460656295</v>
      </c>
      <c r="DS552" s="1017">
        <v>-673.47576251185728</v>
      </c>
      <c r="DT552" s="1017">
        <v>-813.11586773018087</v>
      </c>
      <c r="DU552" s="1017">
        <v>-948.30398536213488</v>
      </c>
      <c r="DV552" s="1017">
        <v>-1102.800402324903</v>
      </c>
      <c r="DW552" s="1017">
        <v>-1274.2061597926947</v>
      </c>
      <c r="DX552" s="1017">
        <v>-1464.6809274320728</v>
      </c>
      <c r="DY552" s="1017">
        <v>-1676.8691864565919</v>
      </c>
      <c r="DZ552" s="1017"/>
      <c r="EA552" s="996"/>
    </row>
    <row r="553" spans="2:131" customFormat="1" hidden="1">
      <c r="B553" s="3" t="s">
        <v>2538</v>
      </c>
      <c r="C553" s="3"/>
      <c r="D553" s="197"/>
      <c r="BG553" s="414">
        <f>+Model!BG353/BG$561</f>
        <v>0</v>
      </c>
      <c r="BH553" s="414">
        <f>+Model!BH353/BH$561</f>
        <v>0</v>
      </c>
      <c r="BI553" s="414">
        <f>+Model!BI353/BI$561</f>
        <v>0</v>
      </c>
      <c r="BJ553" s="414">
        <f>+Model!BJ353/BJ$561</f>
        <v>0</v>
      </c>
      <c r="BK553" s="414">
        <f>+Model!BK353/BK$561</f>
        <v>0</v>
      </c>
      <c r="BL553" s="414">
        <f>+Model!BL353/BL$561</f>
        <v>0</v>
      </c>
      <c r="BM553" s="414">
        <f>+Model!BM353/BM$561</f>
        <v>0</v>
      </c>
      <c r="BN553" s="414">
        <f>+Model!BN353/BN$561</f>
        <v>0</v>
      </c>
      <c r="BO553" s="414">
        <f>+Model!BO353/BO$561</f>
        <v>0</v>
      </c>
      <c r="BP553" s="414">
        <f ca="1">+Model!BP353/BP$561</f>
        <v>8.6618543025993161E-13</v>
      </c>
      <c r="BQ553" s="414">
        <f ca="1">+Model!BQ353/BQ$561</f>
        <v>1.2992781453898975E-12</v>
      </c>
      <c r="BR553" s="414">
        <f ca="1">+Model!BR353/BR$561</f>
        <v>1.8406440393023547E-12</v>
      </c>
      <c r="BS553" s="414">
        <f ca="1">+Model!BS353/BS$561</f>
        <v>1.2992781453898975E-12</v>
      </c>
      <c r="BT553" s="414">
        <f ca="1">+Model!BT353/BT$561</f>
        <v>2.3820099332148121E-12</v>
      </c>
      <c r="BU553" s="414">
        <f ca="1">+Model!BU353/BU$561</f>
        <v>4.3309271512996582E-12</v>
      </c>
      <c r="BV553" s="414">
        <f ca="1">+Model!BV353/BV$561</f>
        <v>3.5730148998222179E-12</v>
      </c>
      <c r="BW553" s="414">
        <f ca="1">+Model!BW353/BW$561</f>
        <v>3.7895612573872005E-12</v>
      </c>
      <c r="BX553" s="414">
        <f ca="1">+Model!BX353/BX$561</f>
        <v>1.9489172180848462E-12</v>
      </c>
      <c r="BY553" s="414">
        <f ca="1">+Model!BY353/BY$561</f>
        <v>4.5474735088646412E-12</v>
      </c>
      <c r="BZ553" s="414">
        <f ca="1">+Model!BZ353/BZ$561</f>
        <v>8.4453079450343327E-12</v>
      </c>
      <c r="CA553" s="414">
        <f ca="1">+Model!CA353/CA$561</f>
        <v>1.7973347677893583E-11</v>
      </c>
      <c r="CB553" s="414">
        <f ca="1">+Model!CB353/CB$561</f>
        <v>2.7717933768317811E-11</v>
      </c>
      <c r="CC553" s="414">
        <f ca="1">+Model!CC353/CC$561</f>
        <v>4.8506384094556168E-11</v>
      </c>
      <c r="CD553" s="414">
        <f ca="1">+Model!CD353/CD$561</f>
        <v>8.1421430444433571E-11</v>
      </c>
      <c r="CE553" s="414"/>
      <c r="CF553" s="430"/>
      <c r="CG553" s="235">
        <f t="shared" si="2082"/>
        <v>0</v>
      </c>
      <c r="CH553" s="235">
        <f t="shared" si="2083"/>
        <v>0</v>
      </c>
      <c r="CI553" s="235" t="e">
        <f>BM553-#REF!</f>
        <v>#REF!</v>
      </c>
      <c r="CJ553" s="235">
        <f t="shared" si="2084"/>
        <v>0</v>
      </c>
      <c r="CK553" s="235">
        <f t="shared" si="2085"/>
        <v>0</v>
      </c>
      <c r="CL553" s="235">
        <f t="shared" ca="1" si="2086"/>
        <v>1.5158245029548803E-12</v>
      </c>
      <c r="CM553" s="235">
        <f t="shared" ca="1" si="2087"/>
        <v>2.2737367544323206E-12</v>
      </c>
      <c r="CN553" s="235">
        <f t="shared" ca="1" si="2088"/>
        <v>3.4647417210397264E-12</v>
      </c>
      <c r="CO553" s="235">
        <f t="shared" ca="1" si="2089"/>
        <v>3.7895612573872013E-12</v>
      </c>
      <c r="CP553" s="235">
        <f t="shared" ca="1" si="2090"/>
        <v>3.6812880786047094E-12</v>
      </c>
      <c r="CQ553" s="235">
        <f t="shared" ca="1" si="2091"/>
        <v>7.5791225147744009E-12</v>
      </c>
      <c r="CR553" s="235">
        <f t="shared" ca="1" si="2092"/>
        <v>7.4708493359919098E-12</v>
      </c>
      <c r="CS553" s="235">
        <f t="shared" ca="1" si="2093"/>
        <v>8.2287615874693506E-12</v>
      </c>
      <c r="CT553" s="235">
        <f t="shared" ca="1" si="2094"/>
        <v>4.7640198664296233E-12</v>
      </c>
      <c r="CU553" s="235">
        <f t="shared" ca="1" si="2095"/>
        <v>6.063298011819521E-12</v>
      </c>
      <c r="CV553" s="235">
        <f t="shared" ca="1" si="2096"/>
        <v>8.4453079450343327E-12</v>
      </c>
      <c r="CW553" s="235">
        <f t="shared" ca="1" si="2097"/>
        <v>-3.0316490059097597E-12</v>
      </c>
      <c r="CX553" s="235">
        <f t="shared" ca="1" si="2098"/>
        <v>-1.9835646352952433E-10</v>
      </c>
      <c r="CY553" s="235">
        <f t="shared" ca="1" si="2099"/>
        <v>-1.9315935094796472E-9</v>
      </c>
      <c r="CZ553" s="235">
        <f t="shared" ca="1" si="2100"/>
        <v>-1.3889283374218003E-8</v>
      </c>
      <c r="DA553" s="150"/>
      <c r="DG553" s="419">
        <v>0</v>
      </c>
      <c r="DH553" s="502">
        <v>0</v>
      </c>
      <c r="DI553" s="419">
        <v>0</v>
      </c>
      <c r="DJ553" s="419">
        <v>0</v>
      </c>
      <c r="DK553" s="419">
        <v>-6.4963907269494876E-13</v>
      </c>
      <c r="DL553" s="419">
        <v>-9.7445860904242308E-13</v>
      </c>
      <c r="DM553" s="419">
        <v>-1.6240976817373717E-12</v>
      </c>
      <c r="DN553" s="419">
        <v>-2.4902831119973035E-12</v>
      </c>
      <c r="DO553" s="419">
        <v>-1.2992781453898975E-12</v>
      </c>
      <c r="DP553" s="419">
        <v>-3.2481953634747435E-12</v>
      </c>
      <c r="DQ553" s="1017">
        <v>-3.8978344361696923E-12</v>
      </c>
      <c r="DR553" s="1017">
        <v>-4.4392003300821493E-12</v>
      </c>
      <c r="DS553" s="1017">
        <v>-2.8151026483447776E-12</v>
      </c>
      <c r="DT553" s="1017">
        <v>-1.5158245029548803E-12</v>
      </c>
      <c r="DU553" s="1017">
        <v>0</v>
      </c>
      <c r="DV553" s="1017">
        <v>2.1004996683803342E-11</v>
      </c>
      <c r="DW553" s="1017">
        <v>2.2607439729784215E-10</v>
      </c>
      <c r="DX553" s="1017">
        <v>1.9800998935742035E-9</v>
      </c>
      <c r="DY553" s="1017">
        <v>1.3970704804662437E-8</v>
      </c>
      <c r="DZ553" s="1017"/>
      <c r="EA553" s="996"/>
    </row>
    <row r="554" spans="2:131" customFormat="1" hidden="1">
      <c r="B554" s="80" t="s">
        <v>2736</v>
      </c>
      <c r="C554" s="51" t="s">
        <v>2729</v>
      </c>
      <c r="D554" s="207"/>
      <c r="BG554" s="414">
        <f>+Model!BG354/BG$561</f>
        <v>1310.3825136612022</v>
      </c>
      <c r="BH554" s="414">
        <f>+Model!BH354/BH$561</f>
        <v>1579.817850637523</v>
      </c>
      <c r="BI554" s="414">
        <f>+Model!BI354/BI$561</f>
        <v>1752.5614035087719</v>
      </c>
      <c r="BJ554" s="414">
        <f>+Model!BJ354/BJ$561</f>
        <v>1811.5409836065573</v>
      </c>
      <c r="BK554" s="414">
        <f>+Model!BK354/BK$561</f>
        <v>2064.6153846153848</v>
      </c>
      <c r="BL554" s="414">
        <f>+Model!BL354/BL$561</f>
        <v>2426.4179104477612</v>
      </c>
      <c r="BM554" s="414">
        <f>+Model!BM354/BM$561</f>
        <v>2694.9552238805973</v>
      </c>
      <c r="BN554" s="414">
        <f>+Model!BN354/BN$561</f>
        <v>2841.8507462686571</v>
      </c>
      <c r="BO554" s="414">
        <f>+Model!BO354/BO$561</f>
        <v>2829.7611940298507</v>
      </c>
      <c r="BP554" s="414">
        <f ca="1">+Model!BP354/BP$561</f>
        <v>2592.7993943771721</v>
      </c>
      <c r="BQ554" s="414">
        <f ca="1">+Model!BQ354/BQ$561</f>
        <v>3004.215901812956</v>
      </c>
      <c r="BR554" s="414">
        <f ca="1">+Model!BR354/BR$561</f>
        <v>3426.3545015743816</v>
      </c>
      <c r="BS554" s="414">
        <f ca="1">+Model!BS354/BS$561</f>
        <v>3805.3110217541521</v>
      </c>
      <c r="BT554" s="414">
        <f ca="1">+Model!BT354/BT$561</f>
        <v>4209.8425964620001</v>
      </c>
      <c r="BU554" s="414">
        <f ca="1">+Model!BU354/BU$561</f>
        <v>4627.4026086591175</v>
      </c>
      <c r="BV554" s="414">
        <f ca="1">+Model!BV354/BV$561</f>
        <v>5071.4391434018426</v>
      </c>
      <c r="BW554" s="414">
        <f ca="1">+Model!BW354/BW$561</f>
        <v>5545.4085704879999</v>
      </c>
      <c r="BX554" s="414">
        <f ca="1">+Model!BX354/BX$561</f>
        <v>6056.1833462793511</v>
      </c>
      <c r="BY554" s="414">
        <f ca="1">+Model!BY354/BY$561</f>
        <v>6610.8388148941431</v>
      </c>
      <c r="BZ554" s="414">
        <f ca="1">+Model!BZ354/BZ$561</f>
        <v>7230.3746224765191</v>
      </c>
      <c r="CA554" s="414">
        <f ca="1">+Model!CA354/CA$561</f>
        <v>7919.4130071778791</v>
      </c>
      <c r="CB554" s="414">
        <f ca="1">+Model!CB354/CB$561</f>
        <v>8685.1423112163666</v>
      </c>
      <c r="CC554" s="414">
        <f ca="1">+Model!CC354/CC$561</f>
        <v>9539.8629243180694</v>
      </c>
      <c r="CD554" s="414">
        <f ca="1">+Model!CD354/CD$561</f>
        <v>10496.91345715008</v>
      </c>
      <c r="CE554" s="414"/>
      <c r="CF554" s="430"/>
      <c r="CG554" s="235">
        <f t="shared" si="2082"/>
        <v>0</v>
      </c>
      <c r="CH554" s="235">
        <f t="shared" si="2083"/>
        <v>0</v>
      </c>
      <c r="CI554" s="235" t="e">
        <f>BM554-#REF!</f>
        <v>#REF!</v>
      </c>
      <c r="CJ554" s="235">
        <f t="shared" si="2084"/>
        <v>0</v>
      </c>
      <c r="CK554" s="235">
        <f t="shared" si="2085"/>
        <v>0</v>
      </c>
      <c r="CL554" s="235">
        <f t="shared" ca="1" si="2086"/>
        <v>0</v>
      </c>
      <c r="CM554" s="235">
        <f t="shared" ca="1" si="2087"/>
        <v>0</v>
      </c>
      <c r="CN554" s="235">
        <f t="shared" ca="1" si="2088"/>
        <v>-4.0927261579781771E-12</v>
      </c>
      <c r="CO554" s="235">
        <f t="shared" ca="1" si="2089"/>
        <v>-6.3664629124104977E-12</v>
      </c>
      <c r="CP554" s="235">
        <f t="shared" ca="1" si="2090"/>
        <v>-1.0004441719502211E-11</v>
      </c>
      <c r="CQ554" s="235">
        <f t="shared" ca="1" si="2091"/>
        <v>-1.7280399333685637E-11</v>
      </c>
      <c r="CR554" s="235">
        <f t="shared" ca="1" si="2092"/>
        <v>-2.2737367544323206E-11</v>
      </c>
      <c r="CS554" s="235">
        <f t="shared" ca="1" si="2093"/>
        <v>-3.0013325158506632E-11</v>
      </c>
      <c r="CT554" s="235">
        <f t="shared" ca="1" si="2094"/>
        <v>-3.3651303965598345E-11</v>
      </c>
      <c r="CU554" s="235">
        <f t="shared" ca="1" si="2095"/>
        <v>-3.9108272176235914E-11</v>
      </c>
      <c r="CV554" s="235">
        <f t="shared" ca="1" si="2096"/>
        <v>-4.9112713895738125E-11</v>
      </c>
      <c r="CW554" s="235">
        <f t="shared" ca="1" si="2097"/>
        <v>-6.0026650317013264E-11</v>
      </c>
      <c r="CX554" s="235">
        <f t="shared" ca="1" si="2098"/>
        <v>-4.5474735088646412E-11</v>
      </c>
      <c r="CY554" s="235">
        <f t="shared" ca="1" si="2099"/>
        <v>1.9826984498649836E-10</v>
      </c>
      <c r="CZ554" s="235">
        <f t="shared" ca="1" si="2100"/>
        <v>1.4388206182047725E-9</v>
      </c>
      <c r="DA554" s="150"/>
      <c r="DG554" s="419">
        <v>2064.6153846153848</v>
      </c>
      <c r="DH554" s="502">
        <v>2426.4179104477612</v>
      </c>
      <c r="DI554" s="419">
        <v>2841.8507462686571</v>
      </c>
      <c r="DJ554" s="419">
        <v>2829.7611940298507</v>
      </c>
      <c r="DK554" s="419">
        <v>2592.799394377173</v>
      </c>
      <c r="DL554" s="419">
        <v>3004.2159018129582</v>
      </c>
      <c r="DM554" s="419">
        <v>3426.3545015743857</v>
      </c>
      <c r="DN554" s="419">
        <v>3805.3110217541584</v>
      </c>
      <c r="DO554" s="419">
        <v>4209.8425964620101</v>
      </c>
      <c r="DP554" s="419">
        <v>4627.4026086591348</v>
      </c>
      <c r="DQ554" s="1017">
        <v>5071.4391434018653</v>
      </c>
      <c r="DR554" s="1017">
        <v>5545.4085704880299</v>
      </c>
      <c r="DS554" s="1017">
        <v>6056.1833462793848</v>
      </c>
      <c r="DT554" s="1017">
        <v>6610.8388148941822</v>
      </c>
      <c r="DU554" s="1017">
        <v>7230.3746224765682</v>
      </c>
      <c r="DV554" s="1017">
        <v>7919.4130071779391</v>
      </c>
      <c r="DW554" s="1017">
        <v>8685.1423112164121</v>
      </c>
      <c r="DX554" s="1017">
        <v>9539.8629243178711</v>
      </c>
      <c r="DY554" s="1017">
        <v>10496.913457148641</v>
      </c>
      <c r="DZ554" s="1017"/>
      <c r="EA554" s="996"/>
    </row>
    <row r="555" spans="2:131" customFormat="1" hidden="1">
      <c r="B555" s="13" t="s">
        <v>2737</v>
      </c>
      <c r="C555" s="13" t="s">
        <v>2472</v>
      </c>
      <c r="D555" s="220"/>
      <c r="BG555" s="414">
        <f>+Model!BG355/BG$561</f>
        <v>627.97814207650265</v>
      </c>
      <c r="BH555" s="414">
        <f>+Model!BH355/BH$561</f>
        <v>794.20765027322398</v>
      </c>
      <c r="BI555" s="414">
        <f>+Model!BI355/BI$561</f>
        <v>805.36842105263145</v>
      </c>
      <c r="BJ555" s="414">
        <f>+Model!BJ355/BJ$561</f>
        <v>780.26229508196718</v>
      </c>
      <c r="BK555" s="414">
        <f>+Model!BK355/BK$561</f>
        <v>1012.8307692307694</v>
      </c>
      <c r="BL555" s="414">
        <f>+Model!BL355/BL$561</f>
        <v>1116.8358208955224</v>
      </c>
      <c r="BM555" s="414">
        <f>+Model!BM355/BM$561</f>
        <v>1275.8805970149253</v>
      </c>
      <c r="BN555" s="414">
        <f>+Model!BN355/BN$561</f>
        <v>1354.2388059701491</v>
      </c>
      <c r="BO555" s="414">
        <f>+Model!BO355/BO$561</f>
        <v>1404.7164179104477</v>
      </c>
      <c r="BP555" s="414">
        <f ca="1">+Model!BP355/BP$561</f>
        <v>1377.1749615988476</v>
      </c>
      <c r="BQ555" s="414">
        <f ca="1">+Model!BQ355/BQ$561</f>
        <v>1355.9255867943211</v>
      </c>
      <c r="BR555" s="414">
        <f ca="1">+Model!BR355/BR$561</f>
        <v>1320.366162064397</v>
      </c>
      <c r="BS555" s="414">
        <f ca="1">+Model!BS355/BS$561</f>
        <v>1223.8828585180245</v>
      </c>
      <c r="BT555" s="414">
        <f ca="1">+Model!BT355/BT$561</f>
        <v>1083.1929314180807</v>
      </c>
      <c r="BU555" s="414">
        <f ca="1">+Model!BU355/BU$561</f>
        <v>893.97873100236507</v>
      </c>
      <c r="BV555" s="414">
        <f ca="1">+Model!BV355/BV$561</f>
        <v>654.13481639236795</v>
      </c>
      <c r="BW555" s="414">
        <f ca="1">+Model!BW355/BW$561</f>
        <v>357.75412083511543</v>
      </c>
      <c r="BX555" s="414">
        <f ca="1">+Model!BX355/BX$561</f>
        <v>-0.78772867478424546</v>
      </c>
      <c r="BY555" s="414">
        <f ca="1">+Model!BY355/BY$561</f>
        <v>-429.1496307938454</v>
      </c>
      <c r="BZ555" s="414">
        <f ca="1">+Model!BZ355/BZ$561</f>
        <v>-925.10559172888361</v>
      </c>
      <c r="CA555" s="414">
        <f ca="1">+Model!CA355/CA$561</f>
        <v>-1498.3097611453031</v>
      </c>
      <c r="CB555" s="414">
        <f ca="1">+Model!CB355/CB$561</f>
        <v>-2157.2168092955676</v>
      </c>
      <c r="CC555" s="414">
        <f ca="1">+Model!CC355/CC$561</f>
        <v>-2911.3612412650236</v>
      </c>
      <c r="CD555" s="414">
        <f ca="1">+Model!CD355/CD$561</f>
        <v>-3771.5998027429346</v>
      </c>
      <c r="CE555" s="414"/>
      <c r="CF555" s="430"/>
      <c r="CG555" s="235">
        <f t="shared" si="2082"/>
        <v>0</v>
      </c>
      <c r="CH555" s="235">
        <f t="shared" si="2083"/>
        <v>0</v>
      </c>
      <c r="CI555" s="235" t="e">
        <f>BM555-#REF!</f>
        <v>#REF!</v>
      </c>
      <c r="CJ555" s="235">
        <f t="shared" si="2084"/>
        <v>0</v>
      </c>
      <c r="CK555" s="235">
        <f t="shared" si="2085"/>
        <v>0</v>
      </c>
      <c r="CL555" s="235">
        <f t="shared" ca="1" si="2086"/>
        <v>0</v>
      </c>
      <c r="CM555" s="235">
        <f t="shared" ca="1" si="2087"/>
        <v>0</v>
      </c>
      <c r="CN555" s="235">
        <f t="shared" ca="1" si="2088"/>
        <v>0</v>
      </c>
      <c r="CO555" s="235">
        <f t="shared" ca="1" si="2089"/>
        <v>-2.5011104298755527E-12</v>
      </c>
      <c r="CP555" s="235">
        <f t="shared" ca="1" si="2090"/>
        <v>-3.1832314562052488E-12</v>
      </c>
      <c r="CQ555" s="235">
        <f t="shared" ca="1" si="2091"/>
        <v>-4.2064129956997931E-12</v>
      </c>
      <c r="CR555" s="235">
        <f t="shared" ca="1" si="2092"/>
        <v>-5.7980287238024175E-12</v>
      </c>
      <c r="CS555" s="235">
        <f t="shared" ca="1" si="2093"/>
        <v>-8.5833562479820102E-12</v>
      </c>
      <c r="CT555" s="235">
        <f t="shared" ca="1" si="2094"/>
        <v>-1.1260326004958188E-11</v>
      </c>
      <c r="CU555" s="235">
        <f t="shared" ca="1" si="2095"/>
        <v>-1.3642420526593924E-11</v>
      </c>
      <c r="CV555" s="235">
        <f t="shared" ca="1" si="2096"/>
        <v>-1.602984411874786E-11</v>
      </c>
      <c r="CW555" s="235">
        <f t="shared" ca="1" si="2097"/>
        <v>-1.5688783605583012E-11</v>
      </c>
      <c r="CX555" s="235">
        <f t="shared" ca="1" si="2098"/>
        <v>3.5470293369144201E-11</v>
      </c>
      <c r="CY555" s="235">
        <f t="shared" ca="1" si="2099"/>
        <v>5.8389559853821993E-10</v>
      </c>
      <c r="CZ555" s="235">
        <f t="shared" ca="1" si="2100"/>
        <v>4.9371919885743409E-9</v>
      </c>
      <c r="DA555" s="150"/>
      <c r="DG555" s="419">
        <v>1012.8307692307694</v>
      </c>
      <c r="DH555" s="502">
        <v>1116.8358208955224</v>
      </c>
      <c r="DI555" s="419">
        <v>1354.2388059701491</v>
      </c>
      <c r="DJ555" s="419">
        <v>1404.7164179104477</v>
      </c>
      <c r="DK555" s="419">
        <v>1377.1749615988481</v>
      </c>
      <c r="DL555" s="419">
        <v>1355.9255867943223</v>
      </c>
      <c r="DM555" s="419">
        <v>1320.3661620643986</v>
      </c>
      <c r="DN555" s="419">
        <v>1223.882858518027</v>
      </c>
      <c r="DO555" s="419">
        <v>1083.1929314180838</v>
      </c>
      <c r="DP555" s="419">
        <v>893.97873100236927</v>
      </c>
      <c r="DQ555" s="1017">
        <v>654.13481639237375</v>
      </c>
      <c r="DR555" s="1017">
        <v>357.75412083512401</v>
      </c>
      <c r="DS555" s="1017">
        <v>-0.78772867477298514</v>
      </c>
      <c r="DT555" s="1017">
        <v>-429.14963079383176</v>
      </c>
      <c r="DU555" s="1017">
        <v>-925.10559172886758</v>
      </c>
      <c r="DV555" s="1017">
        <v>-1498.3097611452874</v>
      </c>
      <c r="DW555" s="1017">
        <v>-2157.2168092956031</v>
      </c>
      <c r="DX555" s="1017">
        <v>-2911.3612412656075</v>
      </c>
      <c r="DY555" s="1017">
        <v>-3771.5998027478718</v>
      </c>
      <c r="DZ555" s="1017"/>
      <c r="EA555" s="996"/>
    </row>
    <row r="556" spans="2:131" customFormat="1" hidden="1">
      <c r="B556" s="13"/>
      <c r="C556" s="13"/>
      <c r="D556" s="220"/>
      <c r="BG556" s="414"/>
      <c r="BH556" s="414"/>
      <c r="BI556" s="414"/>
      <c r="BJ556" s="414"/>
      <c r="BK556" s="414"/>
      <c r="BL556" s="414"/>
      <c r="BM556" s="414"/>
      <c r="BN556" s="414"/>
      <c r="BO556" s="414"/>
      <c r="BP556" s="414"/>
      <c r="BQ556" s="414"/>
      <c r="BR556" s="414"/>
      <c r="BS556" s="414"/>
      <c r="BT556" s="414"/>
      <c r="BU556" s="414"/>
      <c r="BV556" s="414"/>
      <c r="BW556" s="414"/>
      <c r="BX556" s="414"/>
      <c r="BY556" s="414"/>
      <c r="BZ556" s="414"/>
      <c r="CA556" s="414"/>
      <c r="CB556" s="414"/>
      <c r="CC556" s="414"/>
      <c r="CD556" s="414"/>
      <c r="CE556" s="414"/>
      <c r="CF556" s="430"/>
      <c r="CG556" s="235">
        <f t="shared" si="2082"/>
        <v>0</v>
      </c>
      <c r="CH556" s="235">
        <f t="shared" si="2083"/>
        <v>0</v>
      </c>
      <c r="CI556" s="235" t="e">
        <f>BM556-#REF!</f>
        <v>#REF!</v>
      </c>
      <c r="CJ556" s="235">
        <f t="shared" si="2084"/>
        <v>0</v>
      </c>
      <c r="CK556" s="235">
        <f t="shared" si="2085"/>
        <v>0</v>
      </c>
      <c r="CL556" s="235">
        <f t="shared" si="2086"/>
        <v>0</v>
      </c>
      <c r="CM556" s="235">
        <f t="shared" si="2087"/>
        <v>0</v>
      </c>
      <c r="CN556" s="235">
        <f t="shared" si="2088"/>
        <v>0</v>
      </c>
      <c r="CO556" s="235">
        <f t="shared" si="2089"/>
        <v>0</v>
      </c>
      <c r="CP556" s="235">
        <f t="shared" si="2090"/>
        <v>0</v>
      </c>
      <c r="CQ556" s="235">
        <f t="shared" si="2091"/>
        <v>0</v>
      </c>
      <c r="CR556" s="235">
        <f t="shared" si="2092"/>
        <v>0</v>
      </c>
      <c r="CS556" s="235">
        <f t="shared" si="2093"/>
        <v>0</v>
      </c>
      <c r="CT556" s="235">
        <f t="shared" si="2094"/>
        <v>0</v>
      </c>
      <c r="CU556" s="235">
        <f t="shared" si="2095"/>
        <v>0</v>
      </c>
      <c r="CV556" s="235">
        <f t="shared" si="2096"/>
        <v>0</v>
      </c>
      <c r="CW556" s="235">
        <f t="shared" si="2097"/>
        <v>0</v>
      </c>
      <c r="CX556" s="235">
        <f t="shared" si="2098"/>
        <v>0</v>
      </c>
      <c r="CY556" s="235">
        <f t="shared" si="2099"/>
        <v>0</v>
      </c>
      <c r="CZ556" s="235">
        <f t="shared" si="2100"/>
        <v>0</v>
      </c>
      <c r="DA556" s="150"/>
      <c r="DG556" s="419"/>
      <c r="DH556" s="502"/>
      <c r="DI556" s="419"/>
      <c r="DJ556" s="419"/>
      <c r="DK556" s="419"/>
      <c r="DL556" s="419"/>
      <c r="DM556" s="419"/>
      <c r="DN556" s="419"/>
      <c r="DO556" s="419"/>
      <c r="DP556" s="419"/>
      <c r="DQ556" s="1017"/>
      <c r="DR556" s="1017"/>
      <c r="DS556" s="1017"/>
      <c r="DT556" s="1017"/>
      <c r="DU556" s="1017"/>
      <c r="DV556" s="1017"/>
      <c r="DW556" s="1017"/>
      <c r="DX556" s="1017"/>
      <c r="DY556" s="1017"/>
      <c r="DZ556" s="1017"/>
      <c r="EA556" s="996"/>
    </row>
    <row r="557" spans="2:131" customFormat="1" hidden="1">
      <c r="B557" s="80" t="s">
        <v>1728</v>
      </c>
      <c r="C557" s="51" t="s">
        <v>2270</v>
      </c>
      <c r="D557" s="207"/>
      <c r="BG557" s="414">
        <f>+Model!BG357/BG$561</f>
        <v>775.99271402550085</v>
      </c>
      <c r="BH557" s="414">
        <f>+Model!BH357/BH$561</f>
        <v>953.04189435336968</v>
      </c>
      <c r="BI557" s="414">
        <f>+Model!BI357/BI$561</f>
        <v>999.08771929824559</v>
      </c>
      <c r="BJ557" s="414">
        <f>+Model!BJ357/BJ$561</f>
        <v>973.04918032786895</v>
      </c>
      <c r="BK557" s="414">
        <f>+Model!BK357/BK$561</f>
        <v>1353.7846153846153</v>
      </c>
      <c r="BL557" s="414">
        <f>+Model!BL357/BL$561</f>
        <v>1519.4925373134329</v>
      </c>
      <c r="BM557" s="414">
        <f>+Model!BM357/BM$561</f>
        <v>1368.8059701492537</v>
      </c>
      <c r="BN557" s="414">
        <f>+Model!BN357/BN$561</f>
        <v>1145.2537313432836</v>
      </c>
      <c r="BO557" s="414">
        <f>+Model!BO357/BO$561</f>
        <v>786.44776119402991</v>
      </c>
      <c r="BP557" s="414">
        <f ca="1">+Model!BP357/BP$561</f>
        <v>572.20280166251405</v>
      </c>
      <c r="BQ557" s="414">
        <f ca="1">+Model!BQ357/BQ$561</f>
        <v>529.70405205346106</v>
      </c>
      <c r="BR557" s="414">
        <f ca="1">+Model!BR357/BR$561</f>
        <v>458.58520259361251</v>
      </c>
      <c r="BS557" s="414">
        <f ca="1">+Model!BS357/BS$561</f>
        <v>265.61859550086768</v>
      </c>
      <c r="BT557" s="414">
        <f ca="1">+Model!BT357/BT$561</f>
        <v>-15.761258699020301</v>
      </c>
      <c r="BU557" s="414">
        <f ca="1">+Model!BU357/BU$561</f>
        <v>-394.18965953045137</v>
      </c>
      <c r="BV557" s="414">
        <f ca="1">+Model!BV357/BV$561</f>
        <v>-873.87748875044565</v>
      </c>
      <c r="BW557" s="414">
        <f ca="1">+Model!BW357/BW$561</f>
        <v>-1466.6388798649507</v>
      </c>
      <c r="BX557" s="414">
        <f ca="1">+Model!BX357/BX$561</f>
        <v>-2183.72257888475</v>
      </c>
      <c r="BY557" s="414">
        <f ca="1">+Model!BY357/BY$561</f>
        <v>-3040.4463831228727</v>
      </c>
      <c r="BZ557" s="414">
        <f ca="1">+Model!BZ357/BZ$561</f>
        <v>-4032.3583049929489</v>
      </c>
      <c r="CA557" s="414">
        <f ca="1">+Model!CA357/CA$561</f>
        <v>-5178.7666438257884</v>
      </c>
      <c r="CB557" s="414">
        <f ca="1">+Model!CB357/CB$561</f>
        <v>-6496.5807401263164</v>
      </c>
      <c r="CC557" s="414">
        <f ca="1">+Model!CC357/CC$561</f>
        <v>-8004.8696040652285</v>
      </c>
      <c r="CD557" s="414">
        <f ca="1">+Model!CD357/CD$561</f>
        <v>-9725.3467270210513</v>
      </c>
      <c r="CE557" s="414"/>
      <c r="CF557" s="430"/>
      <c r="CG557" s="235">
        <f t="shared" si="2082"/>
        <v>0</v>
      </c>
      <c r="CH557" s="235">
        <f t="shared" si="2083"/>
        <v>0</v>
      </c>
      <c r="CI557" s="235" t="e">
        <f>BM557-#REF!</f>
        <v>#REF!</v>
      </c>
      <c r="CJ557" s="235">
        <f t="shared" si="2084"/>
        <v>0</v>
      </c>
      <c r="CK557" s="235">
        <f t="shared" si="2085"/>
        <v>0</v>
      </c>
      <c r="CL557" s="235">
        <f t="shared" ca="1" si="2086"/>
        <v>-9.0949470177292824E-13</v>
      </c>
      <c r="CM557" s="235">
        <f t="shared" ca="1" si="2087"/>
        <v>-2.2737367544323206E-12</v>
      </c>
      <c r="CN557" s="235">
        <f t="shared" ca="1" si="2088"/>
        <v>-3.808509063674137E-12</v>
      </c>
      <c r="CO557" s="235">
        <f t="shared" ca="1" si="2089"/>
        <v>-5.2864379540551454E-12</v>
      </c>
      <c r="CP557" s="235">
        <f t="shared" ca="1" si="2090"/>
        <v>-7.1462835649072076E-12</v>
      </c>
      <c r="CQ557" s="235">
        <f t="shared" ca="1" si="2091"/>
        <v>-9.0949470177292824E-12</v>
      </c>
      <c r="CR557" s="235">
        <f t="shared" ca="1" si="2092"/>
        <v>-1.2619238987099379E-11</v>
      </c>
      <c r="CS557" s="235">
        <f t="shared" ca="1" si="2093"/>
        <v>-1.8189894035458565E-11</v>
      </c>
      <c r="CT557" s="235">
        <f t="shared" ca="1" si="2094"/>
        <v>-2.319211489520967E-11</v>
      </c>
      <c r="CU557" s="235">
        <f t="shared" ca="1" si="2095"/>
        <v>-2.8194335754960775E-11</v>
      </c>
      <c r="CV557" s="235">
        <f t="shared" ca="1" si="2096"/>
        <v>-3.3196556614711881E-11</v>
      </c>
      <c r="CW557" s="235">
        <f t="shared" ca="1" si="2097"/>
        <v>-3.3651303965598345E-11</v>
      </c>
      <c r="CX557" s="235">
        <f t="shared" ca="1" si="2098"/>
        <v>7.0031092036515474E-11</v>
      </c>
      <c r="CY557" s="235">
        <f t="shared" ca="1" si="2099"/>
        <v>1.1677911970764399E-9</v>
      </c>
      <c r="CZ557" s="235">
        <f t="shared" ca="1" si="2100"/>
        <v>9.8752934718504548E-9</v>
      </c>
      <c r="DA557" s="150"/>
      <c r="DG557" s="419">
        <v>1353.7846153846153</v>
      </c>
      <c r="DH557" s="502">
        <v>1519.4925373134329</v>
      </c>
      <c r="DI557" s="419">
        <v>1145.2537313432836</v>
      </c>
      <c r="DJ557" s="419">
        <v>786.44776119402991</v>
      </c>
      <c r="DK557" s="419">
        <v>572.20280166251496</v>
      </c>
      <c r="DL557" s="419">
        <v>529.70405205346333</v>
      </c>
      <c r="DM557" s="419">
        <v>458.58520259361632</v>
      </c>
      <c r="DN557" s="419">
        <v>265.61859550087297</v>
      </c>
      <c r="DO557" s="419">
        <v>-15.761258699013155</v>
      </c>
      <c r="DP557" s="419">
        <v>-394.18965953044227</v>
      </c>
      <c r="DQ557" s="1017">
        <v>-873.87748875043303</v>
      </c>
      <c r="DR557" s="1017">
        <v>-1466.6388798649325</v>
      </c>
      <c r="DS557" s="1017">
        <v>-2183.7225788847268</v>
      </c>
      <c r="DT557" s="1017">
        <v>-3040.4463831228445</v>
      </c>
      <c r="DU557" s="1017">
        <v>-4032.3583049929157</v>
      </c>
      <c r="DV557" s="1017">
        <v>-5178.7666438257547</v>
      </c>
      <c r="DW557" s="1017">
        <v>-6496.5807401263864</v>
      </c>
      <c r="DX557" s="1017">
        <v>-8004.8696040663963</v>
      </c>
      <c r="DY557" s="1017">
        <v>-9725.3467270309266</v>
      </c>
      <c r="DZ557" s="1017"/>
      <c r="EA557" s="996"/>
    </row>
    <row r="558" spans="2:131" customFormat="1" hidden="1">
      <c r="B558" s="80" t="s">
        <v>2002</v>
      </c>
      <c r="C558" s="51" t="s">
        <v>2001</v>
      </c>
      <c r="D558" s="207"/>
      <c r="BG558" s="414">
        <f>+Model!BG358/BG$561</f>
        <v>89.774134790528109</v>
      </c>
      <c r="BH558" s="414">
        <f>+Model!BH358/BH$561</f>
        <v>-22.250819672131019</v>
      </c>
      <c r="BI558" s="414">
        <f>+Model!BI358/BI$561</f>
        <v>26.657894736842064</v>
      </c>
      <c r="BJ558" s="414">
        <f>+Model!BJ358/BJ$561</f>
        <v>5.6754098360656036</v>
      </c>
      <c r="BK558" s="414">
        <f>+Model!BK358/BK$561</f>
        <v>314.61538461538453</v>
      </c>
      <c r="BL558" s="414">
        <f>+Model!BL358/BL$561</f>
        <v>14.719402985073799</v>
      </c>
      <c r="BM558" s="414">
        <f>+Model!BM358/BM$561</f>
        <v>79.013432835821163</v>
      </c>
      <c r="BN558" s="414">
        <f>+Model!BN358/BN$561</f>
        <v>-68.852238805969947</v>
      </c>
      <c r="BO558" s="414">
        <f>+Model!BO358/BO$561</f>
        <v>-54.672636815920569</v>
      </c>
      <c r="BP558" s="414">
        <f>+Model!BP358/BP$561</f>
        <v>-43.607936507936643</v>
      </c>
      <c r="BQ558" s="414">
        <f>+Model!BQ358/BQ$561</f>
        <v>-43.607936507936643</v>
      </c>
      <c r="BR558" s="414">
        <f>+Model!BR358/BR$561</f>
        <v>-43.607936507936643</v>
      </c>
      <c r="BS558" s="414">
        <f>+Model!BS358/BS$561</f>
        <v>-43.607936507936643</v>
      </c>
      <c r="BT558" s="414">
        <f>+Model!BT358/BT$561</f>
        <v>-43.607936507936643</v>
      </c>
      <c r="BU558" s="414">
        <f>+Model!BU358/BU$561</f>
        <v>-43.607936507936643</v>
      </c>
      <c r="BV558" s="414">
        <f>+Model!BV358/BV$561</f>
        <v>-43.607936507936643</v>
      </c>
      <c r="BW558" s="414">
        <f>+Model!BW358/BW$561</f>
        <v>-43.607936507936643</v>
      </c>
      <c r="BX558" s="414">
        <f>+Model!BX358/BX$561</f>
        <v>-43.607936507936643</v>
      </c>
      <c r="BY558" s="414">
        <f>+Model!BY358/BY$561</f>
        <v>-43.607936507936643</v>
      </c>
      <c r="BZ558" s="414">
        <f>+Model!BZ358/BZ$561</f>
        <v>-43.607936507936643</v>
      </c>
      <c r="CA558" s="414">
        <f>+Model!CA358/CA$561</f>
        <v>-43.607936507936643</v>
      </c>
      <c r="CB558" s="414">
        <f>+Model!CB358/CB$561</f>
        <v>-43.607936507936643</v>
      </c>
      <c r="CC558" s="414">
        <f>+Model!CC358/CC$561</f>
        <v>-43.607936507936643</v>
      </c>
      <c r="CD558" s="414">
        <f>+Model!CD358/CD$561</f>
        <v>-43.607936507936643</v>
      </c>
      <c r="CE558" s="414"/>
      <c r="CF558" s="430"/>
      <c r="CG558" s="235">
        <f t="shared" si="2082"/>
        <v>0</v>
      </c>
      <c r="CH558" s="235">
        <f t="shared" si="2083"/>
        <v>-4.0856207306205761E-13</v>
      </c>
      <c r="CI558" s="235" t="e">
        <f>BM558-#REF!</f>
        <v>#REF!</v>
      </c>
      <c r="CJ558" s="235">
        <f t="shared" si="2084"/>
        <v>0</v>
      </c>
      <c r="CK558" s="235">
        <f t="shared" si="2085"/>
        <v>0</v>
      </c>
      <c r="CL558" s="235">
        <f t="shared" si="2086"/>
        <v>0</v>
      </c>
      <c r="CM558" s="235">
        <f t="shared" si="2087"/>
        <v>0</v>
      </c>
      <c r="CN558" s="235">
        <f t="shared" si="2088"/>
        <v>0</v>
      </c>
      <c r="CO558" s="235">
        <f t="shared" si="2089"/>
        <v>0</v>
      </c>
      <c r="CP558" s="235">
        <f t="shared" si="2090"/>
        <v>0</v>
      </c>
      <c r="CQ558" s="235">
        <f t="shared" si="2091"/>
        <v>0</v>
      </c>
      <c r="CR558" s="235">
        <f t="shared" si="2092"/>
        <v>0</v>
      </c>
      <c r="CS558" s="235">
        <f t="shared" si="2093"/>
        <v>0</v>
      </c>
      <c r="CT558" s="235">
        <f t="shared" si="2094"/>
        <v>0</v>
      </c>
      <c r="CU558" s="235">
        <f t="shared" si="2095"/>
        <v>0</v>
      </c>
      <c r="CV558" s="235">
        <f t="shared" si="2096"/>
        <v>0</v>
      </c>
      <c r="CW558" s="235">
        <f t="shared" si="2097"/>
        <v>0</v>
      </c>
      <c r="CX558" s="235">
        <f t="shared" si="2098"/>
        <v>0</v>
      </c>
      <c r="CY558" s="235">
        <f t="shared" si="2099"/>
        <v>0</v>
      </c>
      <c r="CZ558" s="235">
        <f t="shared" si="2100"/>
        <v>0</v>
      </c>
      <c r="DA558" s="150"/>
      <c r="DG558" s="419">
        <v>314.61538461538476</v>
      </c>
      <c r="DH558" s="502">
        <v>14.719402985074208</v>
      </c>
      <c r="DI558" s="419">
        <v>-68.852238805969947</v>
      </c>
      <c r="DJ558" s="419">
        <v>-54.672636815920569</v>
      </c>
      <c r="DK558" s="419">
        <v>-43.607936507936643</v>
      </c>
      <c r="DL558" s="419">
        <v>-43.607936507936643</v>
      </c>
      <c r="DM558" s="419">
        <v>-43.607936507936643</v>
      </c>
      <c r="DN558" s="419">
        <v>-43.607936507936643</v>
      </c>
      <c r="DO558" s="419">
        <v>-43.607936507936643</v>
      </c>
      <c r="DP558" s="419">
        <v>-43.607936507936643</v>
      </c>
      <c r="DQ558" s="1017">
        <v>-43.607936507936643</v>
      </c>
      <c r="DR558" s="1017">
        <v>-43.607936507936643</v>
      </c>
      <c r="DS558" s="1017">
        <v>-43.607936507936643</v>
      </c>
      <c r="DT558" s="1017">
        <v>-43.607936507936643</v>
      </c>
      <c r="DU558" s="1017">
        <v>-43.607936507936643</v>
      </c>
      <c r="DV558" s="1017">
        <v>-43.607936507936643</v>
      </c>
      <c r="DW558" s="1017">
        <v>-43.607936507936643</v>
      </c>
      <c r="DX558" s="1017">
        <v>-43.607936507936643</v>
      </c>
      <c r="DY558" s="1017">
        <v>-43.607936507936643</v>
      </c>
      <c r="DZ558" s="1017"/>
      <c r="EA558" s="996"/>
    </row>
    <row r="559" spans="2:131" customFormat="1" hidden="1">
      <c r="B559" s="80" t="s">
        <v>1724</v>
      </c>
      <c r="C559" s="51"/>
      <c r="D559" s="207" t="s">
        <v>2275</v>
      </c>
      <c r="BG559" s="414">
        <f>+Model!BG359/BG$561</f>
        <v>93.178191180520287</v>
      </c>
      <c r="BH559" s="414">
        <f>+Model!BH359/BH$561</f>
        <v>64.498790647675349</v>
      </c>
      <c r="BI559" s="414">
        <f>+Model!BI359/BI$561</f>
        <v>28.47645429362883</v>
      </c>
      <c r="BJ559" s="414">
        <f>+Model!BJ359/BJ$561</f>
        <v>12.942757323300201</v>
      </c>
      <c r="BK559" s="414">
        <f>+Model!BK359/BK$561</f>
        <v>135.57396449704143</v>
      </c>
      <c r="BL559" s="414">
        <f>+Model!BL359/BL$561</f>
        <v>61.528179995544662</v>
      </c>
      <c r="BM559" s="414">
        <f>+Model!BM359/BM$561</f>
        <v>-44.981064825128108</v>
      </c>
      <c r="BN559" s="414">
        <f>+Model!BN359/BN$561</f>
        <v>-66.732011583871696</v>
      </c>
      <c r="BO559" s="414">
        <f>+Model!BO359/BO$561</f>
        <v>-107.10625974604585</v>
      </c>
      <c r="BP559" s="414">
        <f ca="1">+Model!BP359/BP$561</f>
        <v>-13.114979196000061</v>
      </c>
      <c r="BQ559" s="414">
        <f ca="1">+Model!BQ359/BQ$561</f>
        <v>-10.118749906917383</v>
      </c>
      <c r="BR559" s="414">
        <f ca="1">+Model!BR359/BR$561</f>
        <v>-16.93305939520204</v>
      </c>
      <c r="BS559" s="414">
        <f ca="1">+Model!BS359/BS$561</f>
        <v>-45.944430260177342</v>
      </c>
      <c r="BT559" s="414">
        <f ca="1">+Model!BT359/BT$561</f>
        <v>-66.995203380925702</v>
      </c>
      <c r="BU559" s="414">
        <f ca="1">+Model!BU359/BU$561</f>
        <v>-90.102000197959768</v>
      </c>
      <c r="BV559" s="414">
        <f ca="1">+Model!BV359/BV$561</f>
        <v>-114.21138790952246</v>
      </c>
      <c r="BW559" s="414">
        <f ca="1">+Model!BW359/BW$561</f>
        <v>-141.13366455107263</v>
      </c>
      <c r="BX559" s="414">
        <f ca="1">+Model!BX359/BX$561</f>
        <v>-170.73421405233316</v>
      </c>
      <c r="BY559" s="414">
        <f ca="1">+Model!BY359/BY$561</f>
        <v>-203.98185815193392</v>
      </c>
      <c r="BZ559" s="414">
        <f ca="1">+Model!BZ359/BZ$561</f>
        <v>-236.169505207161</v>
      </c>
      <c r="CA559" s="414">
        <f ca="1">+Model!CA359/CA$561</f>
        <v>-272.95436638877123</v>
      </c>
      <c r="CB559" s="414">
        <f ca="1">+Model!CB359/CB$561</f>
        <v>-313.7652610239353</v>
      </c>
      <c r="CC559" s="414">
        <f ca="1">+Model!CC359/CC$561</f>
        <v>-359.11639617593153</v>
      </c>
      <c r="CD559" s="414">
        <f ca="1">+Model!CD359/CD$561</f>
        <v>-409.63741022757677</v>
      </c>
      <c r="CE559" s="414"/>
      <c r="CF559" s="430"/>
      <c r="CG559" s="235">
        <f t="shared" si="2082"/>
        <v>0</v>
      </c>
      <c r="CH559" s="235">
        <f t="shared" si="2083"/>
        <v>0</v>
      </c>
      <c r="CI559" s="235" t="e">
        <f>BM559-#REF!</f>
        <v>#REF!</v>
      </c>
      <c r="CJ559" s="235">
        <f t="shared" si="2084"/>
        <v>0</v>
      </c>
      <c r="CK559" s="235">
        <f t="shared" si="2085"/>
        <v>0</v>
      </c>
      <c r="CL559" s="235">
        <f t="shared" ca="1" si="2086"/>
        <v>-2.0605739337042905E-13</v>
      </c>
      <c r="CM559" s="235">
        <f t="shared" ca="1" si="2087"/>
        <v>-3.3395508580724709E-13</v>
      </c>
      <c r="CN559" s="235">
        <f t="shared" ca="1" si="2088"/>
        <v>-3.6237679523765109E-13</v>
      </c>
      <c r="CO559" s="235">
        <f t="shared" ca="1" si="2089"/>
        <v>-3.6237679523765109E-13</v>
      </c>
      <c r="CP559" s="235">
        <f t="shared" ca="1" si="2090"/>
        <v>-4.2632564145606011E-13</v>
      </c>
      <c r="CQ559" s="235">
        <f t="shared" ca="1" si="2091"/>
        <v>-4.6895820560166612E-13</v>
      </c>
      <c r="CR559" s="235">
        <f t="shared" ca="1" si="2092"/>
        <v>-8.5265128291212022E-13</v>
      </c>
      <c r="CS559" s="235">
        <f t="shared" ca="1" si="2093"/>
        <v>-1.3073986337985843E-12</v>
      </c>
      <c r="CT559" s="235">
        <f t="shared" ca="1" si="2094"/>
        <v>-1.2505552149377763E-12</v>
      </c>
      <c r="CU559" s="235">
        <f t="shared" ca="1" si="2095"/>
        <v>-1.1368683772161603E-12</v>
      </c>
      <c r="CV559" s="235">
        <f t="shared" ca="1" si="2096"/>
        <v>-1.1368683772161603E-12</v>
      </c>
      <c r="CW559" s="235">
        <f t="shared" ca="1" si="2097"/>
        <v>0</v>
      </c>
      <c r="CX559" s="235">
        <f t="shared" ca="1" si="2098"/>
        <v>2.4556356947869062E-11</v>
      </c>
      <c r="CY559" s="235">
        <f t="shared" ca="1" si="2099"/>
        <v>2.6130919650313444E-10</v>
      </c>
      <c r="CZ559" s="235">
        <f t="shared" ca="1" si="2100"/>
        <v>2.0730794858536683E-9</v>
      </c>
      <c r="DA559" s="150"/>
      <c r="DG559" s="419">
        <v>135.57396449704143</v>
      </c>
      <c r="DH559" s="502">
        <v>61.528179995544662</v>
      </c>
      <c r="DI559" s="419">
        <v>-66.732011583871696</v>
      </c>
      <c r="DJ559" s="419">
        <v>-107.10625974604585</v>
      </c>
      <c r="DK559" s="419">
        <v>-13.114979195999855</v>
      </c>
      <c r="DL559" s="419">
        <v>-10.118749906917049</v>
      </c>
      <c r="DM559" s="419">
        <v>-16.933059395201678</v>
      </c>
      <c r="DN559" s="419">
        <v>-45.944430260176979</v>
      </c>
      <c r="DO559" s="419">
        <v>-66.995203380925275</v>
      </c>
      <c r="DP559" s="419">
        <v>-90.102000197959299</v>
      </c>
      <c r="DQ559" s="1017">
        <v>-114.2113879095216</v>
      </c>
      <c r="DR559" s="1017">
        <v>-141.13366455107132</v>
      </c>
      <c r="DS559" s="1017">
        <v>-170.73421405233191</v>
      </c>
      <c r="DT559" s="1017">
        <v>-203.98185815193278</v>
      </c>
      <c r="DU559" s="1017">
        <v>-236.16950520715986</v>
      </c>
      <c r="DV559" s="1017">
        <v>-272.95436638877123</v>
      </c>
      <c r="DW559" s="1017">
        <v>-313.76526102395985</v>
      </c>
      <c r="DX559" s="1017">
        <v>-359.11639617619284</v>
      </c>
      <c r="DY559" s="1017">
        <v>-409.63741022964984</v>
      </c>
      <c r="DZ559" s="1017"/>
      <c r="EA559" s="996"/>
    </row>
    <row r="560" spans="2:131" customFormat="1" hidden="1">
      <c r="B560" s="80"/>
      <c r="C560" s="108"/>
      <c r="D560" s="223"/>
      <c r="BG560" s="414"/>
      <c r="BH560" s="414"/>
      <c r="BI560" s="414"/>
      <c r="BJ560" s="414"/>
      <c r="BK560" s="414"/>
      <c r="BL560" s="414"/>
      <c r="BM560" s="414"/>
      <c r="BN560" s="414"/>
      <c r="BO560" s="414"/>
      <c r="BP560" s="414"/>
      <c r="BQ560" s="414"/>
      <c r="BR560" s="414"/>
      <c r="BS560" s="414"/>
      <c r="BT560" s="414"/>
      <c r="BU560" s="414"/>
      <c r="BV560" s="414"/>
      <c r="BW560" s="414"/>
      <c r="BX560" s="414"/>
      <c r="BY560" s="414"/>
      <c r="BZ560" s="414"/>
      <c r="CA560" s="414"/>
      <c r="CB560" s="414"/>
      <c r="CC560" s="414"/>
      <c r="CD560" s="414"/>
      <c r="CE560" s="414"/>
      <c r="CF560" s="430"/>
      <c r="CG560" s="235"/>
      <c r="CH560" s="235"/>
      <c r="CI560" s="235"/>
      <c r="CJ560" s="235"/>
      <c r="CK560" s="235"/>
      <c r="CL560" s="235"/>
      <c r="CM560" s="235"/>
      <c r="CN560" s="235"/>
      <c r="CO560" s="235"/>
      <c r="CP560" s="235"/>
      <c r="CQ560" s="235"/>
      <c r="CR560" s="235"/>
      <c r="CS560" s="235"/>
      <c r="CT560" s="235"/>
      <c r="CU560" s="235"/>
      <c r="CV560" s="235"/>
      <c r="CW560" s="235"/>
      <c r="CX560" s="235"/>
      <c r="CY560" s="235"/>
      <c r="CZ560" s="235"/>
      <c r="DA560" s="150"/>
      <c r="DG560" s="419"/>
      <c r="DH560" s="502"/>
      <c r="DI560" s="419"/>
      <c r="DJ560" s="419"/>
      <c r="DK560" s="419"/>
      <c r="DL560" s="419"/>
      <c r="DM560" s="419"/>
      <c r="DN560" s="419"/>
      <c r="DO560" s="419"/>
      <c r="DP560" s="419"/>
      <c r="DQ560" s="1017"/>
      <c r="DR560" s="1017"/>
      <c r="DS560" s="1017"/>
      <c r="DT560" s="1017"/>
      <c r="DU560" s="1017"/>
      <c r="DV560" s="1017"/>
      <c r="DW560" s="1017"/>
      <c r="DX560" s="1017"/>
      <c r="DY560" s="1017"/>
      <c r="DZ560" s="1017"/>
      <c r="EA560" s="996"/>
    </row>
    <row r="561" spans="2:131" customFormat="1" hidden="1">
      <c r="B561" s="99" t="s">
        <v>1281</v>
      </c>
      <c r="C561" s="12" t="s">
        <v>4095</v>
      </c>
      <c r="D561" s="225" t="s">
        <v>817</v>
      </c>
      <c r="BG561" s="414">
        <f>+Model!BG363</f>
        <v>2.7450000000000001</v>
      </c>
      <c r="BH561" s="414">
        <f>+Model!BH363</f>
        <v>2.7450000000000001</v>
      </c>
      <c r="BI561" s="414">
        <f>+Model!BI363</f>
        <v>2.85</v>
      </c>
      <c r="BJ561" s="414">
        <f>+Model!BJ363</f>
        <v>3.05</v>
      </c>
      <c r="BK561" s="414">
        <f>+Model!BK363</f>
        <v>3.25</v>
      </c>
      <c r="BL561" s="414">
        <f>+Model!BL363</f>
        <v>3.35</v>
      </c>
      <c r="BM561" s="414">
        <f>+Model!BM363</f>
        <v>3.35</v>
      </c>
      <c r="BN561" s="414">
        <f>+Model!BN363</f>
        <v>3.35</v>
      </c>
      <c r="BO561" s="414">
        <f>+Model!BO363</f>
        <v>3.35</v>
      </c>
      <c r="BP561" s="414">
        <f>+Model!BP363</f>
        <v>4.2</v>
      </c>
      <c r="BQ561" s="414">
        <f>+Model!BQ363</f>
        <v>4.2</v>
      </c>
      <c r="BR561" s="414">
        <f>+Model!BR363</f>
        <v>4.2</v>
      </c>
      <c r="BS561" s="414">
        <f>+Model!BS363</f>
        <v>4.2</v>
      </c>
      <c r="BT561" s="414">
        <f>+Model!BT363</f>
        <v>4.2</v>
      </c>
      <c r="BU561" s="414">
        <f>+Model!BU363</f>
        <v>4.2</v>
      </c>
      <c r="BV561" s="414">
        <f>+Model!BV363</f>
        <v>4.2</v>
      </c>
      <c r="BW561" s="414">
        <f>+Model!BW363</f>
        <v>4.2</v>
      </c>
      <c r="BX561" s="414">
        <f>+Model!BX363</f>
        <v>4.2</v>
      </c>
      <c r="BY561" s="414">
        <f>+Model!BY363</f>
        <v>4.2</v>
      </c>
      <c r="BZ561" s="414">
        <f>+Model!BZ363</f>
        <v>4.2</v>
      </c>
      <c r="CA561" s="414">
        <f>+Model!CA363</f>
        <v>4.2</v>
      </c>
      <c r="CB561" s="414">
        <f>+Model!CB363</f>
        <v>4.2</v>
      </c>
      <c r="CC561" s="414">
        <f>+Model!CC363</f>
        <v>4.2</v>
      </c>
      <c r="CD561" s="414">
        <f>+Model!CD363</f>
        <v>4.2</v>
      </c>
      <c r="CE561" s="414"/>
      <c r="CF561" s="430"/>
      <c r="CG561" s="235">
        <f>BK561-DG561</f>
        <v>0</v>
      </c>
      <c r="CH561" s="235">
        <f>BL561-DH561</f>
        <v>0</v>
      </c>
      <c r="CI561" s="235" t="e">
        <f>BM561-#REF!</f>
        <v>#REF!</v>
      </c>
      <c r="CJ561" s="235">
        <f t="shared" ref="CJ561:CZ561" si="2101">BN561-DI561</f>
        <v>0</v>
      </c>
      <c r="CK561" s="235">
        <f t="shared" si="2101"/>
        <v>0</v>
      </c>
      <c r="CL561" s="235">
        <f t="shared" si="2101"/>
        <v>0</v>
      </c>
      <c r="CM561" s="235">
        <f t="shared" si="2101"/>
        <v>0</v>
      </c>
      <c r="CN561" s="235">
        <f t="shared" si="2101"/>
        <v>0</v>
      </c>
      <c r="CO561" s="235">
        <f t="shared" si="2101"/>
        <v>0</v>
      </c>
      <c r="CP561" s="235">
        <f t="shared" si="2101"/>
        <v>0</v>
      </c>
      <c r="CQ561" s="235">
        <f t="shared" si="2101"/>
        <v>0</v>
      </c>
      <c r="CR561" s="235">
        <f t="shared" si="2101"/>
        <v>0</v>
      </c>
      <c r="CS561" s="235">
        <f t="shared" si="2101"/>
        <v>0</v>
      </c>
      <c r="CT561" s="235">
        <f t="shared" si="2101"/>
        <v>0</v>
      </c>
      <c r="CU561" s="235">
        <f t="shared" si="2101"/>
        <v>0</v>
      </c>
      <c r="CV561" s="235">
        <f t="shared" si="2101"/>
        <v>0</v>
      </c>
      <c r="CW561" s="235">
        <f t="shared" si="2101"/>
        <v>0</v>
      </c>
      <c r="CX561" s="235">
        <f t="shared" si="2101"/>
        <v>0</v>
      </c>
      <c r="CY561" s="235">
        <f t="shared" si="2101"/>
        <v>0</v>
      </c>
      <c r="CZ561" s="235">
        <f t="shared" si="2101"/>
        <v>0</v>
      </c>
      <c r="DA561" s="150"/>
      <c r="DG561" s="419">
        <v>3.25</v>
      </c>
      <c r="DH561" s="502">
        <v>3.35</v>
      </c>
      <c r="DI561" s="419">
        <v>3.35</v>
      </c>
      <c r="DJ561" s="419">
        <v>3.35</v>
      </c>
      <c r="DK561" s="419">
        <v>4.2</v>
      </c>
      <c r="DL561" s="419">
        <v>4.2</v>
      </c>
      <c r="DM561" s="419">
        <v>4.2</v>
      </c>
      <c r="DN561" s="419">
        <v>4.2</v>
      </c>
      <c r="DO561" s="419">
        <v>4.2</v>
      </c>
      <c r="DP561" s="419">
        <v>4.2</v>
      </c>
      <c r="DQ561" s="1017">
        <v>4.2</v>
      </c>
      <c r="DR561" s="1017">
        <v>4.2</v>
      </c>
      <c r="DS561" s="1017">
        <v>4.2</v>
      </c>
      <c r="DT561" s="1017">
        <v>4.2</v>
      </c>
      <c r="DU561" s="1017">
        <v>4.2</v>
      </c>
      <c r="DV561" s="1017">
        <v>4.2</v>
      </c>
      <c r="DW561" s="1017">
        <v>4.2</v>
      </c>
      <c r="DX561" s="1017">
        <v>4.2</v>
      </c>
      <c r="DY561" s="1017">
        <v>4.2</v>
      </c>
      <c r="DZ561" s="1017"/>
      <c r="EA561" s="996"/>
    </row>
    <row r="562" spans="2:131" hidden="1"/>
    <row r="563" spans="2:131" s="196" customFormat="1" hidden="1">
      <c r="B563" s="196" t="s">
        <v>2091</v>
      </c>
      <c r="D563" s="198"/>
      <c r="E563" s="198"/>
      <c r="F563" s="198"/>
      <c r="G563" s="198"/>
      <c r="H563" s="198"/>
      <c r="I563" s="198"/>
      <c r="J563" s="198"/>
      <c r="K563" s="198"/>
      <c r="L563" s="198"/>
      <c r="M563" s="198"/>
      <c r="N563" s="198"/>
      <c r="O563" s="198"/>
      <c r="P563" s="198"/>
      <c r="Q563" s="198"/>
      <c r="R563" s="198"/>
      <c r="S563" s="198"/>
      <c r="T563" s="198"/>
      <c r="U563" s="198"/>
      <c r="V563" s="198"/>
      <c r="W563" s="198"/>
      <c r="X563" s="198"/>
      <c r="Y563" s="198"/>
      <c r="Z563" s="198"/>
      <c r="AA563" s="198"/>
      <c r="AB563" s="198"/>
      <c r="AC563" s="198"/>
      <c r="AD563" s="198"/>
      <c r="AE563" s="198"/>
      <c r="AF563" s="198"/>
      <c r="AG563" s="198"/>
      <c r="AH563" s="198"/>
      <c r="AI563" s="198"/>
      <c r="AJ563" s="198"/>
      <c r="AK563" s="198"/>
      <c r="AL563" s="198"/>
      <c r="AM563" s="198"/>
      <c r="AN563" s="198"/>
      <c r="AO563" s="198"/>
      <c r="AP563" s="198"/>
      <c r="AQ563" s="198"/>
      <c r="AR563" s="198"/>
      <c r="AS563" s="198"/>
      <c r="AT563" s="198"/>
      <c r="AU563" s="198"/>
      <c r="AV563" s="198"/>
      <c r="AW563" s="198"/>
      <c r="AX563" s="198"/>
      <c r="AY563" s="198"/>
      <c r="AZ563" s="198"/>
      <c r="BA563" s="198"/>
      <c r="BB563" s="198"/>
      <c r="BC563" s="198"/>
      <c r="BD563" s="198"/>
      <c r="BE563" s="198"/>
      <c r="BF563" s="198"/>
      <c r="BG563" s="198"/>
      <c r="BH563" s="198"/>
      <c r="BI563" s="198"/>
      <c r="BJ563" s="198"/>
      <c r="BK563" s="198"/>
      <c r="BL563" s="198"/>
      <c r="BM563" s="198"/>
      <c r="BN563" s="198"/>
      <c r="BO563" s="198"/>
      <c r="BP563" s="198"/>
      <c r="BQ563" s="198"/>
      <c r="BR563" s="198"/>
      <c r="BS563" s="198"/>
      <c r="BT563" s="198"/>
      <c r="BU563" s="198"/>
      <c r="BV563" s="198"/>
      <c r="BW563" s="198"/>
      <c r="BX563" s="198"/>
      <c r="BY563" s="198"/>
      <c r="BZ563" s="198"/>
      <c r="CA563" s="198"/>
      <c r="CB563" s="198"/>
      <c r="CC563" s="198"/>
      <c r="CD563" s="198"/>
      <c r="CE563" s="198"/>
      <c r="CF563" s="198"/>
      <c r="CG563" s="198"/>
      <c r="CH563" s="198"/>
      <c r="CI563" s="198"/>
      <c r="CJ563" s="198"/>
      <c r="CK563" s="198"/>
      <c r="CL563" s="198"/>
      <c r="CM563" s="198"/>
      <c r="CN563" s="198"/>
      <c r="CO563" s="198"/>
      <c r="CP563" s="198"/>
      <c r="CQ563" s="198"/>
      <c r="CR563" s="198"/>
      <c r="CS563" s="198"/>
      <c r="CT563" s="198"/>
      <c r="CU563" s="198"/>
      <c r="CV563" s="198"/>
      <c r="CW563" s="198"/>
      <c r="CX563" s="198"/>
      <c r="CY563" s="198"/>
      <c r="CZ563" s="198"/>
      <c r="DA563" s="216"/>
      <c r="DB563" s="152"/>
      <c r="DC563" s="152"/>
      <c r="DD563" s="152"/>
      <c r="DE563" s="152"/>
      <c r="DF563" s="236"/>
      <c r="DG563" s="236"/>
      <c r="DH563" s="492"/>
      <c r="DI563" s="236"/>
      <c r="DJ563" s="236"/>
      <c r="DK563" s="236"/>
      <c r="DL563" s="236"/>
      <c r="DM563" s="236"/>
      <c r="DN563" s="236"/>
      <c r="DO563" s="236"/>
      <c r="DP563" s="236"/>
      <c r="DQ563" s="258"/>
      <c r="DR563" s="258"/>
      <c r="DS563" s="258"/>
      <c r="DT563" s="258"/>
      <c r="DU563" s="258"/>
      <c r="DV563" s="258"/>
      <c r="DW563" s="258"/>
      <c r="DX563" s="258"/>
      <c r="DY563" s="258"/>
      <c r="DZ563" s="258"/>
      <c r="EA563" s="967"/>
    </row>
    <row r="564" spans="2:131" hidden="1">
      <c r="B564" s="3" t="str">
        <f>B215</f>
        <v>Totaal inkomsten incl. schenkingen</v>
      </c>
      <c r="F564" s="16">
        <f t="shared" ref="F564:AK564" si="2102">F215/F$419*100</f>
        <v>18.804911325600585</v>
      </c>
      <c r="G564" s="16">
        <f t="shared" si="2102"/>
        <v>18.699342406719392</v>
      </c>
      <c r="H564" s="16">
        <f t="shared" si="2102"/>
        <v>18.310056872584664</v>
      </c>
      <c r="I564" s="16">
        <f t="shared" si="2102"/>
        <v>18.392630608936038</v>
      </c>
      <c r="J564" s="16">
        <f t="shared" si="2102"/>
        <v>18.305622679030979</v>
      </c>
      <c r="K564" s="16">
        <f t="shared" si="2102"/>
        <v>18.029194780040466</v>
      </c>
      <c r="L564" s="16">
        <f t="shared" si="2102"/>
        <v>19.61749494425646</v>
      </c>
      <c r="M564" s="16">
        <f t="shared" si="2102"/>
        <v>19.23922350589519</v>
      </c>
      <c r="N564" s="16">
        <f t="shared" si="2102"/>
        <v>18.817443448945742</v>
      </c>
      <c r="O564" s="16">
        <f t="shared" si="2102"/>
        <v>18.337311184109719</v>
      </c>
      <c r="P564" s="16">
        <f t="shared" si="2102"/>
        <v>18.895001628577628</v>
      </c>
      <c r="Q564" s="16">
        <f t="shared" si="2102"/>
        <v>18.35553575204187</v>
      </c>
      <c r="R564" s="16">
        <f t="shared" si="2102"/>
        <v>17.003547466922125</v>
      </c>
      <c r="S564" s="16">
        <f t="shared" si="2102"/>
        <v>16.000985724783252</v>
      </c>
      <c r="T564" s="16">
        <f t="shared" si="2102"/>
        <v>14.606209475657908</v>
      </c>
      <c r="U564" s="16">
        <f t="shared" si="2102"/>
        <v>14.886810733027048</v>
      </c>
      <c r="V564" s="16">
        <f t="shared" si="2102"/>
        <v>15.218537529919296</v>
      </c>
      <c r="W564" s="16">
        <f t="shared" si="2102"/>
        <v>14.812971545169622</v>
      </c>
      <c r="X564" s="16">
        <f t="shared" si="2102"/>
        <v>14.76477864969185</v>
      </c>
      <c r="Y564" s="16">
        <f t="shared" si="2102"/>
        <v>13.165170370180387</v>
      </c>
      <c r="Z564" s="16">
        <f t="shared" si="2102"/>
        <v>12.547774574980139</v>
      </c>
      <c r="AA564" s="16">
        <f t="shared" si="2102"/>
        <v>9.5267177445185087</v>
      </c>
      <c r="AB564" s="16">
        <f t="shared" si="2102"/>
        <v>11.375820807590422</v>
      </c>
      <c r="AC564" s="16">
        <f t="shared" si="2102"/>
        <v>11.573588442200288</v>
      </c>
      <c r="AD564" s="16">
        <f t="shared" si="2102"/>
        <v>11.465278904883631</v>
      </c>
      <c r="AE564" s="16">
        <f t="shared" si="2102"/>
        <v>10.620843901286193</v>
      </c>
      <c r="AF564" s="16">
        <f t="shared" si="2102"/>
        <v>11.270145126415734</v>
      </c>
      <c r="AG564" s="16">
        <f t="shared" si="2102"/>
        <v>10.898424339798989</v>
      </c>
      <c r="AH564" s="16">
        <f t="shared" si="2102"/>
        <v>10.587440987247843</v>
      </c>
      <c r="AI564" s="16">
        <f t="shared" si="2102"/>
        <v>9.784663842853135</v>
      </c>
      <c r="AJ564" s="16">
        <f t="shared" si="2102"/>
        <v>10.589036548053484</v>
      </c>
      <c r="AK564" s="16">
        <f t="shared" si="2102"/>
        <v>9.979786895828072</v>
      </c>
      <c r="AL564" s="16">
        <f t="shared" ref="AL564:BQ564" si="2103">AL215/AL$419*100</f>
        <v>8.8310456531938879</v>
      </c>
      <c r="AM564" s="16">
        <f t="shared" si="2103"/>
        <v>7.9782475580004268</v>
      </c>
      <c r="AN564" s="16">
        <f t="shared" si="2103"/>
        <v>9.0669181302869024</v>
      </c>
      <c r="AO564" s="16">
        <f t="shared" si="2103"/>
        <v>8.7410832474971212</v>
      </c>
      <c r="AP564" s="16">
        <f t="shared" si="2103"/>
        <v>7.5022807700949521</v>
      </c>
      <c r="AQ564" s="16">
        <f t="shared" si="2103"/>
        <v>6.8013767811590835</v>
      </c>
      <c r="AR564" s="16">
        <f t="shared" si="2103"/>
        <v>4.8361618135365161</v>
      </c>
      <c r="AS564" s="16">
        <f t="shared" si="2103"/>
        <v>2.0829528755145157</v>
      </c>
      <c r="AT564" s="16">
        <f t="shared" si="2103"/>
        <v>424.22216442715916</v>
      </c>
      <c r="AU564" s="16">
        <f t="shared" si="2103"/>
        <v>11.687708081332456</v>
      </c>
      <c r="AV564" s="16">
        <f t="shared" si="2103"/>
        <v>26.284776175364861</v>
      </c>
      <c r="AW564" s="16">
        <f t="shared" si="2103"/>
        <v>21.830745510577731</v>
      </c>
      <c r="AX564" s="16">
        <f t="shared" si="2103"/>
        <v>29.076412670906866</v>
      </c>
      <c r="AY564" s="16">
        <f t="shared" si="2103"/>
        <v>27.607692222927945</v>
      </c>
      <c r="AZ564" s="16">
        <f t="shared" si="2103"/>
        <v>24.076795952436324</v>
      </c>
      <c r="BA564" s="16">
        <f t="shared" si="2103"/>
        <v>27.881397237891136</v>
      </c>
      <c r="BB564" s="16">
        <f t="shared" si="2103"/>
        <v>27.135035799616858</v>
      </c>
      <c r="BC564" s="16">
        <f t="shared" si="2103"/>
        <v>25.874171127502176</v>
      </c>
      <c r="BD564" s="16">
        <f t="shared" si="2103"/>
        <v>25.91222654883541</v>
      </c>
      <c r="BE564" s="16">
        <f t="shared" ca="1" si="2103"/>
        <v>23.144171019052106</v>
      </c>
      <c r="BF564" s="16">
        <f t="shared" ca="1" si="2103"/>
        <v>23.447126779724101</v>
      </c>
      <c r="BG564" s="16">
        <f t="shared" ca="1" si="2103"/>
        <v>28.102467783457964</v>
      </c>
      <c r="BH564" s="16">
        <f t="shared" ca="1" si="2103"/>
        <v>23.886385779986263</v>
      </c>
      <c r="BI564" s="16">
        <f t="shared" ca="1" si="2103"/>
        <v>30.018512051697716</v>
      </c>
      <c r="BJ564" s="16">
        <f t="shared" ca="1" si="2103"/>
        <v>21.317133948723814</v>
      </c>
      <c r="BK564" s="16">
        <f t="shared" ca="1" si="2103"/>
        <v>21.926629294052574</v>
      </c>
      <c r="BL564" s="16">
        <f t="shared" ca="1" si="2103"/>
        <v>23.098072802794192</v>
      </c>
      <c r="BM564" s="16">
        <f t="shared" ca="1" si="2103"/>
        <v>23.021448085142147</v>
      </c>
      <c r="BN564" s="16">
        <f t="shared" si="2103"/>
        <v>21.814995478400572</v>
      </c>
      <c r="BO564" s="16">
        <f t="shared" ca="1" si="2103"/>
        <v>19.164410453623109</v>
      </c>
      <c r="BP564" s="16">
        <f t="shared" ca="1" si="2103"/>
        <v>20.207342885093361</v>
      </c>
      <c r="BQ564" s="16">
        <f t="shared" ca="1" si="2103"/>
        <v>19.989562348364327</v>
      </c>
      <c r="BR564" s="16">
        <f t="shared" ref="BR564:BS587" ca="1" si="2104">BR215/BR$419*100</f>
        <v>19.952831069971598</v>
      </c>
      <c r="BS564" s="16">
        <f t="shared" ca="1" si="2104"/>
        <v>19.910856861858075</v>
      </c>
      <c r="BT564" s="16">
        <f t="shared" ref="BT564:BU587" ca="1" si="2105">BT215/BT$419*100</f>
        <v>19.920179445204003</v>
      </c>
      <c r="BU564" s="16">
        <f t="shared" ca="1" si="2105"/>
        <v>19.974811219686586</v>
      </c>
      <c r="BV564" s="16">
        <f t="shared" ref="BV564:BV587" ca="1" si="2106">BV215/BV$419*100</f>
        <v>20.036796209995273</v>
      </c>
      <c r="BW564" s="16">
        <f t="shared" ref="BW564:BX564" ca="1" si="2107">BW215/BW$419*100</f>
        <v>20.109781599011779</v>
      </c>
      <c r="BX564" s="16">
        <f t="shared" ca="1" si="2107"/>
        <v>20.191952371496985</v>
      </c>
      <c r="BY564" s="16">
        <f t="shared" ref="BY564:CD564" ca="1" si="2108">BY215/BY$419*100</f>
        <v>20.283168917562392</v>
      </c>
      <c r="BZ564" s="16">
        <f t="shared" ca="1" si="2108"/>
        <v>20.300642040686434</v>
      </c>
      <c r="CA564" s="16">
        <f t="shared" ca="1" si="2108"/>
        <v>20.324887299335096</v>
      </c>
      <c r="CB564" s="16">
        <f t="shared" ca="1" si="2108"/>
        <v>20.354958229434981</v>
      </c>
      <c r="CC564" s="16">
        <f t="shared" ca="1" si="2108"/>
        <v>20.388991173902344</v>
      </c>
      <c r="CD564" s="16">
        <f t="shared" ca="1" si="2108"/>
        <v>20.426887894021103</v>
      </c>
      <c r="CE564" s="16"/>
      <c r="CG564" s="235">
        <f t="shared" ref="CG564:CG601" ca="1" si="2109">BK564-DG564</f>
        <v>-5.9267417167258252</v>
      </c>
      <c r="CH564" s="235">
        <f t="shared" ref="CH564:CH601" ca="1" si="2110">BL564-DH564</f>
        <v>0.32439168884547342</v>
      </c>
      <c r="CI564" s="235" t="e">
        <f ca="1">BM564-#REF!</f>
        <v>#REF!</v>
      </c>
      <c r="CJ564" s="235">
        <f t="shared" ref="CJ564:CJ601" si="2111">BN564-DI564</f>
        <v>0</v>
      </c>
      <c r="CK564" s="235">
        <f t="shared" ref="CK564:CK601" ca="1" si="2112">BO564-DJ564</f>
        <v>0</v>
      </c>
      <c r="CL564" s="235">
        <f t="shared" ref="CL564:CL601" ca="1" si="2113">BP564-DK564</f>
        <v>0</v>
      </c>
      <c r="CM564" s="235">
        <f t="shared" ref="CM564:CM601" ca="1" si="2114">BQ564-DL564</f>
        <v>0</v>
      </c>
      <c r="CN564" s="235">
        <f t="shared" ref="CN564:CN601" ca="1" si="2115">BR564-DM564</f>
        <v>0</v>
      </c>
      <c r="CO564" s="235">
        <f t="shared" ref="CO564:CO601" ca="1" si="2116">BS564-DN564</f>
        <v>0</v>
      </c>
      <c r="CP564" s="235">
        <f t="shared" ref="CP564:CP601" ca="1" si="2117">BT564-DO564</f>
        <v>0</v>
      </c>
      <c r="CQ564" s="235">
        <f t="shared" ref="CQ564:CQ601" ca="1" si="2118">BU564-DP564</f>
        <v>0</v>
      </c>
      <c r="CR564" s="235">
        <f t="shared" ref="CR564:CR601" ca="1" si="2119">BV564-DQ564</f>
        <v>3.1974423109204508E-14</v>
      </c>
      <c r="CS564" s="235">
        <f t="shared" ref="CS564:CS601" ca="1" si="2120">BW564-DR564</f>
        <v>3.907985046680551E-14</v>
      </c>
      <c r="CT564" s="235">
        <f t="shared" ref="CT564:CT601" ca="1" si="2121">BX564-DS564</f>
        <v>5.3290705182007514E-14</v>
      </c>
      <c r="CU564" s="235">
        <f t="shared" ref="CU564:CU601" ca="1" si="2122">BY564-DT564</f>
        <v>6.0396132539608516E-14</v>
      </c>
      <c r="CV564" s="235">
        <f t="shared" ref="CV564:CV601" ca="1" si="2123">BZ564-DU564</f>
        <v>6.7501559897209518E-14</v>
      </c>
      <c r="CW564" s="235">
        <f t="shared" ref="CW564:CW601" ca="1" si="2124">CA564-DV564</f>
        <v>1.4210854715202004E-13</v>
      </c>
      <c r="CX564" s="235">
        <f t="shared" ref="CX564:CX601" ca="1" si="2125">CB564-DW564</f>
        <v>8.2778228716051672E-13</v>
      </c>
      <c r="CY564" s="235">
        <f t="shared" ref="CY564:CY601" ca="1" si="2126">CC564-DX564</f>
        <v>6.3629101987316972E-12</v>
      </c>
      <c r="CZ564" s="235">
        <f t="shared" ref="CZ564:CZ601" ca="1" si="2127">CD564-DY564</f>
        <v>4.4209969018993434E-11</v>
      </c>
      <c r="DG564" s="236">
        <v>27.8533710107784</v>
      </c>
      <c r="DH564" s="492">
        <v>22.773681113948719</v>
      </c>
      <c r="DI564" s="236">
        <v>21.814995478400572</v>
      </c>
      <c r="DJ564" s="236">
        <v>19.164410453623102</v>
      </c>
      <c r="DK564" s="236">
        <v>20.20734288509335</v>
      </c>
      <c r="DL564" s="236">
        <v>19.989562348364327</v>
      </c>
      <c r="DM564" s="236">
        <v>19.952831069971591</v>
      </c>
      <c r="DN564" s="236">
        <v>19.910856861858072</v>
      </c>
      <c r="DO564" s="236">
        <v>19.920179445203985</v>
      </c>
      <c r="DP564" s="236">
        <v>19.974811219686568</v>
      </c>
      <c r="DQ564" s="258">
        <v>20.036796209995241</v>
      </c>
      <c r="DR564" s="258">
        <v>20.10978159901174</v>
      </c>
      <c r="DS564" s="258">
        <v>20.191952371496932</v>
      </c>
      <c r="DT564" s="258">
        <v>20.283168917562332</v>
      </c>
      <c r="DU564" s="258">
        <v>20.300642040686366</v>
      </c>
      <c r="DV564" s="258">
        <v>20.324887299334954</v>
      </c>
      <c r="DW564" s="258">
        <v>20.354958229434153</v>
      </c>
      <c r="DX564" s="258">
        <v>20.388991173895981</v>
      </c>
      <c r="DY564" s="258">
        <v>20.426887893976893</v>
      </c>
    </row>
    <row r="565" spans="2:131" hidden="1">
      <c r="B565" s="3" t="str">
        <f t="shared" ref="B565:B609" si="2128">B216</f>
        <v>Inkomsten:</v>
      </c>
      <c r="F565" s="16">
        <f t="shared" ref="F565:AK565" si="2129">F216/F$419*100</f>
        <v>0</v>
      </c>
      <c r="G565" s="16">
        <f t="shared" si="2129"/>
        <v>0</v>
      </c>
      <c r="H565" s="16">
        <f t="shared" si="2129"/>
        <v>0</v>
      </c>
      <c r="I565" s="16">
        <f t="shared" si="2129"/>
        <v>0</v>
      </c>
      <c r="J565" s="16">
        <f t="shared" si="2129"/>
        <v>0</v>
      </c>
      <c r="K565" s="16">
        <f t="shared" si="2129"/>
        <v>0</v>
      </c>
      <c r="L565" s="16">
        <f t="shared" si="2129"/>
        <v>0</v>
      </c>
      <c r="M565" s="16">
        <f t="shared" si="2129"/>
        <v>0</v>
      </c>
      <c r="N565" s="16">
        <f t="shared" si="2129"/>
        <v>0</v>
      </c>
      <c r="O565" s="16">
        <f t="shared" si="2129"/>
        <v>0</v>
      </c>
      <c r="P565" s="16">
        <f t="shared" si="2129"/>
        <v>0</v>
      </c>
      <c r="Q565" s="16">
        <f t="shared" si="2129"/>
        <v>0</v>
      </c>
      <c r="R565" s="16">
        <f t="shared" si="2129"/>
        <v>0</v>
      </c>
      <c r="S565" s="16">
        <f t="shared" si="2129"/>
        <v>0</v>
      </c>
      <c r="T565" s="16">
        <f t="shared" si="2129"/>
        <v>0</v>
      </c>
      <c r="U565" s="16">
        <f t="shared" si="2129"/>
        <v>0</v>
      </c>
      <c r="V565" s="16">
        <f t="shared" si="2129"/>
        <v>0</v>
      </c>
      <c r="W565" s="16">
        <f t="shared" si="2129"/>
        <v>0</v>
      </c>
      <c r="X565" s="16">
        <f t="shared" si="2129"/>
        <v>0</v>
      </c>
      <c r="Y565" s="16">
        <f t="shared" si="2129"/>
        <v>0</v>
      </c>
      <c r="Z565" s="16">
        <f t="shared" si="2129"/>
        <v>0</v>
      </c>
      <c r="AA565" s="16">
        <f t="shared" si="2129"/>
        <v>0</v>
      </c>
      <c r="AB565" s="16">
        <f t="shared" si="2129"/>
        <v>0</v>
      </c>
      <c r="AC565" s="16">
        <f t="shared" si="2129"/>
        <v>0</v>
      </c>
      <c r="AD565" s="16">
        <f t="shared" si="2129"/>
        <v>0</v>
      </c>
      <c r="AE565" s="16">
        <f t="shared" si="2129"/>
        <v>0</v>
      </c>
      <c r="AF565" s="16">
        <f t="shared" si="2129"/>
        <v>0</v>
      </c>
      <c r="AG565" s="16">
        <f t="shared" si="2129"/>
        <v>0</v>
      </c>
      <c r="AH565" s="16">
        <f t="shared" si="2129"/>
        <v>0</v>
      </c>
      <c r="AI565" s="16">
        <f t="shared" si="2129"/>
        <v>0</v>
      </c>
      <c r="AJ565" s="16">
        <f t="shared" si="2129"/>
        <v>0</v>
      </c>
      <c r="AK565" s="16">
        <f t="shared" si="2129"/>
        <v>0</v>
      </c>
      <c r="AL565" s="16">
        <f t="shared" ref="AL565:BQ565" si="2130">AL216/AL$419*100</f>
        <v>0</v>
      </c>
      <c r="AM565" s="16">
        <f t="shared" si="2130"/>
        <v>0</v>
      </c>
      <c r="AN565" s="16">
        <f t="shared" si="2130"/>
        <v>0</v>
      </c>
      <c r="AO565" s="16">
        <f t="shared" si="2130"/>
        <v>0</v>
      </c>
      <c r="AP565" s="16">
        <f t="shared" si="2130"/>
        <v>0</v>
      </c>
      <c r="AQ565" s="16">
        <f t="shared" si="2130"/>
        <v>0</v>
      </c>
      <c r="AR565" s="16">
        <f t="shared" si="2130"/>
        <v>0</v>
      </c>
      <c r="AS565" s="16">
        <f t="shared" si="2130"/>
        <v>0</v>
      </c>
      <c r="AT565" s="16">
        <f t="shared" si="2130"/>
        <v>0</v>
      </c>
      <c r="AU565" s="16">
        <f t="shared" si="2130"/>
        <v>0</v>
      </c>
      <c r="AV565" s="16">
        <f t="shared" si="2130"/>
        <v>0</v>
      </c>
      <c r="AW565" s="16">
        <f t="shared" si="2130"/>
        <v>0</v>
      </c>
      <c r="AX565" s="16">
        <f t="shared" si="2130"/>
        <v>0</v>
      </c>
      <c r="AY565" s="16">
        <f t="shared" si="2130"/>
        <v>0</v>
      </c>
      <c r="AZ565" s="16">
        <f t="shared" si="2130"/>
        <v>0</v>
      </c>
      <c r="BA565" s="16">
        <f t="shared" si="2130"/>
        <v>0</v>
      </c>
      <c r="BB565" s="16">
        <f t="shared" si="2130"/>
        <v>0</v>
      </c>
      <c r="BC565" s="16">
        <f t="shared" si="2130"/>
        <v>0</v>
      </c>
      <c r="BD565" s="16">
        <f t="shared" si="2130"/>
        <v>0</v>
      </c>
      <c r="BE565" s="16">
        <f t="shared" ca="1" si="2130"/>
        <v>0</v>
      </c>
      <c r="BF565" s="16">
        <f t="shared" ca="1" si="2130"/>
        <v>0</v>
      </c>
      <c r="BG565" s="16">
        <f t="shared" ca="1" si="2130"/>
        <v>0</v>
      </c>
      <c r="BH565" s="16">
        <f t="shared" ca="1" si="2130"/>
        <v>0</v>
      </c>
      <c r="BI565" s="16">
        <f t="shared" ca="1" si="2130"/>
        <v>0</v>
      </c>
      <c r="BJ565" s="16">
        <f t="shared" ca="1" si="2130"/>
        <v>0</v>
      </c>
      <c r="BK565" s="16">
        <f t="shared" ca="1" si="2130"/>
        <v>0</v>
      </c>
      <c r="BL565" s="16">
        <f t="shared" ca="1" si="2130"/>
        <v>0</v>
      </c>
      <c r="BM565" s="16">
        <f t="shared" ca="1" si="2130"/>
        <v>0</v>
      </c>
      <c r="BN565" s="16">
        <f t="shared" si="2130"/>
        <v>0</v>
      </c>
      <c r="BO565" s="16">
        <f t="shared" ca="1" si="2130"/>
        <v>0</v>
      </c>
      <c r="BP565" s="16">
        <f t="shared" ca="1" si="2130"/>
        <v>-1.4607367856330555</v>
      </c>
      <c r="BQ565" s="16">
        <f t="shared" ca="1" si="2130"/>
        <v>-2.1122615924490278</v>
      </c>
      <c r="BR565" s="16">
        <f t="shared" ca="1" si="2104"/>
        <v>-2.1472039806197443</v>
      </c>
      <c r="BS565" s="16">
        <f t="shared" ca="1" si="2104"/>
        <v>-1.7943194718888014</v>
      </c>
      <c r="BT565" s="16">
        <f t="shared" ca="1" si="2105"/>
        <v>-1.8930839311770777</v>
      </c>
      <c r="BU565" s="16">
        <f t="shared" ca="1" si="2105"/>
        <v>-2.086038279917648</v>
      </c>
      <c r="BV565" s="16">
        <f t="shared" ca="1" si="2106"/>
        <v>-2.2822165338492217</v>
      </c>
      <c r="BW565" s="16">
        <f t="shared" ref="BW565:BX565" ca="1" si="2131">BW216/BW$419*100</f>
        <v>-2.473131978526053</v>
      </c>
      <c r="BX565" s="16">
        <f t="shared" ca="1" si="2131"/>
        <v>-2.6602895321874263</v>
      </c>
      <c r="BY565" s="16">
        <f t="shared" ref="BY565:CD565" ca="1" si="2132">BY216/BY$419*100</f>
        <v>-2.8433842977380608</v>
      </c>
      <c r="BZ565" s="16">
        <f t="shared" ca="1" si="2132"/>
        <v>-3.0777329441040524</v>
      </c>
      <c r="CA565" s="16">
        <f t="shared" ca="1" si="2132"/>
        <v>-3.3100272377061306</v>
      </c>
      <c r="CB565" s="16">
        <f t="shared" ca="1" si="2132"/>
        <v>-3.5337706990108235</v>
      </c>
      <c r="CC565" s="16">
        <f t="shared" ca="1" si="2132"/>
        <v>-3.7506725110233528</v>
      </c>
      <c r="CD565" s="16">
        <f t="shared" ca="1" si="2132"/>
        <v>-3.960836129388392</v>
      </c>
      <c r="CE565" s="16"/>
      <c r="CG565" s="235">
        <f t="shared" ca="1" si="2109"/>
        <v>0</v>
      </c>
      <c r="CH565" s="235">
        <f t="shared" ca="1" si="2110"/>
        <v>0</v>
      </c>
      <c r="CI565" s="235" t="e">
        <f ca="1">BM565-#REF!</f>
        <v>#REF!</v>
      </c>
      <c r="CJ565" s="235">
        <f t="shared" si="2111"/>
        <v>0</v>
      </c>
      <c r="CK565" s="235">
        <f t="shared" ca="1" si="2112"/>
        <v>0</v>
      </c>
      <c r="CL565" s="235">
        <f t="shared" ca="1" si="2113"/>
        <v>0</v>
      </c>
      <c r="CM565" s="235">
        <f t="shared" ca="1" si="2114"/>
        <v>0</v>
      </c>
      <c r="CN565" s="235">
        <f t="shared" ca="1" si="2115"/>
        <v>0</v>
      </c>
      <c r="CO565" s="235">
        <f t="shared" ca="1" si="2116"/>
        <v>0</v>
      </c>
      <c r="CP565" s="235">
        <f t="shared" ca="1" si="2117"/>
        <v>0</v>
      </c>
      <c r="CQ565" s="235">
        <f t="shared" ca="1" si="2118"/>
        <v>0</v>
      </c>
      <c r="CR565" s="235">
        <f t="shared" ca="1" si="2119"/>
        <v>0</v>
      </c>
      <c r="CS565" s="235">
        <f t="shared" ca="1" si="2120"/>
        <v>-1.021405182655144E-14</v>
      </c>
      <c r="CT565" s="235">
        <f t="shared" ca="1" si="2121"/>
        <v>-1.1546319456101628E-14</v>
      </c>
      <c r="CU565" s="235">
        <f t="shared" ca="1" si="2122"/>
        <v>-1.9539925233402755E-14</v>
      </c>
      <c r="CV565" s="235">
        <f t="shared" ca="1" si="2123"/>
        <v>-1.9984014443252818E-14</v>
      </c>
      <c r="CW565" s="235">
        <f t="shared" ca="1" si="2124"/>
        <v>-9.9920072216264089E-14</v>
      </c>
      <c r="CX565" s="235">
        <f t="shared" ca="1" si="2125"/>
        <v>-1.0396128402589966E-12</v>
      </c>
      <c r="CY565" s="235">
        <f t="shared" ca="1" si="2126"/>
        <v>-9.085177055112581E-12</v>
      </c>
      <c r="CZ565" s="235">
        <f t="shared" ca="1" si="2127"/>
        <v>-6.4618088657653061E-11</v>
      </c>
      <c r="DG565" s="236">
        <v>0</v>
      </c>
      <c r="DH565" s="492">
        <v>0</v>
      </c>
      <c r="DI565" s="236">
        <v>0</v>
      </c>
      <c r="DJ565" s="236">
        <v>0</v>
      </c>
      <c r="DK565" s="236">
        <v>-1.460736785633054</v>
      </c>
      <c r="DL565" s="236">
        <v>-2.1122615924490273</v>
      </c>
      <c r="DM565" s="236">
        <v>-2.1472039806197434</v>
      </c>
      <c r="DN565" s="236">
        <v>-1.7943194718888025</v>
      </c>
      <c r="DO565" s="236">
        <v>-1.8930839311770784</v>
      </c>
      <c r="DP565" s="236">
        <v>-2.0860382799176498</v>
      </c>
      <c r="DQ565" s="258">
        <v>-2.2822165338492204</v>
      </c>
      <c r="DR565" s="258">
        <v>-2.4731319785260428</v>
      </c>
      <c r="DS565" s="258">
        <v>-2.6602895321874147</v>
      </c>
      <c r="DT565" s="258">
        <v>-2.8433842977380412</v>
      </c>
      <c r="DU565" s="258">
        <v>-3.0777329441040324</v>
      </c>
      <c r="DV565" s="258">
        <v>-3.3100272377060307</v>
      </c>
      <c r="DW565" s="258">
        <v>-3.5337706990097839</v>
      </c>
      <c r="DX565" s="258">
        <v>-3.7506725110142676</v>
      </c>
      <c r="DY565" s="258">
        <v>-3.9608361293237739</v>
      </c>
    </row>
    <row r="566" spans="2:131" hidden="1">
      <c r="B566" s="3" t="str">
        <f t="shared" si="2128"/>
        <v xml:space="preserve">Direkte belasting </v>
      </c>
      <c r="F566" s="16">
        <f t="shared" ref="F566:AK566" si="2133">F217/F$419*100</f>
        <v>2.9998220699638805</v>
      </c>
      <c r="G566" s="16">
        <f t="shared" si="2133"/>
        <v>3.1450351923401136</v>
      </c>
      <c r="H566" s="16">
        <f t="shared" si="2133"/>
        <v>3.2931783920668543</v>
      </c>
      <c r="I566" s="16">
        <f t="shared" si="2133"/>
        <v>3.3225229035731636</v>
      </c>
      <c r="J566" s="16">
        <f t="shared" si="2133"/>
        <v>3.2418783475704172</v>
      </c>
      <c r="K566" s="16">
        <f t="shared" si="2133"/>
        <v>3.1137580974614716</v>
      </c>
      <c r="L566" s="16">
        <f t="shared" si="2133"/>
        <v>2.868608884429475</v>
      </c>
      <c r="M566" s="16">
        <f t="shared" si="2133"/>
        <v>2.680870617279008</v>
      </c>
      <c r="N566" s="16">
        <f t="shared" si="2133"/>
        <v>2.8256268047754136</v>
      </c>
      <c r="O566" s="16">
        <f t="shared" si="2133"/>
        <v>2.6069134496762127</v>
      </c>
      <c r="P566" s="16">
        <f t="shared" si="2133"/>
        <v>2.6695428459462498</v>
      </c>
      <c r="Q566" s="16">
        <f t="shared" si="2133"/>
        <v>2.7447834559816999</v>
      </c>
      <c r="R566" s="16">
        <f t="shared" si="2133"/>
        <v>3.4581659035253889</v>
      </c>
      <c r="S566" s="16">
        <f t="shared" si="2133"/>
        <v>3.323400779884393</v>
      </c>
      <c r="T566" s="16">
        <f t="shared" si="2133"/>
        <v>2.8369795484246363</v>
      </c>
      <c r="U566" s="16">
        <f t="shared" si="2133"/>
        <v>3.1570510835789269</v>
      </c>
      <c r="V566" s="16">
        <f t="shared" si="2133"/>
        <v>3.2133341512610949</v>
      </c>
      <c r="W566" s="16">
        <f t="shared" si="2133"/>
        <v>3.3906192283646228</v>
      </c>
      <c r="X566" s="16">
        <f t="shared" si="2133"/>
        <v>4.1354200199950348</v>
      </c>
      <c r="Y566" s="16">
        <f t="shared" si="2133"/>
        <v>3.2224425719708072</v>
      </c>
      <c r="Z566" s="16">
        <f t="shared" si="2133"/>
        <v>2.5869159027739714</v>
      </c>
      <c r="AA566" s="16">
        <f t="shared" si="2133"/>
        <v>1.4871137970300745</v>
      </c>
      <c r="AB566" s="16">
        <f t="shared" si="2133"/>
        <v>2.1184382579720946</v>
      </c>
      <c r="AC566" s="16">
        <f t="shared" si="2133"/>
        <v>2.2246523283965312</v>
      </c>
      <c r="AD566" s="16">
        <f t="shared" si="2133"/>
        <v>2.4199332695098779</v>
      </c>
      <c r="AE566" s="16">
        <f t="shared" si="2133"/>
        <v>2.1637147234484533</v>
      </c>
      <c r="AF566" s="16">
        <f t="shared" si="2133"/>
        <v>2.032306938525533</v>
      </c>
      <c r="AG566" s="16">
        <f t="shared" si="2133"/>
        <v>1.7377121403608058</v>
      </c>
      <c r="AH566" s="16">
        <f t="shared" si="2133"/>
        <v>1.6181641349000033</v>
      </c>
      <c r="AI566" s="16">
        <f t="shared" si="2133"/>
        <v>1.6003406723886164</v>
      </c>
      <c r="AJ566" s="16">
        <f t="shared" si="2133"/>
        <v>1.5640448107839888</v>
      </c>
      <c r="AK566" s="16">
        <f t="shared" si="2133"/>
        <v>1.4921570726117341</v>
      </c>
      <c r="AL566" s="16">
        <f t="shared" ref="AL566:BQ566" si="2134">AL217/AL$419*100</f>
        <v>0.92618467902236334</v>
      </c>
      <c r="AM566" s="16">
        <f t="shared" si="2134"/>
        <v>1.1325446524142426</v>
      </c>
      <c r="AN566" s="16">
        <f t="shared" si="2134"/>
        <v>1.9748022002231378</v>
      </c>
      <c r="AO566" s="16">
        <f t="shared" si="2134"/>
        <v>2.0502867895818264</v>
      </c>
      <c r="AP566" s="16">
        <f t="shared" si="2134"/>
        <v>2.5873483215747322</v>
      </c>
      <c r="AQ566" s="16">
        <f t="shared" si="2134"/>
        <v>2.0239524630128494</v>
      </c>
      <c r="AR566" s="16">
        <f t="shared" si="2134"/>
        <v>1.1185233518215516</v>
      </c>
      <c r="AS566" s="16">
        <f t="shared" si="2134"/>
        <v>0.69532176678940549</v>
      </c>
      <c r="AT566" s="16">
        <f t="shared" si="2134"/>
        <v>85.504662608987886</v>
      </c>
      <c r="AU566" s="16">
        <f t="shared" si="2134"/>
        <v>5.2037049068367889</v>
      </c>
      <c r="AV566" s="16">
        <f t="shared" si="2134"/>
        <v>8.7834372966745793</v>
      </c>
      <c r="AW566" s="16">
        <f t="shared" si="2134"/>
        <v>10.148532013680555</v>
      </c>
      <c r="AX566" s="16">
        <f t="shared" si="2134"/>
        <v>9.8198794322073883</v>
      </c>
      <c r="AY566" s="16">
        <f t="shared" si="2134"/>
        <v>6.5948441655607688</v>
      </c>
      <c r="AZ566" s="16">
        <f t="shared" si="2134"/>
        <v>8.1657535490255633</v>
      </c>
      <c r="BA566" s="16">
        <f t="shared" si="2134"/>
        <v>10.869164861575173</v>
      </c>
      <c r="BB566" s="16">
        <f t="shared" si="2134"/>
        <v>9.2461396194921974</v>
      </c>
      <c r="BC566" s="16">
        <f t="shared" si="2134"/>
        <v>8.7309357309413436</v>
      </c>
      <c r="BD566" s="16">
        <f t="shared" si="2134"/>
        <v>9.6128884842146682</v>
      </c>
      <c r="BE566" s="16">
        <f t="shared" ca="1" si="2134"/>
        <v>8.8900499826864685</v>
      </c>
      <c r="BF566" s="16">
        <f t="shared" ca="1" si="2134"/>
        <v>7.9742805866450954</v>
      </c>
      <c r="BG566" s="16">
        <f t="shared" ca="1" si="2134"/>
        <v>9.1044989418456463</v>
      </c>
      <c r="BH566" s="16">
        <f t="shared" ca="1" si="2134"/>
        <v>8.4758827366198641</v>
      </c>
      <c r="BI566" s="16">
        <f t="shared" ca="1" si="2134"/>
        <v>9.8414186307789659</v>
      </c>
      <c r="BJ566" s="16">
        <f t="shared" ca="1" si="2134"/>
        <v>7.9392719715047262</v>
      </c>
      <c r="BK566" s="16">
        <f t="shared" ca="1" si="2134"/>
        <v>8.3118490729611505</v>
      </c>
      <c r="BL566" s="16">
        <f t="shared" ca="1" si="2134"/>
        <v>9.0948231197961622</v>
      </c>
      <c r="BM566" s="16">
        <f t="shared" ca="1" si="2134"/>
        <v>9.8043014337783614</v>
      </c>
      <c r="BN566" s="16">
        <f t="shared" si="2134"/>
        <v>8.4331084485368475</v>
      </c>
      <c r="BO566" s="16">
        <f t="shared" ca="1" si="2134"/>
        <v>6.5494795991561201</v>
      </c>
      <c r="BP566" s="16">
        <f t="shared" ca="1" si="2134"/>
        <v>8.0080218439780317</v>
      </c>
      <c r="BQ566" s="16">
        <f t="shared" ca="1" si="2134"/>
        <v>8.268640735754575</v>
      </c>
      <c r="BR566" s="16">
        <f t="shared" ca="1" si="2104"/>
        <v>8.1877629050366707</v>
      </c>
      <c r="BS566" s="16">
        <f t="shared" ca="1" si="2104"/>
        <v>8.0113683674511105</v>
      </c>
      <c r="BT566" s="16">
        <f t="shared" ca="1" si="2105"/>
        <v>7.9248196708826937</v>
      </c>
      <c r="BU566" s="16">
        <f t="shared" ca="1" si="2105"/>
        <v>7.886975976467216</v>
      </c>
      <c r="BV566" s="16">
        <f t="shared" ca="1" si="2106"/>
        <v>7.8549760823676307</v>
      </c>
      <c r="BW566" s="16">
        <f t="shared" ref="BW566:BX566" ca="1" si="2135">BW217/BW$419*100</f>
        <v>7.8282936024321295</v>
      </c>
      <c r="BX566" s="16">
        <f t="shared" ca="1" si="2135"/>
        <v>7.8069710272843578</v>
      </c>
      <c r="BY566" s="16">
        <f t="shared" ref="BY566:CD566" ca="1" si="2136">BY217/BY$419*100</f>
        <v>7.7902346670958105</v>
      </c>
      <c r="BZ566" s="16">
        <f t="shared" ca="1" si="2136"/>
        <v>7.7935104886642321</v>
      </c>
      <c r="CA566" s="16">
        <f t="shared" ca="1" si="2136"/>
        <v>7.8003124461498539</v>
      </c>
      <c r="CB566" s="16">
        <f t="shared" ca="1" si="2136"/>
        <v>7.8091877948103114</v>
      </c>
      <c r="CC566" s="16">
        <f t="shared" ca="1" si="2136"/>
        <v>7.8201401495081662</v>
      </c>
      <c r="CD566" s="16">
        <f t="shared" ca="1" si="2136"/>
        <v>7.8326996651882599</v>
      </c>
      <c r="CE566" s="16"/>
      <c r="CG566" s="235">
        <f t="shared" ca="1" si="2109"/>
        <v>-2.2466828796713276</v>
      </c>
      <c r="CH566" s="235">
        <f t="shared" ca="1" si="2110"/>
        <v>0.12772862293622467</v>
      </c>
      <c r="CI566" s="235" t="e">
        <f ca="1">BM566-#REF!</f>
        <v>#REF!</v>
      </c>
      <c r="CJ566" s="235">
        <f t="shared" si="2111"/>
        <v>0</v>
      </c>
      <c r="CK566" s="235">
        <f t="shared" ca="1" si="2112"/>
        <v>0</v>
      </c>
      <c r="CL566" s="235">
        <f t="shared" ca="1" si="2113"/>
        <v>0</v>
      </c>
      <c r="CM566" s="235">
        <f t="shared" ca="1" si="2114"/>
        <v>0</v>
      </c>
      <c r="CN566" s="235">
        <f t="shared" ca="1" si="2115"/>
        <v>0</v>
      </c>
      <c r="CO566" s="235">
        <f t="shared" ca="1" si="2116"/>
        <v>0</v>
      </c>
      <c r="CP566" s="235">
        <f t="shared" ca="1" si="2117"/>
        <v>1.865174681370263E-14</v>
      </c>
      <c r="CQ566" s="235">
        <f t="shared" ca="1" si="2118"/>
        <v>2.2204460492503131E-14</v>
      </c>
      <c r="CR566" s="235">
        <f t="shared" ca="1" si="2119"/>
        <v>2.3980817331903381E-14</v>
      </c>
      <c r="CS566" s="235">
        <f t="shared" ca="1" si="2120"/>
        <v>1.865174681370263E-14</v>
      </c>
      <c r="CT566" s="235">
        <f t="shared" ca="1" si="2121"/>
        <v>2.2204460492503131E-14</v>
      </c>
      <c r="CU566" s="235">
        <f t="shared" ca="1" si="2122"/>
        <v>2.2204460492503131E-14</v>
      </c>
      <c r="CV566" s="235">
        <f t="shared" ca="1" si="2123"/>
        <v>3.4638958368304884E-14</v>
      </c>
      <c r="CW566" s="235">
        <f t="shared" ca="1" si="2124"/>
        <v>-3.3750779948604759E-14</v>
      </c>
      <c r="CX566" s="235">
        <f t="shared" ca="1" si="2125"/>
        <v>-9.6989083431253675E-13</v>
      </c>
      <c r="CY566" s="235">
        <f t="shared" ca="1" si="2126"/>
        <v>-9.1047169803459838E-12</v>
      </c>
      <c r="CZ566" s="235">
        <f t="shared" ca="1" si="2127"/>
        <v>-6.3396399241355539E-11</v>
      </c>
      <c r="DG566" s="236">
        <v>10.558531952632478</v>
      </c>
      <c r="DH566" s="492">
        <v>8.9670944968599375</v>
      </c>
      <c r="DI566" s="236">
        <v>8.4331084485368475</v>
      </c>
      <c r="DJ566" s="236">
        <v>6.5494795991561174</v>
      </c>
      <c r="DK566" s="236">
        <v>8.00802184397803</v>
      </c>
      <c r="DL566" s="236">
        <v>8.268640735754575</v>
      </c>
      <c r="DM566" s="236">
        <v>8.1877629050366671</v>
      </c>
      <c r="DN566" s="236">
        <v>8.0113683674511034</v>
      </c>
      <c r="DO566" s="236">
        <v>7.924819670882675</v>
      </c>
      <c r="DP566" s="236">
        <v>7.8869759764671938</v>
      </c>
      <c r="DQ566" s="258">
        <v>7.8549760823676067</v>
      </c>
      <c r="DR566" s="258">
        <v>7.8282936024321108</v>
      </c>
      <c r="DS566" s="258">
        <v>7.8069710272843356</v>
      </c>
      <c r="DT566" s="258">
        <v>7.7902346670957883</v>
      </c>
      <c r="DU566" s="258">
        <v>7.7935104886641975</v>
      </c>
      <c r="DV566" s="258">
        <v>7.8003124461498876</v>
      </c>
      <c r="DW566" s="258">
        <v>7.8091877948112813</v>
      </c>
      <c r="DX566" s="258">
        <v>7.8201401495172709</v>
      </c>
      <c r="DY566" s="258">
        <v>7.8326996652516563</v>
      </c>
    </row>
    <row r="567" spans="2:131" hidden="1">
      <c r="B567" s="3" t="str">
        <f t="shared" si="2128"/>
        <v>Directe belastingen van de gezinnen aan de overheid</v>
      </c>
      <c r="F567" s="16">
        <f t="shared" ref="F567:AK567" si="2137">F218/F$419*100</f>
        <v>0</v>
      </c>
      <c r="G567" s="16">
        <f t="shared" si="2137"/>
        <v>0</v>
      </c>
      <c r="H567" s="16">
        <f t="shared" si="2137"/>
        <v>0</v>
      </c>
      <c r="I567" s="16">
        <f t="shared" si="2137"/>
        <v>0</v>
      </c>
      <c r="J567" s="16">
        <f t="shared" si="2137"/>
        <v>0</v>
      </c>
      <c r="K567" s="16">
        <f t="shared" si="2137"/>
        <v>0</v>
      </c>
      <c r="L567" s="16">
        <f t="shared" si="2137"/>
        <v>0</v>
      </c>
      <c r="M567" s="16">
        <f t="shared" si="2137"/>
        <v>0</v>
      </c>
      <c r="N567" s="16">
        <f t="shared" si="2137"/>
        <v>0</v>
      </c>
      <c r="O567" s="16">
        <f t="shared" si="2137"/>
        <v>0</v>
      </c>
      <c r="P567" s="16">
        <f t="shared" si="2137"/>
        <v>0</v>
      </c>
      <c r="Q567" s="16">
        <f t="shared" si="2137"/>
        <v>0</v>
      </c>
      <c r="R567" s="16">
        <f t="shared" si="2137"/>
        <v>0</v>
      </c>
      <c r="S567" s="16">
        <f t="shared" si="2137"/>
        <v>0</v>
      </c>
      <c r="T567" s="16">
        <f t="shared" si="2137"/>
        <v>0</v>
      </c>
      <c r="U567" s="16">
        <f t="shared" si="2137"/>
        <v>0</v>
      </c>
      <c r="V567" s="16">
        <f t="shared" si="2137"/>
        <v>0</v>
      </c>
      <c r="W567" s="16">
        <f t="shared" si="2137"/>
        <v>0</v>
      </c>
      <c r="X567" s="16">
        <f t="shared" si="2137"/>
        <v>0</v>
      </c>
      <c r="Y567" s="16">
        <f t="shared" si="2137"/>
        <v>0</v>
      </c>
      <c r="Z567" s="16">
        <f t="shared" si="2137"/>
        <v>0</v>
      </c>
      <c r="AA567" s="16">
        <f t="shared" si="2137"/>
        <v>0</v>
      </c>
      <c r="AB567" s="16">
        <f t="shared" si="2137"/>
        <v>0</v>
      </c>
      <c r="AC567" s="16">
        <f t="shared" si="2137"/>
        <v>0</v>
      </c>
      <c r="AD567" s="16">
        <f t="shared" si="2137"/>
        <v>0</v>
      </c>
      <c r="AE567" s="16">
        <f t="shared" si="2137"/>
        <v>0</v>
      </c>
      <c r="AF567" s="16">
        <f t="shared" si="2137"/>
        <v>0</v>
      </c>
      <c r="AG567" s="16">
        <f t="shared" si="2137"/>
        <v>0</v>
      </c>
      <c r="AH567" s="16">
        <f t="shared" si="2137"/>
        <v>0</v>
      </c>
      <c r="AI567" s="16">
        <f t="shared" si="2137"/>
        <v>0</v>
      </c>
      <c r="AJ567" s="16">
        <f t="shared" si="2137"/>
        <v>0</v>
      </c>
      <c r="AK567" s="16">
        <f t="shared" si="2137"/>
        <v>0</v>
      </c>
      <c r="AL567" s="16">
        <f t="shared" ref="AL567:BQ567" si="2138">AL218/AL$419*100</f>
        <v>0</v>
      </c>
      <c r="AM567" s="16">
        <f t="shared" si="2138"/>
        <v>0</v>
      </c>
      <c r="AN567" s="16">
        <f t="shared" si="2138"/>
        <v>0</v>
      </c>
      <c r="AO567" s="16">
        <f t="shared" si="2138"/>
        <v>0</v>
      </c>
      <c r="AP567" s="16">
        <f t="shared" si="2138"/>
        <v>0</v>
      </c>
      <c r="AQ567" s="16">
        <f t="shared" si="2138"/>
        <v>0</v>
      </c>
      <c r="AR567" s="16">
        <f t="shared" si="2138"/>
        <v>0</v>
      </c>
      <c r="AS567" s="16">
        <f t="shared" si="2138"/>
        <v>0</v>
      </c>
      <c r="AT567" s="16">
        <f t="shared" si="2138"/>
        <v>81.366685659584192</v>
      </c>
      <c r="AU567" s="16">
        <f t="shared" si="2138"/>
        <v>0</v>
      </c>
      <c r="AV567" s="16">
        <f t="shared" si="2138"/>
        <v>2.6789468233631855</v>
      </c>
      <c r="AW567" s="16">
        <f t="shared" si="2138"/>
        <v>4.1789988530755648</v>
      </c>
      <c r="AX567" s="16">
        <f t="shared" si="2138"/>
        <v>6.6462033849037008</v>
      </c>
      <c r="AY567" s="16">
        <f t="shared" si="2138"/>
        <v>4.080537620757319</v>
      </c>
      <c r="AZ567" s="16">
        <f t="shared" si="2138"/>
        <v>3.6408420711110931</v>
      </c>
      <c r="BA567" s="16">
        <f t="shared" si="2138"/>
        <v>2.8836886563707935</v>
      </c>
      <c r="BB567" s="16">
        <f t="shared" si="2138"/>
        <v>4.6151621094250954</v>
      </c>
      <c r="BC567" s="16">
        <f t="shared" si="2138"/>
        <v>4.8522697487384248</v>
      </c>
      <c r="BD567" s="16">
        <f t="shared" si="2138"/>
        <v>3.876008127696478</v>
      </c>
      <c r="BE567" s="16">
        <f t="shared" ca="1" si="2138"/>
        <v>3.5558849685836362</v>
      </c>
      <c r="BF567" s="16">
        <f t="shared" ca="1" si="2138"/>
        <v>3.5599356743358541</v>
      </c>
      <c r="BG567" s="16">
        <f t="shared" ca="1" si="2138"/>
        <v>3.6741450544596779</v>
      </c>
      <c r="BH567" s="16">
        <f t="shared" ca="1" si="2138"/>
        <v>3.4429996739757986</v>
      </c>
      <c r="BI567" s="16">
        <f t="shared" ca="1" si="2138"/>
        <v>3.3098307345028708</v>
      </c>
      <c r="BJ567" s="16">
        <f t="shared" ca="1" si="2138"/>
        <v>3.442214476662897</v>
      </c>
      <c r="BK567" s="16">
        <f t="shared" ca="1" si="2138"/>
        <v>3.1461063455111815</v>
      </c>
      <c r="BL567" s="16">
        <f t="shared" ca="1" si="2138"/>
        <v>3.1771042142895145</v>
      </c>
      <c r="BM567" s="16">
        <f t="shared" ca="1" si="2138"/>
        <v>3.2125119927201484</v>
      </c>
      <c r="BN567" s="16">
        <f t="shared" si="2138"/>
        <v>2.0184410302186149</v>
      </c>
      <c r="BO567" s="16">
        <f t="shared" ca="1" si="2138"/>
        <v>2.0200453215982024</v>
      </c>
      <c r="BP567" s="16">
        <f t="shared" ca="1" si="2138"/>
        <v>1.8458356449343669</v>
      </c>
      <c r="BQ567" s="16">
        <f t="shared" ca="1" si="2138"/>
        <v>1.8842131112510776</v>
      </c>
      <c r="BR567" s="16">
        <f t="shared" ca="1" si="2104"/>
        <v>1.9738663139802017</v>
      </c>
      <c r="BS567" s="16">
        <f t="shared" ca="1" si="2104"/>
        <v>2.0091826230079377</v>
      </c>
      <c r="BT567" s="16">
        <f t="shared" ca="1" si="2105"/>
        <v>2.0095570955830797</v>
      </c>
      <c r="BU567" s="16">
        <f t="shared" ca="1" si="2105"/>
        <v>2.0034114198634754</v>
      </c>
      <c r="BV567" s="16">
        <f t="shared" ca="1" si="2106"/>
        <v>2.0057396806372338</v>
      </c>
      <c r="BW567" s="16">
        <f t="shared" ref="BW567:BX567" ca="1" si="2139">BW218/BW$419*100</f>
        <v>2.0084344110461481</v>
      </c>
      <c r="BX567" s="16">
        <f t="shared" ca="1" si="2139"/>
        <v>2.0107677402730491</v>
      </c>
      <c r="BY567" s="16">
        <f t="shared" ref="BY567:CD567" ca="1" si="2140">BY218/BY$419*100</f>
        <v>2.0127947481278605</v>
      </c>
      <c r="BZ567" s="16">
        <f t="shared" ca="1" si="2140"/>
        <v>1.9992321391946641</v>
      </c>
      <c r="CA567" s="16">
        <f t="shared" ca="1" si="2140"/>
        <v>1.9863324268098586</v>
      </c>
      <c r="CB567" s="16">
        <f t="shared" ca="1" si="2140"/>
        <v>1.9734945122118552</v>
      </c>
      <c r="CC567" s="16">
        <f t="shared" ca="1" si="2140"/>
        <v>1.9604793768248592</v>
      </c>
      <c r="CD567" s="16">
        <f t="shared" ca="1" si="2140"/>
        <v>1.9473952611902812</v>
      </c>
      <c r="CE567" s="16"/>
      <c r="CG567" s="235">
        <f t="shared" ca="1" si="2109"/>
        <v>-0.85038878858842981</v>
      </c>
      <c r="CH567" s="235">
        <f t="shared" ca="1" si="2110"/>
        <v>4.461957542997963E-2</v>
      </c>
      <c r="CI567" s="235" t="e">
        <f ca="1">BM567-#REF!</f>
        <v>#REF!</v>
      </c>
      <c r="CJ567" s="235">
        <f t="shared" si="2111"/>
        <v>0</v>
      </c>
      <c r="CK567" s="235">
        <f t="shared" ca="1" si="2112"/>
        <v>0</v>
      </c>
      <c r="CL567" s="235">
        <f t="shared" ca="1" si="2113"/>
        <v>0</v>
      </c>
      <c r="CM567" s="235">
        <f t="shared" ca="1" si="2114"/>
        <v>0</v>
      </c>
      <c r="CN567" s="235">
        <f t="shared" ca="1" si="2115"/>
        <v>0</v>
      </c>
      <c r="CO567" s="235">
        <f t="shared" ca="1" si="2116"/>
        <v>0</v>
      </c>
      <c r="CP567" s="235">
        <f t="shared" ca="1" si="2117"/>
        <v>0</v>
      </c>
      <c r="CQ567" s="235">
        <f t="shared" ca="1" si="2118"/>
        <v>0</v>
      </c>
      <c r="CR567" s="235">
        <f t="shared" ca="1" si="2119"/>
        <v>4.8849813083506888E-15</v>
      </c>
      <c r="CS567" s="235">
        <f t="shared" ca="1" si="2120"/>
        <v>6.2172489379008766E-15</v>
      </c>
      <c r="CT567" s="235">
        <f t="shared" ca="1" si="2121"/>
        <v>7.9936057773011271E-15</v>
      </c>
      <c r="CU567" s="235">
        <f t="shared" ca="1" si="2122"/>
        <v>7.9936057773011271E-15</v>
      </c>
      <c r="CV567" s="235">
        <f t="shared" ca="1" si="2123"/>
        <v>9.5479180117763462E-15</v>
      </c>
      <c r="CW567" s="235">
        <f t="shared" ca="1" si="2124"/>
        <v>2.2204460492503131E-15</v>
      </c>
      <c r="CX567" s="235">
        <f t="shared" ca="1" si="2125"/>
        <v>-1.1235457009206584E-13</v>
      </c>
      <c r="CY567" s="235">
        <f t="shared" ca="1" si="2126"/>
        <v>-1.1834977442504169E-12</v>
      </c>
      <c r="CZ567" s="235">
        <f t="shared" ca="1" si="2127"/>
        <v>-8.7791995895258879E-12</v>
      </c>
      <c r="DG567" s="236">
        <v>3.9964951340996113</v>
      </c>
      <c r="DH567" s="492">
        <v>3.1324846388595349</v>
      </c>
      <c r="DI567" s="236">
        <v>2.0184410302186149</v>
      </c>
      <c r="DJ567" s="236">
        <v>2.0200453215982015</v>
      </c>
      <c r="DK567" s="236">
        <v>1.8458356449343665</v>
      </c>
      <c r="DL567" s="236">
        <v>1.8842131112510774</v>
      </c>
      <c r="DM567" s="236">
        <v>1.9738663139802013</v>
      </c>
      <c r="DN567" s="236">
        <v>2.0091826230079382</v>
      </c>
      <c r="DO567" s="236">
        <v>2.0095570955830788</v>
      </c>
      <c r="DP567" s="236">
        <v>2.0034114198634732</v>
      </c>
      <c r="DQ567" s="258">
        <v>2.005739680637229</v>
      </c>
      <c r="DR567" s="258">
        <v>2.0084344110461418</v>
      </c>
      <c r="DS567" s="258">
        <v>2.0107677402730411</v>
      </c>
      <c r="DT567" s="258">
        <v>2.0127947481278525</v>
      </c>
      <c r="DU567" s="258">
        <v>1.9992321391946546</v>
      </c>
      <c r="DV567" s="258">
        <v>1.9863324268098563</v>
      </c>
      <c r="DW567" s="258">
        <v>1.9734945122119676</v>
      </c>
      <c r="DX567" s="258">
        <v>1.9604793768260427</v>
      </c>
      <c r="DY567" s="258">
        <v>1.9473952611990604</v>
      </c>
    </row>
    <row r="568" spans="2:131" hidden="1">
      <c r="B568" s="3" t="str">
        <f t="shared" si="2128"/>
        <v>waarvan Loonbelasting</v>
      </c>
      <c r="F568" s="16">
        <f t="shared" ref="F568:AK568" si="2141">F219/F$419*100</f>
        <v>0</v>
      </c>
      <c r="G568" s="16">
        <f t="shared" si="2141"/>
        <v>0</v>
      </c>
      <c r="H568" s="16">
        <f t="shared" si="2141"/>
        <v>0</v>
      </c>
      <c r="I568" s="16">
        <f t="shared" si="2141"/>
        <v>0</v>
      </c>
      <c r="J568" s="16">
        <f t="shared" si="2141"/>
        <v>0</v>
      </c>
      <c r="K568" s="16">
        <f t="shared" si="2141"/>
        <v>0</v>
      </c>
      <c r="L568" s="16">
        <f t="shared" si="2141"/>
        <v>0</v>
      </c>
      <c r="M568" s="16">
        <f t="shared" si="2141"/>
        <v>0</v>
      </c>
      <c r="N568" s="16">
        <f t="shared" si="2141"/>
        <v>0</v>
      </c>
      <c r="O568" s="16">
        <f t="shared" si="2141"/>
        <v>0</v>
      </c>
      <c r="P568" s="16">
        <f t="shared" si="2141"/>
        <v>0</v>
      </c>
      <c r="Q568" s="16">
        <f t="shared" si="2141"/>
        <v>0</v>
      </c>
      <c r="R568" s="16">
        <f t="shared" si="2141"/>
        <v>0</v>
      </c>
      <c r="S568" s="16">
        <f t="shared" si="2141"/>
        <v>0</v>
      </c>
      <c r="T568" s="16">
        <f t="shared" si="2141"/>
        <v>0</v>
      </c>
      <c r="U568" s="16">
        <f t="shared" si="2141"/>
        <v>0</v>
      </c>
      <c r="V568" s="16">
        <f t="shared" si="2141"/>
        <v>0</v>
      </c>
      <c r="W568" s="16">
        <f t="shared" si="2141"/>
        <v>0</v>
      </c>
      <c r="X568" s="16">
        <f t="shared" si="2141"/>
        <v>0</v>
      </c>
      <c r="Y568" s="16">
        <f t="shared" si="2141"/>
        <v>0</v>
      </c>
      <c r="Z568" s="16">
        <f t="shared" si="2141"/>
        <v>0</v>
      </c>
      <c r="AA568" s="16">
        <f t="shared" si="2141"/>
        <v>0</v>
      </c>
      <c r="AB568" s="16">
        <f t="shared" si="2141"/>
        <v>0</v>
      </c>
      <c r="AC568" s="16">
        <f t="shared" si="2141"/>
        <v>0</v>
      </c>
      <c r="AD568" s="16">
        <f t="shared" si="2141"/>
        <v>0</v>
      </c>
      <c r="AE568" s="16">
        <f t="shared" si="2141"/>
        <v>0</v>
      </c>
      <c r="AF568" s="16">
        <f t="shared" si="2141"/>
        <v>0</v>
      </c>
      <c r="AG568" s="16">
        <f t="shared" si="2141"/>
        <v>0</v>
      </c>
      <c r="AH568" s="16">
        <f t="shared" si="2141"/>
        <v>0</v>
      </c>
      <c r="AI568" s="16">
        <f t="shared" si="2141"/>
        <v>0</v>
      </c>
      <c r="AJ568" s="16">
        <f t="shared" si="2141"/>
        <v>0</v>
      </c>
      <c r="AK568" s="16">
        <f t="shared" si="2141"/>
        <v>0</v>
      </c>
      <c r="AL568" s="16">
        <f t="shared" ref="AL568:BQ568" si="2142">AL219/AL$419*100</f>
        <v>0</v>
      </c>
      <c r="AM568" s="16">
        <f t="shared" si="2142"/>
        <v>0</v>
      </c>
      <c r="AN568" s="16">
        <f t="shared" si="2142"/>
        <v>0</v>
      </c>
      <c r="AO568" s="16">
        <f t="shared" si="2142"/>
        <v>0</v>
      </c>
      <c r="AP568" s="16">
        <f t="shared" si="2142"/>
        <v>0</v>
      </c>
      <c r="AQ568" s="16">
        <f t="shared" si="2142"/>
        <v>0</v>
      </c>
      <c r="AR568" s="16">
        <f t="shared" si="2142"/>
        <v>0</v>
      </c>
      <c r="AS568" s="16">
        <f t="shared" si="2142"/>
        <v>0</v>
      </c>
      <c r="AT568" s="16">
        <f t="shared" si="2142"/>
        <v>0</v>
      </c>
      <c r="AU568" s="16">
        <f t="shared" si="2142"/>
        <v>0</v>
      </c>
      <c r="AV568" s="16">
        <f t="shared" si="2142"/>
        <v>0</v>
      </c>
      <c r="AW568" s="16">
        <f t="shared" si="2142"/>
        <v>0</v>
      </c>
      <c r="AX568" s="16">
        <f t="shared" si="2142"/>
        <v>0</v>
      </c>
      <c r="AY568" s="16">
        <f t="shared" si="2142"/>
        <v>0</v>
      </c>
      <c r="AZ568" s="16">
        <f t="shared" si="2142"/>
        <v>3.178875614942557</v>
      </c>
      <c r="BA568" s="16">
        <f t="shared" si="2142"/>
        <v>2.5102473417392419</v>
      </c>
      <c r="BB568" s="16">
        <f t="shared" si="2142"/>
        <v>4.1887335281316522</v>
      </c>
      <c r="BC568" s="16">
        <f t="shared" si="2142"/>
        <v>4.4549686543241886</v>
      </c>
      <c r="BD568" s="16">
        <f t="shared" si="2142"/>
        <v>3.4261025955427939</v>
      </c>
      <c r="BE568" s="16">
        <f t="shared" ca="1" si="2142"/>
        <v>3.2294238717223895</v>
      </c>
      <c r="BF568" s="16">
        <f t="shared" ca="1" si="2142"/>
        <v>3.0928177609343797</v>
      </c>
      <c r="BG568" s="16">
        <f t="shared" ca="1" si="2142"/>
        <v>2.7099402472082956</v>
      </c>
      <c r="BH568" s="16">
        <f t="shared" ca="1" si="2142"/>
        <v>1.9318305492811949</v>
      </c>
      <c r="BI568" s="16">
        <f t="shared" ca="1" si="2142"/>
        <v>2.9258217481927389</v>
      </c>
      <c r="BJ568" s="16">
        <f t="shared" ca="1" si="2142"/>
        <v>3.1847563736666764</v>
      </c>
      <c r="BK568" s="16">
        <f t="shared" ca="1" si="2142"/>
        <v>2.4183092734889633</v>
      </c>
      <c r="BL568" s="16">
        <f t="shared" ca="1" si="2142"/>
        <v>2.5128710452537901</v>
      </c>
      <c r="BM568" s="16">
        <f t="shared" ca="1" si="2142"/>
        <v>2.5408761641274236</v>
      </c>
      <c r="BN568" s="16">
        <f t="shared" si="2142"/>
        <v>1.7414295291470576</v>
      </c>
      <c r="BO568" s="16">
        <f t="shared" ca="1" si="2142"/>
        <v>1.7322721741682268</v>
      </c>
      <c r="BP568" s="16">
        <f t="shared" ca="1" si="2142"/>
        <v>1.5913429793589988</v>
      </c>
      <c r="BQ568" s="16">
        <f t="shared" ca="1" si="2142"/>
        <v>1.6192622459511574</v>
      </c>
      <c r="BR568" s="16">
        <f t="shared" ca="1" si="2104"/>
        <v>1.6836333552520524</v>
      </c>
      <c r="BS568" s="16">
        <f t="shared" ca="1" si="2104"/>
        <v>1.7079510767494452</v>
      </c>
      <c r="BT568" s="16">
        <f t="shared" ca="1" si="2105"/>
        <v>1.7062910804061977</v>
      </c>
      <c r="BU568" s="16">
        <f t="shared" ca="1" si="2105"/>
        <v>1.6993543067755885</v>
      </c>
      <c r="BV568" s="16">
        <f t="shared" ca="1" si="2106"/>
        <v>1.6987386728134293</v>
      </c>
      <c r="BW568" s="16">
        <f t="shared" ref="BW568:BX568" ca="1" si="2143">BW219/BW$419*100</f>
        <v>1.6983046379318842</v>
      </c>
      <c r="BX568" s="16">
        <f t="shared" ca="1" si="2143"/>
        <v>1.6973339604740563</v>
      </c>
      <c r="BY568" s="16">
        <f t="shared" ref="BY568:CD568" ca="1" si="2144">BY219/BY$419*100</f>
        <v>1.6957956295877545</v>
      </c>
      <c r="BZ568" s="16">
        <f t="shared" ca="1" si="2144"/>
        <v>1.6809850432335713</v>
      </c>
      <c r="CA568" s="16">
        <f t="shared" ca="1" si="2144"/>
        <v>1.6660088225861878</v>
      </c>
      <c r="CB568" s="16">
        <f t="shared" ca="1" si="2144"/>
        <v>1.6507025399112136</v>
      </c>
      <c r="CC568" s="16">
        <f t="shared" ca="1" si="2144"/>
        <v>1.6350797494371052</v>
      </c>
      <c r="CD568" s="16">
        <f t="shared" ca="1" si="2144"/>
        <v>1.6191913501209199</v>
      </c>
      <c r="CE568" s="16"/>
      <c r="CG568" s="235">
        <f t="shared" ca="1" si="2109"/>
        <v>-0.65366610904575229</v>
      </c>
      <c r="CH568" s="235">
        <f t="shared" ca="1" si="2110"/>
        <v>3.5291017098281863E-2</v>
      </c>
      <c r="CI568" s="235" t="e">
        <f ca="1">BM568-#REF!</f>
        <v>#REF!</v>
      </c>
      <c r="CJ568" s="235">
        <f t="shared" si="2111"/>
        <v>0</v>
      </c>
      <c r="CK568" s="235">
        <f t="shared" ca="1" si="2112"/>
        <v>0</v>
      </c>
      <c r="CL568" s="235">
        <f t="shared" ca="1" si="2113"/>
        <v>0</v>
      </c>
      <c r="CM568" s="235">
        <f t="shared" ca="1" si="2114"/>
        <v>0</v>
      </c>
      <c r="CN568" s="235">
        <f t="shared" ca="1" si="2115"/>
        <v>0</v>
      </c>
      <c r="CO568" s="235">
        <f t="shared" ca="1" si="2116"/>
        <v>0</v>
      </c>
      <c r="CP568" s="235">
        <f t="shared" ca="1" si="2117"/>
        <v>0</v>
      </c>
      <c r="CQ568" s="235">
        <f t="shared" ca="1" si="2118"/>
        <v>-1.9984014443252818E-15</v>
      </c>
      <c r="CR568" s="235">
        <f t="shared" ca="1" si="2119"/>
        <v>-2.4424906541753444E-15</v>
      </c>
      <c r="CS568" s="235">
        <f t="shared" ca="1" si="2120"/>
        <v>-3.7747582837255322E-15</v>
      </c>
      <c r="CT568" s="235">
        <f t="shared" ca="1" si="2121"/>
        <v>-3.5527136788005009E-15</v>
      </c>
      <c r="CU568" s="235">
        <f t="shared" ca="1" si="2122"/>
        <v>-5.5511151231257827E-15</v>
      </c>
      <c r="CV568" s="235">
        <f t="shared" ca="1" si="2123"/>
        <v>-7.3274719625260332E-15</v>
      </c>
      <c r="CW568" s="235">
        <f t="shared" ca="1" si="2124"/>
        <v>-1.7985612998927536E-14</v>
      </c>
      <c r="CX568" s="235">
        <f t="shared" ca="1" si="2125"/>
        <v>-1.2945200467129325E-13</v>
      </c>
      <c r="CY568" s="235">
        <f t="shared" ca="1" si="2126"/>
        <v>-1.1108891584399316E-12</v>
      </c>
      <c r="CZ568" s="235">
        <f t="shared" ca="1" si="2127"/>
        <v>-8.0913054034681409E-12</v>
      </c>
      <c r="DG568" s="236">
        <v>3.0719753825347156</v>
      </c>
      <c r="DH568" s="492">
        <v>2.4775800281555083</v>
      </c>
      <c r="DI568" s="236">
        <v>1.7414295291470576</v>
      </c>
      <c r="DJ568" s="236">
        <v>1.7322721741682261</v>
      </c>
      <c r="DK568" s="236">
        <v>1.5913429793589988</v>
      </c>
      <c r="DL568" s="236">
        <v>1.6192622459511581</v>
      </c>
      <c r="DM568" s="236">
        <v>1.6836333552520535</v>
      </c>
      <c r="DN568" s="236">
        <v>1.7079510767494466</v>
      </c>
      <c r="DO568" s="236">
        <v>1.7062910804061981</v>
      </c>
      <c r="DP568" s="236">
        <v>1.6993543067755905</v>
      </c>
      <c r="DQ568" s="258">
        <v>1.6987386728134317</v>
      </c>
      <c r="DR568" s="258">
        <v>1.698304637931888</v>
      </c>
      <c r="DS568" s="258">
        <v>1.6973339604740598</v>
      </c>
      <c r="DT568" s="258">
        <v>1.6957956295877601</v>
      </c>
      <c r="DU568" s="258">
        <v>1.6809850432335787</v>
      </c>
      <c r="DV568" s="258">
        <v>1.6660088225862058</v>
      </c>
      <c r="DW568" s="258">
        <v>1.6507025399113431</v>
      </c>
      <c r="DX568" s="258">
        <v>1.6350797494382161</v>
      </c>
      <c r="DY568" s="258">
        <v>1.6191913501290112</v>
      </c>
    </row>
    <row r="569" spans="2:131" hidden="1">
      <c r="B569" s="3" t="str">
        <f t="shared" si="2128"/>
        <v>Directe belastingen van de bedrijven aan de overheid</v>
      </c>
      <c r="F569" s="16">
        <f t="shared" ref="F569:AK569" si="2145">F220/F$419*100</f>
        <v>2.9998220699638805</v>
      </c>
      <c r="G569" s="16">
        <f t="shared" si="2145"/>
        <v>3.1450351923401136</v>
      </c>
      <c r="H569" s="16">
        <f t="shared" si="2145"/>
        <v>3.2931783920668543</v>
      </c>
      <c r="I569" s="16">
        <f t="shared" si="2145"/>
        <v>3.3225229035731636</v>
      </c>
      <c r="J569" s="16">
        <f t="shared" si="2145"/>
        <v>3.2418783475704172</v>
      </c>
      <c r="K569" s="16">
        <f t="shared" si="2145"/>
        <v>3.1137580974614716</v>
      </c>
      <c r="L569" s="16">
        <f t="shared" si="2145"/>
        <v>2.868608884429475</v>
      </c>
      <c r="M569" s="16">
        <f t="shared" si="2145"/>
        <v>2.680870617279008</v>
      </c>
      <c r="N569" s="16">
        <f t="shared" si="2145"/>
        <v>2.8256268047754136</v>
      </c>
      <c r="O569" s="16">
        <f t="shared" si="2145"/>
        <v>2.6069134496762127</v>
      </c>
      <c r="P569" s="16">
        <f t="shared" si="2145"/>
        <v>2.6695428459462498</v>
      </c>
      <c r="Q569" s="16">
        <f t="shared" si="2145"/>
        <v>2.7447834559816999</v>
      </c>
      <c r="R569" s="16">
        <f t="shared" si="2145"/>
        <v>3.4581659035253889</v>
      </c>
      <c r="S569" s="16">
        <f t="shared" si="2145"/>
        <v>3.323400779884393</v>
      </c>
      <c r="T569" s="16">
        <f t="shared" si="2145"/>
        <v>2.8369795484246363</v>
      </c>
      <c r="U569" s="16">
        <f t="shared" si="2145"/>
        <v>3.1570510835789269</v>
      </c>
      <c r="V569" s="16">
        <f t="shared" si="2145"/>
        <v>3.2133341512610949</v>
      </c>
      <c r="W569" s="16">
        <f t="shared" si="2145"/>
        <v>3.3906192283646228</v>
      </c>
      <c r="X569" s="16">
        <f t="shared" si="2145"/>
        <v>4.1354200199950348</v>
      </c>
      <c r="Y569" s="16">
        <f t="shared" si="2145"/>
        <v>3.2224425719708072</v>
      </c>
      <c r="Z569" s="16">
        <f t="shared" si="2145"/>
        <v>2.5869159027739714</v>
      </c>
      <c r="AA569" s="16">
        <f t="shared" si="2145"/>
        <v>1.4871137970300745</v>
      </c>
      <c r="AB569" s="16">
        <f t="shared" si="2145"/>
        <v>2.1184382579720946</v>
      </c>
      <c r="AC569" s="16">
        <f t="shared" si="2145"/>
        <v>2.2246523283965312</v>
      </c>
      <c r="AD569" s="16">
        <f t="shared" si="2145"/>
        <v>2.4199332695098779</v>
      </c>
      <c r="AE569" s="16">
        <f t="shared" si="2145"/>
        <v>2.1637147234484533</v>
      </c>
      <c r="AF569" s="16">
        <f t="shared" si="2145"/>
        <v>2.032306938525533</v>
      </c>
      <c r="AG569" s="16">
        <f t="shared" si="2145"/>
        <v>1.7377121403608058</v>
      </c>
      <c r="AH569" s="16">
        <f t="shared" si="2145"/>
        <v>1.6181641349000033</v>
      </c>
      <c r="AI569" s="16">
        <f t="shared" si="2145"/>
        <v>1.6003406723886164</v>
      </c>
      <c r="AJ569" s="16">
        <f t="shared" si="2145"/>
        <v>1.5640448107839888</v>
      </c>
      <c r="AK569" s="16">
        <f t="shared" si="2145"/>
        <v>1.4921570726117341</v>
      </c>
      <c r="AL569" s="16">
        <f t="shared" ref="AL569:BQ569" si="2146">AL220/AL$419*100</f>
        <v>0.92618467902236334</v>
      </c>
      <c r="AM569" s="16">
        <f t="shared" si="2146"/>
        <v>1.1325446524142426</v>
      </c>
      <c r="AN569" s="16">
        <f t="shared" si="2146"/>
        <v>1.9748022002231378</v>
      </c>
      <c r="AO569" s="16">
        <f t="shared" si="2146"/>
        <v>2.0502867895818264</v>
      </c>
      <c r="AP569" s="16">
        <f t="shared" si="2146"/>
        <v>2.5873483215747322</v>
      </c>
      <c r="AQ569" s="16">
        <f t="shared" si="2146"/>
        <v>2.0239524630128494</v>
      </c>
      <c r="AR569" s="16">
        <f t="shared" si="2146"/>
        <v>1.1185233518215516</v>
      </c>
      <c r="AS569" s="16">
        <f t="shared" si="2146"/>
        <v>0.69532176678940549</v>
      </c>
      <c r="AT569" s="16">
        <f t="shared" si="2146"/>
        <v>4.1379769494036776</v>
      </c>
      <c r="AU569" s="16">
        <f t="shared" si="2146"/>
        <v>5.2037049068367889</v>
      </c>
      <c r="AV569" s="16">
        <f t="shared" si="2146"/>
        <v>6.1044904733113938</v>
      </c>
      <c r="AW569" s="16">
        <f t="shared" si="2146"/>
        <v>5.9695331606049908</v>
      </c>
      <c r="AX569" s="16">
        <f t="shared" si="2146"/>
        <v>3.1736760473036889</v>
      </c>
      <c r="AY569" s="16">
        <f t="shared" si="2146"/>
        <v>2.5143065448034503</v>
      </c>
      <c r="AZ569" s="16">
        <f t="shared" si="2146"/>
        <v>4.5249114779144701</v>
      </c>
      <c r="BA569" s="16">
        <f t="shared" si="2146"/>
        <v>7.9854762052043808</v>
      </c>
      <c r="BB569" s="16">
        <f t="shared" si="2146"/>
        <v>4.6309775100671029</v>
      </c>
      <c r="BC569" s="16">
        <f t="shared" si="2146"/>
        <v>3.8786659822029188</v>
      </c>
      <c r="BD569" s="16">
        <f t="shared" si="2146"/>
        <v>5.7368803565181903</v>
      </c>
      <c r="BE569" s="16">
        <f t="shared" ca="1" si="2146"/>
        <v>5.3341650141028314</v>
      </c>
      <c r="BF569" s="16">
        <f t="shared" ca="1" si="2146"/>
        <v>4.4143449123092413</v>
      </c>
      <c r="BG569" s="16">
        <f t="shared" ca="1" si="2146"/>
        <v>5.4303538873859702</v>
      </c>
      <c r="BH569" s="16">
        <f t="shared" ca="1" si="2146"/>
        <v>5.0328830626440642</v>
      </c>
      <c r="BI569" s="16">
        <f t="shared" ca="1" si="2146"/>
        <v>6.5315878962760952</v>
      </c>
      <c r="BJ569" s="16">
        <f t="shared" ca="1" si="2146"/>
        <v>4.4970574948418296</v>
      </c>
      <c r="BK569" s="16">
        <f t="shared" ca="1" si="2146"/>
        <v>5.1657427274499694</v>
      </c>
      <c r="BL569" s="16">
        <f t="shared" ca="1" si="2146"/>
        <v>5.9177189055066473</v>
      </c>
      <c r="BM569" s="16">
        <f t="shared" ca="1" si="2146"/>
        <v>6.5917894410582125</v>
      </c>
      <c r="BN569" s="16">
        <f t="shared" si="2146"/>
        <v>6.4146674183182331</v>
      </c>
      <c r="BO569" s="16">
        <f t="shared" ca="1" si="2146"/>
        <v>4.5294342775579182</v>
      </c>
      <c r="BP569" s="16">
        <f t="shared" ca="1" si="2146"/>
        <v>6.1621861990436653</v>
      </c>
      <c r="BQ569" s="16">
        <f t="shared" ca="1" si="2146"/>
        <v>6.3844276245034965</v>
      </c>
      <c r="BR569" s="16">
        <f t="shared" ca="1" si="2104"/>
        <v>6.213896591056467</v>
      </c>
      <c r="BS569" s="16">
        <f t="shared" ca="1" si="2104"/>
        <v>6.0021857444431683</v>
      </c>
      <c r="BT569" s="16">
        <f t="shared" ca="1" si="2105"/>
        <v>5.9152625752996064</v>
      </c>
      <c r="BU569" s="16">
        <f t="shared" ca="1" si="2105"/>
        <v>5.8835645566037291</v>
      </c>
      <c r="BV569" s="16">
        <f t="shared" ca="1" si="2106"/>
        <v>5.8492364017303933</v>
      </c>
      <c r="BW569" s="16">
        <f t="shared" ref="BW569:BX569" ca="1" si="2147">BW220/BW$419*100</f>
        <v>5.8198591913859845</v>
      </c>
      <c r="BX569" s="16">
        <f t="shared" ca="1" si="2147"/>
        <v>5.7962032870113038</v>
      </c>
      <c r="BY569" s="16">
        <f t="shared" ref="BY569:CD569" ca="1" si="2148">BY220/BY$419*100</f>
        <v>5.7774399189679286</v>
      </c>
      <c r="BZ569" s="16">
        <f t="shared" ca="1" si="2148"/>
        <v>5.7942783494695265</v>
      </c>
      <c r="CA569" s="16">
        <f t="shared" ca="1" si="2148"/>
        <v>5.8139800193399314</v>
      </c>
      <c r="CB569" s="16">
        <f t="shared" ca="1" si="2148"/>
        <v>5.8356932825983732</v>
      </c>
      <c r="CC569" s="16">
        <f t="shared" ca="1" si="2148"/>
        <v>5.8596607726831955</v>
      </c>
      <c r="CD569" s="16">
        <f t="shared" ca="1" si="2148"/>
        <v>5.8853044039978357</v>
      </c>
      <c r="CE569" s="16"/>
      <c r="CG569" s="235">
        <f t="shared" ca="1" si="2109"/>
        <v>-1.3962940910828969</v>
      </c>
      <c r="CH569" s="235">
        <f t="shared" ca="1" si="2110"/>
        <v>8.3109047506243705E-2</v>
      </c>
      <c r="CI569" s="235" t="e">
        <f ca="1">BM569-#REF!</f>
        <v>#REF!</v>
      </c>
      <c r="CJ569" s="235">
        <f t="shared" si="2111"/>
        <v>0</v>
      </c>
      <c r="CK569" s="235">
        <f t="shared" ca="1" si="2112"/>
        <v>0</v>
      </c>
      <c r="CL569" s="235">
        <f t="shared" ca="1" si="2113"/>
        <v>0</v>
      </c>
      <c r="CM569" s="235">
        <f t="shared" ca="1" si="2114"/>
        <v>0</v>
      </c>
      <c r="CN569" s="235">
        <f t="shared" ca="1" si="2115"/>
        <v>0</v>
      </c>
      <c r="CO569" s="235">
        <f t="shared" ca="1" si="2116"/>
        <v>0</v>
      </c>
      <c r="CP569" s="235">
        <f t="shared" ca="1" si="2117"/>
        <v>0</v>
      </c>
      <c r="CQ569" s="235">
        <f t="shared" ca="1" si="2118"/>
        <v>0</v>
      </c>
      <c r="CR569" s="235">
        <f t="shared" ca="1" si="2119"/>
        <v>1.2434497875801753E-14</v>
      </c>
      <c r="CS569" s="235">
        <f t="shared" ca="1" si="2120"/>
        <v>1.5099033134902129E-14</v>
      </c>
      <c r="CT569" s="235">
        <f t="shared" ca="1" si="2121"/>
        <v>1.5099033134902129E-14</v>
      </c>
      <c r="CU569" s="235">
        <f t="shared" ca="1" si="2122"/>
        <v>1.1546319456101628E-14</v>
      </c>
      <c r="CV569" s="235">
        <f t="shared" ca="1" si="2123"/>
        <v>8.8817841970012523E-15</v>
      </c>
      <c r="CW569" s="235">
        <f t="shared" ca="1" si="2124"/>
        <v>-2.9309887850104133E-14</v>
      </c>
      <c r="CX569" s="235">
        <f t="shared" ca="1" si="2125"/>
        <v>-5.2047255394427339E-13</v>
      </c>
      <c r="CY569" s="235">
        <f t="shared" ca="1" si="2126"/>
        <v>-5.1514348342607263E-12</v>
      </c>
      <c r="CZ569" s="235">
        <f t="shared" ca="1" si="2127"/>
        <v>-4.0409453561096598E-11</v>
      </c>
      <c r="DG569" s="236">
        <v>6.5620368185328664</v>
      </c>
      <c r="DH569" s="492">
        <v>5.8346098580004035</v>
      </c>
      <c r="DI569" s="236">
        <v>6.4146674183182331</v>
      </c>
      <c r="DJ569" s="236">
        <v>4.5294342775579164</v>
      </c>
      <c r="DK569" s="236">
        <v>6.1621861990436662</v>
      </c>
      <c r="DL569" s="236">
        <v>6.3844276245035001</v>
      </c>
      <c r="DM569" s="236">
        <v>6.2138965910564687</v>
      </c>
      <c r="DN569" s="236">
        <v>6.0021857444431745</v>
      </c>
      <c r="DO569" s="236">
        <v>5.91526257529961</v>
      </c>
      <c r="DP569" s="236">
        <v>5.88356455660373</v>
      </c>
      <c r="DQ569" s="258">
        <v>5.8492364017303808</v>
      </c>
      <c r="DR569" s="258">
        <v>5.8198591913859694</v>
      </c>
      <c r="DS569" s="258">
        <v>5.7962032870112887</v>
      </c>
      <c r="DT569" s="258">
        <v>5.7774399189679171</v>
      </c>
      <c r="DU569" s="258">
        <v>5.7942783494695176</v>
      </c>
      <c r="DV569" s="258">
        <v>5.8139800193399607</v>
      </c>
      <c r="DW569" s="258">
        <v>5.8356932825988936</v>
      </c>
      <c r="DX569" s="258">
        <v>5.859660772688347</v>
      </c>
      <c r="DY569" s="258">
        <v>5.8853044040382452</v>
      </c>
    </row>
    <row r="570" spans="2:131" hidden="1">
      <c r="B570" s="3" t="str">
        <f t="shared" si="2128"/>
        <v xml:space="preserve">Waarvan winstbelasting Goudsector en  Bauxietmij. </v>
      </c>
      <c r="F570" s="16">
        <f t="shared" ref="F570:AK570" si="2149">F221/F$419*100</f>
        <v>0</v>
      </c>
      <c r="G570" s="16">
        <f t="shared" si="2149"/>
        <v>0</v>
      </c>
      <c r="H570" s="16">
        <f t="shared" si="2149"/>
        <v>0</v>
      </c>
      <c r="I570" s="16">
        <f t="shared" si="2149"/>
        <v>0</v>
      </c>
      <c r="J570" s="16">
        <f t="shared" si="2149"/>
        <v>0</v>
      </c>
      <c r="K570" s="16">
        <f t="shared" si="2149"/>
        <v>0</v>
      </c>
      <c r="L570" s="16">
        <f t="shared" si="2149"/>
        <v>0</v>
      </c>
      <c r="M570" s="16">
        <f t="shared" si="2149"/>
        <v>0</v>
      </c>
      <c r="N570" s="16">
        <f t="shared" si="2149"/>
        <v>0</v>
      </c>
      <c r="O570" s="16">
        <f t="shared" si="2149"/>
        <v>0</v>
      </c>
      <c r="P570" s="16">
        <f t="shared" si="2149"/>
        <v>0</v>
      </c>
      <c r="Q570" s="16">
        <f t="shared" si="2149"/>
        <v>0</v>
      </c>
      <c r="R570" s="16">
        <f t="shared" si="2149"/>
        <v>0</v>
      </c>
      <c r="S570" s="16">
        <f t="shared" si="2149"/>
        <v>0</v>
      </c>
      <c r="T570" s="16">
        <f t="shared" si="2149"/>
        <v>0</v>
      </c>
      <c r="U570" s="16">
        <f t="shared" si="2149"/>
        <v>0</v>
      </c>
      <c r="V570" s="16">
        <f t="shared" si="2149"/>
        <v>0</v>
      </c>
      <c r="W570" s="16">
        <f t="shared" si="2149"/>
        <v>0</v>
      </c>
      <c r="X570" s="16">
        <f t="shared" si="2149"/>
        <v>0</v>
      </c>
      <c r="Y570" s="16">
        <f t="shared" si="2149"/>
        <v>0</v>
      </c>
      <c r="Z570" s="16">
        <f t="shared" si="2149"/>
        <v>0</v>
      </c>
      <c r="AA570" s="16">
        <f t="shared" si="2149"/>
        <v>0</v>
      </c>
      <c r="AB570" s="16">
        <f t="shared" si="2149"/>
        <v>0</v>
      </c>
      <c r="AC570" s="16">
        <f t="shared" si="2149"/>
        <v>0</v>
      </c>
      <c r="AD570" s="16">
        <f t="shared" si="2149"/>
        <v>0</v>
      </c>
      <c r="AE570" s="16">
        <f t="shared" si="2149"/>
        <v>0</v>
      </c>
      <c r="AF570" s="16">
        <f t="shared" si="2149"/>
        <v>0</v>
      </c>
      <c r="AG570" s="16">
        <f t="shared" si="2149"/>
        <v>0</v>
      </c>
      <c r="AH570" s="16">
        <f t="shared" si="2149"/>
        <v>0</v>
      </c>
      <c r="AI570" s="16">
        <f t="shared" si="2149"/>
        <v>0</v>
      </c>
      <c r="AJ570" s="16">
        <f t="shared" si="2149"/>
        <v>0</v>
      </c>
      <c r="AK570" s="16">
        <f t="shared" si="2149"/>
        <v>0</v>
      </c>
      <c r="AL570" s="16">
        <f t="shared" ref="AL570:BQ570" si="2150">AL221/AL$419*100</f>
        <v>0</v>
      </c>
      <c r="AM570" s="16">
        <f t="shared" si="2150"/>
        <v>0</v>
      </c>
      <c r="AN570" s="16">
        <f t="shared" si="2150"/>
        <v>0</v>
      </c>
      <c r="AO570" s="16">
        <f t="shared" si="2150"/>
        <v>0</v>
      </c>
      <c r="AP570" s="16">
        <f t="shared" si="2150"/>
        <v>0</v>
      </c>
      <c r="AQ570" s="16">
        <f t="shared" si="2150"/>
        <v>0</v>
      </c>
      <c r="AR570" s="16">
        <f t="shared" si="2150"/>
        <v>0</v>
      </c>
      <c r="AS570" s="16">
        <f t="shared" si="2150"/>
        <v>0</v>
      </c>
      <c r="AT570" s="16">
        <f t="shared" si="2150"/>
        <v>0</v>
      </c>
      <c r="AU570" s="16">
        <f t="shared" si="2150"/>
        <v>0</v>
      </c>
      <c r="AV570" s="16">
        <f t="shared" si="2150"/>
        <v>0</v>
      </c>
      <c r="AW570" s="16">
        <f t="shared" si="2150"/>
        <v>0</v>
      </c>
      <c r="AX570" s="16">
        <f t="shared" si="2150"/>
        <v>0</v>
      </c>
      <c r="AY570" s="16">
        <f t="shared" si="2150"/>
        <v>0</v>
      </c>
      <c r="AZ570" s="16">
        <f t="shared" si="2150"/>
        <v>1.8096864281296314</v>
      </c>
      <c r="BA570" s="16">
        <f t="shared" si="2150"/>
        <v>3752.7856097325307</v>
      </c>
      <c r="BB570" s="16">
        <f t="shared" si="2150"/>
        <v>1354.4544430392486</v>
      </c>
      <c r="BC570" s="16">
        <f t="shared" si="2150"/>
        <v>1574.2624592073887</v>
      </c>
      <c r="BD570" s="16">
        <f t="shared" si="2150"/>
        <v>2.5937933167414875</v>
      </c>
      <c r="BE570" s="16">
        <f t="shared" ca="1" si="2150"/>
        <v>1.8956112039043786</v>
      </c>
      <c r="BF570" s="16">
        <f t="shared" ca="1" si="2150"/>
        <v>0.63654650225307163</v>
      </c>
      <c r="BG570" s="16">
        <f t="shared" ca="1" si="2150"/>
        <v>1.471376441325535</v>
      </c>
      <c r="BH570" s="16">
        <f t="shared" ca="1" si="2150"/>
        <v>0.27289026742879818</v>
      </c>
      <c r="BI570" s="16">
        <f t="shared" ca="1" si="2150"/>
        <v>1.5534345992164338</v>
      </c>
      <c r="BJ570" s="16">
        <f t="shared" ca="1" si="2150"/>
        <v>1.2818407396431533</v>
      </c>
      <c r="BK570" s="16">
        <f t="shared" ca="1" si="2150"/>
        <v>4.1339403222356567E-2</v>
      </c>
      <c r="BL570" s="16">
        <f t="shared" ca="1" si="2150"/>
        <v>1.2512125710687641E-2</v>
      </c>
      <c r="BM570" s="16">
        <f t="shared" ca="1" si="2150"/>
        <v>0.36143497218458609</v>
      </c>
      <c r="BN570" s="16">
        <f t="shared" si="2150"/>
        <v>0.33706256964219838</v>
      </c>
      <c r="BO570" s="16">
        <f t="shared" ca="1" si="2150"/>
        <v>0.22834959010797412</v>
      </c>
      <c r="BP570" s="16">
        <f t="shared" ca="1" si="2150"/>
        <v>1.6125659146351941</v>
      </c>
      <c r="BQ570" s="16">
        <f t="shared" ca="1" si="2150"/>
        <v>1.6695743269747529</v>
      </c>
      <c r="BR570" s="16">
        <f t="shared" ca="1" si="2104"/>
        <v>1.5955754704472864</v>
      </c>
      <c r="BS570" s="16">
        <f t="shared" ca="1" si="2104"/>
        <v>1.4943848961405741</v>
      </c>
      <c r="BT570" s="16">
        <f t="shared" ca="1" si="2105"/>
        <v>1.4576561212499795</v>
      </c>
      <c r="BU570" s="16">
        <f t="shared" ca="1" si="2105"/>
        <v>1.4582089004057064</v>
      </c>
      <c r="BV570" s="16">
        <f t="shared" ca="1" si="2106"/>
        <v>1.4571377648694153</v>
      </c>
      <c r="BW570" s="16">
        <f t="shared" ref="BW570:BX570" ca="1" si="2151">BW221/BW$419*100</f>
        <v>1.4565039090699621</v>
      </c>
      <c r="BX570" s="16">
        <f t="shared" ca="1" si="2151"/>
        <v>1.4560460933705965</v>
      </c>
      <c r="BY570" s="16">
        <f t="shared" ref="BY570:CD570" ca="1" si="2152">BY221/BY$419*100</f>
        <v>1.4557451802678631</v>
      </c>
      <c r="BZ570" s="16">
        <f t="shared" ca="1" si="2152"/>
        <v>1.501094734818528</v>
      </c>
      <c r="CA570" s="16">
        <f t="shared" ca="1" si="2152"/>
        <v>1.5454849725649742</v>
      </c>
      <c r="CB570" s="16">
        <f t="shared" ca="1" si="2152"/>
        <v>1.5905631784182239</v>
      </c>
      <c r="CC570" s="16">
        <f t="shared" ca="1" si="2152"/>
        <v>1.6358530737580927</v>
      </c>
      <c r="CD570" s="16">
        <f t="shared" ca="1" si="2152"/>
        <v>1.6812040685843324</v>
      </c>
      <c r="CE570" s="16"/>
      <c r="CG570" s="235">
        <f t="shared" ca="1" si="2109"/>
        <v>-1.117399132975478E-2</v>
      </c>
      <c r="CH570" s="235">
        <f t="shared" ca="1" si="2110"/>
        <v>1.7572156885079307E-4</v>
      </c>
      <c r="CI570" s="235" t="e">
        <f ca="1">BM570-#REF!</f>
        <v>#REF!</v>
      </c>
      <c r="CJ570" s="235">
        <f t="shared" si="2111"/>
        <v>0</v>
      </c>
      <c r="CK570" s="235">
        <f t="shared" ca="1" si="2112"/>
        <v>0</v>
      </c>
      <c r="CL570" s="235">
        <f t="shared" ca="1" si="2113"/>
        <v>0</v>
      </c>
      <c r="CM570" s="235">
        <f t="shared" ca="1" si="2114"/>
        <v>0</v>
      </c>
      <c r="CN570" s="235">
        <f t="shared" ca="1" si="2115"/>
        <v>0</v>
      </c>
      <c r="CO570" s="235">
        <f t="shared" ca="1" si="2116"/>
        <v>0</v>
      </c>
      <c r="CP570" s="235">
        <f t="shared" ca="1" si="2117"/>
        <v>0</v>
      </c>
      <c r="CQ570" s="235">
        <f t="shared" ca="1" si="2118"/>
        <v>0</v>
      </c>
      <c r="CR570" s="235">
        <f t="shared" ca="1" si="2119"/>
        <v>2.4424906541753444E-15</v>
      </c>
      <c r="CS570" s="235">
        <f t="shared" ca="1" si="2120"/>
        <v>2.4424906541753444E-15</v>
      </c>
      <c r="CT570" s="235">
        <f t="shared" ca="1" si="2121"/>
        <v>3.1086244689504383E-15</v>
      </c>
      <c r="CU570" s="235">
        <f t="shared" ca="1" si="2122"/>
        <v>2.886579864025407E-15</v>
      </c>
      <c r="CV570" s="235">
        <f t="shared" ca="1" si="2123"/>
        <v>2.886579864025407E-15</v>
      </c>
      <c r="CW570" s="235">
        <f t="shared" ca="1" si="2124"/>
        <v>-2.4424906541753444E-15</v>
      </c>
      <c r="CX570" s="235">
        <f t="shared" ca="1" si="2125"/>
        <v>-7.8825834748386114E-14</v>
      </c>
      <c r="CY570" s="235">
        <f t="shared" ca="1" si="2126"/>
        <v>-7.9936057773011271E-13</v>
      </c>
      <c r="CZ570" s="235">
        <f t="shared" ca="1" si="2127"/>
        <v>-6.0804694612670573E-12</v>
      </c>
      <c r="DG570" s="236">
        <v>5.2513394552111348E-2</v>
      </c>
      <c r="DH570" s="492">
        <v>1.2336404141836848E-2</v>
      </c>
      <c r="DI570" s="236">
        <v>0.33706256964219838</v>
      </c>
      <c r="DJ570" s="236">
        <v>0.22834959010797404</v>
      </c>
      <c r="DK570" s="236">
        <v>1.6125659146351938</v>
      </c>
      <c r="DL570" s="236">
        <v>1.6695743269747529</v>
      </c>
      <c r="DM570" s="236">
        <v>1.5955754704472862</v>
      </c>
      <c r="DN570" s="236">
        <v>1.4943848961405739</v>
      </c>
      <c r="DO570" s="236">
        <v>1.4576561212499779</v>
      </c>
      <c r="DP570" s="236">
        <v>1.4582089004057048</v>
      </c>
      <c r="DQ570" s="258">
        <v>1.4571377648694128</v>
      </c>
      <c r="DR570" s="258">
        <v>1.4565039090699596</v>
      </c>
      <c r="DS570" s="258">
        <v>1.4560460933705934</v>
      </c>
      <c r="DT570" s="258">
        <v>1.4557451802678603</v>
      </c>
      <c r="DU570" s="258">
        <v>1.5010947348185251</v>
      </c>
      <c r="DV570" s="258">
        <v>1.5454849725649766</v>
      </c>
      <c r="DW570" s="258">
        <v>1.5905631784183027</v>
      </c>
      <c r="DX570" s="258">
        <v>1.6358530737588921</v>
      </c>
      <c r="DY570" s="258">
        <v>1.6812040685904128</v>
      </c>
    </row>
    <row r="571" spans="2:131" hidden="1">
      <c r="B571" s="3" t="str">
        <f t="shared" si="2128"/>
        <v xml:space="preserve">Indirekte belasting </v>
      </c>
      <c r="F571" s="16">
        <f t="shared" ref="F571:AK571" si="2153">F222/F$419*100</f>
        <v>0</v>
      </c>
      <c r="G571" s="16">
        <f t="shared" si="2153"/>
        <v>0</v>
      </c>
      <c r="H571" s="16">
        <f t="shared" si="2153"/>
        <v>0</v>
      </c>
      <c r="I571" s="16">
        <f t="shared" si="2153"/>
        <v>0</v>
      </c>
      <c r="J571" s="16">
        <f t="shared" si="2153"/>
        <v>0</v>
      </c>
      <c r="K571" s="16">
        <f t="shared" si="2153"/>
        <v>0</v>
      </c>
      <c r="L571" s="16">
        <f t="shared" si="2153"/>
        <v>0</v>
      </c>
      <c r="M571" s="16">
        <f t="shared" si="2153"/>
        <v>0</v>
      </c>
      <c r="N571" s="16">
        <f t="shared" si="2153"/>
        <v>0</v>
      </c>
      <c r="O571" s="16">
        <f t="shared" si="2153"/>
        <v>0</v>
      </c>
      <c r="P571" s="16">
        <f t="shared" si="2153"/>
        <v>0</v>
      </c>
      <c r="Q571" s="16">
        <f t="shared" si="2153"/>
        <v>0</v>
      </c>
      <c r="R571" s="16">
        <f t="shared" si="2153"/>
        <v>0</v>
      </c>
      <c r="S571" s="16">
        <f t="shared" si="2153"/>
        <v>0</v>
      </c>
      <c r="T571" s="16">
        <f t="shared" si="2153"/>
        <v>0</v>
      </c>
      <c r="U571" s="16">
        <f t="shared" si="2153"/>
        <v>0</v>
      </c>
      <c r="V571" s="16">
        <f t="shared" si="2153"/>
        <v>0</v>
      </c>
      <c r="W571" s="16">
        <f t="shared" si="2153"/>
        <v>0</v>
      </c>
      <c r="X571" s="16">
        <f t="shared" si="2153"/>
        <v>0</v>
      </c>
      <c r="Y571" s="16">
        <f t="shared" si="2153"/>
        <v>0</v>
      </c>
      <c r="Z571" s="16">
        <f t="shared" si="2153"/>
        <v>0</v>
      </c>
      <c r="AA571" s="16">
        <f t="shared" si="2153"/>
        <v>0</v>
      </c>
      <c r="AB571" s="16">
        <f t="shared" si="2153"/>
        <v>0</v>
      </c>
      <c r="AC571" s="16">
        <f t="shared" si="2153"/>
        <v>0</v>
      </c>
      <c r="AD571" s="16">
        <f t="shared" si="2153"/>
        <v>0</v>
      </c>
      <c r="AE571" s="16">
        <f t="shared" si="2153"/>
        <v>0</v>
      </c>
      <c r="AF571" s="16">
        <f t="shared" si="2153"/>
        <v>0</v>
      </c>
      <c r="AG571" s="16">
        <f t="shared" si="2153"/>
        <v>0</v>
      </c>
      <c r="AH571" s="16">
        <f t="shared" si="2153"/>
        <v>0</v>
      </c>
      <c r="AI571" s="16">
        <f t="shared" si="2153"/>
        <v>0</v>
      </c>
      <c r="AJ571" s="16">
        <f t="shared" si="2153"/>
        <v>0</v>
      </c>
      <c r="AK571" s="16">
        <f t="shared" si="2153"/>
        <v>0</v>
      </c>
      <c r="AL571" s="16">
        <f t="shared" ref="AL571:BQ571" si="2154">AL222/AL$419*100</f>
        <v>0</v>
      </c>
      <c r="AM571" s="16">
        <f t="shared" si="2154"/>
        <v>0</v>
      </c>
      <c r="AN571" s="16">
        <f t="shared" si="2154"/>
        <v>0</v>
      </c>
      <c r="AO571" s="16">
        <f t="shared" si="2154"/>
        <v>0</v>
      </c>
      <c r="AP571" s="16">
        <f t="shared" si="2154"/>
        <v>0</v>
      </c>
      <c r="AQ571" s="16">
        <f t="shared" si="2154"/>
        <v>0</v>
      </c>
      <c r="AR571" s="16">
        <f t="shared" si="2154"/>
        <v>0</v>
      </c>
      <c r="AS571" s="16">
        <f t="shared" si="2154"/>
        <v>0</v>
      </c>
      <c r="AT571" s="16">
        <f t="shared" si="2154"/>
        <v>0</v>
      </c>
      <c r="AU571" s="16">
        <f t="shared" si="2154"/>
        <v>0</v>
      </c>
      <c r="AV571" s="16">
        <f t="shared" si="2154"/>
        <v>0</v>
      </c>
      <c r="AW571" s="16">
        <f t="shared" si="2154"/>
        <v>0</v>
      </c>
      <c r="AX571" s="16">
        <f t="shared" si="2154"/>
        <v>0</v>
      </c>
      <c r="AY571" s="16">
        <f t="shared" si="2154"/>
        <v>0</v>
      </c>
      <c r="AZ571" s="16">
        <f t="shared" si="2154"/>
        <v>0</v>
      </c>
      <c r="BA571" s="16">
        <f t="shared" si="2154"/>
        <v>0</v>
      </c>
      <c r="BB571" s="16">
        <f t="shared" si="2154"/>
        <v>0</v>
      </c>
      <c r="BC571" s="16">
        <f t="shared" si="2154"/>
        <v>0</v>
      </c>
      <c r="BD571" s="16">
        <f t="shared" si="2154"/>
        <v>0</v>
      </c>
      <c r="BE571" s="16">
        <f t="shared" ca="1" si="2154"/>
        <v>0</v>
      </c>
      <c r="BF571" s="16">
        <f t="shared" ca="1" si="2154"/>
        <v>0</v>
      </c>
      <c r="BG571" s="16">
        <f t="shared" ca="1" si="2154"/>
        <v>0</v>
      </c>
      <c r="BH571" s="16">
        <f t="shared" ca="1" si="2154"/>
        <v>0</v>
      </c>
      <c r="BI571" s="16">
        <f t="shared" ca="1" si="2154"/>
        <v>0</v>
      </c>
      <c r="BJ571" s="16">
        <f t="shared" ca="1" si="2154"/>
        <v>0</v>
      </c>
      <c r="BK571" s="16">
        <f t="shared" ca="1" si="2154"/>
        <v>0</v>
      </c>
      <c r="BL571" s="16">
        <f t="shared" ca="1" si="2154"/>
        <v>0</v>
      </c>
      <c r="BM571" s="16">
        <f t="shared" ca="1" si="2154"/>
        <v>0</v>
      </c>
      <c r="BN571" s="16">
        <f t="shared" si="2154"/>
        <v>0</v>
      </c>
      <c r="BO571" s="16">
        <f t="shared" ca="1" si="2154"/>
        <v>0</v>
      </c>
      <c r="BP571" s="16">
        <f t="shared" ca="1" si="2154"/>
        <v>-0.6213171951946449</v>
      </c>
      <c r="BQ571" s="16">
        <f t="shared" ca="1" si="2154"/>
        <v>-1.1190094700274664</v>
      </c>
      <c r="BR571" s="16">
        <f t="shared" ca="1" si="2104"/>
        <v>-1.2859853751518551</v>
      </c>
      <c r="BS571" s="16">
        <f t="shared" ca="1" si="2104"/>
        <v>-1.1633521248218053</v>
      </c>
      <c r="BT571" s="16">
        <f t="shared" ca="1" si="2105"/>
        <v>-1.467269305481957</v>
      </c>
      <c r="BU571" s="16">
        <f t="shared" ca="1" si="2105"/>
        <v>-1.8356946613706886</v>
      </c>
      <c r="BV571" s="16">
        <f t="shared" ca="1" si="2106"/>
        <v>-2.1949752030393119</v>
      </c>
      <c r="BW571" s="16">
        <f t="shared" ref="BW571:BX571" ca="1" si="2155">BW222/BW$419*100</f>
        <v>-2.5469798914074042</v>
      </c>
      <c r="BX571" s="16">
        <f t="shared" ca="1" si="2155"/>
        <v>-2.8931093173726206</v>
      </c>
      <c r="BY571" s="16">
        <f t="shared" ref="BY571:CD571" ca="1" si="2156">BY222/BY$419*100</f>
        <v>-3.2348097557750575</v>
      </c>
      <c r="BZ571" s="16">
        <f t="shared" ca="1" si="2156"/>
        <v>-3.547514609239999</v>
      </c>
      <c r="CA571" s="16">
        <f t="shared" ca="1" si="2156"/>
        <v>-3.8588987442773122</v>
      </c>
      <c r="CB571" s="16">
        <f t="shared" ca="1" si="2156"/>
        <v>-4.1622807584071806</v>
      </c>
      <c r="CC571" s="16">
        <f t="shared" ca="1" si="2156"/>
        <v>-4.4581630014156373</v>
      </c>
      <c r="CD571" s="16">
        <f t="shared" ca="1" si="2156"/>
        <v>-4.7476136164210798</v>
      </c>
      <c r="CE571" s="16"/>
      <c r="CG571" s="235">
        <f t="shared" ca="1" si="2109"/>
        <v>0</v>
      </c>
      <c r="CH571" s="235">
        <f t="shared" ca="1" si="2110"/>
        <v>0</v>
      </c>
      <c r="CI571" s="235" t="e">
        <f ca="1">BM571-#REF!</f>
        <v>#REF!</v>
      </c>
      <c r="CJ571" s="235">
        <f t="shared" si="2111"/>
        <v>0</v>
      </c>
      <c r="CK571" s="235">
        <f t="shared" ca="1" si="2112"/>
        <v>0</v>
      </c>
      <c r="CL571" s="235">
        <f t="shared" ca="1" si="2113"/>
        <v>-1.1102230246251565E-15</v>
      </c>
      <c r="CM571" s="235">
        <f t="shared" ca="1" si="2114"/>
        <v>0</v>
      </c>
      <c r="CN571" s="235">
        <f t="shared" ca="1" si="2115"/>
        <v>0</v>
      </c>
      <c r="CO571" s="235">
        <f t="shared" ca="1" si="2116"/>
        <v>0</v>
      </c>
      <c r="CP571" s="235">
        <f t="shared" ca="1" si="2117"/>
        <v>-2.886579864025407E-15</v>
      </c>
      <c r="CQ571" s="235">
        <f t="shared" ca="1" si="2118"/>
        <v>-1.9984014443252818E-15</v>
      </c>
      <c r="CR571" s="235">
        <f t="shared" ca="1" si="2119"/>
        <v>-4.8849813083506888E-15</v>
      </c>
      <c r="CS571" s="235">
        <f t="shared" ca="1" si="2120"/>
        <v>-7.9936057773011271E-15</v>
      </c>
      <c r="CT571" s="235">
        <f t="shared" ca="1" si="2121"/>
        <v>-1.1990408665951691E-14</v>
      </c>
      <c r="CU571" s="235">
        <f t="shared" ca="1" si="2122"/>
        <v>-1.8207657603852567E-14</v>
      </c>
      <c r="CV571" s="235">
        <f t="shared" ca="1" si="2123"/>
        <v>-2.0872192862952943E-14</v>
      </c>
      <c r="CW571" s="235">
        <f t="shared" ca="1" si="2124"/>
        <v>-4.929390229335695E-14</v>
      </c>
      <c r="CX571" s="235">
        <f t="shared" ca="1" si="2125"/>
        <v>-3.1441516057384433E-13</v>
      </c>
      <c r="CY571" s="235">
        <f t="shared" ca="1" si="2126"/>
        <v>-2.354560990625032E-12</v>
      </c>
      <c r="CZ571" s="235">
        <f t="shared" ca="1" si="2127"/>
        <v>-1.553157602529609E-11</v>
      </c>
      <c r="DG571" s="236">
        <v>0</v>
      </c>
      <c r="DH571" s="492">
        <v>0</v>
      </c>
      <c r="DI571" s="236">
        <v>0</v>
      </c>
      <c r="DJ571" s="236">
        <v>0</v>
      </c>
      <c r="DK571" s="236">
        <v>-0.62131719519464379</v>
      </c>
      <c r="DL571" s="236">
        <v>-1.1190094700274662</v>
      </c>
      <c r="DM571" s="236">
        <v>-1.2859853751518544</v>
      </c>
      <c r="DN571" s="236">
        <v>-1.1633521248218051</v>
      </c>
      <c r="DO571" s="236">
        <v>-1.4672693054819541</v>
      </c>
      <c r="DP571" s="236">
        <v>-1.8356946613706866</v>
      </c>
      <c r="DQ571" s="258">
        <v>-2.194975203039307</v>
      </c>
      <c r="DR571" s="258">
        <v>-2.5469798914073962</v>
      </c>
      <c r="DS571" s="258">
        <v>-2.8931093173726086</v>
      </c>
      <c r="DT571" s="258">
        <v>-3.2348097557750393</v>
      </c>
      <c r="DU571" s="258">
        <v>-3.5475146092399781</v>
      </c>
      <c r="DV571" s="258">
        <v>-3.8588987442772629</v>
      </c>
      <c r="DW571" s="258">
        <v>-4.1622807584068662</v>
      </c>
      <c r="DX571" s="258">
        <v>-4.4581630014132827</v>
      </c>
      <c r="DY571" s="258">
        <v>-4.7476136164055482</v>
      </c>
    </row>
    <row r="572" spans="2:131" hidden="1">
      <c r="B572" s="3" t="str">
        <f t="shared" si="2128"/>
        <v>Indirecte belastingen</v>
      </c>
      <c r="F572" s="16">
        <f t="shared" ref="F572:AK572" si="2157">F223/F$419*100</f>
        <v>8.9058765756388887</v>
      </c>
      <c r="G572" s="16">
        <f t="shared" si="2157"/>
        <v>8.4595889679026044</v>
      </c>
      <c r="H572" s="16">
        <f t="shared" si="2157"/>
        <v>8.6031599547498168</v>
      </c>
      <c r="I572" s="16">
        <f t="shared" si="2157"/>
        <v>9.4222152538579635</v>
      </c>
      <c r="J572" s="16">
        <f t="shared" si="2157"/>
        <v>8.7590083843014135</v>
      </c>
      <c r="K572" s="16">
        <f t="shared" si="2157"/>
        <v>8.7101778909759222</v>
      </c>
      <c r="L572" s="16">
        <f t="shared" si="2157"/>
        <v>9.7534348680350487</v>
      </c>
      <c r="M572" s="16">
        <f t="shared" si="2157"/>
        <v>9.3670422532316575</v>
      </c>
      <c r="N572" s="16">
        <f t="shared" si="2157"/>
        <v>9.021715145220762</v>
      </c>
      <c r="O572" s="16">
        <f t="shared" si="2157"/>
        <v>9.1342302966090365</v>
      </c>
      <c r="P572" s="16">
        <f t="shared" si="2157"/>
        <v>9.4714354004502663</v>
      </c>
      <c r="Q572" s="16">
        <f t="shared" si="2157"/>
        <v>9.4085086117813468</v>
      </c>
      <c r="R572" s="16">
        <f t="shared" si="2157"/>
        <v>8.2321734962583299</v>
      </c>
      <c r="S572" s="16">
        <f t="shared" si="2157"/>
        <v>7.8539833989391887</v>
      </c>
      <c r="T572" s="16">
        <f t="shared" si="2157"/>
        <v>7.5243424620949702</v>
      </c>
      <c r="U572" s="16">
        <f t="shared" si="2157"/>
        <v>7.9701005608977402</v>
      </c>
      <c r="V572" s="16">
        <f t="shared" si="2157"/>
        <v>8.2628660183749982</v>
      </c>
      <c r="W572" s="16">
        <f t="shared" si="2157"/>
        <v>8.1087823835225983</v>
      </c>
      <c r="X572" s="16">
        <f t="shared" si="2157"/>
        <v>8.2503322515753172</v>
      </c>
      <c r="Y572" s="16">
        <f t="shared" si="2157"/>
        <v>8.3445344558192769</v>
      </c>
      <c r="Z572" s="16">
        <f t="shared" si="2157"/>
        <v>8.4701601863222518</v>
      </c>
      <c r="AA572" s="16">
        <f t="shared" si="2157"/>
        <v>7.1251309852995988</v>
      </c>
      <c r="AB572" s="16">
        <f t="shared" si="2157"/>
        <v>8.408395182589631</v>
      </c>
      <c r="AC572" s="16">
        <f t="shared" si="2157"/>
        <v>8.499888444729315</v>
      </c>
      <c r="AD572" s="16">
        <f t="shared" si="2157"/>
        <v>7.9572912105141</v>
      </c>
      <c r="AE572" s="16">
        <f t="shared" si="2157"/>
        <v>7.5059558358260556</v>
      </c>
      <c r="AF572" s="16">
        <f t="shared" si="2157"/>
        <v>7.9859024762009874</v>
      </c>
      <c r="AG572" s="16">
        <f t="shared" si="2157"/>
        <v>8.1122765939691188</v>
      </c>
      <c r="AH572" s="16">
        <f t="shared" si="2157"/>
        <v>8.0152664282092161</v>
      </c>
      <c r="AI572" s="16">
        <f t="shared" si="2157"/>
        <v>7.2648811323875115</v>
      </c>
      <c r="AJ572" s="16">
        <f t="shared" si="2157"/>
        <v>7.5637375467582144</v>
      </c>
      <c r="AK572" s="16">
        <f t="shared" si="2157"/>
        <v>6.4930975262615149</v>
      </c>
      <c r="AL572" s="16">
        <f t="shared" ref="AL572:BQ572" si="2158">AL223/AL$419*100</f>
        <v>6.3667871949998247</v>
      </c>
      <c r="AM572" s="16">
        <f t="shared" si="2158"/>
        <v>5.0745179982587825</v>
      </c>
      <c r="AN572" s="16">
        <f t="shared" si="2158"/>
        <v>5.462040583768955</v>
      </c>
      <c r="AO572" s="16">
        <f t="shared" si="2158"/>
        <v>5.4005611074400255</v>
      </c>
      <c r="AP572" s="16">
        <f t="shared" si="2158"/>
        <v>3.7630543301248029</v>
      </c>
      <c r="AQ572" s="16">
        <f t="shared" si="2158"/>
        <v>3.5620164301211017</v>
      </c>
      <c r="AR572" s="16">
        <f t="shared" si="2158"/>
        <v>3.3431863062519427</v>
      </c>
      <c r="AS572" s="16">
        <f t="shared" si="2158"/>
        <v>1.0822909670423053</v>
      </c>
      <c r="AT572" s="16">
        <f t="shared" si="2158"/>
        <v>5.1925144935377272</v>
      </c>
      <c r="AU572" s="16">
        <f t="shared" si="2158"/>
        <v>4.9272649888076403</v>
      </c>
      <c r="AV572" s="16">
        <f t="shared" si="2158"/>
        <v>9.6548369035433819</v>
      </c>
      <c r="AW572" s="16">
        <f t="shared" si="2158"/>
        <v>6.0582238321945772</v>
      </c>
      <c r="AX572" s="16">
        <f t="shared" si="2158"/>
        <v>10.938219819010724</v>
      </c>
      <c r="AY572" s="16">
        <f t="shared" si="2158"/>
        <v>9.6697286606047221</v>
      </c>
      <c r="AZ572" s="16">
        <f t="shared" si="2158"/>
        <v>7.8440895426687725</v>
      </c>
      <c r="BA572" s="16">
        <f t="shared" si="2158"/>
        <v>12.290114735677221</v>
      </c>
      <c r="BB572" s="16">
        <f t="shared" si="2158"/>
        <v>12.171367882742201</v>
      </c>
      <c r="BC572" s="16">
        <f t="shared" si="2158"/>
        <v>11.910937490262016</v>
      </c>
      <c r="BD572" s="16">
        <f t="shared" si="2158"/>
        <v>10.558754058382403</v>
      </c>
      <c r="BE572" s="16">
        <f t="shared" ca="1" si="2158"/>
        <v>8.3935337511592287</v>
      </c>
      <c r="BF572" s="16">
        <f t="shared" ca="1" si="2158"/>
        <v>8.296797156991957</v>
      </c>
      <c r="BG572" s="16">
        <f t="shared" ca="1" si="2158"/>
        <v>8.9484328493015575</v>
      </c>
      <c r="BH572" s="16">
        <f t="shared" ca="1" si="2158"/>
        <v>8.5981074820780048</v>
      </c>
      <c r="BI572" s="16">
        <f t="shared" ca="1" si="2158"/>
        <v>8.8434937764105079</v>
      </c>
      <c r="BJ572" s="16">
        <f t="shared" ca="1" si="2158"/>
        <v>7.4263288835935235</v>
      </c>
      <c r="BK572" s="16">
        <f t="shared" ca="1" si="2158"/>
        <v>8.2239554989791017</v>
      </c>
      <c r="BL572" s="16">
        <f t="shared" ca="1" si="2158"/>
        <v>8.2333230880648713</v>
      </c>
      <c r="BM572" s="16">
        <f t="shared" ca="1" si="2158"/>
        <v>8.4120740855945364</v>
      </c>
      <c r="BN572" s="16">
        <f t="shared" si="2158"/>
        <v>8.1952353875044732</v>
      </c>
      <c r="BO572" s="16">
        <f t="shared" ca="1" si="2158"/>
        <v>8.7650957677968613</v>
      </c>
      <c r="BP572" s="16">
        <f t="shared" ca="1" si="2158"/>
        <v>8.5289329811162897</v>
      </c>
      <c r="BQ572" s="16">
        <f t="shared" ca="1" si="2158"/>
        <v>8.0786651801656717</v>
      </c>
      <c r="BR572" s="16">
        <f t="shared" ca="1" si="2104"/>
        <v>8.0726961345657848</v>
      </c>
      <c r="BS572" s="16">
        <f t="shared" ca="1" si="2104"/>
        <v>8.1747107728305366</v>
      </c>
      <c r="BT572" s="16">
        <f t="shared" ca="1" si="2105"/>
        <v>8.2696386050502948</v>
      </c>
      <c r="BU572" s="16">
        <f t="shared" ca="1" si="2105"/>
        <v>8.3777784327070179</v>
      </c>
      <c r="BV572" s="16">
        <f t="shared" ca="1" si="2106"/>
        <v>8.4797280673231263</v>
      </c>
      <c r="BW572" s="16">
        <f t="shared" ref="BW572:BX572" ca="1" si="2159">BW223/BW$419*100</f>
        <v>8.5863338347323772</v>
      </c>
      <c r="BX572" s="16">
        <f t="shared" ca="1" si="2159"/>
        <v>8.6973470538574968</v>
      </c>
      <c r="BY572" s="16">
        <f t="shared" ref="BY572:CD572" ca="1" si="2160">BY223/BY$419*100</f>
        <v>8.8136853123689498</v>
      </c>
      <c r="BZ572" s="16">
        <f t="shared" ca="1" si="2160"/>
        <v>8.8657947489921813</v>
      </c>
      <c r="CA572" s="16">
        <f t="shared" ca="1" si="2160"/>
        <v>8.9228769366829948</v>
      </c>
      <c r="CB572" s="16">
        <f t="shared" ca="1" si="2160"/>
        <v>8.9839386111988588</v>
      </c>
      <c r="CC572" s="16">
        <f t="shared" ca="1" si="2160"/>
        <v>9.0475586454241839</v>
      </c>
      <c r="CD572" s="16">
        <f t="shared" ca="1" si="2160"/>
        <v>9.1141586350740589</v>
      </c>
      <c r="CE572" s="16"/>
      <c r="CG572" s="235">
        <f t="shared" ca="1" si="2109"/>
        <v>-2.22292535157316</v>
      </c>
      <c r="CH572" s="235">
        <f t="shared" ca="1" si="2110"/>
        <v>0.11562962867727578</v>
      </c>
      <c r="CI572" s="235" t="e">
        <f ca="1">BM572-#REF!</f>
        <v>#REF!</v>
      </c>
      <c r="CJ572" s="235">
        <f t="shared" si="2111"/>
        <v>0</v>
      </c>
      <c r="CK572" s="235">
        <f t="shared" ca="1" si="2112"/>
        <v>0</v>
      </c>
      <c r="CL572" s="235">
        <f t="shared" ca="1" si="2113"/>
        <v>0</v>
      </c>
      <c r="CM572" s="235">
        <f t="shared" ca="1" si="2114"/>
        <v>0</v>
      </c>
      <c r="CN572" s="235">
        <f t="shared" ca="1" si="2115"/>
        <v>0</v>
      </c>
      <c r="CO572" s="235">
        <f t="shared" ca="1" si="2116"/>
        <v>0</v>
      </c>
      <c r="CP572" s="235">
        <f t="shared" ca="1" si="2117"/>
        <v>0</v>
      </c>
      <c r="CQ572" s="235">
        <f t="shared" ca="1" si="2118"/>
        <v>1.5987211554602254E-14</v>
      </c>
      <c r="CR572" s="235">
        <f t="shared" ca="1" si="2119"/>
        <v>1.9539925233402755E-14</v>
      </c>
      <c r="CS572" s="235">
        <f t="shared" ca="1" si="2120"/>
        <v>1.9539925233402755E-14</v>
      </c>
      <c r="CT572" s="235">
        <f t="shared" ca="1" si="2121"/>
        <v>2.1316282072803006E-14</v>
      </c>
      <c r="CU572" s="235">
        <f t="shared" ca="1" si="2122"/>
        <v>1.9539925233402755E-14</v>
      </c>
      <c r="CV572" s="235">
        <f t="shared" ca="1" si="2123"/>
        <v>2.4868995751603507E-14</v>
      </c>
      <c r="CW572" s="235">
        <f t="shared" ca="1" si="2124"/>
        <v>-2.3092638912203256E-14</v>
      </c>
      <c r="CX572" s="235">
        <f t="shared" ca="1" si="2125"/>
        <v>-7.1942451995710144E-13</v>
      </c>
      <c r="CY572" s="235">
        <f t="shared" ca="1" si="2126"/>
        <v>-6.9739769514853833E-12</v>
      </c>
      <c r="CZ572" s="235">
        <f t="shared" ca="1" si="2127"/>
        <v>-5.021405513616628E-11</v>
      </c>
      <c r="DG572" s="236">
        <v>10.446880850552262</v>
      </c>
      <c r="DH572" s="492">
        <v>8.1176934593875956</v>
      </c>
      <c r="DI572" s="236">
        <v>8.1952353875044732</v>
      </c>
      <c r="DJ572" s="236">
        <v>8.7650957677968577</v>
      </c>
      <c r="DK572" s="236">
        <v>8.5289329811162897</v>
      </c>
      <c r="DL572" s="236">
        <v>8.0786651801656699</v>
      </c>
      <c r="DM572" s="236">
        <v>8.0726961345657795</v>
      </c>
      <c r="DN572" s="236">
        <v>8.1747107728305366</v>
      </c>
      <c r="DO572" s="236">
        <v>8.2696386050502824</v>
      </c>
      <c r="DP572" s="236">
        <v>8.377778432707002</v>
      </c>
      <c r="DQ572" s="258">
        <v>8.4797280673231068</v>
      </c>
      <c r="DR572" s="258">
        <v>8.5863338347323577</v>
      </c>
      <c r="DS572" s="258">
        <v>8.6973470538574755</v>
      </c>
      <c r="DT572" s="258">
        <v>8.8136853123689303</v>
      </c>
      <c r="DU572" s="258">
        <v>8.8657947489921565</v>
      </c>
      <c r="DV572" s="258">
        <v>8.9228769366830178</v>
      </c>
      <c r="DW572" s="258">
        <v>8.9839386111995783</v>
      </c>
      <c r="DX572" s="258">
        <v>9.0475586454311578</v>
      </c>
      <c r="DY572" s="258">
        <v>9.1141586351242729</v>
      </c>
    </row>
    <row r="573" spans="2:131" hidden="1">
      <c r="B573" s="3" t="str">
        <f t="shared" si="2128"/>
        <v>Invoerrechten</v>
      </c>
      <c r="F573" s="16">
        <f t="shared" ref="F573:AK573" si="2161">F224/F$419*100</f>
        <v>6.6978080031664389</v>
      </c>
      <c r="G573" s="16">
        <f t="shared" si="2161"/>
        <v>6.485684875391998</v>
      </c>
      <c r="H573" s="16">
        <f t="shared" si="2161"/>
        <v>6.5827209804156555</v>
      </c>
      <c r="I573" s="16">
        <f t="shared" si="2161"/>
        <v>7.6731813683499031</v>
      </c>
      <c r="J573" s="16">
        <f t="shared" si="2161"/>
        <v>7.3788010132714925</v>
      </c>
      <c r="K573" s="16">
        <f t="shared" si="2161"/>
        <v>7.2183795056926581</v>
      </c>
      <c r="L573" s="16">
        <f t="shared" si="2161"/>
        <v>8.3347533654208554</v>
      </c>
      <c r="M573" s="16">
        <f t="shared" si="2161"/>
        <v>8.1378828698521719</v>
      </c>
      <c r="N573" s="16">
        <f t="shared" si="2161"/>
        <v>7.8940007880772836</v>
      </c>
      <c r="O573" s="16">
        <f t="shared" si="2161"/>
        <v>8.0396323849562581</v>
      </c>
      <c r="P573" s="16">
        <f t="shared" si="2161"/>
        <v>8.3732979330728377</v>
      </c>
      <c r="Q573" s="16">
        <f t="shared" si="2161"/>
        <v>8.38975287674422</v>
      </c>
      <c r="R573" s="16">
        <f t="shared" si="2161"/>
        <v>7.3069435816143447</v>
      </c>
      <c r="S573" s="16">
        <f t="shared" si="2161"/>
        <v>7.0767662696563329</v>
      </c>
      <c r="T573" s="16">
        <f t="shared" si="2161"/>
        <v>6.8335219040377098</v>
      </c>
      <c r="U573" s="16">
        <f t="shared" si="2161"/>
        <v>7.3089038924015233</v>
      </c>
      <c r="V573" s="16">
        <f t="shared" si="2161"/>
        <v>7.6181249604126213</v>
      </c>
      <c r="W573" s="16">
        <f t="shared" si="2161"/>
        <v>7.4838280756134301</v>
      </c>
      <c r="X573" s="16">
        <f t="shared" si="2161"/>
        <v>7.6419444547647748</v>
      </c>
      <c r="Y573" s="16">
        <f t="shared" si="2161"/>
        <v>7.7553472548625226</v>
      </c>
      <c r="Z573" s="16">
        <f t="shared" si="2161"/>
        <v>7.9858292077939108</v>
      </c>
      <c r="AA573" s="16">
        <f t="shared" si="2161"/>
        <v>6.834500656889424</v>
      </c>
      <c r="AB573" s="16">
        <f t="shared" si="2161"/>
        <v>8.1841713225681829</v>
      </c>
      <c r="AC573" s="16">
        <f t="shared" si="2161"/>
        <v>8.302691024069949</v>
      </c>
      <c r="AD573" s="16">
        <f t="shared" si="2161"/>
        <v>7.7734789833206861</v>
      </c>
      <c r="AE573" s="16">
        <f t="shared" si="2161"/>
        <v>7.3555023754885056</v>
      </c>
      <c r="AF573" s="16">
        <f t="shared" si="2161"/>
        <v>7.8334789759272825</v>
      </c>
      <c r="AG573" s="16">
        <f t="shared" si="2161"/>
        <v>8.0007509766073532</v>
      </c>
      <c r="AH573" s="16">
        <f t="shared" si="2161"/>
        <v>7.9163125261264344</v>
      </c>
      <c r="AI573" s="16">
        <f t="shared" si="2161"/>
        <v>7.1625588674985847</v>
      </c>
      <c r="AJ573" s="16">
        <f t="shared" si="2161"/>
        <v>7.4340164589441775</v>
      </c>
      <c r="AK573" s="16">
        <f t="shared" si="2161"/>
        <v>6.3481399940708751</v>
      </c>
      <c r="AL573" s="16">
        <f t="shared" ref="AL573:BQ573" si="2162">AL224/AL$419*100</f>
        <v>6.2209829080914325</v>
      </c>
      <c r="AM573" s="16">
        <f t="shared" si="2162"/>
        <v>4.9862655113325429</v>
      </c>
      <c r="AN573" s="16">
        <f t="shared" si="2162"/>
        <v>5.3950216798658852</v>
      </c>
      <c r="AO573" s="16">
        <f t="shared" si="2162"/>
        <v>5.353160042779562</v>
      </c>
      <c r="AP573" s="16">
        <f t="shared" si="2162"/>
        <v>3.7217345178724526</v>
      </c>
      <c r="AQ573" s="16">
        <f t="shared" si="2162"/>
        <v>3.5240232491038976</v>
      </c>
      <c r="AR573" s="16">
        <f t="shared" si="2162"/>
        <v>3.317601104692641</v>
      </c>
      <c r="AS573" s="16">
        <f t="shared" si="2162"/>
        <v>1.0505697492397907</v>
      </c>
      <c r="AT573" s="16">
        <f t="shared" si="2162"/>
        <v>5.1413619704864022</v>
      </c>
      <c r="AU573" s="16">
        <f t="shared" si="2162"/>
        <v>4.7389376375634304</v>
      </c>
      <c r="AV573" s="16">
        <f t="shared" si="2162"/>
        <v>6.8144179891759205</v>
      </c>
      <c r="AW573" s="16">
        <f t="shared" si="2162"/>
        <v>5.1056568540565648</v>
      </c>
      <c r="AX573" s="16">
        <f t="shared" si="2162"/>
        <v>4.8844108247361717</v>
      </c>
      <c r="AY573" s="16">
        <f t="shared" si="2162"/>
        <v>4.3175957174419795</v>
      </c>
      <c r="AZ573" s="16">
        <f t="shared" si="2162"/>
        <v>4.2834946029209435</v>
      </c>
      <c r="BA573" s="16">
        <f t="shared" si="2162"/>
        <v>6.6139942090182622</v>
      </c>
      <c r="BB573" s="16">
        <f t="shared" si="2162"/>
        <v>6.5615762880068846</v>
      </c>
      <c r="BC573" s="16">
        <f t="shared" si="2162"/>
        <v>5.9955979443226433</v>
      </c>
      <c r="BD573" s="16">
        <f t="shared" si="2162"/>
        <v>3.3336792675416858</v>
      </c>
      <c r="BE573" s="16">
        <f t="shared" ca="1" si="2162"/>
        <v>2.8172026809154724</v>
      </c>
      <c r="BF573" s="16">
        <f t="shared" ca="1" si="2162"/>
        <v>2.1568689426508447</v>
      </c>
      <c r="BG573" s="16">
        <f t="shared" ca="1" si="2162"/>
        <v>2.1931680009342212</v>
      </c>
      <c r="BH573" s="16">
        <f t="shared" ca="1" si="2162"/>
        <v>2.2510332708848781</v>
      </c>
      <c r="BI573" s="16">
        <f t="shared" ca="1" si="2162"/>
        <v>2.1592093660801295</v>
      </c>
      <c r="BJ573" s="16">
        <f t="shared" ca="1" si="2162"/>
        <v>1.8051011815294968</v>
      </c>
      <c r="BK573" s="16">
        <f t="shared" ca="1" si="2162"/>
        <v>1.8429633178520231</v>
      </c>
      <c r="BL573" s="16">
        <f t="shared" ca="1" si="2162"/>
        <v>1.8168410062927396</v>
      </c>
      <c r="BM573" s="16">
        <f t="shared" ca="1" si="2162"/>
        <v>1.9516993840261281</v>
      </c>
      <c r="BN573" s="16">
        <f t="shared" si="2162"/>
        <v>2.1687625264356103</v>
      </c>
      <c r="BO573" s="16">
        <f t="shared" ca="1" si="2162"/>
        <v>2.3495978519099432</v>
      </c>
      <c r="BP573" s="16">
        <f t="shared" ca="1" si="2162"/>
        <v>2.2713269620001069</v>
      </c>
      <c r="BQ573" s="16">
        <f t="shared" ca="1" si="2162"/>
        <v>2.0597506173138433</v>
      </c>
      <c r="BR573" s="16">
        <f t="shared" ca="1" si="2104"/>
        <v>2.0049152796027805</v>
      </c>
      <c r="BS573" s="16">
        <f t="shared" ca="1" si="2104"/>
        <v>2.0152373040945073</v>
      </c>
      <c r="BT573" s="16">
        <f t="shared" ca="1" si="2105"/>
        <v>2.0565163969096032</v>
      </c>
      <c r="BU573" s="16">
        <f t="shared" ca="1" si="2105"/>
        <v>2.1104815359097722</v>
      </c>
      <c r="BV573" s="16">
        <f t="shared" ca="1" si="2106"/>
        <v>2.1591689869003883</v>
      </c>
      <c r="BW573" s="16">
        <f t="shared" ref="BW573:BX573" ca="1" si="2163">BW224/BW$419*100</f>
        <v>2.2100876996305514</v>
      </c>
      <c r="BX573" s="16">
        <f t="shared" ca="1" si="2163"/>
        <v>2.2633256926929057</v>
      </c>
      <c r="BY573" s="16">
        <f t="shared" ref="BY573:CD573" ca="1" si="2164">BY224/BY$419*100</f>
        <v>2.3192241339627442</v>
      </c>
      <c r="BZ573" s="16">
        <f t="shared" ca="1" si="2164"/>
        <v>2.3553158918392718</v>
      </c>
      <c r="CA573" s="16">
        <f t="shared" ca="1" si="2164"/>
        <v>2.392584991527225</v>
      </c>
      <c r="CB573" s="16">
        <f t="shared" ca="1" si="2164"/>
        <v>2.4315264910211569</v>
      </c>
      <c r="CC573" s="16">
        <f t="shared" ca="1" si="2164"/>
        <v>2.4716620725696394</v>
      </c>
      <c r="CD573" s="16">
        <f t="shared" ca="1" si="2164"/>
        <v>2.5130661826129219</v>
      </c>
      <c r="CE573" s="16"/>
      <c r="CG573" s="235">
        <f t="shared" ca="1" si="2109"/>
        <v>-0.49815078422800418</v>
      </c>
      <c r="CH573" s="235">
        <f t="shared" ca="1" si="2110"/>
        <v>2.5515900284274418E-2</v>
      </c>
      <c r="CI573" s="235" t="e">
        <f ca="1">BM573-#REF!</f>
        <v>#REF!</v>
      </c>
      <c r="CJ573" s="235">
        <f t="shared" si="2111"/>
        <v>0</v>
      </c>
      <c r="CK573" s="235">
        <f t="shared" ca="1" si="2112"/>
        <v>0</v>
      </c>
      <c r="CL573" s="235">
        <f t="shared" ca="1" si="2113"/>
        <v>0</v>
      </c>
      <c r="CM573" s="235">
        <f t="shared" ca="1" si="2114"/>
        <v>0</v>
      </c>
      <c r="CN573" s="235">
        <f t="shared" ca="1" si="2115"/>
        <v>0</v>
      </c>
      <c r="CO573" s="235">
        <f t="shared" ca="1" si="2116"/>
        <v>0</v>
      </c>
      <c r="CP573" s="235">
        <f t="shared" ca="1" si="2117"/>
        <v>0</v>
      </c>
      <c r="CQ573" s="235">
        <f t="shared" ca="1" si="2118"/>
        <v>0</v>
      </c>
      <c r="CR573" s="235">
        <f t="shared" ca="1" si="2119"/>
        <v>4.8849813083506888E-15</v>
      </c>
      <c r="CS573" s="235">
        <f t="shared" ca="1" si="2120"/>
        <v>5.773159728050814E-15</v>
      </c>
      <c r="CT573" s="235">
        <f t="shared" ca="1" si="2121"/>
        <v>7.5495165674510645E-15</v>
      </c>
      <c r="CU573" s="235">
        <f t="shared" ca="1" si="2122"/>
        <v>5.773159728050814E-15</v>
      </c>
      <c r="CV573" s="235">
        <f t="shared" ca="1" si="2123"/>
        <v>5.773159728050814E-15</v>
      </c>
      <c r="CW573" s="235">
        <f t="shared" ca="1" si="2124"/>
        <v>-5.773159728050814E-15</v>
      </c>
      <c r="CX573" s="235">
        <f t="shared" ca="1" si="2125"/>
        <v>-1.6431300764452317E-13</v>
      </c>
      <c r="CY573" s="235">
        <f t="shared" ca="1" si="2126"/>
        <v>-1.6511236822225328E-12</v>
      </c>
      <c r="CZ573" s="235">
        <f t="shared" ca="1" si="2127"/>
        <v>-1.2473577726268559E-11</v>
      </c>
      <c r="DG573" s="236">
        <v>2.3411141020800272</v>
      </c>
      <c r="DH573" s="492">
        <v>1.7913251060084652</v>
      </c>
      <c r="DI573" s="236">
        <v>2.1687625264356103</v>
      </c>
      <c r="DJ573" s="236">
        <v>2.3495978519099419</v>
      </c>
      <c r="DK573" s="236">
        <v>2.271326962000106</v>
      </c>
      <c r="DL573" s="236">
        <v>2.059750617313842</v>
      </c>
      <c r="DM573" s="236">
        <v>2.0049152796027792</v>
      </c>
      <c r="DN573" s="236">
        <v>2.0152373040945064</v>
      </c>
      <c r="DO573" s="236">
        <v>2.0565163969096001</v>
      </c>
      <c r="DP573" s="236">
        <v>2.1104815359097691</v>
      </c>
      <c r="DQ573" s="258">
        <v>2.1591689869003834</v>
      </c>
      <c r="DR573" s="258">
        <v>2.2100876996305456</v>
      </c>
      <c r="DS573" s="258">
        <v>2.2633256926928982</v>
      </c>
      <c r="DT573" s="258">
        <v>2.3192241339627384</v>
      </c>
      <c r="DU573" s="258">
        <v>2.355315891839266</v>
      </c>
      <c r="DV573" s="258">
        <v>2.3925849915272308</v>
      </c>
      <c r="DW573" s="258">
        <v>2.4315264910213212</v>
      </c>
      <c r="DX573" s="258">
        <v>2.4716620725712906</v>
      </c>
      <c r="DY573" s="258">
        <v>2.5130661826253955</v>
      </c>
    </row>
    <row r="574" spans="2:131" hidden="1">
      <c r="B574" s="3" t="str">
        <f t="shared" si="2128"/>
        <v>Totale omzetbelasting</v>
      </c>
      <c r="F574" s="16">
        <f t="shared" ref="F574:AK574" si="2165">F225/F$419*100</f>
        <v>0</v>
      </c>
      <c r="G574" s="16">
        <f t="shared" si="2165"/>
        <v>0</v>
      </c>
      <c r="H574" s="16">
        <f t="shared" si="2165"/>
        <v>0</v>
      </c>
      <c r="I574" s="16">
        <f t="shared" si="2165"/>
        <v>0</v>
      </c>
      <c r="J574" s="16">
        <f t="shared" si="2165"/>
        <v>0</v>
      </c>
      <c r="K574" s="16">
        <f t="shared" si="2165"/>
        <v>0</v>
      </c>
      <c r="L574" s="16">
        <f t="shared" si="2165"/>
        <v>0</v>
      </c>
      <c r="M574" s="16">
        <f t="shared" si="2165"/>
        <v>0</v>
      </c>
      <c r="N574" s="16">
        <f t="shared" si="2165"/>
        <v>0</v>
      </c>
      <c r="O574" s="16">
        <f t="shared" si="2165"/>
        <v>0</v>
      </c>
      <c r="P574" s="16">
        <f t="shared" si="2165"/>
        <v>0</v>
      </c>
      <c r="Q574" s="16">
        <f t="shared" si="2165"/>
        <v>0</v>
      </c>
      <c r="R574" s="16">
        <f t="shared" si="2165"/>
        <v>0</v>
      </c>
      <c r="S574" s="16">
        <f t="shared" si="2165"/>
        <v>0</v>
      </c>
      <c r="T574" s="16">
        <f t="shared" si="2165"/>
        <v>0</v>
      </c>
      <c r="U574" s="16">
        <f t="shared" si="2165"/>
        <v>0</v>
      </c>
      <c r="V574" s="16">
        <f t="shared" si="2165"/>
        <v>0</v>
      </c>
      <c r="W574" s="16">
        <f t="shared" si="2165"/>
        <v>0</v>
      </c>
      <c r="X574" s="16">
        <f t="shared" si="2165"/>
        <v>0</v>
      </c>
      <c r="Y574" s="16">
        <f t="shared" si="2165"/>
        <v>0</v>
      </c>
      <c r="Z574" s="16">
        <f t="shared" si="2165"/>
        <v>0</v>
      </c>
      <c r="AA574" s="16">
        <f t="shared" si="2165"/>
        <v>0</v>
      </c>
      <c r="AB574" s="16">
        <f t="shared" si="2165"/>
        <v>0</v>
      </c>
      <c r="AC574" s="16">
        <f t="shared" si="2165"/>
        <v>0</v>
      </c>
      <c r="AD574" s="16">
        <f t="shared" si="2165"/>
        <v>0</v>
      </c>
      <c r="AE574" s="16">
        <f t="shared" si="2165"/>
        <v>0</v>
      </c>
      <c r="AF574" s="16">
        <f t="shared" si="2165"/>
        <v>0</v>
      </c>
      <c r="AG574" s="16">
        <f t="shared" si="2165"/>
        <v>0</v>
      </c>
      <c r="AH574" s="16">
        <f t="shared" si="2165"/>
        <v>0</v>
      </c>
      <c r="AI574" s="16">
        <f t="shared" si="2165"/>
        <v>0</v>
      </c>
      <c r="AJ574" s="16">
        <f t="shared" si="2165"/>
        <v>0</v>
      </c>
      <c r="AK574" s="16">
        <f t="shared" si="2165"/>
        <v>0</v>
      </c>
      <c r="AL574" s="16">
        <f t="shared" ref="AL574:BQ574" si="2166">AL225/AL$419*100</f>
        <v>0</v>
      </c>
      <c r="AM574" s="16">
        <f t="shared" si="2166"/>
        <v>0</v>
      </c>
      <c r="AN574" s="16">
        <f t="shared" si="2166"/>
        <v>0</v>
      </c>
      <c r="AO574" s="16">
        <f t="shared" si="2166"/>
        <v>0</v>
      </c>
      <c r="AP574" s="16">
        <f t="shared" si="2166"/>
        <v>0</v>
      </c>
      <c r="AQ574" s="16">
        <f t="shared" si="2166"/>
        <v>0</v>
      </c>
      <c r="AR574" s="16">
        <f t="shared" si="2166"/>
        <v>0</v>
      </c>
      <c r="AS574" s="16">
        <f t="shared" si="2166"/>
        <v>0</v>
      </c>
      <c r="AT574" s="16">
        <f t="shared" si="2166"/>
        <v>0</v>
      </c>
      <c r="AU574" s="16">
        <f t="shared" si="2166"/>
        <v>0</v>
      </c>
      <c r="AV574" s="16">
        <f t="shared" si="2166"/>
        <v>0</v>
      </c>
      <c r="AW574" s="16">
        <f t="shared" si="2166"/>
        <v>0</v>
      </c>
      <c r="AX574" s="16">
        <f t="shared" si="2166"/>
        <v>2.6715400507157803</v>
      </c>
      <c r="AY574" s="16">
        <f t="shared" si="2166"/>
        <v>3.6508067731502343</v>
      </c>
      <c r="AZ574" s="16">
        <f t="shared" si="2166"/>
        <v>2.8293868614588198</v>
      </c>
      <c r="BA574" s="16">
        <f t="shared" si="2166"/>
        <v>2.3912419755381498</v>
      </c>
      <c r="BB574" s="16">
        <f t="shared" si="2166"/>
        <v>2.2747907167617969</v>
      </c>
      <c r="BC574" s="16">
        <f t="shared" si="2166"/>
        <v>2.7457535820476409</v>
      </c>
      <c r="BD574" s="16">
        <f t="shared" si="2166"/>
        <v>2.6561568986124069</v>
      </c>
      <c r="BE574" s="16">
        <f t="shared" ca="1" si="2166"/>
        <v>2.3069183718444832</v>
      </c>
      <c r="BF574" s="16">
        <f t="shared" ca="1" si="2166"/>
        <v>1.9800537248579035</v>
      </c>
      <c r="BG574" s="16">
        <f t="shared" ca="1" si="2166"/>
        <v>3.1989033632673691</v>
      </c>
      <c r="BH574" s="16">
        <f t="shared" ca="1" si="2166"/>
        <v>2.8436146559565669</v>
      </c>
      <c r="BI574" s="16">
        <f t="shared" ca="1" si="2166"/>
        <v>3.2279990920457156</v>
      </c>
      <c r="BJ574" s="16">
        <f t="shared" ca="1" si="2166"/>
        <v>2.7398575824143658</v>
      </c>
      <c r="BK574" s="16">
        <f t="shared" ca="1" si="2166"/>
        <v>3.722020651596964</v>
      </c>
      <c r="BL574" s="16">
        <f t="shared" ca="1" si="2166"/>
        <v>3.9608339233695138</v>
      </c>
      <c r="BM574" s="16">
        <f t="shared" ca="1" si="2166"/>
        <v>4.254834133364179</v>
      </c>
      <c r="BN574" s="16">
        <f t="shared" si="2166"/>
        <v>4.9639013577709656</v>
      </c>
      <c r="BO574" s="16">
        <f t="shared" ca="1" si="2166"/>
        <v>5.3185148479933257</v>
      </c>
      <c r="BP574" s="16">
        <f t="shared" ca="1" si="2166"/>
        <v>5.2188520791943009</v>
      </c>
      <c r="BQ574" s="16">
        <f t="shared" ca="1" si="2166"/>
        <v>4.971662477349172</v>
      </c>
      <c r="BR574" s="16">
        <f t="shared" ca="1" si="2104"/>
        <v>4.9828439972909173</v>
      </c>
      <c r="BS574" s="16">
        <f t="shared" ca="1" si="2104"/>
        <v>5.0567382442579145</v>
      </c>
      <c r="BT574" s="16">
        <f t="shared" ca="1" si="2105"/>
        <v>5.1044583561166323</v>
      </c>
      <c r="BU574" s="16">
        <f t="shared" ca="1" si="2105"/>
        <v>5.1555937722922494</v>
      </c>
      <c r="BV574" s="16">
        <f t="shared" ca="1" si="2106"/>
        <v>5.2020580094774163</v>
      </c>
      <c r="BW574" s="16">
        <f t="shared" ref="BW574:BX574" ca="1" si="2167">BW225/BW$419*100</f>
        <v>5.2505541049742543</v>
      </c>
      <c r="BX574" s="16">
        <f t="shared" ca="1" si="2167"/>
        <v>5.3007941110024461</v>
      </c>
      <c r="BY574" s="16">
        <f t="shared" ref="BY574:CD574" ca="1" si="2168">BY225/BY$419*100</f>
        <v>5.3532686329050643</v>
      </c>
      <c r="BZ574" s="16">
        <f t="shared" ca="1" si="2168"/>
        <v>5.3686159721690068</v>
      </c>
      <c r="CA574" s="16">
        <f t="shared" ca="1" si="2168"/>
        <v>5.3869196948175286</v>
      </c>
      <c r="CB574" s="16">
        <f t="shared" ca="1" si="2168"/>
        <v>5.4071240533596994</v>
      </c>
      <c r="CC574" s="16">
        <f t="shared" ca="1" si="2168"/>
        <v>5.428427510720903</v>
      </c>
      <c r="CD574" s="16">
        <f t="shared" ca="1" si="2168"/>
        <v>5.451110224556162</v>
      </c>
      <c r="CE574" s="16"/>
      <c r="CG574" s="235">
        <f t="shared" ca="1" si="2109"/>
        <v>-1.0060577378538622</v>
      </c>
      <c r="CH574" s="235">
        <f t="shared" ca="1" si="2110"/>
        <v>5.5626355350427925E-2</v>
      </c>
      <c r="CI574" s="235" t="e">
        <f ca="1">BM574-#REF!</f>
        <v>#REF!</v>
      </c>
      <c r="CJ574" s="235">
        <f t="shared" si="2111"/>
        <v>0</v>
      </c>
      <c r="CK574" s="235">
        <f t="shared" ca="1" si="2112"/>
        <v>0</v>
      </c>
      <c r="CL574" s="235">
        <f t="shared" ca="1" si="2113"/>
        <v>0</v>
      </c>
      <c r="CM574" s="235">
        <f t="shared" ca="1" si="2114"/>
        <v>0</v>
      </c>
      <c r="CN574" s="235">
        <f t="shared" ca="1" si="2115"/>
        <v>0</v>
      </c>
      <c r="CO574" s="235">
        <f t="shared" ca="1" si="2116"/>
        <v>0</v>
      </c>
      <c r="CP574" s="235">
        <f t="shared" ca="1" si="2117"/>
        <v>0</v>
      </c>
      <c r="CQ574" s="235">
        <f t="shared" ca="1" si="2118"/>
        <v>0</v>
      </c>
      <c r="CR574" s="235">
        <f t="shared" ca="1" si="2119"/>
        <v>7.1054273576010019E-15</v>
      </c>
      <c r="CS574" s="235">
        <f t="shared" ca="1" si="2120"/>
        <v>1.1546319456101628E-14</v>
      </c>
      <c r="CT574" s="235">
        <f t="shared" ca="1" si="2121"/>
        <v>1.3322676295501878E-14</v>
      </c>
      <c r="CU574" s="235">
        <f t="shared" ca="1" si="2122"/>
        <v>8.8817841970012523E-15</v>
      </c>
      <c r="CV574" s="235">
        <f t="shared" ca="1" si="2123"/>
        <v>8.8817841970012523E-15</v>
      </c>
      <c r="CW574" s="235">
        <f t="shared" ca="1" si="2124"/>
        <v>-1.865174681370263E-14</v>
      </c>
      <c r="CX574" s="235">
        <f t="shared" ca="1" si="2125"/>
        <v>-3.8458125573015423E-13</v>
      </c>
      <c r="CY574" s="235">
        <f t="shared" ca="1" si="2126"/>
        <v>-3.7934100305392349E-12</v>
      </c>
      <c r="CZ574" s="235">
        <f t="shared" ca="1" si="2127"/>
        <v>-2.9019453506862192E-11</v>
      </c>
      <c r="DG574" s="236">
        <v>4.7280783894508263</v>
      </c>
      <c r="DH574" s="492">
        <v>3.9052075680190859</v>
      </c>
      <c r="DI574" s="236">
        <v>4.9639013577709656</v>
      </c>
      <c r="DJ574" s="236">
        <v>5.3185148479933231</v>
      </c>
      <c r="DK574" s="236">
        <v>5.2188520791943009</v>
      </c>
      <c r="DL574" s="236">
        <v>4.9716624773491738</v>
      </c>
      <c r="DM574" s="236">
        <v>4.9828439972909164</v>
      </c>
      <c r="DN574" s="236">
        <v>5.0567382442579163</v>
      </c>
      <c r="DO574" s="236">
        <v>5.1044583561166297</v>
      </c>
      <c r="DP574" s="236">
        <v>5.1555937722922467</v>
      </c>
      <c r="DQ574" s="258">
        <v>5.2020580094774092</v>
      </c>
      <c r="DR574" s="258">
        <v>5.2505541049742428</v>
      </c>
      <c r="DS574" s="258">
        <v>5.3007941110024328</v>
      </c>
      <c r="DT574" s="258">
        <v>5.3532686329050554</v>
      </c>
      <c r="DU574" s="258">
        <v>5.3686159721689979</v>
      </c>
      <c r="DV574" s="258">
        <v>5.3869196948175473</v>
      </c>
      <c r="DW574" s="258">
        <v>5.4071240533600839</v>
      </c>
      <c r="DX574" s="258">
        <v>5.4284275107246964</v>
      </c>
      <c r="DY574" s="258">
        <v>5.4511102245851815</v>
      </c>
    </row>
    <row r="575" spans="2:131" hidden="1">
      <c r="B575" s="3" t="str">
        <f t="shared" si="2128"/>
        <v>Omzetbelasting op de importen</v>
      </c>
      <c r="F575" s="16">
        <f t="shared" ref="F575:AK575" si="2169">F226/F$419*100</f>
        <v>0</v>
      </c>
      <c r="G575" s="16">
        <f t="shared" si="2169"/>
        <v>0</v>
      </c>
      <c r="H575" s="16">
        <f t="shared" si="2169"/>
        <v>0</v>
      </c>
      <c r="I575" s="16">
        <f t="shared" si="2169"/>
        <v>0</v>
      </c>
      <c r="J575" s="16">
        <f t="shared" si="2169"/>
        <v>0</v>
      </c>
      <c r="K575" s="16">
        <f t="shared" si="2169"/>
        <v>0</v>
      </c>
      <c r="L575" s="16">
        <f t="shared" si="2169"/>
        <v>0</v>
      </c>
      <c r="M575" s="16">
        <f t="shared" si="2169"/>
        <v>0</v>
      </c>
      <c r="N575" s="16">
        <f t="shared" si="2169"/>
        <v>0</v>
      </c>
      <c r="O575" s="16">
        <f t="shared" si="2169"/>
        <v>0</v>
      </c>
      <c r="P575" s="16">
        <f t="shared" si="2169"/>
        <v>0</v>
      </c>
      <c r="Q575" s="16">
        <f t="shared" si="2169"/>
        <v>0</v>
      </c>
      <c r="R575" s="16">
        <f t="shared" si="2169"/>
        <v>0</v>
      </c>
      <c r="S575" s="16">
        <f t="shared" si="2169"/>
        <v>0</v>
      </c>
      <c r="T575" s="16">
        <f t="shared" si="2169"/>
        <v>0</v>
      </c>
      <c r="U575" s="16">
        <f t="shared" si="2169"/>
        <v>0</v>
      </c>
      <c r="V575" s="16">
        <f t="shared" si="2169"/>
        <v>0</v>
      </c>
      <c r="W575" s="16">
        <f t="shared" si="2169"/>
        <v>0</v>
      </c>
      <c r="X575" s="16">
        <f t="shared" si="2169"/>
        <v>0</v>
      </c>
      <c r="Y575" s="16">
        <f t="shared" si="2169"/>
        <v>0</v>
      </c>
      <c r="Z575" s="16">
        <f t="shared" si="2169"/>
        <v>0</v>
      </c>
      <c r="AA575" s="16">
        <f t="shared" si="2169"/>
        <v>0</v>
      </c>
      <c r="AB575" s="16">
        <f t="shared" si="2169"/>
        <v>0</v>
      </c>
      <c r="AC575" s="16">
        <f t="shared" si="2169"/>
        <v>0</v>
      </c>
      <c r="AD575" s="16">
        <f t="shared" si="2169"/>
        <v>0</v>
      </c>
      <c r="AE575" s="16">
        <f t="shared" si="2169"/>
        <v>0</v>
      </c>
      <c r="AF575" s="16">
        <f t="shared" si="2169"/>
        <v>0</v>
      </c>
      <c r="AG575" s="16">
        <f t="shared" si="2169"/>
        <v>0</v>
      </c>
      <c r="AH575" s="16">
        <f t="shared" si="2169"/>
        <v>0</v>
      </c>
      <c r="AI575" s="16">
        <f t="shared" si="2169"/>
        <v>0</v>
      </c>
      <c r="AJ575" s="16">
        <f t="shared" si="2169"/>
        <v>0</v>
      </c>
      <c r="AK575" s="16">
        <f t="shared" si="2169"/>
        <v>0</v>
      </c>
      <c r="AL575" s="16">
        <f t="shared" ref="AL575:BQ575" si="2170">AL226/AL$419*100</f>
        <v>0</v>
      </c>
      <c r="AM575" s="16">
        <f t="shared" si="2170"/>
        <v>0</v>
      </c>
      <c r="AN575" s="16">
        <f t="shared" si="2170"/>
        <v>0</v>
      </c>
      <c r="AO575" s="16">
        <f t="shared" si="2170"/>
        <v>0</v>
      </c>
      <c r="AP575" s="16">
        <f t="shared" si="2170"/>
        <v>0</v>
      </c>
      <c r="AQ575" s="16">
        <f t="shared" si="2170"/>
        <v>0</v>
      </c>
      <c r="AR575" s="16">
        <f t="shared" si="2170"/>
        <v>0</v>
      </c>
      <c r="AS575" s="16">
        <f t="shared" si="2170"/>
        <v>0</v>
      </c>
      <c r="AT575" s="16">
        <f t="shared" si="2170"/>
        <v>0</v>
      </c>
      <c r="AU575" s="16">
        <f t="shared" si="2170"/>
        <v>0</v>
      </c>
      <c r="AV575" s="16">
        <f t="shared" si="2170"/>
        <v>0</v>
      </c>
      <c r="AW575" s="16">
        <f t="shared" si="2170"/>
        <v>0</v>
      </c>
      <c r="AX575" s="16">
        <f t="shared" si="2170"/>
        <v>1.9124423977849112</v>
      </c>
      <c r="AY575" s="16">
        <f t="shared" si="2170"/>
        <v>2.4633866898039987</v>
      </c>
      <c r="AZ575" s="16">
        <f t="shared" si="2170"/>
        <v>1.8597340241527018</v>
      </c>
      <c r="BA575" s="16">
        <f t="shared" si="2170"/>
        <v>1.6499569631213233</v>
      </c>
      <c r="BB575" s="16">
        <f t="shared" si="2170"/>
        <v>1.5696055945656398</v>
      </c>
      <c r="BC575" s="16">
        <f t="shared" si="2170"/>
        <v>1.729824756690014</v>
      </c>
      <c r="BD575" s="16">
        <f t="shared" si="2170"/>
        <v>1.7265019840980642</v>
      </c>
      <c r="BE575" s="16">
        <f t="shared" ca="1" si="2170"/>
        <v>1.522566125417359</v>
      </c>
      <c r="BF575" s="16">
        <f t="shared" ca="1" si="2170"/>
        <v>0.71281934094884525</v>
      </c>
      <c r="BG575" s="16">
        <f t="shared" ca="1" si="2170"/>
        <v>2.0472981524911167</v>
      </c>
      <c r="BH575" s="16">
        <f t="shared" ca="1" si="2170"/>
        <v>1.8199133798122029</v>
      </c>
      <c r="BI575" s="16">
        <f t="shared" ca="1" si="2170"/>
        <v>2.147573774885366</v>
      </c>
      <c r="BJ575" s="16">
        <f t="shared" ca="1" si="2170"/>
        <v>1.7656676350259586</v>
      </c>
      <c r="BK575" s="16">
        <f t="shared" ca="1" si="2170"/>
        <v>2.7617405208303882</v>
      </c>
      <c r="BL575" s="16">
        <f t="shared" ca="1" si="2170"/>
        <v>2.8500670936496153</v>
      </c>
      <c r="BM575" s="16">
        <f t="shared" ca="1" si="2170"/>
        <v>3.0616185851393283</v>
      </c>
      <c r="BN575" s="16">
        <f t="shared" si="2170"/>
        <v>0</v>
      </c>
      <c r="BO575" s="16">
        <f t="shared" ca="1" si="2170"/>
        <v>0</v>
      </c>
      <c r="BP575" s="16">
        <f t="shared" ca="1" si="2170"/>
        <v>0</v>
      </c>
      <c r="BQ575" s="16">
        <f t="shared" ca="1" si="2170"/>
        <v>0</v>
      </c>
      <c r="BR575" s="16">
        <f t="shared" ca="1" si="2104"/>
        <v>0</v>
      </c>
      <c r="BS575" s="16">
        <f t="shared" ca="1" si="2104"/>
        <v>0</v>
      </c>
      <c r="BT575" s="16">
        <f t="shared" ca="1" si="2105"/>
        <v>0</v>
      </c>
      <c r="BU575" s="16">
        <f t="shared" ca="1" si="2105"/>
        <v>0</v>
      </c>
      <c r="BV575" s="16">
        <f t="shared" ca="1" si="2106"/>
        <v>0</v>
      </c>
      <c r="BW575" s="16">
        <f t="shared" ref="BW575:BX575" ca="1" si="2171">BW226/BW$419*100</f>
        <v>0</v>
      </c>
      <c r="BX575" s="16">
        <f t="shared" ca="1" si="2171"/>
        <v>0</v>
      </c>
      <c r="BY575" s="16">
        <f t="shared" ref="BY575:CD575" ca="1" si="2172">BY226/BY$419*100</f>
        <v>0</v>
      </c>
      <c r="BZ575" s="16">
        <f t="shared" ca="1" si="2172"/>
        <v>0</v>
      </c>
      <c r="CA575" s="16">
        <f t="shared" ca="1" si="2172"/>
        <v>0</v>
      </c>
      <c r="CB575" s="16">
        <f t="shared" ca="1" si="2172"/>
        <v>0</v>
      </c>
      <c r="CC575" s="16">
        <f t="shared" ca="1" si="2172"/>
        <v>0</v>
      </c>
      <c r="CD575" s="16">
        <f t="shared" ca="1" si="2172"/>
        <v>0</v>
      </c>
      <c r="CE575" s="16"/>
      <c r="CG575" s="235">
        <f t="shared" ca="1" si="2109"/>
        <v>-0.74649516512860892</v>
      </c>
      <c r="CH575" s="235">
        <f t="shared" ca="1" si="2110"/>
        <v>4.0026632772586446E-2</v>
      </c>
      <c r="CI575" s="235" t="e">
        <f ca="1">BM575-#REF!</f>
        <v>#REF!</v>
      </c>
      <c r="CJ575" s="235">
        <f t="shared" si="2111"/>
        <v>0</v>
      </c>
      <c r="CK575" s="235">
        <f t="shared" ca="1" si="2112"/>
        <v>0</v>
      </c>
      <c r="CL575" s="235">
        <f t="shared" ca="1" si="2113"/>
        <v>0</v>
      </c>
      <c r="CM575" s="235">
        <f t="shared" ca="1" si="2114"/>
        <v>0</v>
      </c>
      <c r="CN575" s="235">
        <f t="shared" ca="1" si="2115"/>
        <v>0</v>
      </c>
      <c r="CO575" s="235">
        <f t="shared" ca="1" si="2116"/>
        <v>0</v>
      </c>
      <c r="CP575" s="235">
        <f t="shared" ca="1" si="2117"/>
        <v>0</v>
      </c>
      <c r="CQ575" s="235">
        <f t="shared" ca="1" si="2118"/>
        <v>0</v>
      </c>
      <c r="CR575" s="235">
        <f t="shared" ca="1" si="2119"/>
        <v>0</v>
      </c>
      <c r="CS575" s="235">
        <f t="shared" ca="1" si="2120"/>
        <v>0</v>
      </c>
      <c r="CT575" s="235">
        <f t="shared" ca="1" si="2121"/>
        <v>0</v>
      </c>
      <c r="CU575" s="235">
        <f t="shared" ca="1" si="2122"/>
        <v>0</v>
      </c>
      <c r="CV575" s="235">
        <f t="shared" ca="1" si="2123"/>
        <v>0</v>
      </c>
      <c r="CW575" s="235">
        <f t="shared" ca="1" si="2124"/>
        <v>0</v>
      </c>
      <c r="CX575" s="235">
        <f t="shared" ca="1" si="2125"/>
        <v>0</v>
      </c>
      <c r="CY575" s="235">
        <f t="shared" ca="1" si="2126"/>
        <v>0</v>
      </c>
      <c r="CZ575" s="235">
        <f t="shared" ca="1" si="2127"/>
        <v>0</v>
      </c>
      <c r="DG575" s="236">
        <v>3.5082356859589972</v>
      </c>
      <c r="DH575" s="492">
        <v>2.8100404608770289</v>
      </c>
      <c r="DI575" s="236">
        <v>0</v>
      </c>
      <c r="DJ575" s="236">
        <v>0</v>
      </c>
      <c r="DK575" s="236">
        <v>0</v>
      </c>
      <c r="DL575" s="236">
        <v>0</v>
      </c>
      <c r="DM575" s="236">
        <v>0</v>
      </c>
      <c r="DN575" s="236">
        <v>0</v>
      </c>
      <c r="DO575" s="236">
        <v>0</v>
      </c>
      <c r="DP575" s="236">
        <v>0</v>
      </c>
      <c r="DQ575" s="258">
        <v>0</v>
      </c>
      <c r="DR575" s="258">
        <v>0</v>
      </c>
      <c r="DS575" s="258">
        <v>0</v>
      </c>
      <c r="DT575" s="258">
        <v>0</v>
      </c>
      <c r="DU575" s="258">
        <v>0</v>
      </c>
      <c r="DV575" s="258">
        <v>0</v>
      </c>
      <c r="DW575" s="258">
        <v>0</v>
      </c>
      <c r="DX575" s="258">
        <v>0</v>
      </c>
      <c r="DY575" s="258">
        <v>0</v>
      </c>
    </row>
    <row r="576" spans="2:131" hidden="1">
      <c r="B576" s="3" t="str">
        <f t="shared" si="2128"/>
        <v>Omzetbelasting op de toegevoegde waarde</v>
      </c>
      <c r="F576" s="16">
        <f t="shared" ref="F576:AK576" si="2173">F227/F$419*100</f>
        <v>0</v>
      </c>
      <c r="G576" s="16">
        <f t="shared" si="2173"/>
        <v>0</v>
      </c>
      <c r="H576" s="16">
        <f t="shared" si="2173"/>
        <v>0</v>
      </c>
      <c r="I576" s="16">
        <f t="shared" si="2173"/>
        <v>0</v>
      </c>
      <c r="J576" s="16">
        <f t="shared" si="2173"/>
        <v>0</v>
      </c>
      <c r="K576" s="16">
        <f t="shared" si="2173"/>
        <v>0</v>
      </c>
      <c r="L576" s="16">
        <f t="shared" si="2173"/>
        <v>0</v>
      </c>
      <c r="M576" s="16">
        <f t="shared" si="2173"/>
        <v>0</v>
      </c>
      <c r="N576" s="16">
        <f t="shared" si="2173"/>
        <v>0</v>
      </c>
      <c r="O576" s="16">
        <f t="shared" si="2173"/>
        <v>0</v>
      </c>
      <c r="P576" s="16">
        <f t="shared" si="2173"/>
        <v>0</v>
      </c>
      <c r="Q576" s="16">
        <f t="shared" si="2173"/>
        <v>0</v>
      </c>
      <c r="R576" s="16">
        <f t="shared" si="2173"/>
        <v>0</v>
      </c>
      <c r="S576" s="16">
        <f t="shared" si="2173"/>
        <v>0</v>
      </c>
      <c r="T576" s="16">
        <f t="shared" si="2173"/>
        <v>0</v>
      </c>
      <c r="U576" s="16">
        <f t="shared" si="2173"/>
        <v>0</v>
      </c>
      <c r="V576" s="16">
        <f t="shared" si="2173"/>
        <v>0</v>
      </c>
      <c r="W576" s="16">
        <f t="shared" si="2173"/>
        <v>0</v>
      </c>
      <c r="X576" s="16">
        <f t="shared" si="2173"/>
        <v>0</v>
      </c>
      <c r="Y576" s="16">
        <f t="shared" si="2173"/>
        <v>0</v>
      </c>
      <c r="Z576" s="16">
        <f t="shared" si="2173"/>
        <v>0</v>
      </c>
      <c r="AA576" s="16">
        <f t="shared" si="2173"/>
        <v>0</v>
      </c>
      <c r="AB576" s="16">
        <f t="shared" si="2173"/>
        <v>0</v>
      </c>
      <c r="AC576" s="16">
        <f t="shared" si="2173"/>
        <v>0</v>
      </c>
      <c r="AD576" s="16">
        <f t="shared" si="2173"/>
        <v>0</v>
      </c>
      <c r="AE576" s="16">
        <f t="shared" si="2173"/>
        <v>0</v>
      </c>
      <c r="AF576" s="16">
        <f t="shared" si="2173"/>
        <v>0</v>
      </c>
      <c r="AG576" s="16">
        <f t="shared" si="2173"/>
        <v>0</v>
      </c>
      <c r="AH576" s="16">
        <f t="shared" si="2173"/>
        <v>0</v>
      </c>
      <c r="AI576" s="16">
        <f t="shared" si="2173"/>
        <v>0</v>
      </c>
      <c r="AJ576" s="16">
        <f t="shared" si="2173"/>
        <v>0</v>
      </c>
      <c r="AK576" s="16">
        <f t="shared" si="2173"/>
        <v>0</v>
      </c>
      <c r="AL576" s="16">
        <f t="shared" ref="AL576:BQ576" si="2174">AL227/AL$419*100</f>
        <v>0</v>
      </c>
      <c r="AM576" s="16">
        <f t="shared" si="2174"/>
        <v>0</v>
      </c>
      <c r="AN576" s="16">
        <f t="shared" si="2174"/>
        <v>0</v>
      </c>
      <c r="AO576" s="16">
        <f t="shared" si="2174"/>
        <v>0</v>
      </c>
      <c r="AP576" s="16">
        <f t="shared" si="2174"/>
        <v>0</v>
      </c>
      <c r="AQ576" s="16">
        <f t="shared" si="2174"/>
        <v>0</v>
      </c>
      <c r="AR576" s="16">
        <f t="shared" si="2174"/>
        <v>0</v>
      </c>
      <c r="AS576" s="16">
        <f t="shared" si="2174"/>
        <v>0</v>
      </c>
      <c r="AT576" s="16">
        <f t="shared" si="2174"/>
        <v>0</v>
      </c>
      <c r="AU576" s="16">
        <f t="shared" si="2174"/>
        <v>0</v>
      </c>
      <c r="AV576" s="16">
        <f t="shared" si="2174"/>
        <v>0</v>
      </c>
      <c r="AW576" s="16">
        <f t="shared" si="2174"/>
        <v>0</v>
      </c>
      <c r="AX576" s="16">
        <f t="shared" si="2174"/>
        <v>0.75909765293086906</v>
      </c>
      <c r="AY576" s="16">
        <f t="shared" si="2174"/>
        <v>1.1874200833462352</v>
      </c>
      <c r="AZ576" s="16">
        <f t="shared" si="2174"/>
        <v>0.96965283730611773</v>
      </c>
      <c r="BA576" s="16">
        <f t="shared" si="2174"/>
        <v>0.74128501241682643</v>
      </c>
      <c r="BB576" s="16">
        <f t="shared" si="2174"/>
        <v>0.70518512219615714</v>
      </c>
      <c r="BC576" s="16">
        <f t="shared" si="2174"/>
        <v>1.0159288253576273</v>
      </c>
      <c r="BD576" s="16">
        <f t="shared" si="2174"/>
        <v>0.92965491451434223</v>
      </c>
      <c r="BE576" s="16">
        <f t="shared" ca="1" si="2174"/>
        <v>0.78435224642712431</v>
      </c>
      <c r="BF576" s="16">
        <f t="shared" ca="1" si="2174"/>
        <v>1.2672343839090585</v>
      </c>
      <c r="BG576" s="16">
        <f t="shared" ca="1" si="2174"/>
        <v>1.1516052107762531</v>
      </c>
      <c r="BH576" s="16">
        <f t="shared" ca="1" si="2174"/>
        <v>1.023701276144364</v>
      </c>
      <c r="BI576" s="16">
        <f t="shared" ca="1" si="2174"/>
        <v>1.0804253171603491</v>
      </c>
      <c r="BJ576" s="16">
        <f t="shared" ca="1" si="2174"/>
        <v>0.97418994738840747</v>
      </c>
      <c r="BK576" s="16">
        <f t="shared" ca="1" si="2174"/>
        <v>0.96028013076657515</v>
      </c>
      <c r="BL576" s="16">
        <f t="shared" ca="1" si="2174"/>
        <v>1.1107668297198985</v>
      </c>
      <c r="BM576" s="16">
        <f t="shared" ca="1" si="2174"/>
        <v>1.1932155482248508</v>
      </c>
      <c r="BN576" s="16">
        <f t="shared" si="2174"/>
        <v>4.9639013577709656</v>
      </c>
      <c r="BO576" s="16">
        <f t="shared" ca="1" si="2174"/>
        <v>5.3185148479933257</v>
      </c>
      <c r="BP576" s="16">
        <f t="shared" ca="1" si="2174"/>
        <v>5.2188520791943018</v>
      </c>
      <c r="BQ576" s="16">
        <f t="shared" ca="1" si="2174"/>
        <v>4.9716624773491747</v>
      </c>
      <c r="BR576" s="16">
        <f t="shared" ca="1" si="2104"/>
        <v>4.9828439972909191</v>
      </c>
      <c r="BS576" s="16">
        <f t="shared" ca="1" si="2104"/>
        <v>5.0567382442579181</v>
      </c>
      <c r="BT576" s="16">
        <f t="shared" ca="1" si="2105"/>
        <v>5.1044583561166341</v>
      </c>
      <c r="BU576" s="16">
        <f t="shared" ca="1" si="2105"/>
        <v>5.1555937722922538</v>
      </c>
      <c r="BV576" s="16">
        <f t="shared" ca="1" si="2106"/>
        <v>5.2020580094774189</v>
      </c>
      <c r="BW576" s="16">
        <f t="shared" ref="BW576:BX576" ca="1" si="2175">BW227/BW$419*100</f>
        <v>5.250554104974257</v>
      </c>
      <c r="BX576" s="16">
        <f t="shared" ca="1" si="2175"/>
        <v>5.3007941110024523</v>
      </c>
      <c r="BY576" s="16">
        <f t="shared" ref="BY576:CD576" ca="1" si="2176">BY227/BY$419*100</f>
        <v>5.3532686329050758</v>
      </c>
      <c r="BZ576" s="16">
        <f t="shared" ca="1" si="2176"/>
        <v>5.3686159721690219</v>
      </c>
      <c r="CA576" s="16">
        <f t="shared" ca="1" si="2176"/>
        <v>5.3869196948175473</v>
      </c>
      <c r="CB576" s="16">
        <f t="shared" ca="1" si="2176"/>
        <v>5.4071240533597198</v>
      </c>
      <c r="CC576" s="16">
        <f t="shared" ca="1" si="2176"/>
        <v>5.4284275107209279</v>
      </c>
      <c r="CD576" s="16">
        <f t="shared" ca="1" si="2176"/>
        <v>5.451110224556194</v>
      </c>
      <c r="CE576" s="16"/>
      <c r="CG576" s="235">
        <f t="shared" ca="1" si="2109"/>
        <v>-0.25956257272525329</v>
      </c>
      <c r="CH576" s="235">
        <f t="shared" ca="1" si="2110"/>
        <v>1.5599722577841035E-2</v>
      </c>
      <c r="CI576" s="235" t="e">
        <f ca="1">BM576-#REF!</f>
        <v>#REF!</v>
      </c>
      <c r="CJ576" s="235">
        <f t="shared" si="2111"/>
        <v>0</v>
      </c>
      <c r="CK576" s="235">
        <f t="shared" ca="1" si="2112"/>
        <v>0</v>
      </c>
      <c r="CL576" s="235">
        <f t="shared" ca="1" si="2113"/>
        <v>0</v>
      </c>
      <c r="CM576" s="235">
        <f t="shared" ca="1" si="2114"/>
        <v>0</v>
      </c>
      <c r="CN576" s="235">
        <f t="shared" ca="1" si="2115"/>
        <v>0</v>
      </c>
      <c r="CO576" s="235">
        <f t="shared" ca="1" si="2116"/>
        <v>0</v>
      </c>
      <c r="CP576" s="235">
        <f t="shared" ca="1" si="2117"/>
        <v>0</v>
      </c>
      <c r="CQ576" s="235">
        <f t="shared" ca="1" si="2118"/>
        <v>0</v>
      </c>
      <c r="CR576" s="235">
        <f t="shared" ca="1" si="2119"/>
        <v>0</v>
      </c>
      <c r="CS576" s="235">
        <f t="shared" ca="1" si="2120"/>
        <v>0</v>
      </c>
      <c r="CT576" s="235">
        <f t="shared" ca="1" si="2121"/>
        <v>0</v>
      </c>
      <c r="CU576" s="235">
        <f t="shared" ca="1" si="2122"/>
        <v>0</v>
      </c>
      <c r="CV576" s="235">
        <f t="shared" ca="1" si="2123"/>
        <v>0</v>
      </c>
      <c r="CW576" s="235">
        <f t="shared" ca="1" si="2124"/>
        <v>0</v>
      </c>
      <c r="CX576" s="235">
        <f t="shared" ca="1" si="2125"/>
        <v>-7.1054273576010019E-14</v>
      </c>
      <c r="CY576" s="235">
        <f t="shared" ca="1" si="2126"/>
        <v>-7.0077277314339881E-13</v>
      </c>
      <c r="CZ576" s="235">
        <f t="shared" ca="1" si="2127"/>
        <v>-5.3237414476825506E-12</v>
      </c>
      <c r="DG576" s="236">
        <v>1.2198427034918284</v>
      </c>
      <c r="DH576" s="492">
        <v>1.0951671071420574</v>
      </c>
      <c r="DI576" s="236">
        <v>4.9639013577709656</v>
      </c>
      <c r="DJ576" s="236">
        <v>5.3185148479933231</v>
      </c>
      <c r="DK576" s="236">
        <v>5.2188520791943001</v>
      </c>
      <c r="DL576" s="236">
        <v>4.9716624773491729</v>
      </c>
      <c r="DM576" s="236">
        <v>4.9828439972909182</v>
      </c>
      <c r="DN576" s="236">
        <v>5.0567382442579181</v>
      </c>
      <c r="DO576" s="236">
        <v>5.1044583561166323</v>
      </c>
      <c r="DP576" s="236">
        <v>5.1555937722922529</v>
      </c>
      <c r="DQ576" s="258">
        <v>5.2020580094774171</v>
      </c>
      <c r="DR576" s="258">
        <v>5.2505541049742561</v>
      </c>
      <c r="DS576" s="258">
        <v>5.3007941110024497</v>
      </c>
      <c r="DT576" s="258">
        <v>5.3532686329050749</v>
      </c>
      <c r="DU576" s="258">
        <v>5.3686159721690228</v>
      </c>
      <c r="DV576" s="258">
        <v>5.3869196948175535</v>
      </c>
      <c r="DW576" s="258">
        <v>5.4071240533597908</v>
      </c>
      <c r="DX576" s="258">
        <v>5.4284275107216287</v>
      </c>
      <c r="DY576" s="258">
        <v>5.4511102245615177</v>
      </c>
    </row>
    <row r="577" spans="2:129" hidden="1">
      <c r="B577" s="3" t="str">
        <f t="shared" si="2128"/>
        <v>Belasting op belangrijke exportprodukten</v>
      </c>
      <c r="F577" s="16">
        <f t="shared" ref="F577:AK577" si="2177">F228/F$419*100</f>
        <v>2.2080685724724525</v>
      </c>
      <c r="G577" s="16">
        <f t="shared" si="2177"/>
        <v>1.9739040925106077</v>
      </c>
      <c r="H577" s="16">
        <f t="shared" si="2177"/>
        <v>2.0204389743341622</v>
      </c>
      <c r="I577" s="16">
        <f t="shared" si="2177"/>
        <v>1.7490338855080605</v>
      </c>
      <c r="J577" s="16">
        <f t="shared" si="2177"/>
        <v>1.3802073710299214</v>
      </c>
      <c r="K577" s="16">
        <f t="shared" si="2177"/>
        <v>1.4917983852832619</v>
      </c>
      <c r="L577" s="16">
        <f t="shared" si="2177"/>
        <v>1.4186815026141935</v>
      </c>
      <c r="M577" s="16">
        <f t="shared" si="2177"/>
        <v>1.2291593833794845</v>
      </c>
      <c r="N577" s="16">
        <f t="shared" si="2177"/>
        <v>1.1277143571434805</v>
      </c>
      <c r="O577" s="16">
        <f t="shared" si="2177"/>
        <v>1.094597911652778</v>
      </c>
      <c r="P577" s="16">
        <f t="shared" si="2177"/>
        <v>1.0981374673774278</v>
      </c>
      <c r="Q577" s="16">
        <f t="shared" si="2177"/>
        <v>1.0187557350371261</v>
      </c>
      <c r="R577" s="16">
        <f t="shared" si="2177"/>
        <v>0.92522991464398674</v>
      </c>
      <c r="S577" s="16">
        <f t="shared" si="2177"/>
        <v>0.77721712928285469</v>
      </c>
      <c r="T577" s="16">
        <f t="shared" si="2177"/>
        <v>0.69082055805726117</v>
      </c>
      <c r="U577" s="16">
        <f t="shared" si="2177"/>
        <v>0.66119666849621705</v>
      </c>
      <c r="V577" s="16">
        <f t="shared" si="2177"/>
        <v>0.6447410579623758</v>
      </c>
      <c r="W577" s="16">
        <f t="shared" si="2177"/>
        <v>0.62495430790916762</v>
      </c>
      <c r="X577" s="16">
        <f t="shared" si="2177"/>
        <v>0.608387796810543</v>
      </c>
      <c r="Y577" s="16">
        <f t="shared" si="2177"/>
        <v>0.58918720095675392</v>
      </c>
      <c r="Z577" s="16">
        <f t="shared" si="2177"/>
        <v>0.48433097852834195</v>
      </c>
      <c r="AA577" s="16">
        <f t="shared" si="2177"/>
        <v>0.29063032841017494</v>
      </c>
      <c r="AB577" s="16">
        <f t="shared" si="2177"/>
        <v>0.22422386002144803</v>
      </c>
      <c r="AC577" s="16">
        <f t="shared" si="2177"/>
        <v>0.19719742065936571</v>
      </c>
      <c r="AD577" s="16">
        <f t="shared" si="2177"/>
        <v>0.1838122271934142</v>
      </c>
      <c r="AE577" s="16">
        <f t="shared" si="2177"/>
        <v>0.15045346033755036</v>
      </c>
      <c r="AF577" s="16">
        <f t="shared" si="2177"/>
        <v>0.15242350027370549</v>
      </c>
      <c r="AG577" s="16">
        <f t="shared" si="2177"/>
        <v>0.11152561736176592</v>
      </c>
      <c r="AH577" s="16">
        <f t="shared" si="2177"/>
        <v>9.8953902082780473E-2</v>
      </c>
      <c r="AI577" s="16">
        <f t="shared" si="2177"/>
        <v>0.10232226488892644</v>
      </c>
      <c r="AJ577" s="16">
        <f t="shared" si="2177"/>
        <v>0.12972108781403896</v>
      </c>
      <c r="AK577" s="16">
        <f t="shared" si="2177"/>
        <v>0.1449575321906405</v>
      </c>
      <c r="AL577" s="16">
        <f t="shared" ref="AL577:BQ577" si="2178">AL228/AL$419*100</f>
        <v>0.14580428690839295</v>
      </c>
      <c r="AM577" s="16">
        <f t="shared" si="2178"/>
        <v>8.8252486926239701E-2</v>
      </c>
      <c r="AN577" s="16">
        <f t="shared" si="2178"/>
        <v>6.7018903903069985E-2</v>
      </c>
      <c r="AO577" s="16">
        <f t="shared" si="2178"/>
        <v>4.7401064660463295E-2</v>
      </c>
      <c r="AP577" s="16">
        <f t="shared" si="2178"/>
        <v>4.1319812252350784E-2</v>
      </c>
      <c r="AQ577" s="16">
        <f t="shared" si="2178"/>
        <v>3.7993181017203566E-2</v>
      </c>
      <c r="AR577" s="16">
        <f t="shared" si="2178"/>
        <v>2.5585201559301232E-2</v>
      </c>
      <c r="AS577" s="16">
        <f t="shared" si="2178"/>
        <v>3.1721217802514828E-2</v>
      </c>
      <c r="AT577" s="16">
        <f t="shared" si="2178"/>
        <v>5.1152523051325269E-2</v>
      </c>
      <c r="AU577" s="16">
        <f t="shared" si="2178"/>
        <v>0.18832735124421005</v>
      </c>
      <c r="AV577" s="16">
        <f t="shared" si="2178"/>
        <v>1.8229183506067267E-2</v>
      </c>
      <c r="AW577" s="16">
        <f t="shared" si="2178"/>
        <v>2.7159470320222031E-2</v>
      </c>
      <c r="AX577" s="16">
        <f t="shared" si="2178"/>
        <v>8.9440508955600878E-2</v>
      </c>
      <c r="AY577" s="16">
        <f t="shared" si="2178"/>
        <v>7.5656839367444675E-2</v>
      </c>
      <c r="AZ577" s="16">
        <f t="shared" si="2178"/>
        <v>7.1263235343640138E-2</v>
      </c>
      <c r="BA577" s="16">
        <f t="shared" si="2178"/>
        <v>2.8982902917740746E-2</v>
      </c>
      <c r="BB577" s="16">
        <f t="shared" si="2178"/>
        <v>1.3211271996196107E-2</v>
      </c>
      <c r="BC577" s="16">
        <f t="shared" si="2178"/>
        <v>8.1483926574679247E-3</v>
      </c>
      <c r="BD577" s="16">
        <f t="shared" si="2178"/>
        <v>7.1810821988689362E-3</v>
      </c>
      <c r="BE577" s="16">
        <f t="shared" ca="1" si="2178"/>
        <v>9.482671313819099E-3</v>
      </c>
      <c r="BF577" s="16">
        <f t="shared" ca="1" si="2178"/>
        <v>1.6827783103640179E-2</v>
      </c>
      <c r="BG577" s="16">
        <f t="shared" ca="1" si="2178"/>
        <v>1.0381736806387761E-2</v>
      </c>
      <c r="BH577" s="16">
        <f t="shared" ca="1" si="2178"/>
        <v>1.3529917417559644E-2</v>
      </c>
      <c r="BI577" s="16">
        <f t="shared" ca="1" si="2178"/>
        <v>2.1135613716059588E-2</v>
      </c>
      <c r="BJ577" s="16">
        <f t="shared" ca="1" si="2178"/>
        <v>2.5715228122697328E-2</v>
      </c>
      <c r="BK577" s="16">
        <f t="shared" ca="1" si="2178"/>
        <v>1.8595015448400139E-2</v>
      </c>
      <c r="BL577" s="16">
        <f t="shared" ca="1" si="2178"/>
        <v>1.9222272282186127E-2</v>
      </c>
      <c r="BM577" s="16">
        <f t="shared" ca="1" si="2178"/>
        <v>2.0649080928262786E-2</v>
      </c>
      <c r="BN577" s="16">
        <f t="shared" si="2178"/>
        <v>2.0758575994444743E-2</v>
      </c>
      <c r="BO577" s="16">
        <f t="shared" ca="1" si="2178"/>
        <v>2.3424572214995242E-2</v>
      </c>
      <c r="BP577" s="16">
        <f t="shared" ca="1" si="2178"/>
        <v>2.378951155214535E-2</v>
      </c>
      <c r="BQ577" s="16">
        <f t="shared" ca="1" si="2178"/>
        <v>2.3867578524857699E-2</v>
      </c>
      <c r="BR577" s="16">
        <f t="shared" ca="1" si="2104"/>
        <v>2.2987067325418182E-2</v>
      </c>
      <c r="BS577" s="16">
        <f t="shared" ca="1" si="2104"/>
        <v>2.217352996883893E-2</v>
      </c>
      <c r="BT577" s="16">
        <f t="shared" ca="1" si="2105"/>
        <v>2.2057187102567811E-2</v>
      </c>
      <c r="BU577" s="16">
        <f t="shared" ca="1" si="2105"/>
        <v>2.2112174193506955E-2</v>
      </c>
      <c r="BV577" s="16">
        <f t="shared" ca="1" si="2106"/>
        <v>2.215156718420639E-2</v>
      </c>
      <c r="BW577" s="16">
        <f t="shared" ref="BW577:BX577" ca="1" si="2179">BW228/BW$419*100</f>
        <v>2.2206664740259743E-2</v>
      </c>
      <c r="BX577" s="16">
        <f t="shared" ca="1" si="2179"/>
        <v>2.2273612514026063E-2</v>
      </c>
      <c r="BY577" s="16">
        <f t="shared" ref="BY577:CD577" ca="1" si="2180">BY228/BY$419*100</f>
        <v>2.235224759354569E-2</v>
      </c>
      <c r="BZ577" s="16">
        <f t="shared" ca="1" si="2180"/>
        <v>2.2666414346703578E-2</v>
      </c>
      <c r="CA577" s="16">
        <f t="shared" ca="1" si="2180"/>
        <v>2.2968696043904068E-2</v>
      </c>
      <c r="CB577" s="16">
        <f t="shared" ca="1" si="2180"/>
        <v>2.3284202114074691E-2</v>
      </c>
      <c r="CC577" s="16">
        <f t="shared" ca="1" si="2180"/>
        <v>2.3605900817684995E-2</v>
      </c>
      <c r="CD577" s="16">
        <f t="shared" ca="1" si="2180"/>
        <v>2.3931792189833771E-2</v>
      </c>
      <c r="CE577" s="16"/>
      <c r="CG577" s="235">
        <f t="shared" ca="1" si="2109"/>
        <v>-5.0262104723541486E-3</v>
      </c>
      <c r="CH577" s="235">
        <f t="shared" ca="1" si="2110"/>
        <v>2.6995955127094226E-4</v>
      </c>
      <c r="CI577" s="235" t="e">
        <f ca="1">BM577-#REF!</f>
        <v>#REF!</v>
      </c>
      <c r="CJ577" s="235">
        <f t="shared" si="2111"/>
        <v>0</v>
      </c>
      <c r="CK577" s="235">
        <f t="shared" ca="1" si="2112"/>
        <v>0</v>
      </c>
      <c r="CL577" s="235">
        <f t="shared" ca="1" si="2113"/>
        <v>0</v>
      </c>
      <c r="CM577" s="235">
        <f t="shared" ca="1" si="2114"/>
        <v>0</v>
      </c>
      <c r="CN577" s="235">
        <f t="shared" ca="1" si="2115"/>
        <v>0</v>
      </c>
      <c r="CO577" s="235">
        <f t="shared" ca="1" si="2116"/>
        <v>0</v>
      </c>
      <c r="CP577" s="235">
        <f t="shared" ca="1" si="2117"/>
        <v>0</v>
      </c>
      <c r="CQ577" s="235">
        <f t="shared" ca="1" si="2118"/>
        <v>0</v>
      </c>
      <c r="CR577" s="235">
        <f t="shared" ca="1" si="2119"/>
        <v>3.8163916471489756E-17</v>
      </c>
      <c r="CS577" s="235">
        <f t="shared" ca="1" si="2120"/>
        <v>3.8163916471489756E-17</v>
      </c>
      <c r="CT577" s="235">
        <f t="shared" ca="1" si="2121"/>
        <v>4.5102810375396984E-17</v>
      </c>
      <c r="CU577" s="235">
        <f t="shared" ca="1" si="2122"/>
        <v>4.163336342344337E-17</v>
      </c>
      <c r="CV577" s="235">
        <f t="shared" ca="1" si="2123"/>
        <v>4.163336342344337E-17</v>
      </c>
      <c r="CW577" s="235">
        <f t="shared" ca="1" si="2124"/>
        <v>-3.8163916471489756E-17</v>
      </c>
      <c r="CX577" s="235">
        <f t="shared" ca="1" si="2125"/>
        <v>-1.1483869410966463E-15</v>
      </c>
      <c r="CY577" s="235">
        <f t="shared" ca="1" si="2126"/>
        <v>-1.1532441668293814E-14</v>
      </c>
      <c r="CZ577" s="235">
        <f t="shared" ca="1" si="2127"/>
        <v>-8.655923200429072E-14</v>
      </c>
      <c r="DG577" s="236">
        <v>2.3621225920754288E-2</v>
      </c>
      <c r="DH577" s="492">
        <v>1.8952312730915185E-2</v>
      </c>
      <c r="DI577" s="236">
        <v>2.0758575994444743E-2</v>
      </c>
      <c r="DJ577" s="236">
        <v>2.3424572214995231E-2</v>
      </c>
      <c r="DK577" s="236">
        <v>2.3789511552145346E-2</v>
      </c>
      <c r="DL577" s="236">
        <v>2.3867578524857696E-2</v>
      </c>
      <c r="DM577" s="236">
        <v>2.2987067325418175E-2</v>
      </c>
      <c r="DN577" s="236">
        <v>2.217352996883893E-2</v>
      </c>
      <c r="DO577" s="236">
        <v>2.205718710256779E-2</v>
      </c>
      <c r="DP577" s="236">
        <v>2.2112174193506931E-2</v>
      </c>
      <c r="DQ577" s="258">
        <v>2.2151567184206352E-2</v>
      </c>
      <c r="DR577" s="258">
        <v>2.2206664740259705E-2</v>
      </c>
      <c r="DS577" s="258">
        <v>2.2273612514026018E-2</v>
      </c>
      <c r="DT577" s="258">
        <v>2.2352247593545649E-2</v>
      </c>
      <c r="DU577" s="258">
        <v>2.2666414346703537E-2</v>
      </c>
      <c r="DV577" s="258">
        <v>2.2968696043904106E-2</v>
      </c>
      <c r="DW577" s="258">
        <v>2.3284202114075839E-2</v>
      </c>
      <c r="DX577" s="258">
        <v>2.3605900817696528E-2</v>
      </c>
      <c r="DY577" s="258">
        <v>2.393179218992033E-2</v>
      </c>
    </row>
    <row r="578" spans="2:129" hidden="1">
      <c r="B578" s="3" t="str">
        <f t="shared" si="2128"/>
        <v>Belasting op de gezinsconsumptie</v>
      </c>
      <c r="F578" s="16">
        <f t="shared" ref="F578:AK578" si="2181">F229/F$419*100</f>
        <v>0</v>
      </c>
      <c r="G578" s="16">
        <f t="shared" si="2181"/>
        <v>0</v>
      </c>
      <c r="H578" s="16">
        <f t="shared" si="2181"/>
        <v>0</v>
      </c>
      <c r="I578" s="16">
        <f t="shared" si="2181"/>
        <v>0</v>
      </c>
      <c r="J578" s="16">
        <f t="shared" si="2181"/>
        <v>0</v>
      </c>
      <c r="K578" s="16">
        <f t="shared" si="2181"/>
        <v>0</v>
      </c>
      <c r="L578" s="16">
        <f t="shared" si="2181"/>
        <v>0</v>
      </c>
      <c r="M578" s="16">
        <f t="shared" si="2181"/>
        <v>0</v>
      </c>
      <c r="N578" s="16">
        <f t="shared" si="2181"/>
        <v>0</v>
      </c>
      <c r="O578" s="16">
        <f t="shared" si="2181"/>
        <v>0</v>
      </c>
      <c r="P578" s="16">
        <f t="shared" si="2181"/>
        <v>0</v>
      </c>
      <c r="Q578" s="16">
        <f t="shared" si="2181"/>
        <v>0</v>
      </c>
      <c r="R578" s="16">
        <f t="shared" si="2181"/>
        <v>0</v>
      </c>
      <c r="S578" s="16">
        <f t="shared" si="2181"/>
        <v>0</v>
      </c>
      <c r="T578" s="16">
        <f t="shared" si="2181"/>
        <v>0</v>
      </c>
      <c r="U578" s="16">
        <f t="shared" si="2181"/>
        <v>0</v>
      </c>
      <c r="V578" s="16">
        <f t="shared" si="2181"/>
        <v>0</v>
      </c>
      <c r="W578" s="16">
        <f t="shared" si="2181"/>
        <v>0</v>
      </c>
      <c r="X578" s="16">
        <f t="shared" si="2181"/>
        <v>0</v>
      </c>
      <c r="Y578" s="16">
        <f t="shared" si="2181"/>
        <v>0</v>
      </c>
      <c r="Z578" s="16">
        <f t="shared" si="2181"/>
        <v>0</v>
      </c>
      <c r="AA578" s="16">
        <f t="shared" si="2181"/>
        <v>0</v>
      </c>
      <c r="AB578" s="16">
        <f t="shared" si="2181"/>
        <v>0</v>
      </c>
      <c r="AC578" s="16">
        <f t="shared" si="2181"/>
        <v>0</v>
      </c>
      <c r="AD578" s="16">
        <f t="shared" si="2181"/>
        <v>0</v>
      </c>
      <c r="AE578" s="16">
        <f t="shared" si="2181"/>
        <v>0</v>
      </c>
      <c r="AF578" s="16">
        <f t="shared" si="2181"/>
        <v>0</v>
      </c>
      <c r="AG578" s="16">
        <f t="shared" si="2181"/>
        <v>0</v>
      </c>
      <c r="AH578" s="16">
        <f t="shared" si="2181"/>
        <v>0</v>
      </c>
      <c r="AI578" s="16">
        <f t="shared" si="2181"/>
        <v>0</v>
      </c>
      <c r="AJ578" s="16">
        <f t="shared" si="2181"/>
        <v>0</v>
      </c>
      <c r="AK578" s="16">
        <f t="shared" si="2181"/>
        <v>0</v>
      </c>
      <c r="AL578" s="16">
        <f t="shared" ref="AL578:BQ578" si="2182">AL229/AL$419*100</f>
        <v>0</v>
      </c>
      <c r="AM578" s="16">
        <f t="shared" si="2182"/>
        <v>0</v>
      </c>
      <c r="AN578" s="16">
        <f t="shared" si="2182"/>
        <v>0</v>
      </c>
      <c r="AO578" s="16">
        <f t="shared" si="2182"/>
        <v>0</v>
      </c>
      <c r="AP578" s="16">
        <f t="shared" si="2182"/>
        <v>0</v>
      </c>
      <c r="AQ578" s="16">
        <f t="shared" si="2182"/>
        <v>0</v>
      </c>
      <c r="AR578" s="16">
        <f t="shared" si="2182"/>
        <v>0</v>
      </c>
      <c r="AS578" s="16">
        <f t="shared" si="2182"/>
        <v>0</v>
      </c>
      <c r="AT578" s="16">
        <f t="shared" si="2182"/>
        <v>0</v>
      </c>
      <c r="AU578" s="16">
        <f t="shared" si="2182"/>
        <v>0</v>
      </c>
      <c r="AV578" s="16">
        <f t="shared" si="2182"/>
        <v>2.8221897308613948</v>
      </c>
      <c r="AW578" s="16">
        <f t="shared" si="2182"/>
        <v>0.92540750781778969</v>
      </c>
      <c r="AX578" s="16">
        <f t="shared" si="2182"/>
        <v>3.2928284346031713</v>
      </c>
      <c r="AY578" s="16">
        <f t="shared" si="2182"/>
        <v>1.6256693306450627</v>
      </c>
      <c r="AZ578" s="16">
        <f t="shared" si="2182"/>
        <v>0.65994484294536893</v>
      </c>
      <c r="BA578" s="16">
        <f t="shared" si="2182"/>
        <v>3.2558956482030688</v>
      </c>
      <c r="BB578" s="16">
        <f t="shared" si="2182"/>
        <v>3.3217896059773233</v>
      </c>
      <c r="BC578" s="16">
        <f t="shared" si="2182"/>
        <v>3.1614375712342651</v>
      </c>
      <c r="BD578" s="16">
        <f t="shared" si="2182"/>
        <v>4.5617368100294442</v>
      </c>
      <c r="BE578" s="16">
        <f t="shared" ca="1" si="2182"/>
        <v>3.2599300270854537</v>
      </c>
      <c r="BF578" s="16">
        <f t="shared" ca="1" si="2182"/>
        <v>4.1430467063795682</v>
      </c>
      <c r="BG578" s="16">
        <f t="shared" ca="1" si="2182"/>
        <v>3.5459797482935791</v>
      </c>
      <c r="BH578" s="16">
        <f t="shared" ca="1" si="2182"/>
        <v>3.489929637818999</v>
      </c>
      <c r="BI578" s="16">
        <f t="shared" ca="1" si="2182"/>
        <v>3.4351497045686017</v>
      </c>
      <c r="BJ578" s="16">
        <f t="shared" ca="1" si="2182"/>
        <v>2.8556548915269646</v>
      </c>
      <c r="BK578" s="16">
        <f t="shared" ca="1" si="2182"/>
        <v>2.6403765140817153</v>
      </c>
      <c r="BL578" s="16">
        <f t="shared" ca="1" si="2182"/>
        <v>2.4364258861204311</v>
      </c>
      <c r="BM578" s="16">
        <f t="shared" ca="1" si="2182"/>
        <v>2.1848914872759662</v>
      </c>
      <c r="BN578" s="16">
        <f t="shared" si="2182"/>
        <v>1.0418129273034513</v>
      </c>
      <c r="BO578" s="16">
        <f t="shared" ca="1" si="2182"/>
        <v>1.0735584956785977</v>
      </c>
      <c r="BP578" s="16">
        <f t="shared" ca="1" si="2182"/>
        <v>1.0149644283697385</v>
      </c>
      <c r="BQ578" s="16">
        <f t="shared" ca="1" si="2182"/>
        <v>1.0233845069777974</v>
      </c>
      <c r="BR578" s="16">
        <f t="shared" ca="1" si="2104"/>
        <v>1.0619497903466661</v>
      </c>
      <c r="BS578" s="16">
        <f t="shared" ca="1" si="2104"/>
        <v>1.080561694509274</v>
      </c>
      <c r="BT578" s="16">
        <f t="shared" ca="1" si="2105"/>
        <v>1.0866066649214896</v>
      </c>
      <c r="BU578" s="16">
        <f t="shared" ca="1" si="2105"/>
        <v>1.0895909503114822</v>
      </c>
      <c r="BV578" s="16">
        <f t="shared" ca="1" si="2106"/>
        <v>1.0963495037611128</v>
      </c>
      <c r="BW578" s="16">
        <f t="shared" ref="BW578:BX578" ca="1" si="2183">BW229/BW$419*100</f>
        <v>1.1034853653873107</v>
      </c>
      <c r="BX578" s="16">
        <f t="shared" ca="1" si="2183"/>
        <v>1.1109536376481191</v>
      </c>
      <c r="BY578" s="16">
        <f t="shared" ref="BY578:CD578" ca="1" si="2184">BY229/BY$419*100</f>
        <v>1.1188402979075895</v>
      </c>
      <c r="BZ578" s="16">
        <f t="shared" ca="1" si="2184"/>
        <v>1.1191964706371813</v>
      </c>
      <c r="CA578" s="16">
        <f t="shared" ca="1" si="2184"/>
        <v>1.1204035542943114</v>
      </c>
      <c r="CB578" s="16">
        <f t="shared" ca="1" si="2184"/>
        <v>1.1220038647038881</v>
      </c>
      <c r="CC578" s="16">
        <f t="shared" ca="1" si="2184"/>
        <v>1.1238631613158991</v>
      </c>
      <c r="CD578" s="16">
        <f t="shared" ca="1" si="2184"/>
        <v>1.1260504357150634</v>
      </c>
      <c r="CE578" s="16"/>
      <c r="CG578" s="235">
        <f t="shared" ca="1" si="2109"/>
        <v>-0.71369061901894026</v>
      </c>
      <c r="CH578" s="235">
        <f t="shared" ca="1" si="2110"/>
        <v>3.4217413491302917E-2</v>
      </c>
      <c r="CI578" s="235" t="e">
        <f ca="1">BM578-#REF!</f>
        <v>#REF!</v>
      </c>
      <c r="CJ578" s="235">
        <f t="shared" si="2111"/>
        <v>0</v>
      </c>
      <c r="CK578" s="235">
        <f t="shared" ca="1" si="2112"/>
        <v>0</v>
      </c>
      <c r="CL578" s="235">
        <f t="shared" ca="1" si="2113"/>
        <v>0</v>
      </c>
      <c r="CM578" s="235">
        <f t="shared" ca="1" si="2114"/>
        <v>0</v>
      </c>
      <c r="CN578" s="235">
        <f t="shared" ca="1" si="2115"/>
        <v>0</v>
      </c>
      <c r="CO578" s="235">
        <f t="shared" ca="1" si="2116"/>
        <v>0</v>
      </c>
      <c r="CP578" s="235">
        <f t="shared" ca="1" si="2117"/>
        <v>0</v>
      </c>
      <c r="CQ578" s="235">
        <f t="shared" ca="1" si="2118"/>
        <v>0</v>
      </c>
      <c r="CR578" s="235">
        <f t="shared" ca="1" si="2119"/>
        <v>0</v>
      </c>
      <c r="CS578" s="235">
        <f t="shared" ca="1" si="2120"/>
        <v>0</v>
      </c>
      <c r="CT578" s="235">
        <f t="shared" ca="1" si="2121"/>
        <v>2.6645352591003757E-15</v>
      </c>
      <c r="CU578" s="235">
        <f t="shared" ca="1" si="2122"/>
        <v>2.886579864025407E-15</v>
      </c>
      <c r="CV578" s="235">
        <f t="shared" ca="1" si="2123"/>
        <v>3.7747582837255322E-15</v>
      </c>
      <c r="CW578" s="235">
        <f t="shared" ca="1" si="2124"/>
        <v>6.6613381477509392E-15</v>
      </c>
      <c r="CX578" s="235">
        <f t="shared" ca="1" si="2125"/>
        <v>3.0642155479654321E-14</v>
      </c>
      <c r="CY578" s="235">
        <f t="shared" ca="1" si="2126"/>
        <v>2.2781776465308212E-13</v>
      </c>
      <c r="CZ578" s="235">
        <f t="shared" ca="1" si="2127"/>
        <v>1.6473489239388073E-12</v>
      </c>
      <c r="DG578" s="236">
        <v>3.3540671331006555</v>
      </c>
      <c r="DH578" s="492">
        <v>2.4022084726291282</v>
      </c>
      <c r="DI578" s="236">
        <v>1.0418129273034513</v>
      </c>
      <c r="DJ578" s="236">
        <v>1.0735584956785973</v>
      </c>
      <c r="DK578" s="236">
        <v>1.0149644283697383</v>
      </c>
      <c r="DL578" s="236">
        <v>1.0233845069777969</v>
      </c>
      <c r="DM578" s="236">
        <v>1.0619497903466657</v>
      </c>
      <c r="DN578" s="236">
        <v>1.0805616945092735</v>
      </c>
      <c r="DO578" s="236">
        <v>1.0866066649214887</v>
      </c>
      <c r="DP578" s="236">
        <v>1.0895909503114813</v>
      </c>
      <c r="DQ578" s="258">
        <v>1.0963495037611113</v>
      </c>
      <c r="DR578" s="258">
        <v>1.1034853653873091</v>
      </c>
      <c r="DS578" s="258">
        <v>1.1109536376481164</v>
      </c>
      <c r="DT578" s="258">
        <v>1.1188402979075867</v>
      </c>
      <c r="DU578" s="258">
        <v>1.1191964706371775</v>
      </c>
      <c r="DV578" s="258">
        <v>1.1204035542943047</v>
      </c>
      <c r="DW578" s="258">
        <v>1.1220038647038575</v>
      </c>
      <c r="DX578" s="258">
        <v>1.1238631613156713</v>
      </c>
      <c r="DY578" s="258">
        <v>1.126050435713416</v>
      </c>
    </row>
    <row r="579" spans="2:129" hidden="1">
      <c r="B579" s="3" t="str">
        <f t="shared" si="2128"/>
        <v>Niet belasting ontvangsten</v>
      </c>
      <c r="F579" s="16">
        <f t="shared" ref="F579:AK579" si="2185">F230/F$419*100</f>
        <v>6.899212679997814</v>
      </c>
      <c r="G579" s="16">
        <f t="shared" si="2185"/>
        <v>7.094718246476674</v>
      </c>
      <c r="H579" s="16">
        <f t="shared" si="2185"/>
        <v>6.413718525767993</v>
      </c>
      <c r="I579" s="16">
        <f t="shared" si="2185"/>
        <v>5.6478924515049114</v>
      </c>
      <c r="J579" s="16">
        <f t="shared" si="2185"/>
        <v>6.3047359471591484</v>
      </c>
      <c r="K579" s="16">
        <f t="shared" si="2185"/>
        <v>6.2052587916030726</v>
      </c>
      <c r="L579" s="16">
        <f t="shared" si="2185"/>
        <v>6.9954511917919344</v>
      </c>
      <c r="M579" s="16">
        <f t="shared" si="2185"/>
        <v>7.1913106353845224</v>
      </c>
      <c r="N579" s="16">
        <f t="shared" si="2185"/>
        <v>6.9701014989495684</v>
      </c>
      <c r="O579" s="16">
        <f t="shared" si="2185"/>
        <v>6.5961674378244712</v>
      </c>
      <c r="P579" s="16">
        <f t="shared" si="2185"/>
        <v>6.75402338218111</v>
      </c>
      <c r="Q579" s="16">
        <f t="shared" si="2185"/>
        <v>6.202243684278824</v>
      </c>
      <c r="R579" s="16">
        <f t="shared" si="2185"/>
        <v>5.3132080671384045</v>
      </c>
      <c r="S579" s="16">
        <f t="shared" si="2185"/>
        <v>4.8236015459596677</v>
      </c>
      <c r="T579" s="16">
        <f t="shared" si="2185"/>
        <v>4.2448874651383051</v>
      </c>
      <c r="U579" s="16">
        <f t="shared" si="2185"/>
        <v>3.7596590885503796</v>
      </c>
      <c r="V579" s="16">
        <f t="shared" si="2185"/>
        <v>3.7423373602832029</v>
      </c>
      <c r="W579" s="16">
        <f t="shared" si="2185"/>
        <v>3.3135699332824018</v>
      </c>
      <c r="X579" s="16">
        <f t="shared" si="2185"/>
        <v>2.3790263781214986</v>
      </c>
      <c r="Y579" s="16">
        <f t="shared" si="2185"/>
        <v>1.5981933423903032</v>
      </c>
      <c r="Z579" s="16">
        <f t="shared" si="2185"/>
        <v>1.4906984858839167</v>
      </c>
      <c r="AA579" s="16">
        <f t="shared" si="2185"/>
        <v>0.91447296218883589</v>
      </c>
      <c r="AB579" s="16">
        <f t="shared" si="2185"/>
        <v>0.84898736702869759</v>
      </c>
      <c r="AC579" s="16">
        <f t="shared" si="2185"/>
        <v>0.84904766907444273</v>
      </c>
      <c r="AD579" s="16">
        <f t="shared" si="2185"/>
        <v>1.0880544248596531</v>
      </c>
      <c r="AE579" s="16">
        <f t="shared" si="2185"/>
        <v>0.95117334201168424</v>
      </c>
      <c r="AF579" s="16">
        <f t="shared" si="2185"/>
        <v>1.2519357116892136</v>
      </c>
      <c r="AG579" s="16">
        <f t="shared" si="2185"/>
        <v>1.0484356054690644</v>
      </c>
      <c r="AH579" s="16">
        <f t="shared" si="2185"/>
        <v>0.95401042413862436</v>
      </c>
      <c r="AI579" s="16">
        <f t="shared" si="2185"/>
        <v>0.91944203807700731</v>
      </c>
      <c r="AJ579" s="16">
        <f t="shared" si="2185"/>
        <v>1.4612541905112799</v>
      </c>
      <c r="AK579" s="16">
        <f t="shared" si="2185"/>
        <v>1.9945322969548231</v>
      </c>
      <c r="AL579" s="16">
        <f t="shared" ref="AL579:BQ579" si="2186">AL230/AL$419*100</f>
        <v>1.5380737791716983</v>
      </c>
      <c r="AM579" s="16">
        <f t="shared" si="2186"/>
        <v>1.7711849073274017</v>
      </c>
      <c r="AN579" s="16">
        <f t="shared" si="2186"/>
        <v>1.6300753462948108</v>
      </c>
      <c r="AO579" s="16">
        <f t="shared" si="2186"/>
        <v>1.2902353504752688</v>
      </c>
      <c r="AP579" s="16">
        <f t="shared" si="2186"/>
        <v>1.1518781183954176</v>
      </c>
      <c r="AQ579" s="16">
        <f t="shared" si="2186"/>
        <v>1.2154078880251331</v>
      </c>
      <c r="AR579" s="16">
        <f t="shared" si="2186"/>
        <v>0.37445215546302085</v>
      </c>
      <c r="AS579" s="16">
        <f t="shared" si="2186"/>
        <v>0.30534014168280432</v>
      </c>
      <c r="AT579" s="16">
        <f t="shared" si="2186"/>
        <v>0.82565040544484991</v>
      </c>
      <c r="AU579" s="16">
        <f t="shared" si="2186"/>
        <v>1.5567381856880262</v>
      </c>
      <c r="AV579" s="16">
        <f t="shared" si="2186"/>
        <v>1.5805245880969068</v>
      </c>
      <c r="AW579" s="16">
        <f t="shared" si="2186"/>
        <v>3.2756574835683039</v>
      </c>
      <c r="AX579" s="16">
        <f t="shared" si="2186"/>
        <v>5.4206369064000537</v>
      </c>
      <c r="AY579" s="16">
        <f t="shared" si="2186"/>
        <v>9.9979112171497242</v>
      </c>
      <c r="AZ579" s="16">
        <f t="shared" si="2186"/>
        <v>4.5122124369243233</v>
      </c>
      <c r="BA579" s="16">
        <f t="shared" si="2186"/>
        <v>3.437146337440443</v>
      </c>
      <c r="BB579" s="16">
        <f t="shared" si="2186"/>
        <v>4.5338226967005966</v>
      </c>
      <c r="BC579" s="16">
        <f t="shared" si="2186"/>
        <v>3.9437112527338218</v>
      </c>
      <c r="BD579" s="16">
        <f t="shared" si="2186"/>
        <v>4.4158663166103054</v>
      </c>
      <c r="BE579" s="16">
        <f t="shared" ca="1" si="2186"/>
        <v>4.4392328209530536</v>
      </c>
      <c r="BF579" s="16">
        <f t="shared" ca="1" si="2186"/>
        <v>5.023625109836936</v>
      </c>
      <c r="BG579" s="16">
        <f t="shared" ca="1" si="2186"/>
        <v>5.0270203665489337</v>
      </c>
      <c r="BH579" s="16">
        <f t="shared" ca="1" si="2186"/>
        <v>4.3414540968857915</v>
      </c>
      <c r="BI579" s="16">
        <f t="shared" ca="1" si="2186"/>
        <v>7.7241239693553494</v>
      </c>
      <c r="BJ579" s="16">
        <f t="shared" ca="1" si="2186"/>
        <v>4.7319432307069658</v>
      </c>
      <c r="BK579" s="16">
        <f t="shared" ca="1" si="2186"/>
        <v>4.675536461197197</v>
      </c>
      <c r="BL579" s="16">
        <f t="shared" ca="1" si="2186"/>
        <v>5.7705005456538316</v>
      </c>
      <c r="BM579" s="16">
        <f t="shared" ca="1" si="2186"/>
        <v>4.8050725651879436</v>
      </c>
      <c r="BN579" s="16">
        <f t="shared" si="2186"/>
        <v>5.1866516417776607</v>
      </c>
      <c r="BO579" s="16">
        <f t="shared" ca="1" si="2186"/>
        <v>3.8498350860973236</v>
      </c>
      <c r="BP579" s="16">
        <f t="shared" ca="1" si="2186"/>
        <v>3.6703880594280545</v>
      </c>
      <c r="BQ579" s="16">
        <f t="shared" ca="1" si="2186"/>
        <v>3.6422564319478989</v>
      </c>
      <c r="BR579" s="16">
        <f t="shared" ca="1" si="2104"/>
        <v>3.6923720298974172</v>
      </c>
      <c r="BS579" s="16">
        <f t="shared" ca="1" si="2104"/>
        <v>3.7247777211075266</v>
      </c>
      <c r="BT579" s="16">
        <f t="shared" ca="1" si="2105"/>
        <v>3.7257211687970702</v>
      </c>
      <c r="BU579" s="16">
        <f t="shared" ca="1" si="2105"/>
        <v>3.7100568100371492</v>
      </c>
      <c r="BV579" s="16">
        <f t="shared" ca="1" si="2106"/>
        <v>3.7020920598285061</v>
      </c>
      <c r="BW579" s="16">
        <f t="shared" ref="BW579:BX579" ca="1" si="2187">BW230/BW$419*100</f>
        <v>3.6951541613702448</v>
      </c>
      <c r="BX579" s="16">
        <f t="shared" ca="1" si="2187"/>
        <v>3.6876342898770695</v>
      </c>
      <c r="BY579" s="16">
        <f t="shared" ref="BY579:CD579" ca="1" si="2188">BY230/BY$419*100</f>
        <v>3.6792489376185249</v>
      </c>
      <c r="BZ579" s="16">
        <f t="shared" ca="1" si="2188"/>
        <v>3.6413368025538539</v>
      </c>
      <c r="CA579" s="16">
        <f t="shared" ca="1" si="2188"/>
        <v>3.6016979160295497</v>
      </c>
      <c r="CB579" s="16">
        <f t="shared" ca="1" si="2188"/>
        <v>3.5618318229565507</v>
      </c>
      <c r="CC579" s="16">
        <f t="shared" ca="1" si="2188"/>
        <v>3.5212923785043126</v>
      </c>
      <c r="CD579" s="16">
        <f t="shared" ca="1" si="2188"/>
        <v>3.4800295932968641</v>
      </c>
      <c r="CE579" s="16"/>
      <c r="CG579" s="235">
        <f t="shared" ca="1" si="2109"/>
        <v>-1.2637919226447796</v>
      </c>
      <c r="CH579" s="235">
        <f t="shared" ca="1" si="2110"/>
        <v>8.1041497854397626E-2</v>
      </c>
      <c r="CI579" s="235" t="e">
        <f ca="1">BM579-#REF!</f>
        <v>#REF!</v>
      </c>
      <c r="CJ579" s="235">
        <f t="shared" si="2111"/>
        <v>0</v>
      </c>
      <c r="CK579" s="235">
        <f t="shared" ca="1" si="2112"/>
        <v>0</v>
      </c>
      <c r="CL579" s="235">
        <f t="shared" ca="1" si="2113"/>
        <v>0</v>
      </c>
      <c r="CM579" s="235">
        <f t="shared" ca="1" si="2114"/>
        <v>0</v>
      </c>
      <c r="CN579" s="235">
        <f t="shared" ca="1" si="2115"/>
        <v>0</v>
      </c>
      <c r="CO579" s="235">
        <f t="shared" ca="1" si="2116"/>
        <v>0</v>
      </c>
      <c r="CP579" s="235">
        <f t="shared" ca="1" si="2117"/>
        <v>3.5527136788005009E-15</v>
      </c>
      <c r="CQ579" s="235">
        <f t="shared" ca="1" si="2118"/>
        <v>3.5527136788005009E-15</v>
      </c>
      <c r="CR579" s="235">
        <f t="shared" ca="1" si="2119"/>
        <v>8.4376949871511897E-15</v>
      </c>
      <c r="CS579" s="235">
        <f t="shared" ca="1" si="2120"/>
        <v>1.0658141036401503E-14</v>
      </c>
      <c r="CT579" s="235">
        <f t="shared" ca="1" si="2121"/>
        <v>1.2878587085651816E-14</v>
      </c>
      <c r="CU579" s="235">
        <f t="shared" ca="1" si="2122"/>
        <v>1.4210854715202004E-14</v>
      </c>
      <c r="CV579" s="235">
        <f t="shared" ca="1" si="2123"/>
        <v>1.5987211554602254E-14</v>
      </c>
      <c r="CW579" s="235">
        <f t="shared" ca="1" si="2124"/>
        <v>3.5527136788005009E-15</v>
      </c>
      <c r="CX579" s="235">
        <f t="shared" ca="1" si="2125"/>
        <v>-1.8696155734687636E-13</v>
      </c>
      <c r="CY579" s="235">
        <f t="shared" ca="1" si="2126"/>
        <v>-1.9562129693895258E-12</v>
      </c>
      <c r="CZ579" s="235">
        <f t="shared" ca="1" si="2127"/>
        <v>-1.4483525490049942E-11</v>
      </c>
      <c r="DG579" s="236">
        <v>5.9393283838419766</v>
      </c>
      <c r="DH579" s="492">
        <v>5.689459047799434</v>
      </c>
      <c r="DI579" s="236">
        <v>5.1866516417776607</v>
      </c>
      <c r="DJ579" s="236">
        <v>3.8498350860973223</v>
      </c>
      <c r="DK579" s="236">
        <v>3.6703880594280536</v>
      </c>
      <c r="DL579" s="236">
        <v>3.6422564319478981</v>
      </c>
      <c r="DM579" s="236">
        <v>3.6923720298974159</v>
      </c>
      <c r="DN579" s="236">
        <v>3.7247777211075266</v>
      </c>
      <c r="DO579" s="236">
        <v>3.7257211687970666</v>
      </c>
      <c r="DP579" s="236">
        <v>3.7100568100371456</v>
      </c>
      <c r="DQ579" s="258">
        <v>3.7020920598284976</v>
      </c>
      <c r="DR579" s="258">
        <v>3.6951541613702341</v>
      </c>
      <c r="DS579" s="258">
        <v>3.6876342898770567</v>
      </c>
      <c r="DT579" s="258">
        <v>3.6792489376185107</v>
      </c>
      <c r="DU579" s="258">
        <v>3.641336802553838</v>
      </c>
      <c r="DV579" s="258">
        <v>3.6016979160295461</v>
      </c>
      <c r="DW579" s="258">
        <v>3.5618318229567376</v>
      </c>
      <c r="DX579" s="258">
        <v>3.5212923785062689</v>
      </c>
      <c r="DY579" s="258">
        <v>3.4800295933113476</v>
      </c>
    </row>
    <row r="580" spans="2:129" hidden="1">
      <c r="B580" s="3" t="str">
        <f t="shared" si="2128"/>
        <v>Goederen en diensten van de overheid aan de bedrijven</v>
      </c>
      <c r="F580" s="16">
        <f t="shared" ref="F580:AK580" si="2189">F231/F$419*100</f>
        <v>3.1648982872105145</v>
      </c>
      <c r="G580" s="16">
        <f t="shared" si="2189"/>
        <v>3.242842437695999</v>
      </c>
      <c r="H580" s="16">
        <f t="shared" si="2189"/>
        <v>2.8729339540111587</v>
      </c>
      <c r="I580" s="16">
        <f t="shared" si="2189"/>
        <v>2.5298930787669116</v>
      </c>
      <c r="J580" s="16">
        <f t="shared" si="2189"/>
        <v>2.8241168154370175</v>
      </c>
      <c r="K580" s="16">
        <f t="shared" si="2189"/>
        <v>2.7795573460064262</v>
      </c>
      <c r="L580" s="16">
        <f t="shared" si="2189"/>
        <v>3.133512651175717</v>
      </c>
      <c r="M580" s="16">
        <f t="shared" si="2189"/>
        <v>3.2212451342277357</v>
      </c>
      <c r="N580" s="16">
        <f t="shared" si="2189"/>
        <v>3.1221577435644874</v>
      </c>
      <c r="O580" s="16">
        <f t="shared" si="2189"/>
        <v>2.9546593951033593</v>
      </c>
      <c r="P580" s="16">
        <f t="shared" si="2189"/>
        <v>3.0253686723069797</v>
      </c>
      <c r="Q580" s="16">
        <f t="shared" si="2189"/>
        <v>2.778206832054662</v>
      </c>
      <c r="R580" s="16">
        <f t="shared" si="2189"/>
        <v>2.379975870654695</v>
      </c>
      <c r="S580" s="16">
        <f t="shared" si="2189"/>
        <v>2.1606636730466802</v>
      </c>
      <c r="T580" s="16">
        <f t="shared" si="2189"/>
        <v>1.9014368873320693</v>
      </c>
      <c r="U580" s="16">
        <f t="shared" si="2189"/>
        <v>1.6840857249616321</v>
      </c>
      <c r="V580" s="16">
        <f t="shared" si="2189"/>
        <v>1.6763267911543482</v>
      </c>
      <c r="W580" s="16">
        <f t="shared" si="2189"/>
        <v>1.484266481284273</v>
      </c>
      <c r="X580" s="16">
        <f t="shared" si="2189"/>
        <v>1.0238721838188265</v>
      </c>
      <c r="Y580" s="16">
        <f t="shared" si="2189"/>
        <v>0.84952566779515604</v>
      </c>
      <c r="Z580" s="16">
        <f t="shared" si="2189"/>
        <v>0.74339169076905642</v>
      </c>
      <c r="AA580" s="16">
        <f t="shared" si="2189"/>
        <v>0.36563172367280927</v>
      </c>
      <c r="AB580" s="16">
        <f t="shared" si="2189"/>
        <v>0.3104638093468059</v>
      </c>
      <c r="AC580" s="16">
        <f t="shared" si="2189"/>
        <v>0.26519652899538826</v>
      </c>
      <c r="AD580" s="16">
        <f t="shared" si="2189"/>
        <v>0.25496536655047525</v>
      </c>
      <c r="AE580" s="16">
        <f t="shared" si="2189"/>
        <v>0.21174930815241388</v>
      </c>
      <c r="AF580" s="16">
        <f t="shared" si="2189"/>
        <v>0.42418372591037601</v>
      </c>
      <c r="AG580" s="16">
        <f t="shared" si="2189"/>
        <v>0.35523335371981984</v>
      </c>
      <c r="AH580" s="16">
        <f t="shared" si="2189"/>
        <v>0.32323999746156162</v>
      </c>
      <c r="AI580" s="16">
        <f t="shared" si="2189"/>
        <v>0.3115274577029985</v>
      </c>
      <c r="AJ580" s="16">
        <f t="shared" si="2189"/>
        <v>0.49510549243529944</v>
      </c>
      <c r="AK580" s="16">
        <f t="shared" si="2189"/>
        <v>0.67579200215426427</v>
      </c>
      <c r="AL580" s="16">
        <f t="shared" ref="AL580:BQ580" si="2190">AL231/AL$419*100</f>
        <v>0.52113368145221917</v>
      </c>
      <c r="AM580" s="16">
        <f t="shared" si="2190"/>
        <v>0.60011692793125593</v>
      </c>
      <c r="AN580" s="16">
        <f t="shared" si="2190"/>
        <v>0.55476759391302222</v>
      </c>
      <c r="AO580" s="16">
        <f t="shared" si="2190"/>
        <v>0.43924985379891246</v>
      </c>
      <c r="AP580" s="16">
        <f t="shared" si="2190"/>
        <v>0</v>
      </c>
      <c r="AQ580" s="16">
        <f t="shared" si="2190"/>
        <v>0</v>
      </c>
      <c r="AR580" s="16">
        <f t="shared" si="2190"/>
        <v>0</v>
      </c>
      <c r="AS580" s="16">
        <f t="shared" si="2190"/>
        <v>0</v>
      </c>
      <c r="AT580" s="16">
        <f t="shared" si="2190"/>
        <v>0</v>
      </c>
      <c r="AU580" s="16">
        <f t="shared" si="2190"/>
        <v>0</v>
      </c>
      <c r="AV580" s="16">
        <f t="shared" si="2190"/>
        <v>0.34484172831205234</v>
      </c>
      <c r="AW580" s="16">
        <f t="shared" si="2190"/>
        <v>0.30471232405286547</v>
      </c>
      <c r="AX580" s="16">
        <f t="shared" si="2190"/>
        <v>0.39612346623692696</v>
      </c>
      <c r="AY580" s="16">
        <f t="shared" si="2190"/>
        <v>2.9253977888745273</v>
      </c>
      <c r="AZ580" s="16">
        <f t="shared" si="2190"/>
        <v>2.8843034589321652</v>
      </c>
      <c r="BA580" s="16">
        <f t="shared" si="2190"/>
        <v>0.80185088780815295</v>
      </c>
      <c r="BB580" s="16">
        <f t="shared" si="2190"/>
        <v>0.82189152982446445</v>
      </c>
      <c r="BC580" s="16">
        <f t="shared" si="2190"/>
        <v>0.91571317538706887</v>
      </c>
      <c r="BD580" s="16">
        <f t="shared" si="2190"/>
        <v>0.76172052639633847</v>
      </c>
      <c r="BE580" s="16">
        <f t="shared" ca="1" si="2190"/>
        <v>0.60499676579920447</v>
      </c>
      <c r="BF580" s="16">
        <f t="shared" ca="1" si="2190"/>
        <v>0.54879559585989224</v>
      </c>
      <c r="BG580" s="16">
        <f t="shared" ca="1" si="2190"/>
        <v>0.51439153806739801</v>
      </c>
      <c r="BH580" s="16">
        <f t="shared" ca="1" si="2190"/>
        <v>0.50431780722432296</v>
      </c>
      <c r="BI580" s="16">
        <f t="shared" ca="1" si="2190"/>
        <v>0.50582831393178118</v>
      </c>
      <c r="BJ580" s="16">
        <f t="shared" ca="1" si="2190"/>
        <v>0.43405476470117393</v>
      </c>
      <c r="BK580" s="16">
        <f t="shared" ca="1" si="2190"/>
        <v>0.3871463703096174</v>
      </c>
      <c r="BL580" s="16">
        <f t="shared" ca="1" si="2190"/>
        <v>0.37646151179862614</v>
      </c>
      <c r="BM580" s="16">
        <f t="shared" ca="1" si="2190"/>
        <v>0.38864798443617637</v>
      </c>
      <c r="BN580" s="16">
        <f t="shared" si="2190"/>
        <v>0.40194335935522529</v>
      </c>
      <c r="BO580" s="16">
        <f t="shared" ca="1" si="2190"/>
        <v>0.42318611899308167</v>
      </c>
      <c r="BP580" s="16">
        <f t="shared" ca="1" si="2190"/>
        <v>0.45924226476760399</v>
      </c>
      <c r="BQ580" s="16">
        <f t="shared" ca="1" si="2190"/>
        <v>0.41319065213855921</v>
      </c>
      <c r="BR580" s="16">
        <f t="shared" ca="1" si="2104"/>
        <v>0.39580048170348187</v>
      </c>
      <c r="BS580" s="16">
        <f t="shared" ca="1" si="2104"/>
        <v>0.39284861024077805</v>
      </c>
      <c r="BT580" s="16">
        <f t="shared" ca="1" si="2105"/>
        <v>0.39424130254934636</v>
      </c>
      <c r="BU580" s="16">
        <f t="shared" ca="1" si="2105"/>
        <v>0.3926662897403646</v>
      </c>
      <c r="BV580" s="16">
        <f t="shared" ca="1" si="2106"/>
        <v>0.39078489782700043</v>
      </c>
      <c r="BW580" s="16">
        <f t="shared" ref="BW580:BX580" ca="1" si="2191">BW231/BW$419*100</f>
        <v>0.3890950296786222</v>
      </c>
      <c r="BX580" s="16">
        <f t="shared" ca="1" si="2191"/>
        <v>0.38739368483885411</v>
      </c>
      <c r="BY580" s="16">
        <f t="shared" ref="BY580:CD580" ca="1" si="2192">BY231/BY$419*100</f>
        <v>0.38565440948789348</v>
      </c>
      <c r="BZ580" s="16">
        <f t="shared" ca="1" si="2192"/>
        <v>0.38070730044357615</v>
      </c>
      <c r="CA580" s="16">
        <f t="shared" ca="1" si="2192"/>
        <v>0.37537284139020893</v>
      </c>
      <c r="CB580" s="16">
        <f t="shared" ca="1" si="2192"/>
        <v>0.37010069659145883</v>
      </c>
      <c r="CC580" s="16">
        <f t="shared" ca="1" si="2192"/>
        <v>0.36474855528955902</v>
      </c>
      <c r="CD580" s="16">
        <f t="shared" ca="1" si="2192"/>
        <v>0.35929704379260585</v>
      </c>
      <c r="CE580" s="16"/>
      <c r="CG580" s="235">
        <f t="shared" ca="1" si="2109"/>
        <v>-0.1043460962924766</v>
      </c>
      <c r="CH580" s="235">
        <f t="shared" ca="1" si="2110"/>
        <v>5.2870638446901874E-3</v>
      </c>
      <c r="CI580" s="235" t="e">
        <f ca="1">BM580-#REF!</f>
        <v>#REF!</v>
      </c>
      <c r="CJ580" s="235">
        <f t="shared" si="2111"/>
        <v>0</v>
      </c>
      <c r="CK580" s="235">
        <f t="shared" ca="1" si="2112"/>
        <v>0</v>
      </c>
      <c r="CL580" s="235">
        <f t="shared" ca="1" si="2113"/>
        <v>0</v>
      </c>
      <c r="CM580" s="235">
        <f t="shared" ca="1" si="2114"/>
        <v>0</v>
      </c>
      <c r="CN580" s="235">
        <f t="shared" ca="1" si="2115"/>
        <v>0</v>
      </c>
      <c r="CO580" s="235">
        <f t="shared" ca="1" si="2116"/>
        <v>0</v>
      </c>
      <c r="CP580" s="235">
        <f t="shared" ca="1" si="2117"/>
        <v>0</v>
      </c>
      <c r="CQ580" s="235">
        <f t="shared" ca="1" si="2118"/>
        <v>0</v>
      </c>
      <c r="CR580" s="235">
        <f t="shared" ca="1" si="2119"/>
        <v>6.106226635438361E-16</v>
      </c>
      <c r="CS580" s="235">
        <f t="shared" ca="1" si="2120"/>
        <v>6.106226635438361E-16</v>
      </c>
      <c r="CT580" s="235">
        <f t="shared" ca="1" si="2121"/>
        <v>8.3266726846886741E-16</v>
      </c>
      <c r="CU580" s="235">
        <f t="shared" ca="1" si="2122"/>
        <v>7.2164496600635175E-16</v>
      </c>
      <c r="CV580" s="235">
        <f t="shared" ca="1" si="2123"/>
        <v>8.3266726846886741E-16</v>
      </c>
      <c r="CW580" s="235">
        <f t="shared" ca="1" si="2124"/>
        <v>0</v>
      </c>
      <c r="CX580" s="235">
        <f t="shared" ca="1" si="2125"/>
        <v>-1.4654943925052066E-14</v>
      </c>
      <c r="CY580" s="235">
        <f t="shared" ca="1" si="2126"/>
        <v>-1.4444001550373287E-13</v>
      </c>
      <c r="CZ580" s="235">
        <f t="shared" ca="1" si="2127"/>
        <v>-1.0413891970983968E-12</v>
      </c>
      <c r="DG580" s="236">
        <v>0.491492466602094</v>
      </c>
      <c r="DH580" s="492">
        <v>0.37117444795393595</v>
      </c>
      <c r="DI580" s="236">
        <v>0.40194335935522529</v>
      </c>
      <c r="DJ580" s="236">
        <v>0.42318611899308151</v>
      </c>
      <c r="DK580" s="236">
        <v>0.45924226476760394</v>
      </c>
      <c r="DL580" s="236">
        <v>0.4131906521385591</v>
      </c>
      <c r="DM580" s="236">
        <v>0.39580048170348175</v>
      </c>
      <c r="DN580" s="236">
        <v>0.39284861024077805</v>
      </c>
      <c r="DO580" s="236">
        <v>0.39424130254934603</v>
      </c>
      <c r="DP580" s="236">
        <v>0.39266628974036422</v>
      </c>
      <c r="DQ580" s="258">
        <v>0.39078489782699982</v>
      </c>
      <c r="DR580" s="258">
        <v>0.38909502967862158</v>
      </c>
      <c r="DS580" s="258">
        <v>0.38739368483885328</v>
      </c>
      <c r="DT580" s="258">
        <v>0.38565440948789276</v>
      </c>
      <c r="DU580" s="258">
        <v>0.38070730044357531</v>
      </c>
      <c r="DV580" s="258">
        <v>0.37537284139020921</v>
      </c>
      <c r="DW580" s="258">
        <v>0.37010069659147349</v>
      </c>
      <c r="DX580" s="258">
        <v>0.36474855528970346</v>
      </c>
      <c r="DY580" s="258">
        <v>0.35929704379364724</v>
      </c>
    </row>
    <row r="581" spans="2:129" hidden="1">
      <c r="B581" s="3" t="str">
        <f t="shared" si="2128"/>
        <v>Goederen en diensten van de overheid aan de gezinnen</v>
      </c>
      <c r="F581" s="16">
        <f t="shared" ref="F581:AK581" si="2193">F232/F$419*100</f>
        <v>3.7343143927872995</v>
      </c>
      <c r="G581" s="16">
        <f t="shared" si="2193"/>
        <v>3.851875808780675</v>
      </c>
      <c r="H581" s="16">
        <f t="shared" si="2193"/>
        <v>3.5407845717568351</v>
      </c>
      <c r="I581" s="16">
        <f t="shared" si="2193"/>
        <v>3.1179993727380002</v>
      </c>
      <c r="J581" s="16">
        <f t="shared" si="2193"/>
        <v>3.4806191317221313</v>
      </c>
      <c r="K581" s="16">
        <f t="shared" si="2193"/>
        <v>3.4257014455966459</v>
      </c>
      <c r="L581" s="16">
        <f t="shared" si="2193"/>
        <v>3.8619385406162179</v>
      </c>
      <c r="M581" s="16">
        <f t="shared" si="2193"/>
        <v>3.9700655011567867</v>
      </c>
      <c r="N581" s="16">
        <f t="shared" si="2193"/>
        <v>3.847943755385081</v>
      </c>
      <c r="O581" s="16">
        <f t="shared" si="2193"/>
        <v>3.6415080427211115</v>
      </c>
      <c r="P581" s="16">
        <f t="shared" si="2193"/>
        <v>3.7286547098741298</v>
      </c>
      <c r="Q581" s="16">
        <f t="shared" si="2193"/>
        <v>3.4240368522241624</v>
      </c>
      <c r="R581" s="16">
        <f t="shared" si="2193"/>
        <v>2.93323219648371</v>
      </c>
      <c r="S581" s="16">
        <f t="shared" si="2193"/>
        <v>2.662937872912988</v>
      </c>
      <c r="T581" s="16">
        <f t="shared" si="2193"/>
        <v>2.3434505778062351</v>
      </c>
      <c r="U581" s="16">
        <f t="shared" si="2193"/>
        <v>2.0755733635887474</v>
      </c>
      <c r="V581" s="16">
        <f t="shared" si="2193"/>
        <v>2.0660105691288546</v>
      </c>
      <c r="W581" s="16">
        <f t="shared" si="2193"/>
        <v>1.8293034519981284</v>
      </c>
      <c r="X581" s="16">
        <f t="shared" si="2193"/>
        <v>1.3551541943026724</v>
      </c>
      <c r="Y581" s="16">
        <f t="shared" si="2193"/>
        <v>0.74866767459514694</v>
      </c>
      <c r="Z581" s="16">
        <f t="shared" si="2193"/>
        <v>0.74730679511486031</v>
      </c>
      <c r="AA581" s="16">
        <f t="shared" si="2193"/>
        <v>0.54884123851602673</v>
      </c>
      <c r="AB581" s="16">
        <f t="shared" si="2193"/>
        <v>0.53852355768189153</v>
      </c>
      <c r="AC581" s="16">
        <f t="shared" si="2193"/>
        <v>0.58385114007905448</v>
      </c>
      <c r="AD581" s="16">
        <f t="shared" si="2193"/>
        <v>0.8330890583091779</v>
      </c>
      <c r="AE581" s="16">
        <f t="shared" si="2193"/>
        <v>0.73942403385927047</v>
      </c>
      <c r="AF581" s="16">
        <f t="shared" si="2193"/>
        <v>0.82775198577883768</v>
      </c>
      <c r="AG581" s="16">
        <f t="shared" si="2193"/>
        <v>0.69320225174924455</v>
      </c>
      <c r="AH581" s="16">
        <f t="shared" si="2193"/>
        <v>0.63077042667706262</v>
      </c>
      <c r="AI581" s="16">
        <f t="shared" si="2193"/>
        <v>0.60791458037400881</v>
      </c>
      <c r="AJ581" s="16">
        <f t="shared" si="2193"/>
        <v>0.96614869807598036</v>
      </c>
      <c r="AK581" s="16">
        <f t="shared" si="2193"/>
        <v>1.3187402948005589</v>
      </c>
      <c r="AL581" s="16">
        <f t="shared" ref="AL581:BQ581" si="2194">AL232/AL$419*100</f>
        <v>1.0169400977194791</v>
      </c>
      <c r="AM581" s="16">
        <f t="shared" si="2194"/>
        <v>1.1710679793961458</v>
      </c>
      <c r="AN581" s="16">
        <f t="shared" si="2194"/>
        <v>1.0753077523817882</v>
      </c>
      <c r="AO581" s="16">
        <f t="shared" si="2194"/>
        <v>0.85098549667635659</v>
      </c>
      <c r="AP581" s="16">
        <f t="shared" si="2194"/>
        <v>1.1518781183954176</v>
      </c>
      <c r="AQ581" s="16">
        <f t="shared" si="2194"/>
        <v>1.2154078880251331</v>
      </c>
      <c r="AR581" s="16">
        <f t="shared" si="2194"/>
        <v>0.37445215546302085</v>
      </c>
      <c r="AS581" s="16">
        <f t="shared" si="2194"/>
        <v>0.30534014168280432</v>
      </c>
      <c r="AT581" s="16">
        <f t="shared" si="2194"/>
        <v>0.82565040544484991</v>
      </c>
      <c r="AU581" s="16">
        <f t="shared" si="2194"/>
        <v>1.5567381856880262</v>
      </c>
      <c r="AV581" s="16">
        <f t="shared" si="2194"/>
        <v>1.1782092383995122</v>
      </c>
      <c r="AW581" s="16">
        <f t="shared" si="2194"/>
        <v>1.0664931341850294</v>
      </c>
      <c r="AX581" s="16">
        <f t="shared" si="2194"/>
        <v>0.22933463834769457</v>
      </c>
      <c r="AY581" s="16">
        <f t="shared" si="2194"/>
        <v>0.15691788905840376</v>
      </c>
      <c r="AZ581" s="16">
        <f t="shared" si="2194"/>
        <v>0.15536060785817279</v>
      </c>
      <c r="BA581" s="16">
        <f t="shared" si="2194"/>
        <v>0.85994706664446996</v>
      </c>
      <c r="BB581" s="16">
        <f t="shared" si="2194"/>
        <v>1.6208282151094311</v>
      </c>
      <c r="BC581" s="16">
        <f t="shared" si="2194"/>
        <v>0.96181526151731966</v>
      </c>
      <c r="BD581" s="16">
        <f t="shared" si="2194"/>
        <v>1.0755571052209654</v>
      </c>
      <c r="BE581" s="16">
        <f t="shared" ca="1" si="2194"/>
        <v>0.85426156646914597</v>
      </c>
      <c r="BF581" s="16">
        <f t="shared" ca="1" si="2194"/>
        <v>0.77490494477492378</v>
      </c>
      <c r="BG581" s="16">
        <f t="shared" ca="1" si="2194"/>
        <v>0.72632606640044717</v>
      </c>
      <c r="BH581" s="16">
        <f t="shared" ca="1" si="2194"/>
        <v>0.71210185632747969</v>
      </c>
      <c r="BI581" s="16">
        <f t="shared" ca="1" si="2194"/>
        <v>0.71423470711118731</v>
      </c>
      <c r="BJ581" s="16">
        <f t="shared" ca="1" si="2194"/>
        <v>0.61288972799250796</v>
      </c>
      <c r="BK581" s="16">
        <f t="shared" ca="1" si="2194"/>
        <v>0.5466545995773201</v>
      </c>
      <c r="BL581" s="16">
        <f t="shared" ca="1" si="2194"/>
        <v>0.53156747104194224</v>
      </c>
      <c r="BM581" s="16">
        <f t="shared" ca="1" si="2194"/>
        <v>0.54877489394664936</v>
      </c>
      <c r="BN581" s="16">
        <f t="shared" si="2194"/>
        <v>0.56754809811434059</v>
      </c>
      <c r="BO581" s="16">
        <f t="shared" ca="1" si="2194"/>
        <v>0.59754309007167883</v>
      </c>
      <c r="BP581" s="16">
        <f t="shared" ca="1" si="2194"/>
        <v>0.64845473342483706</v>
      </c>
      <c r="BQ581" s="16">
        <f t="shared" ca="1" si="2194"/>
        <v>0.58342938954394929</v>
      </c>
      <c r="BR581" s="16">
        <f t="shared" ca="1" si="2104"/>
        <v>0.55887429259659616</v>
      </c>
      <c r="BS581" s="16">
        <f t="shared" ca="1" si="2104"/>
        <v>0.5547062201666324</v>
      </c>
      <c r="BT581" s="16">
        <f t="shared" ca="1" si="2105"/>
        <v>0.55667271582476285</v>
      </c>
      <c r="BU581" s="16">
        <f t="shared" ca="1" si="2105"/>
        <v>0.5544487817717727</v>
      </c>
      <c r="BV581" s="16">
        <f t="shared" ca="1" si="2106"/>
        <v>0.55179223731747351</v>
      </c>
      <c r="BW581" s="16">
        <f t="shared" ref="BW581:BX581" ca="1" si="2195">BW232/BW$419*100</f>
        <v>0.54940612636090835</v>
      </c>
      <c r="BX581" s="16">
        <f t="shared" ca="1" si="2195"/>
        <v>0.54700381019975575</v>
      </c>
      <c r="BY581" s="16">
        <f t="shared" ref="BY581:CD581" ca="1" si="2196">BY232/BY$419*100</f>
        <v>0.54454793577227834</v>
      </c>
      <c r="BZ581" s="16">
        <f t="shared" ca="1" si="2196"/>
        <v>0.53756256765033561</v>
      </c>
      <c r="CA581" s="16">
        <f t="shared" ca="1" si="2196"/>
        <v>0.5300302573888499</v>
      </c>
      <c r="CB581" s="16">
        <f t="shared" ca="1" si="2196"/>
        <v>0.52258593548659504</v>
      </c>
      <c r="CC581" s="16">
        <f t="shared" ca="1" si="2196"/>
        <v>0.51502865771092732</v>
      </c>
      <c r="CD581" s="16">
        <f t="shared" ca="1" si="2196"/>
        <v>0.50733106821247809</v>
      </c>
      <c r="CE581" s="16"/>
      <c r="CG581" s="235">
        <f t="shared" ca="1" si="2109"/>
        <v>-0.14733774577455538</v>
      </c>
      <c r="CH581" s="235">
        <f t="shared" ca="1" si="2110"/>
        <v>7.4653877463644047E-3</v>
      </c>
      <c r="CI581" s="235" t="e">
        <f ca="1">BM581-#REF!</f>
        <v>#REF!</v>
      </c>
      <c r="CJ581" s="235">
        <f t="shared" si="2111"/>
        <v>0</v>
      </c>
      <c r="CK581" s="235">
        <f t="shared" ca="1" si="2112"/>
        <v>0</v>
      </c>
      <c r="CL581" s="235">
        <f t="shared" ca="1" si="2113"/>
        <v>0</v>
      </c>
      <c r="CM581" s="235">
        <f t="shared" ca="1" si="2114"/>
        <v>0</v>
      </c>
      <c r="CN581" s="235">
        <f t="shared" ca="1" si="2115"/>
        <v>0</v>
      </c>
      <c r="CO581" s="235">
        <f t="shared" ca="1" si="2116"/>
        <v>0</v>
      </c>
      <c r="CP581" s="235">
        <f t="shared" ca="1" si="2117"/>
        <v>0</v>
      </c>
      <c r="CQ581" s="235">
        <f t="shared" ca="1" si="2118"/>
        <v>0</v>
      </c>
      <c r="CR581" s="235">
        <f t="shared" ca="1" si="2119"/>
        <v>1.1102230246251565E-15</v>
      </c>
      <c r="CS581" s="235">
        <f t="shared" ca="1" si="2120"/>
        <v>8.8817841970012523E-16</v>
      </c>
      <c r="CT581" s="235">
        <f t="shared" ca="1" si="2121"/>
        <v>1.2212453270876722E-15</v>
      </c>
      <c r="CU581" s="235">
        <f t="shared" ca="1" si="2122"/>
        <v>9.9920072216264089E-16</v>
      </c>
      <c r="CV581" s="235">
        <f t="shared" ca="1" si="2123"/>
        <v>1.2212453270876722E-15</v>
      </c>
      <c r="CW581" s="235">
        <f t="shared" ca="1" si="2124"/>
        <v>0</v>
      </c>
      <c r="CX581" s="235">
        <f t="shared" ca="1" si="2125"/>
        <v>-2.0650148258027912E-14</v>
      </c>
      <c r="CY581" s="235">
        <f t="shared" ca="1" si="2126"/>
        <v>-2.0394796962364126E-13</v>
      </c>
      <c r="CZ581" s="235">
        <f t="shared" ca="1" si="2127"/>
        <v>-1.4704903961160198E-12</v>
      </c>
      <c r="DG581" s="236">
        <v>0.69399234535187548</v>
      </c>
      <c r="DH581" s="492">
        <v>0.52410208329557784</v>
      </c>
      <c r="DI581" s="236">
        <v>0.56754809811434059</v>
      </c>
      <c r="DJ581" s="236">
        <v>0.59754309007167861</v>
      </c>
      <c r="DK581" s="236">
        <v>0.64845473342483684</v>
      </c>
      <c r="DL581" s="236">
        <v>0.58342938954394918</v>
      </c>
      <c r="DM581" s="236">
        <v>0.55887429259659593</v>
      </c>
      <c r="DN581" s="236">
        <v>0.5547062201666324</v>
      </c>
      <c r="DO581" s="236">
        <v>0.5566727158247623</v>
      </c>
      <c r="DP581" s="236">
        <v>0.55444878177177204</v>
      </c>
      <c r="DQ581" s="258">
        <v>0.5517922373174724</v>
      </c>
      <c r="DR581" s="258">
        <v>0.54940612636090747</v>
      </c>
      <c r="DS581" s="258">
        <v>0.54700381019975453</v>
      </c>
      <c r="DT581" s="258">
        <v>0.54454793577227734</v>
      </c>
      <c r="DU581" s="258">
        <v>0.53756256765033439</v>
      </c>
      <c r="DV581" s="258">
        <v>0.53003025738885023</v>
      </c>
      <c r="DW581" s="258">
        <v>0.52258593548661569</v>
      </c>
      <c r="DX581" s="258">
        <v>0.51502865771113127</v>
      </c>
      <c r="DY581" s="258">
        <v>0.50733106821394858</v>
      </c>
    </row>
    <row r="582" spans="2:129" hidden="1">
      <c r="B582" s="3" t="str">
        <f t="shared" si="2128"/>
        <v>Overige niet belasting ontvangsten</v>
      </c>
      <c r="F582" s="16">
        <f t="shared" ref="F582:AK582" si="2197">F233/F$419*100</f>
        <v>0</v>
      </c>
      <c r="G582" s="16">
        <f t="shared" si="2197"/>
        <v>0</v>
      </c>
      <c r="H582" s="16">
        <f t="shared" si="2197"/>
        <v>0</v>
      </c>
      <c r="I582" s="16">
        <f t="shared" si="2197"/>
        <v>0</v>
      </c>
      <c r="J582" s="16">
        <f t="shared" si="2197"/>
        <v>0</v>
      </c>
      <c r="K582" s="16">
        <f t="shared" si="2197"/>
        <v>0</v>
      </c>
      <c r="L582" s="16">
        <f t="shared" si="2197"/>
        <v>0</v>
      </c>
      <c r="M582" s="16">
        <f t="shared" si="2197"/>
        <v>0</v>
      </c>
      <c r="N582" s="16">
        <f t="shared" si="2197"/>
        <v>0</v>
      </c>
      <c r="O582" s="16">
        <f t="shared" si="2197"/>
        <v>0</v>
      </c>
      <c r="P582" s="16">
        <f t="shared" si="2197"/>
        <v>0</v>
      </c>
      <c r="Q582" s="16">
        <f t="shared" si="2197"/>
        <v>0</v>
      </c>
      <c r="R582" s="16">
        <f t="shared" si="2197"/>
        <v>0</v>
      </c>
      <c r="S582" s="16">
        <f t="shared" si="2197"/>
        <v>0</v>
      </c>
      <c r="T582" s="16">
        <f t="shared" si="2197"/>
        <v>0</v>
      </c>
      <c r="U582" s="16">
        <f t="shared" si="2197"/>
        <v>0</v>
      </c>
      <c r="V582" s="16">
        <f t="shared" si="2197"/>
        <v>0</v>
      </c>
      <c r="W582" s="16">
        <f t="shared" si="2197"/>
        <v>0</v>
      </c>
      <c r="X582" s="16">
        <f t="shared" si="2197"/>
        <v>0</v>
      </c>
      <c r="Y582" s="16">
        <f t="shared" si="2197"/>
        <v>0</v>
      </c>
      <c r="Z582" s="16">
        <f t="shared" si="2197"/>
        <v>0</v>
      </c>
      <c r="AA582" s="16">
        <f t="shared" si="2197"/>
        <v>0</v>
      </c>
      <c r="AB582" s="16">
        <f t="shared" si="2197"/>
        <v>0</v>
      </c>
      <c r="AC582" s="16">
        <f t="shared" si="2197"/>
        <v>0</v>
      </c>
      <c r="AD582" s="16">
        <f t="shared" si="2197"/>
        <v>0</v>
      </c>
      <c r="AE582" s="16">
        <f t="shared" si="2197"/>
        <v>0</v>
      </c>
      <c r="AF582" s="16">
        <f t="shared" si="2197"/>
        <v>0</v>
      </c>
      <c r="AG582" s="16">
        <f t="shared" si="2197"/>
        <v>0</v>
      </c>
      <c r="AH582" s="16">
        <f t="shared" si="2197"/>
        <v>0</v>
      </c>
      <c r="AI582" s="16">
        <f t="shared" si="2197"/>
        <v>0</v>
      </c>
      <c r="AJ582" s="16">
        <f t="shared" si="2197"/>
        <v>0</v>
      </c>
      <c r="AK582" s="16">
        <f t="shared" si="2197"/>
        <v>0</v>
      </c>
      <c r="AL582" s="16">
        <f t="shared" ref="AL582:BQ582" si="2198">AL233/AL$419*100</f>
        <v>0</v>
      </c>
      <c r="AM582" s="16">
        <f t="shared" si="2198"/>
        <v>0</v>
      </c>
      <c r="AN582" s="16">
        <f t="shared" si="2198"/>
        <v>0</v>
      </c>
      <c r="AO582" s="16">
        <f t="shared" si="2198"/>
        <v>0</v>
      </c>
      <c r="AP582" s="16">
        <f t="shared" si="2198"/>
        <v>0</v>
      </c>
      <c r="AQ582" s="16">
        <f t="shared" si="2198"/>
        <v>0</v>
      </c>
      <c r="AR582" s="16">
        <f t="shared" si="2198"/>
        <v>0</v>
      </c>
      <c r="AS582" s="16">
        <f t="shared" si="2198"/>
        <v>0</v>
      </c>
      <c r="AT582" s="16">
        <f t="shared" si="2198"/>
        <v>0</v>
      </c>
      <c r="AU582" s="16">
        <f t="shared" si="2198"/>
        <v>0</v>
      </c>
      <c r="AV582" s="16">
        <f t="shared" si="2198"/>
        <v>0</v>
      </c>
      <c r="AW582" s="16">
        <f t="shared" si="2198"/>
        <v>0.53324656709251472</v>
      </c>
      <c r="AX582" s="16">
        <f t="shared" si="2198"/>
        <v>2.8771072810892595</v>
      </c>
      <c r="AY582" s="16">
        <f t="shared" si="2198"/>
        <v>5.3352082279857278</v>
      </c>
      <c r="AZ582" s="16">
        <f t="shared" si="2198"/>
        <v>0.33774045186559309</v>
      </c>
      <c r="BA582" s="16">
        <f t="shared" si="2198"/>
        <v>1.3914585164810391</v>
      </c>
      <c r="BB582" s="16">
        <f t="shared" si="2198"/>
        <v>1.213556384643159</v>
      </c>
      <c r="BC582" s="16">
        <f t="shared" si="2198"/>
        <v>1.0851386896381141</v>
      </c>
      <c r="BD582" s="16">
        <f t="shared" si="2198"/>
        <v>1.6616990046714648</v>
      </c>
      <c r="BE582" s="16">
        <f t="shared" ca="1" si="2198"/>
        <v>2.2318421385682585</v>
      </c>
      <c r="BF582" s="16">
        <f t="shared" ca="1" si="2198"/>
        <v>3.0306345689872995</v>
      </c>
      <c r="BG582" s="16">
        <f t="shared" ca="1" si="2198"/>
        <v>3.1440976978738813</v>
      </c>
      <c r="BH582" s="16">
        <f t="shared" ca="1" si="2198"/>
        <v>1.6247235335627357</v>
      </c>
      <c r="BI582" s="16">
        <f t="shared" ca="1" si="2198"/>
        <v>4.1631506615159815</v>
      </c>
      <c r="BJ582" s="16">
        <f t="shared" ca="1" si="2198"/>
        <v>1.7127765522719416</v>
      </c>
      <c r="BK582" s="16">
        <f t="shared" ca="1" si="2198"/>
        <v>2.0929774548854474</v>
      </c>
      <c r="BL582" s="16">
        <f t="shared" ca="1" si="2198"/>
        <v>3.1476071889400763</v>
      </c>
      <c r="BM582" s="16">
        <f t="shared" ca="1" si="2198"/>
        <v>2.5014507318393697</v>
      </c>
      <c r="BN582" s="16">
        <f t="shared" si="2198"/>
        <v>2.1045460299408241</v>
      </c>
      <c r="BO582" s="16">
        <f t="shared" ca="1" si="2198"/>
        <v>0.5341597474688129</v>
      </c>
      <c r="BP582" s="16">
        <f t="shared" ca="1" si="2198"/>
        <v>0.45445052851334644</v>
      </c>
      <c r="BQ582" s="16">
        <f t="shared" ca="1" si="2198"/>
        <v>0.50040789816734021</v>
      </c>
      <c r="BR582" s="16">
        <f t="shared" ca="1" si="2104"/>
        <v>0.50718873051789604</v>
      </c>
      <c r="BS582" s="16">
        <f t="shared" ca="1" si="2104"/>
        <v>0.51449779961998177</v>
      </c>
      <c r="BT582" s="16">
        <f t="shared" ca="1" si="2105"/>
        <v>0.51428125311839723</v>
      </c>
      <c r="BU582" s="16">
        <f t="shared" ca="1" si="2105"/>
        <v>0.51160580688093593</v>
      </c>
      <c r="BV582" s="16">
        <f t="shared" ca="1" si="2106"/>
        <v>0.5089945962689113</v>
      </c>
      <c r="BW582" s="16">
        <f t="shared" ref="BW582:BX582" ca="1" si="2199">BW233/BW$419*100</f>
        <v>0.50670769433280283</v>
      </c>
      <c r="BX582" s="16">
        <f t="shared" ca="1" si="2199"/>
        <v>0.50457745524164554</v>
      </c>
      <c r="BY582" s="16">
        <f t="shared" ref="BY582:CD582" ca="1" si="2200">BY233/BY$419*100</f>
        <v>0.50242526189552417</v>
      </c>
      <c r="BZ582" s="16">
        <f t="shared" ca="1" si="2200"/>
        <v>0.4960669419929265</v>
      </c>
      <c r="CA582" s="16">
        <f t="shared" ca="1" si="2200"/>
        <v>0.48913559814618285</v>
      </c>
      <c r="CB582" s="16">
        <f t="shared" ca="1" si="2200"/>
        <v>0.4822640173993164</v>
      </c>
      <c r="CC582" s="16">
        <f t="shared" ca="1" si="2200"/>
        <v>0.47533135302031482</v>
      </c>
      <c r="CD582" s="16">
        <f t="shared" ca="1" si="2200"/>
        <v>0.46826691329729397</v>
      </c>
      <c r="CE582" s="16"/>
      <c r="CG582" s="235">
        <f t="shared" ca="1" si="2109"/>
        <v>-0.5664507520290134</v>
      </c>
      <c r="CH582" s="235">
        <f t="shared" ca="1" si="2110"/>
        <v>4.4205316199319888E-2</v>
      </c>
      <c r="CI582" s="235" t="e">
        <f ca="1">BM582-#REF!</f>
        <v>#REF!</v>
      </c>
      <c r="CJ582" s="235">
        <f t="shared" si="2111"/>
        <v>0</v>
      </c>
      <c r="CK582" s="235">
        <f t="shared" ca="1" si="2112"/>
        <v>0</v>
      </c>
      <c r="CL582" s="235">
        <f t="shared" ca="1" si="2113"/>
        <v>0</v>
      </c>
      <c r="CM582" s="235">
        <f t="shared" ca="1" si="2114"/>
        <v>0</v>
      </c>
      <c r="CN582" s="235">
        <f t="shared" ca="1" si="2115"/>
        <v>0</v>
      </c>
      <c r="CO582" s="235">
        <f t="shared" ca="1" si="2116"/>
        <v>0</v>
      </c>
      <c r="CP582" s="235">
        <f t="shared" ca="1" si="2117"/>
        <v>0</v>
      </c>
      <c r="CQ582" s="235">
        <f t="shared" ca="1" si="2118"/>
        <v>0</v>
      </c>
      <c r="CR582" s="235">
        <f t="shared" ca="1" si="2119"/>
        <v>8.8817841970012523E-16</v>
      </c>
      <c r="CS582" s="235">
        <f t="shared" ca="1" si="2120"/>
        <v>8.8817841970012523E-16</v>
      </c>
      <c r="CT582" s="235">
        <f t="shared" ca="1" si="2121"/>
        <v>1.1102230246251565E-15</v>
      </c>
      <c r="CU582" s="235">
        <f t="shared" ca="1" si="2122"/>
        <v>8.8817841970012523E-16</v>
      </c>
      <c r="CV582" s="235">
        <f t="shared" ca="1" si="2123"/>
        <v>9.4368957093138306E-16</v>
      </c>
      <c r="CW582" s="235">
        <f t="shared" ca="1" si="2124"/>
        <v>-7.2164496600635175E-16</v>
      </c>
      <c r="CX582" s="235">
        <f t="shared" ca="1" si="2125"/>
        <v>-2.3314683517128287E-14</v>
      </c>
      <c r="CY582" s="235">
        <f t="shared" ca="1" si="2126"/>
        <v>-2.2770674235061961E-13</v>
      </c>
      <c r="CZ582" s="235">
        <f t="shared" ca="1" si="2127"/>
        <v>-1.6502910149540639E-12</v>
      </c>
      <c r="DG582" s="236">
        <v>2.6594282069144608</v>
      </c>
      <c r="DH582" s="492">
        <v>3.1034018727407564</v>
      </c>
      <c r="DI582" s="236">
        <v>2.1045460299408241</v>
      </c>
      <c r="DJ582" s="236">
        <v>0.53415974746881278</v>
      </c>
      <c r="DK582" s="236">
        <v>0.45445052851334644</v>
      </c>
      <c r="DL582" s="236">
        <v>0.50040789816733999</v>
      </c>
      <c r="DM582" s="236">
        <v>0.5071887305178957</v>
      </c>
      <c r="DN582" s="236">
        <v>0.51449779961998166</v>
      </c>
      <c r="DO582" s="236">
        <v>0.51428125311839668</v>
      </c>
      <c r="DP582" s="236">
        <v>0.51160580688093538</v>
      </c>
      <c r="DQ582" s="258">
        <v>0.50899459626891042</v>
      </c>
      <c r="DR582" s="258">
        <v>0.50670769433280194</v>
      </c>
      <c r="DS582" s="258">
        <v>0.50457745524164443</v>
      </c>
      <c r="DT582" s="258">
        <v>0.50242526189552328</v>
      </c>
      <c r="DU582" s="258">
        <v>0.49606694199292556</v>
      </c>
      <c r="DV582" s="258">
        <v>0.48913559814618357</v>
      </c>
      <c r="DW582" s="258">
        <v>0.48226401739933972</v>
      </c>
      <c r="DX582" s="258">
        <v>0.47533135302054252</v>
      </c>
      <c r="DY582" s="258">
        <v>0.46826691329894427</v>
      </c>
    </row>
    <row r="583" spans="2:129" hidden="1">
      <c r="B583" s="3" t="str">
        <f t="shared" si="2128"/>
        <v>Inkomensoverdrachten om niet  aan de overheid</v>
      </c>
      <c r="F583" s="16">
        <f t="shared" ref="F583:AK583" si="2201">F234/F$419*100</f>
        <v>0</v>
      </c>
      <c r="G583" s="16">
        <f t="shared" si="2201"/>
        <v>0</v>
      </c>
      <c r="H583" s="16">
        <f t="shared" si="2201"/>
        <v>0</v>
      </c>
      <c r="I583" s="16">
        <f t="shared" si="2201"/>
        <v>0</v>
      </c>
      <c r="J583" s="16">
        <f t="shared" si="2201"/>
        <v>0</v>
      </c>
      <c r="K583" s="16">
        <f t="shared" si="2201"/>
        <v>0</v>
      </c>
      <c r="L583" s="16">
        <f t="shared" si="2201"/>
        <v>0</v>
      </c>
      <c r="M583" s="16">
        <f t="shared" si="2201"/>
        <v>0</v>
      </c>
      <c r="N583" s="16">
        <f t="shared" si="2201"/>
        <v>0</v>
      </c>
      <c r="O583" s="16">
        <f t="shared" si="2201"/>
        <v>0</v>
      </c>
      <c r="P583" s="16">
        <f t="shared" si="2201"/>
        <v>0</v>
      </c>
      <c r="Q583" s="16">
        <f t="shared" si="2201"/>
        <v>0</v>
      </c>
      <c r="R583" s="16">
        <f t="shared" si="2201"/>
        <v>0</v>
      </c>
      <c r="S583" s="16">
        <f t="shared" si="2201"/>
        <v>0</v>
      </c>
      <c r="T583" s="16">
        <f t="shared" si="2201"/>
        <v>0</v>
      </c>
      <c r="U583" s="16">
        <f t="shared" si="2201"/>
        <v>0</v>
      </c>
      <c r="V583" s="16">
        <f t="shared" si="2201"/>
        <v>0</v>
      </c>
      <c r="W583" s="16">
        <f t="shared" si="2201"/>
        <v>0</v>
      </c>
      <c r="X583" s="16">
        <f t="shared" si="2201"/>
        <v>0</v>
      </c>
      <c r="Y583" s="16">
        <f t="shared" si="2201"/>
        <v>0</v>
      </c>
      <c r="Z583" s="16">
        <f t="shared" si="2201"/>
        <v>0</v>
      </c>
      <c r="AA583" s="16">
        <f t="shared" si="2201"/>
        <v>0</v>
      </c>
      <c r="AB583" s="16">
        <f t="shared" si="2201"/>
        <v>0</v>
      </c>
      <c r="AC583" s="16">
        <f t="shared" si="2201"/>
        <v>0</v>
      </c>
      <c r="AD583" s="16">
        <f t="shared" si="2201"/>
        <v>0</v>
      </c>
      <c r="AE583" s="16">
        <f t="shared" si="2201"/>
        <v>0</v>
      </c>
      <c r="AF583" s="16">
        <f t="shared" si="2201"/>
        <v>0</v>
      </c>
      <c r="AG583" s="16">
        <f t="shared" si="2201"/>
        <v>0</v>
      </c>
      <c r="AH583" s="16">
        <f t="shared" si="2201"/>
        <v>0</v>
      </c>
      <c r="AI583" s="16">
        <f t="shared" si="2201"/>
        <v>0</v>
      </c>
      <c r="AJ583" s="16">
        <f t="shared" si="2201"/>
        <v>0</v>
      </c>
      <c r="AK583" s="16">
        <f t="shared" si="2201"/>
        <v>0</v>
      </c>
      <c r="AL583" s="16">
        <f t="shared" ref="AL583:BQ583" si="2202">AL234/AL$419*100</f>
        <v>0</v>
      </c>
      <c r="AM583" s="16">
        <f t="shared" si="2202"/>
        <v>0</v>
      </c>
      <c r="AN583" s="16">
        <f t="shared" si="2202"/>
        <v>0</v>
      </c>
      <c r="AO583" s="16">
        <f t="shared" si="2202"/>
        <v>0</v>
      </c>
      <c r="AP583" s="16">
        <f t="shared" si="2202"/>
        <v>0</v>
      </c>
      <c r="AQ583" s="16">
        <f t="shared" si="2202"/>
        <v>0</v>
      </c>
      <c r="AR583" s="16">
        <f t="shared" si="2202"/>
        <v>0</v>
      </c>
      <c r="AS583" s="16">
        <f t="shared" si="2202"/>
        <v>0</v>
      </c>
      <c r="AT583" s="16">
        <f t="shared" si="2202"/>
        <v>0</v>
      </c>
      <c r="AU583" s="16">
        <f t="shared" si="2202"/>
        <v>0</v>
      </c>
      <c r="AV583" s="16">
        <f t="shared" si="2202"/>
        <v>5.7473621385342059E-2</v>
      </c>
      <c r="AW583" s="16">
        <f t="shared" si="2202"/>
        <v>1.3712054582378947</v>
      </c>
      <c r="AX583" s="16">
        <f t="shared" si="2202"/>
        <v>1.9180715207261727</v>
      </c>
      <c r="AY583" s="16">
        <f t="shared" si="2202"/>
        <v>1.5803873112310665</v>
      </c>
      <c r="AZ583" s="16">
        <f t="shared" si="2202"/>
        <v>1.1348079182683928</v>
      </c>
      <c r="BA583" s="16">
        <f t="shared" si="2202"/>
        <v>0.38388986650678075</v>
      </c>
      <c r="BB583" s="16">
        <f t="shared" si="2202"/>
        <v>0.87754656712354173</v>
      </c>
      <c r="BC583" s="16">
        <f t="shared" si="2202"/>
        <v>0.98104412619131887</v>
      </c>
      <c r="BD583" s="16">
        <f t="shared" si="2202"/>
        <v>0.91688968032153684</v>
      </c>
      <c r="BE583" s="16">
        <f t="shared" ca="1" si="2202"/>
        <v>0.7481323501164453</v>
      </c>
      <c r="BF583" s="16">
        <f t="shared" ca="1" si="2202"/>
        <v>0.66929000021482021</v>
      </c>
      <c r="BG583" s="16">
        <f t="shared" ca="1" si="2202"/>
        <v>0.64220506420720724</v>
      </c>
      <c r="BH583" s="16">
        <f t="shared" ca="1" si="2202"/>
        <v>1.5003108997712538</v>
      </c>
      <c r="BI583" s="16">
        <f t="shared" ca="1" si="2202"/>
        <v>2.3409102867963982</v>
      </c>
      <c r="BJ583" s="16">
        <f t="shared" ca="1" si="2202"/>
        <v>1.9722221857413413</v>
      </c>
      <c r="BK583" s="16">
        <f t="shared" ca="1" si="2202"/>
        <v>1.6487580364248127</v>
      </c>
      <c r="BL583" s="16">
        <f t="shared" ca="1" si="2202"/>
        <v>1.7148643738731872</v>
      </c>
      <c r="BM583" s="16">
        <f t="shared" ca="1" si="2202"/>
        <v>1.3661989549657481</v>
      </c>
      <c r="BN583" s="16">
        <f t="shared" si="2202"/>
        <v>2.1126141543672703</v>
      </c>
      <c r="BO583" s="16">
        <f t="shared" ca="1" si="2202"/>
        <v>2.2949461295637503</v>
      </c>
      <c r="BP583" s="16">
        <f t="shared" ca="1" si="2202"/>
        <v>2.1082405327222671</v>
      </c>
      <c r="BQ583" s="16">
        <f t="shared" ca="1" si="2202"/>
        <v>2.1452284920980498</v>
      </c>
      <c r="BR583" s="16">
        <f t="shared" ca="1" si="2104"/>
        <v>2.2305085250794421</v>
      </c>
      <c r="BS583" s="16">
        <f t="shared" ca="1" si="2104"/>
        <v>2.2627250910801324</v>
      </c>
      <c r="BT583" s="16">
        <f t="shared" ca="1" si="2105"/>
        <v>2.2605258973045608</v>
      </c>
      <c r="BU583" s="16">
        <f t="shared" ca="1" si="2105"/>
        <v>2.2513359316440722</v>
      </c>
      <c r="BV583" s="16">
        <f t="shared" ca="1" si="2106"/>
        <v>2.2505203284151145</v>
      </c>
      <c r="BW583" s="16">
        <f t="shared" ref="BW583:BX583" ca="1" si="2203">BW234/BW$419*100</f>
        <v>2.2499453109979028</v>
      </c>
      <c r="BX583" s="16">
        <f t="shared" ca="1" si="2203"/>
        <v>2.2486593395968058</v>
      </c>
      <c r="BY583" s="16">
        <f t="shared" ref="BY583:CD583" ca="1" si="2204">BY234/BY$419*100</f>
        <v>2.2466213304628178</v>
      </c>
      <c r="BZ583" s="16">
        <f t="shared" ca="1" si="2204"/>
        <v>2.2269999924670021</v>
      </c>
      <c r="CA583" s="16">
        <f t="shared" ca="1" si="2204"/>
        <v>2.2071592191042888</v>
      </c>
      <c r="CB583" s="16">
        <f t="shared" ca="1" si="2204"/>
        <v>2.1868811734791507</v>
      </c>
      <c r="CC583" s="16">
        <f t="shared" ca="1" si="2204"/>
        <v>2.1661838124834647</v>
      </c>
      <c r="CD583" s="16">
        <f t="shared" ca="1" si="2204"/>
        <v>2.1451345679944156</v>
      </c>
      <c r="CE583" s="16"/>
      <c r="CG583" s="235">
        <f t="shared" ca="1" si="2109"/>
        <v>-0.44565732854873397</v>
      </c>
      <c r="CH583" s="235">
        <f t="shared" ca="1" si="2110"/>
        <v>2.4083730064023312E-2</v>
      </c>
      <c r="CI583" s="235" t="e">
        <f ca="1">BM583-#REF!</f>
        <v>#REF!</v>
      </c>
      <c r="CJ583" s="235">
        <f t="shared" si="2111"/>
        <v>0</v>
      </c>
      <c r="CK583" s="235">
        <f t="shared" ca="1" si="2112"/>
        <v>0</v>
      </c>
      <c r="CL583" s="235">
        <f t="shared" ca="1" si="2113"/>
        <v>0</v>
      </c>
      <c r="CM583" s="235">
        <f t="shared" ca="1" si="2114"/>
        <v>0</v>
      </c>
      <c r="CN583" s="235">
        <f t="shared" ca="1" si="2115"/>
        <v>0</v>
      </c>
      <c r="CO583" s="235">
        <f t="shared" ca="1" si="2116"/>
        <v>0</v>
      </c>
      <c r="CP583" s="235">
        <f t="shared" ca="1" si="2117"/>
        <v>0</v>
      </c>
      <c r="CQ583" s="235">
        <f t="shared" ca="1" si="2118"/>
        <v>0</v>
      </c>
      <c r="CR583" s="235">
        <f t="shared" ca="1" si="2119"/>
        <v>-3.9968028886505635E-15</v>
      </c>
      <c r="CS583" s="235">
        <f t="shared" ca="1" si="2120"/>
        <v>-5.773159728050814E-15</v>
      </c>
      <c r="CT583" s="235">
        <f t="shared" ca="1" si="2121"/>
        <v>-4.8849813083506888E-15</v>
      </c>
      <c r="CU583" s="235">
        <f t="shared" ca="1" si="2122"/>
        <v>-8.4376949871511897E-15</v>
      </c>
      <c r="CV583" s="235">
        <f t="shared" ca="1" si="2123"/>
        <v>-1.021405182655144E-14</v>
      </c>
      <c r="CW583" s="235">
        <f t="shared" ca="1" si="2124"/>
        <v>-2.4868995751603507E-14</v>
      </c>
      <c r="CX583" s="235">
        <f t="shared" ca="1" si="2125"/>
        <v>-1.7275070263167436E-13</v>
      </c>
      <c r="CY583" s="235">
        <f t="shared" ca="1" si="2126"/>
        <v>-1.4734879982825078E-12</v>
      </c>
      <c r="CZ583" s="235">
        <f t="shared" ca="1" si="2127"/>
        <v>-1.0722089882619912E-11</v>
      </c>
      <c r="DG583" s="236">
        <v>2.0944153649735466</v>
      </c>
      <c r="DH583" s="492">
        <v>1.6907806438091639</v>
      </c>
      <c r="DI583" s="236">
        <v>2.1126141543672703</v>
      </c>
      <c r="DJ583" s="236">
        <v>2.2949461295637494</v>
      </c>
      <c r="DK583" s="236">
        <v>2.1082405327222666</v>
      </c>
      <c r="DL583" s="236">
        <v>2.1452284920980507</v>
      </c>
      <c r="DM583" s="236">
        <v>2.230508525079443</v>
      </c>
      <c r="DN583" s="236">
        <v>2.2627250910801351</v>
      </c>
      <c r="DO583" s="236">
        <v>2.2605258973045621</v>
      </c>
      <c r="DP583" s="236">
        <v>2.2513359316440753</v>
      </c>
      <c r="DQ583" s="258">
        <v>2.2505203284151185</v>
      </c>
      <c r="DR583" s="258">
        <v>2.2499453109979086</v>
      </c>
      <c r="DS583" s="258">
        <v>2.2486593395968106</v>
      </c>
      <c r="DT583" s="258">
        <v>2.2466213304628262</v>
      </c>
      <c r="DU583" s="258">
        <v>2.2269999924670123</v>
      </c>
      <c r="DV583" s="258">
        <v>2.2071592191043137</v>
      </c>
      <c r="DW583" s="258">
        <v>2.1868811734793234</v>
      </c>
      <c r="DX583" s="258">
        <v>2.1661838124849382</v>
      </c>
      <c r="DY583" s="258">
        <v>2.1451345680051377</v>
      </c>
    </row>
    <row r="584" spans="2:129" hidden="1">
      <c r="B584" s="3" t="str">
        <f t="shared" si="2128"/>
        <v>Totaal inkomsten excl schenkingen</v>
      </c>
      <c r="F584" s="16">
        <f t="shared" ref="F584:AK584" si="2205">F235/F$419*100</f>
        <v>18.804911325600585</v>
      </c>
      <c r="G584" s="16">
        <f t="shared" si="2205"/>
        <v>18.699342406719392</v>
      </c>
      <c r="H584" s="16">
        <f t="shared" si="2205"/>
        <v>18.310056872584664</v>
      </c>
      <c r="I584" s="16">
        <f t="shared" si="2205"/>
        <v>18.392630608936038</v>
      </c>
      <c r="J584" s="16">
        <f t="shared" si="2205"/>
        <v>18.305622679030979</v>
      </c>
      <c r="K584" s="16">
        <f t="shared" si="2205"/>
        <v>18.029194780040466</v>
      </c>
      <c r="L584" s="16">
        <f t="shared" si="2205"/>
        <v>19.61749494425646</v>
      </c>
      <c r="M584" s="16">
        <f t="shared" si="2205"/>
        <v>19.23922350589519</v>
      </c>
      <c r="N584" s="16">
        <f t="shared" si="2205"/>
        <v>18.817443448945742</v>
      </c>
      <c r="O584" s="16">
        <f t="shared" si="2205"/>
        <v>18.337311184109719</v>
      </c>
      <c r="P584" s="16">
        <f t="shared" si="2205"/>
        <v>18.895001628577628</v>
      </c>
      <c r="Q584" s="16">
        <f t="shared" si="2205"/>
        <v>18.35553575204187</v>
      </c>
      <c r="R584" s="16">
        <f t="shared" si="2205"/>
        <v>17.003547466922125</v>
      </c>
      <c r="S584" s="16">
        <f t="shared" si="2205"/>
        <v>16.000985724783252</v>
      </c>
      <c r="T584" s="16">
        <f t="shared" si="2205"/>
        <v>14.606209475657908</v>
      </c>
      <c r="U584" s="16">
        <f t="shared" si="2205"/>
        <v>14.886810733027048</v>
      </c>
      <c r="V584" s="16">
        <f t="shared" si="2205"/>
        <v>15.218537529919296</v>
      </c>
      <c r="W584" s="16">
        <f t="shared" si="2205"/>
        <v>14.812971545169622</v>
      </c>
      <c r="X584" s="16">
        <f t="shared" si="2205"/>
        <v>14.76477864969185</v>
      </c>
      <c r="Y584" s="16">
        <f t="shared" si="2205"/>
        <v>13.165170370180387</v>
      </c>
      <c r="Z584" s="16">
        <f t="shared" si="2205"/>
        <v>12.547774574980139</v>
      </c>
      <c r="AA584" s="16">
        <f t="shared" si="2205"/>
        <v>9.5267177445185087</v>
      </c>
      <c r="AB584" s="16">
        <f t="shared" si="2205"/>
        <v>11.375820807590422</v>
      </c>
      <c r="AC584" s="16">
        <f t="shared" si="2205"/>
        <v>11.573588442200288</v>
      </c>
      <c r="AD584" s="16">
        <f t="shared" si="2205"/>
        <v>11.465278904883631</v>
      </c>
      <c r="AE584" s="16">
        <f t="shared" si="2205"/>
        <v>10.620843901286193</v>
      </c>
      <c r="AF584" s="16">
        <f t="shared" si="2205"/>
        <v>11.270145126415734</v>
      </c>
      <c r="AG584" s="16">
        <f t="shared" si="2205"/>
        <v>10.898424339798989</v>
      </c>
      <c r="AH584" s="16">
        <f t="shared" si="2205"/>
        <v>10.587440987247843</v>
      </c>
      <c r="AI584" s="16">
        <f t="shared" si="2205"/>
        <v>9.784663842853135</v>
      </c>
      <c r="AJ584" s="16">
        <f t="shared" si="2205"/>
        <v>10.589036548053484</v>
      </c>
      <c r="AK584" s="16">
        <f t="shared" si="2205"/>
        <v>9.979786895828072</v>
      </c>
      <c r="AL584" s="16">
        <f t="shared" ref="AL584:BQ584" si="2206">AL235/AL$419*100</f>
        <v>8.8310456531938879</v>
      </c>
      <c r="AM584" s="16">
        <f t="shared" si="2206"/>
        <v>7.9782475580004268</v>
      </c>
      <c r="AN584" s="16">
        <f t="shared" si="2206"/>
        <v>9.0669181302869024</v>
      </c>
      <c r="AO584" s="16">
        <f t="shared" si="2206"/>
        <v>8.7410832474971212</v>
      </c>
      <c r="AP584" s="16">
        <f t="shared" si="2206"/>
        <v>7.5022807700949521</v>
      </c>
      <c r="AQ584" s="16">
        <f t="shared" si="2206"/>
        <v>6.8013767811590835</v>
      </c>
      <c r="AR584" s="16">
        <f t="shared" si="2206"/>
        <v>4.8361618135365161</v>
      </c>
      <c r="AS584" s="16">
        <f t="shared" si="2206"/>
        <v>2.0829528755145157</v>
      </c>
      <c r="AT584" s="16">
        <f t="shared" si="2206"/>
        <v>91.522827507970447</v>
      </c>
      <c r="AU584" s="16">
        <f t="shared" si="2206"/>
        <v>11.687708081332456</v>
      </c>
      <c r="AV584" s="16">
        <f t="shared" si="2206"/>
        <v>20.018798788314868</v>
      </c>
      <c r="AW584" s="16">
        <f t="shared" si="2206"/>
        <v>19.482413329443439</v>
      </c>
      <c r="AX584" s="16">
        <f t="shared" si="2206"/>
        <v>26.178736157618165</v>
      </c>
      <c r="AY584" s="16">
        <f t="shared" si="2206"/>
        <v>26.262484043315215</v>
      </c>
      <c r="AZ584" s="16">
        <f t="shared" si="2206"/>
        <v>20.522055528618662</v>
      </c>
      <c r="BA584" s="16">
        <f t="shared" si="2206"/>
        <v>26.596425934692842</v>
      </c>
      <c r="BB584" s="16">
        <f t="shared" si="2206"/>
        <v>25.951330198934997</v>
      </c>
      <c r="BC584" s="16">
        <f t="shared" si="2206"/>
        <v>24.585584473937185</v>
      </c>
      <c r="BD584" s="16">
        <f t="shared" si="2206"/>
        <v>24.587508859207379</v>
      </c>
      <c r="BE584" s="16">
        <f t="shared" ca="1" si="2206"/>
        <v>21.722816554798751</v>
      </c>
      <c r="BF584" s="16">
        <f t="shared" ca="1" si="2206"/>
        <v>21.294702853473989</v>
      </c>
      <c r="BG584" s="16">
        <f t="shared" ca="1" si="2206"/>
        <v>23.079952157696134</v>
      </c>
      <c r="BH584" s="16">
        <f t="shared" ca="1" si="2206"/>
        <v>21.41544431558366</v>
      </c>
      <c r="BI584" s="16">
        <f t="shared" ca="1" si="2206"/>
        <v>26.409036376544819</v>
      </c>
      <c r="BJ584" s="16">
        <f t="shared" ca="1" si="2206"/>
        <v>20.097544085805215</v>
      </c>
      <c r="BK584" s="16">
        <f t="shared" ca="1" si="2206"/>
        <v>21.211341033137447</v>
      </c>
      <c r="BL584" s="16">
        <f t="shared" ca="1" si="2206"/>
        <v>23.098646753514863</v>
      </c>
      <c r="BM584" s="16">
        <f t="shared" ca="1" si="2206"/>
        <v>23.021448084560841</v>
      </c>
      <c r="BN584" s="16">
        <f t="shared" si="2206"/>
        <v>21.814995477818979</v>
      </c>
      <c r="BO584" s="16">
        <f t="shared" ca="1" si="2206"/>
        <v>19.164410453050305</v>
      </c>
      <c r="BP584" s="16">
        <f t="shared" ca="1" si="2206"/>
        <v>20.207342884522376</v>
      </c>
      <c r="BQ584" s="16">
        <f t="shared" ca="1" si="2206"/>
        <v>19.989562347868148</v>
      </c>
      <c r="BR584" s="16">
        <f t="shared" ca="1" si="2104"/>
        <v>19.952831069499872</v>
      </c>
      <c r="BS584" s="16">
        <f t="shared" ca="1" si="2104"/>
        <v>19.910856861389167</v>
      </c>
      <c r="BT584" s="16">
        <f t="shared" ca="1" si="2105"/>
        <v>19.920179444730049</v>
      </c>
      <c r="BU584" s="16">
        <f t="shared" ca="1" si="2105"/>
        <v>19.974811219211372</v>
      </c>
      <c r="BV584" s="16">
        <f t="shared" ca="1" si="2106"/>
        <v>20.036796209519263</v>
      </c>
      <c r="BW584" s="16">
        <f t="shared" ref="BW584:BX584" ca="1" si="2207">BW235/BW$419*100</f>
        <v>20.109781598534752</v>
      </c>
      <c r="BX584" s="16">
        <f t="shared" ca="1" si="2207"/>
        <v>20.191952371018917</v>
      </c>
      <c r="BY584" s="16">
        <f t="shared" ref="BY584:CD584" ca="1" si="2208">BY235/BY$419*100</f>
        <v>20.283168917083266</v>
      </c>
      <c r="BZ584" s="16">
        <f t="shared" ca="1" si="2208"/>
        <v>20.300642040210224</v>
      </c>
      <c r="CA584" s="16">
        <f t="shared" ca="1" si="2208"/>
        <v>20.324887298862336</v>
      </c>
      <c r="CB584" s="16">
        <f t="shared" ca="1" si="2208"/>
        <v>20.354958228965639</v>
      </c>
      <c r="CC584" s="16">
        <f t="shared" ca="1" si="2208"/>
        <v>20.388991173436548</v>
      </c>
      <c r="CD584" s="16">
        <f t="shared" ca="1" si="2208"/>
        <v>20.426887893559041</v>
      </c>
      <c r="CE584" s="16"/>
      <c r="CG584" s="235">
        <f t="shared" ca="1" si="2109"/>
        <v>-5.7334001538892672</v>
      </c>
      <c r="CH584" s="235">
        <f t="shared" ca="1" si="2110"/>
        <v>0.32439974946789363</v>
      </c>
      <c r="CI584" s="235" t="e">
        <f ca="1">BM584-#REF!</f>
        <v>#REF!</v>
      </c>
      <c r="CJ584" s="235">
        <f t="shared" si="2111"/>
        <v>0</v>
      </c>
      <c r="CK584" s="235">
        <f t="shared" ca="1" si="2112"/>
        <v>0</v>
      </c>
      <c r="CL584" s="235">
        <f t="shared" ca="1" si="2113"/>
        <v>0</v>
      </c>
      <c r="CM584" s="235">
        <f t="shared" ca="1" si="2114"/>
        <v>0</v>
      </c>
      <c r="CN584" s="235">
        <f t="shared" ca="1" si="2115"/>
        <v>0</v>
      </c>
      <c r="CO584" s="235">
        <f t="shared" ca="1" si="2116"/>
        <v>0</v>
      </c>
      <c r="CP584" s="235">
        <f t="shared" ca="1" si="2117"/>
        <v>0</v>
      </c>
      <c r="CQ584" s="235">
        <f t="shared" ca="1" si="2118"/>
        <v>0</v>
      </c>
      <c r="CR584" s="235">
        <f t="shared" ca="1" si="2119"/>
        <v>4.9737991503207013E-14</v>
      </c>
      <c r="CS584" s="235">
        <f t="shared" ca="1" si="2120"/>
        <v>4.9737991503207013E-14</v>
      </c>
      <c r="CT584" s="235">
        <f t="shared" ca="1" si="2121"/>
        <v>5.6843418860808015E-14</v>
      </c>
      <c r="CU584" s="235">
        <f t="shared" ca="1" si="2122"/>
        <v>5.6843418860808015E-14</v>
      </c>
      <c r="CV584" s="235">
        <f t="shared" ca="1" si="2123"/>
        <v>6.0396132539608516E-14</v>
      </c>
      <c r="CW584" s="235">
        <f t="shared" ca="1" si="2124"/>
        <v>-4.6185277824406512E-14</v>
      </c>
      <c r="CX584" s="235">
        <f t="shared" ca="1" si="2125"/>
        <v>-1.5383250229206169E-12</v>
      </c>
      <c r="CY584" s="235">
        <f t="shared" ca="1" si="2126"/>
        <v>-1.5269563391484553E-11</v>
      </c>
      <c r="CZ584" s="235">
        <f t="shared" ca="1" si="2127"/>
        <v>-1.1388578968762886E-10</v>
      </c>
      <c r="DG584" s="236">
        <v>26.944741187026715</v>
      </c>
      <c r="DH584" s="492">
        <v>22.77424700404697</v>
      </c>
      <c r="DI584" s="236">
        <v>21.814995477818979</v>
      </c>
      <c r="DJ584" s="236">
        <v>19.164410453050294</v>
      </c>
      <c r="DK584" s="236">
        <v>20.207342884522376</v>
      </c>
      <c r="DL584" s="236">
        <v>19.989562347868148</v>
      </c>
      <c r="DM584" s="236">
        <v>19.952831069499865</v>
      </c>
      <c r="DN584" s="236">
        <v>19.910856861389174</v>
      </c>
      <c r="DO584" s="236">
        <v>19.920179444730042</v>
      </c>
      <c r="DP584" s="236">
        <v>19.97481121921135</v>
      </c>
      <c r="DQ584" s="258">
        <v>20.036796209519213</v>
      </c>
      <c r="DR584" s="258">
        <v>20.109781598534703</v>
      </c>
      <c r="DS584" s="258">
        <v>20.191952371018861</v>
      </c>
      <c r="DT584" s="258">
        <v>20.283168917083209</v>
      </c>
      <c r="DU584" s="258">
        <v>20.300642040210164</v>
      </c>
      <c r="DV584" s="258">
        <v>20.324887298862382</v>
      </c>
      <c r="DW584" s="258">
        <v>20.354958228967178</v>
      </c>
      <c r="DX584" s="258">
        <v>20.388991173451817</v>
      </c>
      <c r="DY584" s="258">
        <v>20.426887893672927</v>
      </c>
    </row>
    <row r="585" spans="2:129" hidden="1">
      <c r="B585" s="3" t="str">
        <f t="shared" si="2128"/>
        <v>Kapitaaloverdrachten om niet van het buitenland aan de overheid</v>
      </c>
      <c r="F585" s="16">
        <f t="shared" ref="F585:AK585" si="2209">F236/F$419*100</f>
        <v>0</v>
      </c>
      <c r="G585" s="16">
        <f t="shared" si="2209"/>
        <v>0</v>
      </c>
      <c r="H585" s="16">
        <f t="shared" si="2209"/>
        <v>0</v>
      </c>
      <c r="I585" s="16">
        <f t="shared" si="2209"/>
        <v>0</v>
      </c>
      <c r="J585" s="16">
        <f t="shared" si="2209"/>
        <v>0</v>
      </c>
      <c r="K585" s="16">
        <f t="shared" si="2209"/>
        <v>0</v>
      </c>
      <c r="L585" s="16">
        <f t="shared" si="2209"/>
        <v>0</v>
      </c>
      <c r="M585" s="16">
        <f t="shared" si="2209"/>
        <v>0</v>
      </c>
      <c r="N585" s="16">
        <f t="shared" si="2209"/>
        <v>0</v>
      </c>
      <c r="O585" s="16">
        <f t="shared" si="2209"/>
        <v>0</v>
      </c>
      <c r="P585" s="16">
        <f t="shared" si="2209"/>
        <v>0</v>
      </c>
      <c r="Q585" s="16">
        <f t="shared" si="2209"/>
        <v>0</v>
      </c>
      <c r="R585" s="16">
        <f t="shared" si="2209"/>
        <v>0</v>
      </c>
      <c r="S585" s="16">
        <f t="shared" si="2209"/>
        <v>0</v>
      </c>
      <c r="T585" s="16">
        <f t="shared" si="2209"/>
        <v>0</v>
      </c>
      <c r="U585" s="16">
        <f t="shared" si="2209"/>
        <v>0</v>
      </c>
      <c r="V585" s="16">
        <f t="shared" si="2209"/>
        <v>0</v>
      </c>
      <c r="W585" s="16">
        <f t="shared" si="2209"/>
        <v>0</v>
      </c>
      <c r="X585" s="16">
        <f t="shared" si="2209"/>
        <v>0</v>
      </c>
      <c r="Y585" s="16">
        <f t="shared" si="2209"/>
        <v>0</v>
      </c>
      <c r="Z585" s="16">
        <f t="shared" si="2209"/>
        <v>0</v>
      </c>
      <c r="AA585" s="16">
        <f t="shared" si="2209"/>
        <v>0</v>
      </c>
      <c r="AB585" s="16">
        <f t="shared" si="2209"/>
        <v>0</v>
      </c>
      <c r="AC585" s="16">
        <f t="shared" si="2209"/>
        <v>0</v>
      </c>
      <c r="AD585" s="16">
        <f t="shared" si="2209"/>
        <v>0</v>
      </c>
      <c r="AE585" s="16">
        <f t="shared" si="2209"/>
        <v>0</v>
      </c>
      <c r="AF585" s="16">
        <f t="shared" si="2209"/>
        <v>0</v>
      </c>
      <c r="AG585" s="16">
        <f t="shared" si="2209"/>
        <v>0</v>
      </c>
      <c r="AH585" s="16">
        <f t="shared" si="2209"/>
        <v>0</v>
      </c>
      <c r="AI585" s="16">
        <f t="shared" si="2209"/>
        <v>0</v>
      </c>
      <c r="AJ585" s="16">
        <f t="shared" si="2209"/>
        <v>0</v>
      </c>
      <c r="AK585" s="16">
        <f t="shared" si="2209"/>
        <v>0</v>
      </c>
      <c r="AL585" s="16">
        <f t="shared" ref="AL585:BQ585" si="2210">AL236/AL$419*100</f>
        <v>0</v>
      </c>
      <c r="AM585" s="16">
        <f t="shared" si="2210"/>
        <v>0</v>
      </c>
      <c r="AN585" s="16">
        <f t="shared" si="2210"/>
        <v>0</v>
      </c>
      <c r="AO585" s="16">
        <f t="shared" si="2210"/>
        <v>0</v>
      </c>
      <c r="AP585" s="16">
        <f t="shared" si="2210"/>
        <v>0</v>
      </c>
      <c r="AQ585" s="16">
        <f t="shared" si="2210"/>
        <v>0</v>
      </c>
      <c r="AR585" s="16">
        <f t="shared" si="2210"/>
        <v>0</v>
      </c>
      <c r="AS585" s="16">
        <f t="shared" si="2210"/>
        <v>0</v>
      </c>
      <c r="AT585" s="16">
        <f t="shared" si="2210"/>
        <v>0</v>
      </c>
      <c r="AU585" s="16">
        <f t="shared" si="2210"/>
        <v>0</v>
      </c>
      <c r="AV585" s="16">
        <f t="shared" si="2210"/>
        <v>4.7928632240149991</v>
      </c>
      <c r="AW585" s="16">
        <f t="shared" si="2210"/>
        <v>1.4866406436665889</v>
      </c>
      <c r="AX585" s="16">
        <f t="shared" si="2210"/>
        <v>0.55177913986455307</v>
      </c>
      <c r="AY585" s="16">
        <f t="shared" si="2210"/>
        <v>0.33733815495052993</v>
      </c>
      <c r="AZ585" s="16">
        <f t="shared" si="2210"/>
        <v>0.20605632780837316</v>
      </c>
      <c r="BA585" s="16">
        <f t="shared" si="2210"/>
        <v>0.15324689693526425</v>
      </c>
      <c r="BB585" s="16">
        <f t="shared" si="2210"/>
        <v>0.54173828891839593</v>
      </c>
      <c r="BC585" s="16">
        <f t="shared" si="2210"/>
        <v>0.65835351963576016</v>
      </c>
      <c r="BD585" s="16">
        <f t="shared" si="2210"/>
        <v>1.1768079159864737</v>
      </c>
      <c r="BE585" s="16">
        <f t="shared" ca="1" si="2210"/>
        <v>0.65391182488594701</v>
      </c>
      <c r="BF585" s="16">
        <f t="shared" ca="1" si="2210"/>
        <v>0.71325572148590799</v>
      </c>
      <c r="BG585" s="16">
        <f t="shared" ca="1" si="2210"/>
        <v>0.26387789149574997</v>
      </c>
      <c r="BH585" s="16">
        <f t="shared" ca="1" si="2210"/>
        <v>0.8882699159059716</v>
      </c>
      <c r="BI585" s="16">
        <f t="shared" ca="1" si="2210"/>
        <v>2.5392805357534218</v>
      </c>
      <c r="BJ585" s="16">
        <f t="shared" ca="1" si="2210"/>
        <v>1.3446980249128289</v>
      </c>
      <c r="BK585" s="16">
        <f t="shared" ca="1" si="2210"/>
        <v>0.70506100241850533</v>
      </c>
      <c r="BL585" s="16">
        <f t="shared" ca="1" si="2210"/>
        <v>-0.13459144399799317</v>
      </c>
      <c r="BM585" s="16">
        <f t="shared" ca="1" si="2210"/>
        <v>1.9473739998614095E-3</v>
      </c>
      <c r="BN585" s="16">
        <f t="shared" si="2210"/>
        <v>-9.7416927642253875E-3</v>
      </c>
      <c r="BO585" s="16">
        <f t="shared" ca="1" si="2210"/>
        <v>0</v>
      </c>
      <c r="BP585" s="16">
        <f t="shared" ca="1" si="2210"/>
        <v>1.1510303570320487E-10</v>
      </c>
      <c r="BQ585" s="16">
        <f t="shared" ca="1" si="2210"/>
        <v>1.2804279487644907E-10</v>
      </c>
      <c r="BR585" s="16">
        <f t="shared" ca="1" si="2104"/>
        <v>1.3682793261679754E-10</v>
      </c>
      <c r="BS585" s="16">
        <f t="shared" ca="1" si="2104"/>
        <v>1.4627476217553098E-10</v>
      </c>
      <c r="BT585" s="16">
        <f t="shared" ca="1" si="2105"/>
        <v>1.6093606582555276E-10</v>
      </c>
      <c r="BU585" s="16">
        <f t="shared" ca="1" si="2105"/>
        <v>1.7417601991299295E-10</v>
      </c>
      <c r="BV585" s="16">
        <f t="shared" ca="1" si="2106"/>
        <v>1.8681710296428888E-10</v>
      </c>
      <c r="BW585" s="16">
        <f t="shared" ref="BW585:BX585" ca="1" si="2211">BW236/BW$419*100</f>
        <v>1.9910918814608772E-10</v>
      </c>
      <c r="BX585" s="16">
        <f t="shared" ca="1" si="2211"/>
        <v>2.1095706153301962E-10</v>
      </c>
      <c r="BY585" s="16">
        <f t="shared" ref="BY585:CD585" ca="1" si="2212">BY236/BY$419*100</f>
        <v>2.2236885232887534E-10</v>
      </c>
      <c r="BZ585" s="16">
        <f t="shared" ca="1" si="2212"/>
        <v>2.3143228977835032E-10</v>
      </c>
      <c r="CA585" s="16">
        <f t="shared" ca="1" si="2212"/>
        <v>2.3968129477575384E-10</v>
      </c>
      <c r="CB585" s="16">
        <f t="shared" ca="1" si="2212"/>
        <v>2.4740847582269611E-10</v>
      </c>
      <c r="CC585" s="16">
        <f t="shared" ca="1" si="2212"/>
        <v>2.5452914209684918E-10</v>
      </c>
      <c r="CD585" s="16">
        <f t="shared" ca="1" si="2212"/>
        <v>2.6104469998013222E-10</v>
      </c>
      <c r="CE585" s="16"/>
      <c r="CG585" s="235">
        <f t="shared" ca="1" si="2109"/>
        <v>-0.19057714707676132</v>
      </c>
      <c r="CH585" s="235">
        <f t="shared" ca="1" si="2110"/>
        <v>-1.8902159585096334E-3</v>
      </c>
      <c r="CI585" s="235" t="e">
        <f ca="1">BM585-#REF!</f>
        <v>#REF!</v>
      </c>
      <c r="CJ585" s="235">
        <f t="shared" si="2111"/>
        <v>0</v>
      </c>
      <c r="CK585" s="235">
        <f t="shared" ca="1" si="2112"/>
        <v>0</v>
      </c>
      <c r="CL585" s="235">
        <f t="shared" ca="1" si="2113"/>
        <v>0</v>
      </c>
      <c r="CM585" s="235">
        <f t="shared" ca="1" si="2114"/>
        <v>0</v>
      </c>
      <c r="CN585" s="235">
        <f t="shared" ca="1" si="2115"/>
        <v>0</v>
      </c>
      <c r="CO585" s="235">
        <f t="shared" ca="1" si="2116"/>
        <v>0</v>
      </c>
      <c r="CP585" s="235">
        <f t="shared" ca="1" si="2117"/>
        <v>0</v>
      </c>
      <c r="CQ585" s="235">
        <f t="shared" ca="1" si="2118"/>
        <v>2.8434333556510326E-25</v>
      </c>
      <c r="CR585" s="235">
        <f t="shared" ca="1" si="2119"/>
        <v>4.1359030627651384E-25</v>
      </c>
      <c r="CS585" s="235">
        <f t="shared" ca="1" si="2120"/>
        <v>5.169878828456423E-25</v>
      </c>
      <c r="CT585" s="235">
        <f t="shared" ca="1" si="2121"/>
        <v>6.7208424769933499E-25</v>
      </c>
      <c r="CU585" s="235">
        <f t="shared" ca="1" si="2122"/>
        <v>5.4283727698792441E-25</v>
      </c>
      <c r="CV585" s="235">
        <f t="shared" ca="1" si="2123"/>
        <v>5.4283727698792441E-25</v>
      </c>
      <c r="CW585" s="235">
        <f t="shared" ca="1" si="2124"/>
        <v>0</v>
      </c>
      <c r="CX585" s="235">
        <f t="shared" ca="1" si="2125"/>
        <v>-1.0236360080343717E-23</v>
      </c>
      <c r="CY585" s="235">
        <f t="shared" ca="1" si="2126"/>
        <v>-1.1063540692896745E-22</v>
      </c>
      <c r="CZ585" s="235">
        <f t="shared" ca="1" si="2127"/>
        <v>-8.7474349777482677E-22</v>
      </c>
      <c r="DG585" s="236">
        <v>0.89563814949526666</v>
      </c>
      <c r="DH585" s="492">
        <v>-0.13270122803948353</v>
      </c>
      <c r="DI585" s="236">
        <v>-9.7416927642253875E-3</v>
      </c>
      <c r="DJ585" s="236">
        <v>0</v>
      </c>
      <c r="DK585" s="236">
        <v>1.1510303570320486E-10</v>
      </c>
      <c r="DL585" s="236">
        <v>1.2804279487644904E-10</v>
      </c>
      <c r="DM585" s="236">
        <v>1.3682793261679746E-10</v>
      </c>
      <c r="DN585" s="236">
        <v>1.4627476217553096E-10</v>
      </c>
      <c r="DO585" s="236">
        <v>1.609360658255526E-10</v>
      </c>
      <c r="DP585" s="236">
        <v>1.7417601991299266E-10</v>
      </c>
      <c r="DQ585" s="258">
        <v>1.8681710296428846E-10</v>
      </c>
      <c r="DR585" s="258">
        <v>1.991091881460872E-10</v>
      </c>
      <c r="DS585" s="258">
        <v>2.1095706153301894E-10</v>
      </c>
      <c r="DT585" s="258">
        <v>2.223688523288748E-10</v>
      </c>
      <c r="DU585" s="258">
        <v>2.3143228977834978E-10</v>
      </c>
      <c r="DV585" s="258">
        <v>2.3968129477575405E-10</v>
      </c>
      <c r="DW585" s="258">
        <v>2.4740847582270635E-10</v>
      </c>
      <c r="DX585" s="258">
        <v>2.5452914209695982E-10</v>
      </c>
      <c r="DY585" s="258">
        <v>2.6104469998100696E-10</v>
      </c>
    </row>
    <row r="586" spans="2:129" hidden="1">
      <c r="B586" s="3" t="str">
        <f t="shared" si="2128"/>
        <v>Schenkingsmiddelen cf.FIN</v>
      </c>
      <c r="F586" s="16">
        <f t="shared" ref="F586:AK586" si="2213">F237/F$419*100</f>
        <v>0</v>
      </c>
      <c r="G586" s="16">
        <f t="shared" si="2213"/>
        <v>0</v>
      </c>
      <c r="H586" s="16">
        <f t="shared" si="2213"/>
        <v>0</v>
      </c>
      <c r="I586" s="16">
        <f t="shared" si="2213"/>
        <v>0</v>
      </c>
      <c r="J586" s="16">
        <f t="shared" si="2213"/>
        <v>0</v>
      </c>
      <c r="K586" s="16">
        <f t="shared" si="2213"/>
        <v>0</v>
      </c>
      <c r="L586" s="16">
        <f t="shared" si="2213"/>
        <v>0</v>
      </c>
      <c r="M586" s="16">
        <f t="shared" si="2213"/>
        <v>0</v>
      </c>
      <c r="N586" s="16">
        <f t="shared" si="2213"/>
        <v>0</v>
      </c>
      <c r="O586" s="16">
        <f t="shared" si="2213"/>
        <v>0</v>
      </c>
      <c r="P586" s="16">
        <f t="shared" si="2213"/>
        <v>0</v>
      </c>
      <c r="Q586" s="16">
        <f t="shared" si="2213"/>
        <v>0</v>
      </c>
      <c r="R586" s="16">
        <f t="shared" si="2213"/>
        <v>0</v>
      </c>
      <c r="S586" s="16">
        <f t="shared" si="2213"/>
        <v>0</v>
      </c>
      <c r="T586" s="16">
        <f t="shared" si="2213"/>
        <v>0</v>
      </c>
      <c r="U586" s="16">
        <f t="shared" si="2213"/>
        <v>0</v>
      </c>
      <c r="V586" s="16">
        <f t="shared" si="2213"/>
        <v>0</v>
      </c>
      <c r="W586" s="16">
        <f t="shared" si="2213"/>
        <v>0</v>
      </c>
      <c r="X586" s="16">
        <f t="shared" si="2213"/>
        <v>0</v>
      </c>
      <c r="Y586" s="16">
        <f t="shared" si="2213"/>
        <v>0</v>
      </c>
      <c r="Z586" s="16">
        <f t="shared" si="2213"/>
        <v>0</v>
      </c>
      <c r="AA586" s="16">
        <f t="shared" si="2213"/>
        <v>0</v>
      </c>
      <c r="AB586" s="16">
        <f t="shared" si="2213"/>
        <v>0</v>
      </c>
      <c r="AC586" s="16">
        <f t="shared" si="2213"/>
        <v>0</v>
      </c>
      <c r="AD586" s="16">
        <f t="shared" si="2213"/>
        <v>0</v>
      </c>
      <c r="AE586" s="16">
        <f t="shared" si="2213"/>
        <v>0</v>
      </c>
      <c r="AF586" s="16">
        <f t="shared" si="2213"/>
        <v>0</v>
      </c>
      <c r="AG586" s="16">
        <f t="shared" si="2213"/>
        <v>0</v>
      </c>
      <c r="AH586" s="16">
        <f t="shared" si="2213"/>
        <v>0</v>
      </c>
      <c r="AI586" s="16">
        <f t="shared" si="2213"/>
        <v>0</v>
      </c>
      <c r="AJ586" s="16">
        <f t="shared" si="2213"/>
        <v>0</v>
      </c>
      <c r="AK586" s="16">
        <f t="shared" si="2213"/>
        <v>0</v>
      </c>
      <c r="AL586" s="16">
        <f t="shared" ref="AL586:BQ586" si="2214">AL237/AL$419*100</f>
        <v>0</v>
      </c>
      <c r="AM586" s="16">
        <f t="shared" si="2214"/>
        <v>0</v>
      </c>
      <c r="AN586" s="16">
        <f t="shared" si="2214"/>
        <v>0</v>
      </c>
      <c r="AO586" s="16">
        <f t="shared" si="2214"/>
        <v>0</v>
      </c>
      <c r="AP586" s="16">
        <f t="shared" si="2214"/>
        <v>0</v>
      </c>
      <c r="AQ586" s="16">
        <f t="shared" si="2214"/>
        <v>0</v>
      </c>
      <c r="AR586" s="16">
        <f t="shared" si="2214"/>
        <v>0</v>
      </c>
      <c r="AS586" s="16">
        <f t="shared" si="2214"/>
        <v>0</v>
      </c>
      <c r="AT586" s="16">
        <f t="shared" si="2214"/>
        <v>332.69933691918874</v>
      </c>
      <c r="AU586" s="16">
        <f t="shared" si="2214"/>
        <v>0</v>
      </c>
      <c r="AV586" s="16">
        <f t="shared" si="2214"/>
        <v>6.2659773870499924</v>
      </c>
      <c r="AW586" s="16">
        <f t="shared" si="2214"/>
        <v>2.3483321811342948</v>
      </c>
      <c r="AX586" s="16">
        <f t="shared" si="2214"/>
        <v>2.8976765132886988</v>
      </c>
      <c r="AY586" s="16">
        <f t="shared" si="2214"/>
        <v>1.3452081796127275</v>
      </c>
      <c r="AZ586" s="16">
        <f t="shared" si="2214"/>
        <v>3.5547404238176656</v>
      </c>
      <c r="BA586" s="16">
        <f t="shared" si="2214"/>
        <v>1.2849713031982986</v>
      </c>
      <c r="BB586" s="16">
        <f t="shared" si="2214"/>
        <v>1.18370560068186</v>
      </c>
      <c r="BC586" s="16">
        <f t="shared" si="2214"/>
        <v>1.2885866535649932</v>
      </c>
      <c r="BD586" s="16">
        <f t="shared" si="2214"/>
        <v>1.3247176896280317</v>
      </c>
      <c r="BE586" s="16">
        <f t="shared" ca="1" si="2214"/>
        <v>1.4213544642533553</v>
      </c>
      <c r="BF586" s="16">
        <f t="shared" ca="1" si="2214"/>
        <v>2.1524239262501115</v>
      </c>
      <c r="BG586" s="16">
        <f t="shared" ca="1" si="2214"/>
        <v>5.0225156257618284</v>
      </c>
      <c r="BH586" s="16">
        <f t="shared" ca="1" si="2214"/>
        <v>2.4709414644026051</v>
      </c>
      <c r="BI586" s="16">
        <f t="shared" ca="1" si="2214"/>
        <v>3.6094756751528965</v>
      </c>
      <c r="BJ586" s="16">
        <f t="shared" ca="1" si="2214"/>
        <v>1.2195898629185973</v>
      </c>
      <c r="BK586" s="16">
        <f t="shared" ca="1" si="2214"/>
        <v>0.71528826091512543</v>
      </c>
      <c r="BL586" s="16">
        <f t="shared" ca="1" si="2214"/>
        <v>0</v>
      </c>
      <c r="BM586" s="16">
        <f t="shared" ca="1" si="2214"/>
        <v>5.8130567160042065E-10</v>
      </c>
      <c r="BN586" s="16">
        <f t="shared" si="2214"/>
        <v>5.8159359786420215E-10</v>
      </c>
      <c r="BO586" s="16">
        <f t="shared" ca="1" si="2214"/>
        <v>5.7280719956847884E-10</v>
      </c>
      <c r="BP586" s="16">
        <f t="shared" ca="1" si="2214"/>
        <v>5.7097849897552385E-10</v>
      </c>
      <c r="BQ586" s="16">
        <f t="shared" ca="1" si="2214"/>
        <v>4.9618115563488357E-10</v>
      </c>
      <c r="BR586" s="16">
        <f t="shared" ca="1" si="2104"/>
        <v>4.7172607026367277E-10</v>
      </c>
      <c r="BS586" s="16">
        <f t="shared" ca="1" si="2104"/>
        <v>4.6890308207285875E-10</v>
      </c>
      <c r="BT586" s="16">
        <f t="shared" ca="1" si="2105"/>
        <v>4.7394772142873404E-10</v>
      </c>
      <c r="BU586" s="16">
        <f t="shared" ca="1" si="2105"/>
        <v>4.7521061274091154E-10</v>
      </c>
      <c r="BV586" s="16">
        <f t="shared" ca="1" si="2106"/>
        <v>4.7601059018515284E-10</v>
      </c>
      <c r="BW586" s="16">
        <f t="shared" ref="BW586:BX586" ca="1" si="2215">BW237/BW$419*100</f>
        <v>4.7701062120908138E-10</v>
      </c>
      <c r="BX586" s="16">
        <f t="shared" ca="1" si="2215"/>
        <v>4.7803960048410023E-10</v>
      </c>
      <c r="BY586" s="16">
        <f t="shared" ref="BY586:CD586" ca="1" si="2216">BY237/BY$419*100</f>
        <v>4.7908132962474806E-10</v>
      </c>
      <c r="BZ586" s="16">
        <f t="shared" ca="1" si="2216"/>
        <v>4.7615344474578061E-10</v>
      </c>
      <c r="CA586" s="16">
        <f t="shared" ca="1" si="2216"/>
        <v>4.727007219985447E-10</v>
      </c>
      <c r="CB586" s="16">
        <f t="shared" ca="1" si="2216"/>
        <v>4.6927751009435476E-10</v>
      </c>
      <c r="CC586" s="16">
        <f t="shared" ca="1" si="2216"/>
        <v>4.6571060924246651E-10</v>
      </c>
      <c r="CD586" s="16">
        <f t="shared" ca="1" si="2216"/>
        <v>4.619716748859389E-10</v>
      </c>
      <c r="CE586" s="16"/>
      <c r="CG586" s="235">
        <f t="shared" ca="1" si="2109"/>
        <v>-0.19334156283655624</v>
      </c>
      <c r="CH586" s="235">
        <f t="shared" ca="1" si="2110"/>
        <v>0</v>
      </c>
      <c r="CI586" s="235" t="e">
        <f ca="1">BM586-#REF!</f>
        <v>#REF!</v>
      </c>
      <c r="CJ586" s="235">
        <f t="shared" si="2111"/>
        <v>0</v>
      </c>
      <c r="CK586" s="235">
        <f t="shared" ca="1" si="2112"/>
        <v>0</v>
      </c>
      <c r="CL586" s="235">
        <f t="shared" ca="1" si="2113"/>
        <v>0</v>
      </c>
      <c r="CM586" s="235">
        <f t="shared" ca="1" si="2114"/>
        <v>0</v>
      </c>
      <c r="CN586" s="235">
        <f t="shared" ca="1" si="2115"/>
        <v>0</v>
      </c>
      <c r="CO586" s="235">
        <f t="shared" ca="1" si="2116"/>
        <v>0</v>
      </c>
      <c r="CP586" s="235">
        <f t="shared" ca="1" si="2117"/>
        <v>0</v>
      </c>
      <c r="CQ586" s="235">
        <f t="shared" ca="1" si="2118"/>
        <v>0</v>
      </c>
      <c r="CR586" s="235">
        <f t="shared" ca="1" si="2119"/>
        <v>9.3057818912215613E-25</v>
      </c>
      <c r="CS586" s="235">
        <f t="shared" ca="1" si="2120"/>
        <v>9.3057818912215613E-25</v>
      </c>
      <c r="CT586" s="235">
        <f t="shared" ca="1" si="2121"/>
        <v>1.0339757656912846E-24</v>
      </c>
      <c r="CU586" s="235">
        <f t="shared" ca="1" si="2122"/>
        <v>1.0339757656912846E-24</v>
      </c>
      <c r="CV586" s="235">
        <f t="shared" ca="1" si="2123"/>
        <v>1.0339757656912846E-24</v>
      </c>
      <c r="CW586" s="235">
        <f t="shared" ca="1" si="2124"/>
        <v>0</v>
      </c>
      <c r="CX586" s="235">
        <f t="shared" ca="1" si="2125"/>
        <v>-1.9542141971565279E-23</v>
      </c>
      <c r="CY586" s="235">
        <f t="shared" ca="1" si="2126"/>
        <v>-1.9562821486879105E-22</v>
      </c>
      <c r="CZ586" s="235">
        <f t="shared" ca="1" si="2127"/>
        <v>-1.4301952791041848E-21</v>
      </c>
      <c r="DG586" s="236">
        <v>0.90862982375168166</v>
      </c>
      <c r="DH586" s="492">
        <v>0</v>
      </c>
      <c r="DI586" s="236">
        <v>5.8159359786420215E-10</v>
      </c>
      <c r="DJ586" s="236">
        <v>5.7280719956847853E-10</v>
      </c>
      <c r="DK586" s="236">
        <v>5.7097849897552375E-10</v>
      </c>
      <c r="DL586" s="236">
        <v>4.9618115563488347E-10</v>
      </c>
      <c r="DM586" s="236">
        <v>4.7172607026367256E-10</v>
      </c>
      <c r="DN586" s="236">
        <v>4.6890308207285875E-10</v>
      </c>
      <c r="DO586" s="236">
        <v>4.7394772142873353E-10</v>
      </c>
      <c r="DP586" s="236">
        <v>4.7521061274091092E-10</v>
      </c>
      <c r="DQ586" s="258">
        <v>4.7601059018515191E-10</v>
      </c>
      <c r="DR586" s="258">
        <v>4.7701062120908045E-10</v>
      </c>
      <c r="DS586" s="258">
        <v>4.7803960048409919E-10</v>
      </c>
      <c r="DT586" s="258">
        <v>4.7908132962474703E-10</v>
      </c>
      <c r="DU586" s="258">
        <v>4.7615344474577958E-10</v>
      </c>
      <c r="DV586" s="258">
        <v>4.7270072199854512E-10</v>
      </c>
      <c r="DW586" s="258">
        <v>4.6927751009437431E-10</v>
      </c>
      <c r="DX586" s="258">
        <v>4.6571060924266214E-10</v>
      </c>
      <c r="DY586" s="258">
        <v>4.619716748873691E-10</v>
      </c>
    </row>
    <row r="587" spans="2:129" hidden="1">
      <c r="B587" s="3" t="str">
        <f t="shared" si="2128"/>
        <v>Inkomensoverdrachten om niet van het buitenland aan de  overheid</v>
      </c>
      <c r="F587" s="16">
        <f t="shared" ref="F587:AK587" si="2217">F238/F$419*100</f>
        <v>0</v>
      </c>
      <c r="G587" s="16">
        <f t="shared" si="2217"/>
        <v>0</v>
      </c>
      <c r="H587" s="16">
        <f t="shared" si="2217"/>
        <v>0</v>
      </c>
      <c r="I587" s="16">
        <f t="shared" si="2217"/>
        <v>0</v>
      </c>
      <c r="J587" s="16">
        <f t="shared" si="2217"/>
        <v>0</v>
      </c>
      <c r="K587" s="16">
        <f t="shared" si="2217"/>
        <v>0</v>
      </c>
      <c r="L587" s="16">
        <f t="shared" si="2217"/>
        <v>0</v>
      </c>
      <c r="M587" s="16">
        <f t="shared" si="2217"/>
        <v>0</v>
      </c>
      <c r="N587" s="16">
        <f t="shared" si="2217"/>
        <v>0</v>
      </c>
      <c r="O587" s="16">
        <f t="shared" si="2217"/>
        <v>0</v>
      </c>
      <c r="P587" s="16">
        <f t="shared" si="2217"/>
        <v>0</v>
      </c>
      <c r="Q587" s="16">
        <f t="shared" si="2217"/>
        <v>0</v>
      </c>
      <c r="R587" s="16">
        <f t="shared" si="2217"/>
        <v>0</v>
      </c>
      <c r="S587" s="16">
        <f t="shared" si="2217"/>
        <v>0</v>
      </c>
      <c r="T587" s="16">
        <f t="shared" si="2217"/>
        <v>0</v>
      </c>
      <c r="U587" s="16">
        <f t="shared" si="2217"/>
        <v>0</v>
      </c>
      <c r="V587" s="16">
        <f t="shared" si="2217"/>
        <v>0</v>
      </c>
      <c r="W587" s="16">
        <f t="shared" si="2217"/>
        <v>0</v>
      </c>
      <c r="X587" s="16">
        <f t="shared" si="2217"/>
        <v>0</v>
      </c>
      <c r="Y587" s="16">
        <f t="shared" si="2217"/>
        <v>0</v>
      </c>
      <c r="Z587" s="16">
        <f t="shared" si="2217"/>
        <v>0</v>
      </c>
      <c r="AA587" s="16">
        <f t="shared" si="2217"/>
        <v>0</v>
      </c>
      <c r="AB587" s="16">
        <f t="shared" si="2217"/>
        <v>0</v>
      </c>
      <c r="AC587" s="16">
        <f t="shared" si="2217"/>
        <v>0</v>
      </c>
      <c r="AD587" s="16">
        <f t="shared" si="2217"/>
        <v>0</v>
      </c>
      <c r="AE587" s="16">
        <f t="shared" si="2217"/>
        <v>0</v>
      </c>
      <c r="AF587" s="16">
        <f t="shared" si="2217"/>
        <v>0</v>
      </c>
      <c r="AG587" s="16">
        <f t="shared" si="2217"/>
        <v>0</v>
      </c>
      <c r="AH587" s="16">
        <f t="shared" si="2217"/>
        <v>0</v>
      </c>
      <c r="AI587" s="16">
        <f t="shared" si="2217"/>
        <v>0</v>
      </c>
      <c r="AJ587" s="16">
        <f t="shared" si="2217"/>
        <v>0</v>
      </c>
      <c r="AK587" s="16">
        <f t="shared" si="2217"/>
        <v>0</v>
      </c>
      <c r="AL587" s="16">
        <f t="shared" ref="AL587:BQ587" si="2218">AL238/AL$419*100</f>
        <v>0</v>
      </c>
      <c r="AM587" s="16">
        <f t="shared" si="2218"/>
        <v>0</v>
      </c>
      <c r="AN587" s="16">
        <f t="shared" si="2218"/>
        <v>0</v>
      </c>
      <c r="AO587" s="16">
        <f t="shared" si="2218"/>
        <v>0</v>
      </c>
      <c r="AP587" s="16">
        <f t="shared" si="2218"/>
        <v>0</v>
      </c>
      <c r="AQ587" s="16">
        <f t="shared" si="2218"/>
        <v>0</v>
      </c>
      <c r="AR587" s="16">
        <f t="shared" si="2218"/>
        <v>0</v>
      </c>
      <c r="AS587" s="16">
        <f t="shared" si="2218"/>
        <v>0</v>
      </c>
      <c r="AT587" s="16">
        <f t="shared" si="2218"/>
        <v>0</v>
      </c>
      <c r="AU587" s="16">
        <f t="shared" si="2218"/>
        <v>0</v>
      </c>
      <c r="AV587" s="16">
        <f t="shared" si="2218"/>
        <v>0</v>
      </c>
      <c r="AW587" s="16">
        <f t="shared" si="2218"/>
        <v>1.0182470162099923E-2</v>
      </c>
      <c r="AX587" s="16">
        <f t="shared" si="2218"/>
        <v>0</v>
      </c>
      <c r="AY587" s="16">
        <f t="shared" si="2218"/>
        <v>1.9276465997173139E-2</v>
      </c>
      <c r="AZ587" s="16">
        <f t="shared" si="2218"/>
        <v>0</v>
      </c>
      <c r="BA587" s="16">
        <f t="shared" si="2218"/>
        <v>2.0432919591368566E-2</v>
      </c>
      <c r="BB587" s="16">
        <f t="shared" si="2218"/>
        <v>0</v>
      </c>
      <c r="BC587" s="16">
        <f t="shared" si="2218"/>
        <v>0.27065644696136809</v>
      </c>
      <c r="BD587" s="16">
        <f t="shared" si="2218"/>
        <v>0.44208128060867535</v>
      </c>
      <c r="BE587" s="16">
        <f t="shared" ca="1" si="2218"/>
        <v>6.7646050850270367E-2</v>
      </c>
      <c r="BF587" s="16">
        <f t="shared" ca="1" si="2218"/>
        <v>3.6956254999269845E-3</v>
      </c>
      <c r="BG587" s="16">
        <f t="shared" ca="1" si="2218"/>
        <v>0</v>
      </c>
      <c r="BH587" s="16">
        <f t="shared" ca="1" si="2218"/>
        <v>0</v>
      </c>
      <c r="BI587" s="16">
        <f t="shared" ca="1" si="2218"/>
        <v>0</v>
      </c>
      <c r="BJ587" s="16">
        <f t="shared" ca="1" si="2218"/>
        <v>0</v>
      </c>
      <c r="BK587" s="16">
        <f t="shared" ca="1" si="2218"/>
        <v>0</v>
      </c>
      <c r="BL587" s="16">
        <f t="shared" ca="1" si="2218"/>
        <v>0</v>
      </c>
      <c r="BM587" s="16">
        <f t="shared" ca="1" si="2218"/>
        <v>0</v>
      </c>
      <c r="BN587" s="16">
        <f t="shared" si="2218"/>
        <v>0</v>
      </c>
      <c r="BO587" s="16">
        <f t="shared" ca="1" si="2218"/>
        <v>0</v>
      </c>
      <c r="BP587" s="16">
        <f t="shared" ca="1" si="2218"/>
        <v>0</v>
      </c>
      <c r="BQ587" s="16">
        <f t="shared" ca="1" si="2218"/>
        <v>0</v>
      </c>
      <c r="BR587" s="16">
        <f t="shared" ca="1" si="2104"/>
        <v>0</v>
      </c>
      <c r="BS587" s="16">
        <f t="shared" ca="1" si="2104"/>
        <v>0</v>
      </c>
      <c r="BT587" s="16">
        <f t="shared" ca="1" si="2105"/>
        <v>0</v>
      </c>
      <c r="BU587" s="16">
        <f t="shared" ca="1" si="2105"/>
        <v>0</v>
      </c>
      <c r="BV587" s="16">
        <f t="shared" ca="1" si="2106"/>
        <v>0</v>
      </c>
      <c r="BW587" s="16">
        <f t="shared" ref="BW587:BX587" ca="1" si="2219">BW238/BW$419*100</f>
        <v>0</v>
      </c>
      <c r="BX587" s="16">
        <f t="shared" ca="1" si="2219"/>
        <v>0</v>
      </c>
      <c r="BY587" s="16">
        <f t="shared" ref="BY587:CD587" ca="1" si="2220">BY238/BY$419*100</f>
        <v>0</v>
      </c>
      <c r="BZ587" s="16">
        <f t="shared" ca="1" si="2220"/>
        <v>0</v>
      </c>
      <c r="CA587" s="16">
        <f t="shared" ca="1" si="2220"/>
        <v>0</v>
      </c>
      <c r="CB587" s="16">
        <f t="shared" ca="1" si="2220"/>
        <v>0</v>
      </c>
      <c r="CC587" s="16">
        <f t="shared" ca="1" si="2220"/>
        <v>0</v>
      </c>
      <c r="CD587" s="16">
        <f t="shared" ca="1" si="2220"/>
        <v>0</v>
      </c>
      <c r="CE587" s="16"/>
      <c r="CG587" s="235">
        <f t="shared" ca="1" si="2109"/>
        <v>0</v>
      </c>
      <c r="CH587" s="235">
        <f t="shared" ca="1" si="2110"/>
        <v>0</v>
      </c>
      <c r="CI587" s="235" t="e">
        <f ca="1">BM587-#REF!</f>
        <v>#REF!</v>
      </c>
      <c r="CJ587" s="235">
        <f t="shared" si="2111"/>
        <v>0</v>
      </c>
      <c r="CK587" s="235">
        <f t="shared" ca="1" si="2112"/>
        <v>0</v>
      </c>
      <c r="CL587" s="235">
        <f t="shared" ca="1" si="2113"/>
        <v>0</v>
      </c>
      <c r="CM587" s="235">
        <f t="shared" ca="1" si="2114"/>
        <v>0</v>
      </c>
      <c r="CN587" s="235">
        <f t="shared" ca="1" si="2115"/>
        <v>0</v>
      </c>
      <c r="CO587" s="235">
        <f t="shared" ca="1" si="2116"/>
        <v>0</v>
      </c>
      <c r="CP587" s="235">
        <f t="shared" ca="1" si="2117"/>
        <v>0</v>
      </c>
      <c r="CQ587" s="235">
        <f t="shared" ca="1" si="2118"/>
        <v>0</v>
      </c>
      <c r="CR587" s="235">
        <f t="shared" ca="1" si="2119"/>
        <v>0</v>
      </c>
      <c r="CS587" s="235">
        <f t="shared" ca="1" si="2120"/>
        <v>0</v>
      </c>
      <c r="CT587" s="235">
        <f t="shared" ca="1" si="2121"/>
        <v>0</v>
      </c>
      <c r="CU587" s="235">
        <f t="shared" ca="1" si="2122"/>
        <v>0</v>
      </c>
      <c r="CV587" s="235">
        <f t="shared" ca="1" si="2123"/>
        <v>0</v>
      </c>
      <c r="CW587" s="235">
        <f t="shared" ca="1" si="2124"/>
        <v>0</v>
      </c>
      <c r="CX587" s="235">
        <f t="shared" ca="1" si="2125"/>
        <v>0</v>
      </c>
      <c r="CY587" s="235">
        <f t="shared" ca="1" si="2126"/>
        <v>0</v>
      </c>
      <c r="CZ587" s="235">
        <f t="shared" ca="1" si="2127"/>
        <v>0</v>
      </c>
      <c r="DG587" s="236">
        <v>0</v>
      </c>
      <c r="DH587" s="492">
        <v>0</v>
      </c>
      <c r="DI587" s="236">
        <v>0</v>
      </c>
      <c r="DJ587" s="236">
        <v>0</v>
      </c>
      <c r="DK587" s="236">
        <v>0</v>
      </c>
      <c r="DL587" s="236">
        <v>0</v>
      </c>
      <c r="DM587" s="236">
        <v>0</v>
      </c>
      <c r="DN587" s="236">
        <v>0</v>
      </c>
      <c r="DO587" s="236">
        <v>0</v>
      </c>
      <c r="DP587" s="236">
        <v>0</v>
      </c>
      <c r="DQ587" s="258">
        <v>0</v>
      </c>
      <c r="DR587" s="258">
        <v>0</v>
      </c>
      <c r="DS587" s="258">
        <v>0</v>
      </c>
      <c r="DT587" s="258">
        <v>0</v>
      </c>
      <c r="DU587" s="258">
        <v>0</v>
      </c>
      <c r="DV587" s="258">
        <v>0</v>
      </c>
      <c r="DW587" s="258">
        <v>0</v>
      </c>
      <c r="DX587" s="258">
        <v>0</v>
      </c>
      <c r="DY587" s="258">
        <v>0</v>
      </c>
    </row>
    <row r="588" spans="2:129" hidden="1">
      <c r="B588" s="3" t="str">
        <f t="shared" si="2128"/>
        <v>Uitgaven:</v>
      </c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G588" s="235">
        <f t="shared" si="2109"/>
        <v>0</v>
      </c>
      <c r="CH588" s="235">
        <f t="shared" si="2110"/>
        <v>0</v>
      </c>
      <c r="CI588" s="235" t="e">
        <f>BM588-#REF!</f>
        <v>#REF!</v>
      </c>
      <c r="CJ588" s="235">
        <f t="shared" si="2111"/>
        <v>0</v>
      </c>
      <c r="CK588" s="235">
        <f t="shared" si="2112"/>
        <v>0</v>
      </c>
      <c r="CL588" s="235">
        <f t="shared" si="2113"/>
        <v>0</v>
      </c>
      <c r="CM588" s="235">
        <f t="shared" si="2114"/>
        <v>0</v>
      </c>
      <c r="CN588" s="235">
        <f t="shared" si="2115"/>
        <v>0</v>
      </c>
      <c r="CO588" s="235">
        <f t="shared" si="2116"/>
        <v>0</v>
      </c>
      <c r="CP588" s="235">
        <f t="shared" si="2117"/>
        <v>0</v>
      </c>
      <c r="CQ588" s="235">
        <f t="shared" si="2118"/>
        <v>0</v>
      </c>
      <c r="CR588" s="235">
        <f t="shared" si="2119"/>
        <v>0</v>
      </c>
      <c r="CS588" s="235">
        <f t="shared" si="2120"/>
        <v>0</v>
      </c>
      <c r="CT588" s="235">
        <f t="shared" si="2121"/>
        <v>0</v>
      </c>
      <c r="CU588" s="235">
        <f t="shared" si="2122"/>
        <v>0</v>
      </c>
      <c r="CV588" s="235">
        <f t="shared" si="2123"/>
        <v>0</v>
      </c>
      <c r="CW588" s="235">
        <f t="shared" si="2124"/>
        <v>0</v>
      </c>
      <c r="CX588" s="235">
        <f t="shared" si="2125"/>
        <v>0</v>
      </c>
      <c r="CY588" s="235">
        <f t="shared" si="2126"/>
        <v>0</v>
      </c>
      <c r="CZ588" s="235">
        <f t="shared" si="2127"/>
        <v>0</v>
      </c>
    </row>
    <row r="589" spans="2:129" hidden="1">
      <c r="B589" s="3" t="str">
        <f t="shared" si="2128"/>
        <v>Totaal uitgaven, incl uit schenkingen en leningen minus aflossingen</v>
      </c>
      <c r="F589" s="16">
        <f t="shared" ref="F589:BQ589" si="2221">F240/F$419*100</f>
        <v>14.280743719338343</v>
      </c>
      <c r="G589" s="16">
        <f t="shared" si="2221"/>
        <v>15.636991793158012</v>
      </c>
      <c r="H589" s="16">
        <f t="shared" si="2221"/>
        <v>16.080777516660127</v>
      </c>
      <c r="I589" s="16">
        <f t="shared" si="2221"/>
        <v>17.701964386171721</v>
      </c>
      <c r="J589" s="16">
        <f t="shared" si="2221"/>
        <v>18.380197958903448</v>
      </c>
      <c r="K589" s="16">
        <f t="shared" si="2221"/>
        <v>18.620295128022839</v>
      </c>
      <c r="L589" s="16">
        <f t="shared" si="2221"/>
        <v>20.944356162023059</v>
      </c>
      <c r="M589" s="16">
        <f t="shared" si="2221"/>
        <v>22.95868886218355</v>
      </c>
      <c r="N589" s="16">
        <f t="shared" si="2221"/>
        <v>22.165288530115969</v>
      </c>
      <c r="O589" s="16">
        <f t="shared" si="2221"/>
        <v>20.745622882818356</v>
      </c>
      <c r="P589" s="16">
        <f t="shared" si="2221"/>
        <v>20.729548426484818</v>
      </c>
      <c r="Q589" s="16">
        <f t="shared" si="2221"/>
        <v>20.107239590084994</v>
      </c>
      <c r="R589" s="16">
        <f t="shared" si="2221"/>
        <v>18.352890104956789</v>
      </c>
      <c r="S589" s="16">
        <f t="shared" si="2221"/>
        <v>16.322671480562015</v>
      </c>
      <c r="T589" s="16">
        <f t="shared" si="2221"/>
        <v>15.463829734767085</v>
      </c>
      <c r="U589" s="16">
        <f t="shared" si="2221"/>
        <v>17.458379266382398</v>
      </c>
      <c r="V589" s="16">
        <f t="shared" si="2221"/>
        <v>19.320353564634942</v>
      </c>
      <c r="W589" s="16">
        <f t="shared" si="2221"/>
        <v>17.61062106743594</v>
      </c>
      <c r="X589" s="16">
        <f t="shared" si="2221"/>
        <v>20.520555291631545</v>
      </c>
      <c r="Y589" s="16">
        <f t="shared" si="2221"/>
        <v>20.243009578273288</v>
      </c>
      <c r="Z589" s="16">
        <f t="shared" si="2221"/>
        <v>19.513655287301557</v>
      </c>
      <c r="AA589" s="16">
        <f t="shared" si="2221"/>
        <v>20.976508735029572</v>
      </c>
      <c r="AB589" s="16">
        <f t="shared" si="2221"/>
        <v>24.065242732051352</v>
      </c>
      <c r="AC589" s="16">
        <f t="shared" si="2221"/>
        <v>22.879883923060994</v>
      </c>
      <c r="AD589" s="16">
        <f t="shared" si="2221"/>
        <v>21.202384057269526</v>
      </c>
      <c r="AE589" s="16">
        <f t="shared" si="2221"/>
        <v>19.942176416847268</v>
      </c>
      <c r="AF589" s="16">
        <f t="shared" si="2221"/>
        <v>19.776464554265026</v>
      </c>
      <c r="AG589" s="16">
        <f t="shared" si="2221"/>
        <v>21.537821884301934</v>
      </c>
      <c r="AH589" s="16">
        <f t="shared" si="2221"/>
        <v>25.327745957446723</v>
      </c>
      <c r="AI589" s="16">
        <f t="shared" si="2221"/>
        <v>26.762530156101377</v>
      </c>
      <c r="AJ589" s="16">
        <f t="shared" si="2221"/>
        <v>26.704289808509863</v>
      </c>
      <c r="AK589" s="16">
        <f t="shared" si="2221"/>
        <v>25.810782317012816</v>
      </c>
      <c r="AL589" s="16">
        <f t="shared" si="2221"/>
        <v>27.439241221053219</v>
      </c>
      <c r="AM589" s="16">
        <f t="shared" si="2221"/>
        <v>27.564904794898315</v>
      </c>
      <c r="AN589" s="16">
        <f t="shared" si="2221"/>
        <v>25.270018507710841</v>
      </c>
      <c r="AO589" s="16">
        <f t="shared" si="2221"/>
        <v>24.137006783671463</v>
      </c>
      <c r="AP589" s="16">
        <f t="shared" si="2221"/>
        <v>17.926074559651887</v>
      </c>
      <c r="AQ589" s="16">
        <f t="shared" si="2221"/>
        <v>18.985887714034796</v>
      </c>
      <c r="AR589" s="16">
        <f t="shared" si="2221"/>
        <v>17.958791614736434</v>
      </c>
      <c r="AS589" s="16">
        <f t="shared" si="2221"/>
        <v>11.690236738052974</v>
      </c>
      <c r="AT589" s="16">
        <f t="shared" si="2221"/>
        <v>642.79410998619778</v>
      </c>
      <c r="AU589" s="16">
        <f t="shared" si="2221"/>
        <v>16.943403383172935</v>
      </c>
      <c r="AV589" s="16">
        <f t="shared" si="2221"/>
        <v>40.449448655035077</v>
      </c>
      <c r="AW589" s="16">
        <f t="shared" si="2221"/>
        <v>31.558200938013247</v>
      </c>
      <c r="AX589" s="16">
        <f t="shared" si="2221"/>
        <v>43.90871758343706</v>
      </c>
      <c r="AY589" s="16">
        <f t="shared" si="2221"/>
        <v>35.747265579976045</v>
      </c>
      <c r="AZ589" s="16">
        <f t="shared" si="2221"/>
        <v>30.793099013047293</v>
      </c>
      <c r="BA589" s="16">
        <f t="shared" si="2221"/>
        <v>27.603976294929577</v>
      </c>
      <c r="BB589" s="16">
        <f t="shared" si="2221"/>
        <v>31.586284356879474</v>
      </c>
      <c r="BC589" s="16">
        <f t="shared" si="2221"/>
        <v>25.212099184212118</v>
      </c>
      <c r="BD589" s="16">
        <f t="shared" si="2221"/>
        <v>26.671630062274076</v>
      </c>
      <c r="BE589" s="16">
        <f t="shared" ca="1" si="2221"/>
        <v>23.664400509445287</v>
      </c>
      <c r="BF589" s="16">
        <f t="shared" ca="1" si="2221"/>
        <v>23.884374309855136</v>
      </c>
      <c r="BG589" s="16">
        <f t="shared" ca="1" si="2221"/>
        <v>23.952058234304893</v>
      </c>
      <c r="BH589" s="16">
        <f t="shared" ca="1" si="2221"/>
        <v>22.416122222646141</v>
      </c>
      <c r="BI589" s="16">
        <f t="shared" ca="1" si="2221"/>
        <v>29.150456375536415</v>
      </c>
      <c r="BJ589" s="16">
        <f t="shared" ca="1" si="2221"/>
        <v>24.174217846208062</v>
      </c>
      <c r="BK589" s="16">
        <f t="shared" ca="1" si="2221"/>
        <v>22.010756168730321</v>
      </c>
      <c r="BL589" s="16">
        <f t="shared" ca="1" si="2221"/>
        <v>25.314670486036189</v>
      </c>
      <c r="BM589" s="16">
        <f t="shared" ca="1" si="2221"/>
        <v>27.486457375954288</v>
      </c>
      <c r="BN589" s="16">
        <f t="shared" si="2221"/>
        <v>26.546839774511511</v>
      </c>
      <c r="BO589" s="16">
        <f t="shared" ca="1" si="2221"/>
        <v>27.028480518838236</v>
      </c>
      <c r="BP589" s="16">
        <f t="shared" ca="1" si="2221"/>
        <v>28.657600104167535</v>
      </c>
      <c r="BQ589" s="16">
        <f t="shared" ca="1" si="2221"/>
        <v>27.362189619512272</v>
      </c>
      <c r="BR589" s="16">
        <f ca="1">BR240/BR$419*100</f>
        <v>27.351528295950789</v>
      </c>
      <c r="BS589" s="16">
        <f ca="1">BS240/BS$419*100</f>
        <v>28.168327687910377</v>
      </c>
      <c r="BT589" s="16">
        <f ca="1">BT240/BT$419*100</f>
        <v>29.371689744926709</v>
      </c>
      <c r="BU589" s="16">
        <f ca="1">BU240/BU$419*100</f>
        <v>30.499885858904683</v>
      </c>
      <c r="BV589" s="16">
        <f ca="1">BV240/BV$419*100</f>
        <v>31.714694220972074</v>
      </c>
      <c r="BW589" s="16">
        <f t="shared" ref="BW589:BX589" ca="1" si="2222">BW240/BW$419*100</f>
        <v>33.00187587156843</v>
      </c>
      <c r="BX589" s="16">
        <f t="shared" ca="1" si="2222"/>
        <v>34.40784692959172</v>
      </c>
      <c r="BY589" s="16">
        <f t="shared" ref="BY589:CD589" ca="1" si="2223">BY240/BY$419*100</f>
        <v>35.936718846839632</v>
      </c>
      <c r="BZ589" s="16">
        <f t="shared" ca="1" si="2223"/>
        <v>37.288887179998234</v>
      </c>
      <c r="CA589" s="16">
        <f t="shared" ca="1" si="2223"/>
        <v>38.704913213525664</v>
      </c>
      <c r="CB589" s="16">
        <f t="shared" ca="1" si="2223"/>
        <v>40.177337114473467</v>
      </c>
      <c r="CC589" s="16">
        <f t="shared" ca="1" si="2223"/>
        <v>41.744950799050152</v>
      </c>
      <c r="CD589" s="16">
        <f t="shared" ca="1" si="2223"/>
        <v>43.409727850098051</v>
      </c>
      <c r="CE589" s="16"/>
      <c r="CG589" s="235">
        <f t="shared" ca="1" si="2109"/>
        <v>-5.9494811104996543</v>
      </c>
      <c r="CH589" s="235">
        <f t="shared" ca="1" si="2110"/>
        <v>0.35552181264830551</v>
      </c>
      <c r="CI589" s="235" t="e">
        <f ca="1">BM589-#REF!</f>
        <v>#REF!</v>
      </c>
      <c r="CJ589" s="235">
        <f t="shared" si="2111"/>
        <v>0</v>
      </c>
      <c r="CK589" s="235">
        <f t="shared" ca="1" si="2112"/>
        <v>0</v>
      </c>
      <c r="CL589" s="235">
        <f t="shared" ca="1" si="2113"/>
        <v>0</v>
      </c>
      <c r="CM589" s="235">
        <f t="shared" ca="1" si="2114"/>
        <v>0</v>
      </c>
      <c r="CN589" s="235">
        <f t="shared" ca="1" si="2115"/>
        <v>0</v>
      </c>
      <c r="CO589" s="235">
        <f t="shared" ca="1" si="2116"/>
        <v>0</v>
      </c>
      <c r="CP589" s="235">
        <f t="shared" ca="1" si="2117"/>
        <v>3.1974423109204508E-14</v>
      </c>
      <c r="CQ589" s="235">
        <f t="shared" ca="1" si="2118"/>
        <v>3.1974423109204508E-14</v>
      </c>
      <c r="CR589" s="235">
        <f t="shared" ca="1" si="2119"/>
        <v>4.9737991503207013E-14</v>
      </c>
      <c r="CS589" s="235">
        <f t="shared" ca="1" si="2120"/>
        <v>5.6843418860808015E-14</v>
      </c>
      <c r="CT589" s="235">
        <f t="shared" ca="1" si="2121"/>
        <v>8.5265128291212022E-14</v>
      </c>
      <c r="CU589" s="235">
        <f t="shared" ca="1" si="2122"/>
        <v>7.1054273576010019E-14</v>
      </c>
      <c r="CV589" s="235">
        <f t="shared" ca="1" si="2123"/>
        <v>8.5265128291212022E-14</v>
      </c>
      <c r="CW589" s="235">
        <f t="shared" ca="1" si="2124"/>
        <v>-6.3948846218409017E-14</v>
      </c>
      <c r="CX589" s="235">
        <f t="shared" ca="1" si="2125"/>
        <v>-2.0463630789890885E-12</v>
      </c>
      <c r="CY589" s="235">
        <f t="shared" ca="1" si="2126"/>
        <v>-2.1245227799226996E-11</v>
      </c>
      <c r="CZ589" s="235">
        <f t="shared" ca="1" si="2127"/>
        <v>-1.6471801700390643E-10</v>
      </c>
      <c r="DG589" s="236">
        <v>27.960237279229975</v>
      </c>
      <c r="DH589" s="492">
        <v>24.959148673387883</v>
      </c>
      <c r="DI589" s="236">
        <v>26.546839774511511</v>
      </c>
      <c r="DJ589" s="236">
        <v>27.028480518838226</v>
      </c>
      <c r="DK589" s="236">
        <v>28.657600104167528</v>
      </c>
      <c r="DL589" s="236">
        <v>27.362189619512272</v>
      </c>
      <c r="DM589" s="236">
        <v>27.351528295950779</v>
      </c>
      <c r="DN589" s="236">
        <v>28.16832768791037</v>
      </c>
      <c r="DO589" s="236">
        <v>29.371689744926677</v>
      </c>
      <c r="DP589" s="236">
        <v>30.499885858904651</v>
      </c>
      <c r="DQ589" s="258">
        <v>31.714694220972024</v>
      </c>
      <c r="DR589" s="258">
        <v>33.001875871568373</v>
      </c>
      <c r="DS589" s="258">
        <v>34.407846929591635</v>
      </c>
      <c r="DT589" s="258">
        <v>35.936718846839561</v>
      </c>
      <c r="DU589" s="258">
        <v>37.288887179998149</v>
      </c>
      <c r="DV589" s="258">
        <v>38.704913213525728</v>
      </c>
      <c r="DW589" s="258">
        <v>40.177337114475513</v>
      </c>
      <c r="DX589" s="258">
        <v>41.744950799071397</v>
      </c>
      <c r="DY589" s="258">
        <v>43.409727850262769</v>
      </c>
    </row>
    <row r="590" spans="2:129" hidden="1">
      <c r="B590" s="3" t="str">
        <f t="shared" si="2128"/>
        <v>Lonen en salarissen</v>
      </c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G590" s="235">
        <f t="shared" si="2109"/>
        <v>0</v>
      </c>
      <c r="CH590" s="235">
        <f t="shared" si="2110"/>
        <v>0</v>
      </c>
      <c r="CI590" s="235" t="e">
        <f>BM590-#REF!</f>
        <v>#REF!</v>
      </c>
      <c r="CJ590" s="235">
        <f t="shared" si="2111"/>
        <v>0</v>
      </c>
      <c r="CK590" s="235">
        <f t="shared" si="2112"/>
        <v>0</v>
      </c>
      <c r="CL590" s="235">
        <f t="shared" si="2113"/>
        <v>0</v>
      </c>
      <c r="CM590" s="235">
        <f t="shared" si="2114"/>
        <v>0</v>
      </c>
      <c r="CN590" s="235">
        <f t="shared" si="2115"/>
        <v>0</v>
      </c>
      <c r="CO590" s="235">
        <f t="shared" si="2116"/>
        <v>0</v>
      </c>
      <c r="CP590" s="235">
        <f t="shared" si="2117"/>
        <v>0</v>
      </c>
      <c r="CQ590" s="235">
        <f t="shared" si="2118"/>
        <v>0</v>
      </c>
      <c r="CR590" s="235">
        <f t="shared" si="2119"/>
        <v>0</v>
      </c>
      <c r="CS590" s="235">
        <f t="shared" si="2120"/>
        <v>0</v>
      </c>
      <c r="CT590" s="235">
        <f t="shared" si="2121"/>
        <v>0</v>
      </c>
      <c r="CU590" s="235">
        <f t="shared" si="2122"/>
        <v>0</v>
      </c>
      <c r="CV590" s="235">
        <f t="shared" si="2123"/>
        <v>0</v>
      </c>
      <c r="CW590" s="235">
        <f t="shared" si="2124"/>
        <v>0</v>
      </c>
      <c r="CX590" s="235">
        <f t="shared" si="2125"/>
        <v>0</v>
      </c>
      <c r="CY590" s="235">
        <f t="shared" si="2126"/>
        <v>0</v>
      </c>
      <c r="CZ590" s="235">
        <f t="shared" si="2127"/>
        <v>0</v>
      </c>
    </row>
    <row r="591" spans="2:129" hidden="1">
      <c r="B591" s="3" t="str">
        <f t="shared" si="2128"/>
        <v>Loonsom van de overheid</v>
      </c>
      <c r="F591" s="16">
        <f t="shared" ref="F591:BQ591" si="2224">F242/F$419*100</f>
        <v>8.4634048239961643</v>
      </c>
      <c r="G591" s="16">
        <f t="shared" si="2224"/>
        <v>9.3470420580096647</v>
      </c>
      <c r="H591" s="16">
        <f t="shared" si="2224"/>
        <v>9.5553819338066397</v>
      </c>
      <c r="I591" s="16">
        <f t="shared" si="2224"/>
        <v>11.029079656122443</v>
      </c>
      <c r="J591" s="16">
        <f t="shared" si="2224"/>
        <v>10.844013385073247</v>
      </c>
      <c r="K591" s="16">
        <f t="shared" si="2224"/>
        <v>10.959155682488422</v>
      </c>
      <c r="L591" s="16">
        <f t="shared" si="2224"/>
        <v>11.352956029005377</v>
      </c>
      <c r="M591" s="16">
        <f t="shared" si="2224"/>
        <v>14.458004031423885</v>
      </c>
      <c r="N591" s="16">
        <f t="shared" si="2224"/>
        <v>14.132150800636097</v>
      </c>
      <c r="O591" s="16">
        <f t="shared" si="2224"/>
        <v>13.613058188947285</v>
      </c>
      <c r="P591" s="16">
        <f t="shared" si="2224"/>
        <v>14.154414392303305</v>
      </c>
      <c r="Q591" s="16">
        <f t="shared" si="2224"/>
        <v>13.354532850546613</v>
      </c>
      <c r="R591" s="16">
        <f t="shared" si="2224"/>
        <v>12.567737128455741</v>
      </c>
      <c r="S591" s="16">
        <f t="shared" si="2224"/>
        <v>11.45476361327068</v>
      </c>
      <c r="T591" s="16">
        <f t="shared" si="2224"/>
        <v>10.985826684708741</v>
      </c>
      <c r="U591" s="16">
        <f t="shared" si="2224"/>
        <v>12.313763082186133</v>
      </c>
      <c r="V591" s="16">
        <f t="shared" si="2224"/>
        <v>13.714500006419078</v>
      </c>
      <c r="W591" s="16">
        <f t="shared" si="2224"/>
        <v>12.873261573263568</v>
      </c>
      <c r="X591" s="16">
        <f t="shared" si="2224"/>
        <v>14.082787219436971</v>
      </c>
      <c r="Y591" s="16">
        <f t="shared" si="2224"/>
        <v>13.325411953494484</v>
      </c>
      <c r="Z591" s="16">
        <f t="shared" si="2224"/>
        <v>12.440130756862976</v>
      </c>
      <c r="AA591" s="16">
        <f t="shared" si="2224"/>
        <v>13.018928626567625</v>
      </c>
      <c r="AB591" s="16">
        <f t="shared" si="2224"/>
        <v>14.351732743585021</v>
      </c>
      <c r="AC591" s="16">
        <f t="shared" si="2224"/>
        <v>14.541938646071536</v>
      </c>
      <c r="AD591" s="16">
        <f t="shared" si="2224"/>
        <v>14.675719444218787</v>
      </c>
      <c r="AE591" s="16">
        <f t="shared" si="2224"/>
        <v>14.486300765096718</v>
      </c>
      <c r="AF591" s="16">
        <f t="shared" si="2224"/>
        <v>14.425861242011637</v>
      </c>
      <c r="AG591" s="16">
        <f t="shared" si="2224"/>
        <v>15.708156417767341</v>
      </c>
      <c r="AH591" s="16">
        <f t="shared" si="2224"/>
        <v>19.145591753583609</v>
      </c>
      <c r="AI591" s="16">
        <f t="shared" si="2224"/>
        <v>21.375232463597463</v>
      </c>
      <c r="AJ591" s="16">
        <f t="shared" si="2224"/>
        <v>21.898676867668168</v>
      </c>
      <c r="AK591" s="16">
        <f t="shared" si="2224"/>
        <v>22.511758062501993</v>
      </c>
      <c r="AL591" s="16">
        <f t="shared" si="2224"/>
        <v>23.306734366059981</v>
      </c>
      <c r="AM591" s="16">
        <f t="shared" si="2224"/>
        <v>24.334506991602961</v>
      </c>
      <c r="AN591" s="16">
        <f t="shared" si="2224"/>
        <v>22.848318976741311</v>
      </c>
      <c r="AO591" s="16">
        <f t="shared" si="2224"/>
        <v>20.875311723599506</v>
      </c>
      <c r="AP591" s="16">
        <f t="shared" si="2224"/>
        <v>15.211133287257548</v>
      </c>
      <c r="AQ591" s="16">
        <f t="shared" si="2224"/>
        <v>16.503847180337758</v>
      </c>
      <c r="AR591" s="16">
        <f t="shared" si="2224"/>
        <v>15.822068029168031</v>
      </c>
      <c r="AS591" s="16">
        <f t="shared" si="2224"/>
        <v>8.3321293315293286</v>
      </c>
      <c r="AT591" s="16">
        <f t="shared" si="2224"/>
        <v>7.25635349499351</v>
      </c>
      <c r="AU591" s="16">
        <f t="shared" si="2224"/>
        <v>5.8034793798023649</v>
      </c>
      <c r="AV591" s="16">
        <f t="shared" si="2224"/>
        <v>8.6351242450407177</v>
      </c>
      <c r="AW591" s="16">
        <f t="shared" si="2224"/>
        <v>10.264996416530906</v>
      </c>
      <c r="AX591" s="16">
        <f t="shared" si="2224"/>
        <v>16.605912676721704</v>
      </c>
      <c r="AY591" s="16">
        <f t="shared" si="2224"/>
        <v>12.562622029602863</v>
      </c>
      <c r="AZ591" s="16">
        <f t="shared" si="2224"/>
        <v>12.06334591164488</v>
      </c>
      <c r="BA591" s="16">
        <f t="shared" si="2224"/>
        <v>10.285051001087853</v>
      </c>
      <c r="BB591" s="16">
        <f t="shared" si="2224"/>
        <v>15.302441673950232</v>
      </c>
      <c r="BC591" s="16">
        <f t="shared" si="2224"/>
        <v>12.125901906840939</v>
      </c>
      <c r="BD591" s="16">
        <f t="shared" si="2224"/>
        <v>10.594136639495394</v>
      </c>
      <c r="BE591" s="16">
        <f t="shared" ca="1" si="2224"/>
        <v>8.2864510438141803</v>
      </c>
      <c r="BF591" s="16">
        <f t="shared" ca="1" si="2224"/>
        <v>8.1260855359043536</v>
      </c>
      <c r="BG591" s="16">
        <f t="shared" ca="1" si="2224"/>
        <v>8.2177428565088135</v>
      </c>
      <c r="BH591" s="16">
        <f t="shared" ca="1" si="2224"/>
        <v>7.6947371754108511</v>
      </c>
      <c r="BI591" s="16">
        <f t="shared" ca="1" si="2224"/>
        <v>9.8642471593509065</v>
      </c>
      <c r="BJ591" s="16">
        <f t="shared" ca="1" si="2224"/>
        <v>8.7956068383391521</v>
      </c>
      <c r="BK591" s="16">
        <f t="shared" ca="1" si="2224"/>
        <v>7.4923879404677667</v>
      </c>
      <c r="BL591" s="16">
        <f t="shared" ca="1" si="2224"/>
        <v>7.5508956811837873</v>
      </c>
      <c r="BM591" s="16">
        <f t="shared" ca="1" si="2224"/>
        <v>9.1026655115909882</v>
      </c>
      <c r="BN591" s="16">
        <f t="shared" si="2224"/>
        <v>8.7867160765323664</v>
      </c>
      <c r="BO591" s="16">
        <f t="shared" ca="1" si="2224"/>
        <v>9.7606346806468789</v>
      </c>
      <c r="BP591" s="16">
        <f t="shared" ca="1" si="2224"/>
        <v>9.3965058003962412</v>
      </c>
      <c r="BQ591" s="16">
        <f t="shared" ca="1" si="2224"/>
        <v>9.4315181399964345</v>
      </c>
      <c r="BR591" s="16">
        <f ca="1">BR242/BR$419*100</f>
        <v>9.3995036749995968</v>
      </c>
      <c r="BS591" s="16">
        <f ca="1">BS242/BS$419*100</f>
        <v>9.4756528448341708</v>
      </c>
      <c r="BT591" s="16">
        <f ca="1">BT242/BT$419*100</f>
        <v>9.6411576100566112</v>
      </c>
      <c r="BU591" s="16">
        <f ca="1">BU242/BU$419*100</f>
        <v>9.7474248627502202</v>
      </c>
      <c r="BV591" s="16">
        <f ca="1">BV242/BV$419*100</f>
        <v>9.8531827397989247</v>
      </c>
      <c r="BW591" s="16">
        <f t="shared" ref="BW591:BX591" ca="1" si="2225">BW242/BW$419*100</f>
        <v>9.9434023537832168</v>
      </c>
      <c r="BX591" s="16">
        <f t="shared" ca="1" si="2225"/>
        <v>10.03192691904672</v>
      </c>
      <c r="BY591" s="16">
        <f t="shared" ref="BY591:CD591" ca="1" si="2226">BY242/BY$419*100</f>
        <v>10.116941099507498</v>
      </c>
      <c r="BZ591" s="16">
        <f t="shared" ca="1" si="2226"/>
        <v>10.115274464480171</v>
      </c>
      <c r="CA591" s="16">
        <f t="shared" ca="1" si="2226"/>
        <v>10.10055331652795</v>
      </c>
      <c r="CB591" s="16">
        <f t="shared" ca="1" si="2226"/>
        <v>10.064388781243885</v>
      </c>
      <c r="CC591" s="16">
        <f t="shared" ca="1" si="2226"/>
        <v>10.023227569607576</v>
      </c>
      <c r="CD591" s="16">
        <f t="shared" ca="1" si="2226"/>
        <v>9.9764061319687922</v>
      </c>
      <c r="CE591" s="16"/>
      <c r="CG591" s="235">
        <f t="shared" ca="1" si="2109"/>
        <v>-2.0251835140346195</v>
      </c>
      <c r="CH591" s="235">
        <f t="shared" ca="1" si="2110"/>
        <v>0.10604554861472604</v>
      </c>
      <c r="CI591" s="235" t="e">
        <f ca="1">BM591-#REF!</f>
        <v>#REF!</v>
      </c>
      <c r="CJ591" s="235">
        <f t="shared" si="2111"/>
        <v>0</v>
      </c>
      <c r="CK591" s="235">
        <f t="shared" ca="1" si="2112"/>
        <v>0</v>
      </c>
      <c r="CL591" s="235">
        <f t="shared" ca="1" si="2113"/>
        <v>0</v>
      </c>
      <c r="CM591" s="235">
        <f t="shared" ca="1" si="2114"/>
        <v>0</v>
      </c>
      <c r="CN591" s="235">
        <f t="shared" ca="1" si="2115"/>
        <v>0</v>
      </c>
      <c r="CO591" s="235">
        <f t="shared" ca="1" si="2116"/>
        <v>0</v>
      </c>
      <c r="CP591" s="235">
        <f t="shared" ca="1" si="2117"/>
        <v>0</v>
      </c>
      <c r="CQ591" s="235">
        <f t="shared" ca="1" si="2118"/>
        <v>0</v>
      </c>
      <c r="CR591" s="235">
        <f t="shared" ca="1" si="2119"/>
        <v>0</v>
      </c>
      <c r="CS591" s="235">
        <f t="shared" ca="1" si="2120"/>
        <v>0</v>
      </c>
      <c r="CT591" s="235">
        <f t="shared" ca="1" si="2121"/>
        <v>1.7763568394002505E-14</v>
      </c>
      <c r="CU591" s="235">
        <f t="shared" ca="1" si="2122"/>
        <v>1.5987211554602254E-14</v>
      </c>
      <c r="CV591" s="235">
        <f t="shared" ca="1" si="2123"/>
        <v>1.4210854715202004E-14</v>
      </c>
      <c r="CW591" s="235">
        <f t="shared" ca="1" si="2124"/>
        <v>-1.9539925233402755E-14</v>
      </c>
      <c r="CX591" s="235">
        <f t="shared" ca="1" si="2125"/>
        <v>-5.0803805606847163E-13</v>
      </c>
      <c r="CY591" s="235">
        <f t="shared" ca="1" si="2126"/>
        <v>-5.0359716396997101E-12</v>
      </c>
      <c r="CZ591" s="235">
        <f t="shared" ca="1" si="2127"/>
        <v>-3.7610803360621503E-11</v>
      </c>
      <c r="DG591" s="236">
        <v>9.5175714545023862</v>
      </c>
      <c r="DH591" s="492">
        <v>7.4448501325690613</v>
      </c>
      <c r="DI591" s="236">
        <v>8.7867160765323664</v>
      </c>
      <c r="DJ591" s="236">
        <v>9.7606346806468753</v>
      </c>
      <c r="DK591" s="236">
        <v>9.3965058003962394</v>
      </c>
      <c r="DL591" s="236">
        <v>9.4315181399964292</v>
      </c>
      <c r="DM591" s="236">
        <v>9.3995036749995897</v>
      </c>
      <c r="DN591" s="236">
        <v>9.4756528448341655</v>
      </c>
      <c r="DO591" s="236">
        <v>9.6411576100566041</v>
      </c>
      <c r="DP591" s="236">
        <v>9.7474248627502167</v>
      </c>
      <c r="DQ591" s="258">
        <v>9.8531827397989158</v>
      </c>
      <c r="DR591" s="258">
        <v>9.9434023537832044</v>
      </c>
      <c r="DS591" s="258">
        <v>10.031926919046702</v>
      </c>
      <c r="DT591" s="258">
        <v>10.116941099507482</v>
      </c>
      <c r="DU591" s="258">
        <v>10.115274464480157</v>
      </c>
      <c r="DV591" s="258">
        <v>10.10055331652797</v>
      </c>
      <c r="DW591" s="258">
        <v>10.064388781244393</v>
      </c>
      <c r="DX591" s="258">
        <v>10.023227569612612</v>
      </c>
      <c r="DY591" s="258">
        <v>9.976406132006403</v>
      </c>
    </row>
    <row r="592" spans="2:129" hidden="1">
      <c r="B592" s="3" t="str">
        <f t="shared" si="2128"/>
        <v>Materiale uitgaven</v>
      </c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G592" s="235">
        <f t="shared" si="2109"/>
        <v>0</v>
      </c>
      <c r="CH592" s="235">
        <f t="shared" si="2110"/>
        <v>0</v>
      </c>
      <c r="CI592" s="235" t="e">
        <f>BM592-#REF!</f>
        <v>#REF!</v>
      </c>
      <c r="CJ592" s="235">
        <f t="shared" si="2111"/>
        <v>0</v>
      </c>
      <c r="CK592" s="235">
        <f t="shared" si="2112"/>
        <v>0</v>
      </c>
      <c r="CL592" s="235">
        <f t="shared" si="2113"/>
        <v>0</v>
      </c>
      <c r="CM592" s="235">
        <f t="shared" si="2114"/>
        <v>0</v>
      </c>
      <c r="CN592" s="235">
        <f t="shared" si="2115"/>
        <v>0</v>
      </c>
      <c r="CO592" s="235">
        <f t="shared" si="2116"/>
        <v>0</v>
      </c>
      <c r="CP592" s="235">
        <f t="shared" si="2117"/>
        <v>0</v>
      </c>
      <c r="CQ592" s="235">
        <f t="shared" si="2118"/>
        <v>0</v>
      </c>
      <c r="CR592" s="235">
        <f t="shared" si="2119"/>
        <v>0</v>
      </c>
      <c r="CS592" s="235">
        <f t="shared" si="2120"/>
        <v>0</v>
      </c>
      <c r="CT592" s="235">
        <f t="shared" si="2121"/>
        <v>0</v>
      </c>
      <c r="CU592" s="235">
        <f t="shared" si="2122"/>
        <v>0</v>
      </c>
      <c r="CV592" s="235">
        <f t="shared" si="2123"/>
        <v>0</v>
      </c>
      <c r="CW592" s="235">
        <f t="shared" si="2124"/>
        <v>0</v>
      </c>
      <c r="CX592" s="235">
        <f t="shared" si="2125"/>
        <v>0</v>
      </c>
      <c r="CY592" s="235">
        <f t="shared" si="2126"/>
        <v>0</v>
      </c>
      <c r="CZ592" s="235">
        <f t="shared" si="2127"/>
        <v>0</v>
      </c>
    </row>
    <row r="593" spans="2:129" hidden="1">
      <c r="B593" s="3" t="str">
        <f t="shared" si="2128"/>
        <v>Materiele uitgaven uit schenkingen</v>
      </c>
      <c r="F593" s="16">
        <f t="shared" ref="F593:AK593" si="2227">F244/F$419*100</f>
        <v>0</v>
      </c>
      <c r="G593" s="16">
        <f t="shared" si="2227"/>
        <v>0</v>
      </c>
      <c r="H593" s="16">
        <f t="shared" si="2227"/>
        <v>0</v>
      </c>
      <c r="I593" s="16">
        <f t="shared" si="2227"/>
        <v>0</v>
      </c>
      <c r="J593" s="16">
        <f t="shared" si="2227"/>
        <v>0</v>
      </c>
      <c r="K593" s="16">
        <f t="shared" si="2227"/>
        <v>0</v>
      </c>
      <c r="L593" s="16">
        <f t="shared" si="2227"/>
        <v>0</v>
      </c>
      <c r="M593" s="16">
        <f t="shared" si="2227"/>
        <v>0</v>
      </c>
      <c r="N593" s="16">
        <f t="shared" si="2227"/>
        <v>0</v>
      </c>
      <c r="O593" s="16">
        <f t="shared" si="2227"/>
        <v>0</v>
      </c>
      <c r="P593" s="16">
        <f t="shared" si="2227"/>
        <v>0</v>
      </c>
      <c r="Q593" s="16">
        <f t="shared" si="2227"/>
        <v>0</v>
      </c>
      <c r="R593" s="16">
        <f t="shared" si="2227"/>
        <v>0</v>
      </c>
      <c r="S593" s="16">
        <f t="shared" si="2227"/>
        <v>0</v>
      </c>
      <c r="T593" s="16">
        <f t="shared" si="2227"/>
        <v>0</v>
      </c>
      <c r="U593" s="16">
        <f t="shared" si="2227"/>
        <v>0</v>
      </c>
      <c r="V593" s="16">
        <f t="shared" si="2227"/>
        <v>0</v>
      </c>
      <c r="W593" s="16">
        <f t="shared" si="2227"/>
        <v>0</v>
      </c>
      <c r="X593" s="16">
        <f t="shared" si="2227"/>
        <v>0</v>
      </c>
      <c r="Y593" s="16">
        <f t="shared" si="2227"/>
        <v>0</v>
      </c>
      <c r="Z593" s="16">
        <f t="shared" si="2227"/>
        <v>0</v>
      </c>
      <c r="AA593" s="16">
        <f t="shared" si="2227"/>
        <v>0</v>
      </c>
      <c r="AB593" s="16">
        <f t="shared" si="2227"/>
        <v>0</v>
      </c>
      <c r="AC593" s="16">
        <f t="shared" si="2227"/>
        <v>0</v>
      </c>
      <c r="AD593" s="16">
        <f t="shared" si="2227"/>
        <v>0</v>
      </c>
      <c r="AE593" s="16">
        <f t="shared" si="2227"/>
        <v>0</v>
      </c>
      <c r="AF593" s="16">
        <f t="shared" si="2227"/>
        <v>0</v>
      </c>
      <c r="AG593" s="16">
        <f t="shared" si="2227"/>
        <v>0</v>
      </c>
      <c r="AH593" s="16">
        <f t="shared" si="2227"/>
        <v>0</v>
      </c>
      <c r="AI593" s="16">
        <f t="shared" si="2227"/>
        <v>0</v>
      </c>
      <c r="AJ593" s="16">
        <f t="shared" si="2227"/>
        <v>0</v>
      </c>
      <c r="AK593" s="16">
        <f t="shared" si="2227"/>
        <v>0</v>
      </c>
      <c r="AL593" s="16">
        <f t="shared" ref="AL593:BQ593" si="2228">AL244/AL$419*100</f>
        <v>0</v>
      </c>
      <c r="AM593" s="16">
        <f t="shared" si="2228"/>
        <v>0</v>
      </c>
      <c r="AN593" s="16">
        <f t="shared" si="2228"/>
        <v>0</v>
      </c>
      <c r="AO593" s="16">
        <f t="shared" si="2228"/>
        <v>0</v>
      </c>
      <c r="AP593" s="16">
        <f t="shared" si="2228"/>
        <v>0</v>
      </c>
      <c r="AQ593" s="16">
        <f t="shared" si="2228"/>
        <v>0</v>
      </c>
      <c r="AR593" s="16">
        <f t="shared" si="2228"/>
        <v>0</v>
      </c>
      <c r="AS593" s="16">
        <f t="shared" si="2228"/>
        <v>0</v>
      </c>
      <c r="AT593" s="16">
        <f t="shared" si="2228"/>
        <v>236.86746269790063</v>
      </c>
      <c r="AU593" s="16">
        <f t="shared" si="2228"/>
        <v>0</v>
      </c>
      <c r="AV593" s="16">
        <f t="shared" si="2228"/>
        <v>1.9020523789726833</v>
      </c>
      <c r="AW593" s="16">
        <f t="shared" si="2228"/>
        <v>0.8489634497650812</v>
      </c>
      <c r="AX593" s="16">
        <f t="shared" si="2228"/>
        <v>1.2425062994949985</v>
      </c>
      <c r="AY593" s="16">
        <f t="shared" si="2228"/>
        <v>0.5272113450226853</v>
      </c>
      <c r="AZ593" s="16">
        <f t="shared" si="2228"/>
        <v>2.4133675471747633</v>
      </c>
      <c r="BA593" s="16">
        <f t="shared" si="2228"/>
        <v>0</v>
      </c>
      <c r="BB593" s="16">
        <f t="shared" si="2228"/>
        <v>0</v>
      </c>
      <c r="BC593" s="16">
        <f t="shared" si="2228"/>
        <v>0</v>
      </c>
      <c r="BD593" s="16">
        <f t="shared" si="2228"/>
        <v>0</v>
      </c>
      <c r="BE593" s="16">
        <f t="shared" ca="1" si="2228"/>
        <v>0</v>
      </c>
      <c r="BF593" s="16">
        <f t="shared" ca="1" si="2228"/>
        <v>0</v>
      </c>
      <c r="BG593" s="16">
        <f t="shared" ca="1" si="2228"/>
        <v>0</v>
      </c>
      <c r="BH593" s="16">
        <f t="shared" ca="1" si="2228"/>
        <v>0</v>
      </c>
      <c r="BI593" s="16">
        <f t="shared" ca="1" si="2228"/>
        <v>0</v>
      </c>
      <c r="BJ593" s="16">
        <f t="shared" ca="1" si="2228"/>
        <v>0</v>
      </c>
      <c r="BK593" s="16">
        <f t="shared" ca="1" si="2228"/>
        <v>0</v>
      </c>
      <c r="BL593" s="16">
        <f t="shared" ca="1" si="2228"/>
        <v>0</v>
      </c>
      <c r="BM593" s="16">
        <f t="shared" ca="1" si="2228"/>
        <v>0</v>
      </c>
      <c r="BN593" s="16">
        <f t="shared" si="2228"/>
        <v>0</v>
      </c>
      <c r="BO593" s="16">
        <f t="shared" ca="1" si="2228"/>
        <v>0</v>
      </c>
      <c r="BP593" s="16">
        <f t="shared" ca="1" si="2228"/>
        <v>0</v>
      </c>
      <c r="BQ593" s="16">
        <f t="shared" ca="1" si="2228"/>
        <v>0</v>
      </c>
      <c r="BR593" s="16">
        <f t="shared" ref="BR593:BS601" ca="1" si="2229">BR244/BR$419*100</f>
        <v>0</v>
      </c>
      <c r="BS593" s="16">
        <f t="shared" ca="1" si="2229"/>
        <v>0</v>
      </c>
      <c r="BT593" s="16">
        <f t="shared" ref="BT593:BU601" ca="1" si="2230">BT244/BT$419*100</f>
        <v>0</v>
      </c>
      <c r="BU593" s="16">
        <f t="shared" ca="1" si="2230"/>
        <v>0</v>
      </c>
      <c r="BV593" s="16">
        <f t="shared" ref="BV593:BV601" ca="1" si="2231">BV244/BV$419*100</f>
        <v>0</v>
      </c>
      <c r="BW593" s="16">
        <f t="shared" ref="BW593:BX593" ca="1" si="2232">BW244/BW$419*100</f>
        <v>0</v>
      </c>
      <c r="BX593" s="16">
        <f t="shared" ca="1" si="2232"/>
        <v>0</v>
      </c>
      <c r="BY593" s="16">
        <f t="shared" ref="BY593:CD593" ca="1" si="2233">BY244/BY$419*100</f>
        <v>0</v>
      </c>
      <c r="BZ593" s="16">
        <f t="shared" ca="1" si="2233"/>
        <v>0</v>
      </c>
      <c r="CA593" s="16">
        <f t="shared" ca="1" si="2233"/>
        <v>0</v>
      </c>
      <c r="CB593" s="16">
        <f t="shared" ca="1" si="2233"/>
        <v>0</v>
      </c>
      <c r="CC593" s="16">
        <f t="shared" ca="1" si="2233"/>
        <v>0</v>
      </c>
      <c r="CD593" s="16">
        <f t="shared" ca="1" si="2233"/>
        <v>0</v>
      </c>
      <c r="CE593" s="16"/>
      <c r="CG593" s="235">
        <f t="shared" ca="1" si="2109"/>
        <v>0</v>
      </c>
      <c r="CH593" s="235">
        <f t="shared" ca="1" si="2110"/>
        <v>0</v>
      </c>
      <c r="CI593" s="235" t="e">
        <f ca="1">BM593-#REF!</f>
        <v>#REF!</v>
      </c>
      <c r="CJ593" s="235">
        <f t="shared" si="2111"/>
        <v>0</v>
      </c>
      <c r="CK593" s="235">
        <f t="shared" ca="1" si="2112"/>
        <v>0</v>
      </c>
      <c r="CL593" s="235">
        <f t="shared" ca="1" si="2113"/>
        <v>0</v>
      </c>
      <c r="CM593" s="235">
        <f t="shared" ca="1" si="2114"/>
        <v>0</v>
      </c>
      <c r="CN593" s="235">
        <f t="shared" ca="1" si="2115"/>
        <v>0</v>
      </c>
      <c r="CO593" s="235">
        <f t="shared" ca="1" si="2116"/>
        <v>0</v>
      </c>
      <c r="CP593" s="235">
        <f t="shared" ca="1" si="2117"/>
        <v>0</v>
      </c>
      <c r="CQ593" s="235">
        <f t="shared" ca="1" si="2118"/>
        <v>0</v>
      </c>
      <c r="CR593" s="235">
        <f t="shared" ca="1" si="2119"/>
        <v>0</v>
      </c>
      <c r="CS593" s="235">
        <f t="shared" ca="1" si="2120"/>
        <v>0</v>
      </c>
      <c r="CT593" s="235">
        <f t="shared" ca="1" si="2121"/>
        <v>0</v>
      </c>
      <c r="CU593" s="235">
        <f t="shared" ca="1" si="2122"/>
        <v>0</v>
      </c>
      <c r="CV593" s="235">
        <f t="shared" ca="1" si="2123"/>
        <v>0</v>
      </c>
      <c r="CW593" s="235">
        <f t="shared" ca="1" si="2124"/>
        <v>0</v>
      </c>
      <c r="CX593" s="235">
        <f t="shared" ca="1" si="2125"/>
        <v>0</v>
      </c>
      <c r="CY593" s="235">
        <f t="shared" ca="1" si="2126"/>
        <v>0</v>
      </c>
      <c r="CZ593" s="235">
        <f t="shared" ca="1" si="2127"/>
        <v>0</v>
      </c>
      <c r="DG593" s="236">
        <v>0</v>
      </c>
      <c r="DH593" s="492">
        <v>0</v>
      </c>
      <c r="DI593" s="236">
        <v>0</v>
      </c>
      <c r="DJ593" s="236">
        <v>0</v>
      </c>
      <c r="DK593" s="236">
        <v>0</v>
      </c>
      <c r="DL593" s="236">
        <v>0</v>
      </c>
      <c r="DM593" s="236">
        <v>0</v>
      </c>
      <c r="DN593" s="236">
        <v>0</v>
      </c>
      <c r="DO593" s="236">
        <v>0</v>
      </c>
      <c r="DP593" s="236">
        <v>0</v>
      </c>
      <c r="DQ593" s="258">
        <v>0</v>
      </c>
      <c r="DR593" s="258">
        <v>0</v>
      </c>
      <c r="DS593" s="258">
        <v>0</v>
      </c>
      <c r="DT593" s="258">
        <v>0</v>
      </c>
      <c r="DU593" s="258">
        <v>0</v>
      </c>
      <c r="DV593" s="258">
        <v>0</v>
      </c>
      <c r="DW593" s="258">
        <v>0</v>
      </c>
      <c r="DX593" s="258">
        <v>0</v>
      </c>
      <c r="DY593" s="258">
        <v>0</v>
      </c>
    </row>
    <row r="594" spans="2:129" hidden="1">
      <c r="B594" s="3" t="str">
        <f t="shared" si="2128"/>
        <v>materiele lopende uitgaven</v>
      </c>
      <c r="F594" s="16">
        <f t="shared" ref="F594:AK594" si="2234">F245/F$419*100</f>
        <v>0</v>
      </c>
      <c r="G594" s="16">
        <f t="shared" si="2234"/>
        <v>0</v>
      </c>
      <c r="H594" s="16">
        <f t="shared" si="2234"/>
        <v>0</v>
      </c>
      <c r="I594" s="16">
        <f t="shared" si="2234"/>
        <v>0</v>
      </c>
      <c r="J594" s="16">
        <f t="shared" si="2234"/>
        <v>0</v>
      </c>
      <c r="K594" s="16">
        <f t="shared" si="2234"/>
        <v>0</v>
      </c>
      <c r="L594" s="16">
        <f t="shared" si="2234"/>
        <v>0</v>
      </c>
      <c r="M594" s="16">
        <f t="shared" si="2234"/>
        <v>0</v>
      </c>
      <c r="N594" s="16">
        <f t="shared" si="2234"/>
        <v>0</v>
      </c>
      <c r="O594" s="16">
        <f t="shared" si="2234"/>
        <v>0</v>
      </c>
      <c r="P594" s="16">
        <f t="shared" si="2234"/>
        <v>0</v>
      </c>
      <c r="Q594" s="16">
        <f t="shared" si="2234"/>
        <v>0</v>
      </c>
      <c r="R594" s="16">
        <f t="shared" si="2234"/>
        <v>0</v>
      </c>
      <c r="S594" s="16">
        <f t="shared" si="2234"/>
        <v>0</v>
      </c>
      <c r="T594" s="16">
        <f t="shared" si="2234"/>
        <v>0</v>
      </c>
      <c r="U594" s="16">
        <f t="shared" si="2234"/>
        <v>0</v>
      </c>
      <c r="V594" s="16">
        <f t="shared" si="2234"/>
        <v>0</v>
      </c>
      <c r="W594" s="16">
        <f t="shared" si="2234"/>
        <v>0</v>
      </c>
      <c r="X594" s="16">
        <f t="shared" si="2234"/>
        <v>0</v>
      </c>
      <c r="Y594" s="16">
        <f t="shared" si="2234"/>
        <v>0</v>
      </c>
      <c r="Z594" s="16">
        <f t="shared" si="2234"/>
        <v>0</v>
      </c>
      <c r="AA594" s="16">
        <f t="shared" si="2234"/>
        <v>0</v>
      </c>
      <c r="AB594" s="16">
        <f t="shared" si="2234"/>
        <v>0</v>
      </c>
      <c r="AC594" s="16">
        <f t="shared" si="2234"/>
        <v>0</v>
      </c>
      <c r="AD594" s="16">
        <f t="shared" si="2234"/>
        <v>0</v>
      </c>
      <c r="AE594" s="16">
        <f t="shared" si="2234"/>
        <v>0</v>
      </c>
      <c r="AF594" s="16">
        <f t="shared" si="2234"/>
        <v>0</v>
      </c>
      <c r="AG594" s="16">
        <f t="shared" si="2234"/>
        <v>0</v>
      </c>
      <c r="AH594" s="16">
        <f t="shared" si="2234"/>
        <v>0</v>
      </c>
      <c r="AI594" s="16">
        <f t="shared" si="2234"/>
        <v>0</v>
      </c>
      <c r="AJ594" s="16">
        <f t="shared" si="2234"/>
        <v>0</v>
      </c>
      <c r="AK594" s="16">
        <f t="shared" si="2234"/>
        <v>0</v>
      </c>
      <c r="AL594" s="16">
        <f t="shared" ref="AL594:BQ594" si="2235">AL245/AL$419*100</f>
        <v>0</v>
      </c>
      <c r="AM594" s="16">
        <f t="shared" si="2235"/>
        <v>0</v>
      </c>
      <c r="AN594" s="16">
        <f t="shared" si="2235"/>
        <v>0</v>
      </c>
      <c r="AO594" s="16">
        <f t="shared" si="2235"/>
        <v>0</v>
      </c>
      <c r="AP594" s="16">
        <f t="shared" si="2235"/>
        <v>0</v>
      </c>
      <c r="AQ594" s="16">
        <f t="shared" si="2235"/>
        <v>0</v>
      </c>
      <c r="AR594" s="16">
        <f t="shared" si="2235"/>
        <v>0</v>
      </c>
      <c r="AS594" s="16">
        <f t="shared" si="2235"/>
        <v>0</v>
      </c>
      <c r="AT594" s="16">
        <f t="shared" si="2235"/>
        <v>236.86746269790063</v>
      </c>
      <c r="AU594" s="16">
        <f t="shared" si="2235"/>
        <v>0</v>
      </c>
      <c r="AV594" s="16">
        <f t="shared" si="2235"/>
        <v>6.5172212969908623</v>
      </c>
      <c r="AW594" s="16">
        <f t="shared" si="2235"/>
        <v>9.0205004997116625</v>
      </c>
      <c r="AX594" s="16">
        <f t="shared" si="2235"/>
        <v>10.9567750761134</v>
      </c>
      <c r="AY594" s="16">
        <f t="shared" si="2235"/>
        <v>11.71033372360279</v>
      </c>
      <c r="AZ594" s="16">
        <f t="shared" si="2235"/>
        <v>5.340149380627639</v>
      </c>
      <c r="BA594" s="16">
        <f t="shared" si="2235"/>
        <v>6.099248633295602</v>
      </c>
      <c r="BB594" s="16">
        <f t="shared" si="2235"/>
        <v>4.4557597627695831</v>
      </c>
      <c r="BC594" s="16">
        <f t="shared" si="2235"/>
        <v>2.8704000973161827</v>
      </c>
      <c r="BD594" s="16">
        <f t="shared" si="2235"/>
        <v>4.9954175351270989</v>
      </c>
      <c r="BE594" s="16">
        <f t="shared" ca="1" si="2235"/>
        <v>5.0323741759393537</v>
      </c>
      <c r="BF594" s="16">
        <f t="shared" ca="1" si="2235"/>
        <v>5.6151946976101152</v>
      </c>
      <c r="BG594" s="16">
        <f t="shared" ca="1" si="2235"/>
        <v>5.7057005010523874</v>
      </c>
      <c r="BH594" s="16">
        <f t="shared" ca="1" si="2235"/>
        <v>4.9503634666014493</v>
      </c>
      <c r="BI594" s="16">
        <f t="shared" ca="1" si="2235"/>
        <v>6.6491871473804327</v>
      </c>
      <c r="BJ594" s="16">
        <f t="shared" ca="1" si="2235"/>
        <v>5.6325256848138574</v>
      </c>
      <c r="BK594" s="16">
        <f t="shared" ca="1" si="2235"/>
        <v>4.5489606125269546</v>
      </c>
      <c r="BL594" s="16">
        <f t="shared" ca="1" si="2235"/>
        <v>7.1537217824775583</v>
      </c>
      <c r="BM594" s="16">
        <f t="shared" ca="1" si="2235"/>
        <v>6.6018885123659778</v>
      </c>
      <c r="BN594" s="16">
        <f t="shared" si="2235"/>
        <v>5.9572632229230233</v>
      </c>
      <c r="BO594" s="16">
        <f t="shared" ca="1" si="2235"/>
        <v>6.4692845119264</v>
      </c>
      <c r="BP594" s="16">
        <f t="shared" ca="1" si="2235"/>
        <v>7.1277144435776378</v>
      </c>
      <c r="BQ594" s="16">
        <f t="shared" ca="1" si="2235"/>
        <v>6.5127053667393504</v>
      </c>
      <c r="BR594" s="16">
        <f t="shared" ca="1" si="2229"/>
        <v>6.3251110675538138</v>
      </c>
      <c r="BS594" s="16">
        <f t="shared" ca="1" si="2229"/>
        <v>6.3657190473081844</v>
      </c>
      <c r="BT594" s="16">
        <f t="shared" ca="1" si="2230"/>
        <v>6.4783551358673845</v>
      </c>
      <c r="BU594" s="16">
        <f t="shared" ca="1" si="2230"/>
        <v>6.5442077185627001</v>
      </c>
      <c r="BV594" s="16">
        <f t="shared" ca="1" si="2231"/>
        <v>6.6062189369825939</v>
      </c>
      <c r="BW594" s="16">
        <f t="shared" ref="BW594:BX594" ca="1" si="2236">BW245/BW$419*100</f>
        <v>6.6571783504904465</v>
      </c>
      <c r="BX594" s="16">
        <f t="shared" ca="1" si="2236"/>
        <v>6.7089477310937768</v>
      </c>
      <c r="BY594" s="16">
        <f t="shared" ref="BY594:CD594" ca="1" si="2237">BY245/BY$419*100</f>
        <v>6.7610789324122251</v>
      </c>
      <c r="BZ594" s="16">
        <f t="shared" ca="1" si="2237"/>
        <v>6.7573068945525065</v>
      </c>
      <c r="CA594" s="16">
        <f t="shared" ca="1" si="2237"/>
        <v>6.7462022159095119</v>
      </c>
      <c r="CB594" s="16">
        <f t="shared" ca="1" si="2237"/>
        <v>6.722158487117107</v>
      </c>
      <c r="CC594" s="16">
        <f t="shared" ca="1" si="2237"/>
        <v>6.6960655876067117</v>
      </c>
      <c r="CD594" s="16">
        <f t="shared" ca="1" si="2237"/>
        <v>6.6674893776133768</v>
      </c>
      <c r="CE594" s="16"/>
      <c r="CG594" s="235">
        <f t="shared" ca="1" si="2109"/>
        <v>-1.229578621886902</v>
      </c>
      <c r="CH594" s="235">
        <f t="shared" ca="1" si="2110"/>
        <v>0.10046759789707771</v>
      </c>
      <c r="CI594" s="235" t="e">
        <f ca="1">BM594-#REF!</f>
        <v>#REF!</v>
      </c>
      <c r="CJ594" s="235">
        <f t="shared" si="2111"/>
        <v>0</v>
      </c>
      <c r="CK594" s="235">
        <f t="shared" ca="1" si="2112"/>
        <v>0</v>
      </c>
      <c r="CL594" s="235">
        <f t="shared" ca="1" si="2113"/>
        <v>0</v>
      </c>
      <c r="CM594" s="235">
        <f t="shared" ca="1" si="2114"/>
        <v>0</v>
      </c>
      <c r="CN594" s="235">
        <f t="shared" ca="1" si="2115"/>
        <v>0</v>
      </c>
      <c r="CO594" s="235">
        <f t="shared" ca="1" si="2116"/>
        <v>0</v>
      </c>
      <c r="CP594" s="235">
        <f t="shared" ca="1" si="2117"/>
        <v>0</v>
      </c>
      <c r="CQ594" s="235">
        <f t="shared" ca="1" si="2118"/>
        <v>9.7699626167013776E-15</v>
      </c>
      <c r="CR594" s="235">
        <f t="shared" ca="1" si="2119"/>
        <v>1.0658141036401503E-14</v>
      </c>
      <c r="CS594" s="235">
        <f t="shared" ca="1" si="2120"/>
        <v>1.1546319456101628E-14</v>
      </c>
      <c r="CT594" s="235">
        <f t="shared" ca="1" si="2121"/>
        <v>1.5099033134902129E-14</v>
      </c>
      <c r="CU594" s="235">
        <f t="shared" ca="1" si="2122"/>
        <v>1.4210854715202004E-14</v>
      </c>
      <c r="CV594" s="235">
        <f t="shared" ca="1" si="2123"/>
        <v>1.5987211554602254E-14</v>
      </c>
      <c r="CW594" s="235">
        <f t="shared" ca="1" si="2124"/>
        <v>0</v>
      </c>
      <c r="CX594" s="235">
        <f t="shared" ca="1" si="2125"/>
        <v>-2.6645352591003757E-13</v>
      </c>
      <c r="CY594" s="235">
        <f t="shared" ca="1" si="2126"/>
        <v>-2.6529889396442741E-12</v>
      </c>
      <c r="CZ594" s="235">
        <f t="shared" ca="1" si="2127"/>
        <v>-1.9327650591094425E-11</v>
      </c>
      <c r="DG594" s="236">
        <v>5.7785392344138566</v>
      </c>
      <c r="DH594" s="492">
        <v>7.0532541845804806</v>
      </c>
      <c r="DI594" s="236">
        <v>5.9572632229230233</v>
      </c>
      <c r="DJ594" s="236">
        <v>6.4692845119263973</v>
      </c>
      <c r="DK594" s="236">
        <v>7.1277144435776361</v>
      </c>
      <c r="DL594" s="236">
        <v>6.5127053667393477</v>
      </c>
      <c r="DM594" s="236">
        <v>6.3251110675538129</v>
      </c>
      <c r="DN594" s="236">
        <v>6.3657190473081826</v>
      </c>
      <c r="DO594" s="236">
        <v>6.4783551358673792</v>
      </c>
      <c r="DP594" s="236">
        <v>6.5442077185626903</v>
      </c>
      <c r="DQ594" s="258">
        <v>6.6062189369825832</v>
      </c>
      <c r="DR594" s="258">
        <v>6.6571783504904349</v>
      </c>
      <c r="DS594" s="258">
        <v>6.7089477310937617</v>
      </c>
      <c r="DT594" s="258">
        <v>6.7610789324122109</v>
      </c>
      <c r="DU594" s="258">
        <v>6.7573068945524906</v>
      </c>
      <c r="DV594" s="258">
        <v>6.7462022159095181</v>
      </c>
      <c r="DW594" s="258">
        <v>6.7221584871173734</v>
      </c>
      <c r="DX594" s="258">
        <v>6.6960655876093647</v>
      </c>
      <c r="DY594" s="258">
        <v>6.6674893776327044</v>
      </c>
    </row>
    <row r="595" spans="2:129" hidden="1">
      <c r="B595" s="3" t="str">
        <f t="shared" si="2128"/>
        <v>Subsidie</v>
      </c>
      <c r="F595" s="16">
        <f t="shared" ref="F595:AK595" si="2238">F246/F$419*100</f>
        <v>5.1029642378303892</v>
      </c>
      <c r="G595" s="16">
        <f t="shared" si="2238"/>
        <v>5.6513341243707149</v>
      </c>
      <c r="H595" s="16">
        <f t="shared" si="2238"/>
        <v>5.1337089068147357</v>
      </c>
      <c r="I595" s="16">
        <f t="shared" si="2238"/>
        <v>5.0665623593484446</v>
      </c>
      <c r="J595" s="16">
        <f t="shared" si="2238"/>
        <v>5.870256606226091</v>
      </c>
      <c r="K595" s="16">
        <f t="shared" si="2238"/>
        <v>5.5437494542120405</v>
      </c>
      <c r="L595" s="16">
        <f t="shared" si="2238"/>
        <v>6.6770068197503809</v>
      </c>
      <c r="M595" s="16">
        <f t="shared" si="2238"/>
        <v>6.0572314042776174</v>
      </c>
      <c r="N595" s="16">
        <f t="shared" si="2238"/>
        <v>6.0761318655450518</v>
      </c>
      <c r="O595" s="16">
        <f t="shared" si="2238"/>
        <v>5.4328564661355871</v>
      </c>
      <c r="P595" s="16">
        <f t="shared" si="2238"/>
        <v>5.0186898974044611</v>
      </c>
      <c r="Q595" s="16">
        <f t="shared" si="2238"/>
        <v>5.187684100953617</v>
      </c>
      <c r="R595" s="16">
        <f t="shared" si="2238"/>
        <v>4.1074041090533138</v>
      </c>
      <c r="S595" s="16">
        <f t="shared" si="2238"/>
        <v>3.2437778829681929</v>
      </c>
      <c r="T595" s="16">
        <f t="shared" si="2238"/>
        <v>3.3312586467522149</v>
      </c>
      <c r="U595" s="16">
        <f t="shared" si="2238"/>
        <v>3.7316170841045033</v>
      </c>
      <c r="V595" s="16">
        <f t="shared" si="2238"/>
        <v>3.8569254765098551</v>
      </c>
      <c r="W595" s="16">
        <f t="shared" si="2238"/>
        <v>3.2831936174347836</v>
      </c>
      <c r="X595" s="16">
        <f t="shared" si="2238"/>
        <v>4.4688181341705269</v>
      </c>
      <c r="Y595" s="16">
        <f t="shared" si="2238"/>
        <v>5.0764743239876138</v>
      </c>
      <c r="Z595" s="16">
        <f t="shared" si="2238"/>
        <v>5.4908241610096704</v>
      </c>
      <c r="AA595" s="16">
        <f t="shared" si="2238"/>
        <v>5.7280871502633568</v>
      </c>
      <c r="AB595" s="16">
        <f t="shared" si="2238"/>
        <v>6.3528507790318889</v>
      </c>
      <c r="AC595" s="16">
        <f t="shared" si="2238"/>
        <v>5.3037978552633778</v>
      </c>
      <c r="AD595" s="16">
        <f t="shared" si="2238"/>
        <v>3.8540311121674087</v>
      </c>
      <c r="AE595" s="16">
        <f t="shared" si="2238"/>
        <v>3.0062077772158102</v>
      </c>
      <c r="AF595" s="16">
        <f t="shared" si="2238"/>
        <v>3.0783334749662776</v>
      </c>
      <c r="AG595" s="16">
        <f t="shared" si="2238"/>
        <v>3.057180271631732</v>
      </c>
      <c r="AH595" s="16">
        <f t="shared" si="2238"/>
        <v>3.3486420603618234</v>
      </c>
      <c r="AI595" s="16">
        <f t="shared" si="2238"/>
        <v>3.4626288878623996</v>
      </c>
      <c r="AJ595" s="16">
        <f t="shared" si="2238"/>
        <v>3.3618543107084635</v>
      </c>
      <c r="AK595" s="16">
        <f t="shared" si="2238"/>
        <v>2.2742767630039555</v>
      </c>
      <c r="AL595" s="16">
        <f t="shared" ref="AL595:BQ595" si="2239">AL246/AL$419*100</f>
        <v>3.3169646030508635</v>
      </c>
      <c r="AM595" s="16">
        <f t="shared" si="2239"/>
        <v>2.3901117681247892</v>
      </c>
      <c r="AN595" s="16">
        <f t="shared" si="2239"/>
        <v>1.8553844300060038</v>
      </c>
      <c r="AO595" s="16">
        <f t="shared" si="2239"/>
        <v>2.1909277711115815</v>
      </c>
      <c r="AP595" s="16">
        <f t="shared" si="2239"/>
        <v>1.7723624788022596</v>
      </c>
      <c r="AQ595" s="16">
        <f t="shared" si="2239"/>
        <v>1.4870948205870216</v>
      </c>
      <c r="AR595" s="16">
        <f t="shared" si="2239"/>
        <v>1.3539563386110556</v>
      </c>
      <c r="AS595" s="16">
        <f t="shared" si="2239"/>
        <v>2.3438264551948453</v>
      </c>
      <c r="AT595" s="16">
        <f t="shared" si="2239"/>
        <v>61.625722686644671</v>
      </c>
      <c r="AU595" s="16">
        <f t="shared" si="2239"/>
        <v>0.64542564012152848</v>
      </c>
      <c r="AV595" s="16">
        <f t="shared" si="2239"/>
        <v>12.065409024482125</v>
      </c>
      <c r="AW595" s="16">
        <f t="shared" si="2239"/>
        <v>6.1685131270544371</v>
      </c>
      <c r="AX595" s="16">
        <f t="shared" si="2239"/>
        <v>10.53219660189443</v>
      </c>
      <c r="AY595" s="16">
        <f t="shared" si="2239"/>
        <v>5.0605417463647511</v>
      </c>
      <c r="AZ595" s="16">
        <f t="shared" si="2239"/>
        <v>5.1586440966068592</v>
      </c>
      <c r="BA595" s="16">
        <f t="shared" si="2239"/>
        <v>6.2526020796761523</v>
      </c>
      <c r="BB595" s="16">
        <f t="shared" si="2239"/>
        <v>6.3914924563331494</v>
      </c>
      <c r="BC595" s="16">
        <f t="shared" si="2239"/>
        <v>5.5633108369460915</v>
      </c>
      <c r="BD595" s="16">
        <f t="shared" si="2239"/>
        <v>5.9348320348938897</v>
      </c>
      <c r="BE595" s="16">
        <f t="shared" ca="1" si="2239"/>
        <v>4.8451497797619156</v>
      </c>
      <c r="BF595" s="16">
        <f t="shared" ca="1" si="2239"/>
        <v>4.5627667977220669</v>
      </c>
      <c r="BG595" s="16">
        <f t="shared" ca="1" si="2239"/>
        <v>4.6492462283498677</v>
      </c>
      <c r="BH595" s="16">
        <f t="shared" ca="1" si="2239"/>
        <v>4.4186312411938058</v>
      </c>
      <c r="BI595" s="16">
        <f t="shared" ca="1" si="2239"/>
        <v>5.0963507761124491</v>
      </c>
      <c r="BJ595" s="16">
        <f t="shared" ca="1" si="2239"/>
        <v>4.3777632101544821</v>
      </c>
      <c r="BK595" s="16">
        <f t="shared" ca="1" si="2239"/>
        <v>4.7832578071767964</v>
      </c>
      <c r="BL595" s="16">
        <f t="shared" ca="1" si="2239"/>
        <v>5.6166817525132684</v>
      </c>
      <c r="BM595" s="16">
        <f t="shared" ca="1" si="2239"/>
        <v>6.0374407052419681</v>
      </c>
      <c r="BN595" s="16">
        <f t="shared" si="2239"/>
        <v>5.6879853871118975</v>
      </c>
      <c r="BO595" s="16">
        <f t="shared" ca="1" si="2239"/>
        <v>6.6875240549619894</v>
      </c>
      <c r="BP595" s="16">
        <f t="shared" ca="1" si="2239"/>
        <v>7.3681659402132924</v>
      </c>
      <c r="BQ595" s="16">
        <f t="shared" ca="1" si="2239"/>
        <v>6.7324097004322567</v>
      </c>
      <c r="BR595" s="16">
        <f t="shared" ca="1" si="2229"/>
        <v>6.5384869588888606</v>
      </c>
      <c r="BS595" s="16">
        <f t="shared" ca="1" si="2229"/>
        <v>6.5804648377300365</v>
      </c>
      <c r="BT595" s="16">
        <f t="shared" ca="1" si="2230"/>
        <v>6.6969006739199308</v>
      </c>
      <c r="BU595" s="16">
        <f t="shared" ca="1" si="2230"/>
        <v>6.7649747754754266</v>
      </c>
      <c r="BV595" s="16">
        <f t="shared" ca="1" si="2231"/>
        <v>6.8290779253826583</v>
      </c>
      <c r="BW595" s="16">
        <f t="shared" ref="BW595:BX595" ca="1" si="2240">BW246/BW$419*100</f>
        <v>6.8817564407628744</v>
      </c>
      <c r="BX595" s="16">
        <f t="shared" ca="1" si="2240"/>
        <v>6.9352722472569308</v>
      </c>
      <c r="BY595" s="16">
        <f t="shared" ref="BY595:CD595" ca="1" si="2241">BY246/BY$419*100</f>
        <v>6.9891620803889358</v>
      </c>
      <c r="BZ595" s="16">
        <f t="shared" ca="1" si="2241"/>
        <v>6.9852627938640346</v>
      </c>
      <c r="CA595" s="16">
        <f t="shared" ca="1" si="2241"/>
        <v>6.9737835019252179</v>
      </c>
      <c r="CB595" s="16">
        <f t="shared" ca="1" si="2241"/>
        <v>6.9489286645202775</v>
      </c>
      <c r="CC595" s="16">
        <f t="shared" ca="1" si="2241"/>
        <v>6.9219555281838208</v>
      </c>
      <c r="CD595" s="16">
        <f t="shared" ca="1" si="2241"/>
        <v>6.892415307564705</v>
      </c>
      <c r="CE595" s="16"/>
      <c r="CG595" s="235">
        <f t="shared" ca="1" si="2109"/>
        <v>-1.2929088738385657</v>
      </c>
      <c r="CH595" s="235">
        <f t="shared" ca="1" si="2110"/>
        <v>7.8881251044673029E-2</v>
      </c>
      <c r="CI595" s="235" t="e">
        <f ca="1">BM595-#REF!</f>
        <v>#REF!</v>
      </c>
      <c r="CJ595" s="235">
        <f t="shared" si="2111"/>
        <v>0</v>
      </c>
      <c r="CK595" s="235">
        <f t="shared" ca="1" si="2112"/>
        <v>0</v>
      </c>
      <c r="CL595" s="235">
        <f t="shared" ca="1" si="2113"/>
        <v>0</v>
      </c>
      <c r="CM595" s="235">
        <f t="shared" ca="1" si="2114"/>
        <v>0</v>
      </c>
      <c r="CN595" s="235">
        <f t="shared" ca="1" si="2115"/>
        <v>0</v>
      </c>
      <c r="CO595" s="235">
        <f t="shared" ca="1" si="2116"/>
        <v>0</v>
      </c>
      <c r="CP595" s="235">
        <f t="shared" ca="1" si="2117"/>
        <v>7.1054273576010019E-15</v>
      </c>
      <c r="CQ595" s="235">
        <f t="shared" ca="1" si="2118"/>
        <v>7.9936057773011271E-15</v>
      </c>
      <c r="CR595" s="235">
        <f t="shared" ca="1" si="2119"/>
        <v>1.1546319456101628E-14</v>
      </c>
      <c r="CS595" s="235">
        <f t="shared" ca="1" si="2120"/>
        <v>1.2434497875801753E-14</v>
      </c>
      <c r="CT595" s="235">
        <f t="shared" ca="1" si="2121"/>
        <v>1.5099033134902129E-14</v>
      </c>
      <c r="CU595" s="235">
        <f t="shared" ca="1" si="2122"/>
        <v>1.5099033134902129E-14</v>
      </c>
      <c r="CV595" s="235">
        <f t="shared" ca="1" si="2123"/>
        <v>1.5099033134902129E-14</v>
      </c>
      <c r="CW595" s="235">
        <f t="shared" ca="1" si="2124"/>
        <v>-7.1054273576010019E-15</v>
      </c>
      <c r="CX595" s="235">
        <f t="shared" ca="1" si="2125"/>
        <v>-3.1086244689504383E-13</v>
      </c>
      <c r="CY595" s="235">
        <f t="shared" ca="1" si="2126"/>
        <v>-3.1574742820339452E-12</v>
      </c>
      <c r="CZ595" s="235">
        <f t="shared" ca="1" si="2127"/>
        <v>-2.3916868485684972E-11</v>
      </c>
      <c r="DG595" s="236">
        <v>6.0761666810153621</v>
      </c>
      <c r="DH595" s="492">
        <v>5.5378005014685954</v>
      </c>
      <c r="DI595" s="236">
        <v>5.6879853871118975</v>
      </c>
      <c r="DJ595" s="236">
        <v>6.6875240549619868</v>
      </c>
      <c r="DK595" s="236">
        <v>7.3681659402132897</v>
      </c>
      <c r="DL595" s="236">
        <v>6.7324097004322541</v>
      </c>
      <c r="DM595" s="236">
        <v>6.5384869588888543</v>
      </c>
      <c r="DN595" s="236">
        <v>6.5804648377300339</v>
      </c>
      <c r="DO595" s="236">
        <v>6.6969006739199237</v>
      </c>
      <c r="DP595" s="236">
        <v>6.7649747754754186</v>
      </c>
      <c r="DQ595" s="258">
        <v>6.8290779253826468</v>
      </c>
      <c r="DR595" s="258">
        <v>6.881756440762862</v>
      </c>
      <c r="DS595" s="258">
        <v>6.9352722472569157</v>
      </c>
      <c r="DT595" s="258">
        <v>6.9891620803889207</v>
      </c>
      <c r="DU595" s="258">
        <v>6.9852627938640195</v>
      </c>
      <c r="DV595" s="258">
        <v>6.973783501925225</v>
      </c>
      <c r="DW595" s="258">
        <v>6.9489286645205883</v>
      </c>
      <c r="DX595" s="258">
        <v>6.9219555281869782</v>
      </c>
      <c r="DY595" s="258">
        <v>6.8924153075886219</v>
      </c>
    </row>
    <row r="596" spans="2:129" hidden="1">
      <c r="B596" s="3" t="str">
        <f t="shared" si="2128"/>
        <v>Prijsverlagende subsidies</v>
      </c>
      <c r="F596" s="16">
        <f t="shared" ref="F596:AK596" si="2242">F247/F$419*100</f>
        <v>5.1029642378303892</v>
      </c>
      <c r="G596" s="16">
        <f t="shared" si="2242"/>
        <v>5.6513341243707149</v>
      </c>
      <c r="H596" s="16">
        <f t="shared" si="2242"/>
        <v>5.1337089068147357</v>
      </c>
      <c r="I596" s="16">
        <f t="shared" si="2242"/>
        <v>5.0665623593484446</v>
      </c>
      <c r="J596" s="16">
        <f t="shared" si="2242"/>
        <v>5.870256606226091</v>
      </c>
      <c r="K596" s="16">
        <f t="shared" si="2242"/>
        <v>5.5437494542120405</v>
      </c>
      <c r="L596" s="16">
        <f t="shared" si="2242"/>
        <v>6.6770068197503809</v>
      </c>
      <c r="M596" s="16">
        <f t="shared" si="2242"/>
        <v>6.0572314042776174</v>
      </c>
      <c r="N596" s="16">
        <f t="shared" si="2242"/>
        <v>6.0761318655450518</v>
      </c>
      <c r="O596" s="16">
        <f t="shared" si="2242"/>
        <v>5.4328564661355871</v>
      </c>
      <c r="P596" s="16">
        <f t="shared" si="2242"/>
        <v>5.0186898974044611</v>
      </c>
      <c r="Q596" s="16">
        <f t="shared" si="2242"/>
        <v>5.187684100953617</v>
      </c>
      <c r="R596" s="16">
        <f t="shared" si="2242"/>
        <v>4.1074041090533138</v>
      </c>
      <c r="S596" s="16">
        <f t="shared" si="2242"/>
        <v>3.2437778829681929</v>
      </c>
      <c r="T596" s="16">
        <f t="shared" si="2242"/>
        <v>3.3312586467522149</v>
      </c>
      <c r="U596" s="16">
        <f t="shared" si="2242"/>
        <v>3.7316170841045033</v>
      </c>
      <c r="V596" s="16">
        <f t="shared" si="2242"/>
        <v>3.8569254765098551</v>
      </c>
      <c r="W596" s="16">
        <f t="shared" si="2242"/>
        <v>3.2831936174347836</v>
      </c>
      <c r="X596" s="16">
        <f t="shared" si="2242"/>
        <v>4.4688181341705269</v>
      </c>
      <c r="Y596" s="16">
        <f t="shared" si="2242"/>
        <v>5.0764743239876138</v>
      </c>
      <c r="Z596" s="16">
        <f t="shared" si="2242"/>
        <v>5.4908241610096704</v>
      </c>
      <c r="AA596" s="16">
        <f t="shared" si="2242"/>
        <v>5.7280871502633568</v>
      </c>
      <c r="AB596" s="16">
        <f t="shared" si="2242"/>
        <v>6.3528507790318889</v>
      </c>
      <c r="AC596" s="16">
        <f t="shared" si="2242"/>
        <v>5.3037978552633778</v>
      </c>
      <c r="AD596" s="16">
        <f t="shared" si="2242"/>
        <v>3.8540311121674087</v>
      </c>
      <c r="AE596" s="16">
        <f t="shared" si="2242"/>
        <v>3.0062077772158102</v>
      </c>
      <c r="AF596" s="16">
        <f t="shared" si="2242"/>
        <v>3.0783334749662776</v>
      </c>
      <c r="AG596" s="16">
        <f t="shared" si="2242"/>
        <v>3.057180271631732</v>
      </c>
      <c r="AH596" s="16">
        <f t="shared" si="2242"/>
        <v>3.3486420603618234</v>
      </c>
      <c r="AI596" s="16">
        <f t="shared" si="2242"/>
        <v>3.4626288878623996</v>
      </c>
      <c r="AJ596" s="16">
        <f t="shared" si="2242"/>
        <v>3.3618543107084635</v>
      </c>
      <c r="AK596" s="16">
        <f t="shared" si="2242"/>
        <v>2.2742767630039555</v>
      </c>
      <c r="AL596" s="16">
        <f t="shared" ref="AL596:BQ596" si="2243">AL247/AL$419*100</f>
        <v>3.3169646030508635</v>
      </c>
      <c r="AM596" s="16">
        <f t="shared" si="2243"/>
        <v>2.3901117681247892</v>
      </c>
      <c r="AN596" s="16">
        <f t="shared" si="2243"/>
        <v>1.8553844300060038</v>
      </c>
      <c r="AO596" s="16">
        <f t="shared" si="2243"/>
        <v>2.1909277711115815</v>
      </c>
      <c r="AP596" s="16">
        <f t="shared" si="2243"/>
        <v>1.7723624788022596</v>
      </c>
      <c r="AQ596" s="16">
        <f t="shared" si="2243"/>
        <v>1.4870948205870216</v>
      </c>
      <c r="AR596" s="16">
        <f t="shared" si="2243"/>
        <v>1.3539563386110556</v>
      </c>
      <c r="AS596" s="16">
        <f t="shared" si="2243"/>
        <v>2.3438264551948453</v>
      </c>
      <c r="AT596" s="16">
        <f t="shared" si="2243"/>
        <v>1.9568198696162598</v>
      </c>
      <c r="AU596" s="16">
        <f t="shared" si="2243"/>
        <v>0.64542564012152848</v>
      </c>
      <c r="AV596" s="16">
        <f t="shared" si="2243"/>
        <v>3.1035755548084714</v>
      </c>
      <c r="AW596" s="16">
        <f t="shared" si="2243"/>
        <v>2.6662328354625728</v>
      </c>
      <c r="AX596" s="16">
        <f t="shared" si="2243"/>
        <v>5.3997883029138993</v>
      </c>
      <c r="AY596" s="16">
        <f t="shared" si="2243"/>
        <v>2.9029809475804695</v>
      </c>
      <c r="AZ596" s="16">
        <f t="shared" si="2243"/>
        <v>1.749495540663772</v>
      </c>
      <c r="BA596" s="16">
        <f t="shared" si="2243"/>
        <v>3.28285107837773</v>
      </c>
      <c r="BB596" s="16">
        <f t="shared" si="2243"/>
        <v>3.3828107519201978</v>
      </c>
      <c r="BC596" s="16">
        <f t="shared" si="2243"/>
        <v>2.94351216502583</v>
      </c>
      <c r="BD596" s="16">
        <f t="shared" si="2243"/>
        <v>3.142778460602262</v>
      </c>
      <c r="BE596" s="16">
        <f t="shared" ca="1" si="2243"/>
        <v>2.5666660457815378</v>
      </c>
      <c r="BF596" s="16">
        <f t="shared" ca="1" si="2243"/>
        <v>2.4182664027926957</v>
      </c>
      <c r="BG596" s="16">
        <f t="shared" ca="1" si="2243"/>
        <v>2.4641005010254298</v>
      </c>
      <c r="BH596" s="16">
        <f t="shared" ca="1" si="2243"/>
        <v>2.3418745578327171</v>
      </c>
      <c r="BI596" s="16">
        <f t="shared" ca="1" si="2243"/>
        <v>2.7010659113395978</v>
      </c>
      <c r="BJ596" s="16">
        <f t="shared" ca="1" si="2243"/>
        <v>2.320214501381876</v>
      </c>
      <c r="BK596" s="16">
        <f t="shared" ca="1" si="2243"/>
        <v>2.5351266378037023</v>
      </c>
      <c r="BL596" s="16">
        <f t="shared" ca="1" si="2243"/>
        <v>2.9768413288320321</v>
      </c>
      <c r="BM596" s="16">
        <f t="shared" ca="1" si="2243"/>
        <v>3.1998435737782431</v>
      </c>
      <c r="BN596" s="16">
        <f t="shared" si="2243"/>
        <v>3.0146322551693059</v>
      </c>
      <c r="BO596" s="16">
        <f t="shared" ca="1" si="2243"/>
        <v>3.5443877491298541</v>
      </c>
      <c r="BP596" s="16">
        <f t="shared" ca="1" si="2243"/>
        <v>3.9051279483130448</v>
      </c>
      <c r="BQ596" s="16">
        <f t="shared" ca="1" si="2243"/>
        <v>3.5681771412290968</v>
      </c>
      <c r="BR596" s="16">
        <f t="shared" ca="1" si="2229"/>
        <v>3.4653980882110953</v>
      </c>
      <c r="BS596" s="16">
        <f t="shared" ca="1" si="2229"/>
        <v>3.4876463639969191</v>
      </c>
      <c r="BT596" s="16">
        <f t="shared" ca="1" si="2230"/>
        <v>3.5493573571775641</v>
      </c>
      <c r="BU596" s="16">
        <f t="shared" ca="1" si="2230"/>
        <v>3.5854366310019778</v>
      </c>
      <c r="BV596" s="16">
        <f t="shared" ca="1" si="2231"/>
        <v>3.6194113004528106</v>
      </c>
      <c r="BW596" s="16">
        <f t="shared" ref="BW596:BX596" ca="1" si="2244">BW247/BW$419*100</f>
        <v>3.6473309136043257</v>
      </c>
      <c r="BX596" s="16">
        <f t="shared" ca="1" si="2244"/>
        <v>3.6756942910461761</v>
      </c>
      <c r="BY596" s="16">
        <f t="shared" ref="BY596:CD596" ca="1" si="2245">BY247/BY$419*100</f>
        <v>3.704255902606139</v>
      </c>
      <c r="BZ596" s="16">
        <f t="shared" ca="1" si="2245"/>
        <v>3.7021892807479424</v>
      </c>
      <c r="CA596" s="16">
        <f t="shared" ca="1" si="2245"/>
        <v>3.6961052560203727</v>
      </c>
      <c r="CB596" s="16">
        <f t="shared" ca="1" si="2245"/>
        <v>3.6829321921957572</v>
      </c>
      <c r="CC596" s="16">
        <f t="shared" ca="1" si="2245"/>
        <v>3.6686364299374392</v>
      </c>
      <c r="CD596" s="16">
        <f t="shared" ca="1" si="2245"/>
        <v>3.6529801130093134</v>
      </c>
      <c r="CE596" s="16"/>
      <c r="CG596" s="235">
        <f t="shared" ca="1" si="2109"/>
        <v>-0.68524170313443911</v>
      </c>
      <c r="CH596" s="235">
        <f t="shared" ca="1" si="2110"/>
        <v>4.180706305367643E-2</v>
      </c>
      <c r="CI596" s="235" t="e">
        <f ca="1">BM596-#REF!</f>
        <v>#REF!</v>
      </c>
      <c r="CJ596" s="235">
        <f t="shared" si="2111"/>
        <v>0</v>
      </c>
      <c r="CK596" s="235">
        <f t="shared" ca="1" si="2112"/>
        <v>0</v>
      </c>
      <c r="CL596" s="235">
        <f t="shared" ca="1" si="2113"/>
        <v>0</v>
      </c>
      <c r="CM596" s="235">
        <f t="shared" ca="1" si="2114"/>
        <v>0</v>
      </c>
      <c r="CN596" s="235">
        <f t="shared" ca="1" si="2115"/>
        <v>0</v>
      </c>
      <c r="CO596" s="235">
        <f t="shared" ca="1" si="2116"/>
        <v>0</v>
      </c>
      <c r="CP596" s="235">
        <f t="shared" ca="1" si="2117"/>
        <v>3.9968028886505635E-15</v>
      </c>
      <c r="CQ596" s="235">
        <f t="shared" ca="1" si="2118"/>
        <v>3.9968028886505635E-15</v>
      </c>
      <c r="CR596" s="235">
        <f t="shared" ca="1" si="2119"/>
        <v>6.6613381477509392E-15</v>
      </c>
      <c r="CS596" s="235">
        <f t="shared" ca="1" si="2120"/>
        <v>7.1054273576010019E-15</v>
      </c>
      <c r="CT596" s="235">
        <f t="shared" ca="1" si="2121"/>
        <v>7.9936057773011271E-15</v>
      </c>
      <c r="CU596" s="235">
        <f t="shared" ca="1" si="2122"/>
        <v>6.6613381477509392E-15</v>
      </c>
      <c r="CV596" s="235">
        <f t="shared" ca="1" si="2123"/>
        <v>8.4376949871511897E-15</v>
      </c>
      <c r="CW596" s="235">
        <f t="shared" ca="1" si="2124"/>
        <v>0</v>
      </c>
      <c r="CX596" s="235">
        <f t="shared" ca="1" si="2125"/>
        <v>-1.4432899320127035E-13</v>
      </c>
      <c r="CY596" s="235">
        <f t="shared" ca="1" si="2126"/>
        <v>-1.4521717162097048E-12</v>
      </c>
      <c r="CZ596" s="235">
        <f t="shared" ca="1" si="2127"/>
        <v>-1.0587086762825493E-11</v>
      </c>
      <c r="DG596" s="236">
        <v>3.2203683409381414</v>
      </c>
      <c r="DH596" s="492">
        <v>2.9350342657783557</v>
      </c>
      <c r="DI596" s="236">
        <v>3.0146322551693059</v>
      </c>
      <c r="DJ596" s="236">
        <v>3.5443877491298528</v>
      </c>
      <c r="DK596" s="236">
        <v>3.9051279483130426</v>
      </c>
      <c r="DL596" s="236">
        <v>3.5681771412290946</v>
      </c>
      <c r="DM596" s="236">
        <v>3.4653980882110935</v>
      </c>
      <c r="DN596" s="236">
        <v>3.4876463639969186</v>
      </c>
      <c r="DO596" s="236">
        <v>3.5493573571775601</v>
      </c>
      <c r="DP596" s="236">
        <v>3.5854366310019739</v>
      </c>
      <c r="DQ596" s="258">
        <v>3.6194113004528039</v>
      </c>
      <c r="DR596" s="258">
        <v>3.6473309136043186</v>
      </c>
      <c r="DS596" s="258">
        <v>3.6756942910461681</v>
      </c>
      <c r="DT596" s="258">
        <v>3.7042559026061324</v>
      </c>
      <c r="DU596" s="258">
        <v>3.702189280747934</v>
      </c>
      <c r="DV596" s="258">
        <v>3.696105256020374</v>
      </c>
      <c r="DW596" s="258">
        <v>3.6829321921959015</v>
      </c>
      <c r="DX596" s="258">
        <v>3.6686364299388914</v>
      </c>
      <c r="DY596" s="258">
        <v>3.6529801130199004</v>
      </c>
    </row>
    <row r="597" spans="2:129" hidden="1">
      <c r="B597" s="3" t="str">
        <f t="shared" si="2128"/>
        <v>Transfers</v>
      </c>
      <c r="F597" s="16">
        <f t="shared" ref="F597:AK597" si="2246">F248/F$419*100</f>
        <v>0</v>
      </c>
      <c r="G597" s="16">
        <f t="shared" si="2246"/>
        <v>0</v>
      </c>
      <c r="H597" s="16">
        <f t="shared" si="2246"/>
        <v>0</v>
      </c>
      <c r="I597" s="16">
        <f t="shared" si="2246"/>
        <v>0</v>
      </c>
      <c r="J597" s="16">
        <f t="shared" si="2246"/>
        <v>0</v>
      </c>
      <c r="K597" s="16">
        <f t="shared" si="2246"/>
        <v>0</v>
      </c>
      <c r="L597" s="16">
        <f t="shared" si="2246"/>
        <v>0</v>
      </c>
      <c r="M597" s="16">
        <f t="shared" si="2246"/>
        <v>0</v>
      </c>
      <c r="N597" s="16">
        <f t="shared" si="2246"/>
        <v>0</v>
      </c>
      <c r="O597" s="16">
        <f t="shared" si="2246"/>
        <v>0</v>
      </c>
      <c r="P597" s="16">
        <f t="shared" si="2246"/>
        <v>0</v>
      </c>
      <c r="Q597" s="16">
        <f t="shared" si="2246"/>
        <v>0</v>
      </c>
      <c r="R597" s="16">
        <f t="shared" si="2246"/>
        <v>0</v>
      </c>
      <c r="S597" s="16">
        <f t="shared" si="2246"/>
        <v>0</v>
      </c>
      <c r="T597" s="16">
        <f t="shared" si="2246"/>
        <v>0</v>
      </c>
      <c r="U597" s="16">
        <f t="shared" si="2246"/>
        <v>0</v>
      </c>
      <c r="V597" s="16">
        <f t="shared" si="2246"/>
        <v>0</v>
      </c>
      <c r="W597" s="16">
        <f t="shared" si="2246"/>
        <v>0</v>
      </c>
      <c r="X597" s="16">
        <f t="shared" si="2246"/>
        <v>0</v>
      </c>
      <c r="Y597" s="16">
        <f t="shared" si="2246"/>
        <v>0</v>
      </c>
      <c r="Z597" s="16">
        <f t="shared" si="2246"/>
        <v>0</v>
      </c>
      <c r="AA597" s="16">
        <f t="shared" si="2246"/>
        <v>0</v>
      </c>
      <c r="AB597" s="16">
        <f t="shared" si="2246"/>
        <v>0</v>
      </c>
      <c r="AC597" s="16">
        <f t="shared" si="2246"/>
        <v>0</v>
      </c>
      <c r="AD597" s="16">
        <f t="shared" si="2246"/>
        <v>0</v>
      </c>
      <c r="AE597" s="16">
        <f t="shared" si="2246"/>
        <v>0</v>
      </c>
      <c r="AF597" s="16">
        <f t="shared" si="2246"/>
        <v>0</v>
      </c>
      <c r="AG597" s="16">
        <f t="shared" si="2246"/>
        <v>0</v>
      </c>
      <c r="AH597" s="16">
        <f t="shared" si="2246"/>
        <v>0</v>
      </c>
      <c r="AI597" s="16">
        <f t="shared" si="2246"/>
        <v>0</v>
      </c>
      <c r="AJ597" s="16">
        <f t="shared" si="2246"/>
        <v>0</v>
      </c>
      <c r="AK597" s="16">
        <f t="shared" si="2246"/>
        <v>0</v>
      </c>
      <c r="AL597" s="16">
        <f t="shared" ref="AL597:BQ597" si="2247">AL248/AL$419*100</f>
        <v>0</v>
      </c>
      <c r="AM597" s="16">
        <f t="shared" si="2247"/>
        <v>0</v>
      </c>
      <c r="AN597" s="16">
        <f t="shared" si="2247"/>
        <v>0</v>
      </c>
      <c r="AO597" s="16">
        <f t="shared" si="2247"/>
        <v>0</v>
      </c>
      <c r="AP597" s="16">
        <f t="shared" si="2247"/>
        <v>0</v>
      </c>
      <c r="AQ597" s="16">
        <f t="shared" si="2247"/>
        <v>0</v>
      </c>
      <c r="AR597" s="16">
        <f t="shared" si="2247"/>
        <v>0</v>
      </c>
      <c r="AS597" s="16">
        <f t="shared" si="2247"/>
        <v>0</v>
      </c>
      <c r="AT597" s="16">
        <f t="shared" si="2247"/>
        <v>0</v>
      </c>
      <c r="AU597" s="16">
        <f t="shared" si="2247"/>
        <v>0</v>
      </c>
      <c r="AV597" s="16">
        <f t="shared" si="2247"/>
        <v>0</v>
      </c>
      <c r="AW597" s="16">
        <f t="shared" si="2247"/>
        <v>0</v>
      </c>
      <c r="AX597" s="16">
        <f t="shared" si="2247"/>
        <v>0</v>
      </c>
      <c r="AY597" s="16">
        <f t="shared" si="2247"/>
        <v>0</v>
      </c>
      <c r="AZ597" s="16">
        <f t="shared" si="2247"/>
        <v>0</v>
      </c>
      <c r="BA597" s="16">
        <f t="shared" si="2247"/>
        <v>0</v>
      </c>
      <c r="BB597" s="16">
        <f t="shared" si="2247"/>
        <v>0</v>
      </c>
      <c r="BC597" s="16">
        <f t="shared" si="2247"/>
        <v>0</v>
      </c>
      <c r="BD597" s="16">
        <f t="shared" si="2247"/>
        <v>0</v>
      </c>
      <c r="BE597" s="16">
        <f t="shared" ca="1" si="2247"/>
        <v>0</v>
      </c>
      <c r="BF597" s="16">
        <f t="shared" ca="1" si="2247"/>
        <v>0</v>
      </c>
      <c r="BG597" s="16">
        <f t="shared" ca="1" si="2247"/>
        <v>0</v>
      </c>
      <c r="BH597" s="16">
        <f t="shared" ca="1" si="2247"/>
        <v>0</v>
      </c>
      <c r="BI597" s="16">
        <f t="shared" ca="1" si="2247"/>
        <v>0</v>
      </c>
      <c r="BJ597" s="16">
        <f t="shared" ca="1" si="2247"/>
        <v>0</v>
      </c>
      <c r="BK597" s="16">
        <f t="shared" ca="1" si="2247"/>
        <v>0</v>
      </c>
      <c r="BL597" s="16">
        <f t="shared" ca="1" si="2247"/>
        <v>0</v>
      </c>
      <c r="BM597" s="16">
        <f t="shared" ca="1" si="2247"/>
        <v>0</v>
      </c>
      <c r="BN597" s="16">
        <f t="shared" si="2247"/>
        <v>0</v>
      </c>
      <c r="BO597" s="16">
        <f t="shared" ca="1" si="2247"/>
        <v>0</v>
      </c>
      <c r="BP597" s="16">
        <f t="shared" ca="1" si="2247"/>
        <v>0</v>
      </c>
      <c r="BQ597" s="16">
        <f t="shared" ca="1" si="2247"/>
        <v>0</v>
      </c>
      <c r="BR597" s="16">
        <f t="shared" ca="1" si="2229"/>
        <v>0</v>
      </c>
      <c r="BS597" s="16">
        <f t="shared" ca="1" si="2229"/>
        <v>0</v>
      </c>
      <c r="BT597" s="16">
        <f t="shared" ca="1" si="2230"/>
        <v>0</v>
      </c>
      <c r="BU597" s="16">
        <f t="shared" ca="1" si="2230"/>
        <v>0</v>
      </c>
      <c r="BV597" s="16">
        <f t="shared" ca="1" si="2231"/>
        <v>0</v>
      </c>
      <c r="BW597" s="16">
        <f t="shared" ref="BW597:BX597" ca="1" si="2248">BW248/BW$419*100</f>
        <v>0</v>
      </c>
      <c r="BX597" s="16">
        <f t="shared" ca="1" si="2248"/>
        <v>0</v>
      </c>
      <c r="BY597" s="16">
        <f t="shared" ref="BY597:CD597" ca="1" si="2249">BY248/BY$419*100</f>
        <v>0</v>
      </c>
      <c r="BZ597" s="16">
        <f t="shared" ca="1" si="2249"/>
        <v>0</v>
      </c>
      <c r="CA597" s="16">
        <f t="shared" ca="1" si="2249"/>
        <v>0</v>
      </c>
      <c r="CB597" s="16">
        <f t="shared" ca="1" si="2249"/>
        <v>0</v>
      </c>
      <c r="CC597" s="16">
        <f t="shared" ca="1" si="2249"/>
        <v>0</v>
      </c>
      <c r="CD597" s="16">
        <f t="shared" ca="1" si="2249"/>
        <v>0</v>
      </c>
      <c r="CE597" s="16"/>
      <c r="CG597" s="235">
        <f t="shared" ca="1" si="2109"/>
        <v>0</v>
      </c>
      <c r="CH597" s="235">
        <f t="shared" ca="1" si="2110"/>
        <v>0</v>
      </c>
      <c r="CI597" s="235" t="e">
        <f ca="1">BM597-#REF!</f>
        <v>#REF!</v>
      </c>
      <c r="CJ597" s="235">
        <f t="shared" si="2111"/>
        <v>0</v>
      </c>
      <c r="CK597" s="235">
        <f t="shared" ca="1" si="2112"/>
        <v>0</v>
      </c>
      <c r="CL597" s="235">
        <f t="shared" ca="1" si="2113"/>
        <v>0</v>
      </c>
      <c r="CM597" s="235">
        <f t="shared" ca="1" si="2114"/>
        <v>0</v>
      </c>
      <c r="CN597" s="235">
        <f t="shared" ca="1" si="2115"/>
        <v>0</v>
      </c>
      <c r="CO597" s="235">
        <f t="shared" ca="1" si="2116"/>
        <v>0</v>
      </c>
      <c r="CP597" s="235">
        <f t="shared" ca="1" si="2117"/>
        <v>0</v>
      </c>
      <c r="CQ597" s="235">
        <f t="shared" ca="1" si="2118"/>
        <v>0</v>
      </c>
      <c r="CR597" s="235">
        <f t="shared" ca="1" si="2119"/>
        <v>0</v>
      </c>
      <c r="CS597" s="235">
        <f t="shared" ca="1" si="2120"/>
        <v>0</v>
      </c>
      <c r="CT597" s="235">
        <f t="shared" ca="1" si="2121"/>
        <v>0</v>
      </c>
      <c r="CU597" s="235">
        <f t="shared" ca="1" si="2122"/>
        <v>0</v>
      </c>
      <c r="CV597" s="235">
        <f t="shared" ca="1" si="2123"/>
        <v>0</v>
      </c>
      <c r="CW597" s="235">
        <f t="shared" ca="1" si="2124"/>
        <v>0</v>
      </c>
      <c r="CX597" s="235">
        <f t="shared" ca="1" si="2125"/>
        <v>0</v>
      </c>
      <c r="CY597" s="235">
        <f t="shared" ca="1" si="2126"/>
        <v>0</v>
      </c>
      <c r="CZ597" s="235">
        <f t="shared" ca="1" si="2127"/>
        <v>0</v>
      </c>
      <c r="DG597" s="236">
        <v>0</v>
      </c>
      <c r="DH597" s="492">
        <v>0</v>
      </c>
      <c r="DI597" s="236">
        <v>0</v>
      </c>
      <c r="DJ597" s="236">
        <v>0</v>
      </c>
      <c r="DK597" s="236">
        <v>0</v>
      </c>
      <c r="DL597" s="236">
        <v>0</v>
      </c>
      <c r="DM597" s="236">
        <v>0</v>
      </c>
      <c r="DN597" s="236">
        <v>0</v>
      </c>
      <c r="DO597" s="236">
        <v>0</v>
      </c>
      <c r="DP597" s="236">
        <v>0</v>
      </c>
      <c r="DQ597" s="258">
        <v>0</v>
      </c>
      <c r="DR597" s="258">
        <v>0</v>
      </c>
      <c r="DS597" s="258">
        <v>0</v>
      </c>
      <c r="DT597" s="258">
        <v>0</v>
      </c>
      <c r="DU597" s="258">
        <v>0</v>
      </c>
      <c r="DV597" s="258">
        <v>0</v>
      </c>
      <c r="DW597" s="258">
        <v>0</v>
      </c>
      <c r="DX597" s="258">
        <v>0</v>
      </c>
      <c r="DY597" s="258">
        <v>0</v>
      </c>
    </row>
    <row r="598" spans="2:129" hidden="1">
      <c r="B598" s="3" t="str">
        <f t="shared" si="2128"/>
        <v xml:space="preserve">Inkomensoverdrachten om niet van de overheid </v>
      </c>
      <c r="F598" s="16">
        <f t="shared" ref="F598:AK598" si="2250">F249/F$419*100</f>
        <v>0</v>
      </c>
      <c r="G598" s="16">
        <f t="shared" si="2250"/>
        <v>0</v>
      </c>
      <c r="H598" s="16">
        <f t="shared" si="2250"/>
        <v>0</v>
      </c>
      <c r="I598" s="16">
        <f t="shared" si="2250"/>
        <v>0</v>
      </c>
      <c r="J598" s="16">
        <f t="shared" si="2250"/>
        <v>0</v>
      </c>
      <c r="K598" s="16">
        <f t="shared" si="2250"/>
        <v>0</v>
      </c>
      <c r="L598" s="16">
        <f t="shared" si="2250"/>
        <v>0</v>
      </c>
      <c r="M598" s="16">
        <f t="shared" si="2250"/>
        <v>0</v>
      </c>
      <c r="N598" s="16">
        <f t="shared" si="2250"/>
        <v>0</v>
      </c>
      <c r="O598" s="16">
        <f t="shared" si="2250"/>
        <v>0</v>
      </c>
      <c r="P598" s="16">
        <f t="shared" si="2250"/>
        <v>0</v>
      </c>
      <c r="Q598" s="16">
        <f t="shared" si="2250"/>
        <v>0</v>
      </c>
      <c r="R598" s="16">
        <f t="shared" si="2250"/>
        <v>0</v>
      </c>
      <c r="S598" s="16">
        <f t="shared" si="2250"/>
        <v>0</v>
      </c>
      <c r="T598" s="16">
        <f t="shared" si="2250"/>
        <v>0</v>
      </c>
      <c r="U598" s="16">
        <f t="shared" si="2250"/>
        <v>0</v>
      </c>
      <c r="V598" s="16">
        <f t="shared" si="2250"/>
        <v>0</v>
      </c>
      <c r="W598" s="16">
        <f t="shared" si="2250"/>
        <v>0</v>
      </c>
      <c r="X598" s="16">
        <f t="shared" si="2250"/>
        <v>0</v>
      </c>
      <c r="Y598" s="16">
        <f t="shared" si="2250"/>
        <v>0</v>
      </c>
      <c r="Z598" s="16">
        <f t="shared" si="2250"/>
        <v>0</v>
      </c>
      <c r="AA598" s="16">
        <f t="shared" si="2250"/>
        <v>0</v>
      </c>
      <c r="AB598" s="16">
        <f t="shared" si="2250"/>
        <v>0</v>
      </c>
      <c r="AC598" s="16">
        <f t="shared" si="2250"/>
        <v>0</v>
      </c>
      <c r="AD598" s="16">
        <f t="shared" si="2250"/>
        <v>0</v>
      </c>
      <c r="AE598" s="16">
        <f t="shared" si="2250"/>
        <v>0</v>
      </c>
      <c r="AF598" s="16">
        <f t="shared" si="2250"/>
        <v>0</v>
      </c>
      <c r="AG598" s="16">
        <f t="shared" si="2250"/>
        <v>0</v>
      </c>
      <c r="AH598" s="16">
        <f t="shared" si="2250"/>
        <v>0</v>
      </c>
      <c r="AI598" s="16">
        <f t="shared" si="2250"/>
        <v>0</v>
      </c>
      <c r="AJ598" s="16">
        <f t="shared" si="2250"/>
        <v>0</v>
      </c>
      <c r="AK598" s="16">
        <f t="shared" si="2250"/>
        <v>0</v>
      </c>
      <c r="AL598" s="16">
        <f t="shared" ref="AL598:BQ598" si="2251">AL249/AL$419*100</f>
        <v>0</v>
      </c>
      <c r="AM598" s="16">
        <f t="shared" si="2251"/>
        <v>0</v>
      </c>
      <c r="AN598" s="16">
        <f t="shared" si="2251"/>
        <v>0</v>
      </c>
      <c r="AO598" s="16">
        <f t="shared" si="2251"/>
        <v>0</v>
      </c>
      <c r="AP598" s="16">
        <f t="shared" si="2251"/>
        <v>0</v>
      </c>
      <c r="AQ598" s="16">
        <f t="shared" si="2251"/>
        <v>0</v>
      </c>
      <c r="AR598" s="16">
        <f t="shared" si="2251"/>
        <v>0</v>
      </c>
      <c r="AS598" s="16">
        <f t="shared" si="2251"/>
        <v>0</v>
      </c>
      <c r="AT598" s="16">
        <f t="shared" si="2251"/>
        <v>59.66890281702841</v>
      </c>
      <c r="AU598" s="16">
        <f t="shared" si="2251"/>
        <v>0</v>
      </c>
      <c r="AV598" s="16">
        <f t="shared" si="2251"/>
        <v>8.9618334696736532</v>
      </c>
      <c r="AW598" s="16">
        <f t="shared" si="2251"/>
        <v>3.5022802915918638</v>
      </c>
      <c r="AX598" s="16">
        <f t="shared" si="2251"/>
        <v>5.1324082989805317</v>
      </c>
      <c r="AY598" s="16">
        <f t="shared" si="2251"/>
        <v>2.157560798784282</v>
      </c>
      <c r="AZ598" s="16">
        <f t="shared" si="2251"/>
        <v>3.4091485559430867</v>
      </c>
      <c r="BA598" s="16">
        <f t="shared" si="2251"/>
        <v>2.9697510012984223</v>
      </c>
      <c r="BB598" s="16">
        <f t="shared" si="2251"/>
        <v>3.0086817044129512</v>
      </c>
      <c r="BC598" s="16">
        <f t="shared" si="2251"/>
        <v>2.6197986719202615</v>
      </c>
      <c r="BD598" s="16">
        <f t="shared" si="2251"/>
        <v>2.7920535742916273</v>
      </c>
      <c r="BE598" s="16">
        <f t="shared" ca="1" si="2251"/>
        <v>2.2784837339803783</v>
      </c>
      <c r="BF598" s="16">
        <f t="shared" ca="1" si="2251"/>
        <v>2.1445003949293708</v>
      </c>
      <c r="BG598" s="16">
        <f t="shared" ca="1" si="2251"/>
        <v>2.1851457273244375</v>
      </c>
      <c r="BH598" s="16">
        <f t="shared" ca="1" si="2251"/>
        <v>2.0767566833610882</v>
      </c>
      <c r="BI598" s="16">
        <f t="shared" ca="1" si="2251"/>
        <v>2.3952848647728513</v>
      </c>
      <c r="BJ598" s="16">
        <f t="shared" ca="1" si="2251"/>
        <v>2.0575487087726061</v>
      </c>
      <c r="BK598" s="16">
        <f t="shared" ca="1" si="2251"/>
        <v>2.2481311693730945</v>
      </c>
      <c r="BL598" s="16">
        <f t="shared" ca="1" si="2251"/>
        <v>2.6398404236812363</v>
      </c>
      <c r="BM598" s="16">
        <f t="shared" ca="1" si="2251"/>
        <v>2.8375971314637249</v>
      </c>
      <c r="BN598" s="16">
        <f t="shared" si="2251"/>
        <v>2.6733531319425916</v>
      </c>
      <c r="BO598" s="16">
        <f t="shared" ca="1" si="2251"/>
        <v>3.1431363058321353</v>
      </c>
      <c r="BP598" s="16">
        <f t="shared" ca="1" si="2251"/>
        <v>3.4630379919002467</v>
      </c>
      <c r="BQ598" s="16">
        <f t="shared" ca="1" si="2251"/>
        <v>3.1642325592031608</v>
      </c>
      <c r="BR598" s="16">
        <f t="shared" ca="1" si="2229"/>
        <v>3.0730888706777639</v>
      </c>
      <c r="BS598" s="16">
        <f t="shared" ca="1" si="2229"/>
        <v>3.0928184737331175</v>
      </c>
      <c r="BT598" s="16">
        <f t="shared" ca="1" si="2230"/>
        <v>3.1475433167423681</v>
      </c>
      <c r="BU598" s="16">
        <f t="shared" ca="1" si="2230"/>
        <v>3.1795381444734523</v>
      </c>
      <c r="BV598" s="16">
        <f t="shared" ca="1" si="2231"/>
        <v>3.20966662492985</v>
      </c>
      <c r="BW598" s="16">
        <f t="shared" ref="BW598:BX598" ca="1" si="2252">BW249/BW$419*100</f>
        <v>3.2344255271585527</v>
      </c>
      <c r="BX598" s="16">
        <f t="shared" ca="1" si="2252"/>
        <v>3.2595779562107596</v>
      </c>
      <c r="BY598" s="16">
        <f t="shared" ref="BY598:CD598" ca="1" si="2253">BY249/BY$419*100</f>
        <v>3.284906177782803</v>
      </c>
      <c r="BZ598" s="16">
        <f t="shared" ca="1" si="2253"/>
        <v>3.2830735131160997</v>
      </c>
      <c r="CA598" s="16">
        <f t="shared" ca="1" si="2253"/>
        <v>3.2776782459048581</v>
      </c>
      <c r="CB598" s="16">
        <f t="shared" ca="1" si="2253"/>
        <v>3.2659964723245385</v>
      </c>
      <c r="CC598" s="16">
        <f t="shared" ca="1" si="2253"/>
        <v>3.2533190982464077</v>
      </c>
      <c r="CD598" s="16">
        <f t="shared" ca="1" si="2253"/>
        <v>3.2394351945554281</v>
      </c>
      <c r="CE598" s="16"/>
      <c r="CG598" s="235">
        <f t="shared" ca="1" si="2109"/>
        <v>-0.60766717070412524</v>
      </c>
      <c r="CH598" s="235">
        <f t="shared" ca="1" si="2110"/>
        <v>3.7074187990996155E-2</v>
      </c>
      <c r="CI598" s="235" t="e">
        <f ca="1">BM598-#REF!</f>
        <v>#REF!</v>
      </c>
      <c r="CJ598" s="235">
        <f t="shared" si="2111"/>
        <v>0</v>
      </c>
      <c r="CK598" s="235">
        <f t="shared" ca="1" si="2112"/>
        <v>0</v>
      </c>
      <c r="CL598" s="235">
        <f t="shared" ca="1" si="2113"/>
        <v>0</v>
      </c>
      <c r="CM598" s="235">
        <f t="shared" ca="1" si="2114"/>
        <v>0</v>
      </c>
      <c r="CN598" s="235">
        <f t="shared" ca="1" si="2115"/>
        <v>0</v>
      </c>
      <c r="CO598" s="235">
        <f t="shared" ca="1" si="2116"/>
        <v>0</v>
      </c>
      <c r="CP598" s="235">
        <f t="shared" ca="1" si="2117"/>
        <v>0</v>
      </c>
      <c r="CQ598" s="235">
        <f t="shared" ca="1" si="2118"/>
        <v>0</v>
      </c>
      <c r="CR598" s="235">
        <f t="shared" ca="1" si="2119"/>
        <v>4.8849813083506888E-15</v>
      </c>
      <c r="CS598" s="235">
        <f t="shared" ca="1" si="2120"/>
        <v>5.3290705182007514E-15</v>
      </c>
      <c r="CT598" s="235">
        <f t="shared" ca="1" si="2121"/>
        <v>7.1054273576010019E-15</v>
      </c>
      <c r="CU598" s="235">
        <f t="shared" ca="1" si="2122"/>
        <v>6.2172489379008766E-15</v>
      </c>
      <c r="CV598" s="235">
        <f t="shared" ca="1" si="2123"/>
        <v>6.6613381477509392E-15</v>
      </c>
      <c r="CW598" s="235">
        <f t="shared" ca="1" si="2124"/>
        <v>0</v>
      </c>
      <c r="CX598" s="235">
        <f t="shared" ca="1" si="2125"/>
        <v>-1.2922996006636822E-13</v>
      </c>
      <c r="CY598" s="235">
        <f t="shared" ca="1" si="2126"/>
        <v>-1.2891909761947318E-12</v>
      </c>
      <c r="CZ598" s="235">
        <f t="shared" ca="1" si="2127"/>
        <v>-9.389822253069724E-12</v>
      </c>
      <c r="DG598" s="236">
        <v>2.8557983400772198</v>
      </c>
      <c r="DH598" s="492">
        <v>2.6027662356902401</v>
      </c>
      <c r="DI598" s="236">
        <v>2.6733531319425916</v>
      </c>
      <c r="DJ598" s="236">
        <v>3.143136305832134</v>
      </c>
      <c r="DK598" s="236">
        <v>3.4630379919002459</v>
      </c>
      <c r="DL598" s="236">
        <v>3.1642325592031604</v>
      </c>
      <c r="DM598" s="236">
        <v>3.0730888706777635</v>
      </c>
      <c r="DN598" s="236">
        <v>3.0928184737331175</v>
      </c>
      <c r="DO598" s="236">
        <v>3.1475433167423654</v>
      </c>
      <c r="DP598" s="236">
        <v>3.1795381444734492</v>
      </c>
      <c r="DQ598" s="258">
        <v>3.2096666249298451</v>
      </c>
      <c r="DR598" s="258">
        <v>3.2344255271585474</v>
      </c>
      <c r="DS598" s="258">
        <v>3.2595779562107525</v>
      </c>
      <c r="DT598" s="258">
        <v>3.2849061777827968</v>
      </c>
      <c r="DU598" s="258">
        <v>3.2830735131160931</v>
      </c>
      <c r="DV598" s="258">
        <v>3.2776782459048608</v>
      </c>
      <c r="DW598" s="258">
        <v>3.2659964723246677</v>
      </c>
      <c r="DX598" s="258">
        <v>3.2533190982476969</v>
      </c>
      <c r="DY598" s="258">
        <v>3.2394351945648179</v>
      </c>
    </row>
    <row r="599" spans="2:129" hidden="1">
      <c r="B599" s="3" t="str">
        <f t="shared" si="2128"/>
        <v>Inkomensoverdrachten om niet van de overheid aan het buitenland</v>
      </c>
      <c r="F599" s="16">
        <f t="shared" ref="F599:AK599" si="2254">F250/F$419*100</f>
        <v>0</v>
      </c>
      <c r="G599" s="16">
        <f t="shared" si="2254"/>
        <v>0</v>
      </c>
      <c r="H599" s="16">
        <f t="shared" si="2254"/>
        <v>0</v>
      </c>
      <c r="I599" s="16">
        <f t="shared" si="2254"/>
        <v>0</v>
      </c>
      <c r="J599" s="16">
        <f t="shared" si="2254"/>
        <v>0</v>
      </c>
      <c r="K599" s="16">
        <f t="shared" si="2254"/>
        <v>0</v>
      </c>
      <c r="L599" s="16">
        <f t="shared" si="2254"/>
        <v>0</v>
      </c>
      <c r="M599" s="16">
        <f t="shared" si="2254"/>
        <v>0</v>
      </c>
      <c r="N599" s="16">
        <f t="shared" si="2254"/>
        <v>0</v>
      </c>
      <c r="O599" s="16">
        <f t="shared" si="2254"/>
        <v>0</v>
      </c>
      <c r="P599" s="16">
        <f t="shared" si="2254"/>
        <v>0</v>
      </c>
      <c r="Q599" s="16">
        <f t="shared" si="2254"/>
        <v>0</v>
      </c>
      <c r="R599" s="16">
        <f t="shared" si="2254"/>
        <v>0</v>
      </c>
      <c r="S599" s="16">
        <f t="shared" si="2254"/>
        <v>0</v>
      </c>
      <c r="T599" s="16">
        <f t="shared" si="2254"/>
        <v>0</v>
      </c>
      <c r="U599" s="16">
        <f t="shared" si="2254"/>
        <v>0</v>
      </c>
      <c r="V599" s="16">
        <f t="shared" si="2254"/>
        <v>0</v>
      </c>
      <c r="W599" s="16">
        <f t="shared" si="2254"/>
        <v>0</v>
      </c>
      <c r="X599" s="16">
        <f t="shared" si="2254"/>
        <v>0</v>
      </c>
      <c r="Y599" s="16">
        <f t="shared" si="2254"/>
        <v>0</v>
      </c>
      <c r="Z599" s="16">
        <f t="shared" si="2254"/>
        <v>0</v>
      </c>
      <c r="AA599" s="16">
        <f t="shared" si="2254"/>
        <v>0</v>
      </c>
      <c r="AB599" s="16">
        <f t="shared" si="2254"/>
        <v>0</v>
      </c>
      <c r="AC599" s="16">
        <f t="shared" si="2254"/>
        <v>0</v>
      </c>
      <c r="AD599" s="16">
        <f t="shared" si="2254"/>
        <v>0</v>
      </c>
      <c r="AE599" s="16">
        <f t="shared" si="2254"/>
        <v>0</v>
      </c>
      <c r="AF599" s="16">
        <f t="shared" si="2254"/>
        <v>0</v>
      </c>
      <c r="AG599" s="16">
        <f t="shared" si="2254"/>
        <v>0</v>
      </c>
      <c r="AH599" s="16">
        <f t="shared" si="2254"/>
        <v>0</v>
      </c>
      <c r="AI599" s="16">
        <f t="shared" si="2254"/>
        <v>0</v>
      </c>
      <c r="AJ599" s="16">
        <f t="shared" si="2254"/>
        <v>0</v>
      </c>
      <c r="AK599" s="16">
        <f t="shared" si="2254"/>
        <v>0</v>
      </c>
      <c r="AL599" s="16">
        <f t="shared" ref="AL599:BQ599" si="2255">AL250/AL$419*100</f>
        <v>0</v>
      </c>
      <c r="AM599" s="16">
        <f t="shared" si="2255"/>
        <v>0</v>
      </c>
      <c r="AN599" s="16">
        <f t="shared" si="2255"/>
        <v>0</v>
      </c>
      <c r="AO599" s="16">
        <f t="shared" si="2255"/>
        <v>0</v>
      </c>
      <c r="AP599" s="16">
        <f t="shared" si="2255"/>
        <v>0</v>
      </c>
      <c r="AQ599" s="16">
        <f t="shared" si="2255"/>
        <v>0</v>
      </c>
      <c r="AR599" s="16">
        <f t="shared" si="2255"/>
        <v>0</v>
      </c>
      <c r="AS599" s="16">
        <f t="shared" si="2255"/>
        <v>0</v>
      </c>
      <c r="AT599" s="16">
        <f t="shared" si="2255"/>
        <v>0</v>
      </c>
      <c r="AU599" s="16">
        <f t="shared" si="2255"/>
        <v>0</v>
      </c>
      <c r="AV599" s="16">
        <f t="shared" si="2255"/>
        <v>0.18434089323134614</v>
      </c>
      <c r="AW599" s="16">
        <f t="shared" si="2255"/>
        <v>0.15273705243149885</v>
      </c>
      <c r="AX599" s="16">
        <f t="shared" si="2255"/>
        <v>0.12540434996921665</v>
      </c>
      <c r="AY599" s="16">
        <f t="shared" si="2255"/>
        <v>0.11565879598303881</v>
      </c>
      <c r="AZ599" s="16">
        <f t="shared" si="2255"/>
        <v>7.1671766194216766E-2</v>
      </c>
      <c r="BA599" s="16">
        <f t="shared" si="2255"/>
        <v>8.1731678365474264E-2</v>
      </c>
      <c r="BB599" s="16">
        <f t="shared" si="2255"/>
        <v>4.5910024484609818E-2</v>
      </c>
      <c r="BC599" s="16">
        <f t="shared" si="2255"/>
        <v>0.42427226820971209</v>
      </c>
      <c r="BD599" s="16">
        <f t="shared" si="2255"/>
        <v>0.53547873425839554</v>
      </c>
      <c r="BE599" s="16">
        <f t="shared" ca="1" si="2255"/>
        <v>0.239016046337622</v>
      </c>
      <c r="BF599" s="16">
        <f t="shared" ca="1" si="2255"/>
        <v>5.5434382498904769E-2</v>
      </c>
      <c r="BG599" s="16">
        <f t="shared" ca="1" si="2255"/>
        <v>0</v>
      </c>
      <c r="BH599" s="16">
        <f t="shared" ca="1" si="2255"/>
        <v>0</v>
      </c>
      <c r="BI599" s="16">
        <f t="shared" ca="1" si="2255"/>
        <v>0</v>
      </c>
      <c r="BJ599" s="16">
        <f t="shared" ca="1" si="2255"/>
        <v>0</v>
      </c>
      <c r="BK599" s="16">
        <f t="shared" ca="1" si="2255"/>
        <v>0</v>
      </c>
      <c r="BL599" s="16">
        <f t="shared" ca="1" si="2255"/>
        <v>0</v>
      </c>
      <c r="BM599" s="16">
        <f t="shared" ca="1" si="2255"/>
        <v>0</v>
      </c>
      <c r="BN599" s="16">
        <f t="shared" si="2255"/>
        <v>0</v>
      </c>
      <c r="BO599" s="16">
        <f t="shared" ca="1" si="2255"/>
        <v>0</v>
      </c>
      <c r="BP599" s="16">
        <f t="shared" ca="1" si="2255"/>
        <v>0</v>
      </c>
      <c r="BQ599" s="16">
        <f t="shared" ca="1" si="2255"/>
        <v>0</v>
      </c>
      <c r="BR599" s="16">
        <f t="shared" ca="1" si="2229"/>
        <v>0</v>
      </c>
      <c r="BS599" s="16">
        <f t="shared" ca="1" si="2229"/>
        <v>0</v>
      </c>
      <c r="BT599" s="16">
        <f t="shared" ca="1" si="2230"/>
        <v>0</v>
      </c>
      <c r="BU599" s="16">
        <f t="shared" ca="1" si="2230"/>
        <v>0</v>
      </c>
      <c r="BV599" s="16">
        <f t="shared" ca="1" si="2231"/>
        <v>0</v>
      </c>
      <c r="BW599" s="16">
        <f t="shared" ref="BW599:BX599" ca="1" si="2256">BW250/BW$419*100</f>
        <v>0</v>
      </c>
      <c r="BX599" s="16">
        <f t="shared" ca="1" si="2256"/>
        <v>0</v>
      </c>
      <c r="BY599" s="16">
        <f t="shared" ref="BY599:CD599" ca="1" si="2257">BY250/BY$419*100</f>
        <v>0</v>
      </c>
      <c r="BZ599" s="16">
        <f t="shared" ca="1" si="2257"/>
        <v>0</v>
      </c>
      <c r="CA599" s="16">
        <f t="shared" ca="1" si="2257"/>
        <v>0</v>
      </c>
      <c r="CB599" s="16">
        <f t="shared" ca="1" si="2257"/>
        <v>0</v>
      </c>
      <c r="CC599" s="16">
        <f t="shared" ca="1" si="2257"/>
        <v>0</v>
      </c>
      <c r="CD599" s="16">
        <f t="shared" ca="1" si="2257"/>
        <v>0</v>
      </c>
      <c r="CE599" s="16"/>
      <c r="CG599" s="235">
        <f t="shared" ca="1" si="2109"/>
        <v>0</v>
      </c>
      <c r="CH599" s="235">
        <f t="shared" ca="1" si="2110"/>
        <v>0</v>
      </c>
      <c r="CI599" s="235" t="e">
        <f ca="1">BM599-#REF!</f>
        <v>#REF!</v>
      </c>
      <c r="CJ599" s="235">
        <f t="shared" si="2111"/>
        <v>0</v>
      </c>
      <c r="CK599" s="235">
        <f t="shared" ca="1" si="2112"/>
        <v>0</v>
      </c>
      <c r="CL599" s="235">
        <f t="shared" ca="1" si="2113"/>
        <v>0</v>
      </c>
      <c r="CM599" s="235">
        <f t="shared" ca="1" si="2114"/>
        <v>0</v>
      </c>
      <c r="CN599" s="235">
        <f t="shared" ca="1" si="2115"/>
        <v>0</v>
      </c>
      <c r="CO599" s="235">
        <f t="shared" ca="1" si="2116"/>
        <v>0</v>
      </c>
      <c r="CP599" s="235">
        <f t="shared" ca="1" si="2117"/>
        <v>0</v>
      </c>
      <c r="CQ599" s="235">
        <f t="shared" ca="1" si="2118"/>
        <v>0</v>
      </c>
      <c r="CR599" s="235">
        <f t="shared" ca="1" si="2119"/>
        <v>0</v>
      </c>
      <c r="CS599" s="235">
        <f t="shared" ca="1" si="2120"/>
        <v>0</v>
      </c>
      <c r="CT599" s="235">
        <f t="shared" ca="1" si="2121"/>
        <v>0</v>
      </c>
      <c r="CU599" s="235">
        <f t="shared" ca="1" si="2122"/>
        <v>0</v>
      </c>
      <c r="CV599" s="235">
        <f t="shared" ca="1" si="2123"/>
        <v>0</v>
      </c>
      <c r="CW599" s="235">
        <f t="shared" ca="1" si="2124"/>
        <v>0</v>
      </c>
      <c r="CX599" s="235">
        <f t="shared" ca="1" si="2125"/>
        <v>0</v>
      </c>
      <c r="CY599" s="235">
        <f t="shared" ca="1" si="2126"/>
        <v>0</v>
      </c>
      <c r="CZ599" s="235">
        <f t="shared" ca="1" si="2127"/>
        <v>0</v>
      </c>
      <c r="DG599" s="236">
        <v>0</v>
      </c>
      <c r="DH599" s="492">
        <v>0</v>
      </c>
      <c r="DI599" s="236">
        <v>0</v>
      </c>
      <c r="DJ599" s="236">
        <v>0</v>
      </c>
      <c r="DK599" s="236">
        <v>0</v>
      </c>
      <c r="DL599" s="236">
        <v>0</v>
      </c>
      <c r="DM599" s="236">
        <v>0</v>
      </c>
      <c r="DN599" s="236">
        <v>0</v>
      </c>
      <c r="DO599" s="236">
        <v>0</v>
      </c>
      <c r="DP599" s="236">
        <v>0</v>
      </c>
      <c r="DQ599" s="258">
        <v>0</v>
      </c>
      <c r="DR599" s="258">
        <v>0</v>
      </c>
      <c r="DS599" s="258">
        <v>0</v>
      </c>
      <c r="DT599" s="258">
        <v>0</v>
      </c>
      <c r="DU599" s="258">
        <v>0</v>
      </c>
      <c r="DV599" s="258">
        <v>0</v>
      </c>
      <c r="DW599" s="258">
        <v>0</v>
      </c>
      <c r="DX599" s="258">
        <v>0</v>
      </c>
      <c r="DY599" s="258">
        <v>0</v>
      </c>
    </row>
    <row r="600" spans="2:129" hidden="1">
      <c r="B600" s="3" t="str">
        <f t="shared" si="2128"/>
        <v>Intrest</v>
      </c>
      <c r="F600" s="16">
        <f t="shared" ref="F600:AK600" si="2258">F251/F$419*100</f>
        <v>0</v>
      </c>
      <c r="G600" s="16">
        <f t="shared" si="2258"/>
        <v>0</v>
      </c>
      <c r="H600" s="16">
        <f t="shared" si="2258"/>
        <v>0</v>
      </c>
      <c r="I600" s="16">
        <f t="shared" si="2258"/>
        <v>0</v>
      </c>
      <c r="J600" s="16">
        <f t="shared" si="2258"/>
        <v>0</v>
      </c>
      <c r="K600" s="16">
        <f t="shared" si="2258"/>
        <v>0</v>
      </c>
      <c r="L600" s="16">
        <f t="shared" si="2258"/>
        <v>0</v>
      </c>
      <c r="M600" s="16">
        <f t="shared" si="2258"/>
        <v>0</v>
      </c>
      <c r="N600" s="16">
        <f t="shared" si="2258"/>
        <v>0</v>
      </c>
      <c r="O600" s="16">
        <f t="shared" si="2258"/>
        <v>0</v>
      </c>
      <c r="P600" s="16">
        <f t="shared" si="2258"/>
        <v>0</v>
      </c>
      <c r="Q600" s="16">
        <f t="shared" si="2258"/>
        <v>0</v>
      </c>
      <c r="R600" s="16">
        <f t="shared" si="2258"/>
        <v>0</v>
      </c>
      <c r="S600" s="16">
        <f t="shared" si="2258"/>
        <v>0</v>
      </c>
      <c r="T600" s="16">
        <f t="shared" si="2258"/>
        <v>0</v>
      </c>
      <c r="U600" s="16">
        <f t="shared" si="2258"/>
        <v>0</v>
      </c>
      <c r="V600" s="16">
        <f t="shared" si="2258"/>
        <v>0</v>
      </c>
      <c r="W600" s="16">
        <f t="shared" si="2258"/>
        <v>0</v>
      </c>
      <c r="X600" s="16">
        <f t="shared" si="2258"/>
        <v>0</v>
      </c>
      <c r="Y600" s="16">
        <f t="shared" si="2258"/>
        <v>0</v>
      </c>
      <c r="Z600" s="16">
        <f t="shared" si="2258"/>
        <v>0</v>
      </c>
      <c r="AA600" s="16">
        <f t="shared" si="2258"/>
        <v>0</v>
      </c>
      <c r="AB600" s="16">
        <f t="shared" si="2258"/>
        <v>0</v>
      </c>
      <c r="AC600" s="16">
        <f t="shared" si="2258"/>
        <v>0</v>
      </c>
      <c r="AD600" s="16">
        <f t="shared" si="2258"/>
        <v>0</v>
      </c>
      <c r="AE600" s="16">
        <f t="shared" si="2258"/>
        <v>0</v>
      </c>
      <c r="AF600" s="16">
        <f t="shared" si="2258"/>
        <v>0</v>
      </c>
      <c r="AG600" s="16">
        <f t="shared" si="2258"/>
        <v>0</v>
      </c>
      <c r="AH600" s="16">
        <f t="shared" si="2258"/>
        <v>0</v>
      </c>
      <c r="AI600" s="16">
        <f t="shared" si="2258"/>
        <v>0</v>
      </c>
      <c r="AJ600" s="16">
        <f t="shared" si="2258"/>
        <v>0</v>
      </c>
      <c r="AK600" s="16">
        <f t="shared" si="2258"/>
        <v>0</v>
      </c>
      <c r="AL600" s="16">
        <f t="shared" ref="AL600:BQ600" si="2259">AL251/AL$419*100</f>
        <v>0</v>
      </c>
      <c r="AM600" s="16">
        <f t="shared" si="2259"/>
        <v>0</v>
      </c>
      <c r="AN600" s="16">
        <f t="shared" si="2259"/>
        <v>0</v>
      </c>
      <c r="AO600" s="16">
        <f t="shared" si="2259"/>
        <v>0</v>
      </c>
      <c r="AP600" s="16">
        <f t="shared" si="2259"/>
        <v>0</v>
      </c>
      <c r="AQ600" s="16">
        <f t="shared" si="2259"/>
        <v>0</v>
      </c>
      <c r="AR600" s="16">
        <f t="shared" si="2259"/>
        <v>0</v>
      </c>
      <c r="AS600" s="16">
        <f t="shared" si="2259"/>
        <v>0</v>
      </c>
      <c r="AT600" s="16">
        <f t="shared" si="2259"/>
        <v>0</v>
      </c>
      <c r="AU600" s="16">
        <f t="shared" si="2259"/>
        <v>0</v>
      </c>
      <c r="AV600" s="16">
        <f t="shared" si="2259"/>
        <v>0</v>
      </c>
      <c r="AW600" s="16">
        <f t="shared" si="2259"/>
        <v>0</v>
      </c>
      <c r="AX600" s="16">
        <f t="shared" si="2259"/>
        <v>0</v>
      </c>
      <c r="AY600" s="16">
        <f t="shared" si="2259"/>
        <v>0</v>
      </c>
      <c r="AZ600" s="16">
        <f t="shared" si="2259"/>
        <v>0</v>
      </c>
      <c r="BA600" s="16">
        <f t="shared" si="2259"/>
        <v>0</v>
      </c>
      <c r="BB600" s="16">
        <f t="shared" si="2259"/>
        <v>0</v>
      </c>
      <c r="BC600" s="16">
        <f t="shared" si="2259"/>
        <v>0</v>
      </c>
      <c r="BD600" s="16">
        <f t="shared" si="2259"/>
        <v>0</v>
      </c>
      <c r="BE600" s="16">
        <f t="shared" ca="1" si="2259"/>
        <v>0</v>
      </c>
      <c r="BF600" s="16">
        <f t="shared" ca="1" si="2259"/>
        <v>0</v>
      </c>
      <c r="BG600" s="16">
        <f t="shared" ca="1" si="2259"/>
        <v>0</v>
      </c>
      <c r="BH600" s="16">
        <f t="shared" ca="1" si="2259"/>
        <v>0</v>
      </c>
      <c r="BI600" s="16">
        <f t="shared" ca="1" si="2259"/>
        <v>0</v>
      </c>
      <c r="BJ600" s="16">
        <f t="shared" ca="1" si="2259"/>
        <v>0</v>
      </c>
      <c r="BK600" s="16">
        <f t="shared" ca="1" si="2259"/>
        <v>0</v>
      </c>
      <c r="BL600" s="16">
        <f t="shared" ca="1" si="2259"/>
        <v>0</v>
      </c>
      <c r="BM600" s="16">
        <f t="shared" ca="1" si="2259"/>
        <v>0</v>
      </c>
      <c r="BN600" s="16">
        <f t="shared" si="2259"/>
        <v>0</v>
      </c>
      <c r="BO600" s="16">
        <f t="shared" ca="1" si="2259"/>
        <v>0</v>
      </c>
      <c r="BP600" s="16">
        <f t="shared" ca="1" si="2259"/>
        <v>0</v>
      </c>
      <c r="BQ600" s="16">
        <f t="shared" ca="1" si="2259"/>
        <v>0</v>
      </c>
      <c r="BR600" s="16">
        <f t="shared" ca="1" si="2229"/>
        <v>0</v>
      </c>
      <c r="BS600" s="16">
        <f t="shared" ca="1" si="2229"/>
        <v>0</v>
      </c>
      <c r="BT600" s="16">
        <f t="shared" ca="1" si="2230"/>
        <v>0</v>
      </c>
      <c r="BU600" s="16">
        <f t="shared" ca="1" si="2230"/>
        <v>0</v>
      </c>
      <c r="BV600" s="16">
        <f t="shared" ca="1" si="2231"/>
        <v>0</v>
      </c>
      <c r="BW600" s="16">
        <f t="shared" ref="BW600:BX600" ca="1" si="2260">BW251/BW$419*100</f>
        <v>0</v>
      </c>
      <c r="BX600" s="16">
        <f t="shared" ca="1" si="2260"/>
        <v>0</v>
      </c>
      <c r="BY600" s="16">
        <f t="shared" ref="BY600:CD600" ca="1" si="2261">BY251/BY$419*100</f>
        <v>0</v>
      </c>
      <c r="BZ600" s="16">
        <f t="shared" ca="1" si="2261"/>
        <v>0</v>
      </c>
      <c r="CA600" s="16">
        <f t="shared" ca="1" si="2261"/>
        <v>0</v>
      </c>
      <c r="CB600" s="16">
        <f t="shared" ca="1" si="2261"/>
        <v>0</v>
      </c>
      <c r="CC600" s="16">
        <f t="shared" ca="1" si="2261"/>
        <v>0</v>
      </c>
      <c r="CD600" s="16">
        <f t="shared" ca="1" si="2261"/>
        <v>0</v>
      </c>
      <c r="CE600" s="16"/>
      <c r="CG600" s="235">
        <f t="shared" ca="1" si="2109"/>
        <v>0</v>
      </c>
      <c r="CH600" s="235">
        <f t="shared" ca="1" si="2110"/>
        <v>0</v>
      </c>
      <c r="CI600" s="235" t="e">
        <f ca="1">BM600-#REF!</f>
        <v>#REF!</v>
      </c>
      <c r="CJ600" s="235">
        <f t="shared" si="2111"/>
        <v>0</v>
      </c>
      <c r="CK600" s="235">
        <f t="shared" ca="1" si="2112"/>
        <v>0</v>
      </c>
      <c r="CL600" s="235">
        <f t="shared" ca="1" si="2113"/>
        <v>0</v>
      </c>
      <c r="CM600" s="235">
        <f t="shared" ca="1" si="2114"/>
        <v>0</v>
      </c>
      <c r="CN600" s="235">
        <f t="shared" ca="1" si="2115"/>
        <v>0</v>
      </c>
      <c r="CO600" s="235">
        <f t="shared" ca="1" si="2116"/>
        <v>0</v>
      </c>
      <c r="CP600" s="235">
        <f t="shared" ca="1" si="2117"/>
        <v>0</v>
      </c>
      <c r="CQ600" s="235">
        <f t="shared" ca="1" si="2118"/>
        <v>0</v>
      </c>
      <c r="CR600" s="235">
        <f t="shared" ca="1" si="2119"/>
        <v>0</v>
      </c>
      <c r="CS600" s="235">
        <f t="shared" ca="1" si="2120"/>
        <v>0</v>
      </c>
      <c r="CT600" s="235">
        <f t="shared" ca="1" si="2121"/>
        <v>0</v>
      </c>
      <c r="CU600" s="235">
        <f t="shared" ca="1" si="2122"/>
        <v>0</v>
      </c>
      <c r="CV600" s="235">
        <f t="shared" ca="1" si="2123"/>
        <v>0</v>
      </c>
      <c r="CW600" s="235">
        <f t="shared" ca="1" si="2124"/>
        <v>0</v>
      </c>
      <c r="CX600" s="235">
        <f t="shared" ca="1" si="2125"/>
        <v>0</v>
      </c>
      <c r="CY600" s="235">
        <f t="shared" ca="1" si="2126"/>
        <v>0</v>
      </c>
      <c r="CZ600" s="235">
        <f t="shared" ca="1" si="2127"/>
        <v>0</v>
      </c>
      <c r="DG600" s="236">
        <v>0</v>
      </c>
      <c r="DH600" s="492">
        <v>0</v>
      </c>
      <c r="DI600" s="236">
        <v>0</v>
      </c>
      <c r="DJ600" s="236">
        <v>0</v>
      </c>
      <c r="DK600" s="236">
        <v>0</v>
      </c>
      <c r="DL600" s="236">
        <v>0</v>
      </c>
      <c r="DM600" s="236">
        <v>0</v>
      </c>
      <c r="DN600" s="236">
        <v>0</v>
      </c>
      <c r="DO600" s="236">
        <v>0</v>
      </c>
      <c r="DP600" s="236">
        <v>0</v>
      </c>
      <c r="DQ600" s="258">
        <v>0</v>
      </c>
      <c r="DR600" s="258">
        <v>0</v>
      </c>
      <c r="DS600" s="258">
        <v>0</v>
      </c>
      <c r="DT600" s="258">
        <v>0</v>
      </c>
      <c r="DU600" s="258">
        <v>0</v>
      </c>
      <c r="DV600" s="258">
        <v>0</v>
      </c>
      <c r="DW600" s="258">
        <v>0</v>
      </c>
      <c r="DX600" s="258">
        <v>0</v>
      </c>
      <c r="DY600" s="258">
        <v>0</v>
      </c>
    </row>
    <row r="601" spans="2:129" hidden="1">
      <c r="B601" s="3" t="str">
        <f t="shared" si="2128"/>
        <v xml:space="preserve">Rente van de overheid </v>
      </c>
      <c r="F601" s="16">
        <f t="shared" ref="F601:BQ601" si="2262">F252/F$419*100</f>
        <v>0</v>
      </c>
      <c r="G601" s="16">
        <f t="shared" si="2262"/>
        <v>0</v>
      </c>
      <c r="H601" s="16">
        <f t="shared" si="2262"/>
        <v>0</v>
      </c>
      <c r="I601" s="16">
        <f t="shared" si="2262"/>
        <v>0</v>
      </c>
      <c r="J601" s="16">
        <f t="shared" si="2262"/>
        <v>0</v>
      </c>
      <c r="K601" s="16">
        <f t="shared" si="2262"/>
        <v>0</v>
      </c>
      <c r="L601" s="16">
        <f t="shared" si="2262"/>
        <v>2.7080652648898413E-3</v>
      </c>
      <c r="M601" s="16">
        <f t="shared" si="2262"/>
        <v>2.589013970796362E-3</v>
      </c>
      <c r="N601" s="16">
        <f t="shared" si="2262"/>
        <v>2.4601709776178415E-3</v>
      </c>
      <c r="O601" s="16">
        <f t="shared" si="2262"/>
        <v>2.3055832498157249E-3</v>
      </c>
      <c r="P601" s="16">
        <f t="shared" si="2262"/>
        <v>2.0961913762878163E-3</v>
      </c>
      <c r="Q601" s="16">
        <f t="shared" si="2262"/>
        <v>4.2828334769823779E-3</v>
      </c>
      <c r="R601" s="16">
        <f t="shared" si="2262"/>
        <v>4.5213054713243474E-3</v>
      </c>
      <c r="S601" s="16">
        <f t="shared" si="2262"/>
        <v>2.9234712262048174E-3</v>
      </c>
      <c r="T601" s="16">
        <f t="shared" si="2262"/>
        <v>1.1119681517562558E-2</v>
      </c>
      <c r="U601" s="16">
        <f t="shared" si="2262"/>
        <v>8.0885622429370078E-3</v>
      </c>
      <c r="V601" s="16">
        <f t="shared" si="2262"/>
        <v>1.9805537138985072E-2</v>
      </c>
      <c r="W601" s="16">
        <f t="shared" si="2262"/>
        <v>1.8610030954708444E-2</v>
      </c>
      <c r="X601" s="16">
        <f t="shared" si="2262"/>
        <v>5.4384121073495842E-3</v>
      </c>
      <c r="Y601" s="16">
        <f t="shared" si="2262"/>
        <v>5.8587782491270899E-3</v>
      </c>
      <c r="Z601" s="16">
        <f t="shared" si="2262"/>
        <v>4.8161056414200145E-3</v>
      </c>
      <c r="AA601" s="16">
        <f t="shared" si="2262"/>
        <v>2.8633435274919286E-3</v>
      </c>
      <c r="AB601" s="16">
        <f t="shared" si="2262"/>
        <v>5.2678414041999006E-3</v>
      </c>
      <c r="AC601" s="16">
        <f t="shared" si="2262"/>
        <v>4.5689889871003003E-3</v>
      </c>
      <c r="AD601" s="16">
        <f t="shared" si="2262"/>
        <v>3.2597133681823457E-3</v>
      </c>
      <c r="AE601" s="16">
        <f t="shared" si="2262"/>
        <v>3.0634098581087199E-3</v>
      </c>
      <c r="AF601" s="16">
        <f t="shared" si="2262"/>
        <v>9.3105669935592654E-3</v>
      </c>
      <c r="AG601" s="16">
        <f t="shared" si="2262"/>
        <v>1.8659997033953376E-2</v>
      </c>
      <c r="AH601" s="16">
        <f t="shared" si="2262"/>
        <v>1.4103728425796701E-2</v>
      </c>
      <c r="AI601" s="16">
        <f t="shared" si="2262"/>
        <v>4.1668043039487214E-2</v>
      </c>
      <c r="AJ601" s="16">
        <f t="shared" si="2262"/>
        <v>7.0095362279212564E-2</v>
      </c>
      <c r="AK601" s="16">
        <f t="shared" si="2262"/>
        <v>0.12090997812803585</v>
      </c>
      <c r="AL601" s="16">
        <f t="shared" si="2262"/>
        <v>0.17337484896060604</v>
      </c>
      <c r="AM601" s="16">
        <f t="shared" si="2262"/>
        <v>0.2264125216700725</v>
      </c>
      <c r="AN601" s="16">
        <f t="shared" si="2262"/>
        <v>0.24107650746327969</v>
      </c>
      <c r="AO601" s="16">
        <f t="shared" si="2262"/>
        <v>0.25286710223212194</v>
      </c>
      <c r="AP601" s="16">
        <f t="shared" si="2262"/>
        <v>0.19571210315608031</v>
      </c>
      <c r="AQ601" s="16">
        <f t="shared" si="2262"/>
        <v>0.20530846275383396</v>
      </c>
      <c r="AR601" s="16">
        <f t="shared" si="2262"/>
        <v>0.17979875192048916</v>
      </c>
      <c r="AS601" s="16">
        <f t="shared" si="2262"/>
        <v>9.5144416447410993E-2</v>
      </c>
      <c r="AT601" s="16">
        <f t="shared" si="2262"/>
        <v>0.14568106463986075</v>
      </c>
      <c r="AU601" s="16">
        <f t="shared" si="2262"/>
        <v>4.5278568374374696E-2</v>
      </c>
      <c r="AV601" s="16">
        <f t="shared" si="2262"/>
        <v>4.2444269393075107E-2</v>
      </c>
      <c r="AW601" s="16">
        <f t="shared" si="2262"/>
        <v>3.4305529149618444E-2</v>
      </c>
      <c r="AX601" s="16">
        <f t="shared" si="2262"/>
        <v>2.5914814133289488E-2</v>
      </c>
      <c r="AY601" s="16">
        <f t="shared" si="2262"/>
        <v>0.21295999229354795</v>
      </c>
      <c r="AZ601" s="16">
        <f t="shared" si="2262"/>
        <v>8.1057708447742335E-2</v>
      </c>
      <c r="BA601" s="16">
        <f t="shared" si="2262"/>
        <v>1.5515376152147649</v>
      </c>
      <c r="BB601" s="16">
        <f t="shared" si="2262"/>
        <v>2.355404390656783</v>
      </c>
      <c r="BC601" s="16">
        <f t="shared" si="2262"/>
        <v>1.8540843902843125</v>
      </c>
      <c r="BD601" s="16">
        <f t="shared" si="2262"/>
        <v>1.553187538260844</v>
      </c>
      <c r="BE601" s="16">
        <f t="shared" ca="1" si="2262"/>
        <v>1.556875253877178</v>
      </c>
      <c r="BF601" s="16">
        <f t="shared" ca="1" si="2262"/>
        <v>1.4607321939547313</v>
      </c>
      <c r="BG601" s="16">
        <f t="shared" ca="1" si="2262"/>
        <v>1.153564552986885</v>
      </c>
      <c r="BH601" s="16">
        <f t="shared" ca="1" si="2262"/>
        <v>0.62487425778197858</v>
      </c>
      <c r="BI601" s="16">
        <f t="shared" ca="1" si="2262"/>
        <v>1.3588907439717819</v>
      </c>
      <c r="BJ601" s="16">
        <f t="shared" ca="1" si="2262"/>
        <v>0.84741455263827414</v>
      </c>
      <c r="BK601" s="16">
        <f t="shared" ca="1" si="2262"/>
        <v>0.86652771989544664</v>
      </c>
      <c r="BL601" s="16">
        <f t="shared" ca="1" si="2262"/>
        <v>0.80697471326728543</v>
      </c>
      <c r="BM601" s="16">
        <f t="shared" ca="1" si="2262"/>
        <v>1.3497917694561767</v>
      </c>
      <c r="BN601" s="16">
        <f t="shared" si="2262"/>
        <v>0.92124425901689633</v>
      </c>
      <c r="BO601" s="16">
        <f t="shared" ca="1" si="2262"/>
        <v>1.6084426163882886</v>
      </c>
      <c r="BP601" s="16">
        <f t="shared" ca="1" si="2262"/>
        <v>2.2325042757395264</v>
      </c>
      <c r="BQ601" s="16">
        <f t="shared" ca="1" si="2262"/>
        <v>2.450397440070033</v>
      </c>
      <c r="BR601" s="16">
        <f t="shared" ca="1" si="2229"/>
        <v>2.9339641735381425</v>
      </c>
      <c r="BS601" s="16">
        <f t="shared" ca="1" si="2229"/>
        <v>3.5749774238584582</v>
      </c>
      <c r="BT601" s="16">
        <f t="shared" ca="1" si="2230"/>
        <v>4.3294551088498041</v>
      </c>
      <c r="BU601" s="16">
        <f t="shared" ca="1" si="2230"/>
        <v>5.1797978049726305</v>
      </c>
      <c r="BV601" s="16">
        <f t="shared" ca="1" si="2231"/>
        <v>6.1264202142243667</v>
      </c>
      <c r="BW601" s="16">
        <f t="shared" ref="BW601:BX601" ca="1" si="2263">BW252/BW$419*100</f>
        <v>7.1870488607135945</v>
      </c>
      <c r="BX601" s="16">
        <f t="shared" ca="1" si="2263"/>
        <v>8.3656552861791003</v>
      </c>
      <c r="BY601" s="16">
        <f t="shared" ref="BY601:CD601" ca="1" si="2264">BY252/BY$419*100</f>
        <v>9.6691337490064608</v>
      </c>
      <c r="BZ601" s="16">
        <f t="shared" ca="1" si="2264"/>
        <v>11.015656850330222</v>
      </c>
      <c r="CA601" s="16">
        <f t="shared" ca="1" si="2264"/>
        <v>12.456422830739653</v>
      </c>
      <c r="CB601" s="16">
        <f t="shared" ca="1" si="2264"/>
        <v>14.005869541017981</v>
      </c>
      <c r="CC601" s="16">
        <f t="shared" ca="1" si="2264"/>
        <v>15.660274614007735</v>
      </c>
      <c r="CD601" s="16">
        <f t="shared" ca="1" si="2264"/>
        <v>17.423331510885934</v>
      </c>
      <c r="CE601" s="16"/>
      <c r="CG601" s="235">
        <f t="shared" ca="1" si="2109"/>
        <v>-0.23422140801170332</v>
      </c>
      <c r="CH601" s="235">
        <f t="shared" ca="1" si="2110"/>
        <v>1.1333235128633823E-2</v>
      </c>
      <c r="CI601" s="235" t="e">
        <f ca="1">BM601-#REF!</f>
        <v>#REF!</v>
      </c>
      <c r="CJ601" s="235">
        <f t="shared" si="2111"/>
        <v>0</v>
      </c>
      <c r="CK601" s="235">
        <f t="shared" ca="1" si="2112"/>
        <v>0</v>
      </c>
      <c r="CL601" s="235">
        <f t="shared" ca="1" si="2113"/>
        <v>0</v>
      </c>
      <c r="CM601" s="235">
        <f t="shared" ca="1" si="2114"/>
        <v>0</v>
      </c>
      <c r="CN601" s="235">
        <f t="shared" ca="1" si="2115"/>
        <v>0</v>
      </c>
      <c r="CO601" s="235">
        <f t="shared" ca="1" si="2116"/>
        <v>0</v>
      </c>
      <c r="CP601" s="235">
        <f t="shared" ca="1" si="2117"/>
        <v>0</v>
      </c>
      <c r="CQ601" s="235">
        <f t="shared" ca="1" si="2118"/>
        <v>0</v>
      </c>
      <c r="CR601" s="235">
        <f t="shared" ca="1" si="2119"/>
        <v>1.0658141036401503E-14</v>
      </c>
      <c r="CS601" s="235">
        <f t="shared" ca="1" si="2120"/>
        <v>7.9936057773011271E-15</v>
      </c>
      <c r="CT601" s="235">
        <f t="shared" ca="1" si="2121"/>
        <v>1.7763568394002505E-14</v>
      </c>
      <c r="CU601" s="235">
        <f t="shared" ca="1" si="2122"/>
        <v>1.7763568394002505E-14</v>
      </c>
      <c r="CV601" s="235">
        <f t="shared" ca="1" si="2123"/>
        <v>1.9539925233402755E-14</v>
      </c>
      <c r="CW601" s="235">
        <f t="shared" ca="1" si="2124"/>
        <v>-2.6645352591003757E-14</v>
      </c>
      <c r="CX601" s="235">
        <f t="shared" ca="1" si="2125"/>
        <v>-6.9988459472369868E-13</v>
      </c>
      <c r="CY601" s="235">
        <f t="shared" ca="1" si="2126"/>
        <v>-7.6703088325302815E-12</v>
      </c>
      <c r="CZ601" s="235">
        <f t="shared" ca="1" si="2127"/>
        <v>-6.3156591068036505E-11</v>
      </c>
      <c r="DG601" s="236">
        <v>1.10074912790715</v>
      </c>
      <c r="DH601" s="492">
        <v>0.7956414781386516</v>
      </c>
      <c r="DI601" s="236">
        <v>0.92124425901689633</v>
      </c>
      <c r="DJ601" s="236">
        <v>1.6084426163882879</v>
      </c>
      <c r="DK601" s="236">
        <v>2.2325042757395259</v>
      </c>
      <c r="DL601" s="236">
        <v>2.4503974400700335</v>
      </c>
      <c r="DM601" s="236">
        <v>2.9339641735381417</v>
      </c>
      <c r="DN601" s="236">
        <v>3.5749774238584582</v>
      </c>
      <c r="DO601" s="236">
        <v>4.3294551088498006</v>
      </c>
      <c r="DP601" s="236">
        <v>5.1797978049726261</v>
      </c>
      <c r="DQ601" s="258">
        <v>6.126420214224356</v>
      </c>
      <c r="DR601" s="258">
        <v>7.1870488607135865</v>
      </c>
      <c r="DS601" s="258">
        <v>8.3656552861790825</v>
      </c>
      <c r="DT601" s="258">
        <v>9.6691337490064431</v>
      </c>
      <c r="DU601" s="258">
        <v>11.015656850330203</v>
      </c>
      <c r="DV601" s="258">
        <v>12.45642283073968</v>
      </c>
      <c r="DW601" s="258">
        <v>14.005869541018681</v>
      </c>
      <c r="DX601" s="258">
        <v>15.660274614015405</v>
      </c>
      <c r="DY601" s="258">
        <v>17.42333151094909</v>
      </c>
    </row>
    <row r="602" spans="2:129" hidden="1">
      <c r="B602" s="3" t="str">
        <f t="shared" si="2128"/>
        <v xml:space="preserve"> </v>
      </c>
      <c r="F602" s="16" t="s">
        <v>2219</v>
      </c>
      <c r="G602" s="16" t="s">
        <v>2219</v>
      </c>
      <c r="H602" s="16" t="s">
        <v>2219</v>
      </c>
      <c r="I602" s="16" t="s">
        <v>2219</v>
      </c>
      <c r="J602" s="16" t="s">
        <v>2219</v>
      </c>
      <c r="K602" s="16" t="s">
        <v>2219</v>
      </c>
      <c r="L602" s="16" t="s">
        <v>2219</v>
      </c>
      <c r="M602" s="16" t="s">
        <v>2219</v>
      </c>
      <c r="N602" s="16" t="s">
        <v>2219</v>
      </c>
      <c r="O602" s="16" t="s">
        <v>2219</v>
      </c>
      <c r="P602" s="16" t="s">
        <v>2219</v>
      </c>
      <c r="Q602" s="16" t="s">
        <v>2219</v>
      </c>
      <c r="R602" s="16" t="s">
        <v>2219</v>
      </c>
      <c r="S602" s="16" t="s">
        <v>2219</v>
      </c>
      <c r="T602" s="16" t="s">
        <v>2219</v>
      </c>
      <c r="U602" s="16" t="s">
        <v>2219</v>
      </c>
      <c r="V602" s="16" t="s">
        <v>2219</v>
      </c>
      <c r="W602" s="16" t="s">
        <v>2219</v>
      </c>
      <c r="X602" s="16" t="s">
        <v>2219</v>
      </c>
      <c r="Y602" s="16" t="s">
        <v>2219</v>
      </c>
      <c r="Z602" s="16" t="s">
        <v>2219</v>
      </c>
      <c r="AA602" s="16" t="s">
        <v>2219</v>
      </c>
      <c r="AB602" s="16" t="s">
        <v>2219</v>
      </c>
      <c r="AC602" s="16" t="s">
        <v>2219</v>
      </c>
      <c r="AD602" s="16" t="s">
        <v>2219</v>
      </c>
      <c r="AE602" s="16" t="s">
        <v>2219</v>
      </c>
      <c r="AF602" s="16" t="s">
        <v>2219</v>
      </c>
      <c r="AG602" s="16" t="s">
        <v>2219</v>
      </c>
      <c r="AH602" s="16" t="s">
        <v>2219</v>
      </c>
      <c r="AI602" s="16" t="s">
        <v>2219</v>
      </c>
      <c r="AJ602" s="16" t="s">
        <v>2219</v>
      </c>
      <c r="AK602" s="16" t="s">
        <v>2219</v>
      </c>
      <c r="AL602" s="16" t="s">
        <v>2219</v>
      </c>
      <c r="AM602" s="16" t="s">
        <v>2219</v>
      </c>
      <c r="AN602" s="16" t="s">
        <v>2219</v>
      </c>
      <c r="AO602" s="16" t="s">
        <v>2219</v>
      </c>
      <c r="AP602" s="16" t="s">
        <v>2219</v>
      </c>
      <c r="AQ602" s="16" t="s">
        <v>2219</v>
      </c>
      <c r="AR602" s="16" t="s">
        <v>2219</v>
      </c>
      <c r="AS602" s="16" t="s">
        <v>2219</v>
      </c>
      <c r="AT602" s="16" t="s">
        <v>2219</v>
      </c>
      <c r="AU602" s="16" t="s">
        <v>2219</v>
      </c>
      <c r="AV602" s="16" t="s">
        <v>2219</v>
      </c>
      <c r="AW602" s="16" t="s">
        <v>2219</v>
      </c>
      <c r="AX602" s="16" t="s">
        <v>2219</v>
      </c>
      <c r="AY602" s="16" t="s">
        <v>2219</v>
      </c>
      <c r="AZ602" s="16" t="s">
        <v>2219</v>
      </c>
      <c r="BA602" s="16" t="s">
        <v>2219</v>
      </c>
      <c r="BB602" s="16" t="s">
        <v>2219</v>
      </c>
      <c r="BC602" s="16" t="s">
        <v>2219</v>
      </c>
      <c r="BD602" s="16" t="s">
        <v>2219</v>
      </c>
      <c r="BE602" s="16" t="s">
        <v>2219</v>
      </c>
      <c r="BF602" s="16" t="s">
        <v>2219</v>
      </c>
      <c r="BG602" s="16" t="s">
        <v>2219</v>
      </c>
      <c r="BH602" s="16" t="s">
        <v>2219</v>
      </c>
      <c r="BI602" s="16" t="s">
        <v>2219</v>
      </c>
      <c r="BJ602" s="16" t="s">
        <v>2219</v>
      </c>
      <c r="BK602" s="16" t="s">
        <v>2219</v>
      </c>
      <c r="BL602" s="16" t="s">
        <v>2219</v>
      </c>
      <c r="BM602" s="16" t="s">
        <v>2219</v>
      </c>
      <c r="BN602" s="16" t="s">
        <v>2219</v>
      </c>
      <c r="BO602" s="16" t="s">
        <v>2219</v>
      </c>
      <c r="BP602" s="16" t="s">
        <v>2219</v>
      </c>
      <c r="BQ602" s="16" t="s">
        <v>2219</v>
      </c>
      <c r="BR602" s="16" t="s">
        <v>2219</v>
      </c>
      <c r="BS602" s="16" t="s">
        <v>2219</v>
      </c>
      <c r="BT602" s="16" t="s">
        <v>2219</v>
      </c>
      <c r="BU602" s="16" t="s">
        <v>2219</v>
      </c>
      <c r="BV602" s="16" t="s">
        <v>2219</v>
      </c>
      <c r="BW602" s="16" t="s">
        <v>2219</v>
      </c>
      <c r="BX602" s="16" t="s">
        <v>2219</v>
      </c>
      <c r="BY602" s="16" t="s">
        <v>2219</v>
      </c>
      <c r="BZ602" s="16" t="s">
        <v>2219</v>
      </c>
      <c r="CA602" s="16" t="s">
        <v>2219</v>
      </c>
      <c r="CB602" s="16" t="s">
        <v>2219</v>
      </c>
      <c r="CC602" s="16" t="s">
        <v>2219</v>
      </c>
      <c r="CD602" s="16" t="s">
        <v>2219</v>
      </c>
      <c r="CE602" s="16"/>
      <c r="DG602" s="236" t="s">
        <v>2219</v>
      </c>
      <c r="DH602" s="492" t="s">
        <v>2219</v>
      </c>
      <c r="DI602" s="236" t="s">
        <v>2219</v>
      </c>
      <c r="DJ602" s="236" t="s">
        <v>2219</v>
      </c>
      <c r="DK602" s="236" t="s">
        <v>2219</v>
      </c>
      <c r="DL602" s="236" t="s">
        <v>2219</v>
      </c>
      <c r="DM602" s="236" t="s">
        <v>2219</v>
      </c>
      <c r="DN602" s="236" t="s">
        <v>2219</v>
      </c>
      <c r="DO602" s="236" t="s">
        <v>2219</v>
      </c>
      <c r="DP602" s="236" t="s">
        <v>2219</v>
      </c>
      <c r="DQ602" s="258" t="s">
        <v>2219</v>
      </c>
      <c r="DR602" s="258" t="s">
        <v>2219</v>
      </c>
      <c r="DS602" s="258" t="s">
        <v>2219</v>
      </c>
      <c r="DT602" s="258" t="s">
        <v>2219</v>
      </c>
      <c r="DU602" s="258" t="s">
        <v>2219</v>
      </c>
      <c r="DV602" s="258" t="s">
        <v>2219</v>
      </c>
      <c r="DW602" s="258" t="s">
        <v>2219</v>
      </c>
      <c r="DX602" s="258" t="s">
        <v>2219</v>
      </c>
      <c r="DY602" s="258" t="s">
        <v>2219</v>
      </c>
    </row>
    <row r="603" spans="2:129" hidden="1">
      <c r="B603" s="3" t="str">
        <f t="shared" si="2128"/>
        <v>KapiItaal uitgaven</v>
      </c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P603" s="500"/>
      <c r="CQ603" s="500"/>
      <c r="CR603" s="500"/>
      <c r="CS603" s="500"/>
      <c r="CT603" s="500"/>
      <c r="CU603" s="500"/>
      <c r="CV603" s="500"/>
      <c r="CW603" s="500"/>
      <c r="CX603" s="500"/>
      <c r="CY603" s="500"/>
      <c r="CZ603" s="500"/>
    </row>
    <row r="604" spans="2:129" hidden="1">
      <c r="B604" s="3" t="str">
        <f t="shared" si="2128"/>
        <v>Afschrijvingen van de overheid</v>
      </c>
      <c r="F604" s="16">
        <f t="shared" ref="F604:AK604" si="2265">F255/F$419*100</f>
        <v>0</v>
      </c>
      <c r="G604" s="16">
        <f t="shared" si="2265"/>
        <v>0</v>
      </c>
      <c r="H604" s="16">
        <f t="shared" si="2265"/>
        <v>0</v>
      </c>
      <c r="I604" s="16">
        <f t="shared" si="2265"/>
        <v>0</v>
      </c>
      <c r="J604" s="16">
        <f t="shared" si="2265"/>
        <v>0</v>
      </c>
      <c r="K604" s="16">
        <f t="shared" si="2265"/>
        <v>0</v>
      </c>
      <c r="L604" s="16">
        <f t="shared" si="2265"/>
        <v>0</v>
      </c>
      <c r="M604" s="16">
        <f t="shared" si="2265"/>
        <v>0</v>
      </c>
      <c r="N604" s="16">
        <f t="shared" si="2265"/>
        <v>0</v>
      </c>
      <c r="O604" s="16">
        <f t="shared" si="2265"/>
        <v>0</v>
      </c>
      <c r="P604" s="16">
        <f t="shared" si="2265"/>
        <v>0</v>
      </c>
      <c r="Q604" s="16">
        <f t="shared" si="2265"/>
        <v>0</v>
      </c>
      <c r="R604" s="16">
        <f t="shared" si="2265"/>
        <v>0</v>
      </c>
      <c r="S604" s="16">
        <f t="shared" si="2265"/>
        <v>0</v>
      </c>
      <c r="T604" s="16">
        <f t="shared" si="2265"/>
        <v>0</v>
      </c>
      <c r="U604" s="16">
        <f t="shared" si="2265"/>
        <v>0</v>
      </c>
      <c r="V604" s="16">
        <f t="shared" si="2265"/>
        <v>0</v>
      </c>
      <c r="W604" s="16">
        <f t="shared" si="2265"/>
        <v>0</v>
      </c>
      <c r="X604" s="16">
        <f t="shared" si="2265"/>
        <v>0</v>
      </c>
      <c r="Y604" s="16">
        <f t="shared" si="2265"/>
        <v>0</v>
      </c>
      <c r="Z604" s="16">
        <f t="shared" si="2265"/>
        <v>0</v>
      </c>
      <c r="AA604" s="16">
        <f t="shared" si="2265"/>
        <v>0</v>
      </c>
      <c r="AB604" s="16">
        <f t="shared" si="2265"/>
        <v>0</v>
      </c>
      <c r="AC604" s="16">
        <f t="shared" si="2265"/>
        <v>0</v>
      </c>
      <c r="AD604" s="16">
        <f t="shared" si="2265"/>
        <v>0</v>
      </c>
      <c r="AE604" s="16">
        <f t="shared" si="2265"/>
        <v>0</v>
      </c>
      <c r="AF604" s="16">
        <f t="shared" si="2265"/>
        <v>0</v>
      </c>
      <c r="AG604" s="16">
        <f t="shared" si="2265"/>
        <v>0</v>
      </c>
      <c r="AH604" s="16">
        <f t="shared" si="2265"/>
        <v>0</v>
      </c>
      <c r="AI604" s="16">
        <f t="shared" si="2265"/>
        <v>0</v>
      </c>
      <c r="AJ604" s="16">
        <f t="shared" si="2265"/>
        <v>0</v>
      </c>
      <c r="AK604" s="16">
        <f t="shared" si="2265"/>
        <v>0</v>
      </c>
      <c r="AL604" s="16">
        <f t="shared" ref="AL604:BQ604" si="2266">AL255/AL$419*100</f>
        <v>0</v>
      </c>
      <c r="AM604" s="16">
        <f t="shared" si="2266"/>
        <v>0</v>
      </c>
      <c r="AN604" s="16">
        <f t="shared" si="2266"/>
        <v>0</v>
      </c>
      <c r="AO604" s="16">
        <f t="shared" si="2266"/>
        <v>0</v>
      </c>
      <c r="AP604" s="16">
        <f t="shared" si="2266"/>
        <v>0</v>
      </c>
      <c r="AQ604" s="16">
        <f t="shared" si="2266"/>
        <v>0</v>
      </c>
      <c r="AR604" s="16">
        <f t="shared" si="2266"/>
        <v>0</v>
      </c>
      <c r="AS604" s="16">
        <f t="shared" si="2266"/>
        <v>0</v>
      </c>
      <c r="AT604" s="16">
        <f t="shared" si="2266"/>
        <v>0</v>
      </c>
      <c r="AU604" s="16">
        <f t="shared" si="2266"/>
        <v>0</v>
      </c>
      <c r="AV604" s="16">
        <f t="shared" si="2266"/>
        <v>0</v>
      </c>
      <c r="AW604" s="16">
        <f t="shared" si="2266"/>
        <v>0</v>
      </c>
      <c r="AX604" s="16">
        <f t="shared" si="2266"/>
        <v>0</v>
      </c>
      <c r="AY604" s="16">
        <f t="shared" si="2266"/>
        <v>0</v>
      </c>
      <c r="AZ604" s="16">
        <f t="shared" si="2266"/>
        <v>0</v>
      </c>
      <c r="BA604" s="16">
        <f t="shared" si="2266"/>
        <v>0</v>
      </c>
      <c r="BB604" s="16">
        <f t="shared" si="2266"/>
        <v>0</v>
      </c>
      <c r="BC604" s="16">
        <f t="shared" si="2266"/>
        <v>0</v>
      </c>
      <c r="BD604" s="16">
        <f t="shared" si="2266"/>
        <v>0</v>
      </c>
      <c r="BE604" s="16">
        <f t="shared" ca="1" si="2266"/>
        <v>0</v>
      </c>
      <c r="BF604" s="16">
        <f t="shared" ca="1" si="2266"/>
        <v>0</v>
      </c>
      <c r="BG604" s="16">
        <f t="shared" ca="1" si="2266"/>
        <v>0</v>
      </c>
      <c r="BH604" s="16">
        <f t="shared" ca="1" si="2266"/>
        <v>0</v>
      </c>
      <c r="BI604" s="16">
        <f t="shared" ca="1" si="2266"/>
        <v>0</v>
      </c>
      <c r="BJ604" s="16">
        <f t="shared" ca="1" si="2266"/>
        <v>0</v>
      </c>
      <c r="BK604" s="16">
        <f t="shared" ca="1" si="2266"/>
        <v>0</v>
      </c>
      <c r="BL604" s="16">
        <f t="shared" ca="1" si="2266"/>
        <v>0</v>
      </c>
      <c r="BM604" s="16">
        <f t="shared" ca="1" si="2266"/>
        <v>0</v>
      </c>
      <c r="BN604" s="16">
        <f t="shared" si="2266"/>
        <v>0</v>
      </c>
      <c r="BO604" s="16">
        <f t="shared" ca="1" si="2266"/>
        <v>0</v>
      </c>
      <c r="BP604" s="16">
        <f t="shared" ca="1" si="2266"/>
        <v>0</v>
      </c>
      <c r="BQ604" s="16">
        <f t="shared" ca="1" si="2266"/>
        <v>0</v>
      </c>
      <c r="BR604" s="16">
        <f t="shared" ref="BR604:BS609" ca="1" si="2267">BR255/BR$419*100</f>
        <v>0</v>
      </c>
      <c r="BS604" s="16">
        <f t="shared" ca="1" si="2267"/>
        <v>0</v>
      </c>
      <c r="BT604" s="16">
        <f t="shared" ref="BT604:BU609" ca="1" si="2268">BT255/BT$419*100</f>
        <v>0</v>
      </c>
      <c r="BU604" s="16">
        <f t="shared" ca="1" si="2268"/>
        <v>0</v>
      </c>
      <c r="BV604" s="16">
        <f t="shared" ref="BV604:BV609" ca="1" si="2269">BV255/BV$419*100</f>
        <v>0</v>
      </c>
      <c r="BW604" s="16">
        <f t="shared" ref="BW604:BX604" ca="1" si="2270">BW255/BW$419*100</f>
        <v>0</v>
      </c>
      <c r="BX604" s="16">
        <f t="shared" ca="1" si="2270"/>
        <v>0</v>
      </c>
      <c r="BY604" s="16">
        <f t="shared" ref="BY604:CD604" ca="1" si="2271">BY255/BY$419*100</f>
        <v>0</v>
      </c>
      <c r="BZ604" s="16">
        <f t="shared" ca="1" si="2271"/>
        <v>0</v>
      </c>
      <c r="CA604" s="16">
        <f t="shared" ca="1" si="2271"/>
        <v>0</v>
      </c>
      <c r="CB604" s="16">
        <f t="shared" ca="1" si="2271"/>
        <v>0</v>
      </c>
      <c r="CC604" s="16">
        <f t="shared" ca="1" si="2271"/>
        <v>0</v>
      </c>
      <c r="CD604" s="16">
        <f t="shared" ca="1" si="2271"/>
        <v>0</v>
      </c>
      <c r="CE604" s="16"/>
      <c r="CG604" s="235">
        <f t="shared" ref="CG604:CH609" ca="1" si="2272">BK604-DG604</f>
        <v>0</v>
      </c>
      <c r="CH604" s="235">
        <f t="shared" ca="1" si="2272"/>
        <v>0</v>
      </c>
      <c r="CI604" s="235" t="e">
        <f ca="1">BM604-#REF!</f>
        <v>#REF!</v>
      </c>
      <c r="CJ604" s="235">
        <f t="shared" ref="CJ604:CS609" si="2273">BN604-DI604</f>
        <v>0</v>
      </c>
      <c r="CK604" s="235">
        <f t="shared" ca="1" si="2273"/>
        <v>0</v>
      </c>
      <c r="CL604" s="235">
        <f t="shared" ca="1" si="2273"/>
        <v>0</v>
      </c>
      <c r="CM604" s="235">
        <f t="shared" ca="1" si="2273"/>
        <v>0</v>
      </c>
      <c r="CN604" s="235">
        <f t="shared" ca="1" si="2273"/>
        <v>0</v>
      </c>
      <c r="CO604" s="235">
        <f t="shared" ca="1" si="2273"/>
        <v>0</v>
      </c>
      <c r="CP604" s="235">
        <f t="shared" ca="1" si="2273"/>
        <v>0</v>
      </c>
      <c r="CQ604" s="235">
        <f t="shared" ca="1" si="2273"/>
        <v>0</v>
      </c>
      <c r="CR604" s="235">
        <f t="shared" ca="1" si="2273"/>
        <v>0</v>
      </c>
      <c r="CS604" s="235">
        <f t="shared" ca="1" si="2273"/>
        <v>0</v>
      </c>
      <c r="CT604" s="235">
        <f t="shared" ref="CT604:CZ609" ca="1" si="2274">BX604-DS604</f>
        <v>0</v>
      </c>
      <c r="CU604" s="235">
        <f t="shared" ca="1" si="2274"/>
        <v>0</v>
      </c>
      <c r="CV604" s="235">
        <f t="shared" ca="1" si="2274"/>
        <v>0</v>
      </c>
      <c r="CW604" s="235">
        <f t="shared" ca="1" si="2274"/>
        <v>0</v>
      </c>
      <c r="CX604" s="235">
        <f t="shared" ca="1" si="2274"/>
        <v>0</v>
      </c>
      <c r="CY604" s="235">
        <f t="shared" ca="1" si="2274"/>
        <v>0</v>
      </c>
      <c r="CZ604" s="235">
        <f t="shared" ca="1" si="2274"/>
        <v>0</v>
      </c>
      <c r="DG604" s="236">
        <v>0</v>
      </c>
      <c r="DH604" s="492">
        <v>0</v>
      </c>
      <c r="DI604" s="236">
        <v>0</v>
      </c>
      <c r="DJ604" s="236">
        <v>0</v>
      </c>
      <c r="DK604" s="236">
        <v>0</v>
      </c>
      <c r="DL604" s="236">
        <v>0</v>
      </c>
      <c r="DM604" s="236">
        <v>0</v>
      </c>
      <c r="DN604" s="236">
        <v>0</v>
      </c>
      <c r="DO604" s="236">
        <v>0</v>
      </c>
      <c r="DP604" s="236">
        <v>0</v>
      </c>
      <c r="DQ604" s="258">
        <v>0</v>
      </c>
      <c r="DR604" s="258">
        <v>0</v>
      </c>
      <c r="DS604" s="258">
        <v>0</v>
      </c>
      <c r="DT604" s="258">
        <v>0</v>
      </c>
      <c r="DU604" s="258">
        <v>0</v>
      </c>
      <c r="DV604" s="258">
        <v>0</v>
      </c>
      <c r="DW604" s="258">
        <v>0</v>
      </c>
      <c r="DX604" s="258">
        <v>0</v>
      </c>
      <c r="DY604" s="258">
        <v>0</v>
      </c>
    </row>
    <row r="605" spans="2:129" hidden="1">
      <c r="B605" s="3" t="str">
        <f t="shared" si="2128"/>
        <v>Bruto investeringen van de overheid</v>
      </c>
      <c r="F605" s="16">
        <f t="shared" ref="F605:AK605" si="2275">F256/F$419*100</f>
        <v>0.71437465751179019</v>
      </c>
      <c r="G605" s="16">
        <f t="shared" si="2275"/>
        <v>0.63861561077763085</v>
      </c>
      <c r="H605" s="16">
        <f t="shared" si="2275"/>
        <v>1.3916866760387523</v>
      </c>
      <c r="I605" s="16">
        <f t="shared" si="2275"/>
        <v>1.6063223707008343</v>
      </c>
      <c r="J605" s="16">
        <f t="shared" si="2275"/>
        <v>1.6659279676041103</v>
      </c>
      <c r="K605" s="16">
        <f t="shared" si="2275"/>
        <v>2.1173899913223799</v>
      </c>
      <c r="L605" s="16">
        <f t="shared" si="2275"/>
        <v>2.9116852480024131</v>
      </c>
      <c r="M605" s="16">
        <f t="shared" si="2275"/>
        <v>2.4408644125112513</v>
      </c>
      <c r="N605" s="16">
        <f t="shared" si="2275"/>
        <v>1.9545456929572023</v>
      </c>
      <c r="O605" s="16">
        <f t="shared" si="2275"/>
        <v>1.6974026444856694</v>
      </c>
      <c r="P605" s="16">
        <f t="shared" si="2275"/>
        <v>1.5543479454007676</v>
      </c>
      <c r="Q605" s="16">
        <f t="shared" si="2275"/>
        <v>1.5607398051077799</v>
      </c>
      <c r="R605" s="16">
        <f t="shared" si="2275"/>
        <v>1.6732275619764072</v>
      </c>
      <c r="S605" s="16">
        <f t="shared" si="2275"/>
        <v>1.6212065130969404</v>
      </c>
      <c r="T605" s="16">
        <f t="shared" si="2275"/>
        <v>1.1356247217885655</v>
      </c>
      <c r="U605" s="16">
        <f t="shared" si="2275"/>
        <v>1.4049105378488258</v>
      </c>
      <c r="V605" s="16">
        <f t="shared" si="2275"/>
        <v>1.7291225445670255</v>
      </c>
      <c r="W605" s="16">
        <f t="shared" si="2275"/>
        <v>1.4355558457828785</v>
      </c>
      <c r="X605" s="16">
        <f t="shared" si="2275"/>
        <v>1.963511525916702</v>
      </c>
      <c r="Y605" s="16">
        <f t="shared" si="2275"/>
        <v>1.8352645225420638</v>
      </c>
      <c r="Z605" s="16">
        <f t="shared" si="2275"/>
        <v>1.5778842637874904</v>
      </c>
      <c r="AA605" s="16">
        <f t="shared" si="2275"/>
        <v>2.2266296146710962</v>
      </c>
      <c r="AB605" s="16">
        <f t="shared" si="2275"/>
        <v>3.355391368030241</v>
      </c>
      <c r="AC605" s="16">
        <f t="shared" si="2275"/>
        <v>3.0295784327389796</v>
      </c>
      <c r="AD605" s="16">
        <f t="shared" si="2275"/>
        <v>2.6693737875151502</v>
      </c>
      <c r="AE605" s="16">
        <f t="shared" si="2275"/>
        <v>2.4466044646766312</v>
      </c>
      <c r="AF605" s="16">
        <f t="shared" si="2275"/>
        <v>2.262959270293555</v>
      </c>
      <c r="AG605" s="16">
        <f t="shared" si="2275"/>
        <v>2.7538251978689074</v>
      </c>
      <c r="AH605" s="16">
        <f t="shared" si="2275"/>
        <v>2.819408415075495</v>
      </c>
      <c r="AI605" s="16">
        <f t="shared" si="2275"/>
        <v>1.8830007616020292</v>
      </c>
      <c r="AJ605" s="16">
        <f t="shared" si="2275"/>
        <v>1.3736632678540215</v>
      </c>
      <c r="AK605" s="16">
        <f t="shared" si="2275"/>
        <v>0.90383751337882678</v>
      </c>
      <c r="AL605" s="16">
        <f t="shared" ref="AL605:BQ605" si="2276">AL256/AL$419*100</f>
        <v>0.642167402981763</v>
      </c>
      <c r="AM605" s="16">
        <f t="shared" si="2276"/>
        <v>0.61387351350048691</v>
      </c>
      <c r="AN605" s="16">
        <f t="shared" si="2276"/>
        <v>0.32523859350023987</v>
      </c>
      <c r="AO605" s="16">
        <f t="shared" si="2276"/>
        <v>0.81790018672825515</v>
      </c>
      <c r="AP605" s="16">
        <f t="shared" si="2276"/>
        <v>0.74686669043599696</v>
      </c>
      <c r="AQ605" s="16">
        <f t="shared" si="2276"/>
        <v>0.78963725035618193</v>
      </c>
      <c r="AR605" s="16">
        <f t="shared" si="2276"/>
        <v>0.60296849503685945</v>
      </c>
      <c r="AS605" s="16">
        <f t="shared" si="2276"/>
        <v>0.91913653488138913</v>
      </c>
      <c r="AT605" s="16">
        <f t="shared" si="2276"/>
        <v>100.03142734411843</v>
      </c>
      <c r="AU605" s="16">
        <f t="shared" si="2276"/>
        <v>10.449219794874665</v>
      </c>
      <c r="AV605" s="16">
        <f t="shared" si="2276"/>
        <v>8.8710063971158348</v>
      </c>
      <c r="AW605" s="16">
        <f t="shared" si="2276"/>
        <v>4.9659792713439801</v>
      </c>
      <c r="AX605" s="16">
        <f t="shared" si="2276"/>
        <v>4.5454121150792366</v>
      </c>
      <c r="AY605" s="16">
        <f t="shared" si="2276"/>
        <v>5.6735967430894059</v>
      </c>
      <c r="AZ605" s="16">
        <f t="shared" si="2276"/>
        <v>5.7184314803254201</v>
      </c>
      <c r="BA605" s="16">
        <f t="shared" si="2276"/>
        <v>2.8357274776530201</v>
      </c>
      <c r="BB605" s="16">
        <f t="shared" si="2276"/>
        <v>2.9152392132568079</v>
      </c>
      <c r="BC605" s="16">
        <f t="shared" si="2276"/>
        <v>2.513019161236536</v>
      </c>
      <c r="BD605" s="16">
        <f t="shared" si="2276"/>
        <v>3.5385949661482616</v>
      </c>
      <c r="BE605" s="16">
        <f t="shared" ca="1" si="2276"/>
        <v>3.9435502560526601</v>
      </c>
      <c r="BF605" s="16">
        <f t="shared" ca="1" si="2276"/>
        <v>4.1195950846638629</v>
      </c>
      <c r="BG605" s="16">
        <f t="shared" ca="1" si="2276"/>
        <v>4.2125912951908662</v>
      </c>
      <c r="BH605" s="16">
        <f t="shared" ca="1" si="2276"/>
        <v>4.7275160816580559</v>
      </c>
      <c r="BI605" s="16">
        <f t="shared" ca="1" si="2276"/>
        <v>6.1817805487208428</v>
      </c>
      <c r="BJ605" s="16">
        <f t="shared" ca="1" si="2276"/>
        <v>4.520907560262299</v>
      </c>
      <c r="BK605" s="16">
        <f t="shared" ca="1" si="2276"/>
        <v>4.3196220886633521</v>
      </c>
      <c r="BL605" s="16">
        <f t="shared" ca="1" si="2276"/>
        <v>4.1863965565942953</v>
      </c>
      <c r="BM605" s="16">
        <f t="shared" ca="1" si="2276"/>
        <v>4.3946708772991805</v>
      </c>
      <c r="BN605" s="16">
        <f t="shared" si="2276"/>
        <v>5.1936308289273256</v>
      </c>
      <c r="BO605" s="16">
        <f t="shared" ca="1" si="2276"/>
        <v>2.5025946549146836</v>
      </c>
      <c r="BP605" s="16">
        <f t="shared" ca="1" si="2276"/>
        <v>2.5327096442408386</v>
      </c>
      <c r="BQ605" s="16">
        <f t="shared" ca="1" si="2276"/>
        <v>2.2351589722742045</v>
      </c>
      <c r="BR605" s="16">
        <f t="shared" ca="1" si="2267"/>
        <v>2.1544624209703813</v>
      </c>
      <c r="BS605" s="16">
        <f t="shared" ca="1" si="2267"/>
        <v>2.1715135341795304</v>
      </c>
      <c r="BT605" s="16">
        <f t="shared" ca="1" si="2268"/>
        <v>2.2258212162329758</v>
      </c>
      <c r="BU605" s="16">
        <f t="shared" ca="1" si="2268"/>
        <v>2.2634806971436996</v>
      </c>
      <c r="BV605" s="16">
        <f t="shared" ca="1" si="2269"/>
        <v>2.299794404583527</v>
      </c>
      <c r="BW605" s="16">
        <f t="shared" ref="BW605:BX605" ca="1" si="2277">BW256/BW$419*100</f>
        <v>2.332489865818292</v>
      </c>
      <c r="BX605" s="16">
        <f t="shared" ca="1" si="2277"/>
        <v>2.3660447460151728</v>
      </c>
      <c r="BY605" s="16">
        <f t="shared" ref="BY605:CD605" ca="1" si="2278">BY256/BY$419*100</f>
        <v>2.4004029855244902</v>
      </c>
      <c r="BZ605" s="16">
        <f t="shared" ca="1" si="2278"/>
        <v>2.4153861767712659</v>
      </c>
      <c r="CA605" s="16">
        <f t="shared" ca="1" si="2278"/>
        <v>2.4279513484232829</v>
      </c>
      <c r="CB605" s="16">
        <f t="shared" ca="1" si="2278"/>
        <v>2.435991640574144</v>
      </c>
      <c r="CC605" s="16">
        <f t="shared" ca="1" si="2278"/>
        <v>2.4434274996441983</v>
      </c>
      <c r="CD605" s="16">
        <f t="shared" ca="1" si="2278"/>
        <v>2.4500855220650801</v>
      </c>
      <c r="CE605" s="16"/>
      <c r="CG605" s="235">
        <f t="shared" ca="1" si="2272"/>
        <v>-1.1675886927278691</v>
      </c>
      <c r="CH605" s="235">
        <f t="shared" ca="1" si="2272"/>
        <v>5.8794179963196136E-2</v>
      </c>
      <c r="CI605" s="235" t="e">
        <f ca="1">BM605-#REF!</f>
        <v>#REF!</v>
      </c>
      <c r="CJ605" s="235">
        <f t="shared" si="2273"/>
        <v>0</v>
      </c>
      <c r="CK605" s="235">
        <f t="shared" ca="1" si="2273"/>
        <v>0</v>
      </c>
      <c r="CL605" s="235">
        <f t="shared" ca="1" si="2273"/>
        <v>0</v>
      </c>
      <c r="CM605" s="235">
        <f t="shared" ca="1" si="2273"/>
        <v>0</v>
      </c>
      <c r="CN605" s="235">
        <f t="shared" ca="1" si="2273"/>
        <v>0</v>
      </c>
      <c r="CO605" s="235">
        <f t="shared" ca="1" si="2273"/>
        <v>0</v>
      </c>
      <c r="CP605" s="235">
        <f t="shared" ca="1" si="2273"/>
        <v>0</v>
      </c>
      <c r="CQ605" s="235">
        <f t="shared" ca="1" si="2273"/>
        <v>3.5527136788005009E-15</v>
      </c>
      <c r="CR605" s="235">
        <f t="shared" ca="1" si="2273"/>
        <v>4.8849813083506888E-15</v>
      </c>
      <c r="CS605" s="235">
        <f t="shared" ca="1" si="2273"/>
        <v>4.8849813083506888E-15</v>
      </c>
      <c r="CT605" s="235">
        <f t="shared" ca="1" si="2274"/>
        <v>6.6613381477509392E-15</v>
      </c>
      <c r="CU605" s="235">
        <f t="shared" ca="1" si="2274"/>
        <v>5.773159728050814E-15</v>
      </c>
      <c r="CV605" s="235">
        <f t="shared" ca="1" si="2274"/>
        <v>5.3290705182007514E-15</v>
      </c>
      <c r="CW605" s="235">
        <f t="shared" ca="1" si="2274"/>
        <v>0</v>
      </c>
      <c r="CX605" s="235">
        <f t="shared" ca="1" si="2274"/>
        <v>-1.1013412404281553E-13</v>
      </c>
      <c r="CY605" s="235">
        <f t="shared" ca="1" si="2274"/>
        <v>-1.1226575225009583E-12</v>
      </c>
      <c r="CZ605" s="235">
        <f t="shared" ca="1" si="2274"/>
        <v>-8.4949824952218478E-12</v>
      </c>
      <c r="DG605" s="236">
        <v>5.4872107813912212</v>
      </c>
      <c r="DH605" s="492">
        <v>4.1276023766310992</v>
      </c>
      <c r="DI605" s="236">
        <v>5.1936308289273256</v>
      </c>
      <c r="DJ605" s="236">
        <v>2.5025946549146827</v>
      </c>
      <c r="DK605" s="236">
        <v>2.5327096442408381</v>
      </c>
      <c r="DL605" s="236">
        <v>2.235158972274204</v>
      </c>
      <c r="DM605" s="236">
        <v>2.1544624209703809</v>
      </c>
      <c r="DN605" s="236">
        <v>2.17151353417953</v>
      </c>
      <c r="DO605" s="236">
        <v>2.2258212162329731</v>
      </c>
      <c r="DP605" s="236">
        <v>2.263480697143696</v>
      </c>
      <c r="DQ605" s="258">
        <v>2.2997944045835221</v>
      </c>
      <c r="DR605" s="258">
        <v>2.3324898658182871</v>
      </c>
      <c r="DS605" s="258">
        <v>2.3660447460151661</v>
      </c>
      <c r="DT605" s="258">
        <v>2.4004029855244844</v>
      </c>
      <c r="DU605" s="258">
        <v>2.4153861767712606</v>
      </c>
      <c r="DV605" s="258">
        <v>2.4279513484232851</v>
      </c>
      <c r="DW605" s="258">
        <v>2.4359916405742541</v>
      </c>
      <c r="DX605" s="258">
        <v>2.4434274996453209</v>
      </c>
      <c r="DY605" s="258">
        <v>2.4500855220735751</v>
      </c>
    </row>
    <row r="606" spans="2:129" hidden="1">
      <c r="B606" s="3" t="str">
        <f t="shared" si="2128"/>
        <v>Overheidsinvesteringen uit schenkingen</v>
      </c>
      <c r="F606" s="16">
        <f t="shared" ref="F606:AK606" si="2279">F257/F$419*100</f>
        <v>0</v>
      </c>
      <c r="G606" s="16">
        <f t="shared" si="2279"/>
        <v>0</v>
      </c>
      <c r="H606" s="16">
        <f t="shared" si="2279"/>
        <v>0</v>
      </c>
      <c r="I606" s="16">
        <f t="shared" si="2279"/>
        <v>0</v>
      </c>
      <c r="J606" s="16">
        <f t="shared" si="2279"/>
        <v>0</v>
      </c>
      <c r="K606" s="16">
        <f t="shared" si="2279"/>
        <v>0</v>
      </c>
      <c r="L606" s="16">
        <f t="shared" si="2279"/>
        <v>0</v>
      </c>
      <c r="M606" s="16">
        <f t="shared" si="2279"/>
        <v>0</v>
      </c>
      <c r="N606" s="16">
        <f t="shared" si="2279"/>
        <v>0</v>
      </c>
      <c r="O606" s="16">
        <f t="shared" si="2279"/>
        <v>0</v>
      </c>
      <c r="P606" s="16">
        <f t="shared" si="2279"/>
        <v>0</v>
      </c>
      <c r="Q606" s="16">
        <f t="shared" si="2279"/>
        <v>0</v>
      </c>
      <c r="R606" s="16">
        <f t="shared" si="2279"/>
        <v>0</v>
      </c>
      <c r="S606" s="16">
        <f t="shared" si="2279"/>
        <v>0</v>
      </c>
      <c r="T606" s="16">
        <f t="shared" si="2279"/>
        <v>0</v>
      </c>
      <c r="U606" s="16">
        <f t="shared" si="2279"/>
        <v>0</v>
      </c>
      <c r="V606" s="16">
        <f t="shared" si="2279"/>
        <v>0</v>
      </c>
      <c r="W606" s="16">
        <f t="shared" si="2279"/>
        <v>0</v>
      </c>
      <c r="X606" s="16">
        <f t="shared" si="2279"/>
        <v>0</v>
      </c>
      <c r="Y606" s="16">
        <f t="shared" si="2279"/>
        <v>0</v>
      </c>
      <c r="Z606" s="16">
        <f t="shared" si="2279"/>
        <v>0</v>
      </c>
      <c r="AA606" s="16">
        <f t="shared" si="2279"/>
        <v>0</v>
      </c>
      <c r="AB606" s="16">
        <f t="shared" si="2279"/>
        <v>0</v>
      </c>
      <c r="AC606" s="16">
        <f t="shared" si="2279"/>
        <v>0</v>
      </c>
      <c r="AD606" s="16">
        <f t="shared" si="2279"/>
        <v>0</v>
      </c>
      <c r="AE606" s="16">
        <f t="shared" si="2279"/>
        <v>0</v>
      </c>
      <c r="AF606" s="16">
        <f t="shared" si="2279"/>
        <v>0</v>
      </c>
      <c r="AG606" s="16">
        <f t="shared" si="2279"/>
        <v>0</v>
      </c>
      <c r="AH606" s="16">
        <f t="shared" si="2279"/>
        <v>0</v>
      </c>
      <c r="AI606" s="16">
        <f t="shared" si="2279"/>
        <v>0</v>
      </c>
      <c r="AJ606" s="16">
        <f t="shared" si="2279"/>
        <v>0</v>
      </c>
      <c r="AK606" s="16">
        <f t="shared" si="2279"/>
        <v>0</v>
      </c>
      <c r="AL606" s="16">
        <f t="shared" ref="AL606:BQ606" si="2280">AL257/AL$419*100</f>
        <v>0</v>
      </c>
      <c r="AM606" s="16">
        <f t="shared" si="2280"/>
        <v>0</v>
      </c>
      <c r="AN606" s="16">
        <f t="shared" si="2280"/>
        <v>0</v>
      </c>
      <c r="AO606" s="16">
        <f t="shared" si="2280"/>
        <v>0</v>
      </c>
      <c r="AP606" s="16">
        <f t="shared" si="2280"/>
        <v>0</v>
      </c>
      <c r="AQ606" s="16">
        <f t="shared" si="2280"/>
        <v>0</v>
      </c>
      <c r="AR606" s="16">
        <f t="shared" si="2280"/>
        <v>0</v>
      </c>
      <c r="AS606" s="16">
        <f t="shared" si="2280"/>
        <v>0</v>
      </c>
      <c r="AT606" s="16">
        <f t="shared" si="2280"/>
        <v>95.831874221288047</v>
      </c>
      <c r="AU606" s="16">
        <f t="shared" si="2280"/>
        <v>0</v>
      </c>
      <c r="AV606" s="16">
        <f t="shared" si="2280"/>
        <v>4.3639250080773104</v>
      </c>
      <c r="AW606" s="16">
        <f t="shared" si="2280"/>
        <v>1.4993687313692134</v>
      </c>
      <c r="AX606" s="16">
        <f t="shared" si="2280"/>
        <v>1.6551702137937003</v>
      </c>
      <c r="AY606" s="16">
        <f t="shared" si="2280"/>
        <v>0.81799683459004224</v>
      </c>
      <c r="AZ606" s="16">
        <f t="shared" si="2280"/>
        <v>1.1413728766429019</v>
      </c>
      <c r="BA606" s="16">
        <f t="shared" si="2280"/>
        <v>1.2849713031982986</v>
      </c>
      <c r="BB606" s="16">
        <f t="shared" si="2280"/>
        <v>1.18370560068186</v>
      </c>
      <c r="BC606" s="16">
        <f t="shared" si="2280"/>
        <v>1.2885866535649932</v>
      </c>
      <c r="BD606" s="16">
        <f t="shared" si="2280"/>
        <v>1.3247176896280317</v>
      </c>
      <c r="BE606" s="16">
        <f t="shared" ca="1" si="2280"/>
        <v>1.4213544642533553</v>
      </c>
      <c r="BF606" s="16">
        <f t="shared" ca="1" si="2280"/>
        <v>2.1524239262501115</v>
      </c>
      <c r="BG606" s="16">
        <f t="shared" ca="1" si="2280"/>
        <v>1.8644675194627536</v>
      </c>
      <c r="BH606" s="16">
        <f t="shared" ca="1" si="2280"/>
        <v>2.4709414644026051</v>
      </c>
      <c r="BI606" s="16">
        <f t="shared" ca="1" si="2280"/>
        <v>2.1894195563586787</v>
      </c>
      <c r="BJ606" s="16">
        <f t="shared" ca="1" si="2280"/>
        <v>0</v>
      </c>
      <c r="BK606" s="16">
        <f t="shared" ca="1" si="2280"/>
        <v>0</v>
      </c>
      <c r="BL606" s="16">
        <f t="shared" ca="1" si="2280"/>
        <v>0</v>
      </c>
      <c r="BM606" s="16">
        <f t="shared" ca="1" si="2280"/>
        <v>0</v>
      </c>
      <c r="BN606" s="16">
        <f t="shared" si="2280"/>
        <v>0</v>
      </c>
      <c r="BO606" s="16">
        <f t="shared" ca="1" si="2280"/>
        <v>0</v>
      </c>
      <c r="BP606" s="16">
        <f t="shared" ca="1" si="2280"/>
        <v>0</v>
      </c>
      <c r="BQ606" s="16">
        <f t="shared" ca="1" si="2280"/>
        <v>0</v>
      </c>
      <c r="BR606" s="16">
        <f t="shared" ca="1" si="2267"/>
        <v>0</v>
      </c>
      <c r="BS606" s="16">
        <f t="shared" ca="1" si="2267"/>
        <v>0</v>
      </c>
      <c r="BT606" s="16">
        <f t="shared" ca="1" si="2268"/>
        <v>0</v>
      </c>
      <c r="BU606" s="16">
        <f t="shared" ca="1" si="2268"/>
        <v>0</v>
      </c>
      <c r="BV606" s="16">
        <f t="shared" ca="1" si="2269"/>
        <v>0</v>
      </c>
      <c r="BW606" s="16">
        <f t="shared" ref="BW606:BX606" ca="1" si="2281">BW257/BW$419*100</f>
        <v>0</v>
      </c>
      <c r="BX606" s="16">
        <f t="shared" ca="1" si="2281"/>
        <v>0</v>
      </c>
      <c r="BY606" s="16">
        <f t="shared" ref="BY606:CD606" ca="1" si="2282">BY257/BY$419*100</f>
        <v>0</v>
      </c>
      <c r="BZ606" s="16">
        <f t="shared" ca="1" si="2282"/>
        <v>0</v>
      </c>
      <c r="CA606" s="16">
        <f t="shared" ca="1" si="2282"/>
        <v>0</v>
      </c>
      <c r="CB606" s="16">
        <f t="shared" ca="1" si="2282"/>
        <v>0</v>
      </c>
      <c r="CC606" s="16">
        <f t="shared" ca="1" si="2282"/>
        <v>0</v>
      </c>
      <c r="CD606" s="16">
        <f t="shared" ca="1" si="2282"/>
        <v>0</v>
      </c>
      <c r="CE606" s="16"/>
      <c r="CG606" s="235">
        <f t="shared" ca="1" si="2272"/>
        <v>0</v>
      </c>
      <c r="CH606" s="235">
        <f t="shared" ca="1" si="2272"/>
        <v>0</v>
      </c>
      <c r="CI606" s="235" t="e">
        <f ca="1">BM606-#REF!</f>
        <v>#REF!</v>
      </c>
      <c r="CJ606" s="235">
        <f t="shared" si="2273"/>
        <v>0</v>
      </c>
      <c r="CK606" s="235">
        <f t="shared" ca="1" si="2273"/>
        <v>0</v>
      </c>
      <c r="CL606" s="235">
        <f t="shared" ca="1" si="2273"/>
        <v>0</v>
      </c>
      <c r="CM606" s="235">
        <f t="shared" ca="1" si="2273"/>
        <v>0</v>
      </c>
      <c r="CN606" s="235">
        <f t="shared" ca="1" si="2273"/>
        <v>0</v>
      </c>
      <c r="CO606" s="235">
        <f t="shared" ca="1" si="2273"/>
        <v>0</v>
      </c>
      <c r="CP606" s="235">
        <f t="shared" ca="1" si="2273"/>
        <v>0</v>
      </c>
      <c r="CQ606" s="235">
        <f t="shared" ca="1" si="2273"/>
        <v>0</v>
      </c>
      <c r="CR606" s="235">
        <f t="shared" ca="1" si="2273"/>
        <v>0</v>
      </c>
      <c r="CS606" s="235">
        <f t="shared" ca="1" si="2273"/>
        <v>0</v>
      </c>
      <c r="CT606" s="235">
        <f t="shared" ca="1" si="2274"/>
        <v>0</v>
      </c>
      <c r="CU606" s="235">
        <f t="shared" ca="1" si="2274"/>
        <v>0</v>
      </c>
      <c r="CV606" s="235">
        <f t="shared" ca="1" si="2274"/>
        <v>0</v>
      </c>
      <c r="CW606" s="235">
        <f t="shared" ca="1" si="2274"/>
        <v>0</v>
      </c>
      <c r="CX606" s="235">
        <f t="shared" ca="1" si="2274"/>
        <v>0</v>
      </c>
      <c r="CY606" s="235">
        <f t="shared" ca="1" si="2274"/>
        <v>0</v>
      </c>
      <c r="CZ606" s="235">
        <f t="shared" ca="1" si="2274"/>
        <v>0</v>
      </c>
      <c r="DG606" s="236">
        <v>0</v>
      </c>
      <c r="DH606" s="492">
        <v>0</v>
      </c>
      <c r="DI606" s="236">
        <v>0</v>
      </c>
      <c r="DJ606" s="236">
        <v>0</v>
      </c>
      <c r="DK606" s="236">
        <v>0</v>
      </c>
      <c r="DL606" s="236">
        <v>0</v>
      </c>
      <c r="DM606" s="236">
        <v>0</v>
      </c>
      <c r="DN606" s="236">
        <v>0</v>
      </c>
      <c r="DO606" s="236">
        <v>0</v>
      </c>
      <c r="DP606" s="236">
        <v>0</v>
      </c>
      <c r="DQ606" s="258">
        <v>0</v>
      </c>
      <c r="DR606" s="258">
        <v>0</v>
      </c>
      <c r="DS606" s="258">
        <v>0</v>
      </c>
      <c r="DT606" s="258">
        <v>0</v>
      </c>
      <c r="DU606" s="258">
        <v>0</v>
      </c>
      <c r="DV606" s="258">
        <v>0</v>
      </c>
      <c r="DW606" s="258">
        <v>0</v>
      </c>
      <c r="DX606" s="258">
        <v>0</v>
      </c>
      <c r="DY606" s="258">
        <v>0</v>
      </c>
    </row>
    <row r="607" spans="2:129" hidden="1">
      <c r="B607" s="3" t="str">
        <f t="shared" si="2128"/>
        <v xml:space="preserve">Overheidsinvesteringen uit begroting </v>
      </c>
      <c r="F607" s="16">
        <f t="shared" ref="F607:AK607" si="2283">F258/F$419*100</f>
        <v>0.71437465751179019</v>
      </c>
      <c r="G607" s="16">
        <f t="shared" si="2283"/>
        <v>0.63861561077763085</v>
      </c>
      <c r="H607" s="16">
        <f t="shared" si="2283"/>
        <v>1.3916866760387523</v>
      </c>
      <c r="I607" s="16">
        <f t="shared" si="2283"/>
        <v>1.6063223707008343</v>
      </c>
      <c r="J607" s="16">
        <f t="shared" si="2283"/>
        <v>1.6659279676041103</v>
      </c>
      <c r="K607" s="16">
        <f t="shared" si="2283"/>
        <v>2.1173899913223799</v>
      </c>
      <c r="L607" s="16">
        <f t="shared" si="2283"/>
        <v>2.9116852480024131</v>
      </c>
      <c r="M607" s="16">
        <f t="shared" si="2283"/>
        <v>2.4408644125112513</v>
      </c>
      <c r="N607" s="16">
        <f t="shared" si="2283"/>
        <v>1.9545456929572023</v>
      </c>
      <c r="O607" s="16">
        <f t="shared" si="2283"/>
        <v>1.6974026444856694</v>
      </c>
      <c r="P607" s="16">
        <f t="shared" si="2283"/>
        <v>1.5543479454007676</v>
      </c>
      <c r="Q607" s="16">
        <f t="shared" si="2283"/>
        <v>1.5607398051077799</v>
      </c>
      <c r="R607" s="16">
        <f t="shared" si="2283"/>
        <v>1.6732275619764072</v>
      </c>
      <c r="S607" s="16">
        <f t="shared" si="2283"/>
        <v>1.6212065130969404</v>
      </c>
      <c r="T607" s="16">
        <f t="shared" si="2283"/>
        <v>1.1356247217885655</v>
      </c>
      <c r="U607" s="16">
        <f t="shared" si="2283"/>
        <v>1.4049105378488258</v>
      </c>
      <c r="V607" s="16">
        <f t="shared" si="2283"/>
        <v>1.7291225445670255</v>
      </c>
      <c r="W607" s="16">
        <f t="shared" si="2283"/>
        <v>1.4355558457828785</v>
      </c>
      <c r="X607" s="16">
        <f t="shared" si="2283"/>
        <v>1.963511525916702</v>
      </c>
      <c r="Y607" s="16">
        <f t="shared" si="2283"/>
        <v>1.8352645225420638</v>
      </c>
      <c r="Z607" s="16">
        <f t="shared" si="2283"/>
        <v>1.5778842637874904</v>
      </c>
      <c r="AA607" s="16">
        <f t="shared" si="2283"/>
        <v>2.2266296146710962</v>
      </c>
      <c r="AB607" s="16">
        <f t="shared" si="2283"/>
        <v>3.355391368030241</v>
      </c>
      <c r="AC607" s="16">
        <f t="shared" si="2283"/>
        <v>3.0295784327389796</v>
      </c>
      <c r="AD607" s="16">
        <f t="shared" si="2283"/>
        <v>2.6693737875151502</v>
      </c>
      <c r="AE607" s="16">
        <f t="shared" si="2283"/>
        <v>2.4466044646766312</v>
      </c>
      <c r="AF607" s="16">
        <f t="shared" si="2283"/>
        <v>2.262959270293555</v>
      </c>
      <c r="AG607" s="16">
        <f t="shared" si="2283"/>
        <v>2.7538251978689074</v>
      </c>
      <c r="AH607" s="16">
        <f t="shared" si="2283"/>
        <v>2.819408415075495</v>
      </c>
      <c r="AI607" s="16">
        <f t="shared" si="2283"/>
        <v>1.8830007616020292</v>
      </c>
      <c r="AJ607" s="16">
        <f t="shared" si="2283"/>
        <v>1.3736632678540215</v>
      </c>
      <c r="AK607" s="16">
        <f t="shared" si="2283"/>
        <v>0.90383751337882678</v>
      </c>
      <c r="AL607" s="16">
        <f t="shared" ref="AL607:BQ607" si="2284">AL258/AL$419*100</f>
        <v>0.642167402981763</v>
      </c>
      <c r="AM607" s="16">
        <f t="shared" si="2284"/>
        <v>0.61387351350048691</v>
      </c>
      <c r="AN607" s="16">
        <f t="shared" si="2284"/>
        <v>0.32523859350023987</v>
      </c>
      <c r="AO607" s="16">
        <f t="shared" si="2284"/>
        <v>0.81790018672825515</v>
      </c>
      <c r="AP607" s="16">
        <f t="shared" si="2284"/>
        <v>0.74686669043599696</v>
      </c>
      <c r="AQ607" s="16">
        <f t="shared" si="2284"/>
        <v>0.78963725035618193</v>
      </c>
      <c r="AR607" s="16">
        <f t="shared" si="2284"/>
        <v>0.60296849503685945</v>
      </c>
      <c r="AS607" s="16">
        <f t="shared" si="2284"/>
        <v>0.91913653488138913</v>
      </c>
      <c r="AT607" s="16">
        <f t="shared" si="2284"/>
        <v>4.1995531228303813</v>
      </c>
      <c r="AU607" s="16">
        <f t="shared" si="2284"/>
        <v>10.449219794874665</v>
      </c>
      <c r="AV607" s="16">
        <f t="shared" si="2284"/>
        <v>4.5070813890385235</v>
      </c>
      <c r="AW607" s="16">
        <f t="shared" si="2284"/>
        <v>3.466610539974766</v>
      </c>
      <c r="AX607" s="16">
        <f t="shared" si="2284"/>
        <v>2.890241901285536</v>
      </c>
      <c r="AY607" s="16">
        <f t="shared" si="2284"/>
        <v>4.8555999084993635</v>
      </c>
      <c r="AZ607" s="16">
        <f t="shared" si="2284"/>
        <v>4.5770586036825174</v>
      </c>
      <c r="BA607" s="16">
        <f t="shared" si="2284"/>
        <v>1.5507561744547216</v>
      </c>
      <c r="BB607" s="16">
        <f t="shared" si="2284"/>
        <v>1.7315336125749481</v>
      </c>
      <c r="BC607" s="16">
        <f t="shared" si="2284"/>
        <v>1.2244325076715423</v>
      </c>
      <c r="BD607" s="16">
        <f t="shared" si="2284"/>
        <v>2.2138772765202304</v>
      </c>
      <c r="BE607" s="16">
        <f t="shared" ca="1" si="2284"/>
        <v>2.5221957917993052</v>
      </c>
      <c r="BF607" s="16">
        <f t="shared" ca="1" si="2284"/>
        <v>1.9671711584137517</v>
      </c>
      <c r="BG607" s="16">
        <f t="shared" ca="1" si="2284"/>
        <v>2.348123775728113</v>
      </c>
      <c r="BH607" s="16">
        <f t="shared" ca="1" si="2284"/>
        <v>2.2565746172554508</v>
      </c>
      <c r="BI607" s="16">
        <f t="shared" ca="1" si="2284"/>
        <v>3.9923609923621641</v>
      </c>
      <c r="BJ607" s="16">
        <f t="shared" ca="1" si="2284"/>
        <v>4.520907560262299</v>
      </c>
      <c r="BK607" s="16">
        <f t="shared" ca="1" si="2284"/>
        <v>4.3196220886633521</v>
      </c>
      <c r="BL607" s="16">
        <f t="shared" ca="1" si="2284"/>
        <v>4.1863965565942953</v>
      </c>
      <c r="BM607" s="16">
        <f t="shared" ca="1" si="2284"/>
        <v>4.3946708772991805</v>
      </c>
      <c r="BN607" s="16">
        <f t="shared" si="2284"/>
        <v>5.1936308289273256</v>
      </c>
      <c r="BO607" s="16">
        <f t="shared" ca="1" si="2284"/>
        <v>2.5025946549146836</v>
      </c>
      <c r="BP607" s="16">
        <f t="shared" ca="1" si="2284"/>
        <v>2.5327096442408386</v>
      </c>
      <c r="BQ607" s="16">
        <f t="shared" ca="1" si="2284"/>
        <v>2.2351589722742045</v>
      </c>
      <c r="BR607" s="16">
        <f t="shared" ca="1" si="2267"/>
        <v>2.1544624209703813</v>
      </c>
      <c r="BS607" s="16">
        <f t="shared" ca="1" si="2267"/>
        <v>2.1715135341795304</v>
      </c>
      <c r="BT607" s="16">
        <f t="shared" ca="1" si="2268"/>
        <v>2.2258212162329762</v>
      </c>
      <c r="BU607" s="16">
        <f t="shared" ca="1" si="2268"/>
        <v>2.2634806971436996</v>
      </c>
      <c r="BV607" s="16">
        <f t="shared" ca="1" si="2269"/>
        <v>2.299794404583527</v>
      </c>
      <c r="BW607" s="16">
        <f t="shared" ref="BW607:BX607" ca="1" si="2285">BW258/BW$419*100</f>
        <v>2.3324898658182929</v>
      </c>
      <c r="BX607" s="16">
        <f t="shared" ca="1" si="2285"/>
        <v>2.3660447460151737</v>
      </c>
      <c r="BY607" s="16">
        <f t="shared" ref="BY607:CD607" ca="1" si="2286">BY258/BY$419*100</f>
        <v>2.4004029855244915</v>
      </c>
      <c r="BZ607" s="16">
        <f t="shared" ca="1" si="2286"/>
        <v>2.4153861767712685</v>
      </c>
      <c r="CA607" s="16">
        <f t="shared" ca="1" si="2286"/>
        <v>2.427951348423286</v>
      </c>
      <c r="CB607" s="16">
        <f t="shared" ca="1" si="2286"/>
        <v>2.4359916405741489</v>
      </c>
      <c r="CC607" s="16">
        <f t="shared" ca="1" si="2286"/>
        <v>2.4434274996442058</v>
      </c>
      <c r="CD607" s="16">
        <f t="shared" ca="1" si="2286"/>
        <v>2.4500855220650899</v>
      </c>
      <c r="CE607" s="16"/>
      <c r="CG607" s="235">
        <f t="shared" ca="1" si="2272"/>
        <v>-1.1675886927278691</v>
      </c>
      <c r="CH607" s="235">
        <f t="shared" ca="1" si="2272"/>
        <v>5.8794179963196136E-2</v>
      </c>
      <c r="CI607" s="235" t="e">
        <f ca="1">BM607-#REF!</f>
        <v>#REF!</v>
      </c>
      <c r="CJ607" s="235">
        <f t="shared" si="2273"/>
        <v>0</v>
      </c>
      <c r="CK607" s="235">
        <f t="shared" ca="1" si="2273"/>
        <v>0</v>
      </c>
      <c r="CL607" s="235">
        <f t="shared" ca="1" si="2273"/>
        <v>0</v>
      </c>
      <c r="CM607" s="235">
        <f t="shared" ca="1" si="2273"/>
        <v>0</v>
      </c>
      <c r="CN607" s="235">
        <f t="shared" ca="1" si="2273"/>
        <v>0</v>
      </c>
      <c r="CO607" s="235">
        <f t="shared" ca="1" si="2273"/>
        <v>0</v>
      </c>
      <c r="CP607" s="235">
        <f t="shared" ca="1" si="2273"/>
        <v>0</v>
      </c>
      <c r="CQ607" s="235">
        <f t="shared" ca="1" si="2273"/>
        <v>0</v>
      </c>
      <c r="CR607" s="235">
        <f t="shared" ca="1" si="2273"/>
        <v>3.9968028886505635E-15</v>
      </c>
      <c r="CS607" s="235">
        <f t="shared" ca="1" si="2273"/>
        <v>4.4408920985006262E-15</v>
      </c>
      <c r="CT607" s="235">
        <f t="shared" ca="1" si="2274"/>
        <v>5.773159728050814E-15</v>
      </c>
      <c r="CU607" s="235">
        <f t="shared" ca="1" si="2274"/>
        <v>5.773159728050814E-15</v>
      </c>
      <c r="CV607" s="235">
        <f t="shared" ca="1" si="2274"/>
        <v>6.2172489379008766E-15</v>
      </c>
      <c r="CW607" s="235">
        <f t="shared" ca="1" si="2274"/>
        <v>0</v>
      </c>
      <c r="CX607" s="235">
        <f t="shared" ca="1" si="2274"/>
        <v>-1.0036416142611415E-13</v>
      </c>
      <c r="CY607" s="235">
        <f t="shared" ca="1" si="2274"/>
        <v>-1.0245138071240945E-12</v>
      </c>
      <c r="CZ607" s="235">
        <f t="shared" ca="1" si="2274"/>
        <v>-7.5837114366095193E-12</v>
      </c>
      <c r="DG607" s="236">
        <v>5.4872107813912212</v>
      </c>
      <c r="DH607" s="492">
        <v>4.1276023766310992</v>
      </c>
      <c r="DI607" s="236">
        <v>5.1936308289273256</v>
      </c>
      <c r="DJ607" s="236">
        <v>2.5025946549146827</v>
      </c>
      <c r="DK607" s="236">
        <v>2.5327096442408381</v>
      </c>
      <c r="DL607" s="236">
        <v>2.235158972274204</v>
      </c>
      <c r="DM607" s="236">
        <v>2.1544624209703809</v>
      </c>
      <c r="DN607" s="236">
        <v>2.17151353417953</v>
      </c>
      <c r="DO607" s="236">
        <v>2.2258212162329731</v>
      </c>
      <c r="DP607" s="236">
        <v>2.2634806971436969</v>
      </c>
      <c r="DQ607" s="258">
        <v>2.299794404583523</v>
      </c>
      <c r="DR607" s="258">
        <v>2.3324898658182884</v>
      </c>
      <c r="DS607" s="258">
        <v>2.3660447460151679</v>
      </c>
      <c r="DT607" s="258">
        <v>2.4004029855244857</v>
      </c>
      <c r="DU607" s="258">
        <v>2.4153861767712623</v>
      </c>
      <c r="DV607" s="258">
        <v>2.4279513484232869</v>
      </c>
      <c r="DW607" s="258">
        <v>2.4359916405742492</v>
      </c>
      <c r="DX607" s="258">
        <v>2.4434274996452303</v>
      </c>
      <c r="DY607" s="258">
        <v>2.4500855220726736</v>
      </c>
    </row>
    <row r="608" spans="2:129" hidden="1">
      <c r="B608" s="3" t="str">
        <f t="shared" si="2128"/>
        <v>Lening minus aflossingen</v>
      </c>
      <c r="F608" s="16">
        <f t="shared" ref="F608:AK608" si="2287">F259/F$419*100</f>
        <v>0</v>
      </c>
      <c r="G608" s="16">
        <f t="shared" si="2287"/>
        <v>0</v>
      </c>
      <c r="H608" s="16">
        <f t="shared" si="2287"/>
        <v>0</v>
      </c>
      <c r="I608" s="16">
        <f t="shared" si="2287"/>
        <v>0</v>
      </c>
      <c r="J608" s="16">
        <f t="shared" si="2287"/>
        <v>0</v>
      </c>
      <c r="K608" s="16">
        <f t="shared" si="2287"/>
        <v>0</v>
      </c>
      <c r="L608" s="16">
        <f t="shared" si="2287"/>
        <v>0</v>
      </c>
      <c r="M608" s="16">
        <f t="shared" si="2287"/>
        <v>0</v>
      </c>
      <c r="N608" s="16">
        <f t="shared" si="2287"/>
        <v>0</v>
      </c>
      <c r="O608" s="16">
        <f t="shared" si="2287"/>
        <v>0</v>
      </c>
      <c r="P608" s="16">
        <f t="shared" si="2287"/>
        <v>0</v>
      </c>
      <c r="Q608" s="16">
        <f t="shared" si="2287"/>
        <v>0</v>
      </c>
      <c r="R608" s="16">
        <f t="shared" si="2287"/>
        <v>0</v>
      </c>
      <c r="S608" s="16">
        <f t="shared" si="2287"/>
        <v>0</v>
      </c>
      <c r="T608" s="16">
        <f t="shared" si="2287"/>
        <v>0</v>
      </c>
      <c r="U608" s="16">
        <f t="shared" si="2287"/>
        <v>0</v>
      </c>
      <c r="V608" s="16">
        <f t="shared" si="2287"/>
        <v>0</v>
      </c>
      <c r="W608" s="16">
        <f t="shared" si="2287"/>
        <v>0</v>
      </c>
      <c r="X608" s="16">
        <f t="shared" si="2287"/>
        <v>0</v>
      </c>
      <c r="Y608" s="16">
        <f t="shared" si="2287"/>
        <v>0</v>
      </c>
      <c r="Z608" s="16">
        <f t="shared" si="2287"/>
        <v>0</v>
      </c>
      <c r="AA608" s="16">
        <f t="shared" si="2287"/>
        <v>0</v>
      </c>
      <c r="AB608" s="16">
        <f t="shared" si="2287"/>
        <v>0</v>
      </c>
      <c r="AC608" s="16">
        <f t="shared" si="2287"/>
        <v>0</v>
      </c>
      <c r="AD608" s="16">
        <f t="shared" si="2287"/>
        <v>0</v>
      </c>
      <c r="AE608" s="16">
        <f t="shared" si="2287"/>
        <v>0</v>
      </c>
      <c r="AF608" s="16">
        <f t="shared" si="2287"/>
        <v>0</v>
      </c>
      <c r="AG608" s="16">
        <f t="shared" si="2287"/>
        <v>0</v>
      </c>
      <c r="AH608" s="16">
        <f t="shared" si="2287"/>
        <v>0</v>
      </c>
      <c r="AI608" s="16">
        <f t="shared" si="2287"/>
        <v>0</v>
      </c>
      <c r="AJ608" s="16">
        <f t="shared" si="2287"/>
        <v>0</v>
      </c>
      <c r="AK608" s="16">
        <f t="shared" si="2287"/>
        <v>0</v>
      </c>
      <c r="AL608" s="16">
        <f t="shared" ref="AL608:BQ608" si="2288">AL259/AL$419*100</f>
        <v>0</v>
      </c>
      <c r="AM608" s="16">
        <f t="shared" si="2288"/>
        <v>0</v>
      </c>
      <c r="AN608" s="16">
        <f t="shared" si="2288"/>
        <v>0</v>
      </c>
      <c r="AO608" s="16">
        <f t="shared" si="2288"/>
        <v>0</v>
      </c>
      <c r="AP608" s="16">
        <f t="shared" si="2288"/>
        <v>0</v>
      </c>
      <c r="AQ608" s="16">
        <f t="shared" si="2288"/>
        <v>0</v>
      </c>
      <c r="AR608" s="16">
        <f t="shared" si="2288"/>
        <v>0</v>
      </c>
      <c r="AS608" s="16">
        <f t="shared" si="2288"/>
        <v>0</v>
      </c>
      <c r="AT608" s="16">
        <f t="shared" si="2288"/>
        <v>0</v>
      </c>
      <c r="AU608" s="16">
        <f t="shared" si="2288"/>
        <v>0</v>
      </c>
      <c r="AV608" s="16">
        <f t="shared" si="2288"/>
        <v>2.4161910430397797</v>
      </c>
      <c r="AW608" s="16">
        <f t="shared" si="2288"/>
        <v>0.25494264445756415</v>
      </c>
      <c r="AX608" s="16">
        <f t="shared" si="2288"/>
        <v>0</v>
      </c>
      <c r="AY608" s="16">
        <f t="shared" si="2288"/>
        <v>0</v>
      </c>
      <c r="AZ608" s="16">
        <f t="shared" si="2288"/>
        <v>1.810288821999579E-2</v>
      </c>
      <c r="BA608" s="16">
        <f t="shared" si="2288"/>
        <v>0.57980948800218823</v>
      </c>
      <c r="BB608" s="16">
        <f t="shared" si="2288"/>
        <v>0.16594685991291291</v>
      </c>
      <c r="BC608" s="16">
        <f t="shared" si="2288"/>
        <v>0.28538279158805541</v>
      </c>
      <c r="BD608" s="16">
        <f t="shared" si="2288"/>
        <v>5.5461348348589075E-2</v>
      </c>
      <c r="BE608" s="16">
        <f t="shared" ca="1" si="2288"/>
        <v>0</v>
      </c>
      <c r="BF608" s="16">
        <f t="shared" ca="1" si="2288"/>
        <v>0</v>
      </c>
      <c r="BG608" s="16">
        <f t="shared" ca="1" si="2288"/>
        <v>1.3212800216072561E-2</v>
      </c>
      <c r="BH608" s="16">
        <f t="shared" ca="1" si="2288"/>
        <v>0</v>
      </c>
      <c r="BI608" s="16">
        <f t="shared" ca="1" si="2288"/>
        <v>0</v>
      </c>
      <c r="BJ608" s="16">
        <f t="shared" ca="1" si="2288"/>
        <v>0</v>
      </c>
      <c r="BK608" s="16">
        <f t="shared" ca="1" si="2288"/>
        <v>0</v>
      </c>
      <c r="BL608" s="16">
        <f t="shared" ca="1" si="2288"/>
        <v>0</v>
      </c>
      <c r="BM608" s="16">
        <f t="shared" ca="1" si="2288"/>
        <v>0</v>
      </c>
      <c r="BN608" s="16">
        <f t="shared" si="2288"/>
        <v>0</v>
      </c>
      <c r="BO608" s="16">
        <f t="shared" ca="1" si="2288"/>
        <v>0</v>
      </c>
      <c r="BP608" s="16">
        <f t="shared" ca="1" si="2288"/>
        <v>0</v>
      </c>
      <c r="BQ608" s="16">
        <f t="shared" ca="1" si="2288"/>
        <v>0</v>
      </c>
      <c r="BR608" s="16">
        <f t="shared" ca="1" si="2267"/>
        <v>0</v>
      </c>
      <c r="BS608" s="16">
        <f t="shared" ca="1" si="2267"/>
        <v>0</v>
      </c>
      <c r="BT608" s="16">
        <f t="shared" ca="1" si="2268"/>
        <v>0</v>
      </c>
      <c r="BU608" s="16">
        <f t="shared" ca="1" si="2268"/>
        <v>0</v>
      </c>
      <c r="BV608" s="16">
        <f t="shared" ca="1" si="2269"/>
        <v>0</v>
      </c>
      <c r="BW608" s="16">
        <f t="shared" ref="BW608:BX608" ca="1" si="2289">BW259/BW$419*100</f>
        <v>0</v>
      </c>
      <c r="BX608" s="16">
        <f t="shared" ca="1" si="2289"/>
        <v>0</v>
      </c>
      <c r="BY608" s="16">
        <f t="shared" ref="BY608:CD608" ca="1" si="2290">BY259/BY$419*100</f>
        <v>0</v>
      </c>
      <c r="BZ608" s="16">
        <f t="shared" ca="1" si="2290"/>
        <v>0</v>
      </c>
      <c r="CA608" s="16">
        <f t="shared" ca="1" si="2290"/>
        <v>0</v>
      </c>
      <c r="CB608" s="16">
        <f t="shared" ca="1" si="2290"/>
        <v>0</v>
      </c>
      <c r="CC608" s="16">
        <f t="shared" ca="1" si="2290"/>
        <v>0</v>
      </c>
      <c r="CD608" s="16">
        <f t="shared" ca="1" si="2290"/>
        <v>0</v>
      </c>
      <c r="CE608" s="16"/>
      <c r="CG608" s="235">
        <f t="shared" ca="1" si="2272"/>
        <v>0</v>
      </c>
      <c r="CH608" s="235">
        <f t="shared" ca="1" si="2272"/>
        <v>0</v>
      </c>
      <c r="CI608" s="235" t="e">
        <f ca="1">BM608-#REF!</f>
        <v>#REF!</v>
      </c>
      <c r="CJ608" s="235">
        <f t="shared" si="2273"/>
        <v>0</v>
      </c>
      <c r="CK608" s="235">
        <f t="shared" ca="1" si="2273"/>
        <v>0</v>
      </c>
      <c r="CL608" s="235">
        <f t="shared" ca="1" si="2273"/>
        <v>0</v>
      </c>
      <c r="CM608" s="235">
        <f t="shared" ca="1" si="2273"/>
        <v>0</v>
      </c>
      <c r="CN608" s="235">
        <f t="shared" ca="1" si="2273"/>
        <v>0</v>
      </c>
      <c r="CO608" s="235">
        <f t="shared" ca="1" si="2273"/>
        <v>0</v>
      </c>
      <c r="CP608" s="235">
        <f t="shared" ca="1" si="2273"/>
        <v>0</v>
      </c>
      <c r="CQ608" s="235">
        <f t="shared" ca="1" si="2273"/>
        <v>0</v>
      </c>
      <c r="CR608" s="235">
        <f t="shared" ca="1" si="2273"/>
        <v>0</v>
      </c>
      <c r="CS608" s="235">
        <f t="shared" ca="1" si="2273"/>
        <v>0</v>
      </c>
      <c r="CT608" s="235">
        <f t="shared" ca="1" si="2274"/>
        <v>0</v>
      </c>
      <c r="CU608" s="235">
        <f t="shared" ca="1" si="2274"/>
        <v>0</v>
      </c>
      <c r="CV608" s="235">
        <f t="shared" ca="1" si="2274"/>
        <v>0</v>
      </c>
      <c r="CW608" s="235">
        <f t="shared" ca="1" si="2274"/>
        <v>0</v>
      </c>
      <c r="CX608" s="235">
        <f t="shared" ca="1" si="2274"/>
        <v>0</v>
      </c>
      <c r="CY608" s="235">
        <f t="shared" ca="1" si="2274"/>
        <v>0</v>
      </c>
      <c r="CZ608" s="235">
        <f t="shared" ca="1" si="2274"/>
        <v>0</v>
      </c>
      <c r="DG608" s="236">
        <v>0</v>
      </c>
      <c r="DH608" s="492">
        <v>0</v>
      </c>
      <c r="DI608" s="236">
        <v>0</v>
      </c>
      <c r="DJ608" s="236">
        <v>0</v>
      </c>
      <c r="DK608" s="236">
        <v>0</v>
      </c>
      <c r="DL608" s="236">
        <v>0</v>
      </c>
      <c r="DM608" s="236">
        <v>0</v>
      </c>
      <c r="DN608" s="236">
        <v>0</v>
      </c>
      <c r="DO608" s="236">
        <v>0</v>
      </c>
      <c r="DP608" s="236">
        <v>0</v>
      </c>
      <c r="DQ608" s="258">
        <v>0</v>
      </c>
      <c r="DR608" s="258">
        <v>0</v>
      </c>
      <c r="DS608" s="258">
        <v>0</v>
      </c>
      <c r="DT608" s="258">
        <v>0</v>
      </c>
      <c r="DU608" s="258">
        <v>0</v>
      </c>
      <c r="DV608" s="258">
        <v>0</v>
      </c>
      <c r="DW608" s="258">
        <v>0</v>
      </c>
      <c r="DX608" s="258">
        <v>0</v>
      </c>
      <c r="DY608" s="258">
        <v>0</v>
      </c>
    </row>
    <row r="609" spans="2:129" hidden="1">
      <c r="B609" s="3" t="str">
        <f t="shared" si="2128"/>
        <v>ondergrens aluinaarde prijs fonds</v>
      </c>
      <c r="F609" s="16">
        <f t="shared" ref="F609:AK609" si="2291">F260/F$419*100</f>
        <v>0</v>
      </c>
      <c r="G609" s="16">
        <f t="shared" si="2291"/>
        <v>0</v>
      </c>
      <c r="H609" s="16">
        <f t="shared" si="2291"/>
        <v>0</v>
      </c>
      <c r="I609" s="16">
        <f t="shared" si="2291"/>
        <v>0</v>
      </c>
      <c r="J609" s="16">
        <f t="shared" si="2291"/>
        <v>0</v>
      </c>
      <c r="K609" s="16">
        <f t="shared" si="2291"/>
        <v>0</v>
      </c>
      <c r="L609" s="16">
        <f t="shared" si="2291"/>
        <v>0</v>
      </c>
      <c r="M609" s="16">
        <f t="shared" si="2291"/>
        <v>0</v>
      </c>
      <c r="N609" s="16">
        <f t="shared" si="2291"/>
        <v>0</v>
      </c>
      <c r="O609" s="16">
        <f t="shared" si="2291"/>
        <v>0</v>
      </c>
      <c r="P609" s="16">
        <f t="shared" si="2291"/>
        <v>0</v>
      </c>
      <c r="Q609" s="16">
        <f t="shared" si="2291"/>
        <v>0</v>
      </c>
      <c r="R609" s="16">
        <f t="shared" si="2291"/>
        <v>0</v>
      </c>
      <c r="S609" s="16">
        <f t="shared" si="2291"/>
        <v>0</v>
      </c>
      <c r="T609" s="16">
        <f t="shared" si="2291"/>
        <v>0</v>
      </c>
      <c r="U609" s="16">
        <f t="shared" si="2291"/>
        <v>0</v>
      </c>
      <c r="V609" s="16">
        <f t="shared" si="2291"/>
        <v>0</v>
      </c>
      <c r="W609" s="16">
        <f t="shared" si="2291"/>
        <v>0</v>
      </c>
      <c r="X609" s="16">
        <f t="shared" si="2291"/>
        <v>0</v>
      </c>
      <c r="Y609" s="16">
        <f t="shared" si="2291"/>
        <v>0</v>
      </c>
      <c r="Z609" s="16">
        <f t="shared" si="2291"/>
        <v>0</v>
      </c>
      <c r="AA609" s="16">
        <f t="shared" si="2291"/>
        <v>0</v>
      </c>
      <c r="AB609" s="16">
        <f t="shared" si="2291"/>
        <v>0</v>
      </c>
      <c r="AC609" s="16">
        <f t="shared" si="2291"/>
        <v>0</v>
      </c>
      <c r="AD609" s="16">
        <f t="shared" si="2291"/>
        <v>0</v>
      </c>
      <c r="AE609" s="16">
        <f t="shared" si="2291"/>
        <v>0</v>
      </c>
      <c r="AF609" s="16">
        <f t="shared" si="2291"/>
        <v>0</v>
      </c>
      <c r="AG609" s="16">
        <f t="shared" si="2291"/>
        <v>0</v>
      </c>
      <c r="AH609" s="16">
        <f t="shared" si="2291"/>
        <v>0</v>
      </c>
      <c r="AI609" s="16">
        <f t="shared" si="2291"/>
        <v>0</v>
      </c>
      <c r="AJ609" s="16">
        <f t="shared" si="2291"/>
        <v>0</v>
      </c>
      <c r="AK609" s="16">
        <f t="shared" si="2291"/>
        <v>0</v>
      </c>
      <c r="AL609" s="16">
        <f t="shared" ref="AL609:BQ609" si="2292">AL260/AL$419*100</f>
        <v>0</v>
      </c>
      <c r="AM609" s="16">
        <f t="shared" si="2292"/>
        <v>0</v>
      </c>
      <c r="AN609" s="16">
        <f t="shared" si="2292"/>
        <v>0</v>
      </c>
      <c r="AO609" s="16">
        <f t="shared" si="2292"/>
        <v>0</v>
      </c>
      <c r="AP609" s="16">
        <f t="shared" si="2292"/>
        <v>0</v>
      </c>
      <c r="AQ609" s="16">
        <f t="shared" si="2292"/>
        <v>0</v>
      </c>
      <c r="AR609" s="16">
        <f t="shared" si="2292"/>
        <v>0</v>
      </c>
      <c r="AS609" s="16">
        <f t="shared" si="2292"/>
        <v>0</v>
      </c>
      <c r="AT609" s="16">
        <f t="shared" si="2292"/>
        <v>0</v>
      </c>
      <c r="AU609" s="16">
        <f t="shared" si="2292"/>
        <v>0</v>
      </c>
      <c r="AV609" s="16">
        <f t="shared" si="2292"/>
        <v>0</v>
      </c>
      <c r="AW609" s="16">
        <f t="shared" si="2292"/>
        <v>0</v>
      </c>
      <c r="AX609" s="16">
        <f t="shared" si="2292"/>
        <v>0</v>
      </c>
      <c r="AY609" s="16">
        <f t="shared" si="2292"/>
        <v>0</v>
      </c>
      <c r="AZ609" s="16">
        <f t="shared" si="2292"/>
        <v>0</v>
      </c>
      <c r="BA609" s="16">
        <f t="shared" si="2292"/>
        <v>0</v>
      </c>
      <c r="BB609" s="16">
        <f t="shared" si="2292"/>
        <v>0</v>
      </c>
      <c r="BC609" s="16">
        <f t="shared" si="2292"/>
        <v>0</v>
      </c>
      <c r="BD609" s="16">
        <f t="shared" si="2292"/>
        <v>0</v>
      </c>
      <c r="BE609" s="16">
        <f t="shared" ca="1" si="2292"/>
        <v>10.241892924827262</v>
      </c>
      <c r="BF609" s="16">
        <f t="shared" ca="1" si="2292"/>
        <v>8.8252968035878965</v>
      </c>
      <c r="BG609" s="16">
        <f t="shared" ca="1" si="2292"/>
        <v>8.3552813120699785</v>
      </c>
      <c r="BH609" s="16">
        <f t="shared" ca="1" si="2292"/>
        <v>7.8588075309387389</v>
      </c>
      <c r="BI609" s="16">
        <f t="shared" ca="1" si="2292"/>
        <v>8.4366994659694949</v>
      </c>
      <c r="BJ609" s="16">
        <f t="shared" ca="1" si="2292"/>
        <v>7.4475991782694022</v>
      </c>
      <c r="BK609" s="16">
        <f t="shared" ca="1" si="2292"/>
        <v>6.1829686972105469</v>
      </c>
      <c r="BL609" s="16">
        <f t="shared" ca="1" si="2292"/>
        <v>6.0731957356000086</v>
      </c>
      <c r="BM609" s="16">
        <f t="shared" ca="1" si="2292"/>
        <v>6.3355519709959438</v>
      </c>
      <c r="BN609" s="16">
        <f t="shared" si="2292"/>
        <v>6.5288507314512803</v>
      </c>
      <c r="BO609" s="16">
        <f t="shared" ca="1" si="2292"/>
        <v>6.623122914601141</v>
      </c>
      <c r="BP609" s="16">
        <f t="shared" ca="1" si="2292"/>
        <v>6.7666655202708021</v>
      </c>
      <c r="BQ609" s="16">
        <f t="shared" ca="1" si="2292"/>
        <v>5.6282942025186697</v>
      </c>
      <c r="BR609" s="16">
        <f t="shared" ca="1" si="2267"/>
        <v>5.2737030717174251</v>
      </c>
      <c r="BS609" s="16">
        <f t="shared" ca="1" si="2267"/>
        <v>5.232902615790012</v>
      </c>
      <c r="BT609" s="16">
        <f t="shared" ca="1" si="2268"/>
        <v>5.2292318828579756</v>
      </c>
      <c r="BU609" s="16">
        <f t="shared" ca="1" si="2268"/>
        <v>5.1800150325207541</v>
      </c>
      <c r="BV609" s="16">
        <f t="shared" ca="1" si="2269"/>
        <v>5.125548512381501</v>
      </c>
      <c r="BW609" s="16">
        <f t="shared" ref="BW609:BX609" ca="1" si="2293">BW260/BW$419*100</f>
        <v>5.0731750885142652</v>
      </c>
      <c r="BX609" s="16">
        <f t="shared" ca="1" si="2293"/>
        <v>5.0219430763529953</v>
      </c>
      <c r="BY609" s="16">
        <f t="shared" ref="BY609:CD609" ca="1" si="2294">BY260/BY$419*100</f>
        <v>4.9717638473241097</v>
      </c>
      <c r="BZ609" s="16">
        <f t="shared" ca="1" si="2294"/>
        <v>4.8817131051498457</v>
      </c>
      <c r="CA609" s="16">
        <f t="shared" ca="1" si="2294"/>
        <v>4.787734887622543</v>
      </c>
      <c r="CB609" s="16">
        <f t="shared" ca="1" si="2294"/>
        <v>4.6953922785820641</v>
      </c>
      <c r="CC609" s="16">
        <f t="shared" ca="1" si="2294"/>
        <v>4.6032887305539587</v>
      </c>
      <c r="CD609" s="16">
        <f t="shared" ca="1" si="2294"/>
        <v>4.5111563931352894</v>
      </c>
      <c r="CE609" s="16"/>
      <c r="CG609" s="235">
        <f t="shared" ca="1" si="2272"/>
        <v>-1.6712490560921411</v>
      </c>
      <c r="CH609" s="235">
        <f t="shared" ca="1" si="2272"/>
        <v>8.5292579955938308E-2</v>
      </c>
      <c r="CI609" s="235" t="e">
        <f ca="1">BM609-#REF!</f>
        <v>#REF!</v>
      </c>
      <c r="CJ609" s="235">
        <f t="shared" si="2273"/>
        <v>0</v>
      </c>
      <c r="CK609" s="235">
        <f t="shared" ca="1" si="2273"/>
        <v>0</v>
      </c>
      <c r="CL609" s="235">
        <f t="shared" ca="1" si="2273"/>
        <v>0</v>
      </c>
      <c r="CM609" s="235">
        <f t="shared" ca="1" si="2273"/>
        <v>0</v>
      </c>
      <c r="CN609" s="235">
        <f t="shared" ca="1" si="2273"/>
        <v>0</v>
      </c>
      <c r="CO609" s="235">
        <f t="shared" ca="1" si="2273"/>
        <v>0</v>
      </c>
      <c r="CP609" s="235">
        <f t="shared" ca="1" si="2273"/>
        <v>0</v>
      </c>
      <c r="CQ609" s="235">
        <f t="shared" ca="1" si="2273"/>
        <v>0</v>
      </c>
      <c r="CR609" s="235">
        <f t="shared" ca="1" si="2273"/>
        <v>7.9936057773011271E-15</v>
      </c>
      <c r="CS609" s="235">
        <f t="shared" ca="1" si="2273"/>
        <v>7.9936057773011271E-15</v>
      </c>
      <c r="CT609" s="235">
        <f t="shared" ca="1" si="2274"/>
        <v>1.0658141036401503E-14</v>
      </c>
      <c r="CU609" s="235">
        <f t="shared" ca="1" si="2274"/>
        <v>9.7699626167013776E-15</v>
      </c>
      <c r="CV609" s="235">
        <f t="shared" ca="1" si="2274"/>
        <v>7.9936057773011271E-15</v>
      </c>
      <c r="CW609" s="235">
        <f t="shared" ca="1" si="2274"/>
        <v>-8.8817841970012523E-15</v>
      </c>
      <c r="CX609" s="235">
        <f t="shared" ca="1" si="2274"/>
        <v>-2.3181456754173269E-13</v>
      </c>
      <c r="CY609" s="235">
        <f t="shared" ca="1" si="2274"/>
        <v>-2.2497559371004172E-12</v>
      </c>
      <c r="CZ609" s="235">
        <f t="shared" ca="1" si="2274"/>
        <v>-1.6315837569891301E-11</v>
      </c>
      <c r="DG609" s="236">
        <v>7.854217753302688</v>
      </c>
      <c r="DH609" s="492">
        <v>5.9879031556440703</v>
      </c>
      <c r="DI609" s="236">
        <v>6.5288507314512803</v>
      </c>
      <c r="DJ609" s="236">
        <v>6.6231229146011383</v>
      </c>
      <c r="DK609" s="236">
        <v>6.7666655202708013</v>
      </c>
      <c r="DL609" s="236">
        <v>5.6282942025186689</v>
      </c>
      <c r="DM609" s="236">
        <v>5.2737030717174225</v>
      </c>
      <c r="DN609" s="236">
        <v>5.232902615790012</v>
      </c>
      <c r="DO609" s="236">
        <v>5.2292318828579702</v>
      </c>
      <c r="DP609" s="236">
        <v>5.1800150325207488</v>
      </c>
      <c r="DQ609" s="258">
        <v>5.125548512381493</v>
      </c>
      <c r="DR609" s="258">
        <v>5.0731750885142572</v>
      </c>
      <c r="DS609" s="258">
        <v>5.0219430763529846</v>
      </c>
      <c r="DT609" s="258">
        <v>4.9717638473240999</v>
      </c>
      <c r="DU609" s="258">
        <v>4.8817131051498377</v>
      </c>
      <c r="DV609" s="258">
        <v>4.7877348876225518</v>
      </c>
      <c r="DW609" s="258">
        <v>4.6953922785822959</v>
      </c>
      <c r="DX609" s="258">
        <v>4.6032887305562085</v>
      </c>
      <c r="DY609" s="258">
        <v>4.5111563931516052</v>
      </c>
    </row>
    <row r="610" spans="2:129" hidden="1">
      <c r="B610" s="3" t="str">
        <f>B263</f>
        <v>Saldo:</v>
      </c>
      <c r="F610" s="16" t="s">
        <v>2219</v>
      </c>
      <c r="G610" s="16" t="s">
        <v>2219</v>
      </c>
      <c r="H610" s="16" t="s">
        <v>2219</v>
      </c>
      <c r="I610" s="16" t="s">
        <v>2219</v>
      </c>
      <c r="J610" s="16" t="s">
        <v>2219</v>
      </c>
      <c r="K610" s="16" t="s">
        <v>2219</v>
      </c>
      <c r="L610" s="16" t="s">
        <v>2219</v>
      </c>
      <c r="M610" s="16" t="s">
        <v>2219</v>
      </c>
      <c r="N610" s="16" t="s">
        <v>2219</v>
      </c>
      <c r="O610" s="16" t="s">
        <v>2219</v>
      </c>
      <c r="P610" s="16" t="s">
        <v>2219</v>
      </c>
      <c r="Q610" s="16" t="s">
        <v>2219</v>
      </c>
      <c r="R610" s="16" t="s">
        <v>2219</v>
      </c>
      <c r="S610" s="16" t="s">
        <v>2219</v>
      </c>
      <c r="T610" s="16" t="s">
        <v>2219</v>
      </c>
      <c r="U610" s="16" t="s">
        <v>2219</v>
      </c>
      <c r="V610" s="16" t="s">
        <v>2219</v>
      </c>
      <c r="W610" s="16" t="s">
        <v>2219</v>
      </c>
      <c r="X610" s="16" t="s">
        <v>2219</v>
      </c>
      <c r="Y610" s="16" t="s">
        <v>2219</v>
      </c>
      <c r="Z610" s="16" t="s">
        <v>2219</v>
      </c>
      <c r="AA610" s="16" t="s">
        <v>2219</v>
      </c>
      <c r="AB610" s="16" t="s">
        <v>2219</v>
      </c>
      <c r="AC610" s="16" t="s">
        <v>2219</v>
      </c>
      <c r="AD610" s="16" t="s">
        <v>2219</v>
      </c>
      <c r="AE610" s="16" t="s">
        <v>2219</v>
      </c>
      <c r="AF610" s="16" t="s">
        <v>2219</v>
      </c>
      <c r="AG610" s="16" t="s">
        <v>2219</v>
      </c>
      <c r="AH610" s="16" t="s">
        <v>2219</v>
      </c>
      <c r="AI610" s="16" t="s">
        <v>2219</v>
      </c>
      <c r="AJ610" s="16" t="s">
        <v>2219</v>
      </c>
      <c r="AK610" s="16" t="s">
        <v>2219</v>
      </c>
      <c r="AL610" s="16" t="s">
        <v>2219</v>
      </c>
      <c r="AM610" s="16" t="s">
        <v>2219</v>
      </c>
      <c r="AN610" s="16" t="s">
        <v>2219</v>
      </c>
      <c r="AO610" s="16" t="s">
        <v>2219</v>
      </c>
      <c r="AP610" s="16" t="s">
        <v>2219</v>
      </c>
      <c r="AQ610" s="16" t="s">
        <v>2219</v>
      </c>
      <c r="AR610" s="16" t="s">
        <v>2219</v>
      </c>
      <c r="AS610" s="16" t="s">
        <v>2219</v>
      </c>
      <c r="AT610" s="16" t="s">
        <v>2219</v>
      </c>
      <c r="AU610" s="16" t="s">
        <v>2219</v>
      </c>
      <c r="AV610" s="16" t="s">
        <v>2219</v>
      </c>
      <c r="AW610" s="16" t="s">
        <v>2219</v>
      </c>
      <c r="AX610" s="16" t="s">
        <v>2219</v>
      </c>
      <c r="AY610" s="16" t="s">
        <v>2219</v>
      </c>
      <c r="AZ610" s="16" t="s">
        <v>2219</v>
      </c>
      <c r="BA610" s="16" t="s">
        <v>2219</v>
      </c>
      <c r="BB610" s="16" t="s">
        <v>2219</v>
      </c>
      <c r="BC610" s="16" t="s">
        <v>2219</v>
      </c>
      <c r="BD610" s="16" t="s">
        <v>2219</v>
      </c>
      <c r="BE610" s="16" t="s">
        <v>2219</v>
      </c>
      <c r="BF610" s="16" t="s">
        <v>2219</v>
      </c>
      <c r="BG610" s="16" t="s">
        <v>2219</v>
      </c>
      <c r="BH610" s="16" t="s">
        <v>2219</v>
      </c>
      <c r="BI610" s="16" t="s">
        <v>2219</v>
      </c>
      <c r="BJ610" s="16" t="s">
        <v>2219</v>
      </c>
      <c r="BK610" s="16" t="s">
        <v>2219</v>
      </c>
      <c r="BL610" s="16" t="s">
        <v>2219</v>
      </c>
      <c r="BM610" s="16" t="s">
        <v>2219</v>
      </c>
      <c r="BN610" s="16" t="s">
        <v>2219</v>
      </c>
      <c r="BO610" s="16" t="s">
        <v>2219</v>
      </c>
      <c r="BP610" s="16" t="s">
        <v>2219</v>
      </c>
      <c r="BQ610" s="16" t="s">
        <v>2219</v>
      </c>
      <c r="BR610" s="16" t="s">
        <v>2219</v>
      </c>
      <c r="BS610" s="16" t="s">
        <v>2219</v>
      </c>
      <c r="BT610" s="16" t="s">
        <v>2219</v>
      </c>
      <c r="BU610" s="16" t="s">
        <v>2219</v>
      </c>
      <c r="BV610" s="16" t="s">
        <v>2219</v>
      </c>
      <c r="BW610" s="16" t="s">
        <v>2219</v>
      </c>
      <c r="BX610" s="16" t="s">
        <v>2219</v>
      </c>
      <c r="BY610" s="16" t="s">
        <v>2219</v>
      </c>
      <c r="BZ610" s="16" t="s">
        <v>2219</v>
      </c>
      <c r="CA610" s="16" t="s">
        <v>2219</v>
      </c>
      <c r="CB610" s="16" t="s">
        <v>2219</v>
      </c>
      <c r="CC610" s="16" t="s">
        <v>2219</v>
      </c>
      <c r="CD610" s="16" t="s">
        <v>2219</v>
      </c>
      <c r="CE610" s="16"/>
      <c r="DG610" s="236" t="s">
        <v>2219</v>
      </c>
      <c r="DH610" s="492" t="s">
        <v>2219</v>
      </c>
      <c r="DI610" s="236" t="s">
        <v>2219</v>
      </c>
      <c r="DJ610" s="236" t="s">
        <v>2219</v>
      </c>
      <c r="DK610" s="236" t="s">
        <v>2219</v>
      </c>
      <c r="DL610" s="236" t="s">
        <v>2219</v>
      </c>
      <c r="DM610" s="236" t="s">
        <v>2219</v>
      </c>
      <c r="DN610" s="236" t="s">
        <v>2219</v>
      </c>
      <c r="DO610" s="236" t="s">
        <v>2219</v>
      </c>
      <c r="DP610" s="236" t="s">
        <v>2219</v>
      </c>
      <c r="DQ610" s="258" t="s">
        <v>2219</v>
      </c>
      <c r="DR610" s="258" t="s">
        <v>2219</v>
      </c>
      <c r="DS610" s="258" t="s">
        <v>2219</v>
      </c>
      <c r="DT610" s="258" t="s">
        <v>2219</v>
      </c>
      <c r="DU610" s="258" t="s">
        <v>2219</v>
      </c>
      <c r="DV610" s="258" t="s">
        <v>2219</v>
      </c>
      <c r="DW610" s="258" t="s">
        <v>2219</v>
      </c>
      <c r="DX610" s="258" t="s">
        <v>2219</v>
      </c>
      <c r="DY610" s="258" t="s">
        <v>2219</v>
      </c>
    </row>
    <row r="611" spans="2:129" hidden="1">
      <c r="B611" s="3" t="str">
        <f>B264</f>
        <v>Middelenoverschot van de overheid op kasbasis excl schenkingsmidd</v>
      </c>
      <c r="F611" s="16">
        <f t="shared" ref="F611:AK611" si="2295">F264/F$419*100</f>
        <v>4.5241676062622407</v>
      </c>
      <c r="G611" s="16">
        <f t="shared" si="2295"/>
        <v>3.0623506135613798</v>
      </c>
      <c r="H611" s="16">
        <f t="shared" si="2295"/>
        <v>2.229279355924537</v>
      </c>
      <c r="I611" s="16">
        <f t="shared" si="2295"/>
        <v>0.69066622276431766</v>
      </c>
      <c r="J611" s="16">
        <f t="shared" si="2295"/>
        <v>-7.4575279872471326E-2</v>
      </c>
      <c r="K611" s="16">
        <f t="shared" si="2295"/>
        <v>-0.59110034798237332</v>
      </c>
      <c r="L611" s="16">
        <f t="shared" si="2295"/>
        <v>-1.326861217766597</v>
      </c>
      <c r="M611" s="16">
        <f t="shared" si="2295"/>
        <v>-3.7194653562883602</v>
      </c>
      <c r="N611" s="16">
        <f t="shared" si="2295"/>
        <v>-3.3478450811702261</v>
      </c>
      <c r="O611" s="16">
        <f t="shared" si="2295"/>
        <v>-2.4083116987086362</v>
      </c>
      <c r="P611" s="16">
        <f t="shared" si="2295"/>
        <v>-1.8345467979071939</v>
      </c>
      <c r="Q611" s="16">
        <f t="shared" si="2295"/>
        <v>-1.7517038380431222</v>
      </c>
      <c r="R611" s="16">
        <f t="shared" si="2295"/>
        <v>-1.3493426380346614</v>
      </c>
      <c r="S611" s="16">
        <f t="shared" si="2295"/>
        <v>-0.32168575577876551</v>
      </c>
      <c r="T611" s="16">
        <f t="shared" si="2295"/>
        <v>-0.85762025910917505</v>
      </c>
      <c r="U611" s="16">
        <f t="shared" si="2295"/>
        <v>-2.5715685333553515</v>
      </c>
      <c r="V611" s="16">
        <f t="shared" si="2295"/>
        <v>-4.1018160347156449</v>
      </c>
      <c r="W611" s="16">
        <f t="shared" si="2295"/>
        <v>-2.797649522266314</v>
      </c>
      <c r="X611" s="16">
        <f t="shared" si="2295"/>
        <v>-5.7557766419396961</v>
      </c>
      <c r="Y611" s="16">
        <f t="shared" si="2295"/>
        <v>-7.0778392080929011</v>
      </c>
      <c r="Z611" s="16">
        <f t="shared" si="2295"/>
        <v>-6.9658807123214164</v>
      </c>
      <c r="AA611" s="16">
        <f t="shared" si="2295"/>
        <v>-11.449790990511062</v>
      </c>
      <c r="AB611" s="16">
        <f t="shared" si="2295"/>
        <v>-12.68942192446093</v>
      </c>
      <c r="AC611" s="16">
        <f t="shared" si="2295"/>
        <v>-11.306295480860708</v>
      </c>
      <c r="AD611" s="16">
        <f t="shared" si="2295"/>
        <v>-9.7371051523858974</v>
      </c>
      <c r="AE611" s="16">
        <f t="shared" si="2295"/>
        <v>-9.3213325155610764</v>
      </c>
      <c r="AF611" s="16">
        <f t="shared" si="2295"/>
        <v>-8.5063194278492915</v>
      </c>
      <c r="AG611" s="16">
        <f t="shared" si="2295"/>
        <v>-10.639397544502947</v>
      </c>
      <c r="AH611" s="16">
        <f t="shared" si="2295"/>
        <v>-14.740304970198878</v>
      </c>
      <c r="AI611" s="16">
        <f t="shared" si="2295"/>
        <v>-16.977866313248242</v>
      </c>
      <c r="AJ611" s="16">
        <f t="shared" si="2295"/>
        <v>-16.115253260456385</v>
      </c>
      <c r="AK611" s="16">
        <f t="shared" si="2295"/>
        <v>-15.83099542118474</v>
      </c>
      <c r="AL611" s="16">
        <f t="shared" ref="AL611:BQ611" si="2296">AL264/AL$419*100</f>
        <v>-18.60819556785933</v>
      </c>
      <c r="AM611" s="16">
        <f t="shared" si="2296"/>
        <v>-19.586657236897885</v>
      </c>
      <c r="AN611" s="16">
        <f t="shared" si="2296"/>
        <v>-16.203100377423933</v>
      </c>
      <c r="AO611" s="16">
        <f t="shared" si="2296"/>
        <v>-15.395923536174344</v>
      </c>
      <c r="AP611" s="16">
        <f t="shared" si="2296"/>
        <v>-10.423793789556935</v>
      </c>
      <c r="AQ611" s="16">
        <f t="shared" si="2296"/>
        <v>-12.184510932875714</v>
      </c>
      <c r="AR611" s="16">
        <f t="shared" si="2296"/>
        <v>-13.122629801199921</v>
      </c>
      <c r="AS611" s="16">
        <f t="shared" si="2296"/>
        <v>-9.6072838625384591</v>
      </c>
      <c r="AT611" s="16">
        <f t="shared" si="2296"/>
        <v>-551.27128247822736</v>
      </c>
      <c r="AU611" s="16">
        <f t="shared" si="2296"/>
        <v>-5.2556953018404764</v>
      </c>
      <c r="AV611" s="16">
        <f t="shared" si="2296"/>
        <v>-20.430649866720209</v>
      </c>
      <c r="AW611" s="16">
        <f t="shared" si="2296"/>
        <v>-12.075787608569813</v>
      </c>
      <c r="AX611" s="16">
        <f t="shared" si="2296"/>
        <v>-17.729981425818892</v>
      </c>
      <c r="AY611" s="16">
        <f t="shared" si="2296"/>
        <v>-9.4847815366608295</v>
      </c>
      <c r="AZ611" s="16">
        <f t="shared" si="2296"/>
        <v>-10.271043484428638</v>
      </c>
      <c r="BA611" s="16">
        <f t="shared" si="2296"/>
        <v>-1.0075503602367402</v>
      </c>
      <c r="BB611" s="16">
        <f t="shared" si="2296"/>
        <v>-5.6349541579444731</v>
      </c>
      <c r="BC611" s="16">
        <f t="shared" si="2296"/>
        <v>-0.62651471027493344</v>
      </c>
      <c r="BD611" s="16">
        <f t="shared" si="2296"/>
        <v>-2.0841212030666991</v>
      </c>
      <c r="BE611" s="16">
        <f t="shared" ca="1" si="2296"/>
        <v>-1.9415839546465357</v>
      </c>
      <c r="BF611" s="16">
        <f t="shared" ca="1" si="2296"/>
        <v>-2.5896714563811445</v>
      </c>
      <c r="BG611" s="16">
        <f t="shared" ca="1" si="2296"/>
        <v>-0.87210607660875938</v>
      </c>
      <c r="BH611" s="16">
        <f t="shared" ca="1" si="2296"/>
        <v>-1.0006779070624792</v>
      </c>
      <c r="BI611" s="16">
        <f t="shared" ca="1" si="2296"/>
        <v>-2.7414199989915922</v>
      </c>
      <c r="BJ611" s="16">
        <f t="shared" ca="1" si="2296"/>
        <v>-4.0766737604028487</v>
      </c>
      <c r="BK611" s="16">
        <f t="shared" ca="1" si="2296"/>
        <v>-0.79941513559287147</v>
      </c>
      <c r="BL611" s="16">
        <f t="shared" ca="1" si="2296"/>
        <v>-2.2160237325213279</v>
      </c>
      <c r="BM611" s="16">
        <f t="shared" ca="1" si="2296"/>
        <v>-4.4650092913934483</v>
      </c>
      <c r="BN611" s="16">
        <f t="shared" si="2296"/>
        <v>-4.7318442966925307</v>
      </c>
      <c r="BO611" s="16">
        <f t="shared" ca="1" si="2296"/>
        <v>-7.8640700657879368</v>
      </c>
      <c r="BP611" s="16">
        <f t="shared" ca="1" si="2296"/>
        <v>-8.4502572196451595</v>
      </c>
      <c r="BQ611" s="16">
        <f t="shared" ca="1" si="2296"/>
        <v>-7.3726272716441343</v>
      </c>
      <c r="BR611" s="16">
        <f ca="1">BR264/BR$419*100</f>
        <v>-7.398697226450925</v>
      </c>
      <c r="BS611" s="16">
        <f ca="1">BS264/BS$419*100</f>
        <v>-8.257470826521212</v>
      </c>
      <c r="BT611" s="16">
        <f ca="1">BT264/BT$419*100</f>
        <v>-9.4515103001966576</v>
      </c>
      <c r="BU611" s="16">
        <f ca="1">BU264/BU$419*100</f>
        <v>-10.525074639693308</v>
      </c>
      <c r="BV611" s="16">
        <f ca="1">BV264/BV$419*100</f>
        <v>-11.677898011452809</v>
      </c>
      <c r="BW611" s="16">
        <f t="shared" ref="BW611:BX611" ca="1" si="2297">BW264/BW$419*100</f>
        <v>-12.892094273033674</v>
      </c>
      <c r="BX611" s="16">
        <f t="shared" ca="1" si="2297"/>
        <v>-14.215894558572788</v>
      </c>
      <c r="BY611" s="16">
        <f t="shared" ref="BY611:CD611" ca="1" si="2298">BY264/BY$419*100</f>
        <v>-15.65354992975635</v>
      </c>
      <c r="BZ611" s="16">
        <f t="shared" ca="1" si="2298"/>
        <v>-16.988245139787985</v>
      </c>
      <c r="CA611" s="16">
        <f t="shared" ca="1" si="2298"/>
        <v>-18.380025914663296</v>
      </c>
      <c r="CB611" s="16">
        <f t="shared" ca="1" si="2298"/>
        <v>-19.822378885507774</v>
      </c>
      <c r="CC611" s="16">
        <f t="shared" ca="1" si="2298"/>
        <v>-21.355959625613519</v>
      </c>
      <c r="CD611" s="16">
        <f t="shared" ca="1" si="2298"/>
        <v>-22.982839956538882</v>
      </c>
      <c r="CE611" s="16"/>
      <c r="CG611" s="235">
        <f t="shared" ref="CG611:CH617" ca="1" si="2299">BK611-DG611</f>
        <v>0.21608095661039106</v>
      </c>
      <c r="CH611" s="235">
        <f t="shared" ca="1" si="2299"/>
        <v>-3.1122063180408333E-2</v>
      </c>
      <c r="CI611" s="235" t="e">
        <f ca="1">BM611-#REF!</f>
        <v>#REF!</v>
      </c>
      <c r="CJ611" s="235">
        <f t="shared" ref="CJ611:CS617" si="2300">BN611-DI611</f>
        <v>0</v>
      </c>
      <c r="CK611" s="235">
        <f t="shared" ca="1" si="2300"/>
        <v>0</v>
      </c>
      <c r="CL611" s="235">
        <f t="shared" ca="1" si="2300"/>
        <v>0</v>
      </c>
      <c r="CM611" s="235">
        <f t="shared" ca="1" si="2300"/>
        <v>-1.0658141036401503E-14</v>
      </c>
      <c r="CN611" s="235">
        <f t="shared" ca="1" si="2300"/>
        <v>-1.1546319456101628E-14</v>
      </c>
      <c r="CO611" s="235">
        <f t="shared" ca="1" si="2300"/>
        <v>0</v>
      </c>
      <c r="CP611" s="235">
        <f t="shared" ca="1" si="2300"/>
        <v>-1.4210854715202004E-14</v>
      </c>
      <c r="CQ611" s="235">
        <f t="shared" ca="1" si="2300"/>
        <v>0</v>
      </c>
      <c r="CR611" s="235">
        <f t="shared" ca="1" si="2300"/>
        <v>0</v>
      </c>
      <c r="CS611" s="235">
        <f t="shared" ca="1" si="2300"/>
        <v>0</v>
      </c>
      <c r="CT611" s="235">
        <f t="shared" ref="CT611:CZ617" ca="1" si="2301">BX611-DS611</f>
        <v>-1.5987211554602254E-14</v>
      </c>
      <c r="CU611" s="235">
        <f t="shared" ca="1" si="2301"/>
        <v>-1.4210854715202004E-14</v>
      </c>
      <c r="CV611" s="235">
        <f t="shared" ca="1" si="2301"/>
        <v>0</v>
      </c>
      <c r="CW611" s="235">
        <f t="shared" ca="1" si="2301"/>
        <v>0</v>
      </c>
      <c r="CX611" s="235">
        <f t="shared" ca="1" si="2301"/>
        <v>3.1263880373444408E-13</v>
      </c>
      <c r="CY611" s="235">
        <f t="shared" ca="1" si="2301"/>
        <v>3.9541703245049575E-12</v>
      </c>
      <c r="CZ611" s="235">
        <f t="shared" ca="1" si="2301"/>
        <v>3.4685143646129291E-11</v>
      </c>
      <c r="DG611" s="236">
        <v>-1.0154960922032625</v>
      </c>
      <c r="DH611" s="492">
        <v>-2.1849016693409196</v>
      </c>
      <c r="DI611" s="236">
        <v>-4.7318442966925307</v>
      </c>
      <c r="DJ611" s="236">
        <v>-7.8640700657879332</v>
      </c>
      <c r="DK611" s="236">
        <v>-8.4502572196451542</v>
      </c>
      <c r="DL611" s="236">
        <v>-7.3726272716441237</v>
      </c>
      <c r="DM611" s="236">
        <v>-7.3986972264509134</v>
      </c>
      <c r="DN611" s="236">
        <v>-8.2574708265211996</v>
      </c>
      <c r="DO611" s="236">
        <v>-9.4515103001966434</v>
      </c>
      <c r="DP611" s="236">
        <v>-10.525074639693308</v>
      </c>
      <c r="DQ611" s="258">
        <v>-11.677898011452807</v>
      </c>
      <c r="DR611" s="258">
        <v>-12.892094273033674</v>
      </c>
      <c r="DS611" s="258">
        <v>-14.215894558572773</v>
      </c>
      <c r="DT611" s="258">
        <v>-15.653549929756336</v>
      </c>
      <c r="DU611" s="258">
        <v>-16.988245139787967</v>
      </c>
      <c r="DV611" s="258">
        <v>-18.380025914663307</v>
      </c>
      <c r="DW611" s="258">
        <v>-19.822378885508087</v>
      </c>
      <c r="DX611" s="258">
        <v>-21.355959625617473</v>
      </c>
      <c r="DY611" s="258">
        <v>-22.982839956573567</v>
      </c>
    </row>
    <row r="612" spans="2:129" hidden="1">
      <c r="B612" s="3" t="str">
        <f t="shared" ref="B612:B617" si="2302">B266</f>
        <v>Overall Balance  (+ is overschot)/Surplus Tot. Rek. Inclus schenkingsmidd en minus transfers to SWF</v>
      </c>
      <c r="F612" s="16">
        <f t="shared" ref="F612:AK612" si="2303">F266/F$419*100</f>
        <v>4.5241676062622407</v>
      </c>
      <c r="G612" s="16">
        <f t="shared" si="2303"/>
        <v>3.0623506135613798</v>
      </c>
      <c r="H612" s="16">
        <f t="shared" si="2303"/>
        <v>2.229279355924537</v>
      </c>
      <c r="I612" s="16">
        <f t="shared" si="2303"/>
        <v>0.69066622276431766</v>
      </c>
      <c r="J612" s="16">
        <f t="shared" si="2303"/>
        <v>-7.4575279872471326E-2</v>
      </c>
      <c r="K612" s="16">
        <f t="shared" si="2303"/>
        <v>-0.59110034798237332</v>
      </c>
      <c r="L612" s="16">
        <f t="shared" si="2303"/>
        <v>-1.326861217766597</v>
      </c>
      <c r="M612" s="16">
        <f t="shared" si="2303"/>
        <v>-3.7194653562883602</v>
      </c>
      <c r="N612" s="16">
        <f t="shared" si="2303"/>
        <v>-3.3478450811702261</v>
      </c>
      <c r="O612" s="16">
        <f t="shared" si="2303"/>
        <v>-2.4083116987086362</v>
      </c>
      <c r="P612" s="16">
        <f t="shared" si="2303"/>
        <v>-1.8345467979071939</v>
      </c>
      <c r="Q612" s="16">
        <f t="shared" si="2303"/>
        <v>-1.7517038380431222</v>
      </c>
      <c r="R612" s="16">
        <f t="shared" si="2303"/>
        <v>-1.3493426380346614</v>
      </c>
      <c r="S612" s="16">
        <f t="shared" si="2303"/>
        <v>-0.32168575577876551</v>
      </c>
      <c r="T612" s="16">
        <f t="shared" si="2303"/>
        <v>-0.85762025910917505</v>
      </c>
      <c r="U612" s="16">
        <f t="shared" si="2303"/>
        <v>-2.5715685333553515</v>
      </c>
      <c r="V612" s="16">
        <f t="shared" si="2303"/>
        <v>-4.1018160347156449</v>
      </c>
      <c r="W612" s="16">
        <f t="shared" si="2303"/>
        <v>-2.797649522266314</v>
      </c>
      <c r="X612" s="16">
        <f t="shared" si="2303"/>
        <v>-5.7557766419396961</v>
      </c>
      <c r="Y612" s="16">
        <f t="shared" si="2303"/>
        <v>-7.0778392080929011</v>
      </c>
      <c r="Z612" s="16">
        <f t="shared" si="2303"/>
        <v>-6.9658807123214164</v>
      </c>
      <c r="AA612" s="16">
        <f t="shared" si="2303"/>
        <v>-11.449790990511062</v>
      </c>
      <c r="AB612" s="16">
        <f t="shared" si="2303"/>
        <v>-12.68942192446093</v>
      </c>
      <c r="AC612" s="16">
        <f t="shared" si="2303"/>
        <v>-11.306295480860708</v>
      </c>
      <c r="AD612" s="16">
        <f t="shared" si="2303"/>
        <v>-9.7371051523858974</v>
      </c>
      <c r="AE612" s="16">
        <f t="shared" si="2303"/>
        <v>-9.3213325155610764</v>
      </c>
      <c r="AF612" s="16">
        <f t="shared" si="2303"/>
        <v>-8.5063194278492915</v>
      </c>
      <c r="AG612" s="16">
        <f t="shared" si="2303"/>
        <v>-10.639397544502947</v>
      </c>
      <c r="AH612" s="16">
        <f t="shared" si="2303"/>
        <v>-14.740304970198878</v>
      </c>
      <c r="AI612" s="16">
        <f t="shared" si="2303"/>
        <v>-16.977866313248242</v>
      </c>
      <c r="AJ612" s="16">
        <f t="shared" si="2303"/>
        <v>-16.115253260456385</v>
      </c>
      <c r="AK612" s="16">
        <f t="shared" si="2303"/>
        <v>-15.83099542118474</v>
      </c>
      <c r="AL612" s="16">
        <f t="shared" ref="AL612:BQ612" si="2304">AL266/AL$419*100</f>
        <v>-18.60819556785933</v>
      </c>
      <c r="AM612" s="16">
        <f t="shared" si="2304"/>
        <v>-19.586657236897885</v>
      </c>
      <c r="AN612" s="16">
        <f t="shared" si="2304"/>
        <v>-16.203100377423933</v>
      </c>
      <c r="AO612" s="16">
        <f t="shared" si="2304"/>
        <v>-15.395923536174344</v>
      </c>
      <c r="AP612" s="16">
        <f t="shared" si="2304"/>
        <v>-10.423793789556935</v>
      </c>
      <c r="AQ612" s="16">
        <f t="shared" si="2304"/>
        <v>-12.184510932875714</v>
      </c>
      <c r="AR612" s="16">
        <f t="shared" si="2304"/>
        <v>-13.122629801199921</v>
      </c>
      <c r="AS612" s="16">
        <f t="shared" si="2304"/>
        <v>-9.6072838625384591</v>
      </c>
      <c r="AT612" s="16">
        <f t="shared" si="2304"/>
        <v>-218.57194555903868</v>
      </c>
      <c r="AU612" s="16">
        <f t="shared" si="2304"/>
        <v>-5.2556953018404764</v>
      </c>
      <c r="AV612" s="16">
        <f t="shared" si="2304"/>
        <v>-14.164672479670212</v>
      </c>
      <c r="AW612" s="16">
        <f t="shared" si="2304"/>
        <v>-9.7274554274355154</v>
      </c>
      <c r="AX612" s="16">
        <f t="shared" si="2304"/>
        <v>-14.832304912530189</v>
      </c>
      <c r="AY612" s="16">
        <f t="shared" si="2304"/>
        <v>-8.1395733570480999</v>
      </c>
      <c r="AZ612" s="16">
        <f t="shared" si="2304"/>
        <v>-6.7163030606109704</v>
      </c>
      <c r="BA612" s="16">
        <f t="shared" si="2304"/>
        <v>0.27742094296155834</v>
      </c>
      <c r="BB612" s="16">
        <f t="shared" si="2304"/>
        <v>-4.4512485572626135</v>
      </c>
      <c r="BC612" s="16">
        <f t="shared" si="2304"/>
        <v>0.66207194329005992</v>
      </c>
      <c r="BD612" s="16">
        <f t="shared" si="2304"/>
        <v>-0.75940351343866752</v>
      </c>
      <c r="BE612" s="16">
        <f t="shared" ca="1" si="2304"/>
        <v>-0.52022949039318045</v>
      </c>
      <c r="BF612" s="16">
        <f t="shared" ca="1" si="2304"/>
        <v>1.1474582448604462</v>
      </c>
      <c r="BG612" s="16">
        <f t="shared" ca="1" si="2304"/>
        <v>5.4380819153987181</v>
      </c>
      <c r="BH612" s="16">
        <f t="shared" ca="1" si="2304"/>
        <v>1.5859058712802971</v>
      </c>
      <c r="BI612" s="16">
        <f t="shared" ca="1" si="2304"/>
        <v>-2.2676892064022369</v>
      </c>
      <c r="BJ612" s="16">
        <f t="shared" ca="1" si="2304"/>
        <v>-2.5020859092168659</v>
      </c>
      <c r="BK612" s="16">
        <f t="shared" ca="1" si="2304"/>
        <v>-1.7644964373648393</v>
      </c>
      <c r="BL612" s="16">
        <f t="shared" ca="1" si="2304"/>
        <v>-2.5546546577188378</v>
      </c>
      <c r="BM612" s="16">
        <f t="shared" ca="1" si="2304"/>
        <v>-5.9711722859288336</v>
      </c>
      <c r="BN612" s="16">
        <f t="shared" si="2304"/>
        <v>-5.5896948529606352</v>
      </c>
      <c r="BO612" s="16">
        <f t="shared" ca="1" si="2304"/>
        <v>-7.8640700652151283</v>
      </c>
      <c r="BP612" s="16">
        <f t="shared" ca="1" si="2304"/>
        <v>-8.4502572190741816</v>
      </c>
      <c r="BQ612" s="16">
        <f t="shared" ca="1" si="2304"/>
        <v>-7.3726272711479535</v>
      </c>
      <c r="BR612" s="16">
        <f t="shared" ref="BR612:BU613" ca="1" si="2305">BR266/BR$419*100</f>
        <v>-7.3986972259791992</v>
      </c>
      <c r="BS612" s="16">
        <f t="shared" ca="1" si="2305"/>
        <v>-8.2574708260523106</v>
      </c>
      <c r="BT612" s="16">
        <f t="shared" ca="1" si="2305"/>
        <v>-9.4515102997227096</v>
      </c>
      <c r="BU612" s="16">
        <f t="shared" ca="1" si="2305"/>
        <v>-10.525074639218097</v>
      </c>
      <c r="BV612" s="16">
        <f ca="1">BV266/BV$419*100</f>
        <v>-11.677898010976799</v>
      </c>
      <c r="BW612" s="16">
        <f t="shared" ref="BW612:BX612" ca="1" si="2306">BW266/BW$419*100</f>
        <v>-12.892094272556665</v>
      </c>
      <c r="BX612" s="16">
        <f t="shared" ca="1" si="2306"/>
        <v>-14.21589455809475</v>
      </c>
      <c r="BY612" s="16">
        <f t="shared" ref="BY612:CD612" ca="1" si="2307">BY266/BY$419*100</f>
        <v>-15.653549929277267</v>
      </c>
      <c r="BZ612" s="16">
        <f t="shared" ca="1" si="2307"/>
        <v>-16.988245139311829</v>
      </c>
      <c r="CA612" s="16">
        <f t="shared" ca="1" si="2307"/>
        <v>-18.380025914190597</v>
      </c>
      <c r="CB612" s="16">
        <f t="shared" ca="1" si="2307"/>
        <v>-19.822378885038496</v>
      </c>
      <c r="CC612" s="16">
        <f t="shared" ca="1" si="2307"/>
        <v>-21.355959625147804</v>
      </c>
      <c r="CD612" s="16">
        <f t="shared" ca="1" si="2307"/>
        <v>-22.982839956076912</v>
      </c>
      <c r="CE612" s="16"/>
      <c r="CG612" s="235">
        <f t="shared" ca="1" si="2299"/>
        <v>0.46749278975726893</v>
      </c>
      <c r="CH612" s="235">
        <f t="shared" ca="1" si="2299"/>
        <v>-3.5877830410774525E-2</v>
      </c>
      <c r="CI612" s="235" t="e">
        <f ca="1">BM612-#REF!</f>
        <v>#REF!</v>
      </c>
      <c r="CJ612" s="235">
        <f t="shared" si="2300"/>
        <v>0</v>
      </c>
      <c r="CK612" s="235">
        <f t="shared" ca="1" si="2300"/>
        <v>0</v>
      </c>
      <c r="CL612" s="235">
        <f t="shared" ca="1" si="2300"/>
        <v>0</v>
      </c>
      <c r="CM612" s="235">
        <f t="shared" ca="1" si="2300"/>
        <v>-1.0658141036401503E-14</v>
      </c>
      <c r="CN612" s="235">
        <f t="shared" ca="1" si="2300"/>
        <v>-1.2434497875801753E-14</v>
      </c>
      <c r="CO612" s="235">
        <f t="shared" ca="1" si="2300"/>
        <v>0</v>
      </c>
      <c r="CP612" s="235">
        <f t="shared" ca="1" si="2300"/>
        <v>-1.5987211554602254E-14</v>
      </c>
      <c r="CQ612" s="235">
        <f t="shared" ca="1" si="2300"/>
        <v>0</v>
      </c>
      <c r="CR612" s="235">
        <f t="shared" ca="1" si="2300"/>
        <v>0</v>
      </c>
      <c r="CS612" s="235">
        <f t="shared" ca="1" si="2300"/>
        <v>0</v>
      </c>
      <c r="CT612" s="235">
        <f t="shared" ca="1" si="2301"/>
        <v>-1.7763568394002505E-14</v>
      </c>
      <c r="CU612" s="235">
        <f t="shared" ca="1" si="2301"/>
        <v>0</v>
      </c>
      <c r="CV612" s="235">
        <f t="shared" ca="1" si="2301"/>
        <v>0</v>
      </c>
      <c r="CW612" s="235">
        <f t="shared" ca="1" si="2301"/>
        <v>0</v>
      </c>
      <c r="CX612" s="235">
        <f t="shared" ca="1" si="2301"/>
        <v>3.1263880373444408E-13</v>
      </c>
      <c r="CY612" s="235">
        <f t="shared" ca="1" si="2301"/>
        <v>3.957723038183758E-12</v>
      </c>
      <c r="CZ612" s="235">
        <f t="shared" ca="1" si="2301"/>
        <v>3.4685143646129291E-11</v>
      </c>
      <c r="DG612" s="236">
        <v>-2.2319892271221082</v>
      </c>
      <c r="DH612" s="492">
        <v>-2.5187768273080633</v>
      </c>
      <c r="DI612" s="236">
        <v>-5.5896948529606352</v>
      </c>
      <c r="DJ612" s="236">
        <v>-7.8640700652151256</v>
      </c>
      <c r="DK612" s="236">
        <v>-8.4502572190741763</v>
      </c>
      <c r="DL612" s="236">
        <v>-7.3726272711479428</v>
      </c>
      <c r="DM612" s="236">
        <v>-7.3986972259791868</v>
      </c>
      <c r="DN612" s="236">
        <v>-8.2574708260522982</v>
      </c>
      <c r="DO612" s="236">
        <v>-9.4515102997226936</v>
      </c>
      <c r="DP612" s="236">
        <v>-10.525074639218095</v>
      </c>
      <c r="DQ612" s="258">
        <v>-11.677898010976797</v>
      </c>
      <c r="DR612" s="258">
        <v>-12.892094272556665</v>
      </c>
      <c r="DS612" s="258">
        <v>-14.215894558094732</v>
      </c>
      <c r="DT612" s="258">
        <v>-15.653549929277254</v>
      </c>
      <c r="DU612" s="258">
        <v>-16.988245139311815</v>
      </c>
      <c r="DV612" s="258">
        <v>-18.380025914190604</v>
      </c>
      <c r="DW612" s="258">
        <v>-19.822378885038809</v>
      </c>
      <c r="DX612" s="258">
        <v>-21.355959625151762</v>
      </c>
      <c r="DY612" s="258">
        <v>-22.982839956111597</v>
      </c>
    </row>
    <row r="613" spans="2:129" hidden="1">
      <c r="B613" s="3" t="str">
        <f t="shared" si="2302"/>
        <v>stat.verschil tekort/schuld mutatie</v>
      </c>
      <c r="F613" s="16">
        <f t="shared" ref="F613:AK613" si="2308">F267/F$419*100</f>
        <v>4.5241676062622407</v>
      </c>
      <c r="G613" s="16">
        <f t="shared" si="2308"/>
        <v>3.0623506135613798</v>
      </c>
      <c r="H613" s="16">
        <f t="shared" si="2308"/>
        <v>2.229279355924537</v>
      </c>
      <c r="I613" s="16">
        <f t="shared" si="2308"/>
        <v>0.69066622276431766</v>
      </c>
      <c r="J613" s="16">
        <f t="shared" si="2308"/>
        <v>-7.4575279872471326E-2</v>
      </c>
      <c r="K613" s="16">
        <f t="shared" si="2308"/>
        <v>-0.59110034798237332</v>
      </c>
      <c r="L613" s="16">
        <f t="shared" si="2308"/>
        <v>-1.326861217766597</v>
      </c>
      <c r="M613" s="16">
        <f t="shared" si="2308"/>
        <v>-3.7194653562883602</v>
      </c>
      <c r="N613" s="16">
        <f t="shared" si="2308"/>
        <v>-3.3478450811702261</v>
      </c>
      <c r="O613" s="16">
        <f t="shared" si="2308"/>
        <v>-2.4083116987086362</v>
      </c>
      <c r="P613" s="16">
        <f t="shared" si="2308"/>
        <v>-1.8345467979071939</v>
      </c>
      <c r="Q613" s="16">
        <f t="shared" si="2308"/>
        <v>-1.7517038380431222</v>
      </c>
      <c r="R613" s="16">
        <f t="shared" si="2308"/>
        <v>-1.3493426380346614</v>
      </c>
      <c r="S613" s="16">
        <f t="shared" si="2308"/>
        <v>-0.32168575577876551</v>
      </c>
      <c r="T613" s="16">
        <f t="shared" si="2308"/>
        <v>-0.85762025910917505</v>
      </c>
      <c r="U613" s="16">
        <f t="shared" si="2308"/>
        <v>-2.5715685333553515</v>
      </c>
      <c r="V613" s="16">
        <f t="shared" si="2308"/>
        <v>-4.1018160347156449</v>
      </c>
      <c r="W613" s="16">
        <f t="shared" si="2308"/>
        <v>-2.797649522266314</v>
      </c>
      <c r="X613" s="16">
        <f t="shared" si="2308"/>
        <v>-5.7557766419396961</v>
      </c>
      <c r="Y613" s="16">
        <f t="shared" si="2308"/>
        <v>-7.0778392080929011</v>
      </c>
      <c r="Z613" s="16">
        <f t="shared" si="2308"/>
        <v>-6.9658807123214164</v>
      </c>
      <c r="AA613" s="16">
        <f t="shared" si="2308"/>
        <v>-11.449790990511062</v>
      </c>
      <c r="AB613" s="16">
        <f t="shared" si="2308"/>
        <v>-12.68942192446093</v>
      </c>
      <c r="AC613" s="16">
        <f t="shared" si="2308"/>
        <v>-11.306295480860708</v>
      </c>
      <c r="AD613" s="16">
        <f t="shared" si="2308"/>
        <v>-9.7371051523858974</v>
      </c>
      <c r="AE613" s="16">
        <f t="shared" si="2308"/>
        <v>-9.3213325155610764</v>
      </c>
      <c r="AF613" s="16">
        <f t="shared" si="2308"/>
        <v>-8.5063194278492915</v>
      </c>
      <c r="AG613" s="16">
        <f t="shared" si="2308"/>
        <v>-10.639397544502947</v>
      </c>
      <c r="AH613" s="16">
        <f t="shared" si="2308"/>
        <v>-14.740304970198878</v>
      </c>
      <c r="AI613" s="16">
        <f t="shared" si="2308"/>
        <v>-16.977866313248242</v>
      </c>
      <c r="AJ613" s="16">
        <f t="shared" si="2308"/>
        <v>-16.115253260456385</v>
      </c>
      <c r="AK613" s="16">
        <f t="shared" si="2308"/>
        <v>-15.83099542118474</v>
      </c>
      <c r="AL613" s="16">
        <f t="shared" ref="AL613:BQ613" si="2309">AL267/AL$419*100</f>
        <v>-18.60819556785933</v>
      </c>
      <c r="AM613" s="16">
        <f t="shared" si="2309"/>
        <v>-19.586657236897885</v>
      </c>
      <c r="AN613" s="16">
        <f t="shared" si="2309"/>
        <v>-16.203100377423933</v>
      </c>
      <c r="AO613" s="16">
        <f t="shared" si="2309"/>
        <v>122.31785829767155</v>
      </c>
      <c r="AP613" s="16">
        <f t="shared" si="2309"/>
        <v>2.398856447471899</v>
      </c>
      <c r="AQ613" s="16">
        <f t="shared" si="2309"/>
        <v>7.6693011331919099</v>
      </c>
      <c r="AR613" s="16">
        <f t="shared" si="2309"/>
        <v>-4.1560539562014664</v>
      </c>
      <c r="AS613" s="16">
        <f t="shared" si="2309"/>
        <v>7.1188681786674879</v>
      </c>
      <c r="AT613" s="16">
        <f t="shared" si="2309"/>
        <v>-219.94649688041395</v>
      </c>
      <c r="AU613" s="16">
        <f t="shared" si="2309"/>
        <v>19.625926383990535</v>
      </c>
      <c r="AV613" s="16">
        <f t="shared" si="2309"/>
        <v>-13.972633706864965</v>
      </c>
      <c r="AW613" s="16">
        <f t="shared" si="2309"/>
        <v>-7.1264564220139288</v>
      </c>
      <c r="AX613" s="16">
        <f t="shared" si="2309"/>
        <v>-8.6869080031409638</v>
      </c>
      <c r="AY613" s="16">
        <f t="shared" si="2309"/>
        <v>-1.0779547378102301</v>
      </c>
      <c r="AZ613" s="16">
        <f t="shared" si="2309"/>
        <v>18.444104616885252</v>
      </c>
      <c r="BA613" s="16">
        <f t="shared" si="2309"/>
        <v>3.7086452744261007</v>
      </c>
      <c r="BB613" s="16">
        <f t="shared" si="2309"/>
        <v>2.0235640759184803</v>
      </c>
      <c r="BC613" s="16">
        <f t="shared" si="2309"/>
        <v>3.9674870286162465</v>
      </c>
      <c r="BD613" s="16">
        <f t="shared" si="2309"/>
        <v>8.7849301300936968</v>
      </c>
      <c r="BE613" s="16">
        <f t="shared" ca="1" si="2309"/>
        <v>0.34991644636185304</v>
      </c>
      <c r="BF613" s="16">
        <f t="shared" ca="1" si="2309"/>
        <v>0.47548751134885375</v>
      </c>
      <c r="BG613" s="16">
        <f t="shared" ca="1" si="2309"/>
        <v>2.5217605908897314</v>
      </c>
      <c r="BH613" s="16">
        <f t="shared" ca="1" si="2309"/>
        <v>10.093255033684272</v>
      </c>
      <c r="BI613" s="16">
        <f t="shared" ca="1" si="2309"/>
        <v>0.15221843529043871</v>
      </c>
      <c r="BJ613" s="16">
        <f t="shared" ca="1" si="2309"/>
        <v>0.45143477863758424</v>
      </c>
      <c r="BK613" s="16">
        <f t="shared" ca="1" si="2309"/>
        <v>-0.48956329400693993</v>
      </c>
      <c r="BL613" s="16">
        <f t="shared" ca="1" si="2309"/>
        <v>0.92271187609114791</v>
      </c>
      <c r="BM613" s="16">
        <f t="shared" ca="1" si="2309"/>
        <v>3.09888197748537</v>
      </c>
      <c r="BN613" s="16">
        <f t="shared" si="2309"/>
        <v>-7.0268126332830816</v>
      </c>
      <c r="BO613" s="16">
        <f t="shared" ca="1" si="2309"/>
        <v>2.6303879187989314</v>
      </c>
      <c r="BP613" s="16">
        <f t="shared" ca="1" si="2309"/>
        <v>-8.2923263702890649E-15</v>
      </c>
      <c r="BQ613" s="16">
        <f t="shared" ca="1" si="2309"/>
        <v>0</v>
      </c>
      <c r="BR613" s="16">
        <f t="shared" ca="1" si="2305"/>
        <v>0</v>
      </c>
      <c r="BS613" s="16">
        <f t="shared" ca="1" si="2305"/>
        <v>0</v>
      </c>
      <c r="BT613" s="16">
        <f t="shared" ca="1" si="2305"/>
        <v>0</v>
      </c>
      <c r="BU613" s="16">
        <f t="shared" ca="1" si="2305"/>
        <v>-1.0951574689094507E-14</v>
      </c>
      <c r="BV613" s="16">
        <f ca="1">BV267/BV$419*100</f>
        <v>0</v>
      </c>
      <c r="BW613" s="16">
        <f t="shared" ref="BW613:BX613" ca="1" si="2310">BW267/BW$419*100</f>
        <v>0</v>
      </c>
      <c r="BX613" s="16">
        <f t="shared" ca="1" si="2310"/>
        <v>-2.6720116952327643E-14</v>
      </c>
      <c r="BY613" s="16">
        <f t="shared" ref="BY613:CD613" ca="1" si="2311">BY267/BY$419*100</f>
        <v>0</v>
      </c>
      <c r="BZ613" s="16">
        <f t="shared" ca="1" si="2311"/>
        <v>-4.0063066893833255E-14</v>
      </c>
      <c r="CA613" s="16">
        <f t="shared" ca="1" si="2311"/>
        <v>-5.5101782962015484E-14</v>
      </c>
      <c r="CB613" s="16">
        <f t="shared" ca="1" si="2311"/>
        <v>-6.4572387570415755E-14</v>
      </c>
      <c r="CC613" s="16">
        <f t="shared" ca="1" si="2311"/>
        <v>-3.841368509631436E-14</v>
      </c>
      <c r="CD613" s="16">
        <f t="shared" ca="1" si="2311"/>
        <v>-5.1167765353625754E-14</v>
      </c>
      <c r="CE613" s="16"/>
      <c r="CG613" s="235">
        <f t="shared" ca="1" si="2299"/>
        <v>0.1228798834395069</v>
      </c>
      <c r="CH613" s="235">
        <f t="shared" ca="1" si="2299"/>
        <v>1.2958659640503578E-2</v>
      </c>
      <c r="CI613" s="235" t="e">
        <f ca="1">BM613-#REF!</f>
        <v>#REF!</v>
      </c>
      <c r="CJ613" s="235">
        <f t="shared" si="2300"/>
        <v>0</v>
      </c>
      <c r="CK613" s="235">
        <f t="shared" ca="1" si="2300"/>
        <v>0</v>
      </c>
      <c r="CL613" s="235">
        <f t="shared" ca="1" si="2300"/>
        <v>-8.2923263702890649E-15</v>
      </c>
      <c r="CM613" s="235">
        <f t="shared" ca="1" si="2300"/>
        <v>-1.0881646380447927E-14</v>
      </c>
      <c r="CN613" s="235">
        <f t="shared" ca="1" si="2300"/>
        <v>0</v>
      </c>
      <c r="CO613" s="235">
        <f t="shared" ca="1" si="2300"/>
        <v>0</v>
      </c>
      <c r="CP613" s="235">
        <f t="shared" ca="1" si="2300"/>
        <v>-1.1387297694570622E-14</v>
      </c>
      <c r="CQ613" s="235">
        <f t="shared" ca="1" si="2300"/>
        <v>-1.0951574689094507E-14</v>
      </c>
      <c r="CR613" s="235">
        <f t="shared" ca="1" si="2300"/>
        <v>1.3150997220730614E-14</v>
      </c>
      <c r="CS613" s="235">
        <f t="shared" ca="1" si="2300"/>
        <v>0</v>
      </c>
      <c r="CT613" s="235">
        <f t="shared" ca="1" si="2301"/>
        <v>1.2145507705603394E-14</v>
      </c>
      <c r="CU613" s="235">
        <f t="shared" ca="1" si="2301"/>
        <v>2.8017436557551844E-14</v>
      </c>
      <c r="CV613" s="235">
        <f t="shared" ca="1" si="2301"/>
        <v>-2.2257259385462949E-14</v>
      </c>
      <c r="CW613" s="235">
        <f t="shared" ca="1" si="2301"/>
        <v>-5.5101782962015484E-14</v>
      </c>
      <c r="CX613" s="235">
        <f t="shared" ca="1" si="2301"/>
        <v>-7.6276132817557054E-13</v>
      </c>
      <c r="CY613" s="235">
        <f t="shared" ca="1" si="2301"/>
        <v>-7.4637790142175074E-12</v>
      </c>
      <c r="CZ613" s="235">
        <f t="shared" ca="1" si="2301"/>
        <v>-6.0224459821435141E-11</v>
      </c>
      <c r="DG613" s="236">
        <v>-0.61244317744644683</v>
      </c>
      <c r="DH613" s="492">
        <v>0.90975321645064433</v>
      </c>
      <c r="DI613" s="236">
        <v>-7.0268126332830816</v>
      </c>
      <c r="DJ613" s="236">
        <v>2.6303879187989305</v>
      </c>
      <c r="DK613" s="236">
        <v>0</v>
      </c>
      <c r="DL613" s="236">
        <v>1.0881646380447927E-14</v>
      </c>
      <c r="DM613" s="236">
        <v>0</v>
      </c>
      <c r="DN613" s="236">
        <v>0</v>
      </c>
      <c r="DO613" s="236">
        <v>1.1387297694570622E-14</v>
      </c>
      <c r="DP613" s="236">
        <v>0</v>
      </c>
      <c r="DQ613" s="258">
        <v>-1.3150997220730614E-14</v>
      </c>
      <c r="DR613" s="258">
        <v>0</v>
      </c>
      <c r="DS613" s="258">
        <v>-3.8865624657931037E-14</v>
      </c>
      <c r="DT613" s="258">
        <v>-2.8017436557551844E-14</v>
      </c>
      <c r="DU613" s="258">
        <v>-1.7805807508370306E-14</v>
      </c>
      <c r="DV613" s="258">
        <v>0</v>
      </c>
      <c r="DW613" s="258">
        <v>6.9818894060515481E-13</v>
      </c>
      <c r="DX613" s="258">
        <v>7.4253653291211928E-12</v>
      </c>
      <c r="DY613" s="258">
        <v>6.0173292056081512E-11</v>
      </c>
    </row>
    <row r="614" spans="2:129" hidden="1">
      <c r="B614" s="3" t="str">
        <f t="shared" si="2302"/>
        <v>Financiering:</v>
      </c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G614" s="235">
        <f t="shared" si="2299"/>
        <v>0</v>
      </c>
      <c r="CH614" s="235">
        <f t="shared" si="2299"/>
        <v>0</v>
      </c>
      <c r="CI614" s="235" t="e">
        <f>BM614-#REF!</f>
        <v>#REF!</v>
      </c>
      <c r="CJ614" s="235">
        <f t="shared" si="2300"/>
        <v>0</v>
      </c>
      <c r="CK614" s="235">
        <f t="shared" si="2300"/>
        <v>0</v>
      </c>
      <c r="CL614" s="235">
        <f t="shared" si="2300"/>
        <v>0</v>
      </c>
      <c r="CM614" s="235">
        <f t="shared" si="2300"/>
        <v>0</v>
      </c>
      <c r="CN614" s="235">
        <f t="shared" si="2300"/>
        <v>0</v>
      </c>
      <c r="CO614" s="235">
        <f t="shared" si="2300"/>
        <v>0</v>
      </c>
      <c r="CP614" s="235">
        <f t="shared" si="2300"/>
        <v>0</v>
      </c>
      <c r="CQ614" s="235">
        <f t="shared" si="2300"/>
        <v>0</v>
      </c>
      <c r="CR614" s="235">
        <f t="shared" si="2300"/>
        <v>0</v>
      </c>
      <c r="CS614" s="235">
        <f t="shared" si="2300"/>
        <v>0</v>
      </c>
      <c r="CT614" s="235">
        <f t="shared" si="2301"/>
        <v>0</v>
      </c>
      <c r="CU614" s="235">
        <f t="shared" si="2301"/>
        <v>0</v>
      </c>
      <c r="CV614" s="235">
        <f t="shared" si="2301"/>
        <v>0</v>
      </c>
      <c r="CW614" s="235">
        <f t="shared" si="2301"/>
        <v>0</v>
      </c>
      <c r="CX614" s="235">
        <f t="shared" si="2301"/>
        <v>0</v>
      </c>
      <c r="CY614" s="235">
        <f t="shared" si="2301"/>
        <v>0</v>
      </c>
      <c r="CZ614" s="235">
        <f t="shared" si="2301"/>
        <v>0</v>
      </c>
    </row>
    <row r="615" spans="2:129" hidden="1">
      <c r="B615" s="3" t="str">
        <f t="shared" si="2302"/>
        <v>Netto ontwikkelingsleningen</v>
      </c>
      <c r="F615" s="16">
        <f t="shared" ref="F615:BQ617" si="2312">F269/F$419*100</f>
        <v>1.4720457149816348</v>
      </c>
      <c r="G615" s="16">
        <f t="shared" si="2312"/>
        <v>1.1279451957203475</v>
      </c>
      <c r="H615" s="16">
        <f t="shared" si="2312"/>
        <v>1.4990353830921577</v>
      </c>
      <c r="I615" s="16">
        <f t="shared" si="2312"/>
        <v>2.0311361337846399</v>
      </c>
      <c r="J615" s="16">
        <f t="shared" si="2312"/>
        <v>2.4949902378952986</v>
      </c>
      <c r="K615" s="16">
        <f t="shared" si="2312"/>
        <v>2.2617588199972576</v>
      </c>
      <c r="L615" s="16">
        <f t="shared" si="2312"/>
        <v>2.8373630052283869</v>
      </c>
      <c r="M615" s="16">
        <f t="shared" si="2312"/>
        <v>3.4755539233839907</v>
      </c>
      <c r="N615" s="16">
        <f t="shared" si="2312"/>
        <v>2.9803880330446257</v>
      </c>
      <c r="O615" s="16">
        <f t="shared" si="2312"/>
        <v>4.4538810832846769</v>
      </c>
      <c r="P615" s="16">
        <f t="shared" si="2312"/>
        <v>5.2847863520962308</v>
      </c>
      <c r="Q615" s="16">
        <f t="shared" si="2312"/>
        <v>4.9739250340853856</v>
      </c>
      <c r="R615" s="16">
        <f t="shared" si="2312"/>
        <v>1.4234306031064101</v>
      </c>
      <c r="S615" s="16">
        <f t="shared" si="2312"/>
        <v>0.89993565417843102</v>
      </c>
      <c r="T615" s="16">
        <f t="shared" si="2312"/>
        <v>1.2696161800034931</v>
      </c>
      <c r="U615" s="16">
        <f t="shared" si="2312"/>
        <v>1.2330424369958057</v>
      </c>
      <c r="V615" s="16">
        <f t="shared" si="2312"/>
        <v>2.6128979398063357</v>
      </c>
      <c r="W615" s="16">
        <f t="shared" si="2312"/>
        <v>1.124917724436358</v>
      </c>
      <c r="X615" s="16">
        <f t="shared" si="2312"/>
        <v>4.8819414412124846</v>
      </c>
      <c r="Y615" s="16">
        <f t="shared" si="2312"/>
        <v>1.6853493866724949</v>
      </c>
      <c r="Z615" s="16">
        <f t="shared" si="2312"/>
        <v>2.0386954668070447</v>
      </c>
      <c r="AA615" s="16">
        <f t="shared" si="2312"/>
        <v>1.6031544772804478</v>
      </c>
      <c r="AB615" s="16">
        <f t="shared" si="2312"/>
        <v>0</v>
      </c>
      <c r="AC615" s="16">
        <f t="shared" si="2312"/>
        <v>0</v>
      </c>
      <c r="AD615" s="16">
        <f t="shared" si="2312"/>
        <v>2.3717707464278237</v>
      </c>
      <c r="AE615" s="16">
        <f t="shared" si="2312"/>
        <v>0</v>
      </c>
      <c r="AF615" s="16">
        <f t="shared" si="2312"/>
        <v>0</v>
      </c>
      <c r="AG615" s="16">
        <f t="shared" si="2312"/>
        <v>0</v>
      </c>
      <c r="AH615" s="16">
        <f t="shared" si="2312"/>
        <v>0</v>
      </c>
      <c r="AI615" s="16">
        <f t="shared" si="2312"/>
        <v>0</v>
      </c>
      <c r="AJ615" s="16">
        <f t="shared" si="2312"/>
        <v>0</v>
      </c>
      <c r="AK615" s="16">
        <f t="shared" si="2312"/>
        <v>0</v>
      </c>
      <c r="AL615" s="16">
        <f t="shared" si="2312"/>
        <v>0</v>
      </c>
      <c r="AM615" s="16">
        <f t="shared" si="2312"/>
        <v>0.36183518798116976</v>
      </c>
      <c r="AN615" s="16">
        <f t="shared" si="2312"/>
        <v>0.70742178216157159</v>
      </c>
      <c r="AO615" s="16">
        <f t="shared" si="2312"/>
        <v>1.3588305202666142</v>
      </c>
      <c r="AP615" s="16">
        <f t="shared" si="2312"/>
        <v>0</v>
      </c>
      <c r="AQ615" s="16">
        <f t="shared" si="2312"/>
        <v>0</v>
      </c>
      <c r="AR615" s="16">
        <f t="shared" si="2312"/>
        <v>0</v>
      </c>
      <c r="AS615" s="16">
        <f t="shared" si="2312"/>
        <v>0</v>
      </c>
      <c r="AT615" s="16">
        <f t="shared" si="2312"/>
        <v>0</v>
      </c>
      <c r="AU615" s="16">
        <f t="shared" si="2312"/>
        <v>0</v>
      </c>
      <c r="AV615" s="16">
        <f t="shared" si="2312"/>
        <v>-1.7281958740438697</v>
      </c>
      <c r="AW615" s="16">
        <f t="shared" si="2312"/>
        <v>0.13237211210729902</v>
      </c>
      <c r="AX615" s="16">
        <f t="shared" si="2312"/>
        <v>1.6135359696039207</v>
      </c>
      <c r="AY615" s="16">
        <f t="shared" si="2312"/>
        <v>1.5517555127724378</v>
      </c>
      <c r="AZ615" s="16">
        <f t="shared" si="2312"/>
        <v>-1.9172197456952982</v>
      </c>
      <c r="BA615" s="16">
        <f t="shared" si="2312"/>
        <v>5.1797451164119312</v>
      </c>
      <c r="BB615" s="16">
        <f t="shared" si="2312"/>
        <v>-2.8280575082519652</v>
      </c>
      <c r="BC615" s="16">
        <f t="shared" si="2312"/>
        <v>-1.7409793074812323</v>
      </c>
      <c r="BD615" s="16">
        <f t="shared" si="2312"/>
        <v>-1.1394489345265859</v>
      </c>
      <c r="BE615" s="16">
        <f t="shared" ca="1" si="2312"/>
        <v>-0.64940208816259559</v>
      </c>
      <c r="BF615" s="16">
        <f t="shared" ca="1" si="2312"/>
        <v>-1.0643401439789715</v>
      </c>
      <c r="BG615" s="16">
        <f t="shared" ca="1" si="2312"/>
        <v>-3.1958544636707491</v>
      </c>
      <c r="BH615" s="16">
        <f t="shared" ca="1" si="2312"/>
        <v>0.33971451329319285</v>
      </c>
      <c r="BI615" s="16">
        <f t="shared" ca="1" si="2312"/>
        <v>-0.17141596293987629</v>
      </c>
      <c r="BJ615" s="16">
        <f t="shared" ca="1" si="2312"/>
        <v>1.6565482162191436</v>
      </c>
      <c r="BK615" s="16">
        <f t="shared" ca="1" si="2312"/>
        <v>2.4314532283403887</v>
      </c>
      <c r="BL615" s="16">
        <f t="shared" ca="1" si="2312"/>
        <v>1.9881079013417853</v>
      </c>
      <c r="BM615" s="16">
        <f t="shared" ca="1" si="2312"/>
        <v>3.2112197257714645</v>
      </c>
      <c r="BN615" s="16">
        <f t="shared" si="2312"/>
        <v>1.5528258266175268</v>
      </c>
      <c r="BO615" s="16">
        <f t="shared" ca="1" si="2312"/>
        <v>2.128704302183019</v>
      </c>
      <c r="BP615" s="16">
        <f t="shared" ca="1" si="2312"/>
        <v>2.3001673481902083</v>
      </c>
      <c r="BQ615" s="16">
        <f t="shared" ca="1" si="2312"/>
        <v>1.4304664147017336</v>
      </c>
      <c r="BR615" s="16">
        <f t="shared" ref="BR615:BS617" ca="1" si="2313">BR269/BR$419*100</f>
        <v>1.4396940547371067</v>
      </c>
      <c r="BS615" s="16">
        <f t="shared" ca="1" si="2313"/>
        <v>1.4508398334839963</v>
      </c>
      <c r="BT615" s="16">
        <f t="shared" ref="BT615:BU617" ca="1" si="2314">BT269/BT$419*100</f>
        <v>1.3492202717605968</v>
      </c>
      <c r="BU615" s="16">
        <f t="shared" ca="1" si="2314"/>
        <v>1.3410570790828127</v>
      </c>
      <c r="BV615" s="16">
        <f ca="1">BV269/BV$419*100</f>
        <v>1.3036340187732693</v>
      </c>
      <c r="BW615" s="16">
        <f t="shared" ref="BW615:BX615" ca="1" si="2315">BW269/BW$419*100</f>
        <v>1.2537598154148479</v>
      </c>
      <c r="BX615" s="16">
        <f t="shared" ca="1" si="2315"/>
        <v>1.2232043616886261</v>
      </c>
      <c r="BY615" s="16">
        <f t="shared" ref="BY615:CD615" ca="1" si="2316">BY269/BY$419*100</f>
        <v>1.1866219406260148</v>
      </c>
      <c r="BZ615" s="16">
        <f t="shared" ca="1" si="2316"/>
        <v>1.1407219595633065</v>
      </c>
      <c r="CA615" s="16">
        <f t="shared" ca="1" si="2316"/>
        <v>1.0980401069500059</v>
      </c>
      <c r="CB615" s="16">
        <f t="shared" ca="1" si="2316"/>
        <v>1.0554780118613365</v>
      </c>
      <c r="CC615" s="16">
        <f t="shared" ca="1" si="2316"/>
        <v>1.0143134931021736</v>
      </c>
      <c r="CD615" s="16">
        <f t="shared" ca="1" si="2316"/>
        <v>0.97474012317676673</v>
      </c>
      <c r="CE615" s="16"/>
      <c r="CG615" s="235">
        <f t="shared" ca="1" si="2299"/>
        <v>-0.65721890434757446</v>
      </c>
      <c r="CH615" s="235">
        <f t="shared" ca="1" si="2299"/>
        <v>2.7921190015699926E-2</v>
      </c>
      <c r="CI615" s="235" t="e">
        <f ca="1">BM615-#REF!</f>
        <v>#REF!</v>
      </c>
      <c r="CJ615" s="235">
        <f t="shared" si="2300"/>
        <v>0</v>
      </c>
      <c r="CK615" s="235">
        <f t="shared" ca="1" si="2300"/>
        <v>0</v>
      </c>
      <c r="CL615" s="235">
        <f t="shared" ca="1" si="2300"/>
        <v>0</v>
      </c>
      <c r="CM615" s="235">
        <f t="shared" ca="1" si="2300"/>
        <v>0</v>
      </c>
      <c r="CN615" s="235">
        <f t="shared" ca="1" si="2300"/>
        <v>0</v>
      </c>
      <c r="CO615" s="235">
        <f t="shared" ca="1" si="2300"/>
        <v>0</v>
      </c>
      <c r="CP615" s="235">
        <f t="shared" ca="1" si="2300"/>
        <v>0</v>
      </c>
      <c r="CQ615" s="235">
        <f t="shared" ca="1" si="2300"/>
        <v>0</v>
      </c>
      <c r="CR615" s="235">
        <f t="shared" ca="1" si="2300"/>
        <v>2.2204460492503131E-15</v>
      </c>
      <c r="CS615" s="235">
        <f t="shared" ca="1" si="2300"/>
        <v>1.9984014443252818E-15</v>
      </c>
      <c r="CT615" s="235">
        <f t="shared" ca="1" si="2301"/>
        <v>2.4424906541753444E-15</v>
      </c>
      <c r="CU615" s="235">
        <f t="shared" ca="1" si="2301"/>
        <v>2.2204460492503131E-15</v>
      </c>
      <c r="CV615" s="235">
        <f t="shared" ca="1" si="2301"/>
        <v>1.7763568394002505E-15</v>
      </c>
      <c r="CW615" s="235">
        <f t="shared" ca="1" si="2301"/>
        <v>-1.9984014443252818E-15</v>
      </c>
      <c r="CX615" s="235">
        <f t="shared" ca="1" si="2301"/>
        <v>-5.2180482157382357E-14</v>
      </c>
      <c r="CY615" s="235">
        <f t="shared" ca="1" si="2301"/>
        <v>-4.9560355819266988E-13</v>
      </c>
      <c r="CZ615" s="235">
        <f t="shared" ca="1" si="2301"/>
        <v>-3.5254021923947221E-12</v>
      </c>
      <c r="DG615" s="236">
        <v>3.0886721326879631</v>
      </c>
      <c r="DH615" s="492">
        <v>1.9601867113260854</v>
      </c>
      <c r="DI615" s="236">
        <v>1.5528258266175268</v>
      </c>
      <c r="DJ615" s="236">
        <v>2.1287043021830176</v>
      </c>
      <c r="DK615" s="236">
        <v>2.3001673481902078</v>
      </c>
      <c r="DL615" s="236">
        <v>1.4304664147017334</v>
      </c>
      <c r="DM615" s="236">
        <v>1.439694054737106</v>
      </c>
      <c r="DN615" s="236">
        <v>1.450839833483996</v>
      </c>
      <c r="DO615" s="236">
        <v>1.3492202717605954</v>
      </c>
      <c r="DP615" s="236">
        <v>1.3410570790828111</v>
      </c>
      <c r="DQ615" s="258">
        <v>1.3036340187732671</v>
      </c>
      <c r="DR615" s="258">
        <v>1.2537598154148459</v>
      </c>
      <c r="DS615" s="258">
        <v>1.2232043616886237</v>
      </c>
      <c r="DT615" s="258">
        <v>1.1866219406260126</v>
      </c>
      <c r="DU615" s="258">
        <v>1.1407219595633047</v>
      </c>
      <c r="DV615" s="258">
        <v>1.0980401069500079</v>
      </c>
      <c r="DW615" s="258">
        <v>1.0554780118613887</v>
      </c>
      <c r="DX615" s="258">
        <v>1.0143134931026692</v>
      </c>
      <c r="DY615" s="258">
        <v>0.97474012318029213</v>
      </c>
    </row>
    <row r="616" spans="2:129" hidden="1">
      <c r="B616" s="3" t="str">
        <f t="shared" si="2302"/>
        <v>Netto particuliere leningen van de overheid uit het buitenland</v>
      </c>
      <c r="F616" s="16">
        <f t="shared" si="2312"/>
        <v>0</v>
      </c>
      <c r="G616" s="16">
        <f t="shared" si="2312"/>
        <v>0</v>
      </c>
      <c r="H616" s="16">
        <f t="shared" si="2312"/>
        <v>0</v>
      </c>
      <c r="I616" s="16">
        <f t="shared" si="2312"/>
        <v>0</v>
      </c>
      <c r="J616" s="16">
        <f t="shared" si="2312"/>
        <v>0</v>
      </c>
      <c r="K616" s="16">
        <f t="shared" si="2312"/>
        <v>0</v>
      </c>
      <c r="L616" s="16">
        <f t="shared" si="2312"/>
        <v>0</v>
      </c>
      <c r="M616" s="16">
        <f t="shared" si="2312"/>
        <v>0</v>
      </c>
      <c r="N616" s="16">
        <f t="shared" si="2312"/>
        <v>0</v>
      </c>
      <c r="O616" s="16">
        <f t="shared" si="2312"/>
        <v>0</v>
      </c>
      <c r="P616" s="16">
        <f t="shared" si="2312"/>
        <v>0</v>
      </c>
      <c r="Q616" s="16">
        <f t="shared" si="2312"/>
        <v>0</v>
      </c>
      <c r="R616" s="16">
        <f t="shared" si="2312"/>
        <v>0</v>
      </c>
      <c r="S616" s="16">
        <f t="shared" si="2312"/>
        <v>0</v>
      </c>
      <c r="T616" s="16">
        <f t="shared" si="2312"/>
        <v>0</v>
      </c>
      <c r="U616" s="16">
        <f t="shared" si="2312"/>
        <v>0</v>
      </c>
      <c r="V616" s="16">
        <f t="shared" si="2312"/>
        <v>0</v>
      </c>
      <c r="W616" s="16">
        <f t="shared" si="2312"/>
        <v>0</v>
      </c>
      <c r="X616" s="16">
        <f t="shared" si="2312"/>
        <v>0</v>
      </c>
      <c r="Y616" s="16">
        <f t="shared" si="2312"/>
        <v>0</v>
      </c>
      <c r="Z616" s="16">
        <f t="shared" si="2312"/>
        <v>0</v>
      </c>
      <c r="AA616" s="16">
        <f t="shared" si="2312"/>
        <v>0</v>
      </c>
      <c r="AB616" s="16">
        <f t="shared" si="2312"/>
        <v>0</v>
      </c>
      <c r="AC616" s="16">
        <f t="shared" si="2312"/>
        <v>0</v>
      </c>
      <c r="AD616" s="16">
        <f t="shared" si="2312"/>
        <v>0</v>
      </c>
      <c r="AE616" s="16">
        <f t="shared" si="2312"/>
        <v>0</v>
      </c>
      <c r="AF616" s="16">
        <f t="shared" si="2312"/>
        <v>0</v>
      </c>
      <c r="AG616" s="16">
        <f t="shared" si="2312"/>
        <v>0</v>
      </c>
      <c r="AH616" s="16">
        <f t="shared" si="2312"/>
        <v>0</v>
      </c>
      <c r="AI616" s="16">
        <f t="shared" si="2312"/>
        <v>0</v>
      </c>
      <c r="AJ616" s="16">
        <f t="shared" si="2312"/>
        <v>0</v>
      </c>
      <c r="AK616" s="16">
        <f t="shared" si="2312"/>
        <v>0</v>
      </c>
      <c r="AL616" s="16">
        <f t="shared" si="2312"/>
        <v>0</v>
      </c>
      <c r="AM616" s="16">
        <f t="shared" si="2312"/>
        <v>0</v>
      </c>
      <c r="AN616" s="16">
        <f t="shared" si="2312"/>
        <v>0</v>
      </c>
      <c r="AO616" s="16">
        <f t="shared" si="2312"/>
        <v>0</v>
      </c>
      <c r="AP616" s="16">
        <f t="shared" si="2312"/>
        <v>0</v>
      </c>
      <c r="AQ616" s="16">
        <f t="shared" si="2312"/>
        <v>0</v>
      </c>
      <c r="AR616" s="16">
        <f t="shared" si="2312"/>
        <v>0</v>
      </c>
      <c r="AS616" s="16">
        <f t="shared" si="2312"/>
        <v>0</v>
      </c>
      <c r="AT616" s="16">
        <f t="shared" si="2312"/>
        <v>0</v>
      </c>
      <c r="AU616" s="16">
        <f t="shared" si="2312"/>
        <v>0</v>
      </c>
      <c r="AV616" s="16">
        <f t="shared" si="2312"/>
        <v>0</v>
      </c>
      <c r="AW616" s="16">
        <f t="shared" si="2312"/>
        <v>0</v>
      </c>
      <c r="AX616" s="16">
        <f t="shared" si="2312"/>
        <v>0</v>
      </c>
      <c r="AY616" s="16">
        <f t="shared" si="2312"/>
        <v>0</v>
      </c>
      <c r="AZ616" s="16">
        <f t="shared" si="2312"/>
        <v>0</v>
      </c>
      <c r="BA616" s="16">
        <f t="shared" si="2312"/>
        <v>0</v>
      </c>
      <c r="BB616" s="16">
        <f t="shared" si="2312"/>
        <v>0</v>
      </c>
      <c r="BC616" s="16">
        <f t="shared" si="2312"/>
        <v>0</v>
      </c>
      <c r="BD616" s="16">
        <f t="shared" si="2312"/>
        <v>0</v>
      </c>
      <c r="BE616" s="16">
        <f t="shared" ca="1" si="2312"/>
        <v>0</v>
      </c>
      <c r="BF616" s="16">
        <f t="shared" ca="1" si="2312"/>
        <v>0</v>
      </c>
      <c r="BG616" s="16">
        <f t="shared" ca="1" si="2312"/>
        <v>0</v>
      </c>
      <c r="BH616" s="16">
        <f t="shared" ca="1" si="2312"/>
        <v>0</v>
      </c>
      <c r="BI616" s="16">
        <f t="shared" ca="1" si="2312"/>
        <v>0</v>
      </c>
      <c r="BJ616" s="16">
        <f t="shared" ca="1" si="2312"/>
        <v>0</v>
      </c>
      <c r="BK616" s="16">
        <f t="shared" ca="1" si="2312"/>
        <v>0</v>
      </c>
      <c r="BL616" s="16">
        <f t="shared" ca="1" si="2312"/>
        <v>0</v>
      </c>
      <c r="BM616" s="16">
        <f t="shared" ca="1" si="2312"/>
        <v>0</v>
      </c>
      <c r="BN616" s="16">
        <f t="shared" si="2312"/>
        <v>0</v>
      </c>
      <c r="BO616" s="16">
        <f t="shared" ca="1" si="2312"/>
        <v>0</v>
      </c>
      <c r="BP616" s="16">
        <f t="shared" ca="1" si="2312"/>
        <v>0</v>
      </c>
      <c r="BQ616" s="16">
        <f t="shared" ca="1" si="2312"/>
        <v>0</v>
      </c>
      <c r="BR616" s="16">
        <f t="shared" ca="1" si="2313"/>
        <v>0</v>
      </c>
      <c r="BS616" s="16">
        <f t="shared" ca="1" si="2313"/>
        <v>0</v>
      </c>
      <c r="BT616" s="16">
        <f t="shared" ca="1" si="2314"/>
        <v>0</v>
      </c>
      <c r="BU616" s="16">
        <f t="shared" ca="1" si="2314"/>
        <v>0</v>
      </c>
      <c r="BV616" s="16">
        <f ca="1">BV270/BV$419*100</f>
        <v>0</v>
      </c>
      <c r="BW616" s="16">
        <f t="shared" ref="BW616:BX616" ca="1" si="2317">BW270/BW$419*100</f>
        <v>0</v>
      </c>
      <c r="BX616" s="16">
        <f t="shared" ca="1" si="2317"/>
        <v>0</v>
      </c>
      <c r="BY616" s="16">
        <f t="shared" ref="BY616:CD616" ca="1" si="2318">BY270/BY$419*100</f>
        <v>0</v>
      </c>
      <c r="BZ616" s="16">
        <f t="shared" ca="1" si="2318"/>
        <v>0</v>
      </c>
      <c r="CA616" s="16">
        <f t="shared" ca="1" si="2318"/>
        <v>0</v>
      </c>
      <c r="CB616" s="16">
        <f t="shared" ca="1" si="2318"/>
        <v>0</v>
      </c>
      <c r="CC616" s="16">
        <f t="shared" ca="1" si="2318"/>
        <v>0</v>
      </c>
      <c r="CD616" s="16">
        <f t="shared" ca="1" si="2318"/>
        <v>0</v>
      </c>
      <c r="CE616" s="16"/>
      <c r="CG616" s="235">
        <f t="shared" ca="1" si="2299"/>
        <v>0</v>
      </c>
      <c r="CH616" s="235">
        <f t="shared" ca="1" si="2299"/>
        <v>0</v>
      </c>
      <c r="CI616" s="235" t="e">
        <f ca="1">BM616-#REF!</f>
        <v>#REF!</v>
      </c>
      <c r="CJ616" s="235">
        <f t="shared" si="2300"/>
        <v>0</v>
      </c>
      <c r="CK616" s="235">
        <f t="shared" ca="1" si="2300"/>
        <v>0</v>
      </c>
      <c r="CL616" s="235">
        <f t="shared" ca="1" si="2300"/>
        <v>0</v>
      </c>
      <c r="CM616" s="235">
        <f t="shared" ca="1" si="2300"/>
        <v>0</v>
      </c>
      <c r="CN616" s="235">
        <f t="shared" ca="1" si="2300"/>
        <v>0</v>
      </c>
      <c r="CO616" s="235">
        <f t="shared" ca="1" si="2300"/>
        <v>0</v>
      </c>
      <c r="CP616" s="235">
        <f t="shared" ca="1" si="2300"/>
        <v>0</v>
      </c>
      <c r="CQ616" s="235">
        <f t="shared" ca="1" si="2300"/>
        <v>0</v>
      </c>
      <c r="CR616" s="235">
        <f t="shared" ca="1" si="2300"/>
        <v>0</v>
      </c>
      <c r="CS616" s="235">
        <f t="shared" ca="1" si="2300"/>
        <v>0</v>
      </c>
      <c r="CT616" s="235">
        <f t="shared" ca="1" si="2301"/>
        <v>0</v>
      </c>
      <c r="CU616" s="235">
        <f t="shared" ca="1" si="2301"/>
        <v>0</v>
      </c>
      <c r="CV616" s="235">
        <f t="shared" ca="1" si="2301"/>
        <v>0</v>
      </c>
      <c r="CW616" s="235">
        <f t="shared" ca="1" si="2301"/>
        <v>0</v>
      </c>
      <c r="CX616" s="235">
        <f t="shared" ca="1" si="2301"/>
        <v>0</v>
      </c>
      <c r="CY616" s="235">
        <f t="shared" ca="1" si="2301"/>
        <v>0</v>
      </c>
      <c r="CZ616" s="235">
        <f t="shared" ca="1" si="2301"/>
        <v>0</v>
      </c>
      <c r="DG616" s="236">
        <v>0</v>
      </c>
      <c r="DH616" s="492">
        <v>0</v>
      </c>
      <c r="DI616" s="236">
        <v>0</v>
      </c>
      <c r="DJ616" s="236">
        <v>0</v>
      </c>
      <c r="DK616" s="236">
        <v>0</v>
      </c>
      <c r="DL616" s="236">
        <v>0</v>
      </c>
      <c r="DM616" s="236">
        <v>0</v>
      </c>
      <c r="DN616" s="236">
        <v>0</v>
      </c>
      <c r="DO616" s="236">
        <v>0</v>
      </c>
      <c r="DP616" s="236">
        <v>0</v>
      </c>
      <c r="DQ616" s="258">
        <v>0</v>
      </c>
      <c r="DR616" s="258">
        <v>0</v>
      </c>
      <c r="DS616" s="258">
        <v>0</v>
      </c>
      <c r="DT616" s="258">
        <v>0</v>
      </c>
      <c r="DU616" s="258">
        <v>0</v>
      </c>
      <c r="DV616" s="258">
        <v>0</v>
      </c>
      <c r="DW616" s="258">
        <v>0</v>
      </c>
      <c r="DX616" s="258">
        <v>0</v>
      </c>
      <c r="DY616" s="258">
        <v>0</v>
      </c>
    </row>
    <row r="617" spans="2:129" hidden="1">
      <c r="B617" s="3" t="str">
        <f t="shared" si="2302"/>
        <v>Netto particuliere leningen van de overheid uit het binnenland</v>
      </c>
      <c r="F617" s="16">
        <f t="shared" si="2312"/>
        <v>0</v>
      </c>
      <c r="G617" s="16">
        <f t="shared" si="2312"/>
        <v>0</v>
      </c>
      <c r="H617" s="16">
        <f t="shared" si="2312"/>
        <v>0</v>
      </c>
      <c r="I617" s="16">
        <f t="shared" si="2312"/>
        <v>0</v>
      </c>
      <c r="J617" s="16">
        <f t="shared" si="2312"/>
        <v>1.1172640923929313</v>
      </c>
      <c r="K617" s="16">
        <f t="shared" si="2312"/>
        <v>-2.5320558766120342</v>
      </c>
      <c r="L617" s="16">
        <f t="shared" si="2312"/>
        <v>-3.265786450156511</v>
      </c>
      <c r="M617" s="16">
        <f t="shared" si="2312"/>
        <v>-5.1293560793718465</v>
      </c>
      <c r="N617" s="16">
        <f t="shared" si="2312"/>
        <v>-3.178755888711291</v>
      </c>
      <c r="O617" s="16">
        <f t="shared" si="2312"/>
        <v>0.19860100532717856</v>
      </c>
      <c r="P617" s="16">
        <f t="shared" si="2312"/>
        <v>0.18056416515092047</v>
      </c>
      <c r="Q617" s="16">
        <f t="shared" si="2312"/>
        <v>0.15765798691886773</v>
      </c>
      <c r="R617" s="16">
        <f t="shared" si="2312"/>
        <v>-1.8724108129303463</v>
      </c>
      <c r="S617" s="16">
        <f t="shared" si="2312"/>
        <v>-0.43047070666257603</v>
      </c>
      <c r="T617" s="16">
        <f t="shared" si="2312"/>
        <v>-2.0630399196704241</v>
      </c>
      <c r="U617" s="16">
        <f t="shared" si="2312"/>
        <v>-0.37610902770054105</v>
      </c>
      <c r="V617" s="16">
        <f t="shared" si="2312"/>
        <v>0.89274323815994416</v>
      </c>
      <c r="W617" s="16">
        <f t="shared" si="2312"/>
        <v>-2.6306501346248403</v>
      </c>
      <c r="X617" s="16">
        <f t="shared" si="2312"/>
        <v>-2.4203778018112647</v>
      </c>
      <c r="Y617" s="16">
        <f t="shared" si="2312"/>
        <v>-1.2977234600462444</v>
      </c>
      <c r="Z617" s="16">
        <f t="shared" si="2312"/>
        <v>-0.23706017685940381</v>
      </c>
      <c r="AA617" s="16">
        <f t="shared" si="2312"/>
        <v>-0.69060880879092468</v>
      </c>
      <c r="AB617" s="16">
        <f t="shared" si="2312"/>
        <v>9.0753488467738327E-2</v>
      </c>
      <c r="AC617" s="16">
        <f t="shared" si="2312"/>
        <v>-1.4311595149367187</v>
      </c>
      <c r="AD617" s="16">
        <f t="shared" si="2312"/>
        <v>1.1855534564694978</v>
      </c>
      <c r="AE617" s="16">
        <f t="shared" si="2312"/>
        <v>-0.23455961244649312</v>
      </c>
      <c r="AF617" s="16">
        <f t="shared" si="2312"/>
        <v>-0.11457206415761426</v>
      </c>
      <c r="AG617" s="16">
        <f t="shared" si="2312"/>
        <v>0.1275679705198231</v>
      </c>
      <c r="AH617" s="16">
        <f t="shared" si="2312"/>
        <v>1.2396768379511096</v>
      </c>
      <c r="AI617" s="16">
        <f t="shared" si="2312"/>
        <v>1.8459000756257615</v>
      </c>
      <c r="AJ617" s="16">
        <f t="shared" si="2312"/>
        <v>-2.6251981492575654E-2</v>
      </c>
      <c r="AK617" s="16">
        <f t="shared" si="2312"/>
        <v>2.7089740226130412</v>
      </c>
      <c r="AL617" s="16">
        <f t="shared" si="2312"/>
        <v>0.63931350729494063</v>
      </c>
      <c r="AM617" s="16">
        <f t="shared" si="2312"/>
        <v>5.8044596774884774</v>
      </c>
      <c r="AN617" s="16">
        <f t="shared" si="2312"/>
        <v>-0.58772060208747834</v>
      </c>
      <c r="AO617" s="16">
        <f t="shared" si="2312"/>
        <v>-0.39905515859051</v>
      </c>
      <c r="AP617" s="16">
        <f t="shared" si="2312"/>
        <v>-59.865901257198765</v>
      </c>
      <c r="AQ617" s="16">
        <f t="shared" si="2312"/>
        <v>1.3108730838729947</v>
      </c>
      <c r="AR617" s="16">
        <f t="shared" si="2312"/>
        <v>-0.67310633825197752</v>
      </c>
      <c r="AS617" s="16">
        <f t="shared" si="2312"/>
        <v>-7.7465828793345892</v>
      </c>
      <c r="AT617" s="16">
        <f t="shared" si="2312"/>
        <v>-4.5191062781981328</v>
      </c>
      <c r="AU617" s="16">
        <f t="shared" si="2312"/>
        <v>5.6680576667778819</v>
      </c>
      <c r="AV617" s="16">
        <f t="shared" si="2312"/>
        <v>1.0805040820444307</v>
      </c>
      <c r="AW617" s="16">
        <f t="shared" si="2312"/>
        <v>2.2880340559256251</v>
      </c>
      <c r="AX617" s="16">
        <f t="shared" si="2312"/>
        <v>1.441972811516359</v>
      </c>
      <c r="AY617" s="16">
        <f t="shared" si="2312"/>
        <v>1.4929616301842414</v>
      </c>
      <c r="AZ617" s="16">
        <f t="shared" si="2312"/>
        <v>2.5776959219195419</v>
      </c>
      <c r="BA617" s="16">
        <f t="shared" si="2312"/>
        <v>1.853446382922638</v>
      </c>
      <c r="BB617" s="16">
        <f t="shared" si="2312"/>
        <v>-0.65888049497976631</v>
      </c>
      <c r="BC617" s="16">
        <f t="shared" si="2312"/>
        <v>1.0084979807909229</v>
      </c>
      <c r="BD617" s="16">
        <f t="shared" si="2312"/>
        <v>1.7284755422108204</v>
      </c>
      <c r="BE617" s="16">
        <f t="shared" ca="1" si="2312"/>
        <v>1.0281720672959125</v>
      </c>
      <c r="BF617" s="16">
        <f t="shared" ca="1" si="2312"/>
        <v>0.65271623152350911</v>
      </c>
      <c r="BG617" s="16">
        <f t="shared" ca="1" si="2312"/>
        <v>-0.57663693266181049</v>
      </c>
      <c r="BH617" s="16">
        <f t="shared" ca="1" si="2312"/>
        <v>-0.44442152772217974</v>
      </c>
      <c r="BI617" s="16">
        <f t="shared" ca="1" si="2312"/>
        <v>0.28689619060463506</v>
      </c>
      <c r="BJ617" s="16">
        <f t="shared" ca="1" si="2312"/>
        <v>1.2475561790910903</v>
      </c>
      <c r="BK617" s="16">
        <f t="shared" ca="1" si="2312"/>
        <v>0.50513359465578966</v>
      </c>
      <c r="BL617" s="16">
        <f t="shared" ca="1" si="2312"/>
        <v>0.73293507030037242</v>
      </c>
      <c r="BM617" s="16">
        <f t="shared" ca="1" si="2312"/>
        <v>0.44353622743112098</v>
      </c>
      <c r="BN617" s="16">
        <f t="shared" si="2312"/>
        <v>1.7197722688844459</v>
      </c>
      <c r="BO617" s="16">
        <f t="shared" ca="1" si="2312"/>
        <v>-0.23714218062135059</v>
      </c>
      <c r="BP617" s="16">
        <f t="shared" ca="1" si="2312"/>
        <v>-0.18873244179474033</v>
      </c>
      <c r="BQ617" s="16">
        <f t="shared" ca="1" si="2312"/>
        <v>-0.15240928135399209</v>
      </c>
      <c r="BR617" s="16">
        <f t="shared" ca="1" si="2313"/>
        <v>-0.13864782898580655</v>
      </c>
      <c r="BS617" s="16">
        <f t="shared" ca="1" si="2313"/>
        <v>-0.13356812443749394</v>
      </c>
      <c r="BT617" s="16">
        <f t="shared" ca="1" si="2314"/>
        <v>-0.12958682541971722</v>
      </c>
      <c r="BU617" s="16">
        <f t="shared" ca="1" si="2314"/>
        <v>-0.12462832143075847</v>
      </c>
      <c r="BV617" s="16">
        <f ca="1">BV271/BV$419*100</f>
        <v>-0.11972610370943781</v>
      </c>
      <c r="BW617" s="16">
        <f t="shared" ref="BW617:BX617" ca="1" si="2319">BW271/BW$419*100</f>
        <v>-0.11505119328807949</v>
      </c>
      <c r="BX617" s="16">
        <f t="shared" ca="1" si="2319"/>
        <v>-0.11057217112574751</v>
      </c>
      <c r="BY617" s="16">
        <f t="shared" ref="BY617:CD617" ca="1" si="2320">BY271/BY$419*100</f>
        <v>-0.10627896560049135</v>
      </c>
      <c r="BZ617" s="16">
        <f t="shared" ca="1" si="2320"/>
        <v>-0.10131455815651613</v>
      </c>
      <c r="CA617" s="16">
        <f t="shared" ca="1" si="2320"/>
        <v>-9.6470042870235376E-2</v>
      </c>
      <c r="CB617" s="16">
        <f t="shared" ca="1" si="2320"/>
        <v>-9.1853780188466558E-2</v>
      </c>
      <c r="CC617" s="16">
        <f t="shared" ca="1" si="2320"/>
        <v>-8.7429127398285303E-2</v>
      </c>
      <c r="CD617" s="16">
        <f t="shared" ca="1" si="2320"/>
        <v>-8.318376761100349E-2</v>
      </c>
      <c r="CE617" s="16"/>
      <c r="CG617" s="235">
        <f t="shared" ca="1" si="2299"/>
        <v>-0.13653700748150033</v>
      </c>
      <c r="CH617" s="235">
        <f t="shared" ca="1" si="2299"/>
        <v>1.0293414835892745E-2</v>
      </c>
      <c r="CI617" s="235" t="e">
        <f ca="1">BM617-#REF!</f>
        <v>#REF!</v>
      </c>
      <c r="CJ617" s="235">
        <f t="shared" si="2300"/>
        <v>0</v>
      </c>
      <c r="CK617" s="235">
        <f t="shared" ca="1" si="2300"/>
        <v>0</v>
      </c>
      <c r="CL617" s="235">
        <f t="shared" ca="1" si="2300"/>
        <v>0</v>
      </c>
      <c r="CM617" s="235">
        <f t="shared" ca="1" si="2300"/>
        <v>0</v>
      </c>
      <c r="CN617" s="235">
        <f t="shared" ca="1" si="2300"/>
        <v>0</v>
      </c>
      <c r="CO617" s="235">
        <f t="shared" ca="1" si="2300"/>
        <v>0</v>
      </c>
      <c r="CP617" s="235">
        <f t="shared" ca="1" si="2300"/>
        <v>0</v>
      </c>
      <c r="CQ617" s="235">
        <f t="shared" ca="1" si="2300"/>
        <v>-1.3877787807814457E-16</v>
      </c>
      <c r="CR617" s="235">
        <f t="shared" ca="1" si="2300"/>
        <v>-1.9428902930940239E-16</v>
      </c>
      <c r="CS617" s="235">
        <f t="shared" ca="1" si="2300"/>
        <v>-1.8041124150158794E-16</v>
      </c>
      <c r="CT617" s="235">
        <f t="shared" ca="1" si="2301"/>
        <v>-2.3592239273284576E-16</v>
      </c>
      <c r="CU617" s="235">
        <f t="shared" ca="1" si="2301"/>
        <v>-1.9428902930940239E-16</v>
      </c>
      <c r="CV617" s="235">
        <f t="shared" ca="1" si="2301"/>
        <v>-1.8041124150158794E-16</v>
      </c>
      <c r="CW617" s="235">
        <f t="shared" ca="1" si="2301"/>
        <v>1.6653345369377348E-16</v>
      </c>
      <c r="CX617" s="235">
        <f t="shared" ca="1" si="2301"/>
        <v>4.5519144009631418E-15</v>
      </c>
      <c r="CY617" s="235">
        <f t="shared" ca="1" si="2301"/>
        <v>4.2715830872452898E-14</v>
      </c>
      <c r="CZ617" s="235">
        <f t="shared" ca="1" si="2301"/>
        <v>3.0087043967341742E-13</v>
      </c>
      <c r="DG617" s="236">
        <v>0.64167060213728999</v>
      </c>
      <c r="DH617" s="492">
        <v>0.72264165546447967</v>
      </c>
      <c r="DI617" s="236">
        <v>1.7197722688844459</v>
      </c>
      <c r="DJ617" s="236">
        <v>-0.23714218062135048</v>
      </c>
      <c r="DK617" s="236">
        <v>-0.1887324417947403</v>
      </c>
      <c r="DL617" s="236">
        <v>-0.15240928135399209</v>
      </c>
      <c r="DM617" s="236">
        <v>-0.13864782898580652</v>
      </c>
      <c r="DN617" s="236">
        <v>-0.13356812443749391</v>
      </c>
      <c r="DO617" s="236">
        <v>-0.12958682541971711</v>
      </c>
      <c r="DP617" s="236">
        <v>-0.12462832143075833</v>
      </c>
      <c r="DQ617" s="258">
        <v>-0.11972610370943762</v>
      </c>
      <c r="DR617" s="258">
        <v>-0.11505119328807931</v>
      </c>
      <c r="DS617" s="258">
        <v>-0.11057217112574727</v>
      </c>
      <c r="DT617" s="258">
        <v>-0.10627896560049116</v>
      </c>
      <c r="DU617" s="258">
        <v>-0.10131455815651595</v>
      </c>
      <c r="DV617" s="258">
        <v>-9.6470042870235542E-2</v>
      </c>
      <c r="DW617" s="258">
        <v>-9.185378018847111E-2</v>
      </c>
      <c r="DX617" s="258">
        <v>-8.7429127398328019E-2</v>
      </c>
      <c r="DY617" s="258">
        <v>-8.318376761130436E-2</v>
      </c>
    </row>
    <row r="618" spans="2:129" hidden="1">
      <c r="B618" s="3" t="s">
        <v>2219</v>
      </c>
      <c r="F618" s="16" t="s">
        <v>2219</v>
      </c>
      <c r="G618" s="16" t="s">
        <v>2219</v>
      </c>
      <c r="H618" s="16" t="s">
        <v>2219</v>
      </c>
      <c r="I618" s="16" t="s">
        <v>2219</v>
      </c>
      <c r="J618" s="16" t="s">
        <v>2219</v>
      </c>
      <c r="K618" s="16" t="s">
        <v>2219</v>
      </c>
      <c r="L618" s="16" t="s">
        <v>2219</v>
      </c>
      <c r="M618" s="16" t="s">
        <v>2219</v>
      </c>
      <c r="N618" s="16" t="s">
        <v>2219</v>
      </c>
      <c r="O618" s="16" t="s">
        <v>2219</v>
      </c>
      <c r="P618" s="16" t="s">
        <v>2219</v>
      </c>
      <c r="Q618" s="16" t="s">
        <v>2219</v>
      </c>
      <c r="R618" s="16" t="s">
        <v>2219</v>
      </c>
      <c r="S618" s="16" t="s">
        <v>2219</v>
      </c>
      <c r="T618" s="16" t="s">
        <v>2219</v>
      </c>
      <c r="U618" s="16" t="s">
        <v>2219</v>
      </c>
      <c r="V618" s="16" t="s">
        <v>2219</v>
      </c>
      <c r="W618" s="16" t="s">
        <v>2219</v>
      </c>
      <c r="X618" s="16" t="s">
        <v>2219</v>
      </c>
      <c r="Y618" s="16" t="s">
        <v>2219</v>
      </c>
      <c r="Z618" s="16" t="s">
        <v>2219</v>
      </c>
      <c r="AA618" s="16" t="s">
        <v>2219</v>
      </c>
      <c r="AB618" s="16" t="s">
        <v>2219</v>
      </c>
      <c r="AC618" s="16" t="s">
        <v>2219</v>
      </c>
      <c r="AD618" s="16" t="s">
        <v>2219</v>
      </c>
      <c r="AE618" s="16" t="s">
        <v>2219</v>
      </c>
      <c r="AF618" s="16" t="s">
        <v>2219</v>
      </c>
      <c r="AG618" s="16" t="s">
        <v>2219</v>
      </c>
      <c r="AH618" s="16" t="s">
        <v>2219</v>
      </c>
      <c r="AI618" s="16" t="s">
        <v>2219</v>
      </c>
      <c r="AJ618" s="16" t="s">
        <v>2219</v>
      </c>
      <c r="AK618" s="16" t="s">
        <v>2219</v>
      </c>
      <c r="AL618" s="16" t="s">
        <v>2219</v>
      </c>
      <c r="AM618" s="16" t="s">
        <v>2219</v>
      </c>
      <c r="AN618" s="16" t="s">
        <v>2219</v>
      </c>
      <c r="AO618" s="16" t="s">
        <v>2219</v>
      </c>
      <c r="AP618" s="16" t="s">
        <v>2219</v>
      </c>
      <c r="AQ618" s="16" t="s">
        <v>2219</v>
      </c>
      <c r="AR618" s="16" t="s">
        <v>2219</v>
      </c>
      <c r="AS618" s="16" t="s">
        <v>2219</v>
      </c>
      <c r="AT618" s="16" t="s">
        <v>2219</v>
      </c>
      <c r="AU618" s="16" t="s">
        <v>2219</v>
      </c>
      <c r="AV618" s="16" t="s">
        <v>2219</v>
      </c>
      <c r="AW618" s="16" t="s">
        <v>2219</v>
      </c>
      <c r="AX618" s="16" t="s">
        <v>2219</v>
      </c>
      <c r="AY618" s="16" t="s">
        <v>2219</v>
      </c>
      <c r="AZ618" s="16" t="s">
        <v>2219</v>
      </c>
      <c r="BA618" s="16" t="s">
        <v>2219</v>
      </c>
      <c r="BB618" s="16" t="s">
        <v>2219</v>
      </c>
      <c r="BC618" s="16" t="s">
        <v>2219</v>
      </c>
      <c r="BD618" s="16" t="s">
        <v>2219</v>
      </c>
      <c r="BE618" s="16" t="s">
        <v>2219</v>
      </c>
      <c r="BF618" s="16" t="s">
        <v>2219</v>
      </c>
      <c r="BG618" s="16" t="s">
        <v>2219</v>
      </c>
      <c r="BH618" s="16" t="s">
        <v>2219</v>
      </c>
      <c r="BI618" s="16" t="s">
        <v>2219</v>
      </c>
      <c r="BJ618" s="16" t="s">
        <v>2219</v>
      </c>
      <c r="BK618" s="16" t="s">
        <v>2219</v>
      </c>
      <c r="BL618" s="16" t="s">
        <v>2219</v>
      </c>
      <c r="BM618" s="16" t="s">
        <v>2219</v>
      </c>
      <c r="BN618" s="16" t="s">
        <v>2219</v>
      </c>
      <c r="BO618" s="16" t="s">
        <v>2219</v>
      </c>
      <c r="BP618" s="16" t="s">
        <v>2219</v>
      </c>
      <c r="BQ618" s="16" t="s">
        <v>2219</v>
      </c>
      <c r="BR618" s="16" t="s">
        <v>2219</v>
      </c>
      <c r="BS618" s="16" t="s">
        <v>2219</v>
      </c>
      <c r="BT618" s="16" t="s">
        <v>2219</v>
      </c>
      <c r="BU618" s="16" t="s">
        <v>2219</v>
      </c>
      <c r="BV618" s="16" t="s">
        <v>2219</v>
      </c>
      <c r="BW618" s="16" t="s">
        <v>2219</v>
      </c>
      <c r="BX618" s="16" t="s">
        <v>2219</v>
      </c>
      <c r="BY618" s="16" t="s">
        <v>2219</v>
      </c>
      <c r="BZ618" s="16" t="s">
        <v>2219</v>
      </c>
      <c r="CA618" s="16" t="s">
        <v>2219</v>
      </c>
      <c r="CB618" s="16" t="s">
        <v>2219</v>
      </c>
      <c r="CC618" s="16" t="s">
        <v>2219</v>
      </c>
      <c r="CD618" s="16" t="s">
        <v>2219</v>
      </c>
      <c r="CE618" s="16"/>
      <c r="DG618" s="236" t="s">
        <v>2219</v>
      </c>
      <c r="DH618" s="492" t="s">
        <v>2219</v>
      </c>
      <c r="DI618" s="236" t="s">
        <v>2219</v>
      </c>
      <c r="DJ618" s="236" t="s">
        <v>2219</v>
      </c>
      <c r="DK618" s="236" t="s">
        <v>2219</v>
      </c>
      <c r="DL618" s="236" t="s">
        <v>2219</v>
      </c>
      <c r="DM618" s="236" t="s">
        <v>2219</v>
      </c>
      <c r="DN618" s="236" t="s">
        <v>2219</v>
      </c>
      <c r="DO618" s="236" t="s">
        <v>2219</v>
      </c>
      <c r="DP618" s="236" t="s">
        <v>2219</v>
      </c>
      <c r="DQ618" s="258" t="s">
        <v>2219</v>
      </c>
      <c r="DR618" s="258" t="s">
        <v>2219</v>
      </c>
      <c r="DS618" s="258" t="s">
        <v>2219</v>
      </c>
      <c r="DT618" s="258" t="s">
        <v>2219</v>
      </c>
      <c r="DU618" s="258" t="s">
        <v>2219</v>
      </c>
      <c r="DV618" s="258" t="s">
        <v>2219</v>
      </c>
      <c r="DW618" s="258" t="s">
        <v>2219</v>
      </c>
      <c r="DX618" s="258" t="s">
        <v>2219</v>
      </c>
      <c r="DY618" s="258" t="s">
        <v>2219</v>
      </c>
    </row>
    <row r="619" spans="2:129" hidden="1">
      <c r="B619" s="3" t="str">
        <f t="shared" ref="B619:B627" si="2321">B273</f>
        <v>Financieringstekort van de overheid</v>
      </c>
      <c r="F619" s="16">
        <f t="shared" ref="F619:BQ622" si="2322">F273/F$419*100</f>
        <v>-5.996213321243876</v>
      </c>
      <c r="G619" s="16">
        <f t="shared" si="2322"/>
        <v>-4.1902958092817268</v>
      </c>
      <c r="H619" s="16">
        <f t="shared" si="2322"/>
        <v>-3.7283147390166951</v>
      </c>
      <c r="I619" s="16">
        <f t="shared" si="2322"/>
        <v>-2.7218023565489577</v>
      </c>
      <c r="J619" s="16">
        <f t="shared" si="2322"/>
        <v>-3.5376790504157589</v>
      </c>
      <c r="K619" s="16">
        <f t="shared" si="2322"/>
        <v>0.86139740459714975</v>
      </c>
      <c r="L619" s="16">
        <f t="shared" si="2322"/>
        <v>1.7552846626947216</v>
      </c>
      <c r="M619" s="16">
        <f t="shared" si="2322"/>
        <v>5.3732675122762155</v>
      </c>
      <c r="N619" s="16">
        <f t="shared" si="2322"/>
        <v>3.5462129368368913</v>
      </c>
      <c r="O619" s="16">
        <f t="shared" si="2322"/>
        <v>-2.2441703899032195</v>
      </c>
      <c r="P619" s="16">
        <f t="shared" si="2322"/>
        <v>-3.6308037193399576</v>
      </c>
      <c r="Q619" s="16">
        <f t="shared" si="2322"/>
        <v>-3.379879182961131</v>
      </c>
      <c r="R619" s="16">
        <f t="shared" si="2322"/>
        <v>1.7983228478585978</v>
      </c>
      <c r="S619" s="16">
        <f t="shared" si="2322"/>
        <v>-0.14777919173708959</v>
      </c>
      <c r="T619" s="16">
        <f t="shared" si="2322"/>
        <v>1.6510439987761063</v>
      </c>
      <c r="U619" s="16">
        <f t="shared" si="2322"/>
        <v>1.7146351240600866</v>
      </c>
      <c r="V619" s="16">
        <f t="shared" si="2322"/>
        <v>0.59617485674936466</v>
      </c>
      <c r="W619" s="16">
        <f t="shared" si="2322"/>
        <v>4.3033819324547968</v>
      </c>
      <c r="X619" s="16">
        <f t="shared" si="2322"/>
        <v>3.2942130025384762</v>
      </c>
      <c r="Y619" s="16">
        <f t="shared" si="2322"/>
        <v>6.6902132814666508</v>
      </c>
      <c r="Z619" s="16">
        <f t="shared" si="2322"/>
        <v>5.1642454223737753</v>
      </c>
      <c r="AA619" s="16">
        <f t="shared" si="2322"/>
        <v>10.537245322021537</v>
      </c>
      <c r="AB619" s="16">
        <f t="shared" si="2322"/>
        <v>12.598668435993194</v>
      </c>
      <c r="AC619" s="16">
        <f t="shared" si="2322"/>
        <v>12.737454995797426</v>
      </c>
      <c r="AD619" s="16">
        <f t="shared" si="2322"/>
        <v>6.1797809494885749</v>
      </c>
      <c r="AE619" s="16">
        <f t="shared" si="2322"/>
        <v>9.555892128007569</v>
      </c>
      <c r="AF619" s="16">
        <f t="shared" si="2322"/>
        <v>8.6208914920069066</v>
      </c>
      <c r="AG619" s="16">
        <f t="shared" si="2322"/>
        <v>10.511829573983123</v>
      </c>
      <c r="AH619" s="16">
        <f t="shared" si="2322"/>
        <v>13.500628132247769</v>
      </c>
      <c r="AI619" s="16">
        <f t="shared" si="2322"/>
        <v>15.131966237622482</v>
      </c>
      <c r="AJ619" s="16">
        <f t="shared" si="2322"/>
        <v>16.141505241948959</v>
      </c>
      <c r="AK619" s="16">
        <f t="shared" si="2322"/>
        <v>13.1220213985717</v>
      </c>
      <c r="AL619" s="16">
        <f t="shared" si="2322"/>
        <v>17.96888206056439</v>
      </c>
      <c r="AM619" s="16">
        <f t="shared" si="2322"/>
        <v>13.42036237142824</v>
      </c>
      <c r="AN619" s="16">
        <f t="shared" si="2322"/>
        <v>16.083399197349841</v>
      </c>
      <c r="AO619" s="16">
        <f t="shared" si="2322"/>
        <v>14.436148174498239</v>
      </c>
      <c r="AP619" s="16">
        <f t="shared" si="2322"/>
        <v>70.289695046755696</v>
      </c>
      <c r="AQ619" s="16">
        <f t="shared" si="2322"/>
        <v>10.873637849002721</v>
      </c>
      <c r="AR619" s="16">
        <f t="shared" si="2322"/>
        <v>13.795736139451895</v>
      </c>
      <c r="AS619" s="16">
        <f t="shared" si="2322"/>
        <v>17.353866741873048</v>
      </c>
      <c r="AT619" s="16">
        <f t="shared" si="2322"/>
        <v>223.09105183723682</v>
      </c>
      <c r="AU619" s="16">
        <f t="shared" si="2322"/>
        <v>-0.41236236493740563</v>
      </c>
      <c r="AV619" s="16">
        <f t="shared" si="2322"/>
        <v>14.812364271669654</v>
      </c>
      <c r="AW619" s="16">
        <f t="shared" si="2322"/>
        <v>7.3070492594025911</v>
      </c>
      <c r="AX619" s="16">
        <f t="shared" si="2322"/>
        <v>11.77679613140991</v>
      </c>
      <c r="AY619" s="16">
        <f t="shared" si="2322"/>
        <v>5.094856214091422</v>
      </c>
      <c r="AZ619" s="16">
        <f t="shared" si="2322"/>
        <v>6.0558268843867262</v>
      </c>
      <c r="BA619" s="16">
        <f t="shared" si="2322"/>
        <v>-7.3106124422961285</v>
      </c>
      <c r="BB619" s="16">
        <f t="shared" si="2322"/>
        <v>7.9381865604943442</v>
      </c>
      <c r="BC619" s="16">
        <f t="shared" si="2322"/>
        <v>7.0409383400249714E-2</v>
      </c>
      <c r="BD619" s="16">
        <f t="shared" si="2322"/>
        <v>0.17037690575443287</v>
      </c>
      <c r="BE619" s="16">
        <f t="shared" ca="1" si="2322"/>
        <v>0.14145951125986347</v>
      </c>
      <c r="BF619" s="16">
        <f t="shared" ca="1" si="2322"/>
        <v>-0.73583433240498386</v>
      </c>
      <c r="BG619" s="16">
        <f t="shared" ca="1" si="2322"/>
        <v>-1.6655905190661582</v>
      </c>
      <c r="BH619" s="16">
        <f t="shared" ca="1" si="2322"/>
        <v>-1.4811988568513104</v>
      </c>
      <c r="BI619" s="16">
        <f t="shared" ca="1" si="2322"/>
        <v>2.1522089787374785</v>
      </c>
      <c r="BJ619" s="16">
        <f t="shared" ca="1" si="2322"/>
        <v>-0.40201848609336804</v>
      </c>
      <c r="BK619" s="16">
        <f t="shared" ca="1" si="2322"/>
        <v>-1.1720903856313394</v>
      </c>
      <c r="BL619" s="16">
        <f t="shared" ca="1" si="2322"/>
        <v>-0.16638831392332018</v>
      </c>
      <c r="BM619" s="16">
        <f t="shared" ca="1" si="2322"/>
        <v>2.3164163327262481</v>
      </c>
      <c r="BN619" s="16">
        <f t="shared" si="2322"/>
        <v>2.3170967574586627</v>
      </c>
      <c r="BO619" s="16">
        <f t="shared" ca="1" si="2322"/>
        <v>5.9725079436534596</v>
      </c>
      <c r="BP619" s="16">
        <f t="shared" ca="1" si="2322"/>
        <v>6.3388223126787144</v>
      </c>
      <c r="BQ619" s="16">
        <f t="shared" ca="1" si="2322"/>
        <v>6.0945701378002122</v>
      </c>
      <c r="BR619" s="16">
        <f t="shared" ref="BR619:BS621" ca="1" si="2323">BR273/BR$419*100</f>
        <v>6.0976510002278994</v>
      </c>
      <c r="BS619" s="16">
        <f t="shared" ca="1" si="2323"/>
        <v>6.9401991170058075</v>
      </c>
      <c r="BT619" s="16">
        <f t="shared" ref="BT619:BU627" ca="1" si="2324">BT273/BT$419*100</f>
        <v>8.2318768533818307</v>
      </c>
      <c r="BU619" s="16">
        <f t="shared" ca="1" si="2324"/>
        <v>9.3086458815660418</v>
      </c>
      <c r="BV619" s="16">
        <f t="shared" ref="BV619:BV627" ca="1" si="2325">BV273/BV$419*100</f>
        <v>10.493990095912968</v>
      </c>
      <c r="BW619" s="16">
        <f t="shared" ref="BW619:BX619" ca="1" si="2326">BW273/BW$419*100</f>
        <v>11.753385650429896</v>
      </c>
      <c r="BX619" s="16">
        <f t="shared" ca="1" si="2326"/>
        <v>13.103262367531871</v>
      </c>
      <c r="BY619" s="16">
        <f t="shared" ref="BY619:CD619" ca="1" si="2327">BY273/BY$419*100</f>
        <v>14.573206954251743</v>
      </c>
      <c r="BZ619" s="16">
        <f t="shared" ca="1" si="2327"/>
        <v>15.948837737905039</v>
      </c>
      <c r="CA619" s="16">
        <f t="shared" ca="1" si="2327"/>
        <v>17.378455850110825</v>
      </c>
      <c r="CB619" s="16">
        <f t="shared" ca="1" si="2327"/>
        <v>18.858754653365626</v>
      </c>
      <c r="CC619" s="16">
        <f t="shared" ca="1" si="2327"/>
        <v>20.429075259443916</v>
      </c>
      <c r="CD619" s="16">
        <f t="shared" ca="1" si="2327"/>
        <v>22.091283600511151</v>
      </c>
      <c r="CE619" s="16"/>
      <c r="CG619" s="235">
        <f t="shared" ref="CG619:CG627" ca="1" si="2328">BK619-DG619</f>
        <v>0.32626312207180552</v>
      </c>
      <c r="CH619" s="235">
        <f t="shared" ref="CH619:CH627" ca="1" si="2329">BL619-DH619</f>
        <v>-2.3367744408185898E-3</v>
      </c>
      <c r="CI619" s="235" t="e">
        <f ca="1">BM619-#REF!</f>
        <v>#REF!</v>
      </c>
      <c r="CJ619" s="235">
        <f t="shared" ref="CJ619:CJ627" si="2330">BN619-DI619</f>
        <v>0</v>
      </c>
      <c r="CK619" s="235">
        <f t="shared" ref="CK619:CK627" ca="1" si="2331">BO619-DJ619</f>
        <v>0</v>
      </c>
      <c r="CL619" s="235">
        <f t="shared" ref="CL619:CL627" ca="1" si="2332">BP619-DK619</f>
        <v>0</v>
      </c>
      <c r="CM619" s="235">
        <f t="shared" ref="CM619:CM627" ca="1" si="2333">BQ619-DL619</f>
        <v>1.1546319456101628E-14</v>
      </c>
      <c r="CN619" s="235">
        <f t="shared" ref="CN619:CN627" ca="1" si="2334">BR619-DM619</f>
        <v>1.1546319456101628E-14</v>
      </c>
      <c r="CO619" s="235">
        <f t="shared" ref="CO619:CO627" ca="1" si="2335">BS619-DN619</f>
        <v>1.2434497875801753E-14</v>
      </c>
      <c r="CP619" s="235">
        <f t="shared" ref="CP619:CP627" ca="1" si="2336">BT619-DO619</f>
        <v>1.4210854715202004E-14</v>
      </c>
      <c r="CQ619" s="235">
        <f t="shared" ref="CQ619:CQ627" ca="1" si="2337">BU619-DP619</f>
        <v>0</v>
      </c>
      <c r="CR619" s="235">
        <f t="shared" ref="CR619:CR627" ca="1" si="2338">BV619-DQ619</f>
        <v>0</v>
      </c>
      <c r="CS619" s="235">
        <f t="shared" ref="CS619:CS627" ca="1" si="2339">BW619-DR619</f>
        <v>0</v>
      </c>
      <c r="CT619" s="235">
        <f t="shared" ref="CT619:CT627" ca="1" si="2340">BX619-DS619</f>
        <v>1.4210854715202004E-14</v>
      </c>
      <c r="CU619" s="235">
        <f t="shared" ref="CU619:CU627" ca="1" si="2341">BY619-DT619</f>
        <v>0</v>
      </c>
      <c r="CV619" s="235">
        <f t="shared" ref="CV619:CV627" ca="1" si="2342">BZ619-DU619</f>
        <v>1.4210854715202004E-14</v>
      </c>
      <c r="CW619" s="235">
        <f t="shared" ref="CW619:CW627" ca="1" si="2343">CA619-DV619</f>
        <v>0</v>
      </c>
      <c r="CX619" s="235">
        <f t="shared" ref="CX619:CX627" ca="1" si="2344">CB619-DW619</f>
        <v>-2.6290081223123707E-13</v>
      </c>
      <c r="CY619" s="235">
        <f t="shared" ref="CY619:CY627" ca="1" si="2345">CC619-DX619</f>
        <v>-3.5029756872972939E-12</v>
      </c>
      <c r="CZ619" s="235">
        <f t="shared" ref="CZ619:CZ627" ca="1" si="2346">CD619-DY619</f>
        <v>-3.1455726912099635E-11</v>
      </c>
      <c r="DG619" s="236">
        <v>-1.4983535077031449</v>
      </c>
      <c r="DH619" s="492">
        <v>-0.16405153948250159</v>
      </c>
      <c r="DI619" s="236">
        <v>2.3170967574586627</v>
      </c>
      <c r="DJ619" s="236">
        <v>5.9725079436534569</v>
      </c>
      <c r="DK619" s="236">
        <v>6.3388223126787091</v>
      </c>
      <c r="DL619" s="236">
        <v>6.0945701378002006</v>
      </c>
      <c r="DM619" s="236">
        <v>6.0976510002278879</v>
      </c>
      <c r="DN619" s="236">
        <v>6.9401991170057951</v>
      </c>
      <c r="DO619" s="236">
        <v>8.2318768533818165</v>
      </c>
      <c r="DP619" s="236">
        <v>9.3086458815660436</v>
      </c>
      <c r="DQ619" s="258">
        <v>10.493990095912967</v>
      </c>
      <c r="DR619" s="258">
        <v>11.753385650429898</v>
      </c>
      <c r="DS619" s="258">
        <v>13.103262367531856</v>
      </c>
      <c r="DT619" s="258">
        <v>14.573206954251733</v>
      </c>
      <c r="DU619" s="258">
        <v>15.948837737905025</v>
      </c>
      <c r="DV619" s="258">
        <v>17.378455850110832</v>
      </c>
      <c r="DW619" s="258">
        <v>18.858754653365889</v>
      </c>
      <c r="DX619" s="258">
        <v>20.429075259447419</v>
      </c>
      <c r="DY619" s="258">
        <v>22.091283600542607</v>
      </c>
    </row>
    <row r="620" spans="2:129" hidden="1">
      <c r="B620" s="3" t="str">
        <f t="shared" si="2321"/>
        <v>Kas trans verschil overheidsfin.</v>
      </c>
      <c r="F620" s="16">
        <f t="shared" si="2322"/>
        <v>5.996213321243876</v>
      </c>
      <c r="G620" s="16">
        <f t="shared" si="2322"/>
        <v>4.1902958092817268</v>
      </c>
      <c r="H620" s="16">
        <f t="shared" si="2322"/>
        <v>3.7283147390166951</v>
      </c>
      <c r="I620" s="16">
        <f t="shared" si="2322"/>
        <v>2.7218023565489577</v>
      </c>
      <c r="J620" s="16">
        <f t="shared" si="2322"/>
        <v>3.5376790504157589</v>
      </c>
      <c r="K620" s="16">
        <f t="shared" si="2322"/>
        <v>-0.86139740459714975</v>
      </c>
      <c r="L620" s="16">
        <f t="shared" si="2322"/>
        <v>-1.7552846626947216</v>
      </c>
      <c r="M620" s="16">
        <f t="shared" si="2322"/>
        <v>-5.3732675122762155</v>
      </c>
      <c r="N620" s="16">
        <f t="shared" si="2322"/>
        <v>-3.5462129368368913</v>
      </c>
      <c r="O620" s="16">
        <f t="shared" si="2322"/>
        <v>2.2441703899032195</v>
      </c>
      <c r="P620" s="16">
        <f t="shared" si="2322"/>
        <v>3.6308037193399576</v>
      </c>
      <c r="Q620" s="16">
        <f t="shared" si="2322"/>
        <v>3.379879182961131</v>
      </c>
      <c r="R620" s="16">
        <f t="shared" si="2322"/>
        <v>-1.7983228478585978</v>
      </c>
      <c r="S620" s="16">
        <f t="shared" si="2322"/>
        <v>0.14777919173708959</v>
      </c>
      <c r="T620" s="16">
        <f t="shared" si="2322"/>
        <v>-1.6510439987761063</v>
      </c>
      <c r="U620" s="16">
        <f t="shared" si="2322"/>
        <v>-1.7146351240600866</v>
      </c>
      <c r="V620" s="16">
        <f t="shared" si="2322"/>
        <v>-0.59617485674936466</v>
      </c>
      <c r="W620" s="16">
        <f t="shared" si="2322"/>
        <v>-4.3033819324547968</v>
      </c>
      <c r="X620" s="16">
        <f t="shared" si="2322"/>
        <v>-3.2942130025384762</v>
      </c>
      <c r="Y620" s="16">
        <f t="shared" si="2322"/>
        <v>-6.6902132814666508</v>
      </c>
      <c r="Z620" s="16">
        <f t="shared" si="2322"/>
        <v>-5.1642454223737753</v>
      </c>
      <c r="AA620" s="16">
        <f t="shared" si="2322"/>
        <v>-10.537245322021537</v>
      </c>
      <c r="AB620" s="16">
        <f t="shared" si="2322"/>
        <v>-12.598668435993194</v>
      </c>
      <c r="AC620" s="16">
        <f t="shared" si="2322"/>
        <v>-12.737454995797426</v>
      </c>
      <c r="AD620" s="16">
        <f t="shared" si="2322"/>
        <v>-6.1797809494885749</v>
      </c>
      <c r="AE620" s="16">
        <f t="shared" si="2322"/>
        <v>-9.555892128007569</v>
      </c>
      <c r="AF620" s="16">
        <f t="shared" si="2322"/>
        <v>-8.6208914920069066</v>
      </c>
      <c r="AG620" s="16">
        <f t="shared" si="2322"/>
        <v>-10.511829573983123</v>
      </c>
      <c r="AH620" s="16">
        <f t="shared" si="2322"/>
        <v>-13.500628132247769</v>
      </c>
      <c r="AI620" s="16">
        <f t="shared" si="2322"/>
        <v>-15.131966237622482</v>
      </c>
      <c r="AJ620" s="16">
        <f t="shared" si="2322"/>
        <v>-16.141505241948959</v>
      </c>
      <c r="AK620" s="16">
        <f t="shared" si="2322"/>
        <v>-13.1220213985717</v>
      </c>
      <c r="AL620" s="16">
        <f t="shared" si="2322"/>
        <v>-17.96888206056439</v>
      </c>
      <c r="AM620" s="16">
        <f t="shared" si="2322"/>
        <v>-13.42036237142824</v>
      </c>
      <c r="AN620" s="16">
        <f t="shared" si="2322"/>
        <v>-16.083399197349841</v>
      </c>
      <c r="AO620" s="16">
        <f t="shared" si="2322"/>
        <v>-14.436148174498239</v>
      </c>
      <c r="AP620" s="16">
        <f t="shared" si="2322"/>
        <v>-70.289695046755696</v>
      </c>
      <c r="AQ620" s="16">
        <f t="shared" si="2322"/>
        <v>-10.873637849002721</v>
      </c>
      <c r="AR620" s="16">
        <f t="shared" si="2322"/>
        <v>-13.795736139451895</v>
      </c>
      <c r="AS620" s="16">
        <f t="shared" si="2322"/>
        <v>-17.353866741873048</v>
      </c>
      <c r="AT620" s="16">
        <f t="shared" si="2322"/>
        <v>-223.09105183723682</v>
      </c>
      <c r="AU620" s="16">
        <f t="shared" si="2322"/>
        <v>0.41236236493740563</v>
      </c>
      <c r="AV620" s="16">
        <f t="shared" si="2322"/>
        <v>-14.812364271669654</v>
      </c>
      <c r="AW620" s="16">
        <f t="shared" si="2322"/>
        <v>-7.3070492594025911</v>
      </c>
      <c r="AX620" s="16">
        <f t="shared" si="2322"/>
        <v>-11.77679613140991</v>
      </c>
      <c r="AY620" s="16">
        <f t="shared" si="2322"/>
        <v>-5.094856214091422</v>
      </c>
      <c r="AZ620" s="16">
        <f t="shared" si="2322"/>
        <v>-6.0558268843867262</v>
      </c>
      <c r="BA620" s="16">
        <f t="shared" si="2322"/>
        <v>-0.29135282224563008</v>
      </c>
      <c r="BB620" s="16">
        <f t="shared" si="2322"/>
        <v>1.6899275326576604</v>
      </c>
      <c r="BC620" s="16">
        <f t="shared" si="2322"/>
        <v>0.51685507150034926</v>
      </c>
      <c r="BD620" s="16">
        <f t="shared" si="2322"/>
        <v>2.1822095273145967</v>
      </c>
      <c r="BE620" s="16">
        <f t="shared" ca="1" si="2322"/>
        <v>0.27812771501531791</v>
      </c>
      <c r="BF620" s="16">
        <f t="shared" ca="1" si="2322"/>
        <v>0.3086644933979269</v>
      </c>
      <c r="BG620" s="16">
        <f t="shared" ca="1" si="2322"/>
        <v>-0.60474794787202191</v>
      </c>
      <c r="BH620" s="16">
        <f t="shared" ca="1" si="2322"/>
        <v>-0.67137123245608954</v>
      </c>
      <c r="BI620" s="16">
        <f t="shared" ca="1" si="2322"/>
        <v>-0.22753851765816555</v>
      </c>
      <c r="BJ620" s="16">
        <f t="shared" ca="1" si="2322"/>
        <v>1.0212200462740375</v>
      </c>
      <c r="BK620" s="16">
        <f t="shared" ca="1" si="2322"/>
        <v>-0.40600659208955292</v>
      </c>
      <c r="BL620" s="16">
        <f t="shared" ca="1" si="2322"/>
        <v>0.47517380164579504</v>
      </c>
      <c r="BM620" s="16">
        <f t="shared" ca="1" si="2322"/>
        <v>0.79298770466440183</v>
      </c>
      <c r="BN620" s="16">
        <f t="shared" si="2322"/>
        <v>2.1379102021811267</v>
      </c>
      <c r="BO620" s="16">
        <f t="shared" ca="1" si="2322"/>
        <v>-0.39680266305388695</v>
      </c>
      <c r="BP620" s="16">
        <f t="shared" ca="1" si="2322"/>
        <v>-0.31580014703665577</v>
      </c>
      <c r="BQ620" s="16">
        <f t="shared" ca="1" si="2322"/>
        <v>-0.25502172813345686</v>
      </c>
      <c r="BR620" s="16">
        <f t="shared" ca="1" si="2323"/>
        <v>-0.23199511628027389</v>
      </c>
      <c r="BS620" s="16">
        <f t="shared" ca="1" si="2323"/>
        <v>-0.22349540405271451</v>
      </c>
      <c r="BT620" s="16">
        <f t="shared" ca="1" si="2324"/>
        <v>-0.21683361976563273</v>
      </c>
      <c r="BU620" s="16">
        <f t="shared" ca="1" si="2324"/>
        <v>-0.20853670867867694</v>
      </c>
      <c r="BV620" s="16">
        <f t="shared" ca="1" si="2325"/>
        <v>-0.20033397965934677</v>
      </c>
      <c r="BW620" s="16">
        <f t="shared" ref="BW620:BX620" ca="1" si="2347">BW274/BW$419*100</f>
        <v>-0.19251159690199454</v>
      </c>
      <c r="BX620" s="16">
        <f t="shared" ca="1" si="2347"/>
        <v>-0.18501698789893181</v>
      </c>
      <c r="BY620" s="16">
        <f t="shared" ref="BY620:CD620" ca="1" si="2348">BY274/BY$419*100</f>
        <v>-0.17783330011721488</v>
      </c>
      <c r="BZ620" s="16">
        <f t="shared" ca="1" si="2348"/>
        <v>-0.1695265109618968</v>
      </c>
      <c r="CA620" s="16">
        <f t="shared" ca="1" si="2348"/>
        <v>-0.16142033363922614</v>
      </c>
      <c r="CB620" s="16">
        <f t="shared" ca="1" si="2348"/>
        <v>-0.15369608432734633</v>
      </c>
      <c r="CC620" s="16">
        <f t="shared" ca="1" si="2348"/>
        <v>-0.14629244991008458</v>
      </c>
      <c r="CD620" s="16">
        <f t="shared" ca="1" si="2348"/>
        <v>-0.13918882091923421</v>
      </c>
      <c r="CE620" s="16"/>
      <c r="CG620" s="235">
        <f t="shared" ca="1" si="2328"/>
        <v>0.10029460668198309</v>
      </c>
      <c r="CH620" s="235">
        <f t="shared" ca="1" si="2329"/>
        <v>6.6733893051179605E-3</v>
      </c>
      <c r="CI620" s="235" t="e">
        <f ca="1">BM620-#REF!</f>
        <v>#REF!</v>
      </c>
      <c r="CJ620" s="235">
        <f t="shared" si="2330"/>
        <v>0</v>
      </c>
      <c r="CK620" s="235">
        <f t="shared" ca="1" si="2331"/>
        <v>0</v>
      </c>
      <c r="CL620" s="235">
        <f t="shared" ca="1" si="2332"/>
        <v>0</v>
      </c>
      <c r="CM620" s="235">
        <f t="shared" ca="1" si="2333"/>
        <v>0</v>
      </c>
      <c r="CN620" s="235">
        <f t="shared" ca="1" si="2334"/>
        <v>0</v>
      </c>
      <c r="CO620" s="235">
        <f t="shared" ca="1" si="2335"/>
        <v>0</v>
      </c>
      <c r="CP620" s="235">
        <f t="shared" ca="1" si="2336"/>
        <v>0</v>
      </c>
      <c r="CQ620" s="235">
        <f t="shared" ca="1" si="2337"/>
        <v>-2.4980018054066022E-16</v>
      </c>
      <c r="CR620" s="235">
        <f t="shared" ca="1" si="2338"/>
        <v>-3.6082248300317588E-16</v>
      </c>
      <c r="CS620" s="235">
        <f t="shared" ca="1" si="2339"/>
        <v>-3.0531133177191805E-16</v>
      </c>
      <c r="CT620" s="235">
        <f t="shared" ca="1" si="2340"/>
        <v>-4.163336342344337E-16</v>
      </c>
      <c r="CU620" s="235">
        <f t="shared" ca="1" si="2341"/>
        <v>-3.3306690738754696E-16</v>
      </c>
      <c r="CV620" s="235">
        <f t="shared" ca="1" si="2342"/>
        <v>-2.7755575615628914E-16</v>
      </c>
      <c r="CW620" s="235">
        <f t="shared" ca="1" si="2343"/>
        <v>2.7755575615628914E-16</v>
      </c>
      <c r="CX620" s="235">
        <f t="shared" ca="1" si="2344"/>
        <v>7.6050277186823223E-15</v>
      </c>
      <c r="CY620" s="235">
        <f t="shared" ca="1" si="2345"/>
        <v>7.1470607210244452E-14</v>
      </c>
      <c r="CZ620" s="235">
        <f t="shared" ca="1" si="2346"/>
        <v>5.034028749406616E-13</v>
      </c>
      <c r="DG620" s="236">
        <v>-0.50630119877153601</v>
      </c>
      <c r="DH620" s="492">
        <v>0.46850041234067707</v>
      </c>
      <c r="DI620" s="236">
        <v>2.1379102021811267</v>
      </c>
      <c r="DJ620" s="236">
        <v>-0.39680266305388678</v>
      </c>
      <c r="DK620" s="236">
        <v>-0.31580014703665565</v>
      </c>
      <c r="DL620" s="236">
        <v>-0.2550217281334568</v>
      </c>
      <c r="DM620" s="236">
        <v>-0.23199511628027381</v>
      </c>
      <c r="DN620" s="236">
        <v>-0.22349540405271445</v>
      </c>
      <c r="DO620" s="236">
        <v>-0.21683361976563253</v>
      </c>
      <c r="DP620" s="236">
        <v>-0.20853670867867669</v>
      </c>
      <c r="DQ620" s="258">
        <v>-0.20033397965934641</v>
      </c>
      <c r="DR620" s="258">
        <v>-0.19251159690199424</v>
      </c>
      <c r="DS620" s="258">
        <v>-0.1850169878989314</v>
      </c>
      <c r="DT620" s="258">
        <v>-0.17783330011721454</v>
      </c>
      <c r="DU620" s="258">
        <v>-0.16952651096189653</v>
      </c>
      <c r="DV620" s="258">
        <v>-0.16142033363922642</v>
      </c>
      <c r="DW620" s="258">
        <v>-0.15369608432735393</v>
      </c>
      <c r="DX620" s="258">
        <v>-0.14629244991015605</v>
      </c>
      <c r="DY620" s="258">
        <v>-0.13918882091973761</v>
      </c>
    </row>
    <row r="621" spans="2:129" hidden="1">
      <c r="B621" s="3" t="str">
        <f t="shared" si="2321"/>
        <v>Schulden</v>
      </c>
      <c r="F621" s="16">
        <f t="shared" si="2322"/>
        <v>0</v>
      </c>
      <c r="G621" s="16">
        <f t="shared" si="2322"/>
        <v>0</v>
      </c>
      <c r="H621" s="16">
        <f t="shared" si="2322"/>
        <v>0</v>
      </c>
      <c r="I621" s="16">
        <f t="shared" si="2322"/>
        <v>0</v>
      </c>
      <c r="J621" s="16">
        <f t="shared" si="2322"/>
        <v>0</v>
      </c>
      <c r="K621" s="16">
        <f t="shared" si="2322"/>
        <v>0</v>
      </c>
      <c r="L621" s="16">
        <f t="shared" si="2322"/>
        <v>0</v>
      </c>
      <c r="M621" s="16">
        <f t="shared" si="2322"/>
        <v>0</v>
      </c>
      <c r="N621" s="16">
        <f t="shared" si="2322"/>
        <v>0</v>
      </c>
      <c r="O621" s="16">
        <f t="shared" si="2322"/>
        <v>0</v>
      </c>
      <c r="P621" s="16">
        <f t="shared" si="2322"/>
        <v>0</v>
      </c>
      <c r="Q621" s="16">
        <f t="shared" si="2322"/>
        <v>0</v>
      </c>
      <c r="R621" s="16">
        <f t="shared" si="2322"/>
        <v>0</v>
      </c>
      <c r="S621" s="16">
        <f t="shared" si="2322"/>
        <v>0</v>
      </c>
      <c r="T621" s="16">
        <f t="shared" si="2322"/>
        <v>0</v>
      </c>
      <c r="U621" s="16">
        <f t="shared" si="2322"/>
        <v>0</v>
      </c>
      <c r="V621" s="16">
        <f t="shared" si="2322"/>
        <v>0</v>
      </c>
      <c r="W621" s="16">
        <f t="shared" si="2322"/>
        <v>0</v>
      </c>
      <c r="X621" s="16">
        <f t="shared" si="2322"/>
        <v>0</v>
      </c>
      <c r="Y621" s="16">
        <f t="shared" si="2322"/>
        <v>0</v>
      </c>
      <c r="Z621" s="16">
        <f t="shared" si="2322"/>
        <v>0</v>
      </c>
      <c r="AA621" s="16">
        <f t="shared" si="2322"/>
        <v>0</v>
      </c>
      <c r="AB621" s="16">
        <f t="shared" si="2322"/>
        <v>0</v>
      </c>
      <c r="AC621" s="16">
        <f t="shared" si="2322"/>
        <v>0</v>
      </c>
      <c r="AD621" s="16">
        <f t="shared" si="2322"/>
        <v>0</v>
      </c>
      <c r="AE621" s="16">
        <f t="shared" si="2322"/>
        <v>0</v>
      </c>
      <c r="AF621" s="16">
        <f t="shared" si="2322"/>
        <v>0</v>
      </c>
      <c r="AG621" s="16">
        <f t="shared" si="2322"/>
        <v>0</v>
      </c>
      <c r="AH621" s="16">
        <f t="shared" si="2322"/>
        <v>0</v>
      </c>
      <c r="AI621" s="16">
        <f t="shared" si="2322"/>
        <v>0</v>
      </c>
      <c r="AJ621" s="16">
        <f t="shared" si="2322"/>
        <v>0</v>
      </c>
      <c r="AK621" s="16">
        <f t="shared" si="2322"/>
        <v>0</v>
      </c>
      <c r="AL621" s="16">
        <f t="shared" si="2322"/>
        <v>0</v>
      </c>
      <c r="AM621" s="16">
        <f t="shared" si="2322"/>
        <v>0</v>
      </c>
      <c r="AN621" s="16">
        <f t="shared" si="2322"/>
        <v>0</v>
      </c>
      <c r="AO621" s="16">
        <f t="shared" si="2322"/>
        <v>0</v>
      </c>
      <c r="AP621" s="16">
        <f t="shared" si="2322"/>
        <v>0</v>
      </c>
      <c r="AQ621" s="16">
        <f t="shared" si="2322"/>
        <v>0</v>
      </c>
      <c r="AR621" s="16">
        <f t="shared" si="2322"/>
        <v>0</v>
      </c>
      <c r="AS621" s="16">
        <f t="shared" si="2322"/>
        <v>0</v>
      </c>
      <c r="AT621" s="16">
        <f t="shared" si="2322"/>
        <v>0</v>
      </c>
      <c r="AU621" s="16">
        <f t="shared" si="2322"/>
        <v>0</v>
      </c>
      <c r="AV621" s="16">
        <f t="shared" si="2322"/>
        <v>0</v>
      </c>
      <c r="AW621" s="16">
        <f t="shared" si="2322"/>
        <v>0</v>
      </c>
      <c r="AX621" s="16">
        <f t="shared" si="2322"/>
        <v>0</v>
      </c>
      <c r="AY621" s="16">
        <f t="shared" si="2322"/>
        <v>0</v>
      </c>
      <c r="AZ621" s="16">
        <f t="shared" si="2322"/>
        <v>0</v>
      </c>
      <c r="BA621" s="16">
        <f t="shared" si="2322"/>
        <v>0</v>
      </c>
      <c r="BB621" s="16">
        <f t="shared" si="2322"/>
        <v>0</v>
      </c>
      <c r="BC621" s="16">
        <f t="shared" si="2322"/>
        <v>0</v>
      </c>
      <c r="BD621" s="16">
        <f t="shared" si="2322"/>
        <v>0</v>
      </c>
      <c r="BE621" s="16">
        <f t="shared" ca="1" si="2322"/>
        <v>0</v>
      </c>
      <c r="BF621" s="16">
        <f t="shared" ca="1" si="2322"/>
        <v>0</v>
      </c>
      <c r="BG621" s="16">
        <f t="shared" ca="1" si="2322"/>
        <v>0</v>
      </c>
      <c r="BH621" s="16">
        <f t="shared" ca="1" si="2322"/>
        <v>0</v>
      </c>
      <c r="BI621" s="16">
        <f t="shared" ca="1" si="2322"/>
        <v>0</v>
      </c>
      <c r="BJ621" s="16">
        <f t="shared" ca="1" si="2322"/>
        <v>0</v>
      </c>
      <c r="BK621" s="16">
        <f t="shared" ca="1" si="2322"/>
        <v>0</v>
      </c>
      <c r="BL621" s="16">
        <f t="shared" ca="1" si="2322"/>
        <v>0</v>
      </c>
      <c r="BM621" s="16">
        <f t="shared" ca="1" si="2322"/>
        <v>0</v>
      </c>
      <c r="BN621" s="16">
        <f t="shared" si="2322"/>
        <v>0</v>
      </c>
      <c r="BO621" s="16">
        <f t="shared" ca="1" si="2322"/>
        <v>0</v>
      </c>
      <c r="BP621" s="16">
        <f t="shared" ca="1" si="2322"/>
        <v>0</v>
      </c>
      <c r="BQ621" s="16">
        <f t="shared" ca="1" si="2322"/>
        <v>0</v>
      </c>
      <c r="BR621" s="16">
        <f t="shared" ca="1" si="2323"/>
        <v>0</v>
      </c>
      <c r="BS621" s="16">
        <f t="shared" ca="1" si="2323"/>
        <v>0</v>
      </c>
      <c r="BT621" s="16">
        <f t="shared" ca="1" si="2324"/>
        <v>0</v>
      </c>
      <c r="BU621" s="16">
        <f t="shared" ca="1" si="2324"/>
        <v>0</v>
      </c>
      <c r="BV621" s="16">
        <f t="shared" ca="1" si="2325"/>
        <v>0</v>
      </c>
      <c r="BW621" s="16">
        <f t="shared" ref="BW621:BX621" ca="1" si="2349">BW275/BW$419*100</f>
        <v>0</v>
      </c>
      <c r="BX621" s="16">
        <f t="shared" ca="1" si="2349"/>
        <v>0</v>
      </c>
      <c r="BY621" s="16">
        <f t="shared" ref="BY621:CD621" ca="1" si="2350">BY275/BY$419*100</f>
        <v>0</v>
      </c>
      <c r="BZ621" s="16">
        <f t="shared" ca="1" si="2350"/>
        <v>0</v>
      </c>
      <c r="CA621" s="16">
        <f t="shared" ca="1" si="2350"/>
        <v>0</v>
      </c>
      <c r="CB621" s="16">
        <f t="shared" ca="1" si="2350"/>
        <v>0</v>
      </c>
      <c r="CC621" s="16">
        <f t="shared" ca="1" si="2350"/>
        <v>0</v>
      </c>
      <c r="CD621" s="16">
        <f t="shared" ca="1" si="2350"/>
        <v>0</v>
      </c>
      <c r="CE621" s="16"/>
      <c r="CG621" s="235">
        <f t="shared" ca="1" si="2328"/>
        <v>0</v>
      </c>
      <c r="CH621" s="235">
        <f t="shared" ca="1" si="2329"/>
        <v>0</v>
      </c>
      <c r="CI621" s="235" t="e">
        <f ca="1">BM621-#REF!</f>
        <v>#REF!</v>
      </c>
      <c r="CJ621" s="235">
        <f t="shared" si="2330"/>
        <v>0</v>
      </c>
      <c r="CK621" s="235">
        <f t="shared" ca="1" si="2331"/>
        <v>0</v>
      </c>
      <c r="CL621" s="235">
        <f t="shared" ca="1" si="2332"/>
        <v>0</v>
      </c>
      <c r="CM621" s="235">
        <f t="shared" ca="1" si="2333"/>
        <v>0</v>
      </c>
      <c r="CN621" s="235">
        <f t="shared" ca="1" si="2334"/>
        <v>0</v>
      </c>
      <c r="CO621" s="235">
        <f t="shared" ca="1" si="2335"/>
        <v>0</v>
      </c>
      <c r="CP621" s="235">
        <f t="shared" ca="1" si="2336"/>
        <v>0</v>
      </c>
      <c r="CQ621" s="235">
        <f t="shared" ca="1" si="2337"/>
        <v>0</v>
      </c>
      <c r="CR621" s="235">
        <f t="shared" ca="1" si="2338"/>
        <v>0</v>
      </c>
      <c r="CS621" s="235">
        <f t="shared" ca="1" si="2339"/>
        <v>0</v>
      </c>
      <c r="CT621" s="235">
        <f t="shared" ca="1" si="2340"/>
        <v>0</v>
      </c>
      <c r="CU621" s="235">
        <f t="shared" ca="1" si="2341"/>
        <v>0</v>
      </c>
      <c r="CV621" s="235">
        <f t="shared" ca="1" si="2342"/>
        <v>0</v>
      </c>
      <c r="CW621" s="235">
        <f t="shared" ca="1" si="2343"/>
        <v>0</v>
      </c>
      <c r="CX621" s="235">
        <f t="shared" ca="1" si="2344"/>
        <v>0</v>
      </c>
      <c r="CY621" s="235">
        <f t="shared" ca="1" si="2345"/>
        <v>0</v>
      </c>
      <c r="CZ621" s="235">
        <f t="shared" ca="1" si="2346"/>
        <v>0</v>
      </c>
      <c r="DG621" s="236">
        <v>0</v>
      </c>
      <c r="DH621" s="492">
        <v>0</v>
      </c>
      <c r="DI621" s="236">
        <v>0</v>
      </c>
      <c r="DJ621" s="236">
        <v>0</v>
      </c>
      <c r="DK621" s="236">
        <v>0</v>
      </c>
      <c r="DL621" s="236">
        <v>0</v>
      </c>
      <c r="DM621" s="236">
        <v>0</v>
      </c>
      <c r="DN621" s="236">
        <v>0</v>
      </c>
      <c r="DO621" s="236">
        <v>0</v>
      </c>
      <c r="DP621" s="236">
        <v>0</v>
      </c>
      <c r="DQ621" s="258">
        <v>0</v>
      </c>
      <c r="DR621" s="258">
        <v>0</v>
      </c>
      <c r="DS621" s="258">
        <v>0</v>
      </c>
      <c r="DT621" s="258">
        <v>0</v>
      </c>
      <c r="DU621" s="258">
        <v>0</v>
      </c>
      <c r="DV621" s="258">
        <v>0</v>
      </c>
      <c r="DW621" s="258">
        <v>0</v>
      </c>
      <c r="DX621" s="258">
        <v>0</v>
      </c>
      <c r="DY621" s="258">
        <v>0</v>
      </c>
    </row>
    <row r="622" spans="2:129" hidden="1">
      <c r="B622" s="3" t="str">
        <f t="shared" si="2321"/>
        <v>Buitenlandse Staatsschuld</v>
      </c>
      <c r="F622" s="16">
        <f t="shared" si="2322"/>
        <v>0</v>
      </c>
      <c r="G622" s="16">
        <f t="shared" si="2322"/>
        <v>0</v>
      </c>
      <c r="H622" s="16">
        <f t="shared" si="2322"/>
        <v>0</v>
      </c>
      <c r="I622" s="16">
        <f t="shared" si="2322"/>
        <v>0</v>
      </c>
      <c r="J622" s="16">
        <f t="shared" si="2322"/>
        <v>0</v>
      </c>
      <c r="K622" s="16">
        <f t="shared" si="2322"/>
        <v>0</v>
      </c>
      <c r="L622" s="16">
        <f t="shared" si="2322"/>
        <v>0</v>
      </c>
      <c r="M622" s="16">
        <f t="shared" si="2322"/>
        <v>0</v>
      </c>
      <c r="N622" s="16">
        <f t="shared" si="2322"/>
        <v>0</v>
      </c>
      <c r="O622" s="16">
        <f t="shared" si="2322"/>
        <v>0</v>
      </c>
      <c r="P622" s="16">
        <f t="shared" si="2322"/>
        <v>0</v>
      </c>
      <c r="Q622" s="16">
        <f t="shared" si="2322"/>
        <v>0</v>
      </c>
      <c r="R622" s="16">
        <f t="shared" si="2322"/>
        <v>0</v>
      </c>
      <c r="S622" s="16">
        <f t="shared" si="2322"/>
        <v>0</v>
      </c>
      <c r="T622" s="16">
        <f t="shared" si="2322"/>
        <v>0</v>
      </c>
      <c r="U622" s="16">
        <f t="shared" si="2322"/>
        <v>0</v>
      </c>
      <c r="V622" s="16">
        <f t="shared" si="2322"/>
        <v>0</v>
      </c>
      <c r="W622" s="16">
        <f t="shared" si="2322"/>
        <v>0</v>
      </c>
      <c r="X622" s="16">
        <f t="shared" si="2322"/>
        <v>0</v>
      </c>
      <c r="Y622" s="16">
        <f t="shared" si="2322"/>
        <v>0</v>
      </c>
      <c r="Z622" s="16">
        <f t="shared" si="2322"/>
        <v>0</v>
      </c>
      <c r="AA622" s="16">
        <f t="shared" si="2322"/>
        <v>0</v>
      </c>
      <c r="AB622" s="16">
        <f t="shared" si="2322"/>
        <v>0</v>
      </c>
      <c r="AC622" s="16">
        <f t="shared" si="2322"/>
        <v>0</v>
      </c>
      <c r="AD622" s="16">
        <f t="shared" si="2322"/>
        <v>0</v>
      </c>
      <c r="AE622" s="16">
        <f t="shared" si="2322"/>
        <v>0</v>
      </c>
      <c r="AF622" s="16">
        <f t="shared" si="2322"/>
        <v>0</v>
      </c>
      <c r="AG622" s="16">
        <f t="shared" si="2322"/>
        <v>0</v>
      </c>
      <c r="AH622" s="16">
        <f t="shared" si="2322"/>
        <v>0</v>
      </c>
      <c r="AI622" s="16">
        <f t="shared" si="2322"/>
        <v>0</v>
      </c>
      <c r="AJ622" s="16">
        <f t="shared" si="2322"/>
        <v>0</v>
      </c>
      <c r="AK622" s="16">
        <f t="shared" si="2322"/>
        <v>0</v>
      </c>
      <c r="AL622" s="16">
        <f t="shared" si="2322"/>
        <v>0</v>
      </c>
      <c r="AM622" s="16">
        <f t="shared" si="2322"/>
        <v>0</v>
      </c>
      <c r="AN622" s="16">
        <f t="shared" si="2322"/>
        <v>0</v>
      </c>
      <c r="AO622" s="16">
        <f t="shared" si="2322"/>
        <v>4.7606373298649025</v>
      </c>
      <c r="AP622" s="16">
        <f t="shared" si="2322"/>
        <v>4.5275865467343639</v>
      </c>
      <c r="AQ622" s="16">
        <f t="shared" si="2322"/>
        <v>3.8218379634004931</v>
      </c>
      <c r="AR622" s="16">
        <f t="shared" si="2322"/>
        <v>2.9436526562927057</v>
      </c>
      <c r="AS622" s="16">
        <f t="shared" si="2322"/>
        <v>1.0502943883330249</v>
      </c>
      <c r="AT622" s="16">
        <f t="shared" si="2322"/>
        <v>0.27448169293038732</v>
      </c>
      <c r="AU622" s="16">
        <f t="shared" si="2322"/>
        <v>25.476410467386088</v>
      </c>
      <c r="AV622" s="16">
        <f t="shared" si="2322"/>
        <v>16.740457366571619</v>
      </c>
      <c r="AW622" s="16">
        <f t="shared" si="2322"/>
        <v>15.110785720556288</v>
      </c>
      <c r="AX622" s="16">
        <f t="shared" si="2322"/>
        <v>17.113513625799097</v>
      </c>
      <c r="AY622" s="16">
        <f t="shared" si="2322"/>
        <v>25.300361621289746</v>
      </c>
      <c r="AZ622" s="16">
        <f t="shared" si="2322"/>
        <v>31.731241047165586</v>
      </c>
      <c r="BA622" s="16">
        <f t="shared" si="2322"/>
        <v>44.637245316313987</v>
      </c>
      <c r="BB622" s="16">
        <f t="shared" si="2322"/>
        <v>39.633940497465723</v>
      </c>
      <c r="BC622" s="16">
        <f t="shared" si="2322"/>
        <v>33.415025490677287</v>
      </c>
      <c r="BD622" s="16">
        <f t="shared" si="2322"/>
        <v>32.50100630575151</v>
      </c>
      <c r="BE622" s="16">
        <f t="shared" ca="1" si="2322"/>
        <v>22.252619400868774</v>
      </c>
      <c r="BF622" s="16">
        <f t="shared" ca="1" si="2322"/>
        <v>18.389580312656665</v>
      </c>
      <c r="BG622" s="16">
        <f t="shared" ca="1" si="2322"/>
        <v>14.353002646320681</v>
      </c>
      <c r="BH622" s="16">
        <f t="shared" ca="1" si="2322"/>
        <v>17.914872703968435</v>
      </c>
      <c r="BI622" s="16">
        <f t="shared" ca="1" si="2322"/>
        <v>18.761244715345139</v>
      </c>
      <c r="BJ622" s="16">
        <f t="shared" ca="1" si="2322"/>
        <v>16.169656951370158</v>
      </c>
      <c r="BK622" s="16">
        <f t="shared" ca="1" si="2322"/>
        <v>14.119350188432295</v>
      </c>
      <c r="BL622" s="16">
        <f t="shared" ca="1" si="2322"/>
        <v>15.589534684796124</v>
      </c>
      <c r="BM622" s="16">
        <f t="shared" ca="1" si="2322"/>
        <v>19.166054906635992</v>
      </c>
      <c r="BN622" s="16">
        <f t="shared" si="2322"/>
        <v>21.201820132060135</v>
      </c>
      <c r="BO622" s="16">
        <f t="shared" ca="1" si="2322"/>
        <v>22.197882843437345</v>
      </c>
      <c r="BP622" s="16">
        <f t="shared" ca="1" si="2322"/>
        <v>24.449150256553782</v>
      </c>
      <c r="BQ622" s="16">
        <f ca="1">BQ276/BQ$419*100</f>
        <v>21.17417017269009</v>
      </c>
      <c r="BR622" s="16">
        <f t="shared" ref="BR622:BS625" ca="1" si="2351">BR276/BR$419*100</f>
        <v>20.701990280652648</v>
      </c>
      <c r="BS622" s="16">
        <f t="shared" ca="1" si="2351"/>
        <v>21.394361734523429</v>
      </c>
      <c r="BT622" s="16">
        <f t="shared" ca="1" si="2324"/>
        <v>22.105874830875731</v>
      </c>
      <c r="BU622" s="16">
        <f t="shared" ca="1" si="2324"/>
        <v>22.601073789942877</v>
      </c>
      <c r="BV622" s="16">
        <f t="shared" ca="1" si="2325"/>
        <v>23.015701335853638</v>
      </c>
      <c r="BW622" s="16">
        <f t="shared" ref="BW622:BX622" ca="1" si="2352">BW276/BW$419*100</f>
        <v>23.370773741453686</v>
      </c>
      <c r="BX622" s="16">
        <f t="shared" ca="1" si="2352"/>
        <v>23.68413779164975</v>
      </c>
      <c r="BY622" s="16">
        <f t="shared" ref="BY622:CD622" ca="1" si="2353">BY276/BY$419*100</f>
        <v>23.951171465238819</v>
      </c>
      <c r="BZ622" s="16">
        <f t="shared" ca="1" si="2353"/>
        <v>23.97310784722205</v>
      </c>
      <c r="CA622" s="16">
        <f t="shared" ca="1" si="2353"/>
        <v>23.924836016986205</v>
      </c>
      <c r="CB622" s="16">
        <f t="shared" ca="1" si="2353"/>
        <v>23.835468184617827</v>
      </c>
      <c r="CC622" s="16">
        <f t="shared" ca="1" si="2353"/>
        <v>23.701612592115094</v>
      </c>
      <c r="CD622" s="16">
        <f t="shared" ca="1" si="2353"/>
        <v>23.525456257937179</v>
      </c>
      <c r="CE622" s="16"/>
      <c r="CG622" s="235">
        <f t="shared" ca="1" si="2328"/>
        <v>-3.8164434967457712</v>
      </c>
      <c r="CH622" s="235">
        <f t="shared" ca="1" si="2329"/>
        <v>0.21894101416566336</v>
      </c>
      <c r="CI622" s="235" t="e">
        <f ca="1">BM622-#REF!</f>
        <v>#REF!</v>
      </c>
      <c r="CJ622" s="235">
        <f t="shared" si="2330"/>
        <v>0</v>
      </c>
      <c r="CK622" s="235">
        <f t="shared" ca="1" si="2331"/>
        <v>0</v>
      </c>
      <c r="CL622" s="235">
        <f t="shared" ca="1" si="2332"/>
        <v>0</v>
      </c>
      <c r="CM622" s="235">
        <f t="shared" ca="1" si="2333"/>
        <v>0</v>
      </c>
      <c r="CN622" s="235">
        <f t="shared" ca="1" si="2334"/>
        <v>0</v>
      </c>
      <c r="CO622" s="235">
        <f t="shared" ca="1" si="2335"/>
        <v>0</v>
      </c>
      <c r="CP622" s="235">
        <f t="shared" ca="1" si="2336"/>
        <v>0</v>
      </c>
      <c r="CQ622" s="235">
        <f t="shared" ca="1" si="2337"/>
        <v>0</v>
      </c>
      <c r="CR622" s="235">
        <f t="shared" ca="1" si="2338"/>
        <v>3.907985046680551E-14</v>
      </c>
      <c r="CS622" s="235">
        <f t="shared" ca="1" si="2339"/>
        <v>3.5527136788005009E-14</v>
      </c>
      <c r="CT622" s="235">
        <f t="shared" ca="1" si="2340"/>
        <v>5.3290705182007514E-14</v>
      </c>
      <c r="CU622" s="235">
        <f t="shared" ca="1" si="2341"/>
        <v>4.6185277824406512E-14</v>
      </c>
      <c r="CV622" s="235">
        <f t="shared" ca="1" si="2342"/>
        <v>4.2632564145606011E-14</v>
      </c>
      <c r="CW622" s="235">
        <f t="shared" ca="1" si="2343"/>
        <v>-4.2632564145606011E-14</v>
      </c>
      <c r="CX622" s="235">
        <f t="shared" ca="1" si="2344"/>
        <v>-1.1759482276829658E-12</v>
      </c>
      <c r="CY622" s="235">
        <f t="shared" ca="1" si="2345"/>
        <v>-1.1581846592889633E-11</v>
      </c>
      <c r="CZ622" s="235">
        <f t="shared" ca="1" si="2346"/>
        <v>-8.5087492607271997E-11</v>
      </c>
      <c r="DG622" s="236">
        <v>17.935793685178066</v>
      </c>
      <c r="DH622" s="492">
        <v>15.370593670630461</v>
      </c>
      <c r="DI622" s="236">
        <v>21.201820132060135</v>
      </c>
      <c r="DJ622" s="236">
        <v>22.197882843437334</v>
      </c>
      <c r="DK622" s="236">
        <v>24.449150256553782</v>
      </c>
      <c r="DL622" s="236">
        <v>21.174170172690086</v>
      </c>
      <c r="DM622" s="236">
        <v>20.701990280652641</v>
      </c>
      <c r="DN622" s="236">
        <v>21.394361734523425</v>
      </c>
      <c r="DO622" s="236">
        <v>22.10587483087571</v>
      </c>
      <c r="DP622" s="236">
        <v>22.601073789942852</v>
      </c>
      <c r="DQ622" s="258">
        <v>23.015701335853599</v>
      </c>
      <c r="DR622" s="258">
        <v>23.37077374145365</v>
      </c>
      <c r="DS622" s="258">
        <v>23.684137791649697</v>
      </c>
      <c r="DT622" s="258">
        <v>23.951171465238772</v>
      </c>
      <c r="DU622" s="258">
        <v>23.973107847222007</v>
      </c>
      <c r="DV622" s="258">
        <v>23.924836016986248</v>
      </c>
      <c r="DW622" s="258">
        <v>23.835468184619003</v>
      </c>
      <c r="DX622" s="258">
        <v>23.701612592126676</v>
      </c>
      <c r="DY622" s="258">
        <v>23.525456258022267</v>
      </c>
    </row>
    <row r="623" spans="2:129" hidden="1">
      <c r="B623" s="3" t="str">
        <f t="shared" si="2321"/>
        <v>Binnenlandse Staatsschuld</v>
      </c>
      <c r="F623" s="16">
        <f t="shared" ref="F623:BQ626" si="2354">F277/F$419*100</f>
        <v>0</v>
      </c>
      <c r="G623" s="16">
        <f t="shared" si="2354"/>
        <v>0</v>
      </c>
      <c r="H623" s="16">
        <f t="shared" si="2354"/>
        <v>0</v>
      </c>
      <c r="I623" s="16">
        <f t="shared" si="2354"/>
        <v>0</v>
      </c>
      <c r="J623" s="16">
        <f t="shared" si="2354"/>
        <v>0</v>
      </c>
      <c r="K623" s="16">
        <f t="shared" si="2354"/>
        <v>0</v>
      </c>
      <c r="L623" s="16">
        <f t="shared" si="2354"/>
        <v>0</v>
      </c>
      <c r="M623" s="16">
        <f t="shared" si="2354"/>
        <v>0</v>
      </c>
      <c r="N623" s="16">
        <f t="shared" si="2354"/>
        <v>0</v>
      </c>
      <c r="O623" s="16">
        <f t="shared" si="2354"/>
        <v>0</v>
      </c>
      <c r="P623" s="16">
        <f t="shared" si="2354"/>
        <v>0</v>
      </c>
      <c r="Q623" s="16">
        <f t="shared" si="2354"/>
        <v>0</v>
      </c>
      <c r="R623" s="16">
        <f t="shared" si="2354"/>
        <v>0</v>
      </c>
      <c r="S623" s="16">
        <f t="shared" si="2354"/>
        <v>0</v>
      </c>
      <c r="T623" s="16">
        <f t="shared" si="2354"/>
        <v>0</v>
      </c>
      <c r="U623" s="16">
        <f t="shared" si="2354"/>
        <v>0</v>
      </c>
      <c r="V623" s="16">
        <f t="shared" si="2354"/>
        <v>0</v>
      </c>
      <c r="W623" s="16">
        <f t="shared" si="2354"/>
        <v>0</v>
      </c>
      <c r="X623" s="16">
        <f t="shared" si="2354"/>
        <v>0</v>
      </c>
      <c r="Y623" s="16">
        <f t="shared" si="2354"/>
        <v>0</v>
      </c>
      <c r="Z623" s="16">
        <f t="shared" si="2354"/>
        <v>0</v>
      </c>
      <c r="AA623" s="16">
        <f t="shared" si="2354"/>
        <v>0</v>
      </c>
      <c r="AB623" s="16">
        <f t="shared" si="2354"/>
        <v>0</v>
      </c>
      <c r="AC623" s="16">
        <f t="shared" si="2354"/>
        <v>0</v>
      </c>
      <c r="AD623" s="16">
        <f t="shared" si="2354"/>
        <v>0</v>
      </c>
      <c r="AE623" s="16">
        <f t="shared" si="2354"/>
        <v>0</v>
      </c>
      <c r="AF623" s="16">
        <f t="shared" si="2354"/>
        <v>0</v>
      </c>
      <c r="AG623" s="16">
        <f t="shared" si="2354"/>
        <v>0</v>
      </c>
      <c r="AH623" s="16">
        <f t="shared" si="2354"/>
        <v>0</v>
      </c>
      <c r="AI623" s="16">
        <f t="shared" si="2354"/>
        <v>0</v>
      </c>
      <c r="AJ623" s="16">
        <f t="shared" si="2354"/>
        <v>0</v>
      </c>
      <c r="AK623" s="16">
        <f t="shared" si="2354"/>
        <v>0</v>
      </c>
      <c r="AL623" s="16">
        <f t="shared" si="2354"/>
        <v>0</v>
      </c>
      <c r="AM623" s="16">
        <f t="shared" si="2354"/>
        <v>0</v>
      </c>
      <c r="AN623" s="16">
        <f t="shared" si="2354"/>
        <v>0</v>
      </c>
      <c r="AO623" s="16">
        <f t="shared" si="2354"/>
        <v>132.95314450398098</v>
      </c>
      <c r="AP623" s="16">
        <f t="shared" si="2354"/>
        <v>115.92310012051419</v>
      </c>
      <c r="AQ623" s="16">
        <f t="shared" si="2354"/>
        <v>117.94437288838809</v>
      </c>
      <c r="AR623" s="16">
        <f t="shared" si="2354"/>
        <v>100.70547545330896</v>
      </c>
      <c r="AS623" s="16">
        <f t="shared" si="2354"/>
        <v>63.709635692080269</v>
      </c>
      <c r="AT623" s="16">
        <f t="shared" si="2354"/>
        <v>16.107160219221324</v>
      </c>
      <c r="AU623" s="16">
        <f t="shared" si="2354"/>
        <v>2.9063624983998069</v>
      </c>
      <c r="AV623" s="16">
        <f t="shared" si="2354"/>
        <v>2.5575761516477216</v>
      </c>
      <c r="AW623" s="16">
        <f t="shared" si="2354"/>
        <v>4.54529216712191</v>
      </c>
      <c r="AX623" s="16">
        <f t="shared" si="2354"/>
        <v>5.1704536645662058</v>
      </c>
      <c r="AY623" s="16">
        <f t="shared" si="2354"/>
        <v>4.2704082665179879</v>
      </c>
      <c r="AZ623" s="16">
        <f t="shared" si="2354"/>
        <v>19.520047156023821</v>
      </c>
      <c r="BA623" s="16">
        <f t="shared" si="2354"/>
        <v>8.5312715179788938</v>
      </c>
      <c r="BB623" s="16">
        <f t="shared" si="2354"/>
        <v>14.136740320322621</v>
      </c>
      <c r="BC623" s="16">
        <f t="shared" si="2354"/>
        <v>11.53226745132897</v>
      </c>
      <c r="BD623" s="16">
        <f t="shared" si="2354"/>
        <v>14.832909427472012</v>
      </c>
      <c r="BE623" s="16">
        <f t="shared" ca="1" si="2354"/>
        <v>12.916348512778123</v>
      </c>
      <c r="BF623" s="16">
        <f t="shared" ca="1" si="2354"/>
        <v>9.7103654885957518</v>
      </c>
      <c r="BG623" s="16">
        <f t="shared" ca="1" si="2354"/>
        <v>7.4934224151843543</v>
      </c>
      <c r="BH623" s="16">
        <f t="shared" ca="1" si="2354"/>
        <v>9.2655868028905708</v>
      </c>
      <c r="BI623" s="16">
        <f t="shared" ca="1" si="2354"/>
        <v>11.66219813281109</v>
      </c>
      <c r="BJ623" s="16">
        <f t="shared" ca="1" si="2354"/>
        <v>12.251520433799296</v>
      </c>
      <c r="BK623" s="16">
        <f t="shared" ca="1" si="2354"/>
        <v>9.4958545556496716</v>
      </c>
      <c r="BL623" s="16">
        <f t="shared" ca="1" si="2354"/>
        <v>10.157205903763264</v>
      </c>
      <c r="BM623" s="16">
        <f t="shared" ca="1" si="2354"/>
        <v>15.980674217967165</v>
      </c>
      <c r="BN623" s="16">
        <f t="shared" si="2354"/>
        <v>12.525199723603459</v>
      </c>
      <c r="BO623" s="16">
        <f t="shared" ca="1" si="2354"/>
        <v>21.514065608592496</v>
      </c>
      <c r="BP623" s="16">
        <f t="shared" ca="1" si="2354"/>
        <v>23.272316395929003</v>
      </c>
      <c r="BQ623" s="16">
        <f t="shared" ca="1" si="2354"/>
        <v>24.735522419604429</v>
      </c>
      <c r="BR623" s="16">
        <f t="shared" ca="1" si="2351"/>
        <v>28.46108737399048</v>
      </c>
      <c r="BS623" s="16">
        <f t="shared" ca="1" si="2351"/>
        <v>34.224976363015529</v>
      </c>
      <c r="BT623" s="16">
        <f t="shared" ca="1" si="2324"/>
        <v>41.307113825750378</v>
      </c>
      <c r="BU623" s="16">
        <f t="shared" ca="1" si="2324"/>
        <v>48.910557990295764</v>
      </c>
      <c r="BV623" s="16">
        <f t="shared" ca="1" si="2325"/>
        <v>57.360939823234858</v>
      </c>
      <c r="BW623" s="16">
        <f t="shared" ref="BW623:BX623" ca="1" si="2355">BW277/BW$419*100</f>
        <v>66.759518311959482</v>
      </c>
      <c r="BX623" s="16">
        <f t="shared" ca="1" si="2355"/>
        <v>77.15321449952333</v>
      </c>
      <c r="BY623" s="16">
        <f t="shared" ref="BY623:CD623" ca="1" si="2356">BY277/BY$419*100</f>
        <v>88.624500787299141</v>
      </c>
      <c r="BZ623" s="16">
        <f t="shared" ca="1" si="2356"/>
        <v>100.33227600336386</v>
      </c>
      <c r="CA623" s="16">
        <f t="shared" ca="1" si="2356"/>
        <v>112.81671589371118</v>
      </c>
      <c r="CB623" s="16">
        <f t="shared" ca="1" si="2356"/>
        <v>126.18513678320696</v>
      </c>
      <c r="CC623" s="16">
        <f t="shared" ca="1" si="2356"/>
        <v>140.44836767309661</v>
      </c>
      <c r="CD623" s="16">
        <f t="shared" ca="1" si="2356"/>
        <v>155.6366138708062</v>
      </c>
      <c r="CE623" s="16"/>
      <c r="CG623" s="235">
        <f t="shared" ca="1" si="2328"/>
        <v>-2.5667181478821846</v>
      </c>
      <c r="CH623" s="235">
        <f t="shared" ca="1" si="2329"/>
        <v>0.14264883504369053</v>
      </c>
      <c r="CI623" s="235" t="e">
        <f ca="1">BM623-#REF!</f>
        <v>#REF!</v>
      </c>
      <c r="CJ623" s="235">
        <f t="shared" si="2330"/>
        <v>0</v>
      </c>
      <c r="CK623" s="235">
        <f t="shared" ca="1" si="2331"/>
        <v>0</v>
      </c>
      <c r="CL623" s="235">
        <f t="shared" ca="1" si="2332"/>
        <v>0</v>
      </c>
      <c r="CM623" s="235">
        <f t="shared" ca="1" si="2333"/>
        <v>0</v>
      </c>
      <c r="CN623" s="235">
        <f t="shared" ca="1" si="2334"/>
        <v>3.907985046680551E-14</v>
      </c>
      <c r="CO623" s="235">
        <f t="shared" ca="1" si="2335"/>
        <v>0</v>
      </c>
      <c r="CP623" s="235">
        <f t="shared" ca="1" si="2336"/>
        <v>8.5265128291212022E-14</v>
      </c>
      <c r="CQ623" s="235">
        <f t="shared" ca="1" si="2337"/>
        <v>7.815970093361102E-14</v>
      </c>
      <c r="CR623" s="235">
        <f t="shared" ca="1" si="2338"/>
        <v>9.2370555648813024E-14</v>
      </c>
      <c r="CS623" s="235">
        <f t="shared" ca="1" si="2339"/>
        <v>0</v>
      </c>
      <c r="CT623" s="235">
        <f t="shared" ca="1" si="2340"/>
        <v>1.4210854715202004E-13</v>
      </c>
      <c r="CU623" s="235">
        <f t="shared" ca="1" si="2341"/>
        <v>1.2789769243681803E-13</v>
      </c>
      <c r="CV623" s="235">
        <f t="shared" ca="1" si="2342"/>
        <v>1.4210854715202004E-13</v>
      </c>
      <c r="CW623" s="235">
        <f t="shared" ca="1" si="2343"/>
        <v>-2.5579538487363607E-13</v>
      </c>
      <c r="CX623" s="235">
        <f t="shared" ca="1" si="2344"/>
        <v>-5.6132876125047915E-12</v>
      </c>
      <c r="CY623" s="235">
        <f t="shared" ca="1" si="2345"/>
        <v>-6.1533000916824676E-11</v>
      </c>
      <c r="CZ623" s="235">
        <f t="shared" ca="1" si="2346"/>
        <v>-5.0772541726473719E-10</v>
      </c>
      <c r="DG623" s="236">
        <v>12.062572703531856</v>
      </c>
      <c r="DH623" s="492">
        <v>10.014557068719574</v>
      </c>
      <c r="DI623" s="236">
        <v>12.525199723603459</v>
      </c>
      <c r="DJ623" s="236">
        <v>21.514065608592485</v>
      </c>
      <c r="DK623" s="236">
        <v>23.272316395928996</v>
      </c>
      <c r="DL623" s="236">
        <v>24.735522419604415</v>
      </c>
      <c r="DM623" s="236">
        <v>28.461087373990441</v>
      </c>
      <c r="DN623" s="236">
        <v>34.224976363015493</v>
      </c>
      <c r="DO623" s="236">
        <v>41.307113825750292</v>
      </c>
      <c r="DP623" s="236">
        <v>48.910557990295686</v>
      </c>
      <c r="DQ623" s="258">
        <v>57.360939823234766</v>
      </c>
      <c r="DR623" s="258">
        <v>66.759518311959397</v>
      </c>
      <c r="DS623" s="258">
        <v>77.153214499523187</v>
      </c>
      <c r="DT623" s="258">
        <v>88.624500787299013</v>
      </c>
      <c r="DU623" s="258">
        <v>100.33227600336372</v>
      </c>
      <c r="DV623" s="258">
        <v>112.81671589371143</v>
      </c>
      <c r="DW623" s="258">
        <v>126.18513678321257</v>
      </c>
      <c r="DX623" s="258">
        <v>140.44836767315815</v>
      </c>
      <c r="DY623" s="258">
        <v>155.63661387131393</v>
      </c>
    </row>
    <row r="624" spans="2:129" hidden="1">
      <c r="B624" s="3" t="str">
        <f t="shared" si="2321"/>
        <v>Binnenlandse Staatsschuld exclusief de geconsolideerde vlottende Staatsschuld</v>
      </c>
      <c r="F624" s="16">
        <f t="shared" si="2354"/>
        <v>0</v>
      </c>
      <c r="G624" s="16">
        <f t="shared" si="2354"/>
        <v>0</v>
      </c>
      <c r="H624" s="16">
        <f t="shared" si="2354"/>
        <v>0</v>
      </c>
      <c r="I624" s="16">
        <f t="shared" si="2354"/>
        <v>0</v>
      </c>
      <c r="J624" s="16">
        <f t="shared" si="2354"/>
        <v>0</v>
      </c>
      <c r="K624" s="16">
        <f t="shared" si="2354"/>
        <v>0</v>
      </c>
      <c r="L624" s="16">
        <f t="shared" si="2354"/>
        <v>0</v>
      </c>
      <c r="M624" s="16">
        <f t="shared" si="2354"/>
        <v>0</v>
      </c>
      <c r="N624" s="16">
        <f t="shared" si="2354"/>
        <v>0</v>
      </c>
      <c r="O624" s="16">
        <f t="shared" si="2354"/>
        <v>0</v>
      </c>
      <c r="P624" s="16">
        <f t="shared" si="2354"/>
        <v>0</v>
      </c>
      <c r="Q624" s="16">
        <f t="shared" si="2354"/>
        <v>0</v>
      </c>
      <c r="R624" s="16">
        <f t="shared" si="2354"/>
        <v>0</v>
      </c>
      <c r="S624" s="16">
        <f t="shared" si="2354"/>
        <v>0</v>
      </c>
      <c r="T624" s="16">
        <f t="shared" si="2354"/>
        <v>0</v>
      </c>
      <c r="U624" s="16">
        <f t="shared" si="2354"/>
        <v>0</v>
      </c>
      <c r="V624" s="16">
        <f t="shared" si="2354"/>
        <v>0</v>
      </c>
      <c r="W624" s="16">
        <f t="shared" si="2354"/>
        <v>0</v>
      </c>
      <c r="X624" s="16">
        <f t="shared" si="2354"/>
        <v>0</v>
      </c>
      <c r="Y624" s="16">
        <f t="shared" si="2354"/>
        <v>0</v>
      </c>
      <c r="Z624" s="16">
        <f t="shared" si="2354"/>
        <v>0</v>
      </c>
      <c r="AA624" s="16">
        <f t="shared" si="2354"/>
        <v>0</v>
      </c>
      <c r="AB624" s="16">
        <f t="shared" si="2354"/>
        <v>0</v>
      </c>
      <c r="AC624" s="16">
        <f t="shared" si="2354"/>
        <v>0</v>
      </c>
      <c r="AD624" s="16">
        <f t="shared" si="2354"/>
        <v>0</v>
      </c>
      <c r="AE624" s="16">
        <f t="shared" si="2354"/>
        <v>0</v>
      </c>
      <c r="AF624" s="16">
        <f t="shared" si="2354"/>
        <v>0</v>
      </c>
      <c r="AG624" s="16">
        <f t="shared" si="2354"/>
        <v>0</v>
      </c>
      <c r="AH624" s="16">
        <f t="shared" si="2354"/>
        <v>0</v>
      </c>
      <c r="AI624" s="16">
        <f t="shared" si="2354"/>
        <v>0</v>
      </c>
      <c r="AJ624" s="16">
        <f t="shared" si="2354"/>
        <v>0</v>
      </c>
      <c r="AK624" s="16">
        <f t="shared" si="2354"/>
        <v>0</v>
      </c>
      <c r="AL624" s="16">
        <f t="shared" si="2354"/>
        <v>0</v>
      </c>
      <c r="AM624" s="16">
        <f t="shared" si="2354"/>
        <v>0</v>
      </c>
      <c r="AN624" s="16">
        <f t="shared" si="2354"/>
        <v>0</v>
      </c>
      <c r="AO624" s="16">
        <f t="shared" si="2354"/>
        <v>132.95314450398098</v>
      </c>
      <c r="AP624" s="16">
        <f t="shared" si="2354"/>
        <v>115.92310012051419</v>
      </c>
      <c r="AQ624" s="16">
        <f t="shared" si="2354"/>
        <v>117.94437288838809</v>
      </c>
      <c r="AR624" s="16">
        <f t="shared" si="2354"/>
        <v>100.70547545330896</v>
      </c>
      <c r="AS624" s="16">
        <f t="shared" si="2354"/>
        <v>63.709635692080269</v>
      </c>
      <c r="AT624" s="16">
        <f t="shared" si="2354"/>
        <v>16.107160219221324</v>
      </c>
      <c r="AU624" s="16">
        <f t="shared" si="2354"/>
        <v>2.9063624983998069</v>
      </c>
      <c r="AV624" s="16">
        <f t="shared" si="2354"/>
        <v>1.2644196704775255</v>
      </c>
      <c r="AW624" s="16">
        <f t="shared" si="2354"/>
        <v>3.5041917266079534</v>
      </c>
      <c r="AX624" s="16">
        <f t="shared" si="2354"/>
        <v>4.3782067320923508</v>
      </c>
      <c r="AY624" s="16">
        <f t="shared" si="2354"/>
        <v>4.2704082665179879</v>
      </c>
      <c r="AZ624" s="16">
        <f t="shared" si="2354"/>
        <v>19.314893991838815</v>
      </c>
      <c r="BA624" s="16">
        <f t="shared" si="2354"/>
        <v>8.4142640945672227</v>
      </c>
      <c r="BB624" s="16">
        <f t="shared" si="2354"/>
        <v>7.6736004983432942</v>
      </c>
      <c r="BC624" s="16">
        <f t="shared" si="2354"/>
        <v>7.0829383902911589</v>
      </c>
      <c r="BD624" s="16">
        <f t="shared" si="2354"/>
        <v>11.353222291861007</v>
      </c>
      <c r="BE624" s="16">
        <f t="shared" ca="1" si="2354"/>
        <v>10.484163250045835</v>
      </c>
      <c r="BF624" s="16">
        <f t="shared" ca="1" si="2354"/>
        <v>7.8011992914083113</v>
      </c>
      <c r="BG624" s="16">
        <f t="shared" ca="1" si="2354"/>
        <v>5.8779335871835228</v>
      </c>
      <c r="BH624" s="16">
        <f t="shared" ca="1" si="2354"/>
        <v>7.9411171220210619</v>
      </c>
      <c r="BI624" s="16">
        <f t="shared" ca="1" si="2354"/>
        <v>10.387817548385641</v>
      </c>
      <c r="BJ624" s="16">
        <f t="shared" ca="1" si="2354"/>
        <v>11.274425279640489</v>
      </c>
      <c r="BK624" s="16">
        <f t="shared" ca="1" si="2354"/>
        <v>8.7898761991357119</v>
      </c>
      <c r="BL624" s="16">
        <f t="shared" ca="1" si="2354"/>
        <v>9.5356172732735978</v>
      </c>
      <c r="BM624" s="16">
        <f t="shared" ca="1" si="2354"/>
        <v>15.383091987561931</v>
      </c>
      <c r="BN624" s="16">
        <f t="shared" si="2354"/>
        <v>11.959890746479456</v>
      </c>
      <c r="BO624" s="16">
        <f t="shared" ca="1" si="2354"/>
        <v>7.2036233417731879</v>
      </c>
      <c r="BP624" s="16">
        <f t="shared" ca="1" si="2354"/>
        <v>11.908508137736069</v>
      </c>
      <c r="BQ624" s="16">
        <f t="shared" ca="1" si="2354"/>
        <v>15.57922928742394</v>
      </c>
      <c r="BR624" s="16">
        <f t="shared" ca="1" si="2351"/>
        <v>20.150148022741575</v>
      </c>
      <c r="BS624" s="16">
        <f t="shared" ca="1" si="2351"/>
        <v>26.23645396483457</v>
      </c>
      <c r="BT624" s="16">
        <f t="shared" ca="1" si="2324"/>
        <v>33.574098271742656</v>
      </c>
      <c r="BU624" s="16">
        <f t="shared" ca="1" si="2324"/>
        <v>41.490163649540989</v>
      </c>
      <c r="BV624" s="16">
        <f t="shared" ca="1" si="2325"/>
        <v>50.248492063045958</v>
      </c>
      <c r="BW624" s="16">
        <f t="shared" ref="BW624:BX624" ca="1" si="2357">BW278/BW$419*100</f>
        <v>59.940228438714563</v>
      </c>
      <c r="BX624" s="16">
        <f t="shared" ca="1" si="2357"/>
        <v>70.614243381685597</v>
      </c>
      <c r="BY624" s="16">
        <f t="shared" ref="BY624:CD624" ca="1" si="2358">BY278/BY$419*100</f>
        <v>82.353682419401949</v>
      </c>
      <c r="BZ624" s="16">
        <f t="shared" ca="1" si="2358"/>
        <v>94.367971169882438</v>
      </c>
      <c r="CA624" s="16">
        <f t="shared" ca="1" si="2358"/>
        <v>107.15055025592221</v>
      </c>
      <c r="CB624" s="16">
        <f t="shared" ca="1" si="2358"/>
        <v>120.80243426607184</v>
      </c>
      <c r="CC624" s="16">
        <f t="shared" ca="1" si="2358"/>
        <v>135.33668647180221</v>
      </c>
      <c r="CD624" s="16">
        <f t="shared" ca="1" si="2358"/>
        <v>150.78430779762095</v>
      </c>
      <c r="CE624" s="16"/>
      <c r="CG624" s="235">
        <f t="shared" ca="1" si="2328"/>
        <v>-2.3758930410887871</v>
      </c>
      <c r="CH624" s="235">
        <f t="shared" ca="1" si="2329"/>
        <v>0.13391918095812194</v>
      </c>
      <c r="CI624" s="235" t="e">
        <f ca="1">BM624-#REF!</f>
        <v>#REF!</v>
      </c>
      <c r="CJ624" s="235">
        <f t="shared" si="2330"/>
        <v>0</v>
      </c>
      <c r="CK624" s="235">
        <f t="shared" ca="1" si="2331"/>
        <v>0</v>
      </c>
      <c r="CL624" s="235">
        <f t="shared" ca="1" si="2332"/>
        <v>0</v>
      </c>
      <c r="CM624" s="235">
        <f t="shared" ca="1" si="2333"/>
        <v>1.5987211554602254E-14</v>
      </c>
      <c r="CN624" s="235">
        <f t="shared" ca="1" si="2334"/>
        <v>3.1974423109204508E-14</v>
      </c>
      <c r="CO624" s="235">
        <f t="shared" ca="1" si="2335"/>
        <v>3.907985046680551E-14</v>
      </c>
      <c r="CP624" s="235">
        <f t="shared" ca="1" si="2336"/>
        <v>7.1054273576010019E-14</v>
      </c>
      <c r="CQ624" s="235">
        <f t="shared" ca="1" si="2337"/>
        <v>7.1054273576010019E-14</v>
      </c>
      <c r="CR624" s="235">
        <f t="shared" ca="1" si="2338"/>
        <v>7.815970093361102E-14</v>
      </c>
      <c r="CS624" s="235">
        <f t="shared" ca="1" si="2339"/>
        <v>7.1054273576010019E-14</v>
      </c>
      <c r="CT624" s="235">
        <f t="shared" ca="1" si="2340"/>
        <v>1.2789769243681803E-13</v>
      </c>
      <c r="CU624" s="235">
        <f t="shared" ca="1" si="2341"/>
        <v>1.1368683772161603E-13</v>
      </c>
      <c r="CV624" s="235">
        <f t="shared" ca="1" si="2342"/>
        <v>1.2789769243681803E-13</v>
      </c>
      <c r="CW624" s="235">
        <f t="shared" ca="1" si="2343"/>
        <v>-1.9895196601282805E-13</v>
      </c>
      <c r="CX624" s="235">
        <f t="shared" ca="1" si="2344"/>
        <v>-5.3574922276311554E-12</v>
      </c>
      <c r="CY624" s="235">
        <f t="shared" ca="1" si="2345"/>
        <v>-5.9031890486949123E-11</v>
      </c>
      <c r="CZ624" s="235">
        <f t="shared" ca="1" si="2346"/>
        <v>-4.9018922254617792E-10</v>
      </c>
      <c r="DG624" s="236">
        <v>11.165769240224499</v>
      </c>
      <c r="DH624" s="492">
        <v>9.4016980923154758</v>
      </c>
      <c r="DI624" s="236">
        <v>11.959890746479456</v>
      </c>
      <c r="DJ624" s="236">
        <v>7.2036233417731852</v>
      </c>
      <c r="DK624" s="236">
        <v>11.908508137736062</v>
      </c>
      <c r="DL624" s="236">
        <v>15.579229287423924</v>
      </c>
      <c r="DM624" s="236">
        <v>20.150148022741543</v>
      </c>
      <c r="DN624" s="236">
        <v>26.236453964834531</v>
      </c>
      <c r="DO624" s="236">
        <v>33.574098271742585</v>
      </c>
      <c r="DP624" s="236">
        <v>41.490163649540918</v>
      </c>
      <c r="DQ624" s="258">
        <v>50.24849206304588</v>
      </c>
      <c r="DR624" s="258">
        <v>59.940228438714492</v>
      </c>
      <c r="DS624" s="258">
        <v>70.614243381685469</v>
      </c>
      <c r="DT624" s="258">
        <v>82.353682419401835</v>
      </c>
      <c r="DU624" s="258">
        <v>94.36797116988231</v>
      </c>
      <c r="DV624" s="258">
        <v>107.15055025592241</v>
      </c>
      <c r="DW624" s="258">
        <v>120.8024342660772</v>
      </c>
      <c r="DX624" s="258">
        <v>135.33668647186124</v>
      </c>
      <c r="DY624" s="258">
        <v>150.78430779811114</v>
      </c>
    </row>
    <row r="625" spans="2:152" hidden="1">
      <c r="B625" s="3" t="str">
        <f t="shared" si="2321"/>
        <v>Geconsolideerde vlottende Staatsschuld</v>
      </c>
      <c r="F625" s="16">
        <f t="shared" si="2354"/>
        <v>0</v>
      </c>
      <c r="G625" s="16">
        <f t="shared" si="2354"/>
        <v>0</v>
      </c>
      <c r="H625" s="16">
        <f t="shared" si="2354"/>
        <v>0</v>
      </c>
      <c r="I625" s="16">
        <f t="shared" si="2354"/>
        <v>0</v>
      </c>
      <c r="J625" s="16">
        <f t="shared" si="2354"/>
        <v>0</v>
      </c>
      <c r="K625" s="16">
        <f t="shared" si="2354"/>
        <v>0</v>
      </c>
      <c r="L625" s="16">
        <f t="shared" si="2354"/>
        <v>0</v>
      </c>
      <c r="M625" s="16">
        <f t="shared" si="2354"/>
        <v>0</v>
      </c>
      <c r="N625" s="16">
        <f t="shared" si="2354"/>
        <v>0</v>
      </c>
      <c r="O625" s="16">
        <f t="shared" si="2354"/>
        <v>0</v>
      </c>
      <c r="P625" s="16">
        <f t="shared" si="2354"/>
        <v>0</v>
      </c>
      <c r="Q625" s="16">
        <f t="shared" si="2354"/>
        <v>0</v>
      </c>
      <c r="R625" s="16">
        <f t="shared" si="2354"/>
        <v>0</v>
      </c>
      <c r="S625" s="16">
        <f t="shared" si="2354"/>
        <v>0</v>
      </c>
      <c r="T625" s="16">
        <f t="shared" si="2354"/>
        <v>0</v>
      </c>
      <c r="U625" s="16">
        <f t="shared" si="2354"/>
        <v>0</v>
      </c>
      <c r="V625" s="16">
        <f t="shared" si="2354"/>
        <v>0</v>
      </c>
      <c r="W625" s="16">
        <f t="shared" si="2354"/>
        <v>0</v>
      </c>
      <c r="X625" s="16">
        <f t="shared" si="2354"/>
        <v>0</v>
      </c>
      <c r="Y625" s="16">
        <f t="shared" si="2354"/>
        <v>0</v>
      </c>
      <c r="Z625" s="16">
        <f t="shared" si="2354"/>
        <v>0</v>
      </c>
      <c r="AA625" s="16">
        <f t="shared" si="2354"/>
        <v>0</v>
      </c>
      <c r="AB625" s="16">
        <f t="shared" si="2354"/>
        <v>0</v>
      </c>
      <c r="AC625" s="16">
        <f t="shared" si="2354"/>
        <v>0</v>
      </c>
      <c r="AD625" s="16">
        <f t="shared" si="2354"/>
        <v>0</v>
      </c>
      <c r="AE625" s="16">
        <f t="shared" si="2354"/>
        <v>0</v>
      </c>
      <c r="AF625" s="16">
        <f t="shared" si="2354"/>
        <v>0</v>
      </c>
      <c r="AG625" s="16">
        <f t="shared" si="2354"/>
        <v>0</v>
      </c>
      <c r="AH625" s="16">
        <f t="shared" si="2354"/>
        <v>0</v>
      </c>
      <c r="AI625" s="16">
        <f t="shared" si="2354"/>
        <v>0</v>
      </c>
      <c r="AJ625" s="16">
        <f t="shared" si="2354"/>
        <v>0</v>
      </c>
      <c r="AK625" s="16">
        <f t="shared" si="2354"/>
        <v>0</v>
      </c>
      <c r="AL625" s="16">
        <f t="shared" si="2354"/>
        <v>0</v>
      </c>
      <c r="AM625" s="16">
        <f t="shared" si="2354"/>
        <v>0</v>
      </c>
      <c r="AN625" s="16">
        <f t="shared" si="2354"/>
        <v>0</v>
      </c>
      <c r="AO625" s="16">
        <f t="shared" si="2354"/>
        <v>0</v>
      </c>
      <c r="AP625" s="16">
        <f t="shared" si="2354"/>
        <v>0</v>
      </c>
      <c r="AQ625" s="16">
        <f t="shared" si="2354"/>
        <v>0</v>
      </c>
      <c r="AR625" s="16">
        <f t="shared" si="2354"/>
        <v>0</v>
      </c>
      <c r="AS625" s="16">
        <f t="shared" si="2354"/>
        <v>0</v>
      </c>
      <c r="AT625" s="16">
        <f t="shared" si="2354"/>
        <v>0</v>
      </c>
      <c r="AU625" s="16">
        <f t="shared" si="2354"/>
        <v>0</v>
      </c>
      <c r="AV625" s="16">
        <f t="shared" si="2354"/>
        <v>1.2931564811701963</v>
      </c>
      <c r="AW625" s="16">
        <f t="shared" si="2354"/>
        <v>1.041100440513957</v>
      </c>
      <c r="AX625" s="16">
        <f t="shared" si="2354"/>
        <v>0.79224693247385392</v>
      </c>
      <c r="AY625" s="16">
        <f t="shared" si="2354"/>
        <v>0</v>
      </c>
      <c r="AZ625" s="16">
        <f t="shared" si="2354"/>
        <v>0.20515316418500579</v>
      </c>
      <c r="BA625" s="16">
        <f t="shared" si="2354"/>
        <v>0.11700742341166991</v>
      </c>
      <c r="BB625" s="16">
        <f t="shared" si="2354"/>
        <v>6.4631398219793272</v>
      </c>
      <c r="BC625" s="16">
        <f t="shared" si="2354"/>
        <v>4.4493290610378118</v>
      </c>
      <c r="BD625" s="16">
        <f t="shared" si="2354"/>
        <v>3.4796871356110071</v>
      </c>
      <c r="BE625" s="16">
        <f t="shared" ca="1" si="2354"/>
        <v>2.4321852627322857</v>
      </c>
      <c r="BF625" s="16">
        <f t="shared" ca="1" si="2354"/>
        <v>1.9091661971874392</v>
      </c>
      <c r="BG625" s="16">
        <f t="shared" ca="1" si="2354"/>
        <v>1.615488828000831</v>
      </c>
      <c r="BH625" s="16">
        <f t="shared" ca="1" si="2354"/>
        <v>1.32446968086951</v>
      </c>
      <c r="BI625" s="16">
        <f t="shared" ca="1" si="2354"/>
        <v>1.2743805844254497</v>
      </c>
      <c r="BJ625" s="16">
        <f t="shared" ca="1" si="2354"/>
        <v>0.97709515415880699</v>
      </c>
      <c r="BK625" s="16">
        <f t="shared" ca="1" si="2354"/>
        <v>0.70597835651395979</v>
      </c>
      <c r="BL625" s="16">
        <f t="shared" ca="1" si="2354"/>
        <v>0.62158863048966573</v>
      </c>
      <c r="BM625" s="16">
        <f t="shared" ca="1" si="2354"/>
        <v>0.59758223040523251</v>
      </c>
      <c r="BN625" s="16">
        <f t="shared" si="2354"/>
        <v>0.56530897712400463</v>
      </c>
      <c r="BO625" s="16">
        <f t="shared" ca="1" si="2354"/>
        <v>14.310442266819306</v>
      </c>
      <c r="BP625" s="16">
        <f t="shared" ca="1" si="2354"/>
        <v>11.363808258192936</v>
      </c>
      <c r="BQ625" s="16">
        <f t="shared" ca="1" si="2354"/>
        <v>9.1562931321804921</v>
      </c>
      <c r="BR625" s="16">
        <f t="shared" ca="1" si="2351"/>
        <v>8.3109393512489032</v>
      </c>
      <c r="BS625" s="16">
        <f t="shared" ca="1" si="2351"/>
        <v>7.9885223981809599</v>
      </c>
      <c r="BT625" s="16">
        <f t="shared" ca="1" si="2324"/>
        <v>7.7330155540077135</v>
      </c>
      <c r="BU625" s="16">
        <f t="shared" ca="1" si="2324"/>
        <v>7.4203943407547737</v>
      </c>
      <c r="BV625" s="16">
        <f t="shared" ca="1" si="2325"/>
        <v>7.1124477601889033</v>
      </c>
      <c r="BW625" s="16">
        <f t="shared" ref="BW625:BX625" ca="1" si="2359">BW279/BW$419*100</f>
        <v>6.8192898732449265</v>
      </c>
      <c r="BX625" s="16">
        <f t="shared" ca="1" si="2359"/>
        <v>6.5389711178377459</v>
      </c>
      <c r="BY625" s="16">
        <f t="shared" ref="BY625:CD625" ca="1" si="2360">BY279/BY$419*100</f>
        <v>6.2708183678971947</v>
      </c>
      <c r="BZ625" s="16">
        <f t="shared" ca="1" si="2360"/>
        <v>5.9643048334814059</v>
      </c>
      <c r="CA625" s="16">
        <f t="shared" ca="1" si="2360"/>
        <v>5.6661656377889935</v>
      </c>
      <c r="CB625" s="16">
        <f t="shared" ca="1" si="2360"/>
        <v>5.3827025171350993</v>
      </c>
      <c r="CC625" s="16">
        <f t="shared" ca="1" si="2360"/>
        <v>5.1116812012943864</v>
      </c>
      <c r="CD625" s="16">
        <f t="shared" ca="1" si="2360"/>
        <v>4.8523060731852334</v>
      </c>
      <c r="CE625" s="16"/>
      <c r="CG625" s="235">
        <f t="shared" ca="1" si="2328"/>
        <v>-0.19082510679339748</v>
      </c>
      <c r="CH625" s="235">
        <f t="shared" ca="1" si="2329"/>
        <v>8.7296540855692495E-3</v>
      </c>
      <c r="CI625" s="235" t="e">
        <f ca="1">BM625-#REF!</f>
        <v>#REF!</v>
      </c>
      <c r="CJ625" s="235">
        <f t="shared" si="2330"/>
        <v>0</v>
      </c>
      <c r="CK625" s="235">
        <f t="shared" ca="1" si="2331"/>
        <v>0</v>
      </c>
      <c r="CL625" s="235">
        <f t="shared" ca="1" si="2332"/>
        <v>0</v>
      </c>
      <c r="CM625" s="235">
        <f t="shared" ca="1" si="2333"/>
        <v>0</v>
      </c>
      <c r="CN625" s="235">
        <f t="shared" ca="1" si="2334"/>
        <v>0</v>
      </c>
      <c r="CO625" s="235">
        <f t="shared" ca="1" si="2335"/>
        <v>0</v>
      </c>
      <c r="CP625" s="235">
        <f t="shared" ca="1" si="2336"/>
        <v>7.9936057773011271E-15</v>
      </c>
      <c r="CQ625" s="235">
        <f t="shared" ca="1" si="2337"/>
        <v>7.9936057773011271E-15</v>
      </c>
      <c r="CR625" s="235">
        <f t="shared" ca="1" si="2338"/>
        <v>1.1546319456101628E-14</v>
      </c>
      <c r="CS625" s="235">
        <f t="shared" ca="1" si="2339"/>
        <v>1.0658141036401503E-14</v>
      </c>
      <c r="CT625" s="235">
        <f t="shared" ca="1" si="2340"/>
        <v>1.4210854715202004E-14</v>
      </c>
      <c r="CU625" s="235">
        <f t="shared" ca="1" si="2341"/>
        <v>1.2434497875801753E-14</v>
      </c>
      <c r="CV625" s="235">
        <f t="shared" ca="1" si="2342"/>
        <v>1.0658141036401503E-14</v>
      </c>
      <c r="CW625" s="235">
        <f t="shared" ca="1" si="2343"/>
        <v>-9.7699626167013776E-15</v>
      </c>
      <c r="CX625" s="235">
        <f t="shared" ca="1" si="2344"/>
        <v>-2.6556534749033744E-13</v>
      </c>
      <c r="CY625" s="235">
        <f t="shared" ca="1" si="2345"/>
        <v>-2.4975577161967522E-12</v>
      </c>
      <c r="CZ625" s="235">
        <f t="shared" ca="1" si="2346"/>
        <v>-1.7549517394854774E-11</v>
      </c>
      <c r="DG625" s="236">
        <v>0.89680346330735727</v>
      </c>
      <c r="DH625" s="492">
        <v>0.61285897640409648</v>
      </c>
      <c r="DI625" s="236">
        <v>0.56530897712400463</v>
      </c>
      <c r="DJ625" s="236">
        <v>14.310442266819301</v>
      </c>
      <c r="DK625" s="236">
        <v>11.363808258192934</v>
      </c>
      <c r="DL625" s="236">
        <v>9.1562931321804903</v>
      </c>
      <c r="DM625" s="236">
        <v>8.3109393512488996</v>
      </c>
      <c r="DN625" s="236">
        <v>7.9885223981809581</v>
      </c>
      <c r="DO625" s="236">
        <v>7.7330155540077055</v>
      </c>
      <c r="DP625" s="236">
        <v>7.4203943407547657</v>
      </c>
      <c r="DQ625" s="258">
        <v>7.1124477601888918</v>
      </c>
      <c r="DR625" s="258">
        <v>6.8192898732449159</v>
      </c>
      <c r="DS625" s="258">
        <v>6.5389711178377317</v>
      </c>
      <c r="DT625" s="258">
        <v>6.2708183678971823</v>
      </c>
      <c r="DU625" s="258">
        <v>5.9643048334813953</v>
      </c>
      <c r="DV625" s="258">
        <v>5.6661656377890033</v>
      </c>
      <c r="DW625" s="258">
        <v>5.3827025171353649</v>
      </c>
      <c r="DX625" s="258">
        <v>5.111681201296884</v>
      </c>
      <c r="DY625" s="258">
        <v>4.852306073202783</v>
      </c>
    </row>
    <row r="626" spans="2:152" hidden="1">
      <c r="B626" s="3" t="str">
        <f t="shared" si="2321"/>
        <v>Staatsschuld totaal</v>
      </c>
      <c r="F626" s="16">
        <f t="shared" si="2354"/>
        <v>0</v>
      </c>
      <c r="G626" s="16">
        <f t="shared" si="2354"/>
        <v>0</v>
      </c>
      <c r="H626" s="16">
        <f t="shared" si="2354"/>
        <v>0</v>
      </c>
      <c r="I626" s="16">
        <f t="shared" si="2354"/>
        <v>0</v>
      </c>
      <c r="J626" s="16">
        <f t="shared" si="2354"/>
        <v>0</v>
      </c>
      <c r="K626" s="16">
        <f t="shared" si="2354"/>
        <v>0</v>
      </c>
      <c r="L626" s="16">
        <f t="shared" si="2354"/>
        <v>0</v>
      </c>
      <c r="M626" s="16">
        <f t="shared" si="2354"/>
        <v>0</v>
      </c>
      <c r="N626" s="16">
        <f t="shared" si="2354"/>
        <v>0</v>
      </c>
      <c r="O626" s="16">
        <f t="shared" si="2354"/>
        <v>0</v>
      </c>
      <c r="P626" s="16">
        <f t="shared" si="2354"/>
        <v>0</v>
      </c>
      <c r="Q626" s="16">
        <f t="shared" si="2354"/>
        <v>0</v>
      </c>
      <c r="R626" s="16">
        <f t="shared" si="2354"/>
        <v>0</v>
      </c>
      <c r="S626" s="16">
        <f t="shared" si="2354"/>
        <v>0</v>
      </c>
      <c r="T626" s="16">
        <f t="shared" si="2354"/>
        <v>0</v>
      </c>
      <c r="U626" s="16">
        <f t="shared" si="2354"/>
        <v>0</v>
      </c>
      <c r="V626" s="16">
        <f t="shared" si="2354"/>
        <v>0</v>
      </c>
      <c r="W626" s="16">
        <f t="shared" si="2354"/>
        <v>0</v>
      </c>
      <c r="X626" s="16">
        <f t="shared" si="2354"/>
        <v>0</v>
      </c>
      <c r="Y626" s="16">
        <f t="shared" si="2354"/>
        <v>0</v>
      </c>
      <c r="Z626" s="16">
        <f t="shared" si="2354"/>
        <v>0</v>
      </c>
      <c r="AA626" s="16">
        <f t="shared" si="2354"/>
        <v>0</v>
      </c>
      <c r="AB626" s="16">
        <f t="shared" si="2354"/>
        <v>0</v>
      </c>
      <c r="AC626" s="16">
        <f t="shared" si="2354"/>
        <v>0</v>
      </c>
      <c r="AD626" s="16">
        <f t="shared" si="2354"/>
        <v>0</v>
      </c>
      <c r="AE626" s="16">
        <f t="shared" si="2354"/>
        <v>0</v>
      </c>
      <c r="AF626" s="16">
        <f t="shared" si="2354"/>
        <v>0</v>
      </c>
      <c r="AG626" s="16">
        <f t="shared" si="2354"/>
        <v>0</v>
      </c>
      <c r="AH626" s="16">
        <f t="shared" si="2354"/>
        <v>0</v>
      </c>
      <c r="AI626" s="16">
        <f t="shared" si="2354"/>
        <v>0</v>
      </c>
      <c r="AJ626" s="16">
        <f t="shared" si="2354"/>
        <v>0</v>
      </c>
      <c r="AK626" s="16">
        <f t="shared" si="2354"/>
        <v>0</v>
      </c>
      <c r="AL626" s="16">
        <f t="shared" si="2354"/>
        <v>0</v>
      </c>
      <c r="AM626" s="16">
        <f t="shared" si="2354"/>
        <v>0</v>
      </c>
      <c r="AN626" s="16">
        <f t="shared" si="2354"/>
        <v>0</v>
      </c>
      <c r="AO626" s="16">
        <f t="shared" si="2354"/>
        <v>137.71378183384587</v>
      </c>
      <c r="AP626" s="16">
        <f t="shared" si="2354"/>
        <v>120.45068666724855</v>
      </c>
      <c r="AQ626" s="16">
        <f t="shared" si="2354"/>
        <v>121.76621085178856</v>
      </c>
      <c r="AR626" s="16">
        <f t="shared" si="2354"/>
        <v>103.64912810960168</v>
      </c>
      <c r="AS626" s="16">
        <f t="shared" si="2354"/>
        <v>64.759930080413284</v>
      </c>
      <c r="AT626" s="16">
        <f t="shared" si="2354"/>
        <v>16.381641912151711</v>
      </c>
      <c r="AU626" s="16">
        <f t="shared" si="2354"/>
        <v>28.382772965785897</v>
      </c>
      <c r="AV626" s="16">
        <f t="shared" si="2354"/>
        <v>19.298033518219341</v>
      </c>
      <c r="AW626" s="16">
        <f t="shared" si="2354"/>
        <v>19.656077887678194</v>
      </c>
      <c r="AX626" s="16">
        <f t="shared" si="2354"/>
        <v>22.2839672903653</v>
      </c>
      <c r="AY626" s="16">
        <f t="shared" si="2354"/>
        <v>29.570769887807728</v>
      </c>
      <c r="AZ626" s="16">
        <f t="shared" si="2354"/>
        <v>51.251288203189404</v>
      </c>
      <c r="BA626" s="16">
        <f t="shared" si="2354"/>
        <v>53.16851683429288</v>
      </c>
      <c r="BB626" s="16">
        <f t="shared" si="2354"/>
        <v>53.770680817788339</v>
      </c>
      <c r="BC626" s="16">
        <f t="shared" si="2354"/>
        <v>44.947292942006264</v>
      </c>
      <c r="BD626" s="16">
        <f t="shared" si="2354"/>
        <v>47.333915733223527</v>
      </c>
      <c r="BE626" s="16">
        <f t="shared" ca="1" si="2354"/>
        <v>35.168967913646895</v>
      </c>
      <c r="BF626" s="16">
        <f t="shared" ca="1" si="2354"/>
        <v>28.099945801252417</v>
      </c>
      <c r="BG626" s="16">
        <f t="shared" ca="1" si="2354"/>
        <v>21.846425061505037</v>
      </c>
      <c r="BH626" s="16">
        <f t="shared" ca="1" si="2354"/>
        <v>27.180459506859005</v>
      </c>
      <c r="BI626" s="16">
        <f t="shared" ca="1" si="2354"/>
        <v>30.423442848156224</v>
      </c>
      <c r="BJ626" s="16">
        <f t="shared" ca="1" si="2354"/>
        <v>28.42117738516945</v>
      </c>
      <c r="BK626" s="16">
        <f t="shared" ca="1" si="2354"/>
        <v>23.615204744081968</v>
      </c>
      <c r="BL626" s="16">
        <f t="shared" ca="1" si="2354"/>
        <v>25.746740588559391</v>
      </c>
      <c r="BM626" s="16">
        <f t="shared" ca="1" si="2354"/>
        <v>35.146729124603155</v>
      </c>
      <c r="BN626" s="16">
        <f t="shared" si="2354"/>
        <v>33.727019855663592</v>
      </c>
      <c r="BO626" s="16">
        <f t="shared" ca="1" si="2354"/>
        <v>43.711948452029844</v>
      </c>
      <c r="BP626" s="16">
        <f t="shared" ca="1" si="2354"/>
        <v>47.721466652482789</v>
      </c>
      <c r="BQ626" s="16">
        <f ca="1">BQ280/BQ$419*100</f>
        <v>45.909692592294519</v>
      </c>
      <c r="BR626" s="16">
        <f ca="1">BR280/BR$419*100</f>
        <v>49.163077654643125</v>
      </c>
      <c r="BS626" s="16">
        <f ca="1">BS280/BS$419*100</f>
        <v>55.619338097538964</v>
      </c>
      <c r="BT626" s="16">
        <f t="shared" ca="1" si="2324"/>
        <v>63.412988656626098</v>
      </c>
      <c r="BU626" s="16">
        <f t="shared" ca="1" si="2324"/>
        <v>71.511631780238631</v>
      </c>
      <c r="BV626" s="16">
        <f t="shared" ca="1" si="2325"/>
        <v>80.376641159088507</v>
      </c>
      <c r="BW626" s="16">
        <f t="shared" ref="BW626:BX626" ca="1" si="2361">BW280/BW$419*100</f>
        <v>90.130292053413186</v>
      </c>
      <c r="BX626" s="16">
        <f t="shared" ca="1" si="2361"/>
        <v>100.83735229117308</v>
      </c>
      <c r="BY626" s="16">
        <f t="shared" ref="BY626:CD626" ca="1" si="2362">BY280/BY$419*100</f>
        <v>112.57567225253797</v>
      </c>
      <c r="BZ626" s="16">
        <f t="shared" ca="1" si="2362"/>
        <v>124.3053838505859</v>
      </c>
      <c r="CA626" s="16">
        <f t="shared" ca="1" si="2362"/>
        <v>136.74155191069738</v>
      </c>
      <c r="CB626" s="16">
        <f t="shared" ca="1" si="2362"/>
        <v>150.02060496782477</v>
      </c>
      <c r="CC626" s="16">
        <f t="shared" ca="1" si="2362"/>
        <v>164.1499802652117</v>
      </c>
      <c r="CD626" s="16">
        <f t="shared" ca="1" si="2362"/>
        <v>179.16207012874338</v>
      </c>
      <c r="CE626" s="16"/>
      <c r="CG626" s="235">
        <f t="shared" ca="1" si="2328"/>
        <v>-6.3831616446279575</v>
      </c>
      <c r="CH626" s="235">
        <f t="shared" ca="1" si="2329"/>
        <v>0.36158984920935211</v>
      </c>
      <c r="CI626" s="235" t="e">
        <f ca="1">BM626-#REF!</f>
        <v>#REF!</v>
      </c>
      <c r="CJ626" s="235">
        <f t="shared" si="2330"/>
        <v>0</v>
      </c>
      <c r="CK626" s="235">
        <f t="shared" ca="1" si="2331"/>
        <v>0</v>
      </c>
      <c r="CL626" s="235">
        <f t="shared" ca="1" si="2332"/>
        <v>0</v>
      </c>
      <c r="CM626" s="235">
        <f t="shared" ca="1" si="2333"/>
        <v>0</v>
      </c>
      <c r="CN626" s="235">
        <f t="shared" ca="1" si="2334"/>
        <v>0</v>
      </c>
      <c r="CO626" s="235">
        <f t="shared" ca="1" si="2335"/>
        <v>0</v>
      </c>
      <c r="CP626" s="235">
        <f t="shared" ca="1" si="2336"/>
        <v>1.0658141036401503E-13</v>
      </c>
      <c r="CQ626" s="235">
        <f t="shared" ca="1" si="2337"/>
        <v>0</v>
      </c>
      <c r="CR626" s="235">
        <f t="shared" ca="1" si="2338"/>
        <v>1.4210854715202004E-13</v>
      </c>
      <c r="CS626" s="235">
        <f t="shared" ca="1" si="2339"/>
        <v>1.2789769243681803E-13</v>
      </c>
      <c r="CT626" s="235">
        <f t="shared" ca="1" si="2340"/>
        <v>1.7053025658242404E-13</v>
      </c>
      <c r="CU626" s="235">
        <f t="shared" ca="1" si="2341"/>
        <v>1.7053025658242404E-13</v>
      </c>
      <c r="CV626" s="235">
        <f t="shared" ca="1" si="2342"/>
        <v>1.5631940186722204E-13</v>
      </c>
      <c r="CW626" s="235">
        <f t="shared" ca="1" si="2343"/>
        <v>-2.8421709430404007E-13</v>
      </c>
      <c r="CX626" s="235">
        <f t="shared" ca="1" si="2344"/>
        <v>-6.7927885538665578E-12</v>
      </c>
      <c r="CY626" s="235">
        <f t="shared" ca="1" si="2345"/>
        <v>-7.3157480073859915E-11</v>
      </c>
      <c r="CZ626" s="235">
        <f t="shared" ca="1" si="2346"/>
        <v>-5.9282001529936679E-10</v>
      </c>
      <c r="DG626" s="236">
        <v>29.998366388709925</v>
      </c>
      <c r="DH626" s="492">
        <v>25.385150739350038</v>
      </c>
      <c r="DI626" s="236">
        <v>33.727019855663592</v>
      </c>
      <c r="DJ626" s="236">
        <v>43.711948452029823</v>
      </c>
      <c r="DK626" s="236">
        <v>47.721466652482775</v>
      </c>
      <c r="DL626" s="236">
        <v>45.909692592294498</v>
      </c>
      <c r="DM626" s="236">
        <v>49.163077654643082</v>
      </c>
      <c r="DN626" s="236">
        <v>55.619338097538915</v>
      </c>
      <c r="DO626" s="236">
        <v>63.412988656625991</v>
      </c>
      <c r="DP626" s="236">
        <v>71.511631780238531</v>
      </c>
      <c r="DQ626" s="258">
        <v>80.376641159088365</v>
      </c>
      <c r="DR626" s="258">
        <v>90.130292053413058</v>
      </c>
      <c r="DS626" s="258">
        <v>100.83735229117291</v>
      </c>
      <c r="DT626" s="258">
        <v>112.5756722525378</v>
      </c>
      <c r="DU626" s="258">
        <v>124.30538385058574</v>
      </c>
      <c r="DV626" s="258">
        <v>136.74155191069767</v>
      </c>
      <c r="DW626" s="258">
        <v>150.02060496783156</v>
      </c>
      <c r="DX626" s="258">
        <v>164.14998026528485</v>
      </c>
      <c r="DY626" s="258">
        <v>179.1620701293362</v>
      </c>
    </row>
    <row r="627" spans="2:152" hidden="1">
      <c r="B627" s="3" t="str">
        <f t="shared" si="2321"/>
        <v>Herwaardering buitenlandse staatsschuld</v>
      </c>
      <c r="F627" s="16">
        <f t="shared" ref="F627:BQ627" si="2363">F281/F$419*100</f>
        <v>0</v>
      </c>
      <c r="G627" s="16">
        <f t="shared" si="2363"/>
        <v>0</v>
      </c>
      <c r="H627" s="16">
        <f t="shared" si="2363"/>
        <v>0</v>
      </c>
      <c r="I627" s="16">
        <f t="shared" si="2363"/>
        <v>0</v>
      </c>
      <c r="J627" s="16">
        <f t="shared" si="2363"/>
        <v>0</v>
      </c>
      <c r="K627" s="16">
        <f t="shared" si="2363"/>
        <v>0</v>
      </c>
      <c r="L627" s="16">
        <f t="shared" si="2363"/>
        <v>0</v>
      </c>
      <c r="M627" s="16">
        <f t="shared" si="2363"/>
        <v>0</v>
      </c>
      <c r="N627" s="16">
        <f t="shared" si="2363"/>
        <v>0</v>
      </c>
      <c r="O627" s="16">
        <f t="shared" si="2363"/>
        <v>0</v>
      </c>
      <c r="P627" s="16">
        <f t="shared" si="2363"/>
        <v>0</v>
      </c>
      <c r="Q627" s="16">
        <f t="shared" si="2363"/>
        <v>0</v>
      </c>
      <c r="R627" s="16">
        <f t="shared" si="2363"/>
        <v>0</v>
      </c>
      <c r="S627" s="16">
        <f t="shared" si="2363"/>
        <v>0</v>
      </c>
      <c r="T627" s="16">
        <f t="shared" si="2363"/>
        <v>0</v>
      </c>
      <c r="U627" s="16">
        <f t="shared" si="2363"/>
        <v>0</v>
      </c>
      <c r="V627" s="16">
        <f t="shared" si="2363"/>
        <v>0</v>
      </c>
      <c r="W627" s="16">
        <f t="shared" si="2363"/>
        <v>0</v>
      </c>
      <c r="X627" s="16">
        <f t="shared" si="2363"/>
        <v>0</v>
      </c>
      <c r="Y627" s="16">
        <f t="shared" si="2363"/>
        <v>0</v>
      </c>
      <c r="Z627" s="16">
        <f t="shared" si="2363"/>
        <v>0</v>
      </c>
      <c r="AA627" s="16">
        <f t="shared" si="2363"/>
        <v>0</v>
      </c>
      <c r="AB627" s="16">
        <f t="shared" si="2363"/>
        <v>0</v>
      </c>
      <c r="AC627" s="16">
        <f t="shared" si="2363"/>
        <v>0</v>
      </c>
      <c r="AD627" s="16">
        <f t="shared" si="2363"/>
        <v>0</v>
      </c>
      <c r="AE627" s="16">
        <f t="shared" si="2363"/>
        <v>0</v>
      </c>
      <c r="AF627" s="16">
        <f t="shared" si="2363"/>
        <v>0</v>
      </c>
      <c r="AG627" s="16">
        <f t="shared" si="2363"/>
        <v>0</v>
      </c>
      <c r="AH627" s="16">
        <f t="shared" si="2363"/>
        <v>0</v>
      </c>
      <c r="AI627" s="16">
        <f t="shared" si="2363"/>
        <v>0</v>
      </c>
      <c r="AJ627" s="16">
        <f t="shared" si="2363"/>
        <v>0</v>
      </c>
      <c r="AK627" s="16">
        <f t="shared" si="2363"/>
        <v>0</v>
      </c>
      <c r="AL627" s="16">
        <f t="shared" si="2363"/>
        <v>0</v>
      </c>
      <c r="AM627" s="16">
        <f t="shared" si="2363"/>
        <v>0</v>
      </c>
      <c r="AN627" s="16">
        <f t="shared" si="2363"/>
        <v>0</v>
      </c>
      <c r="AO627" s="16">
        <f t="shared" si="2363"/>
        <v>0</v>
      </c>
      <c r="AP627" s="16">
        <f t="shared" si="2363"/>
        <v>0.44411912839688383</v>
      </c>
      <c r="AQ627" s="16">
        <f t="shared" si="2363"/>
        <v>0.23725635148474242</v>
      </c>
      <c r="AR627" s="16">
        <f t="shared" si="2363"/>
        <v>0.89588902740928233</v>
      </c>
      <c r="AS627" s="16">
        <f t="shared" si="2363"/>
        <v>1.9326251456115577</v>
      </c>
      <c r="AT627" s="16">
        <f t="shared" si="2363"/>
        <v>1.2925672885520143</v>
      </c>
      <c r="AU627" s="16">
        <f t="shared" si="2363"/>
        <v>8.8698032284784359E-2</v>
      </c>
      <c r="AV627" s="16">
        <f t="shared" si="2363"/>
        <v>-2.5485968012273865</v>
      </c>
      <c r="AW627" s="16">
        <f t="shared" si="2363"/>
        <v>2.7671687928056007E-3</v>
      </c>
      <c r="AX627" s="16">
        <f t="shared" si="2363"/>
        <v>0</v>
      </c>
      <c r="AY627" s="16">
        <f t="shared" si="2363"/>
        <v>10.529064485255025</v>
      </c>
      <c r="AZ627" s="16">
        <f t="shared" si="2363"/>
        <v>8.2699127043809089</v>
      </c>
      <c r="BA627" s="16">
        <f t="shared" si="2363"/>
        <v>14.154946689370155</v>
      </c>
      <c r="BB627" s="16">
        <f t="shared" si="2363"/>
        <v>2.5592571821193286</v>
      </c>
      <c r="BC627" s="16">
        <f t="shared" si="2363"/>
        <v>3.3522131965763471</v>
      </c>
      <c r="BD627" s="16">
        <f t="shared" si="2363"/>
        <v>1.3593969847266385</v>
      </c>
      <c r="BE627" s="16">
        <f t="shared" ca="1" si="2363"/>
        <v>-3.4490664690376149E-2</v>
      </c>
      <c r="BF627" s="16">
        <f t="shared" ca="1" si="2363"/>
        <v>8.3115358639765921E-2</v>
      </c>
      <c r="BG627" s="16">
        <f t="shared" ca="1" si="2363"/>
        <v>1.4763846086019895E-2</v>
      </c>
      <c r="BH627" s="16">
        <f t="shared" ca="1" si="2363"/>
        <v>0</v>
      </c>
      <c r="BI627" s="16">
        <f t="shared" ca="1" si="2363"/>
        <v>0.68865728520331593</v>
      </c>
      <c r="BJ627" s="16">
        <f t="shared" ca="1" si="2363"/>
        <v>1.0564003959893971</v>
      </c>
      <c r="BK627" s="16">
        <f t="shared" ca="1" si="2363"/>
        <v>0.80347078284222595</v>
      </c>
      <c r="BL627" s="16">
        <f t="shared" ca="1" si="2363"/>
        <v>0.40228206012022927</v>
      </c>
      <c r="BM627" s="16">
        <f t="shared" ca="1" si="2363"/>
        <v>0</v>
      </c>
      <c r="BN627" s="16">
        <f t="shared" si="2363"/>
        <v>0</v>
      </c>
      <c r="BO627" s="16">
        <f t="shared" ca="1" si="2363"/>
        <v>0</v>
      </c>
      <c r="BP627" s="16">
        <f t="shared" ca="1" si="2363"/>
        <v>4.4825322552640587</v>
      </c>
      <c r="BQ627" s="16">
        <f t="shared" ca="1" si="2363"/>
        <v>0</v>
      </c>
      <c r="BR627" s="16">
        <f ca="1">BR281/BR$419*100</f>
        <v>0</v>
      </c>
      <c r="BS627" s="16">
        <f ca="1">BS281/BS$419*100</f>
        <v>0</v>
      </c>
      <c r="BT627" s="16">
        <f t="shared" ca="1" si="2324"/>
        <v>0</v>
      </c>
      <c r="BU627" s="16">
        <f t="shared" ca="1" si="2324"/>
        <v>0</v>
      </c>
      <c r="BV627" s="16">
        <f t="shared" ca="1" si="2325"/>
        <v>0</v>
      </c>
      <c r="BW627" s="16">
        <f t="shared" ref="BW627:BX627" ca="1" si="2364">BW281/BW$419*100</f>
        <v>0</v>
      </c>
      <c r="BX627" s="16">
        <f t="shared" ca="1" si="2364"/>
        <v>0</v>
      </c>
      <c r="BY627" s="16">
        <f t="shared" ref="BY627:CD627" ca="1" si="2365">BY281/BY$419*100</f>
        <v>0</v>
      </c>
      <c r="BZ627" s="16">
        <f t="shared" ca="1" si="2365"/>
        <v>0</v>
      </c>
      <c r="CA627" s="16">
        <f t="shared" ca="1" si="2365"/>
        <v>0</v>
      </c>
      <c r="CB627" s="16">
        <f t="shared" ca="1" si="2365"/>
        <v>0</v>
      </c>
      <c r="CC627" s="16">
        <f t="shared" ca="1" si="2365"/>
        <v>0</v>
      </c>
      <c r="CD627" s="16">
        <f t="shared" ca="1" si="2365"/>
        <v>0</v>
      </c>
      <c r="CE627" s="16"/>
      <c r="CG627" s="235">
        <f t="shared" ca="1" si="2328"/>
        <v>-0.21717719321925244</v>
      </c>
      <c r="CH627" s="235">
        <f t="shared" ca="1" si="2329"/>
        <v>5.6496902572257812E-3</v>
      </c>
      <c r="CI627" s="235" t="e">
        <f ca="1">BM627-#REF!</f>
        <v>#REF!</v>
      </c>
      <c r="CJ627" s="235">
        <f t="shared" si="2330"/>
        <v>0</v>
      </c>
      <c r="CK627" s="235">
        <f t="shared" ca="1" si="2331"/>
        <v>0</v>
      </c>
      <c r="CL627" s="235">
        <f t="shared" ca="1" si="2332"/>
        <v>0</v>
      </c>
      <c r="CM627" s="235">
        <f t="shared" ca="1" si="2333"/>
        <v>0</v>
      </c>
      <c r="CN627" s="235">
        <f t="shared" ca="1" si="2334"/>
        <v>0</v>
      </c>
      <c r="CO627" s="235">
        <f t="shared" ca="1" si="2335"/>
        <v>0</v>
      </c>
      <c r="CP627" s="235">
        <f t="shared" ca="1" si="2336"/>
        <v>0</v>
      </c>
      <c r="CQ627" s="235">
        <f t="shared" ca="1" si="2337"/>
        <v>0</v>
      </c>
      <c r="CR627" s="235">
        <f t="shared" ca="1" si="2338"/>
        <v>0</v>
      </c>
      <c r="CS627" s="235">
        <f t="shared" ca="1" si="2339"/>
        <v>0</v>
      </c>
      <c r="CT627" s="235">
        <f t="shared" ca="1" si="2340"/>
        <v>0</v>
      </c>
      <c r="CU627" s="235">
        <f t="shared" ca="1" si="2341"/>
        <v>0</v>
      </c>
      <c r="CV627" s="235">
        <f t="shared" ca="1" si="2342"/>
        <v>0</v>
      </c>
      <c r="CW627" s="235">
        <f t="shared" ca="1" si="2343"/>
        <v>0</v>
      </c>
      <c r="CX627" s="235">
        <f t="shared" ca="1" si="2344"/>
        <v>0</v>
      </c>
      <c r="CY627" s="235">
        <f t="shared" ca="1" si="2345"/>
        <v>0</v>
      </c>
      <c r="CZ627" s="235">
        <f t="shared" ca="1" si="2346"/>
        <v>0</v>
      </c>
      <c r="DG627" s="236">
        <v>1.0206479760614784</v>
      </c>
      <c r="DH627" s="492">
        <v>0.39663236986300349</v>
      </c>
      <c r="DI627" s="236">
        <v>0</v>
      </c>
      <c r="DJ627" s="236">
        <v>0</v>
      </c>
      <c r="DK627" s="236">
        <v>4.4825322552640579</v>
      </c>
      <c r="DL627" s="236">
        <v>0</v>
      </c>
      <c r="DM627" s="236">
        <v>0</v>
      </c>
      <c r="DN627" s="236">
        <v>0</v>
      </c>
      <c r="DO627" s="236">
        <v>0</v>
      </c>
      <c r="DP627" s="236">
        <v>0</v>
      </c>
      <c r="DQ627" s="258">
        <v>0</v>
      </c>
      <c r="DR627" s="258">
        <v>0</v>
      </c>
      <c r="DS627" s="258">
        <v>0</v>
      </c>
      <c r="DT627" s="258">
        <v>0</v>
      </c>
      <c r="DU627" s="258">
        <v>0</v>
      </c>
      <c r="DV627" s="258">
        <v>0</v>
      </c>
      <c r="DW627" s="258">
        <v>0</v>
      </c>
      <c r="DX627" s="258">
        <v>0</v>
      </c>
      <c r="DY627" s="258">
        <v>0</v>
      </c>
    </row>
    <row r="628" spans="2:152" s="196" customFormat="1" hidden="1">
      <c r="D628" s="198"/>
      <c r="E628" s="198"/>
      <c r="F628" s="198"/>
      <c r="G628" s="198"/>
      <c r="H628" s="198"/>
      <c r="I628" s="198"/>
      <c r="J628" s="198"/>
      <c r="K628" s="198"/>
      <c r="L628" s="198"/>
      <c r="M628" s="198"/>
      <c r="N628" s="198"/>
      <c r="O628" s="198"/>
      <c r="P628" s="198"/>
      <c r="Q628" s="198"/>
      <c r="R628" s="198"/>
      <c r="S628" s="198"/>
      <c r="T628" s="198"/>
      <c r="U628" s="198"/>
      <c r="V628" s="198"/>
      <c r="W628" s="198"/>
      <c r="X628" s="198"/>
      <c r="Y628" s="198"/>
      <c r="Z628" s="198"/>
      <c r="AA628" s="198"/>
      <c r="AB628" s="198"/>
      <c r="AC628" s="198"/>
      <c r="AD628" s="198"/>
      <c r="AE628" s="198"/>
      <c r="AF628" s="198"/>
      <c r="AG628" s="198"/>
      <c r="AH628" s="198"/>
      <c r="AI628" s="198"/>
      <c r="AJ628" s="198"/>
      <c r="AK628" s="198"/>
      <c r="AL628" s="198"/>
      <c r="AM628" s="198"/>
      <c r="AN628" s="198"/>
      <c r="AO628" s="198"/>
      <c r="AP628" s="198"/>
      <c r="AQ628" s="198"/>
      <c r="AR628" s="198"/>
      <c r="AS628" s="198"/>
      <c r="AT628" s="198"/>
      <c r="CF628" s="431"/>
      <c r="CG628" s="152"/>
      <c r="CH628" s="152"/>
      <c r="CI628" s="152"/>
      <c r="CJ628" s="152"/>
      <c r="CK628" s="152"/>
      <c r="CL628" s="152"/>
      <c r="CM628" s="152"/>
      <c r="CN628" s="152"/>
      <c r="CO628" s="152"/>
      <c r="CP628" s="152"/>
      <c r="CQ628" s="152"/>
      <c r="CR628" s="152"/>
      <c r="CS628" s="152"/>
      <c r="CT628" s="152"/>
      <c r="CU628" s="152"/>
      <c r="CV628" s="152"/>
      <c r="CW628" s="152"/>
      <c r="CX628" s="152"/>
      <c r="CY628" s="152"/>
      <c r="CZ628" s="152"/>
      <c r="DA628" s="38"/>
      <c r="DB628" s="152"/>
      <c r="DC628" s="152"/>
      <c r="DD628" s="152"/>
      <c r="DE628" s="152"/>
      <c r="DF628" s="236"/>
      <c r="DG628" s="236"/>
      <c r="DH628" s="492"/>
      <c r="DI628" s="236"/>
      <c r="DJ628" s="236"/>
      <c r="DK628" s="236"/>
      <c r="DL628" s="236"/>
      <c r="DM628" s="236"/>
      <c r="DN628" s="236"/>
      <c r="DO628" s="236"/>
      <c r="DP628" s="236"/>
      <c r="DQ628" s="258"/>
      <c r="DR628" s="258"/>
      <c r="DS628" s="258"/>
      <c r="DT628" s="258"/>
      <c r="DU628" s="258"/>
      <c r="DV628" s="258"/>
      <c r="DW628" s="258"/>
      <c r="DX628" s="258"/>
      <c r="DY628" s="258"/>
      <c r="DZ628" s="258"/>
      <c r="EA628" s="967"/>
    </row>
    <row r="629" spans="2:152" hidden="1">
      <c r="B629" s="18"/>
      <c r="C629" s="18"/>
      <c r="D629" s="216"/>
      <c r="E629" s="216"/>
      <c r="F629" s="216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6"/>
      <c r="AT629" s="216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G629" s="38"/>
      <c r="CH629" s="38"/>
      <c r="CI629" s="38"/>
      <c r="CJ629" s="38"/>
      <c r="CK629" s="38"/>
      <c r="CL629" s="38"/>
      <c r="CM629" s="38"/>
      <c r="CN629" s="38"/>
      <c r="CO629" s="38"/>
      <c r="CP629" s="38"/>
      <c r="CQ629" s="38"/>
      <c r="CR629" s="38"/>
      <c r="CS629" s="38"/>
      <c r="CT629" s="38"/>
      <c r="CU629" s="38"/>
      <c r="CV629" s="38"/>
      <c r="CW629" s="38"/>
      <c r="CX629" s="38"/>
      <c r="CY629" s="38"/>
      <c r="CZ629" s="38"/>
      <c r="DB629" s="38"/>
      <c r="DC629" s="38"/>
      <c r="DD629" s="38"/>
      <c r="DE629" s="38"/>
      <c r="DF629" s="38"/>
      <c r="EB629" s="18"/>
      <c r="EC629" s="18"/>
      <c r="ED629" s="18"/>
      <c r="EE629" s="18"/>
      <c r="EF629" s="18"/>
      <c r="EG629" s="18"/>
      <c r="EH629" s="18"/>
      <c r="EI629" s="18"/>
      <c r="EJ629" s="18"/>
      <c r="EK629" s="18"/>
      <c r="EL629" s="18"/>
      <c r="EM629" s="18"/>
      <c r="EN629" s="18"/>
      <c r="EO629" s="18"/>
      <c r="EP629" s="18"/>
      <c r="EQ629" s="18"/>
      <c r="ER629" s="18"/>
      <c r="ES629" s="18"/>
      <c r="ET629" s="18"/>
      <c r="EU629" s="18"/>
      <c r="EV629" s="18"/>
    </row>
    <row r="630" spans="2:152" hidden="1">
      <c r="BL630" s="16">
        <f>BL6</f>
        <v>2012</v>
      </c>
      <c r="BM630" s="16">
        <f t="shared" ref="BM630:BX630" si="2366">BM6</f>
        <v>2013</v>
      </c>
      <c r="BN630" s="16">
        <f t="shared" si="2366"/>
        <v>2014</v>
      </c>
      <c r="BO630" s="16">
        <f t="shared" si="2366"/>
        <v>2015</v>
      </c>
      <c r="BP630" s="16">
        <f t="shared" si="2366"/>
        <v>2016</v>
      </c>
      <c r="BQ630" s="16">
        <f t="shared" si="2366"/>
        <v>2017</v>
      </c>
      <c r="BR630" s="16">
        <f t="shared" si="2366"/>
        <v>2018</v>
      </c>
      <c r="BS630" s="16">
        <f t="shared" si="2366"/>
        <v>2019</v>
      </c>
      <c r="BT630" s="16">
        <f t="shared" si="2366"/>
        <v>2020</v>
      </c>
      <c r="BU630" s="16">
        <f t="shared" si="2366"/>
        <v>2021</v>
      </c>
      <c r="BV630" s="16">
        <f t="shared" si="2366"/>
        <v>2022</v>
      </c>
      <c r="BW630" s="16">
        <f t="shared" si="2366"/>
        <v>2023</v>
      </c>
      <c r="BX630" s="16">
        <f t="shared" si="2366"/>
        <v>2024</v>
      </c>
      <c r="BY630" s="16">
        <f t="shared" ref="BY630:CD630" si="2367">BY6</f>
        <v>2025</v>
      </c>
      <c r="BZ630" s="16">
        <f t="shared" si="2367"/>
        <v>2026</v>
      </c>
      <c r="CA630" s="16">
        <f t="shared" si="2367"/>
        <v>2027</v>
      </c>
      <c r="CB630" s="16">
        <f t="shared" si="2367"/>
        <v>2028</v>
      </c>
      <c r="CC630" s="16">
        <f t="shared" si="2367"/>
        <v>2029</v>
      </c>
      <c r="CD630" s="16">
        <f t="shared" si="2367"/>
        <v>2030</v>
      </c>
      <c r="DI630" s="236">
        <v>2014</v>
      </c>
      <c r="DJ630" s="236">
        <v>2015</v>
      </c>
      <c r="DK630" s="236">
        <v>2016</v>
      </c>
      <c r="DL630" s="236">
        <v>2017</v>
      </c>
      <c r="DM630" s="236">
        <v>2018</v>
      </c>
      <c r="DN630" s="236">
        <v>2019</v>
      </c>
      <c r="DO630" s="236">
        <v>2020</v>
      </c>
      <c r="DP630" s="236">
        <v>2021</v>
      </c>
      <c r="DQ630" s="258">
        <v>2022</v>
      </c>
      <c r="DR630" s="258">
        <v>2023</v>
      </c>
      <c r="DS630" s="258">
        <v>2024</v>
      </c>
      <c r="DT630" s="258">
        <v>2025</v>
      </c>
      <c r="DU630" s="258">
        <v>2026</v>
      </c>
      <c r="DV630" s="258">
        <v>2027</v>
      </c>
      <c r="DW630" s="258">
        <v>2028</v>
      </c>
      <c r="DX630" s="258">
        <v>2029</v>
      </c>
      <c r="DY630" s="258">
        <v>2030</v>
      </c>
    </row>
    <row r="631" spans="2:152" hidden="1"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</row>
    <row r="632" spans="2:152" hidden="1">
      <c r="B632" s="16" t="str">
        <f>B463</f>
        <v>koers SRD/$</v>
      </c>
      <c r="BL632" s="1">
        <f>BL463</f>
        <v>3.35</v>
      </c>
      <c r="BM632" s="1">
        <f t="shared" ref="BM632:BX632" si="2368">BM463</f>
        <v>3.35</v>
      </c>
      <c r="BN632" s="1">
        <f t="shared" si="2368"/>
        <v>3.35</v>
      </c>
      <c r="BO632" s="1">
        <f t="shared" si="2368"/>
        <v>3.35</v>
      </c>
      <c r="BP632" s="1">
        <f t="shared" si="2368"/>
        <v>4.2</v>
      </c>
      <c r="BQ632" s="1">
        <f t="shared" si="2368"/>
        <v>4.2</v>
      </c>
      <c r="BR632" s="1">
        <f t="shared" si="2368"/>
        <v>4.2</v>
      </c>
      <c r="BS632" s="1">
        <f t="shared" si="2368"/>
        <v>4.2</v>
      </c>
      <c r="BT632" s="1">
        <f t="shared" si="2368"/>
        <v>4.2</v>
      </c>
      <c r="BU632" s="1">
        <f t="shared" si="2368"/>
        <v>4.2</v>
      </c>
      <c r="BV632" s="1">
        <f t="shared" si="2368"/>
        <v>4.2</v>
      </c>
      <c r="BW632" s="1">
        <f t="shared" si="2368"/>
        <v>4.2</v>
      </c>
      <c r="BX632" s="1">
        <f t="shared" si="2368"/>
        <v>4.2</v>
      </c>
      <c r="BY632" s="1">
        <f t="shared" ref="BY632:CD632" si="2369">BY463</f>
        <v>4.2</v>
      </c>
      <c r="BZ632" s="1">
        <f t="shared" si="2369"/>
        <v>4.2</v>
      </c>
      <c r="CA632" s="1">
        <f t="shared" si="2369"/>
        <v>4.2</v>
      </c>
      <c r="CB632" s="1">
        <f t="shared" si="2369"/>
        <v>4.2</v>
      </c>
      <c r="CC632" s="1">
        <f t="shared" si="2369"/>
        <v>4.2</v>
      </c>
      <c r="CD632" s="1">
        <f t="shared" si="2369"/>
        <v>4.2</v>
      </c>
      <c r="DI632" s="236">
        <v>3.35</v>
      </c>
      <c r="DJ632" s="236">
        <v>3.35</v>
      </c>
      <c r="DK632" s="236">
        <v>4.2</v>
      </c>
      <c r="DL632" s="236">
        <v>4.2</v>
      </c>
      <c r="DM632" s="236">
        <v>4.2</v>
      </c>
      <c r="DN632" s="236">
        <v>4.2</v>
      </c>
      <c r="DO632" s="236">
        <v>4.2</v>
      </c>
      <c r="DP632" s="236">
        <v>4.2</v>
      </c>
      <c r="DQ632" s="258">
        <v>4.2</v>
      </c>
      <c r="DR632" s="258">
        <v>4.2</v>
      </c>
      <c r="DS632" s="258">
        <v>4.2</v>
      </c>
      <c r="DT632" s="258">
        <v>4.2</v>
      </c>
      <c r="DU632" s="258">
        <v>4.2</v>
      </c>
      <c r="DV632" s="258">
        <v>4.2</v>
      </c>
      <c r="DW632" s="258">
        <v>4.2</v>
      </c>
      <c r="DX632" s="258">
        <v>4.2</v>
      </c>
      <c r="DY632" s="258">
        <v>4.2</v>
      </c>
    </row>
    <row r="633" spans="2:152" hidden="1">
      <c r="B633" s="16" t="str">
        <f>B388</f>
        <v>consumptieprijs</v>
      </c>
      <c r="D633" s="1118"/>
      <c r="E633" s="1118"/>
      <c r="F633" s="1118"/>
      <c r="G633" s="1118"/>
      <c r="H633" s="1118"/>
      <c r="I633" s="1118"/>
      <c r="J633" s="1118"/>
      <c r="K633" s="1118"/>
      <c r="L633" s="1118"/>
      <c r="M633" s="1118"/>
      <c r="N633" s="1118"/>
      <c r="O633" s="1118"/>
      <c r="P633" s="1118"/>
      <c r="Q633" s="1118"/>
      <c r="R633" s="1118"/>
      <c r="S633" s="1118"/>
      <c r="T633" s="1118"/>
      <c r="U633" s="1118"/>
      <c r="V633" s="1118"/>
      <c r="W633" s="1118"/>
      <c r="X633" s="1118"/>
      <c r="Y633" s="1118"/>
      <c r="Z633" s="1118"/>
      <c r="AA633" s="1118"/>
      <c r="AB633" s="1118"/>
      <c r="AC633" s="1118"/>
      <c r="AD633" s="1118"/>
      <c r="AE633" s="1118"/>
      <c r="AF633" s="1118"/>
      <c r="AG633" s="1118"/>
      <c r="AH633" s="1118"/>
      <c r="AI633" s="1118"/>
      <c r="AJ633" s="1118"/>
      <c r="AK633" s="1118"/>
      <c r="AL633" s="1118"/>
      <c r="AM633" s="1118"/>
      <c r="AN633" s="1118"/>
      <c r="AO633" s="1118"/>
      <c r="AP633" s="1118"/>
      <c r="AQ633" s="1118"/>
      <c r="AR633" s="1118"/>
      <c r="AS633" s="1118"/>
      <c r="AT633" s="1118"/>
      <c r="BL633" s="1">
        <f>BL388</f>
        <v>5.0137272846123571</v>
      </c>
      <c r="BM633" s="1">
        <f t="shared" ref="BM633:BX633" si="2370">BM388</f>
        <v>1.9309056956115844</v>
      </c>
      <c r="BN633" s="1">
        <f t="shared" si="2370"/>
        <v>3.3697298353607907</v>
      </c>
      <c r="BO633" s="1">
        <f t="shared" si="2370"/>
        <v>6.9</v>
      </c>
      <c r="BP633" s="1">
        <f t="shared" ca="1" si="2370"/>
        <v>36.355508223363913</v>
      </c>
      <c r="BQ633" s="1">
        <f t="shared" ca="1" si="2370"/>
        <v>11.415029893225288</v>
      </c>
      <c r="BR633" s="1">
        <f t="shared" ca="1" si="2370"/>
        <v>5.2989819773361937</v>
      </c>
      <c r="BS633" s="1">
        <f t="shared" ca="1" si="2370"/>
        <v>3.0289202942350908</v>
      </c>
      <c r="BT633" s="1">
        <f t="shared" ca="1" si="2370"/>
        <v>3.4377051520660764</v>
      </c>
      <c r="BU633" s="1">
        <f t="shared" ca="1" si="2370"/>
        <v>3.5632337731411203</v>
      </c>
      <c r="BV633" s="1">
        <f t="shared" ca="1" si="2370"/>
        <v>3.5957763287793041</v>
      </c>
      <c r="BW633" s="1">
        <f t="shared" ca="1" si="2370"/>
        <v>3.6133304026611688</v>
      </c>
      <c r="BX633" s="1">
        <f t="shared" ca="1" si="2370"/>
        <v>3.595798877852789</v>
      </c>
      <c r="BY633" s="1">
        <f t="shared" ref="BY633:CD633" ca="1" si="2371">BY388</f>
        <v>3.5724579753935144</v>
      </c>
      <c r="BZ633" s="1">
        <f t="shared" ca="1" si="2371"/>
        <v>3.5543549220490229</v>
      </c>
      <c r="CA633" s="1">
        <f t="shared" ca="1" si="2371"/>
        <v>3.5502200406161348</v>
      </c>
      <c r="CB633" s="1">
        <f t="shared" ca="1" si="2371"/>
        <v>3.5505695900456731</v>
      </c>
      <c r="CC633" s="1">
        <f t="shared" ca="1" si="2371"/>
        <v>3.5415276278586445</v>
      </c>
      <c r="CD633" s="1">
        <f t="shared" ca="1" si="2371"/>
        <v>3.5327192142120261</v>
      </c>
      <c r="DI633" s="236">
        <v>3.3697298353607907</v>
      </c>
      <c r="DJ633" s="236">
        <v>6.9</v>
      </c>
      <c r="DK633" s="236">
        <v>36.355508223363927</v>
      </c>
      <c r="DL633" s="236">
        <v>11.415029893225299</v>
      </c>
      <c r="DM633" s="236">
        <v>5.2989819773361893</v>
      </c>
      <c r="DN633" s="236">
        <v>3.0289202942350935</v>
      </c>
      <c r="DO633" s="236">
        <v>3.4377051520660684</v>
      </c>
      <c r="DP633" s="236">
        <v>3.5632337731411283</v>
      </c>
      <c r="DQ633" s="258">
        <v>3.5957763287793121</v>
      </c>
      <c r="DR633" s="258">
        <v>3.6133304026611688</v>
      </c>
      <c r="DS633" s="258">
        <v>3.5957988778527925</v>
      </c>
      <c r="DT633" s="258">
        <v>3.5724579753934949</v>
      </c>
      <c r="DU633" s="258">
        <v>3.5543549220489998</v>
      </c>
      <c r="DV633" s="258">
        <v>3.5502200406161748</v>
      </c>
      <c r="DW633" s="258">
        <v>3.5505695900463747</v>
      </c>
      <c r="DX633" s="258">
        <v>3.5415276278652632</v>
      </c>
      <c r="DY633" s="258">
        <v>3.5327192142576633</v>
      </c>
    </row>
    <row r="634" spans="2:152" hidden="1">
      <c r="B634" s="16" t="str">
        <f>B410</f>
        <v>deviezen in maanden invoer na 2007 alleen van CBVS</v>
      </c>
      <c r="BL634" s="1">
        <f t="shared" ref="BL634:CD634" si="2372">BL410</f>
        <v>4.6764569485237288</v>
      </c>
      <c r="BM634" s="1">
        <f t="shared" si="2372"/>
        <v>3.4269298762522098</v>
      </c>
      <c r="BN634" s="1">
        <f t="shared" si="2372"/>
        <v>2.7255286679747108</v>
      </c>
      <c r="BO634" s="1">
        <f t="shared" si="2372"/>
        <v>1.6220802652752719</v>
      </c>
      <c r="BP634" s="1">
        <f t="shared" ca="1" si="2372"/>
        <v>1.218171832779968</v>
      </c>
      <c r="BQ634" s="1">
        <f t="shared" ca="1" si="2372"/>
        <v>1.004203520613109</v>
      </c>
      <c r="BR634" s="1">
        <f t="shared" ca="1" si="2372"/>
        <v>0.81251007678252496</v>
      </c>
      <c r="BS634" s="1">
        <f t="shared" ca="1" si="2372"/>
        <v>0.45105217432479355</v>
      </c>
      <c r="BT634" s="1">
        <f t="shared" ca="1" si="2372"/>
        <v>-2.544551484796707E-2</v>
      </c>
      <c r="BU634" s="1">
        <f t="shared" ca="1" si="2372"/>
        <v>-0.59639238178527121</v>
      </c>
      <c r="BV634" s="1">
        <f t="shared" ca="1" si="2372"/>
        <v>-1.2414934670330406</v>
      </c>
      <c r="BW634" s="1">
        <f t="shared" ca="1" si="2372"/>
        <v>-1.9561244640714224</v>
      </c>
      <c r="BX634" s="1">
        <f t="shared" ca="1" si="2372"/>
        <v>-2.7333038885039374</v>
      </c>
      <c r="BY634" s="1">
        <f t="shared" ca="1" si="2372"/>
        <v>-3.5697156009672475</v>
      </c>
      <c r="BZ634" s="1">
        <f t="shared" ca="1" si="2372"/>
        <v>-4.4439941514720589</v>
      </c>
      <c r="CA634" s="1">
        <f t="shared" ca="1" si="2372"/>
        <v>-5.3498685391014416</v>
      </c>
      <c r="CB634" s="1">
        <f t="shared" ca="1" si="2372"/>
        <v>-6.2877394877075155</v>
      </c>
      <c r="CC634" s="1">
        <f t="shared" ca="1" si="2372"/>
        <v>-7.2545918416548112</v>
      </c>
      <c r="CD634" s="1">
        <f t="shared" ca="1" si="2372"/>
        <v>-8.247672836891482</v>
      </c>
      <c r="DI634" s="236">
        <v>2.7255286679747108</v>
      </c>
      <c r="DJ634" s="236">
        <v>1.6220802652752719</v>
      </c>
      <c r="DK634" s="236">
        <v>1.21817183277997</v>
      </c>
      <c r="DL634" s="236">
        <v>1.0042035206131146</v>
      </c>
      <c r="DM634" s="236">
        <v>0.8125100767825344</v>
      </c>
      <c r="DN634" s="236">
        <v>0.45105217432480843</v>
      </c>
      <c r="DO634" s="236">
        <v>-2.5445514847945754E-2</v>
      </c>
      <c r="DP634" s="236">
        <v>-0.59639238178524256</v>
      </c>
      <c r="DQ634" s="258">
        <v>-1.2414934670330071</v>
      </c>
      <c r="DR634" s="258">
        <v>-1.9561244640713842</v>
      </c>
      <c r="DS634" s="258">
        <v>-2.7333038885038987</v>
      </c>
      <c r="DT634" s="258">
        <v>-3.5697156009672053</v>
      </c>
      <c r="DU634" s="258">
        <v>-4.4439941514720118</v>
      </c>
      <c r="DV634" s="258">
        <v>-5.3498685391013776</v>
      </c>
      <c r="DW634" s="258">
        <v>-6.2877394877072925</v>
      </c>
      <c r="DX634" s="258">
        <v>-7.2545918416529673</v>
      </c>
      <c r="DY634" s="258">
        <v>-8.247672836876049</v>
      </c>
    </row>
    <row r="635" spans="2:152" hidden="1">
      <c r="B635" s="1120" t="str">
        <f>B407</f>
        <v>financieringssaldo in % BBP (+=tekort)</v>
      </c>
      <c r="BL635" s="1">
        <f t="shared" ref="BL635:CD635" ca="1" si="2373">BL407</f>
        <v>2.5546546577188378</v>
      </c>
      <c r="BM635" s="1">
        <f t="shared" ca="1" si="2373"/>
        <v>5.9711722859288336</v>
      </c>
      <c r="BN635" s="1">
        <f t="shared" si="2373"/>
        <v>5.5896948529606352</v>
      </c>
      <c r="BO635" s="1">
        <f t="shared" ca="1" si="2373"/>
        <v>7.8640700652151283</v>
      </c>
      <c r="BP635" s="1">
        <f t="shared" ca="1" si="2373"/>
        <v>8.450257219074178</v>
      </c>
      <c r="BQ635" s="1">
        <f t="shared" ca="1" si="2373"/>
        <v>7.3726272711479508</v>
      </c>
      <c r="BR635" s="1">
        <f t="shared" ca="1" si="2373"/>
        <v>7.3986972259791912</v>
      </c>
      <c r="BS635" s="1">
        <f t="shared" ca="1" si="2373"/>
        <v>8.2574708260523053</v>
      </c>
      <c r="BT635" s="1">
        <f t="shared" ca="1" si="2373"/>
        <v>9.4515102997227078</v>
      </c>
      <c r="BU635" s="1">
        <f t="shared" ca="1" si="2373"/>
        <v>10.525074639218101</v>
      </c>
      <c r="BV635" s="1">
        <f t="shared" ca="1" si="2373"/>
        <v>11.677898010976801</v>
      </c>
      <c r="BW635" s="1">
        <f t="shared" ca="1" si="2373"/>
        <v>12.892094272556678</v>
      </c>
      <c r="BX635" s="1">
        <f t="shared" ca="1" si="2373"/>
        <v>14.215894558094751</v>
      </c>
      <c r="BY635" s="1">
        <f t="shared" ca="1" si="2373"/>
        <v>15.653549929277291</v>
      </c>
      <c r="BZ635" s="1">
        <f t="shared" ca="1" si="2373"/>
        <v>16.988245139311875</v>
      </c>
      <c r="CA635" s="1">
        <f t="shared" ca="1" si="2373"/>
        <v>18.380025914190654</v>
      </c>
      <c r="CB635" s="1">
        <f t="shared" ca="1" si="2373"/>
        <v>19.822378885038592</v>
      </c>
      <c r="CC635" s="1">
        <f t="shared" ca="1" si="2373"/>
        <v>21.35595962514795</v>
      </c>
      <c r="CD635" s="1">
        <f t="shared" ca="1" si="2373"/>
        <v>22.982839956077157</v>
      </c>
      <c r="DI635" s="236">
        <v>5.5896948529606352</v>
      </c>
      <c r="DJ635" s="236">
        <v>7.8640700652151283</v>
      </c>
      <c r="DK635" s="236">
        <v>8.4502572190741816</v>
      </c>
      <c r="DL635" s="236">
        <v>7.3726272711479481</v>
      </c>
      <c r="DM635" s="236">
        <v>7.3986972259791939</v>
      </c>
      <c r="DN635" s="236">
        <v>8.2574708260523035</v>
      </c>
      <c r="DO635" s="236">
        <v>9.4515102997227078</v>
      </c>
      <c r="DP635" s="236">
        <v>10.525074639218101</v>
      </c>
      <c r="DQ635" s="258">
        <v>11.67789801097681</v>
      </c>
      <c r="DR635" s="258">
        <v>12.892094272556676</v>
      </c>
      <c r="DS635" s="258">
        <v>14.215894558094751</v>
      </c>
      <c r="DT635" s="258">
        <v>15.653549929277291</v>
      </c>
      <c r="DU635" s="258">
        <v>16.988245139311871</v>
      </c>
      <c r="DV635" s="258">
        <v>18.380025914190632</v>
      </c>
      <c r="DW635" s="258">
        <v>19.822378885038134</v>
      </c>
      <c r="DX635" s="258">
        <v>21.355959625143285</v>
      </c>
      <c r="DY635" s="258">
        <v>22.982839956038852</v>
      </c>
    </row>
    <row r="636" spans="2:152" hidden="1">
      <c r="B636" s="16" t="str">
        <f>B391</f>
        <v>loonvoet bedrijven</v>
      </c>
      <c r="BL636" s="1">
        <f t="shared" ref="BL636:CD636" ca="1" si="2374">BL391</f>
        <v>11.443933712616339</v>
      </c>
      <c r="BM636" s="1">
        <f t="shared" ca="1" si="2374"/>
        <v>2.9269221671393009</v>
      </c>
      <c r="BN636" s="1">
        <f t="shared" ca="1" si="2374"/>
        <v>1.285583096075249</v>
      </c>
      <c r="BO636" s="1">
        <f t="shared" ca="1" si="2374"/>
        <v>4.2350530219785298</v>
      </c>
      <c r="BP636" s="1">
        <f t="shared" ca="1" si="2374"/>
        <v>20.962450987774872</v>
      </c>
      <c r="BQ636" s="1">
        <f t="shared" ca="1" si="2374"/>
        <v>24.294056406262033</v>
      </c>
      <c r="BR636" s="1">
        <f t="shared" ca="1" si="2374"/>
        <v>9.5523402451792361</v>
      </c>
      <c r="BS636" s="1">
        <f t="shared" ca="1" si="2374"/>
        <v>4.6440320622428199</v>
      </c>
      <c r="BT636" s="1">
        <f t="shared" ca="1" si="2374"/>
        <v>3.4145468536093793</v>
      </c>
      <c r="BU636" s="1">
        <f t="shared" ca="1" si="2374"/>
        <v>3.6511183989398122</v>
      </c>
      <c r="BV636" s="1">
        <f t="shared" ca="1" si="2374"/>
        <v>3.736789650849115</v>
      </c>
      <c r="BW636" s="1">
        <f t="shared" ca="1" si="2374"/>
        <v>3.7616524627478665</v>
      </c>
      <c r="BX636" s="1">
        <f t="shared" ca="1" si="2374"/>
        <v>3.711585622889868</v>
      </c>
      <c r="BY636" s="1">
        <f t="shared" ca="1" si="2374"/>
        <v>3.6448069661513705</v>
      </c>
      <c r="BZ636" s="1">
        <f t="shared" ca="1" si="2374"/>
        <v>3.5950918740443649</v>
      </c>
      <c r="CA636" s="1">
        <f t="shared" ca="1" si="2374"/>
        <v>3.5697216194236159</v>
      </c>
      <c r="CB636" s="1">
        <f t="shared" ca="1" si="2374"/>
        <v>3.5488640644027569</v>
      </c>
      <c r="CC636" s="1">
        <f t="shared" ca="1" si="2374"/>
        <v>3.5198901906230207</v>
      </c>
      <c r="CD636" s="1">
        <f t="shared" ca="1" si="2374"/>
        <v>3.4907458485409437</v>
      </c>
      <c r="DI636" s="236">
        <v>1.285583096075249</v>
      </c>
      <c r="DJ636" s="236">
        <v>4.2350530219785298</v>
      </c>
      <c r="DK636" s="236">
        <v>20.962450987774872</v>
      </c>
      <c r="DL636" s="236">
        <v>24.294056406262055</v>
      </c>
      <c r="DM636" s="236">
        <v>9.5523402451792592</v>
      </c>
      <c r="DN636" s="236">
        <v>4.6440320622427977</v>
      </c>
      <c r="DO636" s="236">
        <v>3.4145468536093793</v>
      </c>
      <c r="DP636" s="236">
        <v>3.6511183989398122</v>
      </c>
      <c r="DQ636" s="258">
        <v>3.736789650849115</v>
      </c>
      <c r="DR636" s="258">
        <v>3.7616524627479109</v>
      </c>
      <c r="DS636" s="258">
        <v>3.7115856228899347</v>
      </c>
      <c r="DT636" s="258">
        <v>3.6448069661513927</v>
      </c>
      <c r="DU636" s="258">
        <v>3.5950918740444093</v>
      </c>
      <c r="DV636" s="258">
        <v>3.5697216194236825</v>
      </c>
      <c r="DW636" s="258">
        <v>3.5488640644024239</v>
      </c>
      <c r="DX636" s="258">
        <v>3.5198901906188462</v>
      </c>
      <c r="DY636" s="258">
        <v>3.4907458485070153</v>
      </c>
    </row>
    <row r="637" spans="2:152" hidden="1">
      <c r="B637" s="3" t="str">
        <f>B454</f>
        <v>arbeidsplaatsen bedrijven</v>
      </c>
      <c r="BL637" s="1">
        <f>BL454</f>
        <v>2.9348027255037934</v>
      </c>
      <c r="BM637" s="1">
        <f t="shared" ref="BM637:CD637" si="2375">BM454</f>
        <v>1.7159384567703162</v>
      </c>
      <c r="BN637" s="1">
        <f t="shared" si="2375"/>
        <v>1.2137124462702653</v>
      </c>
      <c r="BO637" s="1">
        <f t="shared" ca="1" si="2375"/>
        <v>-3.7207751772852737</v>
      </c>
      <c r="BP637" s="1">
        <f t="shared" ca="1" si="2375"/>
        <v>-6.6433910812947801</v>
      </c>
      <c r="BQ637" s="1">
        <f t="shared" ca="1" si="2375"/>
        <v>2.0431270806885227</v>
      </c>
      <c r="BR637" s="1">
        <f t="shared" ca="1" si="2375"/>
        <v>6.3832719370787494</v>
      </c>
      <c r="BS637" s="1">
        <f t="shared" ca="1" si="2375"/>
        <v>0.90965615884919249</v>
      </c>
      <c r="BT637" s="1">
        <f t="shared" ca="1" si="2375"/>
        <v>-1.2398908898008987</v>
      </c>
      <c r="BU637" s="1">
        <f t="shared" ca="1" si="2375"/>
        <v>-0.77861165644351749</v>
      </c>
      <c r="BV637" s="1">
        <f t="shared" ca="1" si="2375"/>
        <v>-0.21332455066681577</v>
      </c>
      <c r="BW637" s="1">
        <f t="shared" ca="1" si="2375"/>
        <v>-0.17991226600874155</v>
      </c>
      <c r="BX637" s="1">
        <f t="shared" ca="1" si="2375"/>
        <v>-0.18468113269273223</v>
      </c>
      <c r="BY637" s="1">
        <f t="shared" ca="1" si="2375"/>
        <v>-0.1665685783813764</v>
      </c>
      <c r="BZ637" s="1">
        <f t="shared" ca="1" si="2375"/>
        <v>-5.1261801388757799E-2</v>
      </c>
      <c r="CA637" s="1">
        <f t="shared" ca="1" si="2375"/>
        <v>0.12226557240928582</v>
      </c>
      <c r="CB637" s="1">
        <f t="shared" ca="1" si="2375"/>
        <v>0.20798655505667174</v>
      </c>
      <c r="CC637" s="1">
        <f t="shared" ca="1" si="2375"/>
        <v>0.25103753800337358</v>
      </c>
      <c r="CD637" s="1">
        <f t="shared" ca="1" si="2375"/>
        <v>0.30920322814693701</v>
      </c>
    </row>
    <row r="638" spans="2:152" hidden="1">
      <c r="B638" s="16" t="str">
        <f>B396</f>
        <v>reele groei BBP via bestedingen</v>
      </c>
      <c r="BL638" s="1">
        <f t="shared" ref="BL638:CD638" ca="1" si="2376">BL396</f>
        <v>3.1000000000000139</v>
      </c>
      <c r="BM638" s="1">
        <f t="shared" ca="1" si="2376"/>
        <v>2.8000000000000025</v>
      </c>
      <c r="BN638" s="1">
        <f t="shared" ca="1" si="2376"/>
        <v>1.8380236712362663</v>
      </c>
      <c r="BO638" s="1">
        <f t="shared" ca="1" si="2376"/>
        <v>-3.0851487294900948</v>
      </c>
      <c r="BP638" s="1">
        <f t="shared" ca="1" si="2376"/>
        <v>-3.4235844071977217</v>
      </c>
      <c r="BQ638" s="1">
        <f t="shared" ca="1" si="2376"/>
        <v>10.837873666678966</v>
      </c>
      <c r="BR638" s="1">
        <f t="shared" ca="1" si="2376"/>
        <v>4.5827680121705683</v>
      </c>
      <c r="BS638" s="1">
        <f t="shared" ca="1" si="2376"/>
        <v>0.72090401757061162</v>
      </c>
      <c r="BT638" s="1">
        <f t="shared" ca="1" si="2376"/>
        <v>0.74457129514420295</v>
      </c>
      <c r="BU638" s="1">
        <f t="shared" ca="1" si="2376"/>
        <v>1.7063335959144554</v>
      </c>
      <c r="BV638" s="1">
        <f t="shared" ca="1" si="2376"/>
        <v>1.7896555973269335</v>
      </c>
      <c r="BW638" s="1">
        <f t="shared" ca="1" si="2376"/>
        <v>1.7461585909936961</v>
      </c>
      <c r="BX638" s="1">
        <f t="shared" ca="1" si="2376"/>
        <v>1.7589084504769481</v>
      </c>
      <c r="BY638" s="1">
        <f t="shared" ca="1" si="2376"/>
        <v>1.7805930850340657</v>
      </c>
      <c r="BZ638" s="1">
        <f t="shared" ca="1" si="2376"/>
        <v>1.971594816436828</v>
      </c>
      <c r="CA638" s="1">
        <f t="shared" ca="1" si="2376"/>
        <v>2.100589090655669</v>
      </c>
      <c r="CB638" s="1">
        <f t="shared" ca="1" si="2376"/>
        <v>2.1107645269323516</v>
      </c>
      <c r="CC638" s="1">
        <f t="shared" ca="1" si="2376"/>
        <v>2.1618421096319507</v>
      </c>
      <c r="CD638" s="1">
        <f t="shared" ca="1" si="2376"/>
        <v>2.2205352163193748</v>
      </c>
      <c r="DI638" s="236">
        <v>1.8380236712362663</v>
      </c>
      <c r="DJ638" s="236">
        <v>-3.0851487294900948</v>
      </c>
      <c r="DK638" s="236">
        <v>-3.4235844071977661</v>
      </c>
      <c r="DL638" s="236">
        <v>10.837873666679009</v>
      </c>
      <c r="DM638" s="236">
        <v>4.5827680121705905</v>
      </c>
      <c r="DN638" s="236">
        <v>0.72090401757065603</v>
      </c>
      <c r="DO638" s="236">
        <v>0.74457129514420295</v>
      </c>
      <c r="DP638" s="236">
        <v>1.7063335959143444</v>
      </c>
      <c r="DQ638" s="258">
        <v>1.7896555973268446</v>
      </c>
      <c r="DR638" s="258">
        <v>1.7461585909935851</v>
      </c>
      <c r="DS638" s="258">
        <v>1.7589084504768593</v>
      </c>
      <c r="DT638" s="258">
        <v>1.7805930850339324</v>
      </c>
      <c r="DU638" s="258">
        <v>1.9715948164367614</v>
      </c>
      <c r="DV638" s="258">
        <v>2.1005890906555802</v>
      </c>
      <c r="DW638" s="258">
        <v>2.110764526932285</v>
      </c>
      <c r="DX638" s="258">
        <v>2.1618421096329721</v>
      </c>
      <c r="DY638" s="258">
        <v>2.2205352163287895</v>
      </c>
    </row>
  </sheetData>
  <phoneticPr fontId="104" type="noConversion"/>
  <conditionalFormatting sqref="BG9:CE9">
    <cfRule type="cellIs" dxfId="1" priority="2" stopIfTrue="1" operator="lessThan">
      <formula>-0.001</formula>
    </cfRule>
  </conditionalFormatting>
  <conditionalFormatting sqref="BH8:CE8">
    <cfRule type="cellIs" dxfId="0" priority="1" stopIfTrue="1" operator="greaterThan">
      <formula>0.001</formula>
    </cfRule>
  </conditionalFormatting>
  <hyperlinks>
    <hyperlink ref="BA3" location="Model!B8" display="Model!B8"/>
    <hyperlink ref="BC3" location="Model!I295" display="Model!I295"/>
    <hyperlink ref="BE3" location="Model!I295" display="Model!I295"/>
    <hyperlink ref="C176" location="MANUAL!A1113" display="MANUAL!A1113"/>
    <hyperlink ref="C56" location="MANUAL!A927" display="MANUAL!A927"/>
    <hyperlink ref="C177" location="MANUAL!A1123" display="MANUAL!A1123"/>
    <hyperlink ref="B7" location="Model!BM173" display="BoP"/>
    <hyperlink ref="B8" location="Model!BM208" display="Overheid"/>
    <hyperlink ref="C234" location="_31._OGOWN" display="OGOWN"/>
    <hyperlink ref="D7" location="Model!BM282" display="Particuliere sector"/>
    <hyperlink ref="C292" location="MANUAL!A1141" display="MANUAL!A1141"/>
    <hyperlink ref="C293" location="MANUAL!A1160" display="MANUAL!A1160"/>
    <hyperlink ref="D8" location="Model!BM338" display="monetair"/>
    <hyperlink ref="D9" location="Model!BP386" display="kerngegevens"/>
    <hyperlink ref="B9" location="Model!BM362" display="Arbeidsmarkt"/>
    <hyperlink ref="B6" location="Model!BM11" display="Microblok"/>
    <hyperlink ref="C517" location="MANUAL!A1113" display="MANUAL!A1113"/>
    <hyperlink ref="BJ7" location="Model!BM504" display="BoP in US$"/>
  </hyperlinks>
  <printOptions gridLines="1"/>
  <pageMargins left="0.35" right="0.46" top="1" bottom="1" header="0.5" footer="0.5"/>
  <pageSetup scale="29" orientation="landscape" horizontalDpi="4294967293" verticalDpi="4294967293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C489"/>
  <sheetViews>
    <sheetView workbookViewId="0">
      <pane xSplit="1" ySplit="5" topLeftCell="BK192" activePane="bottomRight" state="frozen"/>
      <selection pane="topRight" activeCell="B1" sqref="B1"/>
      <selection pane="bottomLeft" activeCell="A6" sqref="A6"/>
      <selection pane="bottomRight" activeCell="BN182" sqref="BN182:BR225"/>
    </sheetView>
  </sheetViews>
  <sheetFormatPr defaultRowHeight="15.75"/>
  <cols>
    <col min="1" max="1" width="50.28515625" style="3" customWidth="1"/>
    <col min="61" max="61" width="9.140625" style="422"/>
    <col min="62" max="64" width="9.140625" style="432"/>
    <col min="65" max="67" width="9.140625" style="1026"/>
    <col min="68" max="72" width="9.140625" style="352"/>
  </cols>
  <sheetData>
    <row r="1" spans="1:81" s="150" customFormat="1">
      <c r="A1" s="19" t="s">
        <v>1540</v>
      </c>
      <c r="BI1" s="422" t="s">
        <v>1541</v>
      </c>
      <c r="BJ1" s="432"/>
      <c r="BK1" s="432"/>
      <c r="BL1" s="432"/>
      <c r="BM1" s="1026"/>
      <c r="BN1" s="1026"/>
      <c r="BO1" s="1026"/>
      <c r="BP1" s="352"/>
      <c r="BQ1" s="352"/>
      <c r="BR1" s="352"/>
      <c r="BS1" s="352"/>
      <c r="BT1" s="352"/>
    </row>
    <row r="2" spans="1:81">
      <c r="A2" s="19" t="s">
        <v>2219</v>
      </c>
      <c r="B2" t="s">
        <v>2221</v>
      </c>
      <c r="C2" t="s">
        <v>4002</v>
      </c>
      <c r="E2">
        <v>1954</v>
      </c>
      <c r="F2">
        <v>1955</v>
      </c>
      <c r="G2">
        <v>1956</v>
      </c>
      <c r="H2">
        <v>1957</v>
      </c>
      <c r="I2">
        <v>1958</v>
      </c>
      <c r="J2">
        <v>1959</v>
      </c>
      <c r="K2">
        <v>1960</v>
      </c>
      <c r="L2">
        <v>1961</v>
      </c>
      <c r="M2">
        <v>1962</v>
      </c>
      <c r="N2">
        <v>1963</v>
      </c>
      <c r="O2">
        <v>1964</v>
      </c>
      <c r="P2">
        <v>1965</v>
      </c>
      <c r="Q2">
        <v>1966</v>
      </c>
      <c r="R2">
        <v>1967</v>
      </c>
      <c r="S2">
        <v>1968</v>
      </c>
      <c r="T2">
        <v>1969</v>
      </c>
      <c r="U2">
        <v>1970</v>
      </c>
      <c r="V2">
        <v>1971</v>
      </c>
      <c r="W2">
        <v>1972</v>
      </c>
      <c r="X2">
        <v>1973</v>
      </c>
      <c r="Y2">
        <v>1974</v>
      </c>
      <c r="Z2">
        <v>1975</v>
      </c>
      <c r="AA2">
        <v>1976</v>
      </c>
      <c r="AB2">
        <v>1977</v>
      </c>
      <c r="AC2">
        <v>1978</v>
      </c>
      <c r="AD2">
        <v>1979</v>
      </c>
      <c r="AE2">
        <v>1980</v>
      </c>
      <c r="AF2">
        <v>1981</v>
      </c>
      <c r="AG2">
        <v>1982</v>
      </c>
      <c r="AH2">
        <v>1983</v>
      </c>
      <c r="AI2">
        <v>1984</v>
      </c>
      <c r="AJ2">
        <v>1985</v>
      </c>
      <c r="AK2">
        <v>1986</v>
      </c>
      <c r="AL2">
        <v>1987</v>
      </c>
      <c r="AM2">
        <v>1988</v>
      </c>
      <c r="AN2">
        <v>1989</v>
      </c>
      <c r="AO2">
        <v>1990</v>
      </c>
      <c r="AP2">
        <v>1991</v>
      </c>
      <c r="AQ2">
        <v>1992</v>
      </c>
      <c r="AR2">
        <v>1993</v>
      </c>
      <c r="AS2">
        <v>1994</v>
      </c>
      <c r="AT2">
        <v>1995</v>
      </c>
      <c r="AU2">
        <v>1996</v>
      </c>
      <c r="AV2">
        <v>1997</v>
      </c>
      <c r="AW2">
        <v>1998</v>
      </c>
      <c r="AX2">
        <v>1999</v>
      </c>
      <c r="AY2">
        <v>2000</v>
      </c>
      <c r="AZ2">
        <v>2001</v>
      </c>
      <c r="BA2">
        <v>2002</v>
      </c>
      <c r="BB2">
        <v>2003</v>
      </c>
      <c r="BC2">
        <v>2004</v>
      </c>
      <c r="BD2">
        <v>2005</v>
      </c>
      <c r="BE2">
        <v>2006</v>
      </c>
      <c r="BF2">
        <v>2007</v>
      </c>
      <c r="BG2">
        <v>2008</v>
      </c>
      <c r="BH2">
        <v>2009</v>
      </c>
      <c r="BI2" s="422">
        <v>2010</v>
      </c>
      <c r="BJ2" s="432">
        <v>2011</v>
      </c>
      <c r="BK2" s="432">
        <v>2012</v>
      </c>
      <c r="BL2" s="432">
        <v>2013</v>
      </c>
      <c r="BM2" s="1026">
        <v>2014</v>
      </c>
      <c r="BN2" s="1026">
        <v>2015</v>
      </c>
      <c r="BO2" s="1026">
        <v>2016</v>
      </c>
      <c r="BP2" s="352">
        <v>2017</v>
      </c>
      <c r="BQ2" s="352">
        <v>2018</v>
      </c>
      <c r="BR2" s="352">
        <v>2019</v>
      </c>
      <c r="BS2" s="352">
        <v>2020</v>
      </c>
      <c r="BT2" s="352">
        <v>2021</v>
      </c>
      <c r="BU2">
        <f>BT2+1</f>
        <v>2022</v>
      </c>
      <c r="BV2">
        <f t="shared" ref="BV2:CC2" si="0">BU2+1</f>
        <v>2023</v>
      </c>
      <c r="BW2">
        <f t="shared" si="0"/>
        <v>2024</v>
      </c>
      <c r="BX2">
        <f t="shared" si="0"/>
        <v>2025</v>
      </c>
      <c r="BY2">
        <f t="shared" si="0"/>
        <v>2026</v>
      </c>
      <c r="BZ2">
        <f t="shared" si="0"/>
        <v>2027</v>
      </c>
      <c r="CA2">
        <f t="shared" si="0"/>
        <v>2028</v>
      </c>
      <c r="CB2">
        <f t="shared" si="0"/>
        <v>2029</v>
      </c>
      <c r="CC2">
        <f t="shared" si="0"/>
        <v>2030</v>
      </c>
    </row>
    <row r="3" spans="1:81">
      <c r="A3" s="56" t="s">
        <v>1042</v>
      </c>
    </row>
    <row r="4" spans="1:81">
      <c r="A4" s="61"/>
    </row>
    <row r="5" spans="1:81">
      <c r="A5" s="53" t="s">
        <v>2219</v>
      </c>
    </row>
    <row r="6" spans="1:81" ht="12.75">
      <c r="A6" s="303" t="s">
        <v>4070</v>
      </c>
    </row>
    <row r="7" spans="1:81" ht="12.75">
      <c r="A7" s="231" t="s">
        <v>1105</v>
      </c>
    </row>
    <row r="8" spans="1:81" ht="12.75">
      <c r="A8" s="231" t="s">
        <v>4136</v>
      </c>
    </row>
    <row r="9" spans="1:81" ht="12.75">
      <c r="A9" s="232" t="s">
        <v>958</v>
      </c>
    </row>
    <row r="10" spans="1:81">
      <c r="A10" s="20"/>
    </row>
    <row r="11" spans="1:81">
      <c r="A11" s="70" t="s">
        <v>318</v>
      </c>
    </row>
    <row r="12" spans="1:81">
      <c r="A12" s="133" t="s">
        <v>361</v>
      </c>
    </row>
    <row r="13" spans="1:81">
      <c r="A13" s="73" t="s">
        <v>77</v>
      </c>
    </row>
    <row r="14" spans="1:81">
      <c r="A14" s="73" t="s">
        <v>2316</v>
      </c>
    </row>
    <row r="15" spans="1:81">
      <c r="A15" s="73" t="s">
        <v>2527</v>
      </c>
    </row>
    <row r="16" spans="1:81">
      <c r="A16" s="73" t="s">
        <v>4592</v>
      </c>
    </row>
    <row r="17" spans="1:1">
      <c r="A17" s="73" t="s">
        <v>3569</v>
      </c>
    </row>
    <row r="18" spans="1:1">
      <c r="A18" s="73" t="s">
        <v>280</v>
      </c>
    </row>
    <row r="19" spans="1:1">
      <c r="A19" s="73" t="s">
        <v>4394</v>
      </c>
    </row>
    <row r="20" spans="1:1">
      <c r="A20" s="73" t="s">
        <v>2405</v>
      </c>
    </row>
    <row r="21" spans="1:1">
      <c r="A21" s="73" t="s">
        <v>2406</v>
      </c>
    </row>
    <row r="22" spans="1:1">
      <c r="A22" s="73" t="s">
        <v>1256</v>
      </c>
    </row>
    <row r="23" spans="1:1">
      <c r="A23" s="73" t="s">
        <v>2407</v>
      </c>
    </row>
    <row r="24" spans="1:1">
      <c r="A24" s="73" t="s">
        <v>105</v>
      </c>
    </row>
    <row r="25" spans="1:1">
      <c r="A25" s="73" t="s">
        <v>3327</v>
      </c>
    </row>
    <row r="26" spans="1:1">
      <c r="A26" s="20" t="s">
        <v>4381</v>
      </c>
    </row>
    <row r="27" spans="1:1">
      <c r="A27" s="133" t="s">
        <v>2742</v>
      </c>
    </row>
    <row r="28" spans="1:1">
      <c r="A28" s="78" t="s">
        <v>4463</v>
      </c>
    </row>
    <row r="29" spans="1:1">
      <c r="A29" s="78" t="s">
        <v>4039</v>
      </c>
    </row>
    <row r="30" spans="1:1">
      <c r="A30" s="78" t="s">
        <v>4306</v>
      </c>
    </row>
    <row r="31" spans="1:1">
      <c r="A31" s="78" t="s">
        <v>419</v>
      </c>
    </row>
    <row r="32" spans="1:1">
      <c r="A32" s="78" t="s">
        <v>3004</v>
      </c>
    </row>
    <row r="33" spans="1:1">
      <c r="A33" s="78" t="s">
        <v>1500</v>
      </c>
    </row>
    <row r="34" spans="1:1">
      <c r="A34" s="78" t="s">
        <v>59</v>
      </c>
    </row>
    <row r="35" spans="1:1">
      <c r="A35" s="78" t="s">
        <v>3603</v>
      </c>
    </row>
    <row r="36" spans="1:1">
      <c r="A36" s="78" t="s">
        <v>731</v>
      </c>
    </row>
    <row r="37" spans="1:1">
      <c r="A37" s="78" t="s">
        <v>1065</v>
      </c>
    </row>
    <row r="38" spans="1:1">
      <c r="A38" s="78" t="s">
        <v>3545</v>
      </c>
    </row>
    <row r="39" spans="1:1">
      <c r="A39" s="78" t="s">
        <v>2430</v>
      </c>
    </row>
    <row r="40" spans="1:1">
      <c r="A40" s="78" t="s">
        <v>4475</v>
      </c>
    </row>
    <row r="41" spans="1:1">
      <c r="A41" s="50" t="s">
        <v>639</v>
      </c>
    </row>
    <row r="42" spans="1:1">
      <c r="A42" s="42" t="s">
        <v>318</v>
      </c>
    </row>
    <row r="43" spans="1:1">
      <c r="A43" s="133" t="s">
        <v>302</v>
      </c>
    </row>
    <row r="44" spans="1:1">
      <c r="A44" s="73" t="s">
        <v>2450</v>
      </c>
    </row>
    <row r="45" spans="1:1">
      <c r="A45" s="73" t="s">
        <v>2910</v>
      </c>
    </row>
    <row r="46" spans="1:1">
      <c r="A46" s="73" t="s">
        <v>2087</v>
      </c>
    </row>
    <row r="47" spans="1:1">
      <c r="A47" s="73" t="s">
        <v>3404</v>
      </c>
    </row>
    <row r="48" spans="1:1">
      <c r="A48" s="73" t="s">
        <v>3003</v>
      </c>
    </row>
    <row r="49" spans="1:1">
      <c r="A49" s="73" t="s">
        <v>903</v>
      </c>
    </row>
    <row r="50" spans="1:1">
      <c r="A50" s="73" t="s">
        <v>2271</v>
      </c>
    </row>
    <row r="51" spans="1:1">
      <c r="A51" s="73" t="s">
        <v>1631</v>
      </c>
    </row>
    <row r="52" spans="1:1">
      <c r="A52" s="73" t="s">
        <v>171</v>
      </c>
    </row>
    <row r="53" spans="1:1">
      <c r="A53" s="73" t="s">
        <v>4523</v>
      </c>
    </row>
    <row r="54" spans="1:1">
      <c r="A54" s="73" t="s">
        <v>4051</v>
      </c>
    </row>
    <row r="55" spans="1:1">
      <c r="A55" s="73" t="s">
        <v>4464</v>
      </c>
    </row>
    <row r="56" spans="1:1">
      <c r="A56" s="73" t="s">
        <v>212</v>
      </c>
    </row>
    <row r="57" spans="1:1">
      <c r="A57" s="87" t="s">
        <v>640</v>
      </c>
    </row>
    <row r="59" spans="1:1">
      <c r="A59" s="42" t="s">
        <v>1530</v>
      </c>
    </row>
    <row r="60" spans="1:1">
      <c r="A60" s="89" t="s">
        <v>1081</v>
      </c>
    </row>
    <row r="61" spans="1:1">
      <c r="A61" s="76" t="s">
        <v>1096</v>
      </c>
    </row>
    <row r="62" spans="1:1">
      <c r="A62" s="73" t="s">
        <v>2072</v>
      </c>
    </row>
    <row r="63" spans="1:1">
      <c r="A63" s="73" t="s">
        <v>3172</v>
      </c>
    </row>
    <row r="64" spans="1:1">
      <c r="A64" s="73" t="s">
        <v>3350</v>
      </c>
    </row>
    <row r="65" spans="1:1">
      <c r="A65" s="73" t="s">
        <v>2103</v>
      </c>
    </row>
    <row r="66" spans="1:1">
      <c r="A66" s="73" t="s">
        <v>2569</v>
      </c>
    </row>
    <row r="67" spans="1:1">
      <c r="A67" s="73" t="s">
        <v>1404</v>
      </c>
    </row>
    <row r="68" spans="1:1">
      <c r="A68" s="73" t="s">
        <v>2210</v>
      </c>
    </row>
    <row r="69" spans="1:1">
      <c r="A69" s="73" t="s">
        <v>2857</v>
      </c>
    </row>
    <row r="70" spans="1:1">
      <c r="A70" s="73" t="s">
        <v>2212</v>
      </c>
    </row>
    <row r="71" spans="1:1">
      <c r="A71" s="73" t="s">
        <v>2214</v>
      </c>
    </row>
    <row r="72" spans="1:1">
      <c r="A72" s="73" t="s">
        <v>2213</v>
      </c>
    </row>
    <row r="73" spans="1:1">
      <c r="A73" s="73" t="s">
        <v>2858</v>
      </c>
    </row>
    <row r="74" spans="1:1">
      <c r="A74" s="73" t="s">
        <v>2859</v>
      </c>
    </row>
    <row r="75" spans="1:1">
      <c r="A75" s="80" t="s">
        <v>638</v>
      </c>
    </row>
    <row r="76" spans="1:1">
      <c r="A76" s="20"/>
    </row>
    <row r="77" spans="1:1">
      <c r="A77" s="139" t="s">
        <v>942</v>
      </c>
    </row>
    <row r="78" spans="1:1">
      <c r="A78" s="73" t="s">
        <v>2072</v>
      </c>
    </row>
    <row r="79" spans="1:1">
      <c r="A79" s="73" t="s">
        <v>3172</v>
      </c>
    </row>
    <row r="80" spans="1:1">
      <c r="A80" s="73" t="s">
        <v>3350</v>
      </c>
    </row>
    <row r="81" spans="1:1">
      <c r="A81" s="73" t="s">
        <v>2103</v>
      </c>
    </row>
    <row r="82" spans="1:1">
      <c r="A82" s="73" t="s">
        <v>2104</v>
      </c>
    </row>
    <row r="83" spans="1:1">
      <c r="A83" s="73" t="s">
        <v>1404</v>
      </c>
    </row>
    <row r="84" spans="1:1">
      <c r="A84" s="73" t="s">
        <v>2210</v>
      </c>
    </row>
    <row r="85" spans="1:1">
      <c r="A85" s="73" t="s">
        <v>2857</v>
      </c>
    </row>
    <row r="86" spans="1:1">
      <c r="A86" s="73" t="s">
        <v>2212</v>
      </c>
    </row>
    <row r="87" spans="1:1">
      <c r="A87" s="73" t="s">
        <v>2214</v>
      </c>
    </row>
    <row r="88" spans="1:1">
      <c r="A88" s="73" t="s">
        <v>2213</v>
      </c>
    </row>
    <row r="89" spans="1:1">
      <c r="A89" s="73" t="s">
        <v>2858</v>
      </c>
    </row>
    <row r="90" spans="1:1">
      <c r="A90" s="73" t="s">
        <v>2859</v>
      </c>
    </row>
    <row r="91" spans="1:1">
      <c r="A91" s="80" t="s">
        <v>638</v>
      </c>
    </row>
    <row r="92" spans="1:1">
      <c r="A92" s="20"/>
    </row>
    <row r="93" spans="1:1">
      <c r="A93" s="139" t="s">
        <v>2152</v>
      </c>
    </row>
    <row r="94" spans="1:1">
      <c r="A94" s="73" t="s">
        <v>2072</v>
      </c>
    </row>
    <row r="95" spans="1:1">
      <c r="A95" s="73" t="s">
        <v>3172</v>
      </c>
    </row>
    <row r="96" spans="1:1">
      <c r="A96" s="73" t="s">
        <v>3350</v>
      </c>
    </row>
    <row r="97" spans="1:1">
      <c r="A97" s="73" t="s">
        <v>2103</v>
      </c>
    </row>
    <row r="98" spans="1:1">
      <c r="A98" s="73" t="s">
        <v>2104</v>
      </c>
    </row>
    <row r="99" spans="1:1">
      <c r="A99" s="73" t="s">
        <v>1404</v>
      </c>
    </row>
    <row r="100" spans="1:1">
      <c r="A100" s="73" t="s">
        <v>2210</v>
      </c>
    </row>
    <row r="101" spans="1:1">
      <c r="A101" s="73" t="s">
        <v>2857</v>
      </c>
    </row>
    <row r="102" spans="1:1">
      <c r="A102" s="73" t="s">
        <v>2212</v>
      </c>
    </row>
    <row r="103" spans="1:1">
      <c r="A103" s="73" t="s">
        <v>2214</v>
      </c>
    </row>
    <row r="104" spans="1:1">
      <c r="A104" s="73" t="s">
        <v>2213</v>
      </c>
    </row>
    <row r="105" spans="1:1">
      <c r="A105" s="73" t="s">
        <v>2858</v>
      </c>
    </row>
    <row r="106" spans="1:1">
      <c r="A106" s="73" t="s">
        <v>2859</v>
      </c>
    </row>
    <row r="107" spans="1:1">
      <c r="A107" s="3" t="s">
        <v>638</v>
      </c>
    </row>
    <row r="108" spans="1:1">
      <c r="A108" s="93" t="s">
        <v>3038</v>
      </c>
    </row>
    <row r="109" spans="1:1">
      <c r="A109" s="93" t="s">
        <v>4055</v>
      </c>
    </row>
    <row r="110" spans="1:1">
      <c r="A110" s="73" t="s">
        <v>2072</v>
      </c>
    </row>
    <row r="111" spans="1:1">
      <c r="A111" s="73" t="s">
        <v>3172</v>
      </c>
    </row>
    <row r="112" spans="1:1">
      <c r="A112" s="76" t="s">
        <v>3350</v>
      </c>
    </row>
    <row r="113" spans="1:1">
      <c r="A113" s="76" t="s">
        <v>2103</v>
      </c>
    </row>
    <row r="114" spans="1:1">
      <c r="A114" s="73" t="s">
        <v>2104</v>
      </c>
    </row>
    <row r="115" spans="1:1">
      <c r="A115" s="73" t="s">
        <v>1404</v>
      </c>
    </row>
    <row r="116" spans="1:1">
      <c r="A116" s="73" t="s">
        <v>2210</v>
      </c>
    </row>
    <row r="117" spans="1:1">
      <c r="A117" s="73" t="s">
        <v>2857</v>
      </c>
    </row>
    <row r="118" spans="1:1">
      <c r="A118" s="73" t="s">
        <v>2212</v>
      </c>
    </row>
    <row r="119" spans="1:1">
      <c r="A119" s="73" t="s">
        <v>2214</v>
      </c>
    </row>
    <row r="120" spans="1:1">
      <c r="A120" s="73" t="s">
        <v>2213</v>
      </c>
    </row>
    <row r="121" spans="1:1">
      <c r="A121" s="73" t="s">
        <v>2858</v>
      </c>
    </row>
    <row r="122" spans="1:1">
      <c r="A122" s="73" t="s">
        <v>2859</v>
      </c>
    </row>
    <row r="123" spans="1:1">
      <c r="A123" s="87" t="s">
        <v>638</v>
      </c>
    </row>
    <row r="124" spans="1:1">
      <c r="A124" s="91" t="s">
        <v>4106</v>
      </c>
    </row>
    <row r="125" spans="1:1">
      <c r="A125" s="156" t="s">
        <v>2549</v>
      </c>
    </row>
    <row r="126" spans="1:1">
      <c r="A126" s="87" t="s">
        <v>2573</v>
      </c>
    </row>
    <row r="127" spans="1:1">
      <c r="A127" s="156" t="s">
        <v>4311</v>
      </c>
    </row>
    <row r="128" spans="1:1">
      <c r="A128" s="87" t="s">
        <v>3550</v>
      </c>
    </row>
    <row r="129" spans="1:1">
      <c r="A129" s="87" t="s">
        <v>4312</v>
      </c>
    </row>
    <row r="130" spans="1:1">
      <c r="A130" s="3" t="s">
        <v>1963</v>
      </c>
    </row>
    <row r="131" spans="1:1">
      <c r="A131" s="149" t="s">
        <v>2875</v>
      </c>
    </row>
    <row r="132" spans="1:1">
      <c r="A132" s="158" t="s">
        <v>729</v>
      </c>
    </row>
    <row r="133" spans="1:1">
      <c r="A133" s="18" t="s">
        <v>2568</v>
      </c>
    </row>
    <row r="134" spans="1:1">
      <c r="A134" s="18" t="s">
        <v>2130</v>
      </c>
    </row>
    <row r="135" spans="1:1">
      <c r="A135" s="18" t="s">
        <v>2570</v>
      </c>
    </row>
    <row r="136" spans="1:1">
      <c r="A136" s="18" t="s">
        <v>2571</v>
      </c>
    </row>
    <row r="137" spans="1:1">
      <c r="A137" s="18" t="s">
        <v>2572</v>
      </c>
    </row>
    <row r="138" spans="1:1">
      <c r="A138" s="18"/>
    </row>
    <row r="139" spans="1:1">
      <c r="A139" s="42" t="s">
        <v>3092</v>
      </c>
    </row>
    <row r="140" spans="1:1">
      <c r="A140" s="73" t="s">
        <v>3542</v>
      </c>
    </row>
    <row r="141" spans="1:1">
      <c r="A141" s="73" t="s">
        <v>3125</v>
      </c>
    </row>
    <row r="142" spans="1:1">
      <c r="A142" s="3" t="s">
        <v>4019</v>
      </c>
    </row>
    <row r="143" spans="1:1">
      <c r="A143" s="70" t="s">
        <v>3676</v>
      </c>
    </row>
    <row r="144" spans="1:1">
      <c r="A144" s="133" t="s">
        <v>1358</v>
      </c>
    </row>
    <row r="145" spans="1:1">
      <c r="A145" s="80" t="s">
        <v>1304</v>
      </c>
    </row>
    <row r="146" spans="1:1">
      <c r="A146" s="80" t="s">
        <v>1513</v>
      </c>
    </row>
    <row r="147" spans="1:1">
      <c r="A147" s="80" t="s">
        <v>3245</v>
      </c>
    </row>
    <row r="148" spans="1:1">
      <c r="A148" s="80" t="s">
        <v>4033</v>
      </c>
    </row>
    <row r="149" spans="1:1">
      <c r="A149" s="133" t="s">
        <v>917</v>
      </c>
    </row>
    <row r="150" spans="1:1">
      <c r="A150" s="80" t="s">
        <v>4034</v>
      </c>
    </row>
    <row r="151" spans="1:1">
      <c r="A151" s="80" t="s">
        <v>4617</v>
      </c>
    </row>
    <row r="152" spans="1:1">
      <c r="A152" s="80" t="s">
        <v>4618</v>
      </c>
    </row>
    <row r="153" spans="1:1">
      <c r="A153" s="80" t="s">
        <v>4315</v>
      </c>
    </row>
    <row r="154" spans="1:1">
      <c r="A154" s="80" t="s">
        <v>4589</v>
      </c>
    </row>
    <row r="155" spans="1:1">
      <c r="A155" s="80" t="s">
        <v>1918</v>
      </c>
    </row>
    <row r="156" spans="1:1">
      <c r="A156" s="133" t="s">
        <v>2062</v>
      </c>
    </row>
    <row r="157" spans="1:1">
      <c r="A157" s="80" t="s">
        <v>571</v>
      </c>
    </row>
    <row r="158" spans="1:1">
      <c r="A158" s="80" t="s">
        <v>730</v>
      </c>
    </row>
    <row r="159" spans="1:1">
      <c r="A159" s="80" t="s">
        <v>1381</v>
      </c>
    </row>
    <row r="160" spans="1:1">
      <c r="A160" s="80" t="s">
        <v>1999</v>
      </c>
    </row>
    <row r="161" spans="1:1">
      <c r="A161" s="133" t="s">
        <v>1678</v>
      </c>
    </row>
    <row r="162" spans="1:1">
      <c r="A162" s="80" t="s">
        <v>533</v>
      </c>
    </row>
    <row r="163" spans="1:1">
      <c r="A163" s="18" t="s">
        <v>4536</v>
      </c>
    </row>
    <row r="164" spans="1:1">
      <c r="A164" s="98" t="s">
        <v>141</v>
      </c>
    </row>
    <row r="165" spans="1:1">
      <c r="A165" s="18" t="s">
        <v>4307</v>
      </c>
    </row>
    <row r="166" spans="1:1">
      <c r="A166" s="18" t="s">
        <v>2277</v>
      </c>
    </row>
    <row r="167" spans="1:1">
      <c r="A167" s="133" t="s">
        <v>1080</v>
      </c>
    </row>
    <row r="168" spans="1:1">
      <c r="A168" s="80" t="s">
        <v>1571</v>
      </c>
    </row>
    <row r="169" spans="1:1">
      <c r="A169" s="80" t="s">
        <v>548</v>
      </c>
    </row>
    <row r="170" spans="1:1">
      <c r="A170" s="80" t="s">
        <v>549</v>
      </c>
    </row>
    <row r="171" spans="1:1">
      <c r="A171" s="30" t="s">
        <v>1109</v>
      </c>
    </row>
    <row r="172" spans="1:1">
      <c r="A172" s="80" t="s">
        <v>1569</v>
      </c>
    </row>
    <row r="173" spans="1:1">
      <c r="A173" s="80"/>
    </row>
    <row r="174" spans="1:1">
      <c r="A174" s="134" t="s">
        <v>197</v>
      </c>
    </row>
    <row r="175" spans="1:1">
      <c r="A175" s="101" t="s">
        <v>1934</v>
      </c>
    </row>
    <row r="176" spans="1:1">
      <c r="A176" s="101" t="s">
        <v>3959</v>
      </c>
    </row>
    <row r="178" spans="1:72">
      <c r="A178" s="70" t="s">
        <v>1891</v>
      </c>
    </row>
    <row r="179" spans="1:72">
      <c r="A179" s="282" t="s">
        <v>4121</v>
      </c>
    </row>
    <row r="180" spans="1:72">
      <c r="A180" s="104" t="s">
        <v>716</v>
      </c>
    </row>
    <row r="181" spans="1:72">
      <c r="A181" s="133" t="s">
        <v>881</v>
      </c>
    </row>
    <row r="182" spans="1:72">
      <c r="A182" s="76" t="s">
        <v>1734</v>
      </c>
      <c r="BN182" s="1089"/>
      <c r="BO182" s="1089"/>
      <c r="BP182" s="1089"/>
      <c r="BQ182" s="1089"/>
      <c r="BR182" s="1089"/>
      <c r="BS182" s="1026"/>
      <c r="BT182" s="1026"/>
    </row>
    <row r="183" spans="1:72">
      <c r="A183" s="76" t="s">
        <v>73</v>
      </c>
      <c r="BN183" s="1089"/>
      <c r="BO183" s="1089"/>
      <c r="BP183" s="1089"/>
      <c r="BQ183" s="1089"/>
      <c r="BR183" s="1089"/>
      <c r="BS183" s="1026"/>
      <c r="BT183" s="1026"/>
    </row>
    <row r="184" spans="1:72">
      <c r="A184" s="76" t="s">
        <v>2122</v>
      </c>
      <c r="BN184" s="1089"/>
      <c r="BO184" s="1089"/>
      <c r="BP184" s="1089"/>
      <c r="BQ184" s="1089"/>
      <c r="BR184" s="1089"/>
      <c r="BS184" s="1026"/>
      <c r="BT184" s="1026"/>
    </row>
    <row r="185" spans="1:72">
      <c r="A185" s="76" t="s">
        <v>3235</v>
      </c>
      <c r="BN185" s="1089"/>
      <c r="BO185" s="1089"/>
      <c r="BP185" s="1089"/>
      <c r="BQ185" s="1089"/>
      <c r="BR185" s="1089"/>
      <c r="BS185" s="1026"/>
      <c r="BT185" s="1026"/>
    </row>
    <row r="186" spans="1:72">
      <c r="A186" s="133" t="s">
        <v>4184</v>
      </c>
      <c r="BN186" s="1089"/>
      <c r="BO186" s="1089"/>
      <c r="BP186" s="1089"/>
      <c r="BQ186" s="1089"/>
      <c r="BR186" s="1089"/>
      <c r="BS186" s="1026"/>
      <c r="BT186" s="1026"/>
    </row>
    <row r="187" spans="1:72">
      <c r="A187" s="80" t="s">
        <v>2352</v>
      </c>
      <c r="BN187" s="1089"/>
      <c r="BO187" s="1089"/>
      <c r="BP187" s="1089"/>
      <c r="BQ187" s="1089"/>
      <c r="BR187" s="1089"/>
      <c r="BS187" s="1026"/>
      <c r="BT187" s="1026"/>
    </row>
    <row r="188" spans="1:72">
      <c r="A188" s="80" t="s">
        <v>2353</v>
      </c>
      <c r="BN188" s="1089"/>
      <c r="BO188" s="1089"/>
      <c r="BP188" s="1089"/>
      <c r="BQ188" s="1089"/>
      <c r="BR188" s="1089"/>
      <c r="BS188" s="1026"/>
      <c r="BT188" s="1026"/>
    </row>
    <row r="189" spans="1:72">
      <c r="A189" s="80" t="s">
        <v>4607</v>
      </c>
      <c r="BN189" s="1089"/>
      <c r="BO189" s="1089"/>
      <c r="BP189" s="1089"/>
      <c r="BQ189" s="1089"/>
      <c r="BR189" s="1089"/>
      <c r="BS189" s="1026"/>
      <c r="BT189" s="1026"/>
    </row>
    <row r="190" spans="1:72">
      <c r="A190" s="80" t="s">
        <v>4608</v>
      </c>
      <c r="BN190" s="1089"/>
      <c r="BO190" s="1089"/>
      <c r="BP190" s="1089"/>
      <c r="BQ190" s="1089"/>
      <c r="BR190" s="1089"/>
      <c r="BS190" s="1026"/>
      <c r="BT190" s="1026"/>
    </row>
    <row r="191" spans="1:72">
      <c r="A191" s="80" t="s">
        <v>536</v>
      </c>
      <c r="BN191" s="1089"/>
      <c r="BO191" s="1089"/>
      <c r="BP191" s="1089"/>
      <c r="BQ191" s="1089"/>
      <c r="BR191" s="1089"/>
      <c r="BS191" s="1026"/>
      <c r="BT191" s="1026"/>
    </row>
    <row r="192" spans="1:72">
      <c r="A192" s="80" t="s">
        <v>1774</v>
      </c>
      <c r="BN192" s="1089"/>
      <c r="BO192" s="1089"/>
      <c r="BP192" s="1089"/>
      <c r="BQ192" s="1089"/>
      <c r="BR192" s="1089"/>
      <c r="BS192" s="1026"/>
      <c r="BT192" s="1026"/>
    </row>
    <row r="193" spans="1:72">
      <c r="A193" s="80" t="s">
        <v>3829</v>
      </c>
      <c r="BN193" s="1089"/>
      <c r="BO193" s="1089"/>
      <c r="BP193" s="1089"/>
      <c r="BQ193" s="1089"/>
      <c r="BR193" s="1089"/>
      <c r="BS193" s="1026"/>
      <c r="BT193" s="1026"/>
    </row>
    <row r="194" spans="1:72">
      <c r="A194" s="136" t="s">
        <v>2518</v>
      </c>
      <c r="BN194" s="1089"/>
      <c r="BO194" s="1089"/>
      <c r="BP194" s="1089"/>
      <c r="BQ194" s="1089"/>
      <c r="BR194" s="1089"/>
      <c r="BS194" s="1026"/>
      <c r="BT194" s="1026"/>
    </row>
    <row r="195" spans="1:72">
      <c r="A195" s="80" t="s">
        <v>3848</v>
      </c>
      <c r="BN195" s="1089"/>
      <c r="BO195" s="1089"/>
      <c r="BP195" s="1089"/>
      <c r="BQ195" s="1089"/>
      <c r="BR195" s="1089"/>
      <c r="BS195" s="1026"/>
      <c r="BT195" s="1026"/>
    </row>
    <row r="196" spans="1:72">
      <c r="A196" s="80" t="s">
        <v>2810</v>
      </c>
      <c r="BN196" s="1089"/>
      <c r="BO196" s="1089"/>
      <c r="BP196" s="1089"/>
      <c r="BQ196" s="1089"/>
      <c r="BR196" s="1089"/>
      <c r="BS196" s="1026"/>
      <c r="BT196" s="1026"/>
    </row>
    <row r="197" spans="1:72">
      <c r="A197" s="80" t="s">
        <v>1972</v>
      </c>
      <c r="BN197" s="1089"/>
      <c r="BO197" s="1089"/>
      <c r="BP197" s="1089"/>
      <c r="BQ197" s="1089"/>
      <c r="BR197" s="1089"/>
      <c r="BS197" s="1026"/>
      <c r="BT197" s="1026"/>
    </row>
    <row r="198" spans="1:72">
      <c r="A198" s="80" t="s">
        <v>1245</v>
      </c>
      <c r="BN198" s="1089"/>
      <c r="BO198" s="1089"/>
      <c r="BP198" s="1089"/>
      <c r="BQ198" s="1089"/>
      <c r="BR198" s="1089"/>
      <c r="BS198" s="1026"/>
      <c r="BT198" s="1026"/>
    </row>
    <row r="199" spans="1:72">
      <c r="A199" s="132" t="s">
        <v>2436</v>
      </c>
      <c r="BN199" s="1089"/>
      <c r="BO199" s="1089"/>
      <c r="BP199" s="1089"/>
      <c r="BQ199" s="1089"/>
      <c r="BR199" s="1089"/>
      <c r="BS199" s="1026"/>
      <c r="BT199" s="1026"/>
    </row>
    <row r="200" spans="1:72">
      <c r="A200" s="98" t="s">
        <v>3945</v>
      </c>
      <c r="BN200" s="1089"/>
      <c r="BO200" s="1089"/>
      <c r="BP200" s="1089"/>
      <c r="BQ200" s="1089"/>
      <c r="BR200" s="1089"/>
      <c r="BS200" s="1026"/>
      <c r="BT200" s="1026"/>
    </row>
    <row r="201" spans="1:72">
      <c r="A201" s="80" t="s">
        <v>141</v>
      </c>
      <c r="BN201" s="1089"/>
      <c r="BO201" s="1089"/>
      <c r="BP201" s="1089"/>
      <c r="BQ201" s="1089"/>
      <c r="BR201" s="1089"/>
      <c r="BS201" s="1026"/>
      <c r="BT201" s="1026"/>
    </row>
    <row r="202" spans="1:72">
      <c r="A202" s="98" t="s">
        <v>3381</v>
      </c>
      <c r="BN202" s="1089"/>
      <c r="BO202" s="1089"/>
      <c r="BP202" s="1089"/>
      <c r="BQ202" s="1089"/>
      <c r="BR202" s="1089"/>
      <c r="BS202" s="1026"/>
      <c r="BT202" s="1026"/>
    </row>
    <row r="203" spans="1:72">
      <c r="A203" s="104" t="s">
        <v>945</v>
      </c>
      <c r="BN203" s="1089"/>
      <c r="BO203" s="1089"/>
      <c r="BP203" s="1089"/>
      <c r="BQ203" s="1089"/>
      <c r="BR203" s="1089"/>
      <c r="BS203" s="1026"/>
      <c r="BT203" s="1026"/>
    </row>
    <row r="204" spans="1:72">
      <c r="A204" s="19" t="s">
        <v>545</v>
      </c>
      <c r="BN204" s="1089"/>
      <c r="BO204" s="1089"/>
      <c r="BP204" s="1089"/>
      <c r="BQ204" s="1089"/>
      <c r="BR204" s="1089"/>
      <c r="BS204" s="1026"/>
      <c r="BT204" s="1026"/>
    </row>
    <row r="205" spans="1:72">
      <c r="A205" s="133" t="s">
        <v>3794</v>
      </c>
      <c r="BN205" s="1089"/>
      <c r="BO205" s="1089"/>
      <c r="BP205" s="1089"/>
      <c r="BQ205" s="1089"/>
      <c r="BR205" s="1089"/>
      <c r="BS205" s="1026"/>
      <c r="BT205" s="1026"/>
    </row>
    <row r="206" spans="1:72">
      <c r="A206" s="80" t="s">
        <v>580</v>
      </c>
      <c r="BN206" s="1089"/>
      <c r="BO206" s="1089"/>
      <c r="BP206" s="1089"/>
      <c r="BQ206" s="1089"/>
      <c r="BR206" s="1089"/>
      <c r="BS206" s="1026"/>
      <c r="BT206" s="1026"/>
    </row>
    <row r="207" spans="1:72">
      <c r="A207" s="133" t="s">
        <v>946</v>
      </c>
      <c r="BN207" s="1089"/>
      <c r="BO207" s="1089"/>
      <c r="BP207" s="1089"/>
      <c r="BQ207" s="1089"/>
      <c r="BR207" s="1089"/>
      <c r="BS207" s="1026"/>
      <c r="BT207" s="1026"/>
    </row>
    <row r="208" spans="1:72">
      <c r="A208" s="80" t="s">
        <v>2536</v>
      </c>
      <c r="BN208" s="1089"/>
      <c r="BO208" s="1089"/>
      <c r="BP208" s="1089"/>
      <c r="BQ208" s="1089"/>
      <c r="BR208" s="1089"/>
      <c r="BS208" s="1026"/>
      <c r="BT208" s="1026"/>
    </row>
    <row r="209" spans="1:72">
      <c r="A209" s="80" t="s">
        <v>1926</v>
      </c>
      <c r="BN209" s="1089"/>
      <c r="BO209" s="1089"/>
      <c r="BP209" s="1089"/>
      <c r="BQ209" s="1089"/>
      <c r="BR209" s="1089"/>
      <c r="BS209" s="1026"/>
      <c r="BT209" s="1026"/>
    </row>
    <row r="210" spans="1:72">
      <c r="A210" s="133" t="s">
        <v>2123</v>
      </c>
      <c r="BN210" s="1089"/>
      <c r="BO210" s="1089"/>
      <c r="BP210" s="1089"/>
      <c r="BQ210" s="1089"/>
      <c r="BR210" s="1089"/>
      <c r="BS210" s="1026"/>
      <c r="BT210" s="1026"/>
    </row>
    <row r="211" spans="1:72">
      <c r="A211" s="80" t="s">
        <v>3843</v>
      </c>
      <c r="BN211" s="1089"/>
      <c r="BO211" s="1089"/>
      <c r="BP211" s="1089"/>
      <c r="BQ211" s="1089"/>
      <c r="BR211" s="1089"/>
      <c r="BS211" s="1026"/>
      <c r="BT211" s="1026"/>
    </row>
    <row r="212" spans="1:72">
      <c r="A212" s="133" t="s">
        <v>2062</v>
      </c>
      <c r="BN212" s="1089"/>
      <c r="BO212" s="1089"/>
      <c r="BP212" s="1089"/>
      <c r="BQ212" s="1089"/>
      <c r="BR212" s="1089"/>
      <c r="BS212" s="1026"/>
      <c r="BT212" s="1026"/>
    </row>
    <row r="213" spans="1:72">
      <c r="A213" s="80" t="s">
        <v>678</v>
      </c>
      <c r="BN213" s="1089"/>
      <c r="BO213" s="1089"/>
      <c r="BP213" s="1089"/>
      <c r="BQ213" s="1089"/>
      <c r="BR213" s="1089"/>
      <c r="BS213" s="1026"/>
      <c r="BT213" s="1026"/>
    </row>
    <row r="214" spans="1:72">
      <c r="A214" s="98" t="s">
        <v>1427</v>
      </c>
      <c r="BN214" s="1089"/>
      <c r="BO214" s="1089"/>
      <c r="BP214" s="1089"/>
      <c r="BQ214" s="1089"/>
      <c r="BR214" s="1089"/>
      <c r="BS214" s="1026"/>
      <c r="BT214" s="1026"/>
    </row>
    <row r="215" spans="1:72">
      <c r="A215" s="133" t="s">
        <v>3379</v>
      </c>
      <c r="BN215" s="1089"/>
      <c r="BO215" s="1089"/>
      <c r="BP215" s="1089"/>
      <c r="BQ215" s="1089"/>
      <c r="BR215" s="1089"/>
      <c r="BS215" s="1026"/>
      <c r="BT215" s="1026"/>
    </row>
    <row r="216" spans="1:72">
      <c r="A216" s="80" t="s">
        <v>1720</v>
      </c>
      <c r="BN216" s="1089"/>
      <c r="BO216" s="1089"/>
      <c r="BP216" s="1089"/>
      <c r="BQ216" s="1089"/>
      <c r="BR216" s="1089"/>
      <c r="BS216" s="1026"/>
      <c r="BT216" s="1026"/>
    </row>
    <row r="217" spans="1:72">
      <c r="A217" s="3" t="s">
        <v>2219</v>
      </c>
      <c r="BN217" s="1089"/>
      <c r="BO217" s="1089"/>
      <c r="BP217" s="1089"/>
      <c r="BQ217" s="1089"/>
      <c r="BR217" s="1089"/>
      <c r="BS217" s="1026"/>
      <c r="BT217" s="1026"/>
    </row>
    <row r="218" spans="1:72">
      <c r="A218" s="133" t="s">
        <v>3494</v>
      </c>
      <c r="BN218" s="1089"/>
      <c r="BO218" s="1089"/>
      <c r="BP218" s="1089"/>
      <c r="BQ218" s="1089"/>
      <c r="BR218" s="1089"/>
      <c r="BS218" s="1026"/>
      <c r="BT218" s="1026"/>
    </row>
    <row r="219" spans="1:72">
      <c r="A219" s="80" t="s">
        <v>2050</v>
      </c>
      <c r="BN219" s="1089"/>
      <c r="BO219" s="1089"/>
      <c r="BP219" s="1089"/>
      <c r="BQ219" s="1089"/>
      <c r="BR219" s="1089"/>
      <c r="BS219" s="1026"/>
      <c r="BT219" s="1026"/>
    </row>
    <row r="220" spans="1:72">
      <c r="A220" s="80" t="s">
        <v>3433</v>
      </c>
      <c r="BN220" s="1089"/>
      <c r="BO220" s="1089"/>
      <c r="BP220" s="1089"/>
      <c r="BQ220" s="1089"/>
      <c r="BR220" s="1089"/>
      <c r="BS220" s="1026"/>
      <c r="BT220" s="1026"/>
    </row>
    <row r="221" spans="1:72">
      <c r="A221" s="80" t="s">
        <v>3832</v>
      </c>
      <c r="BN221" s="1089"/>
      <c r="BO221" s="1089"/>
      <c r="BP221" s="1089"/>
      <c r="BQ221" s="1089"/>
      <c r="BR221" s="1089"/>
      <c r="BS221" s="1026"/>
      <c r="BT221" s="1026"/>
    </row>
    <row r="222" spans="1:72">
      <c r="A222" s="80" t="s">
        <v>3682</v>
      </c>
      <c r="BN222" s="1089"/>
      <c r="BO222" s="1089"/>
      <c r="BP222" s="1089"/>
      <c r="BQ222" s="1089"/>
      <c r="BR222" s="1089"/>
      <c r="BS222" s="1026"/>
      <c r="BT222" s="1026"/>
    </row>
    <row r="223" spans="1:72">
      <c r="A223" s="51" t="s">
        <v>3280</v>
      </c>
      <c r="BN223" s="1089"/>
      <c r="BO223" s="1089"/>
      <c r="BP223" s="1089"/>
      <c r="BQ223" s="1089"/>
      <c r="BR223" s="1089"/>
      <c r="BS223" s="1026"/>
      <c r="BT223" s="1026"/>
    </row>
    <row r="224" spans="1:72">
      <c r="A224" s="76" t="s">
        <v>76</v>
      </c>
      <c r="BN224" s="1089"/>
      <c r="BO224" s="1089"/>
      <c r="BP224" s="1089"/>
      <c r="BQ224" s="1089"/>
      <c r="BR224" s="1089"/>
      <c r="BS224" s="1026"/>
      <c r="BT224" s="1026"/>
    </row>
    <row r="225" spans="1:72">
      <c r="A225" s="51" t="s">
        <v>2914</v>
      </c>
      <c r="BN225" s="1089"/>
      <c r="BO225" s="1089"/>
      <c r="BP225" s="1089"/>
      <c r="BQ225" s="1089"/>
      <c r="BR225" s="1089"/>
      <c r="BS225" s="1026"/>
      <c r="BT225" s="1026"/>
    </row>
    <row r="226" spans="1:72">
      <c r="A226" s="51" t="s">
        <v>1355</v>
      </c>
    </row>
    <row r="227" spans="1:72">
      <c r="A227" s="133" t="s">
        <v>2586</v>
      </c>
    </row>
    <row r="228" spans="1:72">
      <c r="A228" s="80" t="s">
        <v>2510</v>
      </c>
    </row>
    <row r="229" spans="1:72">
      <c r="A229" s="80" t="s">
        <v>1901</v>
      </c>
    </row>
    <row r="230" spans="1:72">
      <c r="A230" s="80" t="s">
        <v>1758</v>
      </c>
    </row>
    <row r="231" spans="1:72">
      <c r="A231" s="104" t="s">
        <v>3498</v>
      </c>
    </row>
    <row r="232" spans="1:72">
      <c r="A232" s="98" t="s">
        <v>564</v>
      </c>
    </row>
    <row r="233" spans="1:72">
      <c r="A233" s="98" t="s">
        <v>4307</v>
      </c>
    </row>
    <row r="234" spans="1:72">
      <c r="A234" s="80" t="s">
        <v>3712</v>
      </c>
    </row>
    <row r="236" spans="1:72">
      <c r="A236" s="80" t="s">
        <v>2077</v>
      </c>
    </row>
    <row r="237" spans="1:72">
      <c r="A237" s="80" t="s">
        <v>1903</v>
      </c>
    </row>
    <row r="238" spans="1:72">
      <c r="A238" s="104" t="s">
        <v>1890</v>
      </c>
    </row>
    <row r="239" spans="1:72">
      <c r="A239" s="80" t="s">
        <v>159</v>
      </c>
    </row>
    <row r="240" spans="1:72">
      <c r="A240" s="80" t="s">
        <v>158</v>
      </c>
    </row>
    <row r="241" spans="1:1">
      <c r="A241" s="80" t="s">
        <v>58</v>
      </c>
    </row>
    <row r="242" spans="1:1">
      <c r="A242" s="80" t="s">
        <v>563</v>
      </c>
    </row>
    <row r="243" spans="1:1">
      <c r="A243" s="80" t="s">
        <v>3034</v>
      </c>
    </row>
    <row r="244" spans="1:1">
      <c r="A244" s="30" t="s">
        <v>3492</v>
      </c>
    </row>
    <row r="246" spans="1:1">
      <c r="A246" s="137" t="s">
        <v>196</v>
      </c>
    </row>
    <row r="247" spans="1:1">
      <c r="A247" s="112" t="s">
        <v>2022</v>
      </c>
    </row>
    <row r="248" spans="1:1">
      <c r="A248" s="162" t="s">
        <v>2765</v>
      </c>
    </row>
    <row r="249" spans="1:1">
      <c r="A249" s="99" t="s">
        <v>2362</v>
      </c>
    </row>
    <row r="250" spans="1:1">
      <c r="A250" s="99" t="s">
        <v>2797</v>
      </c>
    </row>
    <row r="251" spans="1:1">
      <c r="A251" s="80"/>
    </row>
    <row r="252" spans="1:1">
      <c r="A252" s="146" t="s">
        <v>3879</v>
      </c>
    </row>
    <row r="254" spans="1:1">
      <c r="A254" s="42" t="s">
        <v>486</v>
      </c>
    </row>
    <row r="255" spans="1:1">
      <c r="A255" s="73" t="s">
        <v>1504</v>
      </c>
    </row>
    <row r="256" spans="1:1">
      <c r="A256" s="73" t="s">
        <v>4624</v>
      </c>
    </row>
    <row r="257" spans="1:1">
      <c r="A257" s="73" t="s">
        <v>4625</v>
      </c>
    </row>
    <row r="258" spans="1:1">
      <c r="A258" s="73" t="s">
        <v>4626</v>
      </c>
    </row>
    <row r="259" spans="1:1">
      <c r="A259" s="87" t="s">
        <v>461</v>
      </c>
    </row>
    <row r="260" spans="1:1">
      <c r="A260" s="42" t="s">
        <v>487</v>
      </c>
    </row>
    <row r="261" spans="1:1">
      <c r="A261" s="73" t="s">
        <v>4627</v>
      </c>
    </row>
    <row r="262" spans="1:1">
      <c r="A262" s="3" t="s">
        <v>930</v>
      </c>
    </row>
    <row r="263" spans="1:1">
      <c r="A263" s="3" t="s">
        <v>929</v>
      </c>
    </row>
    <row r="264" spans="1:1">
      <c r="A264" s="135" t="s">
        <v>2786</v>
      </c>
    </row>
    <row r="265" spans="1:1">
      <c r="A265" s="30" t="s">
        <v>1928</v>
      </c>
    </row>
    <row r="266" spans="1:1">
      <c r="A266" s="116" t="s">
        <v>1332</v>
      </c>
    </row>
    <row r="267" spans="1:1">
      <c r="A267" s="99" t="s">
        <v>4559</v>
      </c>
    </row>
    <row r="268" spans="1:1">
      <c r="A268" s="99" t="s">
        <v>329</v>
      </c>
    </row>
    <row r="269" spans="1:1" ht="15">
      <c r="A269" s="297" t="s">
        <v>4138</v>
      </c>
    </row>
    <row r="270" spans="1:1" ht="15">
      <c r="A270" s="297" t="s">
        <v>1309</v>
      </c>
    </row>
    <row r="271" spans="1:1" ht="15">
      <c r="A271" s="297" t="s">
        <v>2322</v>
      </c>
    </row>
    <row r="272" spans="1:1">
      <c r="A272" s="112" t="s">
        <v>1595</v>
      </c>
    </row>
    <row r="273" spans="1:1">
      <c r="A273" s="112" t="s">
        <v>3835</v>
      </c>
    </row>
    <row r="274" spans="1:1">
      <c r="A274" s="99" t="s">
        <v>2010</v>
      </c>
    </row>
    <row r="275" spans="1:1">
      <c r="A275" s="135" t="s">
        <v>3699</v>
      </c>
    </row>
    <row r="276" spans="1:1">
      <c r="A276" s="30" t="s">
        <v>714</v>
      </c>
    </row>
    <row r="277" spans="1:1">
      <c r="A277" s="116" t="s">
        <v>622</v>
      </c>
    </row>
    <row r="278" spans="1:1">
      <c r="A278" s="116" t="s">
        <v>621</v>
      </c>
    </row>
    <row r="279" spans="1:1">
      <c r="A279" s="30" t="s">
        <v>4305</v>
      </c>
    </row>
    <row r="280" spans="1:1">
      <c r="A280" s="116" t="s">
        <v>1976</v>
      </c>
    </row>
    <row r="282" spans="1:1">
      <c r="A282" s="135" t="s">
        <v>2146</v>
      </c>
    </row>
    <row r="283" spans="1:1">
      <c r="A283" s="112" t="s">
        <v>3824</v>
      </c>
    </row>
    <row r="284" spans="1:1">
      <c r="A284" s="112" t="s">
        <v>439</v>
      </c>
    </row>
    <row r="285" spans="1:1">
      <c r="A285" s="99" t="s">
        <v>440</v>
      </c>
    </row>
    <row r="286" spans="1:1">
      <c r="A286" s="112" t="s">
        <v>2884</v>
      </c>
    </row>
    <row r="287" spans="1:1">
      <c r="A287" s="99" t="s">
        <v>2540</v>
      </c>
    </row>
    <row r="288" spans="1:1">
      <c r="A288" s="99" t="s">
        <v>2541</v>
      </c>
    </row>
    <row r="289" spans="1:1">
      <c r="A289" s="99" t="s">
        <v>1070</v>
      </c>
    </row>
    <row r="290" spans="1:1">
      <c r="A290" s="99" t="s">
        <v>797</v>
      </c>
    </row>
    <row r="291" spans="1:1">
      <c r="A291" s="3" t="s">
        <v>3539</v>
      </c>
    </row>
    <row r="292" spans="1:1">
      <c r="A292" s="73" t="s">
        <v>2463</v>
      </c>
    </row>
    <row r="293" spans="1:1">
      <c r="A293" s="30"/>
    </row>
    <row r="294" spans="1:1">
      <c r="A294" s="30" t="s">
        <v>3084</v>
      </c>
    </row>
    <row r="295" spans="1:1">
      <c r="A295" s="80" t="s">
        <v>223</v>
      </c>
    </row>
    <row r="298" spans="1:1">
      <c r="A298" s="30" t="s">
        <v>3844</v>
      </c>
    </row>
    <row r="299" spans="1:1">
      <c r="A299" s="30" t="s">
        <v>1596</v>
      </c>
    </row>
    <row r="300" spans="1:1">
      <c r="A300" s="30" t="s">
        <v>1927</v>
      </c>
    </row>
    <row r="301" spans="1:1">
      <c r="A301" s="30" t="s">
        <v>2913</v>
      </c>
    </row>
    <row r="302" spans="1:1">
      <c r="A302" s="30" t="s">
        <v>436</v>
      </c>
    </row>
    <row r="303" spans="1:1">
      <c r="A303" s="30" t="s">
        <v>1097</v>
      </c>
    </row>
    <row r="304" spans="1:1">
      <c r="A304" s="30" t="s">
        <v>1098</v>
      </c>
    </row>
    <row r="305" spans="1:1">
      <c r="A305" s="30" t="s">
        <v>227</v>
      </c>
    </row>
    <row r="306" spans="1:1">
      <c r="A306" s="30"/>
    </row>
    <row r="308" spans="1:1">
      <c r="A308" s="147" t="s">
        <v>3880</v>
      </c>
    </row>
    <row r="309" spans="1:1">
      <c r="A309" s="153" t="s">
        <v>4645</v>
      </c>
    </row>
    <row r="310" spans="1:1">
      <c r="A310" s="19" t="s">
        <v>2030</v>
      </c>
    </row>
    <row r="311" spans="1:1">
      <c r="A311" s="19" t="s">
        <v>2793</v>
      </c>
    </row>
    <row r="312" spans="1:1">
      <c r="A312" s="19" t="s">
        <v>2033</v>
      </c>
    </row>
    <row r="313" spans="1:1">
      <c r="A313" s="80" t="s">
        <v>3826</v>
      </c>
    </row>
    <row r="314" spans="1:1">
      <c r="A314" s="19" t="s">
        <v>1969</v>
      </c>
    </row>
    <row r="315" spans="1:1">
      <c r="A315" s="159" t="s">
        <v>1569</v>
      </c>
    </row>
    <row r="316" spans="1:1">
      <c r="A316" s="3" t="s">
        <v>2538</v>
      </c>
    </row>
    <row r="317" spans="1:1">
      <c r="A317" s="80" t="s">
        <v>3263</v>
      </c>
    </row>
    <row r="318" spans="1:1">
      <c r="A318" s="13" t="s">
        <v>831</v>
      </c>
    </row>
    <row r="319" spans="1:1">
      <c r="A319" s="13"/>
    </row>
    <row r="320" spans="1:1">
      <c r="A320" s="80" t="s">
        <v>1728</v>
      </c>
    </row>
    <row r="321" spans="1:1">
      <c r="A321" s="80" t="s">
        <v>2002</v>
      </c>
    </row>
    <row r="322" spans="1:1">
      <c r="A322" s="80" t="s">
        <v>1724</v>
      </c>
    </row>
    <row r="323" spans="1:1">
      <c r="A323" s="80"/>
    </row>
    <row r="324" spans="1:1">
      <c r="A324" s="80" t="s">
        <v>228</v>
      </c>
    </row>
    <row r="325" spans="1:1">
      <c r="A325" s="80"/>
    </row>
    <row r="326" spans="1:1">
      <c r="A326" s="99" t="s">
        <v>1281</v>
      </c>
    </row>
    <row r="327" spans="1:1">
      <c r="A327" s="99" t="s">
        <v>1730</v>
      </c>
    </row>
    <row r="328" spans="1:1">
      <c r="A328" s="99" t="s">
        <v>2422</v>
      </c>
    </row>
    <row r="329" spans="1:1">
      <c r="A329" s="99" t="s">
        <v>262</v>
      </c>
    </row>
    <row r="330" spans="1:1">
      <c r="A330" s="99" t="s">
        <v>3410</v>
      </c>
    </row>
    <row r="331" spans="1:1">
      <c r="A331" s="120"/>
    </row>
    <row r="332" spans="1:1">
      <c r="A332" s="70" t="s">
        <v>2602</v>
      </c>
    </row>
    <row r="333" spans="1:1">
      <c r="A333" s="80" t="s">
        <v>3533</v>
      </c>
    </row>
    <row r="334" spans="1:1">
      <c r="A334" s="80" t="s">
        <v>1050</v>
      </c>
    </row>
    <row r="335" spans="1:1">
      <c r="A335" s="80" t="s">
        <v>1868</v>
      </c>
    </row>
    <row r="336" spans="1:1">
      <c r="A336" s="80" t="s">
        <v>1599</v>
      </c>
    </row>
    <row r="337" spans="1:1">
      <c r="A337" s="80" t="s">
        <v>1600</v>
      </c>
    </row>
    <row r="338" spans="1:1">
      <c r="A338" s="3" t="s">
        <v>1538</v>
      </c>
    </row>
    <row r="339" spans="1:1">
      <c r="A339" s="3" t="s">
        <v>1539</v>
      </c>
    </row>
    <row r="340" spans="1:1">
      <c r="A340" s="3" t="s">
        <v>2887</v>
      </c>
    </row>
    <row r="341" spans="1:1">
      <c r="A341" s="99" t="s">
        <v>2155</v>
      </c>
    </row>
    <row r="342" spans="1:1">
      <c r="A342" s="80" t="s">
        <v>1362</v>
      </c>
    </row>
    <row r="343" spans="1:1">
      <c r="A343" s="80" t="s">
        <v>128</v>
      </c>
    </row>
    <row r="344" spans="1:1">
      <c r="A344" s="80" t="s">
        <v>2688</v>
      </c>
    </row>
    <row r="345" spans="1:1">
      <c r="A345" s="80" t="s">
        <v>1363</v>
      </c>
    </row>
    <row r="346" spans="1:1">
      <c r="A346" s="80" t="s">
        <v>4471</v>
      </c>
    </row>
    <row r="349" spans="1:1">
      <c r="A349" s="123"/>
    </row>
    <row r="350" spans="1:1">
      <c r="A350" s="147" t="s">
        <v>3602</v>
      </c>
    </row>
    <row r="351" spans="1:1">
      <c r="A351" s="124" t="s">
        <v>3179</v>
      </c>
    </row>
    <row r="352" spans="1:1">
      <c r="A352" s="255" t="s">
        <v>4041</v>
      </c>
    </row>
    <row r="353" spans="1:1">
      <c r="A353" s="255" t="s">
        <v>4040</v>
      </c>
    </row>
    <row r="354" spans="1:1">
      <c r="A354" s="255" t="s">
        <v>4042</v>
      </c>
    </row>
    <row r="355" spans="1:1">
      <c r="A355" s="255" t="s">
        <v>3107</v>
      </c>
    </row>
    <row r="356" spans="1:1">
      <c r="A356" s="16" t="s">
        <v>1102</v>
      </c>
    </row>
    <row r="357" spans="1:1">
      <c r="A357" s="16"/>
    </row>
    <row r="358" spans="1:1">
      <c r="A358" s="125" t="s">
        <v>3180</v>
      </c>
    </row>
    <row r="359" spans="1:1">
      <c r="A359" s="255" t="s">
        <v>594</v>
      </c>
    </row>
    <row r="360" spans="1:1">
      <c r="A360" s="255" t="s">
        <v>2704</v>
      </c>
    </row>
    <row r="361" spans="1:1">
      <c r="A361" s="16" t="s">
        <v>2703</v>
      </c>
    </row>
    <row r="362" spans="1:1">
      <c r="A362" s="76" t="s">
        <v>3824</v>
      </c>
    </row>
    <row r="363" spans="1:1">
      <c r="A363" s="256" t="s">
        <v>439</v>
      </c>
    </row>
    <row r="364" spans="1:1">
      <c r="A364" s="256" t="s">
        <v>440</v>
      </c>
    </row>
    <row r="365" spans="1:1">
      <c r="A365" s="256" t="s">
        <v>2884</v>
      </c>
    </row>
    <row r="366" spans="1:1">
      <c r="A366" s="256" t="s">
        <v>2540</v>
      </c>
    </row>
    <row r="367" spans="1:1">
      <c r="A367" s="256" t="s">
        <v>1070</v>
      </c>
    </row>
    <row r="368" spans="1:1">
      <c r="A368" s="256" t="s">
        <v>797</v>
      </c>
    </row>
    <row r="369" spans="1:1">
      <c r="A369" s="255" t="s">
        <v>3109</v>
      </c>
    </row>
    <row r="370" spans="1:1">
      <c r="A370" s="124" t="s">
        <v>3181</v>
      </c>
    </row>
    <row r="371" spans="1:1">
      <c r="A371" s="382" t="s">
        <v>3397</v>
      </c>
    </row>
    <row r="372" spans="1:1">
      <c r="A372" s="16" t="s">
        <v>3814</v>
      </c>
    </row>
    <row r="373" spans="1:1">
      <c r="A373" s="16" t="s">
        <v>3112</v>
      </c>
    </row>
    <row r="374" spans="1:1">
      <c r="A374" s="255" t="s">
        <v>347</v>
      </c>
    </row>
    <row r="375" spans="1:1">
      <c r="A375" s="16" t="s">
        <v>1668</v>
      </c>
    </row>
    <row r="376" spans="1:1">
      <c r="A376" s="16" t="s">
        <v>1300</v>
      </c>
    </row>
    <row r="377" spans="1:1">
      <c r="A377" s="255" t="s">
        <v>1729</v>
      </c>
    </row>
    <row r="378" spans="1:1">
      <c r="A378" s="16" t="s">
        <v>2155</v>
      </c>
    </row>
    <row r="379" spans="1:1">
      <c r="A379" s="16" t="s">
        <v>3543</v>
      </c>
    </row>
    <row r="380" spans="1:1">
      <c r="A380" s="126" t="s">
        <v>1301</v>
      </c>
    </row>
    <row r="381" spans="1:1">
      <c r="A381" s="76" t="s">
        <v>3570</v>
      </c>
    </row>
    <row r="382" spans="1:1">
      <c r="A382" s="76" t="s">
        <v>666</v>
      </c>
    </row>
    <row r="383" spans="1:1">
      <c r="A383" s="38" t="s">
        <v>1029</v>
      </c>
    </row>
    <row r="384" spans="1:1">
      <c r="A384" s="38" t="s">
        <v>1029</v>
      </c>
    </row>
    <row r="385" spans="1:1">
      <c r="A385" s="255" t="s">
        <v>4622</v>
      </c>
    </row>
    <row r="386" spans="1:1">
      <c r="A386" s="255" t="s">
        <v>3398</v>
      </c>
    </row>
    <row r="387" spans="1:1">
      <c r="A387" s="16" t="s">
        <v>2009</v>
      </c>
    </row>
    <row r="388" spans="1:1">
      <c r="A388" s="16" t="s">
        <v>308</v>
      </c>
    </row>
    <row r="389" spans="1:1">
      <c r="A389" s="237" t="s">
        <v>1937</v>
      </c>
    </row>
    <row r="390" spans="1:1">
      <c r="A390" s="255" t="s">
        <v>2855</v>
      </c>
    </row>
    <row r="391" spans="1:1">
      <c r="A391" s="16" t="s">
        <v>3447</v>
      </c>
    </row>
    <row r="392" spans="1:1">
      <c r="A392" s="16" t="s">
        <v>1723</v>
      </c>
    </row>
    <row r="393" spans="1:1">
      <c r="A393" s="16" t="s">
        <v>3209</v>
      </c>
    </row>
    <row r="394" spans="1:1">
      <c r="A394" s="3" t="s">
        <v>3510</v>
      </c>
    </row>
    <row r="395" spans="1:1">
      <c r="A395" s="38" t="s">
        <v>3831</v>
      </c>
    </row>
    <row r="396" spans="1:1">
      <c r="A396" s="3" t="s">
        <v>1463</v>
      </c>
    </row>
    <row r="398" spans="1:1">
      <c r="A398" s="8" t="s">
        <v>794</v>
      </c>
    </row>
    <row r="399" spans="1:1">
      <c r="A399" s="15" t="s">
        <v>223</v>
      </c>
    </row>
    <row r="400" spans="1:1">
      <c r="A400" s="15" t="s">
        <v>580</v>
      </c>
    </row>
    <row r="401" spans="1:1">
      <c r="A401" s="15" t="s">
        <v>4627</v>
      </c>
    </row>
    <row r="402" spans="1:1">
      <c r="A402" s="15" t="s">
        <v>3433</v>
      </c>
    </row>
    <row r="403" spans="1:1">
      <c r="A403" s="15" t="s">
        <v>4624</v>
      </c>
    </row>
    <row r="404" spans="1:1">
      <c r="A404" s="15" t="s">
        <v>1304</v>
      </c>
    </row>
    <row r="405" spans="1:1">
      <c r="A405" s="15" t="s">
        <v>1640</v>
      </c>
    </row>
    <row r="407" spans="1:1">
      <c r="A407" s="8" t="s">
        <v>796</v>
      </c>
    </row>
    <row r="408" spans="1:1">
      <c r="A408" s="15" t="s">
        <v>3320</v>
      </c>
    </row>
    <row r="409" spans="1:1">
      <c r="A409" s="15" t="s">
        <v>580</v>
      </c>
    </row>
    <row r="410" spans="1:1">
      <c r="A410" s="15" t="s">
        <v>4319</v>
      </c>
    </row>
    <row r="411" spans="1:1">
      <c r="A411" s="15" t="s">
        <v>4320</v>
      </c>
    </row>
    <row r="412" spans="1:1">
      <c r="A412" s="15" t="s">
        <v>861</v>
      </c>
    </row>
    <row r="415" spans="1:1">
      <c r="A415" s="327" t="s">
        <v>1891</v>
      </c>
    </row>
    <row r="416" spans="1:1">
      <c r="A416" s="3" t="s">
        <v>716</v>
      </c>
    </row>
    <row r="417" spans="1:1">
      <c r="A417" s="3" t="s">
        <v>4121</v>
      </c>
    </row>
    <row r="418" spans="1:1">
      <c r="A418" s="124" t="s">
        <v>2051</v>
      </c>
    </row>
    <row r="419" spans="1:1">
      <c r="A419" s="3" t="s">
        <v>881</v>
      </c>
    </row>
    <row r="420" spans="1:1">
      <c r="A420" s="15" t="s">
        <v>2352</v>
      </c>
    </row>
    <row r="421" spans="1:1">
      <c r="A421" s="3" t="s">
        <v>2518</v>
      </c>
    </row>
    <row r="422" spans="1:1">
      <c r="A422" s="15" t="s">
        <v>141</v>
      </c>
    </row>
    <row r="424" spans="1:1">
      <c r="A424" s="3" t="s">
        <v>945</v>
      </c>
    </row>
    <row r="425" spans="1:1">
      <c r="A425" s="3" t="s">
        <v>545</v>
      </c>
    </row>
    <row r="426" spans="1:1">
      <c r="A426" s="3" t="s">
        <v>4043</v>
      </c>
    </row>
    <row r="427" spans="1:1">
      <c r="A427" s="15" t="s">
        <v>580</v>
      </c>
    </row>
    <row r="428" spans="1:1">
      <c r="A428" s="15" t="s">
        <v>1926</v>
      </c>
    </row>
    <row r="429" spans="1:1">
      <c r="A429" s="15" t="s">
        <v>2123</v>
      </c>
    </row>
    <row r="430" spans="1:1">
      <c r="A430" s="15" t="s">
        <v>3379</v>
      </c>
    </row>
    <row r="431" spans="1:1">
      <c r="A431" s="15" t="s">
        <v>3280</v>
      </c>
    </row>
    <row r="432" spans="1:1">
      <c r="A432" s="15" t="s">
        <v>3832</v>
      </c>
    </row>
    <row r="433" spans="1:1">
      <c r="A433" s="15" t="s">
        <v>3682</v>
      </c>
    </row>
    <row r="435" spans="1:1">
      <c r="A435" s="3" t="s">
        <v>1832</v>
      </c>
    </row>
    <row r="436" spans="1:1">
      <c r="A436" s="3" t="s">
        <v>1833</v>
      </c>
    </row>
    <row r="437" spans="1:1">
      <c r="A437" s="3" t="s">
        <v>1836</v>
      </c>
    </row>
    <row r="438" spans="1:1">
      <c r="A438" s="3" t="s">
        <v>1834</v>
      </c>
    </row>
    <row r="439" spans="1:1">
      <c r="A439" s="3" t="s">
        <v>1835</v>
      </c>
    </row>
    <row r="441" spans="1:1" ht="18.75">
      <c r="A441" s="418" t="s">
        <v>3534</v>
      </c>
    </row>
    <row r="442" spans="1:1">
      <c r="A442" s="42" t="s">
        <v>546</v>
      </c>
    </row>
    <row r="443" spans="1:1">
      <c r="A443" s="73" t="s">
        <v>3542</v>
      </c>
    </row>
    <row r="444" spans="1:1">
      <c r="A444" s="3" t="s">
        <v>4019</v>
      </c>
    </row>
    <row r="445" spans="1:1">
      <c r="A445" s="70" t="s">
        <v>3676</v>
      </c>
    </row>
    <row r="446" spans="1:1">
      <c r="A446" s="133" t="s">
        <v>1358</v>
      </c>
    </row>
    <row r="447" spans="1:1">
      <c r="A447" s="80" t="s">
        <v>547</v>
      </c>
    </row>
    <row r="448" spans="1:1">
      <c r="A448" s="80" t="s">
        <v>1304</v>
      </c>
    </row>
    <row r="449" spans="1:1">
      <c r="A449" s="80" t="s">
        <v>1513</v>
      </c>
    </row>
    <row r="450" spans="1:1">
      <c r="A450" s="80" t="s">
        <v>3245</v>
      </c>
    </row>
    <row r="451" spans="1:1">
      <c r="A451" s="80" t="s">
        <v>4033</v>
      </c>
    </row>
    <row r="452" spans="1:1">
      <c r="A452" s="80" t="s">
        <v>547</v>
      </c>
    </row>
    <row r="453" spans="1:1">
      <c r="A453" s="133" t="s">
        <v>917</v>
      </c>
    </row>
    <row r="454" spans="1:1">
      <c r="A454" s="80" t="s">
        <v>4034</v>
      </c>
    </row>
    <row r="455" spans="1:1">
      <c r="A455" s="80" t="s">
        <v>4617</v>
      </c>
    </row>
    <row r="456" spans="1:1">
      <c r="A456" s="80" t="s">
        <v>4618</v>
      </c>
    </row>
    <row r="457" spans="1:1">
      <c r="A457" s="80" t="s">
        <v>4315</v>
      </c>
    </row>
    <row r="458" spans="1:1">
      <c r="A458" s="80" t="s">
        <v>4589</v>
      </c>
    </row>
    <row r="459" spans="1:1">
      <c r="A459" s="133" t="s">
        <v>2062</v>
      </c>
    </row>
    <row r="460" spans="1:1">
      <c r="A460" s="80" t="s">
        <v>571</v>
      </c>
    </row>
    <row r="461" spans="1:1">
      <c r="A461" s="80" t="s">
        <v>730</v>
      </c>
    </row>
    <row r="462" spans="1:1">
      <c r="A462" s="80" t="s">
        <v>1381</v>
      </c>
    </row>
    <row r="463" spans="1:1">
      <c r="A463" s="80" t="s">
        <v>1999</v>
      </c>
    </row>
    <row r="464" spans="1:1">
      <c r="A464" s="133" t="s">
        <v>1678</v>
      </c>
    </row>
    <row r="465" spans="1:1">
      <c r="A465" s="80" t="s">
        <v>533</v>
      </c>
    </row>
    <row r="466" spans="1:1">
      <c r="A466" s="18" t="s">
        <v>4536</v>
      </c>
    </row>
    <row r="467" spans="1:1">
      <c r="A467" s="18" t="s">
        <v>4307</v>
      </c>
    </row>
    <row r="468" spans="1:1">
      <c r="A468" s="18" t="s">
        <v>2277</v>
      </c>
    </row>
    <row r="469" spans="1:1">
      <c r="A469" s="133" t="s">
        <v>1080</v>
      </c>
    </row>
    <row r="470" spans="1:1">
      <c r="A470" s="80" t="s">
        <v>1571</v>
      </c>
    </row>
    <row r="471" spans="1:1">
      <c r="A471" s="80" t="s">
        <v>548</v>
      </c>
    </row>
    <row r="472" spans="1:1">
      <c r="A472" s="80" t="s">
        <v>549</v>
      </c>
    </row>
    <row r="473" spans="1:1">
      <c r="A473" s="80" t="s">
        <v>1703</v>
      </c>
    </row>
    <row r="474" spans="1:1">
      <c r="A474" s="79" t="s">
        <v>2395</v>
      </c>
    </row>
    <row r="475" spans="1:1">
      <c r="A475" s="19" t="s">
        <v>2033</v>
      </c>
    </row>
    <row r="476" spans="1:1">
      <c r="A476" s="80" t="s">
        <v>3826</v>
      </c>
    </row>
    <row r="477" spans="1:1">
      <c r="A477" s="19" t="s">
        <v>1969</v>
      </c>
    </row>
    <row r="478" spans="1:1">
      <c r="A478" s="38" t="s">
        <v>1703</v>
      </c>
    </row>
    <row r="479" spans="1:1">
      <c r="A479" s="3" t="s">
        <v>2538</v>
      </c>
    </row>
    <row r="480" spans="1:1">
      <c r="A480" s="80" t="s">
        <v>3263</v>
      </c>
    </row>
    <row r="481" spans="1:1">
      <c r="A481" s="13" t="s">
        <v>831</v>
      </c>
    </row>
    <row r="482" spans="1:1">
      <c r="A482" s="13"/>
    </row>
    <row r="483" spans="1:1">
      <c r="A483" s="80" t="s">
        <v>1728</v>
      </c>
    </row>
    <row r="484" spans="1:1">
      <c r="A484" s="80" t="s">
        <v>2002</v>
      </c>
    </row>
    <row r="485" spans="1:1">
      <c r="A485" s="80" t="s">
        <v>1724</v>
      </c>
    </row>
    <row r="486" spans="1:1">
      <c r="A486" s="80"/>
    </row>
    <row r="487" spans="1:1">
      <c r="A487" s="99" t="s">
        <v>1281</v>
      </c>
    </row>
    <row r="489" spans="1:1">
      <c r="A489" s="196"/>
    </row>
  </sheetData>
  <phoneticPr fontId="10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DS114"/>
  <sheetViews>
    <sheetView zoomScaleNormal="100" workbookViewId="0">
      <pane xSplit="1" ySplit="2" topLeftCell="CS3" activePane="bottomRight" state="frozen"/>
      <selection activeCell="V42" sqref="V42"/>
      <selection pane="topRight" activeCell="V42" sqref="V42"/>
      <selection pane="bottomLeft" activeCell="V42" sqref="V42"/>
      <selection pane="bottomRight" activeCell="CZ1" sqref="CZ1:DS65536"/>
    </sheetView>
  </sheetViews>
  <sheetFormatPr defaultRowHeight="12.75"/>
  <cols>
    <col min="1" max="1" width="39.28515625" customWidth="1"/>
    <col min="57" max="57" width="9.28515625" customWidth="1"/>
    <col min="58" max="58" width="9.7109375" customWidth="1"/>
    <col min="59" max="59" width="9.28515625" customWidth="1"/>
    <col min="60" max="60" width="8.85546875" customWidth="1"/>
    <col min="61" max="61" width="7.28515625" customWidth="1"/>
    <col min="62" max="63" width="7.42578125" customWidth="1"/>
    <col min="64" max="64" width="8.42578125" customWidth="1"/>
    <col min="65" max="81" width="7.42578125" customWidth="1"/>
    <col min="82" max="82" width="3.28515625" customWidth="1"/>
    <col min="83" max="102" width="7.5703125" customWidth="1"/>
    <col min="103" max="103" width="2.28515625" style="150" customWidth="1"/>
    <col min="104" max="123" width="9.140625" style="502"/>
  </cols>
  <sheetData>
    <row r="2" spans="1:123" s="19" customFormat="1" ht="11.25" customHeight="1">
      <c r="A2"/>
      <c r="B2" s="19" t="s">
        <v>2221</v>
      </c>
      <c r="C2" s="62" t="s">
        <v>4002</v>
      </c>
      <c r="D2" s="62"/>
      <c r="E2" s="62">
        <f t="shared" ref="E2:AS2" si="0">F2-1</f>
        <v>1954</v>
      </c>
      <c r="F2" s="62">
        <f t="shared" si="0"/>
        <v>1955</v>
      </c>
      <c r="G2" s="62">
        <f t="shared" si="0"/>
        <v>1956</v>
      </c>
      <c r="H2" s="62">
        <f t="shared" si="0"/>
        <v>1957</v>
      </c>
      <c r="I2" s="62">
        <f t="shared" si="0"/>
        <v>1958</v>
      </c>
      <c r="J2" s="62">
        <f t="shared" si="0"/>
        <v>1959</v>
      </c>
      <c r="K2" s="62">
        <f t="shared" si="0"/>
        <v>1960</v>
      </c>
      <c r="L2" s="62">
        <f t="shared" si="0"/>
        <v>1961</v>
      </c>
      <c r="M2" s="62">
        <f t="shared" si="0"/>
        <v>1962</v>
      </c>
      <c r="N2" s="62">
        <f t="shared" si="0"/>
        <v>1963</v>
      </c>
      <c r="O2" s="62">
        <f t="shared" si="0"/>
        <v>1964</v>
      </c>
      <c r="P2" s="62">
        <f t="shared" si="0"/>
        <v>1965</v>
      </c>
      <c r="Q2" s="62">
        <f t="shared" si="0"/>
        <v>1966</v>
      </c>
      <c r="R2" s="62">
        <f t="shared" si="0"/>
        <v>1967</v>
      </c>
      <c r="S2" s="62">
        <f t="shared" si="0"/>
        <v>1968</v>
      </c>
      <c r="T2" s="62">
        <f t="shared" si="0"/>
        <v>1969</v>
      </c>
      <c r="U2" s="62">
        <f t="shared" si="0"/>
        <v>1970</v>
      </c>
      <c r="V2" s="62">
        <f t="shared" si="0"/>
        <v>1971</v>
      </c>
      <c r="W2" s="62">
        <f t="shared" si="0"/>
        <v>1972</v>
      </c>
      <c r="X2" s="62">
        <f t="shared" si="0"/>
        <v>1973</v>
      </c>
      <c r="Y2" s="62">
        <f t="shared" si="0"/>
        <v>1974</v>
      </c>
      <c r="Z2" s="62">
        <f t="shared" si="0"/>
        <v>1975</v>
      </c>
      <c r="AA2" s="62">
        <f t="shared" si="0"/>
        <v>1976</v>
      </c>
      <c r="AB2" s="62">
        <f t="shared" si="0"/>
        <v>1977</v>
      </c>
      <c r="AC2" s="62">
        <f t="shared" si="0"/>
        <v>1978</v>
      </c>
      <c r="AD2" s="62">
        <f t="shared" si="0"/>
        <v>1979</v>
      </c>
      <c r="AE2" s="62">
        <f t="shared" si="0"/>
        <v>1980</v>
      </c>
      <c r="AF2" s="62">
        <f t="shared" si="0"/>
        <v>1981</v>
      </c>
      <c r="AG2" s="62">
        <f t="shared" si="0"/>
        <v>1982</v>
      </c>
      <c r="AH2" s="62">
        <f t="shared" si="0"/>
        <v>1983</v>
      </c>
      <c r="AI2" s="62">
        <f t="shared" si="0"/>
        <v>1984</v>
      </c>
      <c r="AJ2" s="62">
        <f t="shared" si="0"/>
        <v>1985</v>
      </c>
      <c r="AK2" s="62">
        <f t="shared" si="0"/>
        <v>1986</v>
      </c>
      <c r="AL2" s="62">
        <f t="shared" si="0"/>
        <v>1987</v>
      </c>
      <c r="AM2" s="62">
        <f t="shared" si="0"/>
        <v>1988</v>
      </c>
      <c r="AN2" s="62">
        <f t="shared" si="0"/>
        <v>1989</v>
      </c>
      <c r="AO2" s="62">
        <f t="shared" si="0"/>
        <v>1990</v>
      </c>
      <c r="AP2" s="62">
        <f t="shared" si="0"/>
        <v>1991</v>
      </c>
      <c r="AQ2" s="62">
        <f t="shared" si="0"/>
        <v>1992</v>
      </c>
      <c r="AR2" s="62">
        <f t="shared" si="0"/>
        <v>1993</v>
      </c>
      <c r="AS2" s="62">
        <f t="shared" si="0"/>
        <v>1994</v>
      </c>
      <c r="AT2" s="62">
        <f>AU2-1</f>
        <v>1995</v>
      </c>
      <c r="AU2" s="44">
        <v>1996</v>
      </c>
      <c r="AV2" s="44">
        <v>1997</v>
      </c>
      <c r="AW2" s="44">
        <v>1998</v>
      </c>
      <c r="AX2" s="44">
        <v>1999</v>
      </c>
      <c r="AY2" s="44">
        <v>2000</v>
      </c>
      <c r="AZ2" s="45">
        <v>2001</v>
      </c>
      <c r="BA2" s="45">
        <v>2002</v>
      </c>
      <c r="BB2" s="45">
        <v>2003</v>
      </c>
      <c r="BC2" s="45">
        <v>2004</v>
      </c>
      <c r="BD2" s="45">
        <v>2005</v>
      </c>
      <c r="BE2" s="45">
        <f t="shared" ref="BE2:BJ2" si="1">BD2+1</f>
        <v>2006</v>
      </c>
      <c r="BF2" s="45">
        <f t="shared" si="1"/>
        <v>2007</v>
      </c>
      <c r="BG2" s="45">
        <f t="shared" si="1"/>
        <v>2008</v>
      </c>
      <c r="BH2" s="45">
        <f t="shared" si="1"/>
        <v>2009</v>
      </c>
      <c r="BI2" s="45">
        <f t="shared" si="1"/>
        <v>2010</v>
      </c>
      <c r="BJ2" s="45">
        <f t="shared" si="1"/>
        <v>2011</v>
      </c>
      <c r="BK2" s="45">
        <f>BJ2+1</f>
        <v>2012</v>
      </c>
      <c r="BL2" s="45">
        <f t="shared" ref="BL2:BQ2" si="2">BK2+1</f>
        <v>2013</v>
      </c>
      <c r="BM2" s="45">
        <f t="shared" si="2"/>
        <v>2014</v>
      </c>
      <c r="BN2" s="45">
        <f t="shared" si="2"/>
        <v>2015</v>
      </c>
      <c r="BO2" s="45">
        <f>BN2+1</f>
        <v>2016</v>
      </c>
      <c r="BP2" s="45">
        <f t="shared" si="2"/>
        <v>2017</v>
      </c>
      <c r="BQ2" s="45">
        <f t="shared" si="2"/>
        <v>2018</v>
      </c>
      <c r="BR2" s="45">
        <f t="shared" ref="BR2:CC2" si="3">BQ2+1</f>
        <v>2019</v>
      </c>
      <c r="BS2" s="45">
        <f t="shared" si="3"/>
        <v>2020</v>
      </c>
      <c r="BT2" s="45">
        <f t="shared" si="3"/>
        <v>2021</v>
      </c>
      <c r="BU2" s="45">
        <f t="shared" si="3"/>
        <v>2022</v>
      </c>
      <c r="BV2" s="45">
        <f t="shared" si="3"/>
        <v>2023</v>
      </c>
      <c r="BW2" s="45">
        <f t="shared" si="3"/>
        <v>2024</v>
      </c>
      <c r="BX2" s="45">
        <f t="shared" si="3"/>
        <v>2025</v>
      </c>
      <c r="BY2" s="45">
        <f t="shared" si="3"/>
        <v>2026</v>
      </c>
      <c r="BZ2" s="45">
        <f t="shared" si="3"/>
        <v>2027</v>
      </c>
      <c r="CA2" s="45">
        <f t="shared" si="3"/>
        <v>2028</v>
      </c>
      <c r="CB2" s="45">
        <f t="shared" si="3"/>
        <v>2029</v>
      </c>
      <c r="CC2" s="45">
        <f t="shared" si="3"/>
        <v>2030</v>
      </c>
      <c r="CD2" s="45"/>
      <c r="CE2" s="270">
        <v>2011</v>
      </c>
      <c r="CF2" s="270">
        <v>2012</v>
      </c>
      <c r="CG2" s="270">
        <v>2013</v>
      </c>
      <c r="CH2" s="270">
        <v>2014</v>
      </c>
      <c r="CI2" s="270">
        <v>2015</v>
      </c>
      <c r="CJ2" s="270">
        <v>2016</v>
      </c>
      <c r="CK2" s="270">
        <v>2017</v>
      </c>
      <c r="CL2" s="270">
        <v>2018</v>
      </c>
      <c r="CM2" s="270">
        <v>2019</v>
      </c>
      <c r="CN2" s="270">
        <v>2020</v>
      </c>
      <c r="CO2" s="270">
        <v>2021</v>
      </c>
      <c r="CP2" s="270">
        <v>2022</v>
      </c>
      <c r="CQ2" s="270">
        <v>2023</v>
      </c>
      <c r="CR2" s="270">
        <v>2024</v>
      </c>
      <c r="CS2" s="270">
        <v>2025</v>
      </c>
      <c r="CT2" s="270">
        <v>2026</v>
      </c>
      <c r="CU2" s="270">
        <v>2027</v>
      </c>
      <c r="CV2" s="270">
        <v>2028</v>
      </c>
      <c r="CW2" s="270">
        <v>2029</v>
      </c>
      <c r="CX2" s="270">
        <v>2030</v>
      </c>
      <c r="CY2" s="150"/>
      <c r="CZ2" s="492">
        <v>2011</v>
      </c>
      <c r="DA2" s="492">
        <v>2012</v>
      </c>
      <c r="DB2" s="492">
        <v>2013</v>
      </c>
      <c r="DC2" s="492">
        <v>2014</v>
      </c>
      <c r="DD2" s="492">
        <v>2015</v>
      </c>
      <c r="DE2" s="492">
        <v>2016</v>
      </c>
      <c r="DF2" s="492">
        <v>2017</v>
      </c>
      <c r="DG2" s="492">
        <v>2018</v>
      </c>
      <c r="DH2" s="492">
        <v>2019</v>
      </c>
      <c r="DI2" s="492">
        <v>2020</v>
      </c>
      <c r="DJ2" s="492">
        <v>2021</v>
      </c>
      <c r="DK2" s="492">
        <v>2022</v>
      </c>
      <c r="DL2" s="492">
        <v>2023</v>
      </c>
      <c r="DM2" s="492">
        <v>2024</v>
      </c>
      <c r="DN2" s="492">
        <v>2025</v>
      </c>
      <c r="DO2" s="492">
        <v>2026</v>
      </c>
      <c r="DP2" s="492">
        <v>2027</v>
      </c>
      <c r="DQ2" s="492">
        <v>2028</v>
      </c>
      <c r="DR2" s="492">
        <v>2029</v>
      </c>
      <c r="DS2" s="492">
        <v>2030</v>
      </c>
    </row>
    <row r="3" spans="1:123">
      <c r="A3" t="s">
        <v>429</v>
      </c>
    </row>
    <row r="4" spans="1:123">
      <c r="A4" t="s">
        <v>1291</v>
      </c>
      <c r="BA4" s="289">
        <f>+Model!BB302</f>
        <v>15.5</v>
      </c>
      <c r="BB4" s="289">
        <f>+Model!BC302</f>
        <v>22.7</v>
      </c>
      <c r="BC4" s="289">
        <f>+Model!BD302</f>
        <v>10</v>
      </c>
      <c r="BD4" s="289">
        <f>+Model!BE302</f>
        <v>9.5</v>
      </c>
      <c r="BE4" s="289">
        <f>+Model!BF302</f>
        <v>11.2</v>
      </c>
      <c r="BF4" s="289">
        <f>+Model!BG302</f>
        <v>6.4262793447052768</v>
      </c>
      <c r="BG4" s="289">
        <f>+Model!BH302</f>
        <v>14.702848528128264</v>
      </c>
      <c r="BH4" s="289">
        <f>+Model!BI302</f>
        <v>-0.19406604311096309</v>
      </c>
      <c r="BI4" s="289">
        <f>+Model!BJ302</f>
        <v>6.9447872953180445</v>
      </c>
      <c r="BJ4" s="289">
        <f>+Model!BK302</f>
        <v>17.70408555820573</v>
      </c>
      <c r="BK4" s="289">
        <f>+Model!BL302</f>
        <v>5.0137272846123571</v>
      </c>
      <c r="BL4" s="289">
        <f>+Model!BM302</f>
        <v>1.9309056956115844</v>
      </c>
      <c r="BM4" s="289">
        <f>+Model!BN302</f>
        <v>3.3697298353607907</v>
      </c>
      <c r="BN4" s="289">
        <f>+Model!BO302</f>
        <v>6.9</v>
      </c>
      <c r="BO4" s="289">
        <f ca="1">+Model!BP302</f>
        <v>36.355508223363927</v>
      </c>
      <c r="BP4" s="289">
        <f ca="1">+Model!BQ302</f>
        <v>11.415029893225288</v>
      </c>
      <c r="BQ4" s="289">
        <f ca="1">+Model!BR302</f>
        <v>5.2989819773361724</v>
      </c>
      <c r="BR4" s="289">
        <f ca="1">+Model!BS302</f>
        <v>3.0289202942351032</v>
      </c>
      <c r="BS4" s="289">
        <f ca="1">+Model!BT302</f>
        <v>3.4377051520660924</v>
      </c>
      <c r="BT4" s="289">
        <f ca="1">+Model!BU302</f>
        <v>3.563233773141131</v>
      </c>
      <c r="BU4" s="289">
        <f ca="1">+Model!BV302</f>
        <v>3.5957763287793316</v>
      </c>
      <c r="BV4" s="289">
        <f ca="1">+Model!BW302</f>
        <v>3.613330402661175</v>
      </c>
      <c r="BW4" s="289">
        <f ca="1">+Model!BX302</f>
        <v>3.5957988778528049</v>
      </c>
      <c r="BX4" s="289">
        <f ca="1">+Model!BY302</f>
        <v>3.5724579753935215</v>
      </c>
      <c r="BY4" s="289">
        <f ca="1">+Model!BZ302</f>
        <v>3.554354922049022</v>
      </c>
      <c r="BZ4" s="289">
        <f ca="1">+Model!CA302</f>
        <v>3.5502200406161259</v>
      </c>
      <c r="CA4" s="289">
        <f ca="1">+Model!CB302</f>
        <v>3.5505695900456598</v>
      </c>
      <c r="CB4" s="289">
        <f ca="1">+Model!CC302</f>
        <v>3.5415276278586294</v>
      </c>
      <c r="CC4" s="289">
        <f ca="1">+Model!CD302</f>
        <v>3.5327192142120145</v>
      </c>
      <c r="CZ4" s="502">
        <v>17.70408555820573</v>
      </c>
      <c r="DA4" s="502">
        <v>5.0137272846123571</v>
      </c>
      <c r="DB4" s="502">
        <v>1.9309056956115844</v>
      </c>
      <c r="DC4" s="502">
        <v>3.3697298353607907</v>
      </c>
      <c r="DD4" s="502">
        <v>6.9</v>
      </c>
      <c r="DE4" s="502">
        <v>33.685722544221989</v>
      </c>
      <c r="DF4" s="502">
        <v>8.3318065776527863</v>
      </c>
      <c r="DG4" s="502">
        <v>3.7411119955922683</v>
      </c>
      <c r="DH4" s="502">
        <v>2.3503595302297056</v>
      </c>
      <c r="DI4" s="502">
        <v>2.8799713933218323</v>
      </c>
      <c r="DJ4" s="502">
        <v>2.8991390398939902</v>
      </c>
      <c r="DK4" s="502">
        <v>2.8667794760038632</v>
      </c>
      <c r="DL4" s="502">
        <v>2.8622085435176272</v>
      </c>
      <c r="DM4" s="502">
        <v>2.8411359555367897</v>
      </c>
      <c r="DN4" s="502">
        <v>2.8220019034410999</v>
      </c>
      <c r="DO4" s="502">
        <v>2.8088880315859743</v>
      </c>
      <c r="DP4" s="502">
        <v>2.8094491033150355</v>
      </c>
      <c r="DQ4" s="502">
        <v>2.815217634625526</v>
      </c>
      <c r="DR4" s="502">
        <v>2.8115111728187649</v>
      </c>
      <c r="DS4" s="502">
        <v>2.808619865376822</v>
      </c>
    </row>
    <row r="5" spans="1:123">
      <c r="A5" t="s">
        <v>2092</v>
      </c>
      <c r="BA5" s="289">
        <f>+BA4-BA6</f>
        <v>2.2074959212052221</v>
      </c>
      <c r="BB5" s="289">
        <f t="shared" ref="BB5:BN5" ca="1" si="4">+BB4-BB6</f>
        <v>-1.3193474393494462</v>
      </c>
      <c r="BC5" s="289">
        <f t="shared" ca="1" si="4"/>
        <v>-5.6210449342198885</v>
      </c>
      <c r="BD5" s="289">
        <f t="shared" ca="1" si="4"/>
        <v>4.302591225723333</v>
      </c>
      <c r="BE5" s="289">
        <f t="shared" ca="1" si="4"/>
        <v>3.6588431138368867</v>
      </c>
      <c r="BF5" s="289">
        <f t="shared" ca="1" si="4"/>
        <v>-1.9069397862533997</v>
      </c>
      <c r="BG5" s="289">
        <f t="shared" ca="1" si="4"/>
        <v>3.0196619902751252</v>
      </c>
      <c r="BH5" s="289">
        <f t="shared" ca="1" si="4"/>
        <v>-2.5319695617221321</v>
      </c>
      <c r="BI5" s="289">
        <f t="shared" ca="1" si="4"/>
        <v>-3.0298710393645836</v>
      </c>
      <c r="BJ5" s="289">
        <f t="shared" ca="1" si="4"/>
        <v>2.3981303837163281</v>
      </c>
      <c r="BK5" s="289">
        <f t="shared" ca="1" si="4"/>
        <v>-0.77228427459783155</v>
      </c>
      <c r="BL5" s="289">
        <f t="shared" ca="1" si="4"/>
        <v>-0.2583333641068446</v>
      </c>
      <c r="BM5" s="289">
        <f t="shared" ca="1" si="4"/>
        <v>4.0251562826315315</v>
      </c>
      <c r="BN5" s="289">
        <f t="shared" ca="1" si="4"/>
        <v>12.564752467438257</v>
      </c>
      <c r="BO5" s="289">
        <f t="shared" ref="BO5:CC5" ca="1" si="5">+BO4-BO6</f>
        <v>0</v>
      </c>
      <c r="BP5" s="289">
        <f t="shared" ca="1" si="5"/>
        <v>0</v>
      </c>
      <c r="BQ5" s="289">
        <f t="shared" ca="1" si="5"/>
        <v>-2.042810365310288E-14</v>
      </c>
      <c r="BR5" s="289">
        <f t="shared" ca="1" si="5"/>
        <v>1.2434497875801753E-14</v>
      </c>
      <c r="BS5" s="289">
        <f t="shared" ca="1" si="5"/>
        <v>2.7977620220553945E-14</v>
      </c>
      <c r="BT5" s="289">
        <f t="shared" ca="1" si="5"/>
        <v>8.8817841970012523E-15</v>
      </c>
      <c r="BU5" s="289">
        <f t="shared" ca="1" si="5"/>
        <v>0</v>
      </c>
      <c r="BV5" s="289">
        <f t="shared" ca="1" si="5"/>
        <v>2.3092638912203256E-14</v>
      </c>
      <c r="BW5" s="289">
        <f t="shared" ca="1" si="5"/>
        <v>1.4210854715202004E-14</v>
      </c>
      <c r="BX5" s="289">
        <f t="shared" ca="1" si="5"/>
        <v>2.6201263381153694E-14</v>
      </c>
      <c r="BY5" s="289">
        <f t="shared" ca="1" si="5"/>
        <v>4.0856207306205761E-14</v>
      </c>
      <c r="BZ5" s="289">
        <f t="shared" ca="1" si="5"/>
        <v>3.1974423109204508E-14</v>
      </c>
      <c r="CA5" s="289">
        <f t="shared" ca="1" si="5"/>
        <v>8.5265128291212022E-14</v>
      </c>
      <c r="CB5" s="289">
        <f t="shared" ca="1" si="5"/>
        <v>1.1812772982011666E-13</v>
      </c>
      <c r="CC5" s="289">
        <f t="shared" ca="1" si="5"/>
        <v>1.3988810110276972E-13</v>
      </c>
      <c r="CZ5" s="502">
        <v>2.6647312010928346</v>
      </c>
      <c r="DA5" s="502">
        <v>-1.0587746174240298</v>
      </c>
      <c r="DB5" s="502">
        <v>-0.23439172101883088</v>
      </c>
      <c r="DC5" s="502">
        <v>4.0221091111928082</v>
      </c>
      <c r="DD5" s="502">
        <v>12.577011196692268</v>
      </c>
      <c r="DE5" s="502">
        <v>0</v>
      </c>
      <c r="DF5" s="502">
        <v>0</v>
      </c>
      <c r="DG5" s="502">
        <v>-2.1760371282653068E-14</v>
      </c>
      <c r="DH5" s="502">
        <v>1.2434497875801753E-14</v>
      </c>
      <c r="DI5" s="502">
        <v>-1.1546319456101628E-14</v>
      </c>
      <c r="DJ5" s="502">
        <v>-7.1054273576010019E-15</v>
      </c>
      <c r="DK5" s="502">
        <v>-2.2204460492503131E-14</v>
      </c>
      <c r="DL5" s="502">
        <v>0</v>
      </c>
      <c r="DM5" s="502">
        <v>0</v>
      </c>
      <c r="DN5" s="502">
        <v>2.6645352591003757E-14</v>
      </c>
      <c r="DO5" s="502">
        <v>3.0642155479654321E-14</v>
      </c>
      <c r="DP5" s="502">
        <v>1.7319479184152442E-14</v>
      </c>
      <c r="DQ5" s="502">
        <v>7.9936057773011271E-15</v>
      </c>
      <c r="DR5" s="502">
        <v>-3.1086244689504383E-14</v>
      </c>
      <c r="DS5" s="502">
        <v>-1.1191048088221578E-13</v>
      </c>
    </row>
    <row r="6" spans="1:123" ht="15.75">
      <c r="A6" t="s">
        <v>1290</v>
      </c>
      <c r="BA6" s="115">
        <f>0.39*Model!BB310+0.61*Model!BB305+Model!BB286-Model!BA286+DataInput!BB824</f>
        <v>13.292504078794778</v>
      </c>
      <c r="BB6" s="115">
        <f ca="1">0.39*Model!BC310+0.61*Model!BC305+Model!BC286-Model!BB286+DataInput!BC824</f>
        <v>24.019347439349445</v>
      </c>
      <c r="BC6" s="115">
        <f ca="1">0.39*Model!BD310+0.61*Model!BD305+Model!BD286-Model!BC286+DataInput!BD824</f>
        <v>15.621044934219888</v>
      </c>
      <c r="BD6" s="115">
        <f ca="1">0.39*Model!BE310+0.61*Model!BE305+Model!BE286-Model!BD286+DataInput!BE824</f>
        <v>5.1974087742766741</v>
      </c>
      <c r="BE6" s="115">
        <f ca="1">0.39*Model!BF310+0.61*Model!BF305+Model!BF286-Model!BE286+DataInput!BF824</f>
        <v>7.541156886163102</v>
      </c>
      <c r="BF6" s="115">
        <f ca="1">0.39*Model!BG310+0.61*Model!BG305+Model!BG286-Model!BF286+DataInput!BG824</f>
        <v>8.3332191309586801</v>
      </c>
      <c r="BG6" s="115">
        <f ca="1">0.39*Model!BH310+0.61*Model!BH305+Model!BH286-Model!BG286+DataInput!BH824</f>
        <v>11.683186537853139</v>
      </c>
      <c r="BH6" s="115">
        <f ca="1">0.39*Model!BI310+0.61*Model!BI305+Model!BI286-Model!BH286+DataInput!BI824</f>
        <v>2.3379035186111707</v>
      </c>
      <c r="BI6" s="115">
        <f ca="1">0.39*Model!BJ310+0.61*Model!BJ305+Model!BJ286-Model!BI286+DataInput!BJ824</f>
        <v>9.9746583346826228</v>
      </c>
      <c r="BJ6" s="99">
        <f t="shared" ref="BJ6:BO6" ca="1" si="6">+BJ7+BJ8+BJ9+BJ10</f>
        <v>15.305955174489394</v>
      </c>
      <c r="BK6" s="99">
        <f t="shared" ca="1" si="6"/>
        <v>5.7860115592101913</v>
      </c>
      <c r="BL6" s="99">
        <f t="shared" ca="1" si="6"/>
        <v>2.189239059718429</v>
      </c>
      <c r="BM6" s="99">
        <f t="shared" ca="1" si="6"/>
        <v>-0.65542644727074051</v>
      </c>
      <c r="BN6" s="99">
        <f t="shared" ca="1" si="6"/>
        <v>-5.664752467438257</v>
      </c>
      <c r="BO6" s="99">
        <f t="shared" ca="1" si="6"/>
        <v>36.355508223363927</v>
      </c>
      <c r="BP6" s="99">
        <f t="shared" ref="BP6:CC6" ca="1" si="7">+BP7+BP8+BP9+BP10</f>
        <v>11.415029893225288</v>
      </c>
      <c r="BQ6" s="99">
        <f t="shared" ca="1" si="7"/>
        <v>5.2989819773361715</v>
      </c>
      <c r="BR6" s="99">
        <f t="shared" ca="1" si="7"/>
        <v>3.0289202942351006</v>
      </c>
      <c r="BS6" s="99">
        <f t="shared" ca="1" si="7"/>
        <v>3.4377051520660906</v>
      </c>
      <c r="BT6" s="99">
        <f t="shared" ca="1" si="7"/>
        <v>3.5632337731411319</v>
      </c>
      <c r="BU6" s="99">
        <f t="shared" ca="1" si="7"/>
        <v>3.5957763287793303</v>
      </c>
      <c r="BV6" s="99">
        <f t="shared" ca="1" si="7"/>
        <v>3.6133304026611741</v>
      </c>
      <c r="BW6" s="99">
        <f t="shared" ca="1" si="7"/>
        <v>3.5957988778527978</v>
      </c>
      <c r="BX6" s="99">
        <f t="shared" ca="1" si="7"/>
        <v>3.5724579753935117</v>
      </c>
      <c r="BY6" s="99">
        <f t="shared" ca="1" si="7"/>
        <v>3.5543549220490105</v>
      </c>
      <c r="BZ6" s="99">
        <f t="shared" ca="1" si="7"/>
        <v>3.5502200406161157</v>
      </c>
      <c r="CA6" s="99">
        <f t="shared" ca="1" si="7"/>
        <v>3.5505695900456375</v>
      </c>
      <c r="CB6" s="99">
        <f t="shared" ca="1" si="7"/>
        <v>3.5415276278586005</v>
      </c>
      <c r="CC6" s="99">
        <f t="shared" ca="1" si="7"/>
        <v>3.5327192142119754</v>
      </c>
      <c r="CZ6" s="502">
        <v>15.039354357112895</v>
      </c>
      <c r="DA6" s="502">
        <v>6.0725019020363868</v>
      </c>
      <c r="DB6" s="502">
        <v>2.1652974166304153</v>
      </c>
      <c r="DC6" s="502">
        <v>-0.65237927583201727</v>
      </c>
      <c r="DD6" s="502">
        <v>-5.6770111966922672</v>
      </c>
      <c r="DE6" s="502">
        <v>33.685722544221989</v>
      </c>
      <c r="DF6" s="502">
        <v>8.3318065776527899</v>
      </c>
      <c r="DG6" s="502">
        <v>3.7411119955922683</v>
      </c>
      <c r="DH6" s="502">
        <v>2.3503595302297082</v>
      </c>
      <c r="DI6" s="502">
        <v>2.8799713933218367</v>
      </c>
      <c r="DJ6" s="502">
        <v>2.8991390398939969</v>
      </c>
      <c r="DK6" s="502">
        <v>2.8667794760038632</v>
      </c>
      <c r="DL6" s="502">
        <v>2.8622085435176299</v>
      </c>
      <c r="DM6" s="502">
        <v>2.8411359555367874</v>
      </c>
      <c r="DN6" s="502">
        <v>2.8220019034410901</v>
      </c>
      <c r="DO6" s="502">
        <v>2.8088880315859512</v>
      </c>
      <c r="DP6" s="502">
        <v>2.8094491033150053</v>
      </c>
      <c r="DQ6" s="502">
        <v>2.8152176346254971</v>
      </c>
      <c r="DR6" s="502">
        <v>2.8115111728187241</v>
      </c>
      <c r="DS6" s="502">
        <v>2.8086198653768024</v>
      </c>
    </row>
    <row r="7" spans="1:123" ht="15.75">
      <c r="A7" t="s">
        <v>1286</v>
      </c>
      <c r="BA7" s="115">
        <f>0.39*Model!BB310</f>
        <v>8.2589892190531824</v>
      </c>
      <c r="BB7" s="115">
        <f ca="1">0.39*Model!BC310</f>
        <v>8.1757432225928959</v>
      </c>
      <c r="BC7" s="115">
        <f ca="1">0.39*Model!BD310</f>
        <v>4.7056622338627427</v>
      </c>
      <c r="BD7" s="115">
        <f ca="1">0.39*Model!BE310</f>
        <v>0.83708664442456615</v>
      </c>
      <c r="BE7" s="115">
        <f ca="1">0.39*Model!BF310</f>
        <v>1.9011830242554137</v>
      </c>
      <c r="BF7" s="115">
        <f ca="1">0.39*Model!BG310</f>
        <v>2.365202889593466</v>
      </c>
      <c r="BG7" s="115">
        <f ca="1">0.39*Model!BH310</f>
        <v>3.1118641689498387</v>
      </c>
      <c r="BH7" s="115">
        <f ca="1">0.39*Model!BI310</f>
        <v>2.631282885104707</v>
      </c>
      <c r="BI7" s="115">
        <f ca="1">0.39*Model!BJ310</f>
        <v>2.2106559295807147</v>
      </c>
      <c r="BJ7" s="115">
        <f ca="1">0.39*Model!BK309</f>
        <v>4.4752451127136395</v>
      </c>
      <c r="BK7" s="115">
        <f ca="1">0.39*Model!BL309</f>
        <v>4.4631341479203721</v>
      </c>
      <c r="BL7" s="115">
        <f ca="1">0.39*Model!BM309</f>
        <v>1.1414996451843273</v>
      </c>
      <c r="BM7" s="115">
        <f ca="1">0.39*Model!BN309</f>
        <v>-0.27315940444181919</v>
      </c>
      <c r="BN7" s="115">
        <f ca="1">0.39*Model!BO309</f>
        <v>0.85457909663884846</v>
      </c>
      <c r="BO7" s="115">
        <f ca="1">0.39*Model!BP309</f>
        <v>7.2503489070903884</v>
      </c>
      <c r="BP7" s="115">
        <f ca="1">0.39*Model!BQ309</f>
        <v>8.5241980376884197</v>
      </c>
      <c r="BQ7" s="115">
        <f ca="1">0.39*Model!BR309</f>
        <v>2.8876595055097161</v>
      </c>
      <c r="BR7" s="115">
        <f ca="1">0.39*Model!BS309</f>
        <v>1.010953435563422</v>
      </c>
      <c r="BS7" s="115">
        <f ca="1">0.39*Model!BT309</f>
        <v>0.54085614990945241</v>
      </c>
      <c r="BT7" s="115">
        <f ca="1">0.39*Model!BU309</f>
        <v>0.63130997606522365</v>
      </c>
      <c r="BU7" s="115">
        <f ca="1">0.39*Model!BV309</f>
        <v>0.66406663120699672</v>
      </c>
      <c r="BV7" s="115">
        <f ca="1">0.39*Model!BW309</f>
        <v>0.6735730004624394</v>
      </c>
      <c r="BW7" s="115">
        <f ca="1">0.39*Model!BX309</f>
        <v>0.65442979698730741</v>
      </c>
      <c r="BX7" s="115">
        <f ca="1">0.39*Model!BY309</f>
        <v>0.62889678117554437</v>
      </c>
      <c r="BY7" s="115">
        <f ca="1">0.39*Model!BZ309</f>
        <v>0.6098880694875608</v>
      </c>
      <c r="BZ7" s="115">
        <f ca="1">0.39*Model!CA309</f>
        <v>0.60018767801493556</v>
      </c>
      <c r="CA7" s="115">
        <f ca="1">0.39*Model!CB309</f>
        <v>0.59221273050699064</v>
      </c>
      <c r="CB7" s="115">
        <f ca="1">0.39*Model!CC309</f>
        <v>0.58113448465006678</v>
      </c>
      <c r="CC7" s="115">
        <f ca="1">0.39*Model!CD309</f>
        <v>0.56999105973635644</v>
      </c>
      <c r="CZ7" s="502">
        <v>4.4752451127136395</v>
      </c>
      <c r="DA7" s="502">
        <v>4.4631341479203721</v>
      </c>
      <c r="DB7" s="502">
        <v>1.1414996451843273</v>
      </c>
      <c r="DC7" s="502">
        <v>-0.27315940444181919</v>
      </c>
      <c r="DD7" s="502">
        <v>0.40238968257679053</v>
      </c>
      <c r="DE7" s="502">
        <v>5.0409723777874138</v>
      </c>
      <c r="DF7" s="502">
        <v>5.5545294417809989</v>
      </c>
      <c r="DG7" s="502">
        <v>1.2374341644569671</v>
      </c>
      <c r="DH7" s="502">
        <v>0.20399136828028253</v>
      </c>
      <c r="DI7" s="502">
        <v>-9.8393615505373844E-2</v>
      </c>
      <c r="DJ7" s="502">
        <v>-7.0199473556089798E-2</v>
      </c>
      <c r="DK7" s="502">
        <v>-8.8908179712211766E-2</v>
      </c>
      <c r="DL7" s="502">
        <v>-9.9911266238692287E-2</v>
      </c>
      <c r="DM7" s="502">
        <v>-0.12305727888488993</v>
      </c>
      <c r="DN7" s="502">
        <v>-0.1453552206148514</v>
      </c>
      <c r="DO7" s="502">
        <v>-0.15960816330327343</v>
      </c>
      <c r="DP7" s="502">
        <v>-0.16530265273196254</v>
      </c>
      <c r="DQ7" s="502">
        <v>-0.1691231065299611</v>
      </c>
      <c r="DR7" s="502">
        <v>-0.17567977934572399</v>
      </c>
      <c r="DS7" s="502">
        <v>-0.18168340289423091</v>
      </c>
    </row>
    <row r="8" spans="1:123" ht="15.75">
      <c r="A8" t="s">
        <v>1287</v>
      </c>
      <c r="BA8" s="115">
        <f>0.61*Model!BB305</f>
        <v>5.7962568204473595</v>
      </c>
      <c r="BB8" s="115">
        <f>0.61*Model!BC305</f>
        <v>15.94908165027484</v>
      </c>
      <c r="BC8" s="115">
        <f>0.61*Model!BD305</f>
        <v>11.643307296333512</v>
      </c>
      <c r="BD8" s="115">
        <f>0.61*Model!BE305</f>
        <v>6.4932031567989075</v>
      </c>
      <c r="BE8" s="115">
        <f>0.61*Model!BF305</f>
        <v>5.041749855897641</v>
      </c>
      <c r="BF8" s="115">
        <f>0.61*Model!BG305</f>
        <v>5.3921518722577062</v>
      </c>
      <c r="BG8" s="115">
        <f>0.61*Model!BH305</f>
        <v>8.781797461111557</v>
      </c>
      <c r="BH8" s="115">
        <f>0.61*Model!BI305</f>
        <v>-0.18266999848695667</v>
      </c>
      <c r="BI8" s="115">
        <f>0.61*Model!BJ305</f>
        <v>7.7657783280481754</v>
      </c>
      <c r="BJ8" s="115">
        <f>0.61*Model!BK305</f>
        <v>10.585931660700624</v>
      </c>
      <c r="BK8" s="115">
        <f>0.61*Model!BL305</f>
        <v>2.358719286919412</v>
      </c>
      <c r="BL8" s="115">
        <f>0.61*Model!BM305</f>
        <v>1.5058230386010083</v>
      </c>
      <c r="BM8" s="115">
        <f>0.61*Model!BN305</f>
        <v>-3.0039375054233278E-2</v>
      </c>
      <c r="BN8" s="115">
        <f>0.61*Model!BO305</f>
        <v>-6.2486902353252338</v>
      </c>
      <c r="BO8" s="115">
        <f>0.61*Model!BP305</f>
        <v>16.589841703254582</v>
      </c>
      <c r="BP8" s="115">
        <f>0.61*Model!BQ305</f>
        <v>2.784487300079094</v>
      </c>
      <c r="BQ8" s="115">
        <f>0.61*Model!BR305</f>
        <v>2.3223623438436372</v>
      </c>
      <c r="BR8" s="115">
        <f>0.61*Model!BS305</f>
        <v>2.0053624015815834</v>
      </c>
      <c r="BS8" s="115">
        <f>0.61*Model!BT305</f>
        <v>2.9074454499540869</v>
      </c>
      <c r="BT8" s="115">
        <f>0.61*Model!BU305</f>
        <v>2.9074454499540869</v>
      </c>
      <c r="BU8" s="115">
        <f>0.61*Model!BV305</f>
        <v>2.9074454499540869</v>
      </c>
      <c r="BV8" s="115">
        <f>0.61*Model!BW305</f>
        <v>2.9074454499540869</v>
      </c>
      <c r="BW8" s="115">
        <f>0.61*Model!BX305</f>
        <v>2.9074454499540869</v>
      </c>
      <c r="BX8" s="115">
        <f>0.61*Model!BY305</f>
        <v>2.9074454499540869</v>
      </c>
      <c r="BY8" s="115">
        <f>0.61*Model!BZ305</f>
        <v>2.9074454499540869</v>
      </c>
      <c r="BZ8" s="115">
        <f>0.61*Model!CA305</f>
        <v>2.9074454499540869</v>
      </c>
      <c r="CA8" s="115">
        <f>0.61*Model!CB305</f>
        <v>2.9074454499540869</v>
      </c>
      <c r="CB8" s="115">
        <f>0.61*Model!CC305</f>
        <v>2.9074454499540869</v>
      </c>
      <c r="CC8" s="115">
        <f>0.61*Model!CD305</f>
        <v>2.9074454499540869</v>
      </c>
      <c r="CZ8" s="502">
        <v>10.585931660700624</v>
      </c>
      <c r="DA8" s="502">
        <v>2.358719286919412</v>
      </c>
      <c r="DB8" s="502">
        <v>1.5058230386010083</v>
      </c>
      <c r="DC8" s="502">
        <v>-3.0039375054233278E-2</v>
      </c>
      <c r="DD8" s="502">
        <v>-6.2486902353252338</v>
      </c>
      <c r="DE8" s="502">
        <v>16.589841703254582</v>
      </c>
      <c r="DF8" s="502">
        <v>2.784487300079094</v>
      </c>
      <c r="DG8" s="502">
        <v>2.3223623438436372</v>
      </c>
      <c r="DH8" s="502">
        <v>2.0053624015815834</v>
      </c>
      <c r="DI8" s="502">
        <v>2.9074454499540869</v>
      </c>
      <c r="DJ8" s="502">
        <v>2.9074454499540869</v>
      </c>
      <c r="DK8" s="502">
        <v>2.9074454499540869</v>
      </c>
      <c r="DL8" s="502">
        <v>2.9074454499540869</v>
      </c>
      <c r="DM8" s="502">
        <v>2.9074454499540869</v>
      </c>
      <c r="DN8" s="502">
        <v>2.9074454499540869</v>
      </c>
      <c r="DO8" s="502">
        <v>2.9074454499540869</v>
      </c>
      <c r="DP8" s="502">
        <v>2.9074454499540869</v>
      </c>
      <c r="DQ8" s="502">
        <v>2.9074454499540869</v>
      </c>
      <c r="DR8" s="502">
        <v>2.9074454499540869</v>
      </c>
      <c r="DS8" s="502">
        <v>2.9074454499540869</v>
      </c>
    </row>
    <row r="9" spans="1:123" ht="15.75">
      <c r="A9" t="s">
        <v>1288</v>
      </c>
      <c r="BA9" s="115">
        <f>Model!BB286-Model!BA286</f>
        <v>-0.76274196070576394</v>
      </c>
      <c r="BB9" s="115">
        <f>Model!BC286-Model!BB286</f>
        <v>-0.10547743351828842</v>
      </c>
      <c r="BC9" s="115">
        <f>Model!BD286-Model!BC286</f>
        <v>-0.72792459597636849</v>
      </c>
      <c r="BD9" s="115">
        <f ca="1">Model!BE286-Model!BD286</f>
        <v>-2.1328810269468006</v>
      </c>
      <c r="BE9" s="115">
        <f ca="1">Model!BF286-Model!BE286</f>
        <v>0.59822400601004677</v>
      </c>
      <c r="BF9" s="115">
        <f ca="1">Model!BG286-Model!BF286</f>
        <v>0.57586436910750916</v>
      </c>
      <c r="BG9" s="115">
        <f ca="1">Model!BH286-Model!BG286</f>
        <v>-0.5104750922082566</v>
      </c>
      <c r="BH9" s="115">
        <f ca="1">Model!BI286-Model!BH286</f>
        <v>-0.41070936800657876</v>
      </c>
      <c r="BI9" s="115">
        <f ca="1">Model!BJ286-Model!BI286</f>
        <v>-1.7759229462690485E-3</v>
      </c>
      <c r="BJ9" s="115">
        <f ca="1">Model!BK286-Model!BJ286</f>
        <v>0.24477840107513416</v>
      </c>
      <c r="BK9" s="115">
        <f ca="1">Model!BL286-Model!BK286</f>
        <v>-1.0358418756295933</v>
      </c>
      <c r="BL9" s="115">
        <f ca="1">Model!BM286-Model!BL286</f>
        <v>-0.45808362406690684</v>
      </c>
      <c r="BM9" s="115">
        <f ca="1">Model!BN286-Model!BM286</f>
        <v>-0.35222766777468806</v>
      </c>
      <c r="BN9" s="115">
        <f ca="1">Model!BO286-Model!BN286</f>
        <v>-0.27064132875187052</v>
      </c>
      <c r="BO9" s="115">
        <f ca="1">Model!BP286-Model!BO286</f>
        <v>-0.48468238698105282</v>
      </c>
      <c r="BP9" s="115">
        <f ca="1">Model!BQ286-Model!BP286</f>
        <v>0.10634455545777399</v>
      </c>
      <c r="BQ9" s="115">
        <f ca="1">Model!BR286-Model!BQ286</f>
        <v>8.8960127982837811E-2</v>
      </c>
      <c r="BR9" s="115">
        <f ca="1">Model!BS286-Model!BR286</f>
        <v>1.260445709008895E-2</v>
      </c>
      <c r="BS9" s="115">
        <f ca="1">Model!BT286-Model!BS286</f>
        <v>-1.0596447797463604E-2</v>
      </c>
      <c r="BT9" s="115">
        <f ca="1">Model!BU286-Model!BT286</f>
        <v>2.4478347121811517E-2</v>
      </c>
      <c r="BU9" s="115">
        <f ca="1">Model!BV286-Model!BU286</f>
        <v>2.4264247618221546E-2</v>
      </c>
      <c r="BV9" s="115">
        <f ca="1">Model!BW286-Model!BV286</f>
        <v>3.2311952244648445E-2</v>
      </c>
      <c r="BW9" s="115">
        <f ca="1">Model!BX286-Model!BW286</f>
        <v>3.3923630911401048E-2</v>
      </c>
      <c r="BX9" s="115">
        <f ca="1">Model!BY286-Model!BX286</f>
        <v>3.6115744263891081E-2</v>
      </c>
      <c r="BY9" s="115">
        <f ca="1">Model!BZ286-Model!BY286</f>
        <v>3.7021402607375187E-2</v>
      </c>
      <c r="BZ9" s="115">
        <f ca="1">Model!CA286-Model!BZ286</f>
        <v>4.2586912647112563E-2</v>
      </c>
      <c r="CA9" s="115">
        <f ca="1">Model!CB286-Model!CA286</f>
        <v>5.0911409584598388E-2</v>
      </c>
      <c r="CB9" s="115">
        <f ca="1">Model!CC286-Model!CB286</f>
        <v>5.2947693254492556E-2</v>
      </c>
      <c r="CC9" s="115">
        <f ca="1">Model!CD286-Model!CC286</f>
        <v>5.5282704521587789E-2</v>
      </c>
      <c r="CZ9" s="502">
        <v>-2.1822416301366054E-2</v>
      </c>
      <c r="DA9" s="502">
        <v>-0.74935153280339772</v>
      </c>
      <c r="DB9" s="502">
        <v>-0.48202526715492056</v>
      </c>
      <c r="DC9" s="502">
        <v>-0.34918049633596482</v>
      </c>
      <c r="DD9" s="502">
        <v>0.16928935605617657</v>
      </c>
      <c r="DE9" s="502">
        <v>-0.94509153682000502</v>
      </c>
      <c r="DF9" s="502">
        <v>-7.2101642072972538E-3</v>
      </c>
      <c r="DG9" s="502">
        <v>0.18131548729168223</v>
      </c>
      <c r="DH9" s="502">
        <v>0.14100576036783963</v>
      </c>
      <c r="DI9" s="502">
        <v>7.0919558873114852E-2</v>
      </c>
      <c r="DJ9" s="502">
        <v>6.1893063495984002E-2</v>
      </c>
      <c r="DK9" s="502">
        <v>4.8242205761988011E-2</v>
      </c>
      <c r="DL9" s="502">
        <v>5.4674359802189265E-2</v>
      </c>
      <c r="DM9" s="502">
        <v>5.674778446756612E-2</v>
      </c>
      <c r="DN9" s="502">
        <v>5.9911674101829959E-2</v>
      </c>
      <c r="DO9" s="502">
        <v>6.1050744935143619E-2</v>
      </c>
      <c r="DP9" s="502">
        <v>6.7306306092911328E-2</v>
      </c>
      <c r="DQ9" s="502">
        <v>7.6895291201408256E-2</v>
      </c>
      <c r="DR9" s="502">
        <v>7.9745502210461616E-2</v>
      </c>
      <c r="DS9" s="502">
        <v>8.2857818317075171E-2</v>
      </c>
    </row>
    <row r="10" spans="1:123" ht="15.75">
      <c r="A10" t="s">
        <v>1289</v>
      </c>
      <c r="BA10" s="115">
        <f>DataInput!BB824</f>
        <v>0</v>
      </c>
      <c r="BB10" s="115">
        <f>DataInput!BC824</f>
        <v>0</v>
      </c>
      <c r="BC10" s="115">
        <f>DataInput!BD824</f>
        <v>0</v>
      </c>
      <c r="BD10" s="115">
        <f>DataInput!BE824</f>
        <v>0</v>
      </c>
      <c r="BE10" s="115">
        <f>DataInput!BF824</f>
        <v>0</v>
      </c>
      <c r="BF10" s="115">
        <f>DataInput!BG824</f>
        <v>0</v>
      </c>
      <c r="BG10" s="115">
        <f>DataInput!BH824</f>
        <v>0.3</v>
      </c>
      <c r="BH10" s="115">
        <f>DataInput!BI824</f>
        <v>0.3</v>
      </c>
      <c r="BI10" s="115">
        <f>DataInput!BJ824</f>
        <v>0</v>
      </c>
      <c r="BJ10" s="115">
        <f>DataInput!BK824</f>
        <v>0</v>
      </c>
      <c r="BK10" s="115">
        <f>DataInput!BL824</f>
        <v>0</v>
      </c>
      <c r="BL10" s="115">
        <f>DataInput!BM824</f>
        <v>0</v>
      </c>
      <c r="BM10" s="115">
        <f>DataInput!BN824</f>
        <v>0</v>
      </c>
      <c r="BN10" s="115">
        <f>DataInput!BO824</f>
        <v>0</v>
      </c>
      <c r="BO10" s="115">
        <f>DataInput!BP824</f>
        <v>13</v>
      </c>
      <c r="BP10" s="115">
        <f>DataInput!BQ824</f>
        <v>0</v>
      </c>
      <c r="BQ10" s="115">
        <f>DataInput!BR824</f>
        <v>0</v>
      </c>
      <c r="BR10" s="115">
        <f>DataInput!BS824</f>
        <v>0</v>
      </c>
      <c r="BS10" s="115">
        <f>DataInput!BT824</f>
        <v>0</v>
      </c>
      <c r="BT10" s="115">
        <f>DataInput!BU824</f>
        <v>0</v>
      </c>
      <c r="BU10" s="115">
        <f>DataInput!BV824</f>
        <v>0</v>
      </c>
      <c r="BV10" s="115">
        <f>DataInput!BW824</f>
        <v>0</v>
      </c>
      <c r="BW10" s="115">
        <f>DataInput!BX824</f>
        <v>0</v>
      </c>
      <c r="BX10" s="115">
        <f>DataInput!BY824</f>
        <v>0</v>
      </c>
      <c r="BY10" s="115">
        <f>DataInput!BZ824</f>
        <v>0</v>
      </c>
      <c r="BZ10" s="115">
        <f>DataInput!CA824</f>
        <v>0</v>
      </c>
      <c r="CA10" s="115">
        <f>DataInput!CB824</f>
        <v>0</v>
      </c>
      <c r="CB10" s="115">
        <f>DataInput!CC824</f>
        <v>0</v>
      </c>
      <c r="CC10" s="115">
        <f>DataInput!CD824</f>
        <v>0</v>
      </c>
      <c r="CZ10" s="502">
        <v>0</v>
      </c>
      <c r="DA10" s="502">
        <v>0</v>
      </c>
      <c r="DB10" s="502">
        <v>0</v>
      </c>
      <c r="DC10" s="502">
        <v>0</v>
      </c>
      <c r="DD10" s="502">
        <v>0</v>
      </c>
      <c r="DE10" s="502">
        <v>13</v>
      </c>
      <c r="DF10" s="502">
        <v>0</v>
      </c>
      <c r="DG10" s="502">
        <v>0</v>
      </c>
      <c r="DH10" s="502">
        <v>0</v>
      </c>
      <c r="DI10" s="502">
        <v>0</v>
      </c>
      <c r="DJ10" s="502">
        <v>0</v>
      </c>
      <c r="DK10" s="502">
        <v>0</v>
      </c>
      <c r="DL10" s="502">
        <v>0</v>
      </c>
      <c r="DM10" s="502">
        <v>0</v>
      </c>
      <c r="DN10" s="502">
        <v>0</v>
      </c>
      <c r="DO10" s="502">
        <v>0</v>
      </c>
      <c r="DP10" s="502">
        <v>0</v>
      </c>
      <c r="DQ10" s="502">
        <v>0</v>
      </c>
      <c r="DR10" s="502">
        <v>0</v>
      </c>
      <c r="DS10" s="502">
        <v>0</v>
      </c>
    </row>
    <row r="19" spans="1:123">
      <c r="A19" s="262"/>
      <c r="BA19" s="262"/>
      <c r="BB19" s="262"/>
      <c r="BC19" s="262"/>
      <c r="BD19" s="262"/>
      <c r="BE19" s="262"/>
    </row>
    <row r="23" spans="1:123">
      <c r="A23" s="264" t="s">
        <v>3744</v>
      </c>
    </row>
    <row r="24" spans="1:123">
      <c r="A24" s="264" t="s">
        <v>3743</v>
      </c>
      <c r="E24" s="355">
        <f t="shared" ref="E24:AJ24" si="8">E2</f>
        <v>1954</v>
      </c>
      <c r="F24" s="355">
        <f t="shared" si="8"/>
        <v>1955</v>
      </c>
      <c r="G24" s="355">
        <f t="shared" si="8"/>
        <v>1956</v>
      </c>
      <c r="H24" s="355">
        <f t="shared" si="8"/>
        <v>1957</v>
      </c>
      <c r="I24" s="355">
        <f t="shared" si="8"/>
        <v>1958</v>
      </c>
      <c r="J24" s="355">
        <f t="shared" si="8"/>
        <v>1959</v>
      </c>
      <c r="K24" s="355">
        <f t="shared" si="8"/>
        <v>1960</v>
      </c>
      <c r="L24" s="355">
        <f t="shared" si="8"/>
        <v>1961</v>
      </c>
      <c r="M24" s="355">
        <f t="shared" si="8"/>
        <v>1962</v>
      </c>
      <c r="N24" s="355">
        <f t="shared" si="8"/>
        <v>1963</v>
      </c>
      <c r="O24" s="355">
        <f t="shared" si="8"/>
        <v>1964</v>
      </c>
      <c r="P24" s="355">
        <f t="shared" si="8"/>
        <v>1965</v>
      </c>
      <c r="Q24" s="355">
        <f t="shared" si="8"/>
        <v>1966</v>
      </c>
      <c r="R24" s="355">
        <f t="shared" si="8"/>
        <v>1967</v>
      </c>
      <c r="S24" s="355">
        <f t="shared" si="8"/>
        <v>1968</v>
      </c>
      <c r="T24" s="355">
        <f t="shared" si="8"/>
        <v>1969</v>
      </c>
      <c r="U24" s="355">
        <f t="shared" si="8"/>
        <v>1970</v>
      </c>
      <c r="V24" s="355">
        <f t="shared" si="8"/>
        <v>1971</v>
      </c>
      <c r="W24" s="355">
        <f t="shared" si="8"/>
        <v>1972</v>
      </c>
      <c r="X24" s="355">
        <f t="shared" si="8"/>
        <v>1973</v>
      </c>
      <c r="Y24" s="355">
        <f t="shared" si="8"/>
        <v>1974</v>
      </c>
      <c r="Z24" s="355">
        <f t="shared" si="8"/>
        <v>1975</v>
      </c>
      <c r="AA24" s="355">
        <f t="shared" si="8"/>
        <v>1976</v>
      </c>
      <c r="AB24" s="355">
        <f t="shared" si="8"/>
        <v>1977</v>
      </c>
      <c r="AC24" s="355">
        <f t="shared" si="8"/>
        <v>1978</v>
      </c>
      <c r="AD24" s="355">
        <f t="shared" si="8"/>
        <v>1979</v>
      </c>
      <c r="AE24" s="355">
        <f t="shared" si="8"/>
        <v>1980</v>
      </c>
      <c r="AF24" s="355">
        <f t="shared" si="8"/>
        <v>1981</v>
      </c>
      <c r="AG24" s="355">
        <f t="shared" si="8"/>
        <v>1982</v>
      </c>
      <c r="AH24" s="355">
        <f t="shared" si="8"/>
        <v>1983</v>
      </c>
      <c r="AI24" s="355">
        <f t="shared" si="8"/>
        <v>1984</v>
      </c>
      <c r="AJ24" s="355">
        <f t="shared" si="8"/>
        <v>1985</v>
      </c>
      <c r="AK24" s="355">
        <f t="shared" ref="AK24:BF24" si="9">AK2</f>
        <v>1986</v>
      </c>
      <c r="AL24" s="355">
        <f t="shared" si="9"/>
        <v>1987</v>
      </c>
      <c r="AM24" s="355">
        <f t="shared" si="9"/>
        <v>1988</v>
      </c>
      <c r="AN24" s="355">
        <f t="shared" si="9"/>
        <v>1989</v>
      </c>
      <c r="AO24" s="355">
        <f t="shared" si="9"/>
        <v>1990</v>
      </c>
      <c r="AP24" s="355">
        <f t="shared" si="9"/>
        <v>1991</v>
      </c>
      <c r="AQ24" s="355">
        <f t="shared" si="9"/>
        <v>1992</v>
      </c>
      <c r="AR24" s="355">
        <f t="shared" si="9"/>
        <v>1993</v>
      </c>
      <c r="AS24" s="355">
        <f t="shared" si="9"/>
        <v>1994</v>
      </c>
      <c r="AT24" s="355">
        <f t="shared" si="9"/>
        <v>1995</v>
      </c>
      <c r="AU24" s="355">
        <f t="shared" si="9"/>
        <v>1996</v>
      </c>
      <c r="AV24" s="355">
        <f t="shared" si="9"/>
        <v>1997</v>
      </c>
      <c r="AW24" s="355">
        <f t="shared" si="9"/>
        <v>1998</v>
      </c>
      <c r="AX24" s="355">
        <f t="shared" si="9"/>
        <v>1999</v>
      </c>
      <c r="AY24" s="355">
        <f t="shared" si="9"/>
        <v>2000</v>
      </c>
      <c r="AZ24" s="355">
        <f t="shared" si="9"/>
        <v>2001</v>
      </c>
      <c r="BA24" s="355">
        <f t="shared" si="9"/>
        <v>2002</v>
      </c>
      <c r="BB24" s="355">
        <f t="shared" si="9"/>
        <v>2003</v>
      </c>
      <c r="BC24" s="355">
        <f t="shared" si="9"/>
        <v>2004</v>
      </c>
      <c r="BD24" s="355">
        <f t="shared" si="9"/>
        <v>2005</v>
      </c>
      <c r="BE24" s="355">
        <f t="shared" si="9"/>
        <v>2006</v>
      </c>
      <c r="BF24" s="355">
        <f t="shared" si="9"/>
        <v>2007</v>
      </c>
      <c r="BG24" s="355">
        <f t="shared" ref="BG24:BO24" si="10">BG2</f>
        <v>2008</v>
      </c>
      <c r="BH24" s="355">
        <f t="shared" si="10"/>
        <v>2009</v>
      </c>
      <c r="BI24" s="355">
        <f t="shared" si="10"/>
        <v>2010</v>
      </c>
      <c r="BJ24" s="355">
        <f t="shared" si="10"/>
        <v>2011</v>
      </c>
      <c r="BK24" s="355">
        <f t="shared" si="10"/>
        <v>2012</v>
      </c>
      <c r="BL24" s="355">
        <f t="shared" si="10"/>
        <v>2013</v>
      </c>
      <c r="BM24" s="355">
        <f t="shared" si="10"/>
        <v>2014</v>
      </c>
      <c r="BN24" s="355">
        <f t="shared" si="10"/>
        <v>2015</v>
      </c>
      <c r="BO24" s="355">
        <f t="shared" si="10"/>
        <v>2016</v>
      </c>
      <c r="BP24" s="355">
        <f>BP2</f>
        <v>2017</v>
      </c>
      <c r="BQ24" s="355">
        <f>BQ2</f>
        <v>2018</v>
      </c>
      <c r="BR24" s="355">
        <f>BR2</f>
        <v>2019</v>
      </c>
      <c r="BS24" s="355">
        <f>BS2</f>
        <v>2020</v>
      </c>
      <c r="BT24" s="355">
        <f>BT2</f>
        <v>2021</v>
      </c>
      <c r="BU24" s="355">
        <f t="shared" ref="BU24:CB24" si="11">BU2</f>
        <v>2022</v>
      </c>
      <c r="BV24" s="355">
        <f t="shared" si="11"/>
        <v>2023</v>
      </c>
      <c r="BW24" s="355">
        <f t="shared" si="11"/>
        <v>2024</v>
      </c>
      <c r="BX24" s="355">
        <f t="shared" si="11"/>
        <v>2025</v>
      </c>
      <c r="BY24" s="355">
        <f t="shared" si="11"/>
        <v>2026</v>
      </c>
      <c r="BZ24" s="355">
        <f t="shared" si="11"/>
        <v>2027</v>
      </c>
      <c r="CA24" s="355">
        <f t="shared" si="11"/>
        <v>2028</v>
      </c>
      <c r="CB24" s="355">
        <f t="shared" si="11"/>
        <v>2029</v>
      </c>
      <c r="CC24" s="355">
        <f>CC2</f>
        <v>2030</v>
      </c>
      <c r="CE24" s="485">
        <f t="shared" ref="CE24:CX24" si="12">BJ24</f>
        <v>2011</v>
      </c>
      <c r="CF24" s="485">
        <f t="shared" si="12"/>
        <v>2012</v>
      </c>
      <c r="CG24" s="485">
        <f t="shared" si="12"/>
        <v>2013</v>
      </c>
      <c r="CH24" s="485">
        <f t="shared" si="12"/>
        <v>2014</v>
      </c>
      <c r="CI24" s="485">
        <f t="shared" si="12"/>
        <v>2015</v>
      </c>
      <c r="CJ24" s="485">
        <f t="shared" si="12"/>
        <v>2016</v>
      </c>
      <c r="CK24" s="485">
        <f t="shared" si="12"/>
        <v>2017</v>
      </c>
      <c r="CL24" s="485">
        <f t="shared" si="12"/>
        <v>2018</v>
      </c>
      <c r="CM24" s="485">
        <f t="shared" si="12"/>
        <v>2019</v>
      </c>
      <c r="CN24" s="485">
        <f t="shared" si="12"/>
        <v>2020</v>
      </c>
      <c r="CO24" s="485">
        <f t="shared" si="12"/>
        <v>2021</v>
      </c>
      <c r="CP24" s="485">
        <f t="shared" si="12"/>
        <v>2022</v>
      </c>
      <c r="CQ24" s="485">
        <f t="shared" si="12"/>
        <v>2023</v>
      </c>
      <c r="CR24" s="485">
        <f t="shared" si="12"/>
        <v>2024</v>
      </c>
      <c r="CS24" s="485">
        <f t="shared" si="12"/>
        <v>2025</v>
      </c>
      <c r="CT24" s="485">
        <f t="shared" si="12"/>
        <v>2026</v>
      </c>
      <c r="CU24" s="485">
        <f t="shared" si="12"/>
        <v>2027</v>
      </c>
      <c r="CV24" s="485">
        <f t="shared" si="12"/>
        <v>2028</v>
      </c>
      <c r="CW24" s="485">
        <f t="shared" si="12"/>
        <v>2029</v>
      </c>
      <c r="CX24" s="485">
        <f t="shared" si="12"/>
        <v>2030</v>
      </c>
      <c r="CZ24" s="502">
        <v>2011</v>
      </c>
      <c r="DA24" s="502">
        <v>2012</v>
      </c>
      <c r="DB24" s="502">
        <v>2013</v>
      </c>
      <c r="DC24" s="502">
        <v>2014</v>
      </c>
      <c r="DD24" s="502">
        <v>2015</v>
      </c>
      <c r="DE24" s="502">
        <v>2016</v>
      </c>
      <c r="DF24" s="502">
        <v>2017</v>
      </c>
      <c r="DG24" s="502">
        <v>2018</v>
      </c>
      <c r="DH24" s="502">
        <v>2019</v>
      </c>
      <c r="DI24" s="502">
        <v>2020</v>
      </c>
      <c r="DJ24" s="502">
        <v>2021</v>
      </c>
      <c r="DK24" s="502">
        <v>2022</v>
      </c>
      <c r="DL24" s="502">
        <v>2023</v>
      </c>
      <c r="DM24" s="502">
        <v>2024</v>
      </c>
      <c r="DN24" s="502">
        <v>2025</v>
      </c>
      <c r="DO24" s="502">
        <v>2026</v>
      </c>
      <c r="DP24" s="502">
        <v>2027</v>
      </c>
      <c r="DQ24" s="502">
        <v>2028</v>
      </c>
      <c r="DR24" s="502">
        <v>2029</v>
      </c>
      <c r="DS24" s="502">
        <v>2030</v>
      </c>
    </row>
    <row r="25" spans="1:123">
      <c r="A25" s="326" t="str">
        <f>Model!B419</f>
        <v>BBPmp lopende prijzen</v>
      </c>
      <c r="B25" s="326">
        <f>Model!C419</f>
        <v>0</v>
      </c>
      <c r="C25" s="326" t="str">
        <f>Model!D419</f>
        <v>mlnSRD</v>
      </c>
      <c r="AP25" s="326">
        <f>Model!AQ419</f>
        <v>4.816653807353914</v>
      </c>
      <c r="AQ25" s="326">
        <f>Model!AR419</f>
        <v>6.2536149902572751</v>
      </c>
      <c r="AR25" s="326">
        <f>Model!AS419</f>
        <v>14.059989839502363</v>
      </c>
      <c r="AS25" s="326">
        <f>Model!AT419</f>
        <v>55.305189876195286</v>
      </c>
      <c r="AT25" s="326">
        <f>Model!AU419</f>
        <v>265.49515866743866</v>
      </c>
      <c r="AU25" s="326">
        <f>Model!AV419</f>
        <v>347.98572837278624</v>
      </c>
      <c r="AV25" s="326">
        <f>Model!AW419</f>
        <v>393.81406831179174</v>
      </c>
      <c r="AW25" s="326">
        <f>Model!AX419</f>
        <v>479.64843336586966</v>
      </c>
      <c r="AX25" s="326">
        <f>Model!AY419</f>
        <v>892.18635835645841</v>
      </c>
      <c r="AY25" s="326">
        <f>Model!AZ419</f>
        <v>1480.4267514836499</v>
      </c>
      <c r="AZ25" s="326">
        <f>Model!BA419</f>
        <v>2132.3433396373362</v>
      </c>
      <c r="BA25" s="326">
        <f>Model!BB419</f>
        <v>2534.2449999999999</v>
      </c>
      <c r="BB25" s="326">
        <f>Model!BC419</f>
        <v>3558.8736600000002</v>
      </c>
      <c r="BC25" s="326">
        <f>Model!BD419</f>
        <v>4390.9120000000003</v>
      </c>
      <c r="BD25" s="326">
        <f ca="1">Model!BE419</f>
        <v>6053.568461910636</v>
      </c>
      <c r="BE25" s="326">
        <f ca="1">Model!BF419</f>
        <v>7420.9359147840714</v>
      </c>
      <c r="BF25" s="326">
        <f ca="1">Model!BG419</f>
        <v>8426.0564134294364</v>
      </c>
      <c r="BG25" s="326">
        <f ca="1">Model!BH419</f>
        <v>9857.983303497278</v>
      </c>
      <c r="BH25" s="326">
        <f ca="1">Model!BI419</f>
        <v>9809.4714818933298</v>
      </c>
      <c r="BI25" s="326">
        <f ca="1">Model!BJ419</f>
        <v>12225.421392335056</v>
      </c>
      <c r="BJ25" s="326">
        <f ca="1">Model!BK419</f>
        <v>16133.355781955594</v>
      </c>
      <c r="BK25" s="326">
        <f ca="1">Model!BL419</f>
        <v>17423.098603763883</v>
      </c>
      <c r="BL25" s="326">
        <f ca="1">Model!BM419</f>
        <v>17202.653420649618</v>
      </c>
      <c r="BM25" s="326">
        <f>Model!BN419</f>
        <v>17194.136999999999</v>
      </c>
      <c r="BN25" s="326">
        <f ca="1">Model!BO419</f>
        <v>17457.881129171292</v>
      </c>
      <c r="BO25" s="326">
        <f ca="1">Model!BP419</f>
        <v>21935.81538304127</v>
      </c>
      <c r="BP25" s="326">
        <f ca="1">Model!BQ419</f>
        <v>27163.700026800016</v>
      </c>
      <c r="BQ25" s="326">
        <f ca="1">Model!BR419</f>
        <v>29859.825648072856</v>
      </c>
      <c r="BR25" s="326">
        <f ca="1">Model!BS419</f>
        <v>30995.419134880536</v>
      </c>
      <c r="BS25" s="326">
        <f ca="1">Model!BT419</f>
        <v>31947.69210983453</v>
      </c>
      <c r="BT25" s="326">
        <f ca="1">Model!BU419</f>
        <v>33218.773650097835</v>
      </c>
      <c r="BU25" s="326">
        <f ca="1">Model!BV419</f>
        <v>34578.925328158446</v>
      </c>
      <c r="BV25" s="326">
        <f ca="1">Model!BW419</f>
        <v>35983.98140585779</v>
      </c>
      <c r="BW25" s="326">
        <f ca="1">Model!BX419</f>
        <v>37441.609021964592</v>
      </c>
      <c r="BX25" s="326">
        <f ca="1">Model!BY419</f>
        <v>38954.086319982525</v>
      </c>
      <c r="BY25" s="326">
        <f ca="1">Model!BZ419</f>
        <v>40862.834279001567</v>
      </c>
      <c r="BZ25" s="326">
        <f ca="1">Model!CA419</f>
        <v>42914.876751623437</v>
      </c>
      <c r="CA25" s="326">
        <f ca="1">Model!CB419</f>
        <v>45071.634411838881</v>
      </c>
      <c r="CB25" s="326">
        <f ca="1">Model!CC419</f>
        <v>47352.640054842435</v>
      </c>
      <c r="CC25" s="326">
        <f ca="1">Model!CD419</f>
        <v>49769.325421277492</v>
      </c>
      <c r="CE25" s="483"/>
      <c r="CF25" s="483"/>
      <c r="CG25" s="483"/>
      <c r="CH25" s="483"/>
      <c r="CI25" s="483"/>
      <c r="CJ25" s="483"/>
      <c r="CK25" s="483"/>
      <c r="CL25" s="483"/>
      <c r="CM25" s="483"/>
      <c r="CN25" s="483"/>
      <c r="CO25" s="483"/>
      <c r="CP25" s="483"/>
      <c r="CQ25" s="483"/>
      <c r="CR25" s="483"/>
      <c r="CS25" s="483"/>
      <c r="CT25" s="483"/>
      <c r="CU25" s="483"/>
      <c r="CV25" s="483"/>
      <c r="CW25" s="483"/>
      <c r="CX25" s="483"/>
      <c r="CZ25" s="502">
        <v>16054.382099524519</v>
      </c>
      <c r="DA25" s="502">
        <v>17353.194451887113</v>
      </c>
      <c r="DB25" s="502">
        <v>17138.66446451889</v>
      </c>
      <c r="DC25" s="502">
        <v>17194.136999999999</v>
      </c>
      <c r="DD25" s="502">
        <v>17356.529228787163</v>
      </c>
      <c r="DE25" s="502">
        <v>20174.404888420719</v>
      </c>
      <c r="DF25" s="502">
        <v>23349.028074918744</v>
      </c>
      <c r="DG25" s="502">
        <v>26211.52197847459</v>
      </c>
      <c r="DH25" s="502">
        <v>27823.836321316332</v>
      </c>
      <c r="DI25" s="502">
        <v>28843.90945911513</v>
      </c>
      <c r="DJ25" s="502">
        <v>29903.404221222889</v>
      </c>
      <c r="DK25" s="502">
        <v>30944.037384372794</v>
      </c>
      <c r="DL25" s="502">
        <v>31981.200538974401</v>
      </c>
      <c r="DM25" s="502">
        <v>33043.231695091577</v>
      </c>
      <c r="DN25" s="502">
        <v>34135.248979007367</v>
      </c>
      <c r="DO25" s="502">
        <v>35602.135722452542</v>
      </c>
      <c r="DP25" s="502">
        <v>37172.237826027529</v>
      </c>
      <c r="DQ25" s="502">
        <v>38815.848906166291</v>
      </c>
      <c r="DR25" s="502">
        <v>40550.670696357731</v>
      </c>
      <c r="DS25" s="502">
        <v>42384.627007764917</v>
      </c>
    </row>
    <row r="26" spans="1:123">
      <c r="A26" s="450" t="s">
        <v>1029</v>
      </c>
      <c r="B26" s="450" t="s">
        <v>1029</v>
      </c>
      <c r="C26" s="450" t="s">
        <v>1029</v>
      </c>
      <c r="E26" s="263">
        <f t="shared" ref="E26:AJ26" si="13">E28+E41</f>
        <v>0.13586534573248304</v>
      </c>
      <c r="F26" s="263">
        <f t="shared" si="13"/>
        <v>0.14185086350566717</v>
      </c>
      <c r="G26" s="263">
        <f t="shared" si="13"/>
        <v>0.15343199888797313</v>
      </c>
      <c r="H26" s="263">
        <f t="shared" si="13"/>
        <v>0.17724070015556495</v>
      </c>
      <c r="I26" s="263">
        <f t="shared" si="13"/>
        <v>0.18837748292073164</v>
      </c>
      <c r="J26" s="263">
        <f t="shared" si="13"/>
        <v>0.20780287304332629</v>
      </c>
      <c r="K26" s="263">
        <f t="shared" si="13"/>
        <v>0.22556155428735056</v>
      </c>
      <c r="L26" s="263">
        <f t="shared" si="13"/>
        <v>0.23593360914628436</v>
      </c>
      <c r="M26" s="263">
        <f t="shared" si="13"/>
        <v>0.24828982043012487</v>
      </c>
      <c r="N26" s="263">
        <f t="shared" si="13"/>
        <v>0.26493747745129564</v>
      </c>
      <c r="O26" s="263">
        <f t="shared" si="13"/>
        <v>0.29140250130304329</v>
      </c>
      <c r="P26" s="263">
        <f t="shared" si="13"/>
        <v>0.33374046186287498</v>
      </c>
      <c r="Q26" s="263">
        <f t="shared" si="13"/>
        <v>0.42151686122990173</v>
      </c>
      <c r="R26" s="263">
        <f t="shared" si="13"/>
        <v>0.48892385527099469</v>
      </c>
      <c r="S26" s="263">
        <f t="shared" si="13"/>
        <v>0.53559495364308884</v>
      </c>
      <c r="T26" s="263">
        <f t="shared" si="13"/>
        <v>0.55959145349276418</v>
      </c>
      <c r="U26" s="263">
        <f t="shared" si="13"/>
        <v>0.58938389379539635</v>
      </c>
      <c r="V26" s="263">
        <f t="shared" si="13"/>
        <v>0.64004679212186022</v>
      </c>
      <c r="W26" s="263">
        <f t="shared" si="13"/>
        <v>0.67391225237039776</v>
      </c>
      <c r="X26" s="263">
        <f t="shared" si="13"/>
        <v>0.72981900892488716</v>
      </c>
      <c r="Y26" s="263">
        <f t="shared" si="13"/>
        <v>0.88782266288243172</v>
      </c>
      <c r="Z26" s="263">
        <f t="shared" si="13"/>
        <v>1.0666470776089993</v>
      </c>
      <c r="AA26" s="263">
        <f t="shared" si="13"/>
        <v>1.1595554123383063</v>
      </c>
      <c r="AB26" s="263">
        <f t="shared" si="13"/>
        <v>1.4706075189374941</v>
      </c>
      <c r="AC26" s="263">
        <f t="shared" si="13"/>
        <v>1.6865036412243843</v>
      </c>
      <c r="AD26" s="263">
        <f t="shared" si="13"/>
        <v>1.7945749081650377</v>
      </c>
      <c r="AE26" s="263">
        <f t="shared" si="13"/>
        <v>1.8369870441817362</v>
      </c>
      <c r="AF26" s="263">
        <f t="shared" si="13"/>
        <v>2.0623064070163921</v>
      </c>
      <c r="AG26" s="263">
        <f t="shared" si="13"/>
        <v>2.1222001966893647</v>
      </c>
      <c r="AH26" s="263">
        <f t="shared" si="13"/>
        <v>2.0523391530789263</v>
      </c>
      <c r="AI26" s="263">
        <f t="shared" si="13"/>
        <v>2.004300109138605</v>
      </c>
      <c r="AJ26" s="263">
        <f t="shared" si="13"/>
        <v>2.0005860002869698</v>
      </c>
      <c r="AK26" s="263">
        <f t="shared" ref="AK26:AS26" si="14">AK28+AK41</f>
        <v>2.0575526711946841</v>
      </c>
      <c r="AL26" s="263">
        <f t="shared" si="14"/>
        <v>2.2662250885593451</v>
      </c>
      <c r="AM26" s="263">
        <f t="shared" si="14"/>
        <v>2.6858092978059442</v>
      </c>
      <c r="AN26" s="263">
        <f t="shared" si="14"/>
        <v>3.1644858839028007</v>
      </c>
      <c r="AO26" s="263">
        <f t="shared" si="14"/>
        <v>4.0658461605290093</v>
      </c>
      <c r="AP26" s="263">
        <f t="shared" si="14"/>
        <v>4.816653807353914</v>
      </c>
      <c r="AQ26" s="263">
        <f t="shared" si="14"/>
        <v>6.2536149902572751</v>
      </c>
      <c r="AR26" s="263">
        <f t="shared" si="14"/>
        <v>14.059989839502361</v>
      </c>
      <c r="AS26" s="263">
        <f t="shared" si="14"/>
        <v>55.305189876195307</v>
      </c>
      <c r="AT26" s="263">
        <f t="shared" ref="AT26:BF26" si="15">AT28+AT41</f>
        <v>265.49515866743866</v>
      </c>
      <c r="AU26" s="263">
        <f t="shared" si="15"/>
        <v>347.9857283727863</v>
      </c>
      <c r="AV26" s="263">
        <f t="shared" si="15"/>
        <v>393.81406831179174</v>
      </c>
      <c r="AW26" s="263">
        <f t="shared" si="15"/>
        <v>479.64843336586978</v>
      </c>
      <c r="AX26" s="263">
        <f t="shared" si="15"/>
        <v>892.1863583564583</v>
      </c>
      <c r="AY26" s="263">
        <f t="shared" si="15"/>
        <v>1480.4267514836502</v>
      </c>
      <c r="AZ26" s="263">
        <f t="shared" si="15"/>
        <v>2132.3433396373366</v>
      </c>
      <c r="BA26" s="263">
        <f t="shared" si="15"/>
        <v>2534.2449999999994</v>
      </c>
      <c r="BB26" s="263">
        <f t="shared" si="15"/>
        <v>3558.8736600000011</v>
      </c>
      <c r="BC26" s="263">
        <f t="shared" si="15"/>
        <v>4390.9120000000003</v>
      </c>
      <c r="BD26" s="263">
        <f t="shared" ca="1" si="15"/>
        <v>6053.5684619106387</v>
      </c>
      <c r="BE26" s="469">
        <f t="shared" ca="1" si="15"/>
        <v>7420.9359147840742</v>
      </c>
      <c r="BF26" s="469">
        <f t="shared" ca="1" si="15"/>
        <v>8426.0564134294327</v>
      </c>
      <c r="BG26" s="469">
        <f ca="1">BG28+BG41</f>
        <v>9857.9833034972835</v>
      </c>
      <c r="BH26" s="469">
        <f t="shared" ref="BH26:BN26" ca="1" si="16">BH28+BH41</f>
        <v>9809.4714818933317</v>
      </c>
      <c r="BI26" s="469">
        <f t="shared" ca="1" si="16"/>
        <v>12225.421392335058</v>
      </c>
      <c r="BJ26" s="469">
        <f t="shared" ca="1" si="16"/>
        <v>16133.355781955595</v>
      </c>
      <c r="BK26" s="469">
        <f t="shared" ca="1" si="16"/>
        <v>17423.09860376388</v>
      </c>
      <c r="BL26" s="469">
        <f t="shared" ca="1" si="16"/>
        <v>17202.653420649618</v>
      </c>
      <c r="BM26" s="469">
        <f t="shared" ca="1" si="16"/>
        <v>17194.137000000002</v>
      </c>
      <c r="BN26" s="469">
        <f t="shared" ca="1" si="16"/>
        <v>17457.881129171292</v>
      </c>
      <c r="BO26" s="469">
        <f t="shared" ref="BO26:BT26" ca="1" si="17">BO28+BO41</f>
        <v>21935.815383041267</v>
      </c>
      <c r="BP26" s="469">
        <f t="shared" ca="1" si="17"/>
        <v>27163.700026800016</v>
      </c>
      <c r="BQ26" s="469">
        <f t="shared" ca="1" si="17"/>
        <v>29859.825648072863</v>
      </c>
      <c r="BR26" s="469">
        <f t="shared" ca="1" si="17"/>
        <v>30995.419134880551</v>
      </c>
      <c r="BS26" s="469">
        <f t="shared" ca="1" si="17"/>
        <v>31947.692109834552</v>
      </c>
      <c r="BT26" s="469">
        <f t="shared" ca="1" si="17"/>
        <v>33218.773650097864</v>
      </c>
      <c r="BU26" s="469">
        <f t="shared" ref="BU26:CB26" ca="1" si="18">BU28+BU41</f>
        <v>34578.925328158475</v>
      </c>
      <c r="BV26" s="469">
        <f t="shared" ca="1" si="18"/>
        <v>35983.981405857849</v>
      </c>
      <c r="BW26" s="469">
        <f t="shared" ca="1" si="18"/>
        <v>37441.609021964672</v>
      </c>
      <c r="BX26" s="469">
        <f t="shared" ca="1" si="18"/>
        <v>38954.086319982664</v>
      </c>
      <c r="BY26" s="469">
        <f t="shared" ca="1" si="18"/>
        <v>40862.83427900177</v>
      </c>
      <c r="BZ26" s="469">
        <f t="shared" ca="1" si="18"/>
        <v>42914.876751623713</v>
      </c>
      <c r="CA26" s="469">
        <f t="shared" ca="1" si="18"/>
        <v>45071.634411839266</v>
      </c>
      <c r="CB26" s="469">
        <f t="shared" ca="1" si="18"/>
        <v>47352.640054842974</v>
      </c>
      <c r="CC26" s="469">
        <f ca="1">CC28+CC41</f>
        <v>49769.325421278292</v>
      </c>
      <c r="CE26" s="484">
        <f t="shared" ref="CE26:CE41" ca="1" si="19">BJ26-CZ26</f>
        <v>78.973682431074849</v>
      </c>
      <c r="CF26" s="484">
        <f t="shared" ref="CF26:CF41" ca="1" si="20">BK26-DA26</f>
        <v>69.904151876769902</v>
      </c>
      <c r="CG26" s="484">
        <f t="shared" ref="CG26:CG41" ca="1" si="21">BL26-DB26</f>
        <v>63.988956130728184</v>
      </c>
      <c r="CH26" s="484">
        <f t="shared" ref="CH26:CH41" ca="1" si="22">BM26-DC26</f>
        <v>0</v>
      </c>
      <c r="CI26" s="484">
        <f t="shared" ref="CI26:CI41" ca="1" si="23">BN26-DD26</f>
        <v>101.35190038412838</v>
      </c>
      <c r="CJ26" s="484">
        <f t="shared" ref="CJ26:CJ41" ca="1" si="24">BO26-DE26</f>
        <v>1761.4104946205516</v>
      </c>
      <c r="CK26" s="484">
        <f t="shared" ref="CK26:CK41" ca="1" si="25">BP26-DF26</f>
        <v>3814.6719518812824</v>
      </c>
      <c r="CL26" s="484">
        <f t="shared" ref="CL26:CL41" ca="1" si="26">BQ26-DG26</f>
        <v>3648.3036695982883</v>
      </c>
      <c r="CM26" s="484">
        <f t="shared" ref="CM26:CM41" ca="1" si="27">BR26-DH26</f>
        <v>3171.5828135642405</v>
      </c>
      <c r="CN26" s="484">
        <f t="shared" ref="CN26:CN41" ca="1" si="28">BS26-DI26</f>
        <v>3103.7826507194441</v>
      </c>
      <c r="CO26" s="484">
        <f t="shared" ref="CO26:CO41" ca="1" si="29">BT26-DJ26</f>
        <v>3315.3694288750121</v>
      </c>
      <c r="CP26" s="484">
        <f t="shared" ref="CP26:CP41" ca="1" si="30">BU26-DK26</f>
        <v>3634.8879437857249</v>
      </c>
      <c r="CQ26" s="484">
        <f t="shared" ref="CQ26:CQ41" ca="1" si="31">BV26-DL26</f>
        <v>4002.7808668834841</v>
      </c>
      <c r="CR26" s="484">
        <f t="shared" ref="CR26:CR41" ca="1" si="32">BW26-DM26</f>
        <v>4398.3773268731165</v>
      </c>
      <c r="CS26" s="484">
        <f t="shared" ref="CS26:CS41" ca="1" si="33">BX26-DN26</f>
        <v>4818.8373409752894</v>
      </c>
      <c r="CT26" s="484">
        <f t="shared" ref="CT26:CT41" ca="1" si="34">BY26-DO26</f>
        <v>5260.6985565491486</v>
      </c>
      <c r="CU26" s="484">
        <f t="shared" ref="CU26:CU41" ca="1" si="35">BZ26-DP26</f>
        <v>5742.6389255960385</v>
      </c>
      <c r="CV26" s="484">
        <f t="shared" ref="CV26:CV41" ca="1" si="36">CA26-DQ26</f>
        <v>6255.7855056727494</v>
      </c>
      <c r="CW26" s="484">
        <f t="shared" ref="CW26:CW41" ca="1" si="37">CB26-DR26</f>
        <v>6801.9693584850174</v>
      </c>
      <c r="CX26" s="484">
        <f t="shared" ref="CX26:CX41" ca="1" si="38">CC26-DS26</f>
        <v>7384.6984135132443</v>
      </c>
      <c r="CZ26" s="502">
        <v>16054.382099524521</v>
      </c>
      <c r="DA26" s="502">
        <v>17353.19445188711</v>
      </c>
      <c r="DB26" s="502">
        <v>17138.66446451889</v>
      </c>
      <c r="DC26" s="502">
        <v>17194.137000000002</v>
      </c>
      <c r="DD26" s="502">
        <v>17356.529228787163</v>
      </c>
      <c r="DE26" s="502">
        <v>20174.404888420715</v>
      </c>
      <c r="DF26" s="502">
        <v>23349.028074918733</v>
      </c>
      <c r="DG26" s="502">
        <v>26211.521978474575</v>
      </c>
      <c r="DH26" s="502">
        <v>27823.83632131631</v>
      </c>
      <c r="DI26" s="502">
        <v>28843.909459115108</v>
      </c>
      <c r="DJ26" s="502">
        <v>29903.404221222852</v>
      </c>
      <c r="DK26" s="502">
        <v>30944.03738437275</v>
      </c>
      <c r="DL26" s="502">
        <v>31981.200538974364</v>
      </c>
      <c r="DM26" s="502">
        <v>33043.231695091556</v>
      </c>
      <c r="DN26" s="502">
        <v>34135.248979007374</v>
      </c>
      <c r="DO26" s="502">
        <v>35602.135722452622</v>
      </c>
      <c r="DP26" s="502">
        <v>37172.237826027675</v>
      </c>
      <c r="DQ26" s="502">
        <v>38815.848906166517</v>
      </c>
      <c r="DR26" s="502">
        <v>40550.670696357956</v>
      </c>
      <c r="DS26" s="502">
        <v>42384.627007765048</v>
      </c>
    </row>
    <row r="27" spans="1:123">
      <c r="A27" s="326" t="str">
        <f>Model!B292</f>
        <v>Bruto toegevoegde waarde van bedrijven, mp nominaal</v>
      </c>
      <c r="B27" s="326" t="str">
        <f>Model!C292</f>
        <v>YBWN</v>
      </c>
      <c r="C27" s="326">
        <f>Model!D292</f>
        <v>0</v>
      </c>
      <c r="D27" s="326"/>
      <c r="E27" s="326">
        <f>Model!F292</f>
        <v>0.124366511507621</v>
      </c>
      <c r="F27" s="326">
        <f>Model!G292</f>
        <v>0.12859200363414255</v>
      </c>
      <c r="G27" s="326">
        <f>Model!H292</f>
        <v>0.13877098538555338</v>
      </c>
      <c r="H27" s="326">
        <f>Model!I292</f>
        <v>0.15769268215233856</v>
      </c>
      <c r="I27" s="326">
        <f>Model!J292</f>
        <v>0.1679498034583434</v>
      </c>
      <c r="J27" s="326">
        <f>Model!K292</f>
        <v>0.18502943267382441</v>
      </c>
      <c r="K27" s="326">
        <f>Model!L292</f>
        <v>0.19995365021076664</v>
      </c>
      <c r="L27" s="326">
        <f>Model!M292</f>
        <v>0.20182231842443069</v>
      </c>
      <c r="M27" s="326">
        <f>Model!N292</f>
        <v>0.21320112858431103</v>
      </c>
      <c r="N27" s="326">
        <f>Model!O292</f>
        <v>0.22887138448152169</v>
      </c>
      <c r="O27" s="326">
        <f>Model!P292</f>
        <v>0.2501561837190735</v>
      </c>
      <c r="P27" s="326">
        <f>Model!Q292</f>
        <v>0.28917098224783133</v>
      </c>
      <c r="Q27" s="326">
        <f>Model!R292</f>
        <v>0.36854173015841007</v>
      </c>
      <c r="R27" s="326">
        <f>Model!S292</f>
        <v>0.43291878340081252</v>
      </c>
      <c r="S27" s="326">
        <f>Model!T292</f>
        <v>0.47675542030381302</v>
      </c>
      <c r="T27" s="326">
        <f>Model!U292</f>
        <v>0.49068468768150353</v>
      </c>
      <c r="U27" s="326">
        <f>Model!V292</f>
        <v>0.50855283964299369</v>
      </c>
      <c r="V27" s="326">
        <f>Model!W292</f>
        <v>0.5576518943807306</v>
      </c>
      <c r="W27" s="326">
        <f>Model!X292</f>
        <v>0.57900662382335943</v>
      </c>
      <c r="X27" s="326">
        <f>Model!Y292</f>
        <v>0.63256761947073514</v>
      </c>
      <c r="Y27" s="326">
        <f>Model!Z292</f>
        <v>0.77737636273079436</v>
      </c>
      <c r="Z27" s="326">
        <f>Model!AA292</f>
        <v>0.92778105587771431</v>
      </c>
      <c r="AA27" s="326">
        <f>Model!AB292</f>
        <v>0.99313911854573733</v>
      </c>
      <c r="AB27" s="326">
        <f>Model!AC292</f>
        <v>1.2567526758090888</v>
      </c>
      <c r="AC27" s="326">
        <f>Model!AD292</f>
        <v>1.4389970984217595</v>
      </c>
      <c r="AD27" s="326">
        <f>Model!AE292</f>
        <v>1.5346073895132921</v>
      </c>
      <c r="AE27" s="326">
        <f>Model!AF292</f>
        <v>1.5719858421543482</v>
      </c>
      <c r="AF27" s="326">
        <f>Model!AG292</f>
        <v>1.7383560907886195</v>
      </c>
      <c r="AG27" s="326">
        <f>Model!AH292</f>
        <v>1.7158924108374707</v>
      </c>
      <c r="AH27" s="326">
        <f>Model!AI292</f>
        <v>1.6136468881668786</v>
      </c>
      <c r="AI27" s="326">
        <f>Model!AJ292</f>
        <v>1.5653849047800215</v>
      </c>
      <c r="AJ27" s="326">
        <f>Model!AK292</f>
        <v>1.5502189200700816</v>
      </c>
      <c r="AK27" s="326">
        <f>Model!AL292</f>
        <v>1.5780043356775677</v>
      </c>
      <c r="AL27" s="326">
        <f>Model!AM292</f>
        <v>1.7147503859384108</v>
      </c>
      <c r="AM27" s="326">
        <f>Model!AN292</f>
        <v>2.0721470223362659</v>
      </c>
      <c r="AN27" s="326">
        <f>Model!AO292</f>
        <v>2.5038895911887882</v>
      </c>
      <c r="AO27" s="326">
        <f>Model!AP292</f>
        <v>3.4473848817960988</v>
      </c>
      <c r="AP27" s="326">
        <f>Model!AQ292</f>
        <v>4.0217206237823033</v>
      </c>
      <c r="AQ27" s="326">
        <f>Model!AR292</f>
        <v>5.2641637722165191</v>
      </c>
      <c r="AR27" s="326">
        <f>Model!AS292</f>
        <v>12.888493302075142</v>
      </c>
      <c r="AS27" s="326">
        <f>Model!AT292</f>
        <v>51.292049797701189</v>
      </c>
      <c r="AT27" s="326">
        <f>Model!AU292</f>
        <v>250.08720187980026</v>
      </c>
      <c r="AU27" s="326">
        <f>Model!AV292</f>
        <v>317.93672837278626</v>
      </c>
      <c r="AV27" s="326">
        <f>Model!AW292</f>
        <v>353.38906831179173</v>
      </c>
      <c r="AW27" s="326">
        <f>Model!AX292</f>
        <v>399.99843336586969</v>
      </c>
      <c r="AX27" s="326">
        <f>Model!AY292</f>
        <v>780.10435835645842</v>
      </c>
      <c r="AY27" s="326">
        <f>Model!AZ292</f>
        <v>1301.83775148365</v>
      </c>
      <c r="AZ27" s="326">
        <f>Model!BA292</f>
        <v>1913.0307396373362</v>
      </c>
      <c r="BA27" s="326">
        <f>Model!BB292</f>
        <v>2146.4436369999999</v>
      </c>
      <c r="BB27" s="326">
        <f>Model!BC292</f>
        <v>3127.3281310000002</v>
      </c>
      <c r="BC27" s="326">
        <f>Model!BD292</f>
        <v>3925.7327830000004</v>
      </c>
      <c r="BD27" s="326">
        <f ca="1">Model!BE292</f>
        <v>5551.9424749106356</v>
      </c>
      <c r="BE27" s="470">
        <f ca="1">Model!BF292</f>
        <v>6817.9043147840712</v>
      </c>
      <c r="BF27" s="470">
        <f ca="1">Model!BG292</f>
        <v>7733.6247644294363</v>
      </c>
      <c r="BG27" s="470">
        <f ca="1">Model!BH292</f>
        <v>9099.4373974972787</v>
      </c>
      <c r="BH27" s="470">
        <f ca="1">Model!BI292</f>
        <v>8841.8409698933301</v>
      </c>
      <c r="BI27" s="470">
        <f ca="1">Model!BJ292</f>
        <v>11150.121392335057</v>
      </c>
      <c r="BJ27" s="470">
        <f ca="1">Model!BK292</f>
        <v>14924.582178955594</v>
      </c>
      <c r="BK27" s="470">
        <f ca="1">Model!BL292</f>
        <v>16107.498603763883</v>
      </c>
      <c r="BL27" s="470">
        <f ca="1">Model!BM292</f>
        <v>15636.753420649618</v>
      </c>
      <c r="BM27" s="470">
        <f>Model!BN292</f>
        <v>15683.337</v>
      </c>
      <c r="BN27" s="470">
        <f ca="1">Model!BO292</f>
        <v>15753.881129171294</v>
      </c>
      <c r="BO27" s="470">
        <f ca="1">Model!BP292</f>
        <v>19874.615218209587</v>
      </c>
      <c r="BP27" s="470">
        <f ca="1">Model!BQ292</f>
        <v>24601.750731278156</v>
      </c>
      <c r="BQ27" s="470">
        <f ca="1">Model!BR292</f>
        <v>27053.150238933777</v>
      </c>
      <c r="BR27" s="470">
        <f ca="1">Model!BS292</f>
        <v>28058.400819857954</v>
      </c>
      <c r="BS27" s="470">
        <f ca="1">Model!BT292</f>
        <v>28867.564760749759</v>
      </c>
      <c r="BT27" s="470">
        <f ca="1">Model!BU292</f>
        <v>29980.798648227472</v>
      </c>
      <c r="BU27" s="470">
        <f ca="1">Model!BV292</f>
        <v>31171.800626116379</v>
      </c>
      <c r="BV27" s="470">
        <f ca="1">Model!BW292</f>
        <v>32405.949351762811</v>
      </c>
      <c r="BW27" s="470">
        <f ca="1">Model!BX292</f>
        <v>33685.494167565892</v>
      </c>
      <c r="BX27" s="470">
        <f ca="1">Model!BY292</f>
        <v>35013.124351138569</v>
      </c>
      <c r="BY27" s="470">
        <f ca="1">Model!BZ292</f>
        <v>36729.44643771484</v>
      </c>
      <c r="BZ27" s="470">
        <f ca="1">Model!CA292</f>
        <v>38580.236744603411</v>
      </c>
      <c r="CA27" s="470">
        <f ca="1">Model!CB292</f>
        <v>40535.449894570454</v>
      </c>
      <c r="CB27" s="470">
        <f ca="1">Model!CC292</f>
        <v>42606.377181928343</v>
      </c>
      <c r="CC27" s="470">
        <f ca="1">Model!CD292</f>
        <v>44804.135388109542</v>
      </c>
      <c r="CE27" s="484">
        <f t="shared" ca="1" si="19"/>
        <v>78.973682431074849</v>
      </c>
      <c r="CF27" s="484">
        <f t="shared" ca="1" si="20"/>
        <v>69.904151876769902</v>
      </c>
      <c r="CG27" s="484">
        <f t="shared" ca="1" si="21"/>
        <v>63.988956130728184</v>
      </c>
      <c r="CH27" s="484">
        <f t="shared" si="22"/>
        <v>0</v>
      </c>
      <c r="CI27" s="484">
        <f t="shared" ca="1" si="23"/>
        <v>101.35190038413202</v>
      </c>
      <c r="CJ27" s="484">
        <f t="shared" ca="1" si="24"/>
        <v>1483.0460291845993</v>
      </c>
      <c r="CK27" s="484">
        <f t="shared" ca="1" si="25"/>
        <v>3338.2038938895785</v>
      </c>
      <c r="CL27" s="484">
        <f t="shared" ca="1" si="26"/>
        <v>3305.4802046701734</v>
      </c>
      <c r="CM27" s="484">
        <f t="shared" ca="1" si="27"/>
        <v>2863.6872241868623</v>
      </c>
      <c r="CN27" s="484">
        <f t="shared" ca="1" si="28"/>
        <v>2757.3945858716688</v>
      </c>
      <c r="CO27" s="484">
        <f t="shared" ca="1" si="29"/>
        <v>2898.3160497527642</v>
      </c>
      <c r="CP27" s="484">
        <f t="shared" ca="1" si="30"/>
        <v>3141.0987146127045</v>
      </c>
      <c r="CQ27" s="484">
        <f t="shared" ca="1" si="31"/>
        <v>3425.4226852095635</v>
      </c>
      <c r="CR27" s="484">
        <f t="shared" ca="1" si="32"/>
        <v>3732.3609218007587</v>
      </c>
      <c r="CS27" s="484">
        <f t="shared" ca="1" si="33"/>
        <v>4058.5249102766102</v>
      </c>
      <c r="CT27" s="484">
        <f t="shared" ca="1" si="34"/>
        <v>4399.6555311993834</v>
      </c>
      <c r="CU27" s="484">
        <f t="shared" ca="1" si="35"/>
        <v>4773.8298408428018</v>
      </c>
      <c r="CV27" s="484">
        <f t="shared" ca="1" si="36"/>
        <v>5174.5379167772408</v>
      </c>
      <c r="CW27" s="484">
        <f t="shared" ca="1" si="37"/>
        <v>5602.1264225759369</v>
      </c>
      <c r="CX27" s="484">
        <f t="shared" ca="1" si="38"/>
        <v>6059.5986596134389</v>
      </c>
      <c r="CZ27" s="502">
        <v>14845.608496524519</v>
      </c>
      <c r="DA27" s="502">
        <v>16037.594451887113</v>
      </c>
      <c r="DB27" s="502">
        <v>15572.76446451889</v>
      </c>
      <c r="DC27" s="502">
        <v>15683.337</v>
      </c>
      <c r="DD27" s="502">
        <v>15652.529228787162</v>
      </c>
      <c r="DE27" s="502">
        <v>18391.569189024987</v>
      </c>
      <c r="DF27" s="502">
        <v>21263.546837388578</v>
      </c>
      <c r="DG27" s="502">
        <v>23747.670034263603</v>
      </c>
      <c r="DH27" s="502">
        <v>25194.713595671092</v>
      </c>
      <c r="DI27" s="502">
        <v>26110.170174878091</v>
      </c>
      <c r="DJ27" s="502">
        <v>27082.482598474708</v>
      </c>
      <c r="DK27" s="502">
        <v>28030.701911503675</v>
      </c>
      <c r="DL27" s="502">
        <v>28980.526666553247</v>
      </c>
      <c r="DM27" s="502">
        <v>29953.133245765133</v>
      </c>
      <c r="DN27" s="502">
        <v>30954.599440861959</v>
      </c>
      <c r="DO27" s="502">
        <v>32329.790906515456</v>
      </c>
      <c r="DP27" s="502">
        <v>33806.40690376061</v>
      </c>
      <c r="DQ27" s="502">
        <v>35360.911977793214</v>
      </c>
      <c r="DR27" s="502">
        <v>37004.250759352406</v>
      </c>
      <c r="DS27" s="502">
        <v>38744.536728496103</v>
      </c>
    </row>
    <row r="28" spans="1:123">
      <c r="A28" s="264" t="s">
        <v>1504</v>
      </c>
      <c r="B28" s="264" t="s">
        <v>1504</v>
      </c>
      <c r="C28" s="264" t="s">
        <v>1504</v>
      </c>
      <c r="E28" s="451">
        <f t="shared" ref="E28:AJ28" si="39">SUM(E30+E31+E33+E34+E36)-(E38+E39+E40)</f>
        <v>0.12436651150762101</v>
      </c>
      <c r="F28" s="451">
        <f t="shared" si="39"/>
        <v>0.12859200363414258</v>
      </c>
      <c r="G28" s="451">
        <f t="shared" si="39"/>
        <v>0.13877098538555332</v>
      </c>
      <c r="H28" s="451">
        <f t="shared" si="39"/>
        <v>0.15769268215233856</v>
      </c>
      <c r="I28" s="451">
        <f t="shared" si="39"/>
        <v>0.16794980345834343</v>
      </c>
      <c r="J28" s="451">
        <f t="shared" si="39"/>
        <v>0.18502943267382441</v>
      </c>
      <c r="K28" s="451">
        <f t="shared" si="39"/>
        <v>0.19995365021076655</v>
      </c>
      <c r="L28" s="451">
        <f t="shared" si="39"/>
        <v>0.20182231842443071</v>
      </c>
      <c r="M28" s="451">
        <f t="shared" si="39"/>
        <v>0.21320112858431106</v>
      </c>
      <c r="N28" s="451">
        <f t="shared" si="39"/>
        <v>0.22887138448152169</v>
      </c>
      <c r="O28" s="451">
        <f t="shared" si="39"/>
        <v>0.2501561837190735</v>
      </c>
      <c r="P28" s="451">
        <f t="shared" si="39"/>
        <v>0.28917098224783133</v>
      </c>
      <c r="Q28" s="451">
        <f t="shared" si="39"/>
        <v>0.36854173015841007</v>
      </c>
      <c r="R28" s="451">
        <f t="shared" si="39"/>
        <v>0.43291878340081258</v>
      </c>
      <c r="S28" s="451">
        <f t="shared" si="39"/>
        <v>0.47675542030381296</v>
      </c>
      <c r="T28" s="451">
        <f t="shared" si="39"/>
        <v>0.49068468768150336</v>
      </c>
      <c r="U28" s="451">
        <f t="shared" si="39"/>
        <v>0.50855283964299369</v>
      </c>
      <c r="V28" s="451">
        <f t="shared" si="39"/>
        <v>0.55765189438073071</v>
      </c>
      <c r="W28" s="451">
        <f t="shared" si="39"/>
        <v>0.57900662382335955</v>
      </c>
      <c r="X28" s="451">
        <f t="shared" si="39"/>
        <v>0.63256761947073525</v>
      </c>
      <c r="Y28" s="451">
        <f t="shared" si="39"/>
        <v>0.77737636273079447</v>
      </c>
      <c r="Z28" s="451">
        <f t="shared" si="39"/>
        <v>0.92778105587771431</v>
      </c>
      <c r="AA28" s="451">
        <f t="shared" si="39"/>
        <v>0.99313911854573733</v>
      </c>
      <c r="AB28" s="451">
        <f t="shared" si="39"/>
        <v>1.2567526758090888</v>
      </c>
      <c r="AC28" s="451">
        <f t="shared" si="39"/>
        <v>1.4389970984217595</v>
      </c>
      <c r="AD28" s="451">
        <f t="shared" si="39"/>
        <v>1.5346073895132921</v>
      </c>
      <c r="AE28" s="451">
        <f t="shared" si="39"/>
        <v>1.571985842154348</v>
      </c>
      <c r="AF28" s="451">
        <f t="shared" si="39"/>
        <v>1.7383560907886197</v>
      </c>
      <c r="AG28" s="451">
        <f t="shared" si="39"/>
        <v>1.7158924108374705</v>
      </c>
      <c r="AH28" s="451">
        <f t="shared" si="39"/>
        <v>1.6136468881668786</v>
      </c>
      <c r="AI28" s="451">
        <f t="shared" si="39"/>
        <v>1.5653849047800215</v>
      </c>
      <c r="AJ28" s="451">
        <f t="shared" si="39"/>
        <v>1.5502189200700816</v>
      </c>
      <c r="AK28" s="451">
        <f t="shared" ref="AK28:AX28" si="40">SUM(AK30+AK31+AK33+AK34+AK36)-(AK38+AK39+AK40)</f>
        <v>1.5780043356775675</v>
      </c>
      <c r="AL28" s="451">
        <f t="shared" si="40"/>
        <v>1.714750385938411</v>
      </c>
      <c r="AM28" s="451">
        <f t="shared" si="40"/>
        <v>2.0721470223362664</v>
      </c>
      <c r="AN28" s="451">
        <f t="shared" si="40"/>
        <v>2.5038895911887882</v>
      </c>
      <c r="AO28" s="451">
        <f t="shared" si="40"/>
        <v>3.4473848817960984</v>
      </c>
      <c r="AP28" s="451">
        <f t="shared" si="40"/>
        <v>4.0217206237823042</v>
      </c>
      <c r="AQ28" s="451">
        <f t="shared" si="40"/>
        <v>5.2641637722165191</v>
      </c>
      <c r="AR28" s="451">
        <f t="shared" si="40"/>
        <v>12.88849330207514</v>
      </c>
      <c r="AS28" s="451">
        <f t="shared" si="40"/>
        <v>51.29204979770121</v>
      </c>
      <c r="AT28" s="451">
        <f t="shared" si="40"/>
        <v>250.08720187980026</v>
      </c>
      <c r="AU28" s="451">
        <f t="shared" si="40"/>
        <v>317.93672837278632</v>
      </c>
      <c r="AV28" s="451">
        <f t="shared" si="40"/>
        <v>353.38906831179173</v>
      </c>
      <c r="AW28" s="451">
        <f t="shared" si="40"/>
        <v>399.9984333658698</v>
      </c>
      <c r="AX28" s="451">
        <f t="shared" si="40"/>
        <v>780.10435835645831</v>
      </c>
      <c r="AY28" s="355">
        <f t="shared" ref="AY28:BJ28" si="41">AY29+AY32+AY35-AY37</f>
        <v>1301.8377514836502</v>
      </c>
      <c r="AZ28" s="355">
        <f t="shared" si="41"/>
        <v>1913.0307396373366</v>
      </c>
      <c r="BA28" s="355">
        <f t="shared" si="41"/>
        <v>2146.4436369999994</v>
      </c>
      <c r="BB28" s="355">
        <f t="shared" si="41"/>
        <v>3127.3281310000011</v>
      </c>
      <c r="BC28" s="355">
        <f t="shared" si="41"/>
        <v>3925.7327830000004</v>
      </c>
      <c r="BD28" s="355">
        <f t="shared" ca="1" si="41"/>
        <v>5551.9424749106383</v>
      </c>
      <c r="BE28" s="470">
        <f t="shared" ca="1" si="41"/>
        <v>6817.9043147840684</v>
      </c>
      <c r="BF28" s="470">
        <f t="shared" ca="1" si="41"/>
        <v>7733.6247644294363</v>
      </c>
      <c r="BG28" s="469">
        <f t="shared" ca="1" si="41"/>
        <v>9099.4373974972823</v>
      </c>
      <c r="BH28" s="469">
        <f t="shared" ca="1" si="41"/>
        <v>8841.8409698933301</v>
      </c>
      <c r="BI28" s="469">
        <f t="shared" ca="1" si="41"/>
        <v>11150.121392335055</v>
      </c>
      <c r="BJ28" s="469">
        <f t="shared" ca="1" si="41"/>
        <v>14924.582178955596</v>
      </c>
      <c r="BK28" s="469">
        <f t="shared" ref="BK28:BP28" ca="1" si="42">BK29+BK32+BK35-BK37</f>
        <v>16107.498603763881</v>
      </c>
      <c r="BL28" s="469">
        <f t="shared" ca="1" si="42"/>
        <v>15636.753420649618</v>
      </c>
      <c r="BM28" s="469">
        <f t="shared" ca="1" si="42"/>
        <v>15683.337000000001</v>
      </c>
      <c r="BN28" s="469">
        <f t="shared" ca="1" si="42"/>
        <v>15753.881129171294</v>
      </c>
      <c r="BO28" s="469">
        <f t="shared" ca="1" si="42"/>
        <v>19874.61521820959</v>
      </c>
      <c r="BP28" s="469">
        <f t="shared" ca="1" si="42"/>
        <v>24601.750731278164</v>
      </c>
      <c r="BQ28" s="469">
        <f ca="1">BQ29+BQ32+BQ35-BQ37</f>
        <v>27053.150238933795</v>
      </c>
      <c r="BR28" s="469">
        <f ca="1">BR29+BR32+BR35-BR37</f>
        <v>28058.40081985798</v>
      </c>
      <c r="BS28" s="469">
        <f ca="1">BS29+BS32+BS35-BS37</f>
        <v>28867.564760749796</v>
      </c>
      <c r="BT28" s="469">
        <f ca="1">BT29+BT32+BT35-BT37</f>
        <v>29980.79864822753</v>
      </c>
      <c r="BU28" s="469">
        <f t="shared" ref="BU28:CB28" ca="1" si="43">BU29+BU32+BU35-BU37</f>
        <v>31171.800626116423</v>
      </c>
      <c r="BV28" s="469">
        <f t="shared" ca="1" si="43"/>
        <v>32405.949351762851</v>
      </c>
      <c r="BW28" s="469">
        <f t="shared" ca="1" si="43"/>
        <v>33685.494167565972</v>
      </c>
      <c r="BX28" s="469">
        <f t="shared" ca="1" si="43"/>
        <v>35013.124351138715</v>
      </c>
      <c r="BY28" s="469">
        <f t="shared" ca="1" si="43"/>
        <v>36729.446437715102</v>
      </c>
      <c r="BZ28" s="469">
        <f t="shared" ca="1" si="43"/>
        <v>38580.236744603797</v>
      </c>
      <c r="CA28" s="469">
        <f t="shared" ca="1" si="43"/>
        <v>40535.449894571029</v>
      </c>
      <c r="CB28" s="469">
        <f t="shared" ca="1" si="43"/>
        <v>42606.377181929172</v>
      </c>
      <c r="CC28" s="469">
        <f ca="1">CC29+CC32+CC35-CC37</f>
        <v>44804.135388110764</v>
      </c>
      <c r="CE28" s="484">
        <f t="shared" ca="1" si="19"/>
        <v>78.973682431074849</v>
      </c>
      <c r="CF28" s="484">
        <f t="shared" ca="1" si="20"/>
        <v>69.904151876769902</v>
      </c>
      <c r="CG28" s="484">
        <f t="shared" ca="1" si="21"/>
        <v>63.988956130728184</v>
      </c>
      <c r="CH28" s="484">
        <f t="shared" ca="1" si="22"/>
        <v>0</v>
      </c>
      <c r="CI28" s="484">
        <f t="shared" ca="1" si="23"/>
        <v>101.3519003841302</v>
      </c>
      <c r="CJ28" s="484">
        <f t="shared" ca="1" si="24"/>
        <v>1483.0460291846066</v>
      </c>
      <c r="CK28" s="484">
        <f t="shared" ca="1" si="25"/>
        <v>3338.2038938895894</v>
      </c>
      <c r="CL28" s="484">
        <f t="shared" ca="1" si="26"/>
        <v>3305.4802046701989</v>
      </c>
      <c r="CM28" s="484">
        <f t="shared" ca="1" si="27"/>
        <v>2863.687224186895</v>
      </c>
      <c r="CN28" s="484">
        <f t="shared" ca="1" si="28"/>
        <v>2757.394585871727</v>
      </c>
      <c r="CO28" s="484">
        <f t="shared" ca="1" si="29"/>
        <v>2898.3160497528806</v>
      </c>
      <c r="CP28" s="484">
        <f t="shared" ca="1" si="30"/>
        <v>3141.0987146128391</v>
      </c>
      <c r="CQ28" s="484">
        <f t="shared" ca="1" si="31"/>
        <v>3425.4226852097163</v>
      </c>
      <c r="CR28" s="484">
        <f t="shared" ca="1" si="32"/>
        <v>3732.3609218009624</v>
      </c>
      <c r="CS28" s="484">
        <f t="shared" ca="1" si="33"/>
        <v>4058.5249102768757</v>
      </c>
      <c r="CT28" s="484">
        <f t="shared" ca="1" si="34"/>
        <v>4399.6555311996963</v>
      </c>
      <c r="CU28" s="484">
        <f t="shared" ca="1" si="35"/>
        <v>4773.8298408431292</v>
      </c>
      <c r="CV28" s="484">
        <f t="shared" ca="1" si="36"/>
        <v>5174.5379167775609</v>
      </c>
      <c r="CW28" s="484">
        <f t="shared" ca="1" si="37"/>
        <v>5602.1264225762425</v>
      </c>
      <c r="CX28" s="484">
        <f t="shared" ca="1" si="38"/>
        <v>6059.5986596138391</v>
      </c>
      <c r="CZ28" s="502">
        <v>14845.608496524521</v>
      </c>
      <c r="DA28" s="502">
        <v>16037.594451887111</v>
      </c>
      <c r="DB28" s="502">
        <v>15572.76446451889</v>
      </c>
      <c r="DC28" s="502">
        <v>15683.337000000001</v>
      </c>
      <c r="DD28" s="502">
        <v>15652.529228787163</v>
      </c>
      <c r="DE28" s="502">
        <v>18391.569189024984</v>
      </c>
      <c r="DF28" s="502">
        <v>21263.546837388574</v>
      </c>
      <c r="DG28" s="502">
        <v>23747.670034263596</v>
      </c>
      <c r="DH28" s="502">
        <v>25194.713595671084</v>
      </c>
      <c r="DI28" s="502">
        <v>26110.170174878069</v>
      </c>
      <c r="DJ28" s="502">
        <v>27082.482598474649</v>
      </c>
      <c r="DK28" s="502">
        <v>28030.701911503584</v>
      </c>
      <c r="DL28" s="502">
        <v>28980.526666553134</v>
      </c>
      <c r="DM28" s="502">
        <v>29953.13324576501</v>
      </c>
      <c r="DN28" s="502">
        <v>30954.599440861839</v>
      </c>
      <c r="DO28" s="502">
        <v>32329.790906515405</v>
      </c>
      <c r="DP28" s="502">
        <v>33806.406903760668</v>
      </c>
      <c r="DQ28" s="502">
        <v>35360.911977793468</v>
      </c>
      <c r="DR28" s="502">
        <v>37004.25075935293</v>
      </c>
      <c r="DS28" s="502">
        <v>38744.536728496925</v>
      </c>
    </row>
    <row r="29" spans="1:123">
      <c r="A29" s="264" t="s">
        <v>1480</v>
      </c>
      <c r="B29" s="264" t="s">
        <v>1480</v>
      </c>
      <c r="C29" s="264" t="s">
        <v>1480</v>
      </c>
      <c r="E29" s="278">
        <f t="shared" ref="E29:AJ29" si="44">E30+E31</f>
        <v>8.4387916010876432E-2</v>
      </c>
      <c r="F29" s="278">
        <f t="shared" si="44"/>
        <v>9.1585227576184161E-2</v>
      </c>
      <c r="G29" s="278">
        <f t="shared" si="44"/>
        <v>9.6556819873227145E-2</v>
      </c>
      <c r="H29" s="278">
        <f t="shared" si="44"/>
        <v>0.10530300526049263</v>
      </c>
      <c r="I29" s="278">
        <f t="shared" si="44"/>
        <v>0.11793310994876074</v>
      </c>
      <c r="J29" s="278">
        <f t="shared" si="44"/>
        <v>0.13000186076196357</v>
      </c>
      <c r="K29" s="278">
        <f t="shared" si="44"/>
        <v>0.14395563257677543</v>
      </c>
      <c r="L29" s="278">
        <f t="shared" si="44"/>
        <v>0.14766171292476626</v>
      </c>
      <c r="M29" s="278">
        <f t="shared" si="44"/>
        <v>0.15518935511802484</v>
      </c>
      <c r="N29" s="278">
        <f t="shared" si="44"/>
        <v>0.16240167675859724</v>
      </c>
      <c r="O29" s="278">
        <f t="shared" si="44"/>
        <v>0.15948490254865488</v>
      </c>
      <c r="P29" s="278">
        <f t="shared" si="44"/>
        <v>0.18910365749832803</v>
      </c>
      <c r="Q29" s="278">
        <f t="shared" si="44"/>
        <v>0.23399445567269297</v>
      </c>
      <c r="R29" s="278">
        <f t="shared" si="44"/>
        <v>0.3075455131648549</v>
      </c>
      <c r="S29" s="278">
        <f t="shared" si="44"/>
        <v>0.32683325011317865</v>
      </c>
      <c r="T29" s="278">
        <f t="shared" si="44"/>
        <v>0.33750552022285008</v>
      </c>
      <c r="U29" s="278">
        <f t="shared" si="44"/>
        <v>0.35475207223712713</v>
      </c>
      <c r="V29" s="278">
        <f t="shared" si="44"/>
        <v>0.37252669306883268</v>
      </c>
      <c r="W29" s="278">
        <f t="shared" si="44"/>
        <v>0.37665626031859106</v>
      </c>
      <c r="X29" s="278">
        <f t="shared" si="44"/>
        <v>0.43640317685970509</v>
      </c>
      <c r="Y29" s="278">
        <f t="shared" si="44"/>
        <v>0.467591012426335</v>
      </c>
      <c r="Z29" s="278">
        <f t="shared" si="44"/>
        <v>0.57071802537435679</v>
      </c>
      <c r="AA29" s="278">
        <f t="shared" si="44"/>
        <v>0.70949614914445591</v>
      </c>
      <c r="AB29" s="278">
        <f t="shared" si="44"/>
        <v>0.98485270679624004</v>
      </c>
      <c r="AC29" s="278">
        <f t="shared" si="44"/>
        <v>1.1032722683997715</v>
      </c>
      <c r="AD29" s="278">
        <f t="shared" si="44"/>
        <v>1.1494070526012798</v>
      </c>
      <c r="AE29" s="278">
        <f t="shared" si="44"/>
        <v>1.1488265488410181</v>
      </c>
      <c r="AF29" s="278">
        <f t="shared" si="44"/>
        <v>1.3367699190446991</v>
      </c>
      <c r="AG29" s="278">
        <f t="shared" si="44"/>
        <v>1.4296782049036014</v>
      </c>
      <c r="AH29" s="278">
        <f t="shared" si="44"/>
        <v>1.4935309608767176</v>
      </c>
      <c r="AI29" s="278">
        <f t="shared" si="44"/>
        <v>1.411498888709759</v>
      </c>
      <c r="AJ29" s="278">
        <f t="shared" si="44"/>
        <v>1.3741306323368192</v>
      </c>
      <c r="AK29" s="278">
        <f t="shared" ref="AK29:BO29" si="45">AK30+AK31</f>
        <v>1.4793001360690836</v>
      </c>
      <c r="AL29" s="278">
        <f t="shared" si="45"/>
        <v>1.7878717552493788</v>
      </c>
      <c r="AM29" s="278">
        <f t="shared" si="45"/>
        <v>2.2549940816315579</v>
      </c>
      <c r="AN29" s="278">
        <f t="shared" si="45"/>
        <v>3.0195203920217764</v>
      </c>
      <c r="AO29" s="278">
        <f t="shared" si="45"/>
        <v>4.2901754665713909</v>
      </c>
      <c r="AP29" s="278">
        <f>AP30+AP31</f>
        <v>5.9299549719541664</v>
      </c>
      <c r="AQ29" s="278">
        <f>AQ30+AQ31</f>
        <v>8.0000035077471043</v>
      </c>
      <c r="AR29" s="278">
        <f>AR30+AR31</f>
        <v>12.050517489132869</v>
      </c>
      <c r="AS29" s="278">
        <f>AS30+AS31</f>
        <v>-24.457509580914461</v>
      </c>
      <c r="AT29" s="278">
        <f t="shared" si="45"/>
        <v>175.51997003482518</v>
      </c>
      <c r="AU29" s="278">
        <f t="shared" si="45"/>
        <v>189.46955214778632</v>
      </c>
      <c r="AV29" s="278">
        <f t="shared" si="45"/>
        <v>256.50126331179166</v>
      </c>
      <c r="AW29" s="278">
        <f t="shared" si="45"/>
        <v>393.82353536586976</v>
      </c>
      <c r="AX29" s="278">
        <f t="shared" si="45"/>
        <v>608.27622618645842</v>
      </c>
      <c r="AY29" s="278">
        <f t="shared" si="45"/>
        <v>1005.13976608365</v>
      </c>
      <c r="AZ29" s="278">
        <f t="shared" si="45"/>
        <v>1357.3710436373365</v>
      </c>
      <c r="BA29" s="278">
        <f t="shared" si="45"/>
        <v>1768.7433219999994</v>
      </c>
      <c r="BB29" s="278">
        <f t="shared" si="45"/>
        <v>2306.0192940000006</v>
      </c>
      <c r="BC29" s="278">
        <f t="shared" si="45"/>
        <v>2584.4441919999999</v>
      </c>
      <c r="BD29" s="278">
        <f t="shared" ca="1" si="45"/>
        <v>3147.8469603306344</v>
      </c>
      <c r="BE29" s="469">
        <f t="shared" ca="1" si="45"/>
        <v>4270.2318036025717</v>
      </c>
      <c r="BF29" s="469">
        <f t="shared" ca="1" si="45"/>
        <v>4886.9684454294356</v>
      </c>
      <c r="BG29" s="469">
        <f t="shared" ca="1" si="45"/>
        <v>5725.2197170733871</v>
      </c>
      <c r="BH29" s="469">
        <f t="shared" ca="1" si="45"/>
        <v>5777.1656688370022</v>
      </c>
      <c r="BI29" s="469">
        <f t="shared" ca="1" si="45"/>
        <v>5853.9131327742198</v>
      </c>
      <c r="BJ29" s="469">
        <f t="shared" ca="1" si="45"/>
        <v>8591.0728171193787</v>
      </c>
      <c r="BK29" s="469">
        <f t="shared" ca="1" si="45"/>
        <v>9587.9315448480866</v>
      </c>
      <c r="BL29" s="469">
        <f t="shared" ca="1" si="45"/>
        <v>10916.652678141369</v>
      </c>
      <c r="BM29" s="469">
        <f t="shared" ca="1" si="45"/>
        <v>11046.745767166027</v>
      </c>
      <c r="BN29" s="469">
        <f t="shared" ca="1" si="45"/>
        <v>11903.329333521473</v>
      </c>
      <c r="BO29" s="469">
        <f t="shared" ca="1" si="45"/>
        <v>14330.795581857576</v>
      </c>
      <c r="BP29" s="469">
        <f t="shared" ref="BP29:CC29" ca="1" si="46">BP30+BP31</f>
        <v>17742.971706062857</v>
      </c>
      <c r="BQ29" s="469">
        <f t="shared" ca="1" si="46"/>
        <v>20133.477422083335</v>
      </c>
      <c r="BR29" s="469">
        <f t="shared" ca="1" si="46"/>
        <v>21251.071814482144</v>
      </c>
      <c r="BS29" s="469">
        <f t="shared" ca="1" si="46"/>
        <v>22051.733895062636</v>
      </c>
      <c r="BT29" s="469">
        <f t="shared" ca="1" si="46"/>
        <v>23010.159142793593</v>
      </c>
      <c r="BU29" s="469">
        <f t="shared" ca="1" si="46"/>
        <v>24111.895540190559</v>
      </c>
      <c r="BV29" s="469">
        <f t="shared" ca="1" si="46"/>
        <v>25261.495809313546</v>
      </c>
      <c r="BW29" s="469">
        <f t="shared" ca="1" si="46"/>
        <v>26469.101609787853</v>
      </c>
      <c r="BX29" s="469">
        <f t="shared" ca="1" si="46"/>
        <v>27739.805010426553</v>
      </c>
      <c r="BY29" s="469">
        <f t="shared" ca="1" si="46"/>
        <v>29110.893348598125</v>
      </c>
      <c r="BZ29" s="469">
        <f t="shared" ca="1" si="46"/>
        <v>30603.806140323391</v>
      </c>
      <c r="CA29" s="469">
        <f t="shared" ca="1" si="46"/>
        <v>32178.894476511221</v>
      </c>
      <c r="CB29" s="469">
        <f t="shared" ca="1" si="46"/>
        <v>33852.624448439783</v>
      </c>
      <c r="CC29" s="469">
        <f t="shared" ca="1" si="46"/>
        <v>35636.259237273895</v>
      </c>
      <c r="CE29" s="484">
        <f t="shared" ca="1" si="19"/>
        <v>-512.19743299175207</v>
      </c>
      <c r="CF29" s="484">
        <f t="shared" ca="1" si="20"/>
        <v>53.027843787935126</v>
      </c>
      <c r="CG29" s="484">
        <f t="shared" ca="1" si="21"/>
        <v>-8.7237510609302262</v>
      </c>
      <c r="CH29" s="484">
        <f t="shared" ca="1" si="22"/>
        <v>5.4037744878169178</v>
      </c>
      <c r="CI29" s="484">
        <f t="shared" ca="1" si="23"/>
        <v>421.55832416563862</v>
      </c>
      <c r="CJ29" s="484">
        <f t="shared" ca="1" si="24"/>
        <v>1327.235733462323</v>
      </c>
      <c r="CK29" s="484">
        <f t="shared" ca="1" si="25"/>
        <v>2670.6291490069598</v>
      </c>
      <c r="CL29" s="484">
        <f t="shared" ca="1" si="26"/>
        <v>3147.0151560695776</v>
      </c>
      <c r="CM29" s="484">
        <f t="shared" ca="1" si="27"/>
        <v>3025.3789869340944</v>
      </c>
      <c r="CN29" s="484">
        <f t="shared" ca="1" si="28"/>
        <v>2981.6558347398568</v>
      </c>
      <c r="CO29" s="484">
        <f t="shared" ca="1" si="29"/>
        <v>3149.3877547176307</v>
      </c>
      <c r="CP29" s="484">
        <f t="shared" ca="1" si="30"/>
        <v>3414.5951512490865</v>
      </c>
      <c r="CQ29" s="484">
        <f t="shared" ca="1" si="31"/>
        <v>3722.8892659323465</v>
      </c>
      <c r="CR29" s="484">
        <f t="shared" ca="1" si="32"/>
        <v>4055.6774846022636</v>
      </c>
      <c r="CS29" s="484">
        <f t="shared" ca="1" si="33"/>
        <v>4409.7737927513517</v>
      </c>
      <c r="CT29" s="484">
        <f t="shared" ca="1" si="34"/>
        <v>4793.1863473539997</v>
      </c>
      <c r="CU29" s="484">
        <f t="shared" ca="1" si="35"/>
        <v>5213.1150288103236</v>
      </c>
      <c r="CV29" s="484">
        <f t="shared" ca="1" si="36"/>
        <v>5662.2276938803916</v>
      </c>
      <c r="CW29" s="484">
        <f t="shared" ca="1" si="37"/>
        <v>6142.43269239035</v>
      </c>
      <c r="CX29" s="484">
        <f t="shared" ca="1" si="38"/>
        <v>6657.2006940353895</v>
      </c>
      <c r="CZ29" s="502">
        <v>9103.2702501111307</v>
      </c>
      <c r="DA29" s="502">
        <v>9534.9037010601514</v>
      </c>
      <c r="DB29" s="502">
        <v>10925.376429202299</v>
      </c>
      <c r="DC29" s="502">
        <v>11041.34199267821</v>
      </c>
      <c r="DD29" s="502">
        <v>11481.771009355834</v>
      </c>
      <c r="DE29" s="502">
        <v>13003.559848395253</v>
      </c>
      <c r="DF29" s="502">
        <v>15072.342557055897</v>
      </c>
      <c r="DG29" s="502">
        <v>16986.462266013757</v>
      </c>
      <c r="DH29" s="502">
        <v>18225.69282754805</v>
      </c>
      <c r="DI29" s="502">
        <v>19070.078060322779</v>
      </c>
      <c r="DJ29" s="502">
        <v>19860.771388075962</v>
      </c>
      <c r="DK29" s="502">
        <v>20697.300388941472</v>
      </c>
      <c r="DL29" s="502">
        <v>21538.6065433812</v>
      </c>
      <c r="DM29" s="502">
        <v>22413.424125185589</v>
      </c>
      <c r="DN29" s="502">
        <v>23330.031217675201</v>
      </c>
      <c r="DO29" s="502">
        <v>24317.707001244125</v>
      </c>
      <c r="DP29" s="502">
        <v>25390.691111513068</v>
      </c>
      <c r="DQ29" s="502">
        <v>26516.666782630829</v>
      </c>
      <c r="DR29" s="502">
        <v>27710.191756049433</v>
      </c>
      <c r="DS29" s="502">
        <v>28979.058543238505</v>
      </c>
    </row>
    <row r="30" spans="1:123">
      <c r="A30" s="326" t="str">
        <f>Model!B298</f>
        <v>Consumptie van de gezinnen</v>
      </c>
      <c r="B30" s="326" t="str">
        <f>Model!C298</f>
        <v>CGWN</v>
      </c>
      <c r="C30" s="326">
        <f>Model!D298</f>
        <v>0</v>
      </c>
      <c r="E30" s="326">
        <f>Model!F298</f>
        <v>9.3761555171374772E-2</v>
      </c>
      <c r="F30" s="326">
        <f>Model!G298</f>
        <v>0.10164914667210545</v>
      </c>
      <c r="G30" s="326">
        <f>Model!H298</f>
        <v>0.10639751641036123</v>
      </c>
      <c r="H30" s="326">
        <f>Model!I298</f>
        <v>0.11531336938557324</v>
      </c>
      <c r="I30" s="326">
        <f>Model!J298</f>
        <v>0.12980981283081769</v>
      </c>
      <c r="J30" s="326">
        <f>Model!K298</f>
        <v>0.14289656681068835</v>
      </c>
      <c r="K30" s="326">
        <f>Model!L298</f>
        <v>0.15973468101439431</v>
      </c>
      <c r="L30" s="326">
        <f>Model!M298</f>
        <v>0.16462843165174956</v>
      </c>
      <c r="M30" s="326">
        <f>Model!N298</f>
        <v>0.17249540761356416</v>
      </c>
      <c r="N30" s="326">
        <f>Model!O298</f>
        <v>0.17987739637683314</v>
      </c>
      <c r="O30" s="326">
        <f>Model!P298</f>
        <v>0.17916629562292305</v>
      </c>
      <c r="P30" s="326">
        <f>Model!Q298</f>
        <v>0.20980305421610118</v>
      </c>
      <c r="Q30" s="326">
        <f>Model!R298</f>
        <v>0.2563905235479087</v>
      </c>
      <c r="R30" s="326">
        <f>Model!S298</f>
        <v>0.33112925180627223</v>
      </c>
      <c r="S30" s="326">
        <f>Model!T298</f>
        <v>0.34956865316428742</v>
      </c>
      <c r="T30" s="326">
        <f>Model!U298</f>
        <v>0.35854425116284194</v>
      </c>
      <c r="U30" s="326">
        <f>Model!V298</f>
        <v>0.37680880589012411</v>
      </c>
      <c r="V30" s="326">
        <f>Model!W298</f>
        <v>0.39373509113152116</v>
      </c>
      <c r="W30" s="326">
        <f>Model!X298</f>
        <v>0.39268881056787552</v>
      </c>
      <c r="X30" s="326">
        <f>Model!Y298</f>
        <v>0.44806709567184155</v>
      </c>
      <c r="Y30" s="326">
        <f>Model!Z298</f>
        <v>0.4808257714192577</v>
      </c>
      <c r="Z30" s="326">
        <f>Model!AA298</f>
        <v>0.5804722245010685</v>
      </c>
      <c r="AA30" s="326">
        <f>Model!AB298</f>
        <v>0.71934062810890564</v>
      </c>
      <c r="AB30" s="326">
        <f>Model!AC298</f>
        <v>0.99733886565701235</v>
      </c>
      <c r="AC30" s="326">
        <f>Model!AD298</f>
        <v>1.1216223458935326</v>
      </c>
      <c r="AD30" s="326">
        <f>Model!AE298</f>
        <v>1.1664765707301763</v>
      </c>
      <c r="AE30" s="326">
        <f>Model!AF298</f>
        <v>1.1718244456662334</v>
      </c>
      <c r="AF30" s="326">
        <f>Model!AG298</f>
        <v>1.3583918737097287</v>
      </c>
      <c r="AG30" s="326">
        <f>Model!AH298</f>
        <v>1.4499242160011083</v>
      </c>
      <c r="AH30" s="326">
        <f>Model!AI298</f>
        <v>1.5124010298140389</v>
      </c>
      <c r="AI30" s="326">
        <f>Model!AJ298</f>
        <v>1.4407868080449691</v>
      </c>
      <c r="AJ30" s="326">
        <f>Model!AK298</f>
        <v>1.4140329662408995</v>
      </c>
      <c r="AK30" s="326">
        <f>Model!AL298</f>
        <v>1.5109468141973759</v>
      </c>
      <c r="AL30" s="326">
        <f>Model!AM298</f>
        <v>1.828010791984009</v>
      </c>
      <c r="AM30" s="326">
        <f>Model!AN298</f>
        <v>2.2987747968435865</v>
      </c>
      <c r="AN30" s="326">
        <f>Model!AO298</f>
        <v>3.0603497075566901</v>
      </c>
      <c r="AO30" s="326">
        <f>Model!AP298</f>
        <v>4.3370090588221446</v>
      </c>
      <c r="AP30" s="326">
        <f>Model!AQ298</f>
        <v>5.9884969622676092</v>
      </c>
      <c r="AQ30" s="326">
        <f>Model!AR298</f>
        <v>8.0234203038724807</v>
      </c>
      <c r="AR30" s="326">
        <f>Model!AS298</f>
        <v>12.093448282029392</v>
      </c>
      <c r="AS30" s="326">
        <f>Model!AT298</f>
        <v>-286.00088205646961</v>
      </c>
      <c r="AT30" s="326">
        <f>Model!AU298</f>
        <v>179.6530345509542</v>
      </c>
      <c r="AU30" s="326">
        <f>Model!AV298</f>
        <v>165.47168132278631</v>
      </c>
      <c r="AV30" s="326">
        <f>Model!AW298</f>
        <v>223.03392581179168</v>
      </c>
      <c r="AW30" s="326">
        <f>Model!AX298</f>
        <v>338.30987336586975</v>
      </c>
      <c r="AX30" s="326">
        <f>Model!AY298</f>
        <v>526.59451848645847</v>
      </c>
      <c r="AY30" s="326">
        <f>Model!AZ298</f>
        <v>935.35462730364998</v>
      </c>
      <c r="AZ30" s="326">
        <f>Model!BA298</f>
        <v>1262.7493596373365</v>
      </c>
      <c r="BA30" s="326">
        <f>Model!BB298</f>
        <v>1717.7279559999993</v>
      </c>
      <c r="BB30" s="326">
        <f>Model!BC298</f>
        <v>2270.6842460000007</v>
      </c>
      <c r="BC30" s="326">
        <f>Model!BD298</f>
        <v>2445.773048</v>
      </c>
      <c r="BD30" s="326">
        <f ca="1">Model!BE298</f>
        <v>2931.545946510636</v>
      </c>
      <c r="BE30" s="470">
        <f ca="1">Model!BF298</f>
        <v>3951.7627724267313</v>
      </c>
      <c r="BF30" s="470">
        <f ca="1">Model!BG298</f>
        <v>4510.7464677132466</v>
      </c>
      <c r="BG30" s="470">
        <f ca="1">Model!BH298</f>
        <v>5357.1281604067781</v>
      </c>
      <c r="BH30" s="470">
        <f ca="1">Model!BI298</f>
        <v>5244.5972859473422</v>
      </c>
      <c r="BI30" s="470">
        <f ca="1">Model!BJ298</f>
        <v>5293.3065087498653</v>
      </c>
      <c r="BJ30" s="470">
        <f ca="1">Model!BK298</f>
        <v>8007.8262498865861</v>
      </c>
      <c r="BK30" s="470">
        <f ca="1">Model!BL298</f>
        <v>8499.7383298791538</v>
      </c>
      <c r="BL30" s="470">
        <f ca="1">Model!BM298</f>
        <v>9942.2142869954441</v>
      </c>
      <c r="BM30" s="470">
        <f ca="1">Model!BN298</f>
        <v>10189.14145656664</v>
      </c>
      <c r="BN30" s="470">
        <f ca="1">Model!BO298</f>
        <v>10952.127025490729</v>
      </c>
      <c r="BO30" s="470">
        <f ca="1">Model!BP298</f>
        <v>13010.255669011003</v>
      </c>
      <c r="BP30" s="470">
        <f ca="1">Model!BQ298</f>
        <v>16244.598835142086</v>
      </c>
      <c r="BQ30" s="470">
        <f ca="1">Model!BR298</f>
        <v>18529.87450837695</v>
      </c>
      <c r="BR30" s="470">
        <f ca="1">Model!BS298</f>
        <v>19571.689106037651</v>
      </c>
      <c r="BS30" s="470">
        <f ca="1">Model!BT298</f>
        <v>20285.844025293511</v>
      </c>
      <c r="BT30" s="470">
        <f ca="1">Model!BU298</f>
        <v>21150.873605383636</v>
      </c>
      <c r="BU30" s="470">
        <f ca="1">Model!BV298</f>
        <v>22153.469070678624</v>
      </c>
      <c r="BV30" s="470">
        <f ca="1">Model!BW298</f>
        <v>23203.688071001357</v>
      </c>
      <c r="BW30" s="470">
        <f ca="1">Model!BX298</f>
        <v>24307.017087627239</v>
      </c>
      <c r="BX30" s="470">
        <f ca="1">Model!BY298</f>
        <v>25468.440311455841</v>
      </c>
      <c r="BY30" s="470">
        <f ca="1">Model!BZ298</f>
        <v>26724.897324987025</v>
      </c>
      <c r="BZ30" s="470">
        <f ca="1">Model!CA298</f>
        <v>28097.234397897249</v>
      </c>
      <c r="CA30" s="470">
        <f ca="1">Model!CB298</f>
        <v>29551.4562338674</v>
      </c>
      <c r="CB30" s="470">
        <f ca="1">Model!CC298</f>
        <v>31098.458349861481</v>
      </c>
      <c r="CC30" s="470">
        <f ca="1">Model!CD298</f>
        <v>32749.209716757414</v>
      </c>
      <c r="CE30" s="484">
        <f t="shared" ca="1" si="19"/>
        <v>-512.1974329917557</v>
      </c>
      <c r="CF30" s="484">
        <f t="shared" ca="1" si="20"/>
        <v>53.027843787935126</v>
      </c>
      <c r="CG30" s="484">
        <f t="shared" ca="1" si="21"/>
        <v>-8.7237510609302262</v>
      </c>
      <c r="CH30" s="484">
        <f t="shared" ca="1" si="22"/>
        <v>5.4037744878169178</v>
      </c>
      <c r="CI30" s="484">
        <f t="shared" ca="1" si="23"/>
        <v>421.55832416563862</v>
      </c>
      <c r="CJ30" s="484">
        <f t="shared" ca="1" si="24"/>
        <v>1301.3800962827991</v>
      </c>
      <c r="CK30" s="484">
        <f t="shared" ca="1" si="25"/>
        <v>2600.6385355661405</v>
      </c>
      <c r="CL30" s="484">
        <f t="shared" ca="1" si="26"/>
        <v>3049.4924764095958</v>
      </c>
      <c r="CM30" s="484">
        <f t="shared" ca="1" si="27"/>
        <v>2912.8598128433187</v>
      </c>
      <c r="CN30" s="484">
        <f t="shared" ca="1" si="28"/>
        <v>2854.4569680745008</v>
      </c>
      <c r="CO30" s="484">
        <f t="shared" ca="1" si="29"/>
        <v>3004.3977105020494</v>
      </c>
      <c r="CP30" s="484">
        <f t="shared" ca="1" si="30"/>
        <v>3249.1673070028701</v>
      </c>
      <c r="CQ30" s="484">
        <f t="shared" ca="1" si="31"/>
        <v>3535.4091754879628</v>
      </c>
      <c r="CR30" s="484">
        <f t="shared" ca="1" si="32"/>
        <v>3844.3819120502922</v>
      </c>
      <c r="CS30" s="484">
        <f t="shared" ca="1" si="33"/>
        <v>4172.9492356184674</v>
      </c>
      <c r="CT30" s="484">
        <f t="shared" ca="1" si="34"/>
        <v>4529.0243081223889</v>
      </c>
      <c r="CU30" s="484">
        <f t="shared" ca="1" si="35"/>
        <v>4919.6575170655015</v>
      </c>
      <c r="CV30" s="484">
        <f t="shared" ca="1" si="36"/>
        <v>5338.1457100485204</v>
      </c>
      <c r="CW30" s="484">
        <f t="shared" ca="1" si="37"/>
        <v>5785.6964037808139</v>
      </c>
      <c r="CX30" s="484">
        <f t="shared" ca="1" si="38"/>
        <v>6265.6761142039686</v>
      </c>
      <c r="CZ30" s="502">
        <v>8520.0236828783418</v>
      </c>
      <c r="DA30" s="502">
        <v>8446.7104860912186</v>
      </c>
      <c r="DB30" s="502">
        <v>9950.9380380563744</v>
      </c>
      <c r="DC30" s="502">
        <v>10183.737682078823</v>
      </c>
      <c r="DD30" s="502">
        <v>10530.56870132509</v>
      </c>
      <c r="DE30" s="502">
        <v>11708.875572728204</v>
      </c>
      <c r="DF30" s="502">
        <v>13643.960299575945</v>
      </c>
      <c r="DG30" s="502">
        <v>15480.382031967354</v>
      </c>
      <c r="DH30" s="502">
        <v>16658.829293194332</v>
      </c>
      <c r="DI30" s="502">
        <v>17431.38705721901</v>
      </c>
      <c r="DJ30" s="502">
        <v>18146.475894881587</v>
      </c>
      <c r="DK30" s="502">
        <v>18904.301763675754</v>
      </c>
      <c r="DL30" s="502">
        <v>19668.278895513395</v>
      </c>
      <c r="DM30" s="502">
        <v>20462.635175576946</v>
      </c>
      <c r="DN30" s="502">
        <v>21295.491075837374</v>
      </c>
      <c r="DO30" s="502">
        <v>22195.873016864636</v>
      </c>
      <c r="DP30" s="502">
        <v>23177.576880831748</v>
      </c>
      <c r="DQ30" s="502">
        <v>24213.31052381888</v>
      </c>
      <c r="DR30" s="502">
        <v>25312.761946080667</v>
      </c>
      <c r="DS30" s="502">
        <v>26483.533602553445</v>
      </c>
    </row>
    <row r="31" spans="1:123">
      <c r="A31" s="326" t="str">
        <f>Model!B332</f>
        <v>Netto materiele overheidsconsumptie</v>
      </c>
      <c r="B31" s="326" t="str">
        <f>Model!C332</f>
        <v>CMOWN</v>
      </c>
      <c r="C31" s="326">
        <f>Model!D332</f>
        <v>0</v>
      </c>
      <c r="E31" s="326">
        <f>Model!F332</f>
        <v>-9.3736391604983399E-3</v>
      </c>
      <c r="F31" s="326">
        <f>Model!G332</f>
        <v>-1.0063919095921288E-2</v>
      </c>
      <c r="G31" s="326">
        <f>Model!H332</f>
        <v>-9.840696537134078E-3</v>
      </c>
      <c r="H31" s="326">
        <f>Model!I332</f>
        <v>-1.0010364125080606E-2</v>
      </c>
      <c r="I31" s="326">
        <f>Model!J332</f>
        <v>-1.1876702882056951E-2</v>
      </c>
      <c r="J31" s="326">
        <f>Model!K332</f>
        <v>-1.2894706048724775E-2</v>
      </c>
      <c r="K31" s="326">
        <f>Model!L332</f>
        <v>-1.5779048437618882E-2</v>
      </c>
      <c r="L31" s="326">
        <f>Model!M332</f>
        <v>-1.6966718726983299E-2</v>
      </c>
      <c r="M31" s="326">
        <f>Model!N332</f>
        <v>-1.7306052495539324E-2</v>
      </c>
      <c r="N31" s="326">
        <f>Model!O332</f>
        <v>-1.7475719618235915E-2</v>
      </c>
      <c r="O31" s="326">
        <f>Model!P332</f>
        <v>-1.9681393074268156E-2</v>
      </c>
      <c r="P31" s="326">
        <f>Model!Q332</f>
        <v>-2.0699396717773141E-2</v>
      </c>
      <c r="Q31" s="326">
        <f>Model!R332</f>
        <v>-2.2396067875215732E-2</v>
      </c>
      <c r="R31" s="326">
        <f>Model!S332</f>
        <v>-2.3583738641417308E-2</v>
      </c>
      <c r="S31" s="326">
        <f>Model!T332</f>
        <v>-2.2735403051108792E-2</v>
      </c>
      <c r="T31" s="326">
        <f>Model!U332</f>
        <v>-2.1038730939991881E-2</v>
      </c>
      <c r="U31" s="326">
        <f>Model!V332</f>
        <v>-2.2056733652996992E-2</v>
      </c>
      <c r="V31" s="326">
        <f>Model!W332</f>
        <v>-2.1208398062688476E-2</v>
      </c>
      <c r="W31" s="326">
        <f>Model!X332</f>
        <v>-1.6032550249284485E-2</v>
      </c>
      <c r="X31" s="326">
        <f>Model!Y332</f>
        <v>-1.1663918812136437E-2</v>
      </c>
      <c r="Y31" s="326">
        <f>Model!Z332</f>
        <v>-1.3234758992922677E-2</v>
      </c>
      <c r="Z31" s="326">
        <f>Model!AA332</f>
        <v>-9.7541991267116688E-3</v>
      </c>
      <c r="AA31" s="326">
        <f>Model!AB332</f>
        <v>-9.8444789644497425E-3</v>
      </c>
      <c r="AB31" s="326">
        <f>Model!AC332</f>
        <v>-1.2486158860772287E-2</v>
      </c>
      <c r="AC31" s="326">
        <f>Model!AD332</f>
        <v>-1.8350077493761083E-2</v>
      </c>
      <c r="AD31" s="326">
        <f>Model!AE332</f>
        <v>-1.7069518128896503E-2</v>
      </c>
      <c r="AE31" s="326">
        <f>Model!AF332</f>
        <v>-2.2997896825215275E-2</v>
      </c>
      <c r="AF31" s="326">
        <f>Model!AG332</f>
        <v>-2.162195466502962E-2</v>
      </c>
      <c r="AG31" s="326">
        <f>Model!AH332</f>
        <v>-2.0246011097506927E-2</v>
      </c>
      <c r="AH31" s="326">
        <f>Model!AI332</f>
        <v>-1.8870068937321273E-2</v>
      </c>
      <c r="AI31" s="326">
        <f>Model!AJ332</f>
        <v>-2.9287919335210022E-2</v>
      </c>
      <c r="AJ31" s="326">
        <f>Model!AK332</f>
        <v>-3.9902333904080323E-2</v>
      </c>
      <c r="AK31" s="326">
        <f>Model!AL332</f>
        <v>-3.1646678128292305E-2</v>
      </c>
      <c r="AL31" s="326">
        <f>Model!AM332</f>
        <v>-4.0139036734630165E-2</v>
      </c>
      <c r="AM31" s="326">
        <f>Model!AN332</f>
        <v>-4.3780715212028462E-2</v>
      </c>
      <c r="AN31" s="326">
        <f>Model!AO332</f>
        <v>-4.0829315534913715E-2</v>
      </c>
      <c r="AO31" s="326">
        <f>Model!AP332</f>
        <v>-4.6833592250753897E-2</v>
      </c>
      <c r="AP31" s="326">
        <f>Model!AQ332</f>
        <v>-5.8541990313442371E-2</v>
      </c>
      <c r="AQ31" s="326">
        <f>Model!AR332</f>
        <v>-2.3416796125376949E-2</v>
      </c>
      <c r="AR31" s="326">
        <f>Model!AS332</f>
        <v>-4.2930792896524406E-2</v>
      </c>
      <c r="AS31" s="326">
        <f>Model!AT332</f>
        <v>261.54337247555515</v>
      </c>
      <c r="AT31" s="326">
        <f>Model!AU332</f>
        <v>-4.1330645161290311</v>
      </c>
      <c r="AU31" s="326">
        <f>Model!AV332</f>
        <v>23.997870825</v>
      </c>
      <c r="AV31" s="326">
        <f>Model!AW332</f>
        <v>33.467337499999999</v>
      </c>
      <c r="AW31" s="326">
        <f>Model!AX332</f>
        <v>55.513662000000004</v>
      </c>
      <c r="AX31" s="326">
        <f>Model!AY332</f>
        <v>81.681707699999976</v>
      </c>
      <c r="AY31" s="326">
        <f>Model!AZ332</f>
        <v>69.785138779999997</v>
      </c>
      <c r="AZ31" s="326">
        <f>Model!BA332</f>
        <v>94.621684000000016</v>
      </c>
      <c r="BA31" s="326">
        <f>Model!BB332</f>
        <v>51.015366000000007</v>
      </c>
      <c r="BB31" s="326">
        <f>Model!BC332</f>
        <v>35.335048</v>
      </c>
      <c r="BC31" s="326">
        <f>Model!BD332</f>
        <v>138.67114400000003</v>
      </c>
      <c r="BD31" s="326">
        <f>Model!BE332</f>
        <v>216.30101382000001</v>
      </c>
      <c r="BE31" s="470">
        <f>Model!BF332</f>
        <v>318.46903117583997</v>
      </c>
      <c r="BF31" s="470">
        <f>Model!BG332</f>
        <v>376.22197771618909</v>
      </c>
      <c r="BG31" s="470">
        <f>Model!BH332</f>
        <v>368.09155666660558</v>
      </c>
      <c r="BH31" s="470">
        <f>Model!BI332</f>
        <v>532.56838288966389</v>
      </c>
      <c r="BI31" s="470">
        <f>Model!BJ332</f>
        <v>560.60662402435298</v>
      </c>
      <c r="BJ31" s="470">
        <f>Model!BK332</f>
        <v>583.24656723278838</v>
      </c>
      <c r="BK31" s="470">
        <f>Model!BL332</f>
        <v>1088.1932149689335</v>
      </c>
      <c r="BL31" s="470">
        <f>Model!BM332</f>
        <v>974.43839114592481</v>
      </c>
      <c r="BM31" s="470">
        <f>Model!BN332</f>
        <v>857.60431059938605</v>
      </c>
      <c r="BN31" s="470">
        <f>Model!BO332</f>
        <v>951.20230803074378</v>
      </c>
      <c r="BO31" s="470">
        <f ca="1">Model!BP332</f>
        <v>1320.539912846574</v>
      </c>
      <c r="BP31" s="470">
        <f ca="1">Model!BQ332</f>
        <v>1498.3728709207771</v>
      </c>
      <c r="BQ31" s="470">
        <f ca="1">Model!BR332</f>
        <v>1603.6029137063927</v>
      </c>
      <c r="BR31" s="470">
        <f ca="1">Model!BS332</f>
        <v>1679.3827084445134</v>
      </c>
      <c r="BS31" s="470">
        <f ca="1">Model!BT332</f>
        <v>1765.8898697691491</v>
      </c>
      <c r="BT31" s="470">
        <f ca="1">Model!BU332</f>
        <v>1859.2855374099966</v>
      </c>
      <c r="BU31" s="470">
        <f ca="1">Model!BV332</f>
        <v>1958.4264695119709</v>
      </c>
      <c r="BV31" s="470">
        <f ca="1">Model!BW332</f>
        <v>2057.8077383122477</v>
      </c>
      <c r="BW31" s="470">
        <f ca="1">Model!BX332</f>
        <v>2162.0845221607101</v>
      </c>
      <c r="BX31" s="470">
        <f ca="1">Model!BY332</f>
        <v>2271.3646989708664</v>
      </c>
      <c r="BY31" s="470">
        <f ca="1">Model!BZ332</f>
        <v>2385.9960236113247</v>
      </c>
      <c r="BZ31" s="470">
        <f ca="1">Model!CA332</f>
        <v>2506.5717424264544</v>
      </c>
      <c r="CA31" s="470">
        <f ca="1">Model!CB332</f>
        <v>2627.4382426442567</v>
      </c>
      <c r="CB31" s="470">
        <f ca="1">Model!CC332</f>
        <v>2754.1660985789481</v>
      </c>
      <c r="CC31" s="470">
        <f ca="1">Model!CD332</f>
        <v>2887.0495205174484</v>
      </c>
      <c r="CE31" s="484">
        <f t="shared" si="19"/>
        <v>0</v>
      </c>
      <c r="CF31" s="484">
        <f t="shared" si="20"/>
        <v>0</v>
      </c>
      <c r="CG31" s="484">
        <f t="shared" si="21"/>
        <v>0</v>
      </c>
      <c r="CH31" s="484">
        <f t="shared" si="22"/>
        <v>0</v>
      </c>
      <c r="CI31" s="484">
        <f t="shared" si="23"/>
        <v>0</v>
      </c>
      <c r="CJ31" s="484">
        <f t="shared" ca="1" si="24"/>
        <v>25.855637179525729</v>
      </c>
      <c r="CK31" s="484">
        <f t="shared" ca="1" si="25"/>
        <v>69.990613440828838</v>
      </c>
      <c r="CL31" s="484">
        <f t="shared" ca="1" si="26"/>
        <v>97.522679660006133</v>
      </c>
      <c r="CM31" s="484">
        <f t="shared" ca="1" si="27"/>
        <v>112.51917409080647</v>
      </c>
      <c r="CN31" s="484">
        <f t="shared" ca="1" si="28"/>
        <v>127.19886666540378</v>
      </c>
      <c r="CO31" s="484">
        <f t="shared" ca="1" si="29"/>
        <v>144.99004421566246</v>
      </c>
      <c r="CP31" s="484">
        <f t="shared" ca="1" si="30"/>
        <v>165.42784424630895</v>
      </c>
      <c r="CQ31" s="484">
        <f t="shared" ca="1" si="31"/>
        <v>187.48009044451669</v>
      </c>
      <c r="CR31" s="484">
        <f t="shared" ca="1" si="32"/>
        <v>211.29557255214968</v>
      </c>
      <c r="CS31" s="484">
        <f t="shared" ca="1" si="33"/>
        <v>236.82455713310674</v>
      </c>
      <c r="CT31" s="484">
        <f t="shared" ca="1" si="34"/>
        <v>264.16203923186549</v>
      </c>
      <c r="CU31" s="484">
        <f t="shared" ca="1" si="35"/>
        <v>293.45751174511315</v>
      </c>
      <c r="CV31" s="484">
        <f t="shared" ca="1" si="36"/>
        <v>324.08198383219406</v>
      </c>
      <c r="CW31" s="484">
        <f t="shared" ca="1" si="37"/>
        <v>356.73628860996678</v>
      </c>
      <c r="CX31" s="484">
        <f t="shared" ca="1" si="38"/>
        <v>391.52457983209661</v>
      </c>
      <c r="CZ31" s="502">
        <v>583.24656723278838</v>
      </c>
      <c r="DA31" s="502">
        <v>1088.1932149689335</v>
      </c>
      <c r="DB31" s="502">
        <v>974.43839114592481</v>
      </c>
      <c r="DC31" s="502">
        <v>857.60431059938605</v>
      </c>
      <c r="DD31" s="502">
        <v>951.20230803074378</v>
      </c>
      <c r="DE31" s="502">
        <v>1294.6842756670483</v>
      </c>
      <c r="DF31" s="502">
        <v>1428.3822574799483</v>
      </c>
      <c r="DG31" s="502">
        <v>1506.0802340463865</v>
      </c>
      <c r="DH31" s="502">
        <v>1566.8635343537069</v>
      </c>
      <c r="DI31" s="502">
        <v>1638.6910031037453</v>
      </c>
      <c r="DJ31" s="502">
        <v>1714.2954931943341</v>
      </c>
      <c r="DK31" s="502">
        <v>1792.998625265662</v>
      </c>
      <c r="DL31" s="502">
        <v>1870.327647867731</v>
      </c>
      <c r="DM31" s="502">
        <v>1950.7889496085604</v>
      </c>
      <c r="DN31" s="502">
        <v>2034.5401418377596</v>
      </c>
      <c r="DO31" s="502">
        <v>2121.8339843794593</v>
      </c>
      <c r="DP31" s="502">
        <v>2213.1142306813413</v>
      </c>
      <c r="DQ31" s="502">
        <v>2303.3562588120626</v>
      </c>
      <c r="DR31" s="502">
        <v>2397.4298099689813</v>
      </c>
      <c r="DS31" s="502">
        <v>2495.5249406853518</v>
      </c>
    </row>
    <row r="32" spans="1:123">
      <c r="A32" s="450" t="s">
        <v>1561</v>
      </c>
      <c r="B32" s="450" t="s">
        <v>1561</v>
      </c>
      <c r="C32" s="450" t="s">
        <v>1561</v>
      </c>
      <c r="E32" s="450">
        <f t="shared" ref="E32:AJ32" si="47">E33+E34</f>
        <v>2.4570587598253639E-2</v>
      </c>
      <c r="F32" s="450">
        <f t="shared" si="47"/>
        <v>2.6105881758370059E-2</v>
      </c>
      <c r="G32" s="450">
        <f t="shared" si="47"/>
        <v>3.0335293448243303E-2</v>
      </c>
      <c r="H32" s="450">
        <f t="shared" si="47"/>
        <v>4.1447055490706722E-2</v>
      </c>
      <c r="I32" s="450">
        <f t="shared" si="47"/>
        <v>4.2838233935584578E-2</v>
      </c>
      <c r="J32" s="450">
        <f t="shared" si="47"/>
        <v>4.5499995709620836E-2</v>
      </c>
      <c r="K32" s="450">
        <f t="shared" si="47"/>
        <v>5.2167640975470837E-2</v>
      </c>
      <c r="L32" s="450">
        <f t="shared" si="47"/>
        <v>5.4858817976926141E-2</v>
      </c>
      <c r="M32" s="450">
        <f t="shared" si="47"/>
        <v>6.0552938754207628E-2</v>
      </c>
      <c r="N32" s="450">
        <f t="shared" si="47"/>
        <v>6.7897057274370828E-2</v>
      </c>
      <c r="O32" s="450">
        <f t="shared" si="47"/>
        <v>0.12512940726597138</v>
      </c>
      <c r="P32" s="450">
        <f t="shared" si="47"/>
        <v>0.13250882328580227</v>
      </c>
      <c r="Q32" s="450">
        <f t="shared" si="47"/>
        <v>0.10305293630047656</v>
      </c>
      <c r="R32" s="450">
        <f t="shared" si="47"/>
        <v>8.5626462333980205E-2</v>
      </c>
      <c r="S32" s="450">
        <f t="shared" si="47"/>
        <v>8.798235022810183E-2</v>
      </c>
      <c r="T32" s="450">
        <f t="shared" si="47"/>
        <v>7.6961757773142361E-2</v>
      </c>
      <c r="U32" s="450">
        <f t="shared" si="47"/>
        <v>7.9291168255784278E-2</v>
      </c>
      <c r="V32" s="450">
        <f t="shared" si="47"/>
        <v>8.6188229140051156E-2</v>
      </c>
      <c r="W32" s="450">
        <f t="shared" si="47"/>
        <v>0.10323234474985761</v>
      </c>
      <c r="X32" s="450">
        <f t="shared" si="47"/>
        <v>0.12839410934956655</v>
      </c>
      <c r="Y32" s="450">
        <f t="shared" si="47"/>
        <v>0.21600881408796097</v>
      </c>
      <c r="Z32" s="450">
        <f t="shared" si="47"/>
        <v>0.29895029192109707</v>
      </c>
      <c r="AA32" s="450">
        <f t="shared" si="47"/>
        <v>0.19980761610961137</v>
      </c>
      <c r="AB32" s="450">
        <f t="shared" si="47"/>
        <v>0.28365321432748375</v>
      </c>
      <c r="AC32" s="450">
        <f t="shared" si="47"/>
        <v>0.26391908002081665</v>
      </c>
      <c r="AD32" s="450">
        <f t="shared" si="47"/>
        <v>0.24340614982513237</v>
      </c>
      <c r="AE32" s="450">
        <f t="shared" si="47"/>
        <v>0.33366026494829282</v>
      </c>
      <c r="AF32" s="450">
        <f t="shared" si="47"/>
        <v>0.43622230616946356</v>
      </c>
      <c r="AG32" s="450">
        <f t="shared" si="47"/>
        <v>0.38219347628177114</v>
      </c>
      <c r="AH32" s="450">
        <f t="shared" si="47"/>
        <v>0.19482555455891407</v>
      </c>
      <c r="AI32" s="450">
        <f t="shared" si="47"/>
        <v>0.14634233193538884</v>
      </c>
      <c r="AJ32" s="450">
        <f t="shared" si="47"/>
        <v>0.16408204675799867</v>
      </c>
      <c r="AK32" s="450">
        <f t="shared" ref="AK32:BO32" si="48">AK33+AK34</f>
        <v>0.18621293255359278</v>
      </c>
      <c r="AL32" s="450">
        <f t="shared" si="48"/>
        <v>0.18691175557496875</v>
      </c>
      <c r="AM32" s="450">
        <f t="shared" si="48"/>
        <v>0.22873528838428273</v>
      </c>
      <c r="AN32" s="450">
        <f t="shared" si="48"/>
        <v>0.24848234205694592</v>
      </c>
      <c r="AO32" s="450">
        <f t="shared" si="48"/>
        <v>0.59678645065736202</v>
      </c>
      <c r="AP32" s="450">
        <f>AP33+AP34</f>
        <v>0.74918409268356589</v>
      </c>
      <c r="AQ32" s="450">
        <f>AQ33+AQ34</f>
        <v>1.084637328192154</v>
      </c>
      <c r="AR32" s="450">
        <f>AR33+AR34</f>
        <v>2.3570305034154773</v>
      </c>
      <c r="AS32" s="450">
        <f>AS33+AS34</f>
        <v>75.861340828533031</v>
      </c>
      <c r="AT32" s="450">
        <f t="shared" si="48"/>
        <v>60.515962673911901</v>
      </c>
      <c r="AU32" s="450">
        <f t="shared" si="48"/>
        <v>165.833386225</v>
      </c>
      <c r="AV32" s="450">
        <f t="shared" si="48"/>
        <v>123.273605</v>
      </c>
      <c r="AW32" s="450">
        <f t="shared" si="48"/>
        <v>67.166998000000007</v>
      </c>
      <c r="AX32" s="450">
        <f t="shared" si="48"/>
        <v>134.33605617000001</v>
      </c>
      <c r="AY32" s="450">
        <f t="shared" si="48"/>
        <v>201.73418939999999</v>
      </c>
      <c r="AZ32" s="450">
        <f t="shared" si="48"/>
        <v>502.28644600000001</v>
      </c>
      <c r="BA32" s="450">
        <f t="shared" si="48"/>
        <v>564.32130400000005</v>
      </c>
      <c r="BB32" s="450">
        <f t="shared" si="48"/>
        <v>1076.4351770000001</v>
      </c>
      <c r="BC32" s="450">
        <f t="shared" si="48"/>
        <v>1155.376591</v>
      </c>
      <c r="BD32" s="450">
        <f t="shared" si="48"/>
        <v>2215.72551458</v>
      </c>
      <c r="BE32" s="469">
        <f t="shared" si="48"/>
        <v>1801.7125111814998</v>
      </c>
      <c r="BF32" s="469">
        <f t="shared" si="48"/>
        <v>2160.9553190000001</v>
      </c>
      <c r="BG32" s="469">
        <f t="shared" ca="1" si="48"/>
        <v>2787.3366804238958</v>
      </c>
      <c r="BH32" s="469">
        <f t="shared" ca="1" si="48"/>
        <v>3029.0503010563252</v>
      </c>
      <c r="BI32" s="469">
        <f t="shared" ca="1" si="48"/>
        <v>3257.2832595608397</v>
      </c>
      <c r="BJ32" s="469">
        <f t="shared" ca="1" si="48"/>
        <v>4363.3593618362193</v>
      </c>
      <c r="BK32" s="469">
        <f t="shared" ca="1" si="48"/>
        <v>5555.1020589157943</v>
      </c>
      <c r="BL32" s="469">
        <f t="shared" ca="1" si="48"/>
        <v>5123.7757425082518</v>
      </c>
      <c r="BM32" s="469">
        <f t="shared" ca="1" si="48"/>
        <v>5963.8612328339732</v>
      </c>
      <c r="BN32" s="469">
        <f t="shared" ca="1" si="48"/>
        <v>6445.685128983152</v>
      </c>
      <c r="BO32" s="469">
        <f t="shared" ca="1" si="48"/>
        <v>8292.6945674338513</v>
      </c>
      <c r="BP32" s="469">
        <f t="shared" ref="BP32:CC32" ca="1" si="49">BP33+BP34</f>
        <v>8945.3582163925676</v>
      </c>
      <c r="BQ32" s="469">
        <f t="shared" ca="1" si="49"/>
        <v>9269.7763997373004</v>
      </c>
      <c r="BR32" s="469">
        <f t="shared" ca="1" si="49"/>
        <v>9723.0371525419432</v>
      </c>
      <c r="BS32" s="469">
        <f t="shared" ca="1" si="49"/>
        <v>10175.274357785935</v>
      </c>
      <c r="BT32" s="469">
        <f t="shared" ca="1" si="49"/>
        <v>10834.731931426122</v>
      </c>
      <c r="BU32" s="469">
        <f t="shared" ca="1" si="49"/>
        <v>11436.296486723255</v>
      </c>
      <c r="BV32" s="469">
        <f t="shared" ca="1" si="49"/>
        <v>12075.999981776737</v>
      </c>
      <c r="BW32" s="469">
        <f t="shared" ca="1" si="49"/>
        <v>12752.585867988506</v>
      </c>
      <c r="BX32" s="469">
        <f t="shared" ca="1" si="49"/>
        <v>13470.221556223751</v>
      </c>
      <c r="BY32" s="469">
        <f t="shared" ca="1" si="49"/>
        <v>14242.356673553288</v>
      </c>
      <c r="BZ32" s="469">
        <f t="shared" ca="1" si="49"/>
        <v>15081.780489027162</v>
      </c>
      <c r="CA32" s="469">
        <f t="shared" ca="1" si="49"/>
        <v>15982.657727544252</v>
      </c>
      <c r="CB32" s="469">
        <f t="shared" ca="1" si="49"/>
        <v>16945.663432361627</v>
      </c>
      <c r="CC32" s="469">
        <f t="shared" ca="1" si="49"/>
        <v>17977.659655823765</v>
      </c>
      <c r="CE32" s="484">
        <f t="shared" ca="1" si="19"/>
        <v>5.521115422829098</v>
      </c>
      <c r="CF32" s="484">
        <f t="shared" ca="1" si="20"/>
        <v>-1.2136919111653697</v>
      </c>
      <c r="CG32" s="484">
        <f t="shared" ca="1" si="21"/>
        <v>-0.65229280833864323</v>
      </c>
      <c r="CH32" s="484">
        <f t="shared" ca="1" si="22"/>
        <v>-6.0737744878188096</v>
      </c>
      <c r="CI32" s="484">
        <f t="shared" ca="1" si="23"/>
        <v>1076.8866957766322</v>
      </c>
      <c r="CJ32" s="484">
        <f t="shared" ca="1" si="24"/>
        <v>2211.7072645223561</v>
      </c>
      <c r="CK32" s="484">
        <f t="shared" ca="1" si="25"/>
        <v>2723.142205284822</v>
      </c>
      <c r="CL32" s="484">
        <f t="shared" ca="1" si="26"/>
        <v>3134.274184221169</v>
      </c>
      <c r="CM32" s="484">
        <f t="shared" ca="1" si="27"/>
        <v>3218.1692242840163</v>
      </c>
      <c r="CN32" s="484">
        <f t="shared" ca="1" si="28"/>
        <v>3295.9104352238592</v>
      </c>
      <c r="CO32" s="484">
        <f t="shared" ca="1" si="29"/>
        <v>3453.3015957409179</v>
      </c>
      <c r="CP32" s="484">
        <f t="shared" ca="1" si="30"/>
        <v>3665.8772623302066</v>
      </c>
      <c r="CQ32" s="484">
        <f t="shared" ca="1" si="31"/>
        <v>3902.3496732121748</v>
      </c>
      <c r="CR32" s="484">
        <f t="shared" ca="1" si="32"/>
        <v>4155.3745709366904</v>
      </c>
      <c r="CS32" s="484">
        <f t="shared" ca="1" si="33"/>
        <v>4424.7371854191661</v>
      </c>
      <c r="CT32" s="484">
        <f t="shared" ca="1" si="34"/>
        <v>4716.2146818066103</v>
      </c>
      <c r="CU32" s="484">
        <f t="shared" ca="1" si="35"/>
        <v>5035.5967276915308</v>
      </c>
      <c r="CV32" s="484">
        <f t="shared" ca="1" si="36"/>
        <v>5380.8382999826626</v>
      </c>
      <c r="CW32" s="484">
        <f t="shared" ca="1" si="37"/>
        <v>5750.9566656627139</v>
      </c>
      <c r="CX32" s="484">
        <f t="shared" ca="1" si="38"/>
        <v>6148.6027211847049</v>
      </c>
      <c r="CZ32" s="502">
        <v>4357.8382464133902</v>
      </c>
      <c r="DA32" s="502">
        <v>5556.3157508269596</v>
      </c>
      <c r="DB32" s="502">
        <v>5124.4280353165905</v>
      </c>
      <c r="DC32" s="502">
        <v>5969.935007321792</v>
      </c>
      <c r="DD32" s="502">
        <v>5368.7984332065198</v>
      </c>
      <c r="DE32" s="502">
        <v>6080.9873029114951</v>
      </c>
      <c r="DF32" s="502">
        <v>6222.2160111077455</v>
      </c>
      <c r="DG32" s="502">
        <v>6135.5022155161314</v>
      </c>
      <c r="DH32" s="502">
        <v>6504.8679282579269</v>
      </c>
      <c r="DI32" s="502">
        <v>6879.3639225620755</v>
      </c>
      <c r="DJ32" s="502">
        <v>7381.4303356852042</v>
      </c>
      <c r="DK32" s="502">
        <v>7770.4192243930484</v>
      </c>
      <c r="DL32" s="502">
        <v>8173.6503085645618</v>
      </c>
      <c r="DM32" s="502">
        <v>8597.2112970518156</v>
      </c>
      <c r="DN32" s="502">
        <v>9045.4843708045846</v>
      </c>
      <c r="DO32" s="502">
        <v>9526.1419917466774</v>
      </c>
      <c r="DP32" s="502">
        <v>10046.183761335631</v>
      </c>
      <c r="DQ32" s="502">
        <v>10601.81942756159</v>
      </c>
      <c r="DR32" s="502">
        <v>11194.706766698913</v>
      </c>
      <c r="DS32" s="502">
        <v>11829.05693463906</v>
      </c>
    </row>
    <row r="33" spans="1:123">
      <c r="A33" s="326" t="str">
        <f>Model!B293</f>
        <v>Bruto investeringen van de bedrijven</v>
      </c>
      <c r="B33" s="326" t="str">
        <f>Model!C293</f>
        <v>IBWN</v>
      </c>
      <c r="C33" s="326">
        <f>Model!D293</f>
        <v>0</v>
      </c>
      <c r="E33" s="326">
        <f>Model!F293</f>
        <v>2.3600000000000003E-2</v>
      </c>
      <c r="F33" s="326">
        <f>Model!G293</f>
        <v>2.52E-2</v>
      </c>
      <c r="G33" s="326">
        <f>Model!H293</f>
        <v>2.8200000762939454E-2</v>
      </c>
      <c r="H33" s="326">
        <f>Model!I293</f>
        <v>3.8599998474121093E-2</v>
      </c>
      <c r="I33" s="326">
        <f>Model!J293</f>
        <v>3.9700000762939454E-2</v>
      </c>
      <c r="J33" s="326">
        <f>Model!K293</f>
        <v>4.1099998474121095E-2</v>
      </c>
      <c r="K33" s="326">
        <f>Model!L293</f>
        <v>4.5599998474121092E-2</v>
      </c>
      <c r="L33" s="326">
        <f>Model!M293</f>
        <v>4.9099998474121095E-2</v>
      </c>
      <c r="M33" s="326">
        <f>Model!N293</f>
        <v>5.5700000762939454E-2</v>
      </c>
      <c r="N33" s="326">
        <f>Model!O293</f>
        <v>6.3400001525878907E-2</v>
      </c>
      <c r="O33" s="326">
        <f>Model!P293</f>
        <v>0.12059999847412109</v>
      </c>
      <c r="P33" s="326">
        <f>Model!Q293</f>
        <v>0.12730000305175782</v>
      </c>
      <c r="Q33" s="326">
        <f>Model!R293</f>
        <v>9.6000000000000002E-2</v>
      </c>
      <c r="R33" s="326">
        <f>Model!S293</f>
        <v>7.7699996948242187E-2</v>
      </c>
      <c r="S33" s="326">
        <f>Model!T293</f>
        <v>8.190000152587891E-2</v>
      </c>
      <c r="T33" s="326">
        <f>Model!U293</f>
        <v>6.9099998474121099E-2</v>
      </c>
      <c r="U33" s="326">
        <f>Model!V293</f>
        <v>6.9099998474121099E-2</v>
      </c>
      <c r="V33" s="326">
        <f>Model!W293</f>
        <v>7.6999999999999999E-2</v>
      </c>
      <c r="W33" s="326">
        <f>Model!X293</f>
        <v>0.09</v>
      </c>
      <c r="X33" s="326">
        <f>Model!Y293</f>
        <v>0.115</v>
      </c>
      <c r="Y33" s="326">
        <f>Model!Z293</f>
        <v>0.20200000000000001</v>
      </c>
      <c r="Z33" s="326">
        <f>Model!AA293</f>
        <v>0.27520001220703127</v>
      </c>
      <c r="AA33" s="326">
        <f>Model!AB293</f>
        <v>0.16089999389648438</v>
      </c>
      <c r="AB33" s="326">
        <f>Model!AC293</f>
        <v>0.23910000610351562</v>
      </c>
      <c r="AC33" s="326">
        <f>Model!AD293</f>
        <v>0.21889999389648437</v>
      </c>
      <c r="AD33" s="326">
        <f>Model!AE293</f>
        <v>0.19950000000000001</v>
      </c>
      <c r="AE33" s="326">
        <f>Model!AF293</f>
        <v>0.29208999633789062</v>
      </c>
      <c r="AF33" s="326">
        <f>Model!AG293</f>
        <v>0.37942999267578126</v>
      </c>
      <c r="AG33" s="326">
        <f>Model!AH293</f>
        <v>0.32235998535156252</v>
      </c>
      <c r="AH33" s="326">
        <f>Model!AI293</f>
        <v>0.15617999267578125</v>
      </c>
      <c r="AI33" s="326">
        <f>Model!AJ293</f>
        <v>0.11880999755859376</v>
      </c>
      <c r="AJ33" s="326">
        <f>Model!AK293</f>
        <v>0.14599999999999999</v>
      </c>
      <c r="AK33" s="326">
        <f>Model!AL293</f>
        <v>0.17299999999999999</v>
      </c>
      <c r="AL33" s="326">
        <f>Model!AM293</f>
        <v>0.17299999999999999</v>
      </c>
      <c r="AM33" s="326">
        <f>Model!AN293</f>
        <v>0.22</v>
      </c>
      <c r="AN33" s="326">
        <f>Model!AO293</f>
        <v>0.22260000610351563</v>
      </c>
      <c r="AO33" s="326">
        <f>Model!AP293</f>
        <v>0.56641999999999992</v>
      </c>
      <c r="AP33" s="326">
        <f>Model!AQ293</f>
        <v>0.71115000000000006</v>
      </c>
      <c r="AQ33" s="326">
        <f>Model!AR293</f>
        <v>1.0469300000000001</v>
      </c>
      <c r="AR33" s="326">
        <f>Model!AS293</f>
        <v>2.2277999999999998</v>
      </c>
      <c r="AS33" s="326">
        <f>Model!AT293</f>
        <v>20.53877</v>
      </c>
      <c r="AT33" s="326">
        <f>Model!AU293</f>
        <v>32.773789999999998</v>
      </c>
      <c r="AU33" s="326">
        <f>Model!AV293</f>
        <v>134.96355</v>
      </c>
      <c r="AV33" s="326">
        <f>Model!AW293</f>
        <v>103.71688</v>
      </c>
      <c r="AW33" s="326">
        <f>Model!AX293</f>
        <v>45.365000000000002</v>
      </c>
      <c r="AX33" s="326">
        <f>Model!AY293</f>
        <v>83.716999999999999</v>
      </c>
      <c r="AY33" s="326">
        <f>Model!AZ293</f>
        <v>117.077</v>
      </c>
      <c r="AZ33" s="326">
        <f>Model!BA293</f>
        <v>441.81900000000002</v>
      </c>
      <c r="BA33" s="326">
        <f>Model!BB293</f>
        <v>490.44200000000001</v>
      </c>
      <c r="BB33" s="326">
        <f>Model!BC293</f>
        <v>987</v>
      </c>
      <c r="BC33" s="326">
        <f>Model!BD293</f>
        <v>1000</v>
      </c>
      <c r="BD33" s="326">
        <f>Model!BE293</f>
        <v>1977</v>
      </c>
      <c r="BE33" s="470">
        <f>Model!BF293</f>
        <v>1496</v>
      </c>
      <c r="BF33" s="470">
        <f>Model!BG293</f>
        <v>1806</v>
      </c>
      <c r="BG33" s="470">
        <f ca="1">Model!BH293</f>
        <v>2321.2989344238958</v>
      </c>
      <c r="BH33" s="470">
        <f ca="1">Model!BI293</f>
        <v>2422.6503010563251</v>
      </c>
      <c r="BI33" s="470">
        <f ca="1">Model!BJ293</f>
        <v>2704.5832595608404</v>
      </c>
      <c r="BJ33" s="470">
        <f ca="1">Model!BK293</f>
        <v>3666.4593618362201</v>
      </c>
      <c r="BK33" s="470">
        <f ca="1">Model!BL293</f>
        <v>4825.7020589157946</v>
      </c>
      <c r="BL33" s="470">
        <f ca="1">Model!BM293</f>
        <v>4367.7757425082518</v>
      </c>
      <c r="BM33" s="470">
        <f ca="1">Model!BN293</f>
        <v>5070.8612328339732</v>
      </c>
      <c r="BN33" s="470">
        <f ca="1">Model!BO293</f>
        <v>6008.7851289831533</v>
      </c>
      <c r="BO33" s="470">
        <f ca="1">Model!BP293</f>
        <v>7737.1240556846988</v>
      </c>
      <c r="BP33" s="470">
        <f ca="1">Model!BQ293</f>
        <v>8338.2063380418931</v>
      </c>
      <c r="BQ33" s="470">
        <f ca="1">Model!BR293</f>
        <v>8626.4576771822904</v>
      </c>
      <c r="BR33" s="470">
        <f ca="1">Model!BS293</f>
        <v>9049.9674310523314</v>
      </c>
      <c r="BS33" s="470">
        <f ca="1">Model!BT293</f>
        <v>9464.1758487084371</v>
      </c>
      <c r="BT33" s="470">
        <f ca="1">Model!BU293</f>
        <v>10082.83140202828</v>
      </c>
      <c r="BU33" s="470">
        <f ca="1">Model!BV293</f>
        <v>10641.05229686112</v>
      </c>
      <c r="BV33" s="470">
        <f ca="1">Model!BW293</f>
        <v>11236.677262167123</v>
      </c>
      <c r="BW33" s="470">
        <f ca="1">Model!BX293</f>
        <v>11866.70064490072</v>
      </c>
      <c r="BX33" s="470">
        <f ca="1">Model!BY293</f>
        <v>12535.16650521504</v>
      </c>
      <c r="BY33" s="470">
        <f ca="1">Model!BZ293</f>
        <v>13255.361422941241</v>
      </c>
      <c r="BZ33" s="470">
        <f ca="1">Model!CA293</f>
        <v>14039.828160261786</v>
      </c>
      <c r="CA33" s="470">
        <f ca="1">Model!CB293</f>
        <v>14884.716481001476</v>
      </c>
      <c r="CB33" s="470">
        <f ca="1">Model!CC293</f>
        <v>15788.636003453674</v>
      </c>
      <c r="CC33" s="470">
        <f ca="1">Model!CD293</f>
        <v>16758.268619246948</v>
      </c>
      <c r="CE33" s="484">
        <f t="shared" ca="1" si="19"/>
        <v>5.5211154228286432</v>
      </c>
      <c r="CF33" s="484">
        <f t="shared" ca="1" si="20"/>
        <v>-1.2136919111653697</v>
      </c>
      <c r="CG33" s="484">
        <f t="shared" ca="1" si="21"/>
        <v>-0.65229280833864323</v>
      </c>
      <c r="CH33" s="484">
        <f t="shared" ca="1" si="22"/>
        <v>-6.0737744878188096</v>
      </c>
      <c r="CI33" s="484">
        <f t="shared" ca="1" si="23"/>
        <v>1076.886695776634</v>
      </c>
      <c r="CJ33" s="484">
        <f t="shared" ca="1" si="24"/>
        <v>2205.3931248273529</v>
      </c>
      <c r="CK33" s="484">
        <f t="shared" ca="1" si="25"/>
        <v>2708.3878851603758</v>
      </c>
      <c r="CL33" s="484">
        <f t="shared" ca="1" si="26"/>
        <v>3114.8752980606187</v>
      </c>
      <c r="CM33" s="484">
        <f t="shared" ca="1" si="27"/>
        <v>3196.4601962218749</v>
      </c>
      <c r="CN33" s="484">
        <f t="shared" ca="1" si="28"/>
        <v>3271.6726961485774</v>
      </c>
      <c r="CO33" s="484">
        <f t="shared" ca="1" si="29"/>
        <v>3425.8035781609451</v>
      </c>
      <c r="CP33" s="484">
        <f t="shared" ca="1" si="30"/>
        <v>3634.5585780207866</v>
      </c>
      <c r="CQ33" s="484">
        <f t="shared" ca="1" si="31"/>
        <v>3866.8611743977281</v>
      </c>
      <c r="CR33" s="484">
        <f t="shared" ca="1" si="32"/>
        <v>4115.3455357887296</v>
      </c>
      <c r="CS33" s="484">
        <f t="shared" ca="1" si="33"/>
        <v>4379.8002777764505</v>
      </c>
      <c r="CT33" s="484">
        <f t="shared" ca="1" si="34"/>
        <v>4665.97542157112</v>
      </c>
      <c r="CU33" s="484">
        <f t="shared" ca="1" si="35"/>
        <v>4979.629617063445</v>
      </c>
      <c r="CV33" s="484">
        <f t="shared" ca="1" si="36"/>
        <v>5318.815821081429</v>
      </c>
      <c r="CW33" s="484">
        <f t="shared" ca="1" si="37"/>
        <v>5682.422890408674</v>
      </c>
      <c r="CX33" s="484">
        <f t="shared" ca="1" si="38"/>
        <v>6073.0732489801467</v>
      </c>
      <c r="CZ33" s="502">
        <v>3660.9382464133914</v>
      </c>
      <c r="DA33" s="502">
        <v>4826.91575082696</v>
      </c>
      <c r="DB33" s="502">
        <v>4368.4280353165905</v>
      </c>
      <c r="DC33" s="502">
        <v>5076.935007321792</v>
      </c>
      <c r="DD33" s="502">
        <v>4931.8984332065193</v>
      </c>
      <c r="DE33" s="502">
        <v>5531.7309308573458</v>
      </c>
      <c r="DF33" s="502">
        <v>5629.8184528815173</v>
      </c>
      <c r="DG33" s="502">
        <v>5511.5823791216717</v>
      </c>
      <c r="DH33" s="502">
        <v>5853.5072348304566</v>
      </c>
      <c r="DI33" s="502">
        <v>6192.5031525598597</v>
      </c>
      <c r="DJ33" s="502">
        <v>6657.0278238673345</v>
      </c>
      <c r="DK33" s="502">
        <v>7006.4937188403337</v>
      </c>
      <c r="DL33" s="502">
        <v>7369.8160877693945</v>
      </c>
      <c r="DM33" s="502">
        <v>7751.3551091119907</v>
      </c>
      <c r="DN33" s="502">
        <v>8155.3662274385897</v>
      </c>
      <c r="DO33" s="502">
        <v>8589.3860013701214</v>
      </c>
      <c r="DP33" s="502">
        <v>9060.1985431983412</v>
      </c>
      <c r="DQ33" s="502">
        <v>9565.9006599200475</v>
      </c>
      <c r="DR33" s="502">
        <v>10106.213113045</v>
      </c>
      <c r="DS33" s="502">
        <v>10685.195370266802</v>
      </c>
    </row>
    <row r="34" spans="1:123">
      <c r="A34" s="262" t="str">
        <f>Model!B256</f>
        <v>Bruto investeringen van de overheid</v>
      </c>
      <c r="B34" s="262" t="str">
        <f>Model!C256</f>
        <v>IOWN</v>
      </c>
      <c r="C34" s="262">
        <f>Model!D256</f>
        <v>0</v>
      </c>
      <c r="E34" s="262">
        <f>Model!F256</f>
        <v>9.705875982536354E-4</v>
      </c>
      <c r="F34" s="262">
        <f>Model!G256</f>
        <v>9.0588175837005966E-4</v>
      </c>
      <c r="G34" s="262">
        <f>Model!H256</f>
        <v>2.1352926853038493E-3</v>
      </c>
      <c r="H34" s="262">
        <f>Model!I256</f>
        <v>2.8470570165856279E-3</v>
      </c>
      <c r="I34" s="262">
        <f>Model!J256</f>
        <v>3.1382331726451237E-3</v>
      </c>
      <c r="J34" s="262">
        <f>Model!K256</f>
        <v>4.3999972354997422E-3</v>
      </c>
      <c r="K34" s="262">
        <f>Model!L256</f>
        <v>6.5676425013497432E-3</v>
      </c>
      <c r="L34" s="262">
        <f>Model!M256</f>
        <v>5.7588195028050451E-3</v>
      </c>
      <c r="M34" s="262">
        <f>Model!N256</f>
        <v>4.8529379912681768E-3</v>
      </c>
      <c r="N34" s="262">
        <f>Model!O256</f>
        <v>4.4970557484919158E-3</v>
      </c>
      <c r="O34" s="262">
        <f>Model!P256</f>
        <v>4.5294087918502984E-3</v>
      </c>
      <c r="P34" s="262">
        <f>Model!Q256</f>
        <v>5.2088202340444395E-3</v>
      </c>
      <c r="Q34" s="262">
        <f>Model!R256</f>
        <v>7.0529363004765595E-3</v>
      </c>
      <c r="R34" s="262">
        <f>Model!S256</f>
        <v>7.9264653857380237E-3</v>
      </c>
      <c r="S34" s="262">
        <f>Model!T256</f>
        <v>6.0823487022229243E-3</v>
      </c>
      <c r="T34" s="262">
        <f>Model!U256</f>
        <v>7.8617592990212568E-3</v>
      </c>
      <c r="U34" s="262">
        <f>Model!V256</f>
        <v>1.0191169781663172E-2</v>
      </c>
      <c r="V34" s="262">
        <f>Model!W256</f>
        <v>9.1882291400511538E-3</v>
      </c>
      <c r="W34" s="262">
        <f>Model!X256</f>
        <v>1.323234474985761E-2</v>
      </c>
      <c r="X34" s="262">
        <f>Model!Y256</f>
        <v>1.3394109349566551E-2</v>
      </c>
      <c r="Y34" s="262">
        <f>Model!Z256</f>
        <v>1.4008814087960947E-2</v>
      </c>
      <c r="Z34" s="262">
        <f>Model!AA256</f>
        <v>2.3750279714065771E-2</v>
      </c>
      <c r="AA34" s="262">
        <f>Model!AB256</f>
        <v>3.8907622213126998E-2</v>
      </c>
      <c r="AB34" s="262">
        <f>Model!AC256</f>
        <v>4.4553208223968126E-2</v>
      </c>
      <c r="AC34" s="262">
        <f>Model!AD256</f>
        <v>4.5019086124332267E-2</v>
      </c>
      <c r="AD34" s="262">
        <f>Model!AE256</f>
        <v>4.3906149825132364E-2</v>
      </c>
      <c r="AE34" s="262">
        <f>Model!AF256</f>
        <v>4.1570268610402174E-2</v>
      </c>
      <c r="AF34" s="262">
        <f>Model!AG256</f>
        <v>5.6792313493682314E-2</v>
      </c>
      <c r="AG34" s="262">
        <f>Model!AH256</f>
        <v>5.9833490930208649E-2</v>
      </c>
      <c r="AH34" s="262">
        <f>Model!AI256</f>
        <v>3.8645561883132819E-2</v>
      </c>
      <c r="AI34" s="262">
        <f>Model!AJ256</f>
        <v>2.753233437679508E-2</v>
      </c>
      <c r="AJ34" s="262">
        <f>Model!AK256</f>
        <v>1.8082046757998675E-2</v>
      </c>
      <c r="AK34" s="262">
        <f>Model!AL256</f>
        <v>1.3212932553592795E-2</v>
      </c>
      <c r="AL34" s="262">
        <f>Model!AM256</f>
        <v>1.3911755574968774E-2</v>
      </c>
      <c r="AM34" s="262">
        <f>Model!AN256</f>
        <v>8.7352883842827193E-3</v>
      </c>
      <c r="AN34" s="262">
        <f>Model!AO256</f>
        <v>2.5882335953430282E-2</v>
      </c>
      <c r="AO34" s="262">
        <f>Model!AP256</f>
        <v>3.0366450657362071E-2</v>
      </c>
      <c r="AP34" s="262">
        <f>Model!AQ256</f>
        <v>3.8034092683565793E-2</v>
      </c>
      <c r="AQ34" s="262">
        <f>Model!AR256</f>
        <v>3.7707328192153736E-2</v>
      </c>
      <c r="AR34" s="262">
        <f>Model!AS256</f>
        <v>0.1292305034154774</v>
      </c>
      <c r="AS34" s="262">
        <f>Model!AT256</f>
        <v>55.322570828533031</v>
      </c>
      <c r="AT34" s="262">
        <f>Model!AU256</f>
        <v>27.742172673911899</v>
      </c>
      <c r="AU34" s="262">
        <f>Model!AV256</f>
        <v>30.869836225</v>
      </c>
      <c r="AV34" s="262">
        <f>Model!AW256</f>
        <v>19.556725</v>
      </c>
      <c r="AW34" s="262">
        <f>Model!AX256</f>
        <v>21.801997999999998</v>
      </c>
      <c r="AX34" s="262">
        <f>Model!AY256</f>
        <v>50.61905617</v>
      </c>
      <c r="AY34" s="262">
        <f>Model!AZ256</f>
        <v>84.657189400000007</v>
      </c>
      <c r="AZ34" s="262">
        <f>Model!BA256</f>
        <v>60.467446000000002</v>
      </c>
      <c r="BA34" s="262">
        <f>Model!BB256</f>
        <v>73.879303999999991</v>
      </c>
      <c r="BB34" s="262">
        <f>Model!BC256</f>
        <v>89.43517700000001</v>
      </c>
      <c r="BC34" s="262">
        <f>Model!BD256</f>
        <v>155.37659099999999</v>
      </c>
      <c r="BD34" s="262">
        <f>Model!BE256</f>
        <v>238.72551458000001</v>
      </c>
      <c r="BE34" s="470">
        <f>Model!BF256</f>
        <v>305.71251118149996</v>
      </c>
      <c r="BF34" s="470">
        <f>Model!BG256</f>
        <v>354.95531900000003</v>
      </c>
      <c r="BG34" s="470">
        <f>Model!BH256</f>
        <v>466.03774599999997</v>
      </c>
      <c r="BH34" s="470">
        <f>Model!BI256</f>
        <v>606.4</v>
      </c>
      <c r="BI34" s="470">
        <f>Model!BJ256</f>
        <v>552.70000000000005</v>
      </c>
      <c r="BJ34" s="470">
        <f>Model!BK256</f>
        <v>696.9</v>
      </c>
      <c r="BK34" s="470">
        <f>Model!BL256</f>
        <v>729.4</v>
      </c>
      <c r="BL34" s="470">
        <f>Model!BM256</f>
        <v>756</v>
      </c>
      <c r="BM34" s="470">
        <f>Model!BN256</f>
        <v>893</v>
      </c>
      <c r="BN34" s="470">
        <f>Model!BO256</f>
        <v>436.9</v>
      </c>
      <c r="BO34" s="470">
        <f ca="1">Model!BP256</f>
        <v>555.57051174915171</v>
      </c>
      <c r="BP34" s="470">
        <f ca="1">Model!BQ256</f>
        <v>607.15187835067104</v>
      </c>
      <c r="BQ34" s="470">
        <f ca="1">Model!BR256</f>
        <v>643.31872255500548</v>
      </c>
      <c r="BR34" s="470">
        <f ca="1">Model!BS256</f>
        <v>673.06972148960313</v>
      </c>
      <c r="BS34" s="470">
        <f ca="1">Model!BT256</f>
        <v>711.09850907748557</v>
      </c>
      <c r="BT34" s="470">
        <f ca="1">Model!BU256</f>
        <v>751.90052939782265</v>
      </c>
      <c r="BU34" s="470">
        <f ca="1">Model!BV256</f>
        <v>795.24418986210424</v>
      </c>
      <c r="BV34" s="470">
        <f ca="1">Model!BW256</f>
        <v>839.32271960957223</v>
      </c>
      <c r="BW34" s="470">
        <f ca="1">Model!BX256</f>
        <v>885.88522308773736</v>
      </c>
      <c r="BX34" s="470">
        <f ca="1">Model!BY256</f>
        <v>935.05505100865059</v>
      </c>
      <c r="BY34" s="470">
        <f ca="1">Model!BZ256</f>
        <v>986.99525061195982</v>
      </c>
      <c r="BZ34" s="470">
        <f ca="1">Model!CA256</f>
        <v>1041.9523287652382</v>
      </c>
      <c r="CA34" s="470">
        <f ca="1">Model!CB256</f>
        <v>1097.9412465425439</v>
      </c>
      <c r="CB34" s="470">
        <f ca="1">Model!CC256</f>
        <v>1157.0274289075664</v>
      </c>
      <c r="CC34" s="470">
        <f ca="1">Model!CD256</f>
        <v>1219.3910365761926</v>
      </c>
      <c r="CE34" s="484">
        <f t="shared" si="19"/>
        <v>0</v>
      </c>
      <c r="CF34" s="484">
        <f t="shared" si="20"/>
        <v>0</v>
      </c>
      <c r="CG34" s="484">
        <f t="shared" si="21"/>
        <v>0</v>
      </c>
      <c r="CH34" s="484">
        <f t="shared" si="22"/>
        <v>0</v>
      </c>
      <c r="CI34" s="484">
        <f t="shared" si="23"/>
        <v>0</v>
      </c>
      <c r="CJ34" s="484">
        <f t="shared" ca="1" si="24"/>
        <v>6.3141396950019271</v>
      </c>
      <c r="CK34" s="484">
        <f t="shared" ca="1" si="25"/>
        <v>14.754320124441961</v>
      </c>
      <c r="CL34" s="484">
        <f t="shared" ca="1" si="26"/>
        <v>19.398886160545885</v>
      </c>
      <c r="CM34" s="484">
        <f t="shared" ca="1" si="27"/>
        <v>21.709028062132347</v>
      </c>
      <c r="CN34" s="484">
        <f t="shared" ca="1" si="28"/>
        <v>24.237739075266973</v>
      </c>
      <c r="CO34" s="484">
        <f t="shared" ca="1" si="29"/>
        <v>27.498017579946918</v>
      </c>
      <c r="CP34" s="484">
        <f t="shared" ca="1" si="30"/>
        <v>31.31868430937584</v>
      </c>
      <c r="CQ34" s="484">
        <f t="shared" ca="1" si="31"/>
        <v>35.488498814371383</v>
      </c>
      <c r="CR34" s="484">
        <f t="shared" ca="1" si="32"/>
        <v>40.029035147848049</v>
      </c>
      <c r="CS34" s="484">
        <f t="shared" ca="1" si="33"/>
        <v>44.936907642554388</v>
      </c>
      <c r="CT34" s="484">
        <f t="shared" ca="1" si="34"/>
        <v>50.239260235260417</v>
      </c>
      <c r="CU34" s="484">
        <f t="shared" ca="1" si="35"/>
        <v>55.967110627766147</v>
      </c>
      <c r="CV34" s="484">
        <f t="shared" ca="1" si="36"/>
        <v>62.022478900802525</v>
      </c>
      <c r="CW34" s="484">
        <f t="shared" ca="1" si="37"/>
        <v>68.53377525347787</v>
      </c>
      <c r="CX34" s="484">
        <f t="shared" ca="1" si="38"/>
        <v>75.529472203862042</v>
      </c>
      <c r="CZ34" s="502">
        <v>696.9</v>
      </c>
      <c r="DA34" s="502">
        <v>729.4</v>
      </c>
      <c r="DB34" s="502">
        <v>756</v>
      </c>
      <c r="DC34" s="502">
        <v>893</v>
      </c>
      <c r="DD34" s="502">
        <v>436.9</v>
      </c>
      <c r="DE34" s="502">
        <v>549.25637205414978</v>
      </c>
      <c r="DF34" s="502">
        <v>592.39755822622908</v>
      </c>
      <c r="DG34" s="502">
        <v>623.91983639445959</v>
      </c>
      <c r="DH34" s="502">
        <v>651.36069342747078</v>
      </c>
      <c r="DI34" s="502">
        <v>686.8607700022186</v>
      </c>
      <c r="DJ34" s="502">
        <v>724.40251181787573</v>
      </c>
      <c r="DK34" s="502">
        <v>763.9255055527284</v>
      </c>
      <c r="DL34" s="502">
        <v>803.83422079520085</v>
      </c>
      <c r="DM34" s="502">
        <v>845.85618793988931</v>
      </c>
      <c r="DN34" s="502">
        <v>890.11814336609621</v>
      </c>
      <c r="DO34" s="502">
        <v>936.7559903766994</v>
      </c>
      <c r="DP34" s="502">
        <v>985.98521813747209</v>
      </c>
      <c r="DQ34" s="502">
        <v>1035.9187676417414</v>
      </c>
      <c r="DR34" s="502">
        <v>1088.4936536540886</v>
      </c>
      <c r="DS34" s="502">
        <v>1143.8615643723306</v>
      </c>
    </row>
    <row r="35" spans="1:123">
      <c r="A35" s="263" t="s">
        <v>1639</v>
      </c>
      <c r="B35" s="263" t="s">
        <v>1639</v>
      </c>
      <c r="C35" s="263" t="s">
        <v>1639</v>
      </c>
      <c r="E35" s="263">
        <f t="shared" ref="E35:AJ35" si="50">E36</f>
        <v>6.2299999999999994E-2</v>
      </c>
      <c r="F35" s="263">
        <f t="shared" si="50"/>
        <v>5.7500000000000002E-2</v>
      </c>
      <c r="G35" s="263">
        <f t="shared" si="50"/>
        <v>6.9500000000000006E-2</v>
      </c>
      <c r="H35" s="263">
        <f t="shared" si="50"/>
        <v>7.8E-2</v>
      </c>
      <c r="I35" s="263">
        <f t="shared" si="50"/>
        <v>7.3099998474121089E-2</v>
      </c>
      <c r="J35" s="263">
        <f t="shared" si="50"/>
        <v>0.09</v>
      </c>
      <c r="K35" s="263">
        <f t="shared" si="50"/>
        <v>9.8099998474121097E-2</v>
      </c>
      <c r="L35" s="263">
        <f t="shared" si="50"/>
        <v>9.4400001525878907E-2</v>
      </c>
      <c r="M35" s="263">
        <f t="shared" si="50"/>
        <v>9.5300003051757814E-2</v>
      </c>
      <c r="N35" s="263">
        <f t="shared" si="50"/>
        <v>0.1045</v>
      </c>
      <c r="O35" s="263">
        <f t="shared" si="50"/>
        <v>0.10880000305175781</v>
      </c>
      <c r="P35" s="263">
        <f t="shared" si="50"/>
        <v>0.13219999694824219</v>
      </c>
      <c r="Q35" s="263">
        <f t="shared" si="50"/>
        <v>0.19550000000000001</v>
      </c>
      <c r="R35" s="263">
        <f t="shared" si="50"/>
        <v>0.22380000305175782</v>
      </c>
      <c r="S35" s="263">
        <f t="shared" si="50"/>
        <v>0.24519999694824218</v>
      </c>
      <c r="T35" s="263">
        <f t="shared" si="50"/>
        <v>0.27970001220703122</v>
      </c>
      <c r="U35" s="263">
        <f t="shared" si="50"/>
        <v>0.29360000610351561</v>
      </c>
      <c r="V35" s="263">
        <f t="shared" si="50"/>
        <v>0.34010000610351565</v>
      </c>
      <c r="W35" s="263">
        <f t="shared" si="50"/>
        <v>0.36420001220703124</v>
      </c>
      <c r="X35" s="263">
        <f t="shared" si="50"/>
        <v>0.36049999999999999</v>
      </c>
      <c r="Y35" s="263">
        <f t="shared" si="50"/>
        <v>0.54340002441406254</v>
      </c>
      <c r="Z35" s="263">
        <f t="shared" si="50"/>
        <v>0.57770001220703127</v>
      </c>
      <c r="AA35" s="263">
        <f t="shared" si="50"/>
        <v>0.61790002441406255</v>
      </c>
      <c r="AB35" s="263">
        <f t="shared" si="50"/>
        <v>0.70720001220703121</v>
      </c>
      <c r="AC35" s="263">
        <f t="shared" si="50"/>
        <v>0.81359997558593755</v>
      </c>
      <c r="AD35" s="263">
        <f t="shared" si="50"/>
        <v>0.91670001220703123</v>
      </c>
      <c r="AE35" s="263">
        <f t="shared" si="50"/>
        <v>1.094199951171875</v>
      </c>
      <c r="AF35" s="263">
        <f t="shared" si="50"/>
        <v>1.0097999877929686</v>
      </c>
      <c r="AG35" s="263">
        <f t="shared" si="50"/>
        <v>0.90949999999999998</v>
      </c>
      <c r="AH35" s="263">
        <f t="shared" si="50"/>
        <v>0.77429998779296871</v>
      </c>
      <c r="AI35" s="263">
        <f t="shared" si="50"/>
        <v>0.7605999755859375</v>
      </c>
      <c r="AJ35" s="263">
        <f t="shared" si="50"/>
        <v>0.67140002441406255</v>
      </c>
      <c r="AK35" s="263">
        <f t="shared" ref="AK35:CC35" si="51">AK36</f>
        <v>0.63870001220703121</v>
      </c>
      <c r="AL35" s="263">
        <f t="shared" si="51"/>
        <v>0.6932000122070312</v>
      </c>
      <c r="AM35" s="263">
        <f t="shared" si="51"/>
        <v>0.77120001220703127</v>
      </c>
      <c r="AN35" s="263">
        <f t="shared" si="51"/>
        <v>1.0049999999999999</v>
      </c>
      <c r="AO35" s="263">
        <f t="shared" si="51"/>
        <v>0.86860000000000004</v>
      </c>
      <c r="AP35" s="263">
        <f t="shared" si="51"/>
        <v>0.6573</v>
      </c>
      <c r="AQ35" s="263">
        <f t="shared" si="51"/>
        <v>0.64910000000000001</v>
      </c>
      <c r="AR35" s="263">
        <f t="shared" si="51"/>
        <v>14.860100000000001</v>
      </c>
      <c r="AS35" s="263">
        <f t="shared" si="51"/>
        <v>75.662499999999994</v>
      </c>
      <c r="AT35" s="263">
        <f t="shared" si="51"/>
        <v>229.46979999999999</v>
      </c>
      <c r="AU35" s="263">
        <f t="shared" si="51"/>
        <v>194.72927249999998</v>
      </c>
      <c r="AV35" s="263">
        <f t="shared" si="51"/>
        <v>197.89350000000002</v>
      </c>
      <c r="AW35" s="263">
        <f t="shared" si="51"/>
        <v>169.10169999999999</v>
      </c>
      <c r="AX35" s="263">
        <f t="shared" si="51"/>
        <v>446.37928099999999</v>
      </c>
      <c r="AY35" s="263">
        <f t="shared" si="51"/>
        <v>694.58854699999995</v>
      </c>
      <c r="AZ35" s="263">
        <f t="shared" si="51"/>
        <v>1081.4074000000001</v>
      </c>
      <c r="BA35" s="263">
        <f t="shared" si="51"/>
        <v>948.92817100000013</v>
      </c>
      <c r="BB35" s="263">
        <f t="shared" si="51"/>
        <v>1577.6179799999998</v>
      </c>
      <c r="BC35" s="263">
        <f t="shared" si="51"/>
        <v>2209.0720000000001</v>
      </c>
      <c r="BD35" s="263">
        <f t="shared" si="51"/>
        <v>2721.81</v>
      </c>
      <c r="BE35" s="469">
        <f t="shared" si="51"/>
        <v>3222.4375</v>
      </c>
      <c r="BF35" s="469">
        <f t="shared" si="51"/>
        <v>4426.3125</v>
      </c>
      <c r="BG35" s="469">
        <f t="shared" si="51"/>
        <v>5566.0365000000002</v>
      </c>
      <c r="BH35" s="469">
        <f t="shared" si="51"/>
        <v>4812.2250000000004</v>
      </c>
      <c r="BI35" s="469">
        <f t="shared" si="51"/>
        <v>7092.7749999999996</v>
      </c>
      <c r="BJ35" s="469">
        <f t="shared" si="51"/>
        <v>9255.35</v>
      </c>
      <c r="BK35" s="469">
        <f t="shared" si="51"/>
        <v>9632.9250000000011</v>
      </c>
      <c r="BL35" s="469">
        <f t="shared" si="51"/>
        <v>8692.244999999999</v>
      </c>
      <c r="BM35" s="469">
        <f t="shared" si="51"/>
        <v>7892.6</v>
      </c>
      <c r="BN35" s="469">
        <f t="shared" si="51"/>
        <v>6564.66</v>
      </c>
      <c r="BO35" s="469">
        <f t="shared" si="51"/>
        <v>8376.9967090082737</v>
      </c>
      <c r="BP35" s="469">
        <f t="shared" si="51"/>
        <v>10407.497691725664</v>
      </c>
      <c r="BQ35" s="469">
        <f t="shared" si="51"/>
        <v>11018.433951166948</v>
      </c>
      <c r="BR35" s="469">
        <f t="shared" si="51"/>
        <v>11032.689302980312</v>
      </c>
      <c r="BS35" s="469">
        <f t="shared" si="51"/>
        <v>11311.980682930598</v>
      </c>
      <c r="BT35" s="469">
        <f t="shared" si="51"/>
        <v>11791.364907209239</v>
      </c>
      <c r="BU35" s="469">
        <f t="shared" si="51"/>
        <v>12296.032045253747</v>
      </c>
      <c r="BV35" s="469">
        <f t="shared" si="51"/>
        <v>12827.487111310771</v>
      </c>
      <c r="BW35" s="469">
        <f t="shared" si="51"/>
        <v>13387.337164035569</v>
      </c>
      <c r="BX35" s="469">
        <f t="shared" si="51"/>
        <v>13977.299110354521</v>
      </c>
      <c r="BY35" s="469">
        <f t="shared" si="51"/>
        <v>14868.266854415497</v>
      </c>
      <c r="BZ35" s="469">
        <f t="shared" si="51"/>
        <v>15823.161016363225</v>
      </c>
      <c r="CA35" s="469">
        <f t="shared" si="51"/>
        <v>16846.655877961584</v>
      </c>
      <c r="CB35" s="469">
        <f t="shared" si="51"/>
        <v>17943.774906339087</v>
      </c>
      <c r="CC35" s="469">
        <f t="shared" si="51"/>
        <v>19119.917527872225</v>
      </c>
      <c r="CE35" s="484">
        <f t="shared" si="19"/>
        <v>585.65000000000146</v>
      </c>
      <c r="CF35" s="484">
        <f t="shared" si="20"/>
        <v>18.090000000000146</v>
      </c>
      <c r="CG35" s="484">
        <f t="shared" si="21"/>
        <v>73.364999999997963</v>
      </c>
      <c r="CH35" s="484">
        <f t="shared" si="22"/>
        <v>0.67000000000098225</v>
      </c>
      <c r="CI35" s="484">
        <f t="shared" si="23"/>
        <v>-324.85966872003337</v>
      </c>
      <c r="CJ35" s="484">
        <f t="shared" si="24"/>
        <v>648.59678440964763</v>
      </c>
      <c r="CK35" s="484">
        <f t="shared" si="25"/>
        <v>1534.3317347708762</v>
      </c>
      <c r="CL35" s="484">
        <f t="shared" si="26"/>
        <v>751.13644812112761</v>
      </c>
      <c r="CM35" s="484">
        <f t="shared" si="27"/>
        <v>212.71361998159773</v>
      </c>
      <c r="CN35" s="484">
        <f t="shared" si="28"/>
        <v>24.109736596639777</v>
      </c>
      <c r="CO35" s="484">
        <f t="shared" si="29"/>
        <v>11.951736917950257</v>
      </c>
      <c r="CP35" s="484">
        <f t="shared" si="30"/>
        <v>-0.46041681468886964</v>
      </c>
      <c r="CQ35" s="484">
        <f t="shared" si="31"/>
        <v>-13.117811639829597</v>
      </c>
      <c r="CR35" s="484">
        <f t="shared" si="32"/>
        <v>-26.009548383399306</v>
      </c>
      <c r="CS35" s="484">
        <f t="shared" si="33"/>
        <v>-39.12251672070488</v>
      </c>
      <c r="CT35" s="484">
        <f t="shared" si="34"/>
        <v>-71.174912758819119</v>
      </c>
      <c r="CU35" s="484">
        <f t="shared" si="35"/>
        <v>-105.49081345548439</v>
      </c>
      <c r="CV35" s="484">
        <f t="shared" si="36"/>
        <v>-142.22662969151861</v>
      </c>
      <c r="CW35" s="484">
        <f t="shared" si="37"/>
        <v>-181.54927422809487</v>
      </c>
      <c r="CX35" s="484">
        <f t="shared" si="38"/>
        <v>-223.63683534806842</v>
      </c>
      <c r="CZ35" s="502">
        <v>8669.6999999999989</v>
      </c>
      <c r="DA35" s="502">
        <v>9614.8350000000009</v>
      </c>
      <c r="DB35" s="502">
        <v>8618.880000000001</v>
      </c>
      <c r="DC35" s="502">
        <v>7891.9299999999994</v>
      </c>
      <c r="DD35" s="502">
        <v>6889.5196687200332</v>
      </c>
      <c r="DE35" s="502">
        <v>7728.3999245986261</v>
      </c>
      <c r="DF35" s="502">
        <v>8873.1659569547883</v>
      </c>
      <c r="DG35" s="502">
        <v>10267.29750304582</v>
      </c>
      <c r="DH35" s="502">
        <v>10819.975682998715</v>
      </c>
      <c r="DI35" s="502">
        <v>11287.870946333958</v>
      </c>
      <c r="DJ35" s="502">
        <v>11779.413170291289</v>
      </c>
      <c r="DK35" s="502">
        <v>12296.492462068436</v>
      </c>
      <c r="DL35" s="502">
        <v>12840.604922950601</v>
      </c>
      <c r="DM35" s="502">
        <v>13413.346712418968</v>
      </c>
      <c r="DN35" s="502">
        <v>14016.421627075226</v>
      </c>
      <c r="DO35" s="502">
        <v>14939.441767174316</v>
      </c>
      <c r="DP35" s="502">
        <v>15928.651829818709</v>
      </c>
      <c r="DQ35" s="502">
        <v>16988.882507653103</v>
      </c>
      <c r="DR35" s="502">
        <v>18125.324180567182</v>
      </c>
      <c r="DS35" s="502">
        <v>19343.554363220293</v>
      </c>
    </row>
    <row r="36" spans="1:123">
      <c r="A36" s="262" t="str">
        <f>Model!B181</f>
        <v>Uitvoer van goederen en diensten door bedrijven</v>
      </c>
      <c r="B36" s="262" t="str">
        <f>Model!C181</f>
        <v>BWN</v>
      </c>
      <c r="C36" s="262">
        <f>Model!D181</f>
        <v>0</v>
      </c>
      <c r="E36" s="262">
        <f>Model!F181</f>
        <v>6.2299999999999994E-2</v>
      </c>
      <c r="F36" s="262">
        <f>Model!G181</f>
        <v>5.7500000000000002E-2</v>
      </c>
      <c r="G36" s="262">
        <f>Model!H181</f>
        <v>6.9500000000000006E-2</v>
      </c>
      <c r="H36" s="262">
        <f>Model!I181</f>
        <v>7.8E-2</v>
      </c>
      <c r="I36" s="262">
        <f>Model!J181</f>
        <v>7.3099998474121089E-2</v>
      </c>
      <c r="J36" s="262">
        <f>Model!K181</f>
        <v>0.09</v>
      </c>
      <c r="K36" s="262">
        <f>Model!L181</f>
        <v>9.8099998474121097E-2</v>
      </c>
      <c r="L36" s="262">
        <f>Model!M181</f>
        <v>9.4400001525878907E-2</v>
      </c>
      <c r="M36" s="262">
        <f>Model!N181</f>
        <v>9.5300003051757814E-2</v>
      </c>
      <c r="N36" s="262">
        <f>Model!O181</f>
        <v>0.1045</v>
      </c>
      <c r="O36" s="262">
        <f>Model!P181</f>
        <v>0.10880000305175781</v>
      </c>
      <c r="P36" s="262">
        <f>Model!Q181</f>
        <v>0.13219999694824219</v>
      </c>
      <c r="Q36" s="262">
        <f>Model!R181</f>
        <v>0.19550000000000001</v>
      </c>
      <c r="R36" s="262">
        <f>Model!S181</f>
        <v>0.22380000305175782</v>
      </c>
      <c r="S36" s="262">
        <f>Model!T181</f>
        <v>0.24519999694824218</v>
      </c>
      <c r="T36" s="262">
        <f>Model!U181</f>
        <v>0.27970001220703122</v>
      </c>
      <c r="U36" s="262">
        <f>Model!V181</f>
        <v>0.29360000610351561</v>
      </c>
      <c r="V36" s="262">
        <f>Model!W181</f>
        <v>0.34010000610351565</v>
      </c>
      <c r="W36" s="262">
        <f>Model!X181</f>
        <v>0.36420001220703124</v>
      </c>
      <c r="X36" s="262">
        <f>Model!Y181</f>
        <v>0.36049999999999999</v>
      </c>
      <c r="Y36" s="262">
        <f>Model!Z181</f>
        <v>0.54340002441406254</v>
      </c>
      <c r="Z36" s="262">
        <f>Model!AA181</f>
        <v>0.57770001220703127</v>
      </c>
      <c r="AA36" s="262">
        <f>Model!AB181</f>
        <v>0.61790002441406255</v>
      </c>
      <c r="AB36" s="262">
        <f>Model!AC181</f>
        <v>0.70720001220703121</v>
      </c>
      <c r="AC36" s="262">
        <f>Model!AD181</f>
        <v>0.81359997558593755</v>
      </c>
      <c r="AD36" s="262">
        <f>Model!AE181</f>
        <v>0.91670001220703123</v>
      </c>
      <c r="AE36" s="262">
        <f>Model!AF181</f>
        <v>1.094199951171875</v>
      </c>
      <c r="AF36" s="262">
        <f>Model!AG181</f>
        <v>1.0097999877929686</v>
      </c>
      <c r="AG36" s="262">
        <f>Model!AH181</f>
        <v>0.90949999999999998</v>
      </c>
      <c r="AH36" s="262">
        <f>Model!AI181</f>
        <v>0.77429998779296871</v>
      </c>
      <c r="AI36" s="262">
        <f>Model!AJ181</f>
        <v>0.7605999755859375</v>
      </c>
      <c r="AJ36" s="262">
        <f>Model!AK181</f>
        <v>0.67140002441406255</v>
      </c>
      <c r="AK36" s="262">
        <f>Model!AL181</f>
        <v>0.63870001220703121</v>
      </c>
      <c r="AL36" s="262">
        <f>Model!AM181</f>
        <v>0.6932000122070312</v>
      </c>
      <c r="AM36" s="262">
        <f>Model!AN181</f>
        <v>0.77120001220703127</v>
      </c>
      <c r="AN36" s="262">
        <f>Model!AO181</f>
        <v>1.0049999999999999</v>
      </c>
      <c r="AO36" s="262">
        <f>Model!AP181</f>
        <v>0.86860000000000004</v>
      </c>
      <c r="AP36" s="262">
        <f>Model!AQ181</f>
        <v>0.6573</v>
      </c>
      <c r="AQ36" s="262">
        <f>Model!AR181</f>
        <v>0.64910000000000001</v>
      </c>
      <c r="AR36" s="262">
        <f>Model!AS181</f>
        <v>14.860100000000001</v>
      </c>
      <c r="AS36" s="262">
        <f>Model!AT181</f>
        <v>75.662499999999994</v>
      </c>
      <c r="AT36" s="262">
        <f>Model!AU181</f>
        <v>229.46979999999999</v>
      </c>
      <c r="AU36" s="262">
        <f>Model!AV181</f>
        <v>194.72927249999998</v>
      </c>
      <c r="AV36" s="262">
        <f>Model!AW181</f>
        <v>197.89350000000002</v>
      </c>
      <c r="AW36" s="262">
        <f>Model!AX181</f>
        <v>169.10169999999999</v>
      </c>
      <c r="AX36" s="262">
        <f>Model!AY181</f>
        <v>446.37928099999999</v>
      </c>
      <c r="AY36" s="262">
        <f>Model!AZ181</f>
        <v>694.58854699999995</v>
      </c>
      <c r="AZ36" s="262">
        <f>Model!BA181</f>
        <v>1081.4074000000001</v>
      </c>
      <c r="BA36" s="262">
        <f>Model!BB181</f>
        <v>948.92817100000013</v>
      </c>
      <c r="BB36" s="262">
        <f>Model!BC181</f>
        <v>1577.6179799999998</v>
      </c>
      <c r="BC36" s="262">
        <f>Model!BD181</f>
        <v>2209.0720000000001</v>
      </c>
      <c r="BD36" s="262">
        <f>Model!BE181</f>
        <v>2721.81</v>
      </c>
      <c r="BE36" s="470">
        <f>Model!BF181</f>
        <v>3222.4375</v>
      </c>
      <c r="BF36" s="470">
        <f>Model!BG181</f>
        <v>4426.3125</v>
      </c>
      <c r="BG36" s="470">
        <f>Model!BH181</f>
        <v>5566.0365000000002</v>
      </c>
      <c r="BH36" s="470">
        <f>Model!BI181</f>
        <v>4812.2250000000004</v>
      </c>
      <c r="BI36" s="470">
        <f>Model!BJ181</f>
        <v>7092.7749999999996</v>
      </c>
      <c r="BJ36" s="470">
        <f>Model!BK181</f>
        <v>9255.35</v>
      </c>
      <c r="BK36" s="470">
        <f>Model!BL181</f>
        <v>9632.9250000000011</v>
      </c>
      <c r="BL36" s="470">
        <f>Model!BM181</f>
        <v>8692.244999999999</v>
      </c>
      <c r="BM36" s="470">
        <f>Model!BN181</f>
        <v>7892.6</v>
      </c>
      <c r="BN36" s="470">
        <f>Model!BO181</f>
        <v>6564.66</v>
      </c>
      <c r="BO36" s="470">
        <f>Model!BP181</f>
        <v>8376.9967090082737</v>
      </c>
      <c r="BP36" s="470">
        <f>Model!BQ181</f>
        <v>10407.497691725664</v>
      </c>
      <c r="BQ36" s="470">
        <f>Model!BR181</f>
        <v>11018.433951166948</v>
      </c>
      <c r="BR36" s="470">
        <f>Model!BS181</f>
        <v>11032.689302980312</v>
      </c>
      <c r="BS36" s="470">
        <f>Model!BT181</f>
        <v>11311.980682930598</v>
      </c>
      <c r="BT36" s="470">
        <f>Model!BU181</f>
        <v>11791.364907209239</v>
      </c>
      <c r="BU36" s="470">
        <f>Model!BV181</f>
        <v>12296.032045253747</v>
      </c>
      <c r="BV36" s="470">
        <f>Model!BW181</f>
        <v>12827.487111310771</v>
      </c>
      <c r="BW36" s="470">
        <f>Model!BX181</f>
        <v>13387.337164035569</v>
      </c>
      <c r="BX36" s="470">
        <f>Model!BY181</f>
        <v>13977.299110354521</v>
      </c>
      <c r="BY36" s="470">
        <f>Model!BZ181</f>
        <v>14868.266854415497</v>
      </c>
      <c r="BZ36" s="470">
        <f>Model!CA181</f>
        <v>15823.161016363225</v>
      </c>
      <c r="CA36" s="470">
        <f>Model!CB181</f>
        <v>16846.655877961584</v>
      </c>
      <c r="CB36" s="470">
        <f>Model!CC181</f>
        <v>17943.774906339087</v>
      </c>
      <c r="CC36" s="470">
        <f>Model!CD181</f>
        <v>19119.917527872225</v>
      </c>
      <c r="CE36" s="484">
        <f t="shared" si="19"/>
        <v>585.65000000000146</v>
      </c>
      <c r="CF36" s="484">
        <f t="shared" si="20"/>
        <v>18.090000000000146</v>
      </c>
      <c r="CG36" s="484">
        <f t="shared" si="21"/>
        <v>73.364999999997963</v>
      </c>
      <c r="CH36" s="484">
        <f t="shared" si="22"/>
        <v>0.67000000000098225</v>
      </c>
      <c r="CI36" s="484">
        <f t="shared" si="23"/>
        <v>-324.85966872003337</v>
      </c>
      <c r="CJ36" s="484">
        <f t="shared" si="24"/>
        <v>648.59678440964763</v>
      </c>
      <c r="CK36" s="484">
        <f t="shared" si="25"/>
        <v>1534.3317347708762</v>
      </c>
      <c r="CL36" s="484">
        <f t="shared" si="26"/>
        <v>751.13644812112761</v>
      </c>
      <c r="CM36" s="484">
        <f t="shared" si="27"/>
        <v>212.71361998159773</v>
      </c>
      <c r="CN36" s="484">
        <f t="shared" si="28"/>
        <v>24.109736596639777</v>
      </c>
      <c r="CO36" s="484">
        <f t="shared" si="29"/>
        <v>11.951736917950257</v>
      </c>
      <c r="CP36" s="484">
        <f t="shared" si="30"/>
        <v>-0.46041681468886964</v>
      </c>
      <c r="CQ36" s="484">
        <f t="shared" si="31"/>
        <v>-13.117811639829597</v>
      </c>
      <c r="CR36" s="484">
        <f t="shared" si="32"/>
        <v>-26.009548383399306</v>
      </c>
      <c r="CS36" s="484">
        <f t="shared" si="33"/>
        <v>-39.12251672070488</v>
      </c>
      <c r="CT36" s="484">
        <f t="shared" si="34"/>
        <v>-71.174912758819119</v>
      </c>
      <c r="CU36" s="484">
        <f t="shared" si="35"/>
        <v>-105.49081345548439</v>
      </c>
      <c r="CV36" s="484">
        <f t="shared" si="36"/>
        <v>-142.22662969151861</v>
      </c>
      <c r="CW36" s="484">
        <f t="shared" si="37"/>
        <v>-181.54927422809487</v>
      </c>
      <c r="CX36" s="484">
        <f t="shared" si="38"/>
        <v>-223.63683534806842</v>
      </c>
      <c r="CZ36" s="502">
        <v>8669.6999999999989</v>
      </c>
      <c r="DA36" s="502">
        <v>9614.8350000000009</v>
      </c>
      <c r="DB36" s="502">
        <v>8618.880000000001</v>
      </c>
      <c r="DC36" s="502">
        <v>7891.9299999999994</v>
      </c>
      <c r="DD36" s="502">
        <v>6889.5196687200332</v>
      </c>
      <c r="DE36" s="502">
        <v>7728.3999245986261</v>
      </c>
      <c r="DF36" s="502">
        <v>8873.1659569547883</v>
      </c>
      <c r="DG36" s="502">
        <v>10267.29750304582</v>
      </c>
      <c r="DH36" s="502">
        <v>10819.975682998715</v>
      </c>
      <c r="DI36" s="502">
        <v>11287.870946333958</v>
      </c>
      <c r="DJ36" s="502">
        <v>11779.413170291289</v>
      </c>
      <c r="DK36" s="502">
        <v>12296.492462068436</v>
      </c>
      <c r="DL36" s="502">
        <v>12840.604922950601</v>
      </c>
      <c r="DM36" s="502">
        <v>13413.346712418968</v>
      </c>
      <c r="DN36" s="502">
        <v>14016.421627075226</v>
      </c>
      <c r="DO36" s="502">
        <v>14939.441767174316</v>
      </c>
      <c r="DP36" s="502">
        <v>15928.651829818709</v>
      </c>
      <c r="DQ36" s="502">
        <v>16988.882507653103</v>
      </c>
      <c r="DR36" s="502">
        <v>18125.324180567182</v>
      </c>
      <c r="DS36" s="502">
        <v>19343.554363220293</v>
      </c>
    </row>
    <row r="37" spans="1:123">
      <c r="A37" s="263" t="s">
        <v>1640</v>
      </c>
      <c r="B37" s="263" t="s">
        <v>1640</v>
      </c>
      <c r="C37" s="263" t="s">
        <v>1640</v>
      </c>
      <c r="E37" s="263">
        <f t="shared" ref="E37:AJ37" si="52">E38+E39+E40</f>
        <v>4.6891992101509052E-2</v>
      </c>
      <c r="F37" s="263">
        <f t="shared" si="52"/>
        <v>4.6599105700411654E-2</v>
      </c>
      <c r="G37" s="263">
        <f t="shared" si="52"/>
        <v>5.7621127935917102E-2</v>
      </c>
      <c r="H37" s="263">
        <f t="shared" si="52"/>
        <v>6.7057378598860809E-2</v>
      </c>
      <c r="I37" s="263">
        <f t="shared" si="52"/>
        <v>6.5921538900122992E-2</v>
      </c>
      <c r="J37" s="263">
        <f t="shared" si="52"/>
        <v>8.0472423797760012E-2</v>
      </c>
      <c r="K37" s="263">
        <f t="shared" si="52"/>
        <v>9.4269621815600765E-2</v>
      </c>
      <c r="L37" s="263">
        <f t="shared" si="52"/>
        <v>9.5098214003140613E-2</v>
      </c>
      <c r="M37" s="263">
        <f t="shared" si="52"/>
        <v>9.7841168339679263E-2</v>
      </c>
      <c r="N37" s="263">
        <f t="shared" si="52"/>
        <v>0.10592734955144636</v>
      </c>
      <c r="O37" s="263">
        <f t="shared" si="52"/>
        <v>0.14325812914731056</v>
      </c>
      <c r="P37" s="263">
        <f t="shared" si="52"/>
        <v>0.16464149548454118</v>
      </c>
      <c r="Q37" s="263">
        <f t="shared" si="52"/>
        <v>0.16400566181475948</v>
      </c>
      <c r="R37" s="263">
        <f t="shared" si="52"/>
        <v>0.18405319514978039</v>
      </c>
      <c r="S37" s="263">
        <f t="shared" si="52"/>
        <v>0.18326017698570968</v>
      </c>
      <c r="T37" s="263">
        <f t="shared" si="52"/>
        <v>0.20348260252152023</v>
      </c>
      <c r="U37" s="263">
        <f t="shared" si="52"/>
        <v>0.21909040695343332</v>
      </c>
      <c r="V37" s="263">
        <f t="shared" si="52"/>
        <v>0.24116303393166888</v>
      </c>
      <c r="W37" s="263">
        <f t="shared" si="52"/>
        <v>0.26508199345212052</v>
      </c>
      <c r="X37" s="263">
        <f t="shared" si="52"/>
        <v>0.29272966673853645</v>
      </c>
      <c r="Y37" s="263">
        <f t="shared" si="52"/>
        <v>0.44962348819756415</v>
      </c>
      <c r="Z37" s="263">
        <f t="shared" si="52"/>
        <v>0.51958727362477075</v>
      </c>
      <c r="AA37" s="263">
        <f t="shared" si="52"/>
        <v>0.53406467112239253</v>
      </c>
      <c r="AB37" s="263">
        <f t="shared" si="52"/>
        <v>0.71895325752166617</v>
      </c>
      <c r="AC37" s="263">
        <f t="shared" si="52"/>
        <v>0.74179422558476626</v>
      </c>
      <c r="AD37" s="263">
        <f t="shared" si="52"/>
        <v>0.77490582512015138</v>
      </c>
      <c r="AE37" s="263">
        <f t="shared" si="52"/>
        <v>1.004700922806838</v>
      </c>
      <c r="AF37" s="263">
        <f t="shared" si="52"/>
        <v>1.0444361222185119</v>
      </c>
      <c r="AG37" s="263">
        <f t="shared" si="52"/>
        <v>1.0054792703479021</v>
      </c>
      <c r="AH37" s="263">
        <f t="shared" si="52"/>
        <v>0.84900961506172146</v>
      </c>
      <c r="AI37" s="263">
        <f t="shared" si="52"/>
        <v>0.75305629145106379</v>
      </c>
      <c r="AJ37" s="263">
        <f t="shared" si="52"/>
        <v>0.65939378343879884</v>
      </c>
      <c r="AK37" s="263">
        <f t="shared" ref="AK37:BO37" si="53">AK38+AK39+AK40</f>
        <v>0.72620874515214018</v>
      </c>
      <c r="AL37" s="263">
        <f t="shared" si="53"/>
        <v>0.95323313709296775</v>
      </c>
      <c r="AM37" s="263">
        <f t="shared" si="53"/>
        <v>1.1827823598866058</v>
      </c>
      <c r="AN37" s="263">
        <f t="shared" si="53"/>
        <v>1.769113142889934</v>
      </c>
      <c r="AO37" s="263">
        <f t="shared" si="53"/>
        <v>2.3081770354326543</v>
      </c>
      <c r="AP37" s="263">
        <f>AP38+AP39+AP40</f>
        <v>3.3147184408554282</v>
      </c>
      <c r="AQ37" s="263">
        <f>AQ38+AQ39+AQ40</f>
        <v>4.4695770637227392</v>
      </c>
      <c r="AR37" s="263">
        <f>AR38+AR39+AR40</f>
        <v>16.379154690473207</v>
      </c>
      <c r="AS37" s="263">
        <f>AS38+AS39+AS40</f>
        <v>75.774281449917353</v>
      </c>
      <c r="AT37" s="263">
        <f t="shared" si="53"/>
        <v>215.41853082893681</v>
      </c>
      <c r="AU37" s="263">
        <f t="shared" si="53"/>
        <v>232.09548249999997</v>
      </c>
      <c r="AV37" s="263">
        <f t="shared" si="53"/>
        <v>224.27929999999998</v>
      </c>
      <c r="AW37" s="263">
        <f t="shared" si="53"/>
        <v>230.09380000000002</v>
      </c>
      <c r="AX37" s="263">
        <f t="shared" si="53"/>
        <v>408.88720499999999</v>
      </c>
      <c r="AY37" s="263">
        <f t="shared" si="53"/>
        <v>599.62475099999995</v>
      </c>
      <c r="AZ37" s="263">
        <f t="shared" si="53"/>
        <v>1028.0341500000002</v>
      </c>
      <c r="BA37" s="263">
        <f t="shared" si="53"/>
        <v>1135.54916</v>
      </c>
      <c r="BB37" s="263">
        <f t="shared" si="53"/>
        <v>1832.7443199999998</v>
      </c>
      <c r="BC37" s="263">
        <f t="shared" si="53"/>
        <v>2023.16</v>
      </c>
      <c r="BD37" s="263">
        <f t="shared" si="53"/>
        <v>2533.44</v>
      </c>
      <c r="BE37" s="469">
        <f t="shared" si="53"/>
        <v>2476.4775</v>
      </c>
      <c r="BF37" s="469">
        <f t="shared" si="53"/>
        <v>3740.6114999999995</v>
      </c>
      <c r="BG37" s="469">
        <f t="shared" si="53"/>
        <v>4979.1555000000008</v>
      </c>
      <c r="BH37" s="469">
        <f t="shared" si="53"/>
        <v>4776.6000000000004</v>
      </c>
      <c r="BI37" s="469">
        <f t="shared" si="53"/>
        <v>5053.8500000000004</v>
      </c>
      <c r="BJ37" s="469">
        <f t="shared" si="53"/>
        <v>7285.2</v>
      </c>
      <c r="BK37" s="469">
        <f t="shared" si="53"/>
        <v>8668.4599999999991</v>
      </c>
      <c r="BL37" s="469">
        <f t="shared" si="53"/>
        <v>9095.92</v>
      </c>
      <c r="BM37" s="469">
        <f t="shared" si="53"/>
        <v>9219.8700000000008</v>
      </c>
      <c r="BN37" s="469">
        <f t="shared" si="53"/>
        <v>9159.7933333333331</v>
      </c>
      <c r="BO37" s="469">
        <f t="shared" ca="1" si="53"/>
        <v>11125.87164009011</v>
      </c>
      <c r="BP37" s="469">
        <f t="shared" ref="BP37:CC37" ca="1" si="54">BP38+BP39+BP40</f>
        <v>12494.076882902929</v>
      </c>
      <c r="BQ37" s="469">
        <f t="shared" ca="1" si="54"/>
        <v>13368.537534053798</v>
      </c>
      <c r="BR37" s="469">
        <f t="shared" ca="1" si="54"/>
        <v>13948.397450146436</v>
      </c>
      <c r="BS37" s="469">
        <f t="shared" ca="1" si="54"/>
        <v>14671.424175029395</v>
      </c>
      <c r="BT37" s="469">
        <f t="shared" ca="1" si="54"/>
        <v>15655.457333201464</v>
      </c>
      <c r="BU37" s="469">
        <f t="shared" ca="1" si="54"/>
        <v>16672.423446051169</v>
      </c>
      <c r="BV37" s="469">
        <f t="shared" ca="1" si="54"/>
        <v>17759.03355063824</v>
      </c>
      <c r="BW37" s="469">
        <f t="shared" ca="1" si="54"/>
        <v>18923.530474246021</v>
      </c>
      <c r="BX37" s="469">
        <f t="shared" ca="1" si="54"/>
        <v>20174.201325866234</v>
      </c>
      <c r="BY37" s="469">
        <f t="shared" ca="1" si="54"/>
        <v>21492.070438852017</v>
      </c>
      <c r="BZ37" s="469">
        <f t="shared" ca="1" si="54"/>
        <v>22928.51090111028</v>
      </c>
      <c r="CA37" s="469">
        <f t="shared" ca="1" si="54"/>
        <v>24472.758187446459</v>
      </c>
      <c r="CB37" s="469">
        <f t="shared" ca="1" si="54"/>
        <v>26135.685605211936</v>
      </c>
      <c r="CC37" s="469">
        <f t="shared" ca="1" si="54"/>
        <v>27929.701032860012</v>
      </c>
      <c r="CE37" s="484">
        <f t="shared" si="19"/>
        <v>0</v>
      </c>
      <c r="CF37" s="484">
        <f t="shared" si="20"/>
        <v>0</v>
      </c>
      <c r="CG37" s="484">
        <f t="shared" si="21"/>
        <v>0</v>
      </c>
      <c r="CH37" s="484">
        <f t="shared" si="22"/>
        <v>0</v>
      </c>
      <c r="CI37" s="484">
        <f t="shared" si="23"/>
        <v>1072.2334508381082</v>
      </c>
      <c r="CJ37" s="484">
        <f t="shared" ca="1" si="24"/>
        <v>2704.4937532097229</v>
      </c>
      <c r="CK37" s="484">
        <f t="shared" ca="1" si="25"/>
        <v>3589.8991951730768</v>
      </c>
      <c r="CL37" s="484">
        <f t="shared" ca="1" si="26"/>
        <v>3726.9455837416972</v>
      </c>
      <c r="CM37" s="484">
        <f t="shared" ca="1" si="27"/>
        <v>3592.5746070128316</v>
      </c>
      <c r="CN37" s="484">
        <f t="shared" ca="1" si="28"/>
        <v>3544.2814206886742</v>
      </c>
      <c r="CO37" s="484">
        <f t="shared" ca="1" si="29"/>
        <v>3716.3250376237065</v>
      </c>
      <c r="CP37" s="484">
        <f t="shared" ca="1" si="30"/>
        <v>3938.9132821518615</v>
      </c>
      <c r="CQ37" s="484">
        <f t="shared" ca="1" si="31"/>
        <v>4186.6984422950954</v>
      </c>
      <c r="CR37" s="484">
        <f t="shared" ca="1" si="32"/>
        <v>4452.6815853547469</v>
      </c>
      <c r="CS37" s="484">
        <f t="shared" ca="1" si="33"/>
        <v>4736.8635511731372</v>
      </c>
      <c r="CT37" s="484">
        <f t="shared" ca="1" si="34"/>
        <v>5038.5705852023057</v>
      </c>
      <c r="CU37" s="484">
        <f t="shared" ca="1" si="35"/>
        <v>5369.3911022034299</v>
      </c>
      <c r="CV37" s="484">
        <f t="shared" ca="1" si="36"/>
        <v>5726.3014473941403</v>
      </c>
      <c r="CW37" s="484">
        <f t="shared" ca="1" si="37"/>
        <v>6109.7136612488612</v>
      </c>
      <c r="CX37" s="484">
        <f t="shared" ca="1" si="38"/>
        <v>6522.5679202584106</v>
      </c>
      <c r="CZ37" s="502">
        <v>7285.2</v>
      </c>
      <c r="DA37" s="502">
        <v>8668.4599999999991</v>
      </c>
      <c r="DB37" s="502">
        <v>9095.92</v>
      </c>
      <c r="DC37" s="502">
        <v>9219.8700000000008</v>
      </c>
      <c r="DD37" s="502">
        <v>8087.5598824952249</v>
      </c>
      <c r="DE37" s="502">
        <v>8421.3778868803875</v>
      </c>
      <c r="DF37" s="502">
        <v>8904.1776877298526</v>
      </c>
      <c r="DG37" s="502">
        <v>9641.5919503121004</v>
      </c>
      <c r="DH37" s="502">
        <v>10355.822843133605</v>
      </c>
      <c r="DI37" s="502">
        <v>11127.142754340721</v>
      </c>
      <c r="DJ37" s="502">
        <v>11939.132295577758</v>
      </c>
      <c r="DK37" s="502">
        <v>12733.510163899307</v>
      </c>
      <c r="DL37" s="502">
        <v>13572.335108343144</v>
      </c>
      <c r="DM37" s="502">
        <v>14470.848888891274</v>
      </c>
      <c r="DN37" s="502">
        <v>15437.337774693096</v>
      </c>
      <c r="DO37" s="502">
        <v>16453.499853649711</v>
      </c>
      <c r="DP37" s="502">
        <v>17559.11979890685</v>
      </c>
      <c r="DQ37" s="502">
        <v>18746.456740052319</v>
      </c>
      <c r="DR37" s="502">
        <v>20025.971943963075</v>
      </c>
      <c r="DS37" s="502">
        <v>21407.133112601601</v>
      </c>
    </row>
    <row r="38" spans="1:123">
      <c r="A38" s="326" t="str">
        <f>Model!B182</f>
        <v>Invoer van goederen en diensten door bedrijven</v>
      </c>
      <c r="B38" s="326" t="str">
        <f>Model!C182</f>
        <v>MBWN</v>
      </c>
      <c r="C38" s="326">
        <f>Model!D182</f>
        <v>0</v>
      </c>
      <c r="E38" s="326">
        <f>Model!F182</f>
        <v>4.5591992101509056E-2</v>
      </c>
      <c r="F38" s="326">
        <f>Model!G182</f>
        <v>4.509910570041166E-2</v>
      </c>
      <c r="G38" s="326">
        <f>Model!H182</f>
        <v>5.51211279359171E-2</v>
      </c>
      <c r="H38" s="326">
        <f>Model!I182</f>
        <v>6.4157378622702668E-2</v>
      </c>
      <c r="I38" s="326">
        <f>Model!J182</f>
        <v>6.2021538804755555E-2</v>
      </c>
      <c r="J38" s="326">
        <f>Model!K182</f>
        <v>7.6972423797760009E-2</v>
      </c>
      <c r="K38" s="326">
        <f>Model!L182</f>
        <v>8.9869621720233328E-2</v>
      </c>
      <c r="L38" s="326">
        <f>Model!M182</f>
        <v>9.0198213907773189E-2</v>
      </c>
      <c r="M38" s="326">
        <f>Model!N182</f>
        <v>9.1841168578097848E-2</v>
      </c>
      <c r="N38" s="326">
        <f>Model!O182</f>
        <v>9.9727349742181226E-2</v>
      </c>
      <c r="O38" s="326">
        <f>Model!P182</f>
        <v>0.13685812905194314</v>
      </c>
      <c r="P38" s="326">
        <f>Model!Q182</f>
        <v>0.15764149560375049</v>
      </c>
      <c r="Q38" s="326">
        <f>Model!R182</f>
        <v>0.15550566205317806</v>
      </c>
      <c r="R38" s="326">
        <f>Model!S182</f>
        <v>0.17415319505441296</v>
      </c>
      <c r="S38" s="326">
        <f>Model!T182</f>
        <v>0.17136017712876081</v>
      </c>
      <c r="T38" s="326">
        <f>Model!U182</f>
        <v>0.18828260271225508</v>
      </c>
      <c r="U38" s="326">
        <f>Model!V182</f>
        <v>0.19929040652427987</v>
      </c>
      <c r="V38" s="326">
        <f>Model!W182</f>
        <v>0.21966303440850604</v>
      </c>
      <c r="W38" s="326">
        <f>Model!X182</f>
        <v>0.23798199402432513</v>
      </c>
      <c r="X38" s="326">
        <f>Model!Y182</f>
        <v>0.25892966607096446</v>
      </c>
      <c r="Y38" s="326">
        <f>Model!Z182</f>
        <v>0.39562348962807559</v>
      </c>
      <c r="Z38" s="326">
        <f>Model!AA182</f>
        <v>0.44778727534138452</v>
      </c>
      <c r="AA38" s="326">
        <f>Model!AB182</f>
        <v>0.48746467074092281</v>
      </c>
      <c r="AB38" s="326">
        <f>Model!AC182</f>
        <v>0.65685325714019638</v>
      </c>
      <c r="AC38" s="326">
        <f>Model!AD182</f>
        <v>0.68519422520329654</v>
      </c>
      <c r="AD38" s="326">
        <f>Model!AE182</f>
        <v>0.69940582321280276</v>
      </c>
      <c r="AE38" s="326">
        <f>Model!AF182</f>
        <v>0.91800092204389849</v>
      </c>
      <c r="AF38" s="326">
        <f>Model!AG182</f>
        <v>0.96983612183704226</v>
      </c>
      <c r="AG38" s="326">
        <f>Model!AH182</f>
        <v>0.91487926805908371</v>
      </c>
      <c r="AH38" s="326">
        <f>Model!AI182</f>
        <v>0.76380961620613064</v>
      </c>
      <c r="AI38" s="326">
        <f>Model!AJ182</f>
        <v>0.70745629106959407</v>
      </c>
      <c r="AJ38" s="326">
        <f>Model!AK182</f>
        <v>0.61709378420173833</v>
      </c>
      <c r="AK38" s="326">
        <f>Model!AL182</f>
        <v>0.68880874553360982</v>
      </c>
      <c r="AL38" s="326">
        <f>Model!AM182</f>
        <v>0.91923313804664208</v>
      </c>
      <c r="AM38" s="326">
        <f>Model!AN182</f>
        <v>1.146782359886606</v>
      </c>
      <c r="AN38" s="326">
        <f>Model!AO182</f>
        <v>1.7255131425084642</v>
      </c>
      <c r="AO38" s="326">
        <f>Model!AP182</f>
        <v>2.2603770354326542</v>
      </c>
      <c r="AP38" s="326">
        <f>Model!AQ182</f>
        <v>3.2587184408554282</v>
      </c>
      <c r="AQ38" s="326">
        <f>Model!AR182</f>
        <v>4.4267770637227386</v>
      </c>
      <c r="AR38" s="326">
        <f>Model!AS182</f>
        <v>15.962454690473205</v>
      </c>
      <c r="AS38" s="326">
        <f>Model!AT182</f>
        <v>72.005281449917362</v>
      </c>
      <c r="AT38" s="326">
        <f>Model!AU182</f>
        <v>206.9243308289368</v>
      </c>
      <c r="AU38" s="326">
        <f>Model!AV182</f>
        <v>218.62440249999997</v>
      </c>
      <c r="AV38" s="326">
        <f>Model!AW182</f>
        <v>212.00869999999998</v>
      </c>
      <c r="AW38" s="326">
        <f>Model!AX182</f>
        <v>216.66030000000001</v>
      </c>
      <c r="AX38" s="326">
        <f>Model!AY182</f>
        <v>384.80972499999996</v>
      </c>
      <c r="AY38" s="326">
        <f>Model!AZ182</f>
        <v>517.92405499999995</v>
      </c>
      <c r="AZ38" s="326">
        <f>Model!BA182</f>
        <v>954.4008500000001</v>
      </c>
      <c r="BA38" s="326">
        <f>Model!BB182</f>
        <v>1080.6332580000001</v>
      </c>
      <c r="BB38" s="326">
        <f>Model!BC182</f>
        <v>1795.5167009999998</v>
      </c>
      <c r="BC38" s="326">
        <f>Model!BD182</f>
        <v>1928.837</v>
      </c>
      <c r="BD38" s="326">
        <f>Model!BE182</f>
        <v>2452.9049999999997</v>
      </c>
      <c r="BE38" s="470">
        <f>Model!BF182</f>
        <v>2375.8277499999999</v>
      </c>
      <c r="BF38" s="470">
        <f>Model!BG182</f>
        <v>3740.6114999999995</v>
      </c>
      <c r="BG38" s="470">
        <f>Model!BH182</f>
        <v>4979.1555000000008</v>
      </c>
      <c r="BH38" s="470">
        <f>Model!BI182</f>
        <v>4776.6000000000004</v>
      </c>
      <c r="BI38" s="470">
        <f>Model!BJ182</f>
        <v>5053.8500000000004</v>
      </c>
      <c r="BJ38" s="470">
        <f>Model!BK182</f>
        <v>7285.2</v>
      </c>
      <c r="BK38" s="470">
        <f>Model!BL182</f>
        <v>8668.4599999999991</v>
      </c>
      <c r="BL38" s="470">
        <f>Model!BM182</f>
        <v>9095.92</v>
      </c>
      <c r="BM38" s="470">
        <f>Model!BN182</f>
        <v>9219.8700000000008</v>
      </c>
      <c r="BN38" s="470">
        <f>Model!BO182</f>
        <v>9159.7933333333331</v>
      </c>
      <c r="BO38" s="470">
        <f ca="1">Model!BP182</f>
        <v>11125.871640090114</v>
      </c>
      <c r="BP38" s="470">
        <f ca="1">Model!BQ182</f>
        <v>12494.076882902937</v>
      </c>
      <c r="BQ38" s="470">
        <f ca="1">Model!BR182</f>
        <v>13368.537534053808</v>
      </c>
      <c r="BR38" s="470">
        <f ca="1">Model!BS182</f>
        <v>13948.397450146445</v>
      </c>
      <c r="BS38" s="470">
        <f ca="1">Model!BT182</f>
        <v>14671.424175029408</v>
      </c>
      <c r="BT38" s="470">
        <f ca="1">Model!BU182</f>
        <v>15655.457333201482</v>
      </c>
      <c r="BU38" s="470">
        <f ca="1">Model!BV182</f>
        <v>16672.423446051183</v>
      </c>
      <c r="BV38" s="470">
        <f ca="1">Model!BW182</f>
        <v>17759.033550638251</v>
      </c>
      <c r="BW38" s="470">
        <f ca="1">Model!BX182</f>
        <v>18923.530474246036</v>
      </c>
      <c r="BX38" s="470">
        <f ca="1">Model!BY182</f>
        <v>20174.201325866259</v>
      </c>
      <c r="BY38" s="470">
        <f ca="1">Model!BZ182</f>
        <v>21492.070438852068</v>
      </c>
      <c r="BZ38" s="470">
        <f ca="1">Model!CA182</f>
        <v>22928.51090111037</v>
      </c>
      <c r="CA38" s="470">
        <f ca="1">Model!CB182</f>
        <v>24472.758187446594</v>
      </c>
      <c r="CB38" s="470">
        <f ca="1">Model!CC182</f>
        <v>26135.685605212158</v>
      </c>
      <c r="CC38" s="470">
        <f ca="1">Model!CD182</f>
        <v>27929.70103286035</v>
      </c>
      <c r="CE38" s="484">
        <f t="shared" si="19"/>
        <v>0</v>
      </c>
      <c r="CF38" s="484">
        <f t="shared" si="20"/>
        <v>0</v>
      </c>
      <c r="CG38" s="484">
        <f t="shared" si="21"/>
        <v>0</v>
      </c>
      <c r="CH38" s="484">
        <f t="shared" si="22"/>
        <v>0</v>
      </c>
      <c r="CI38" s="484">
        <f t="shared" si="23"/>
        <v>1072.2334508381064</v>
      </c>
      <c r="CJ38" s="484">
        <f t="shared" ca="1" si="24"/>
        <v>2704.4937532097247</v>
      </c>
      <c r="CK38" s="484">
        <f t="shared" ca="1" si="25"/>
        <v>3589.8991951730823</v>
      </c>
      <c r="CL38" s="484">
        <f t="shared" ca="1" si="26"/>
        <v>3726.9455837417063</v>
      </c>
      <c r="CM38" s="484">
        <f t="shared" ca="1" si="27"/>
        <v>3592.5746070128444</v>
      </c>
      <c r="CN38" s="484">
        <f t="shared" ca="1" si="28"/>
        <v>3544.2814206886906</v>
      </c>
      <c r="CO38" s="484">
        <f t="shared" ca="1" si="29"/>
        <v>3716.3250376237338</v>
      </c>
      <c r="CP38" s="484">
        <f t="shared" ca="1" si="30"/>
        <v>3938.9132821518961</v>
      </c>
      <c r="CQ38" s="484">
        <f t="shared" ca="1" si="31"/>
        <v>4186.6984422951336</v>
      </c>
      <c r="CR38" s="484">
        <f t="shared" ca="1" si="32"/>
        <v>4452.6815853547996</v>
      </c>
      <c r="CS38" s="484">
        <f t="shared" ca="1" si="33"/>
        <v>4736.8635511732118</v>
      </c>
      <c r="CT38" s="484">
        <f t="shared" ca="1" si="34"/>
        <v>5038.5705852024148</v>
      </c>
      <c r="CU38" s="484">
        <f t="shared" ca="1" si="35"/>
        <v>5369.3911022035754</v>
      </c>
      <c r="CV38" s="484">
        <f t="shared" ca="1" si="36"/>
        <v>5726.3014473942931</v>
      </c>
      <c r="CW38" s="484">
        <f t="shared" ca="1" si="37"/>
        <v>6109.7136612490322</v>
      </c>
      <c r="CX38" s="484">
        <f t="shared" ca="1" si="38"/>
        <v>6522.5679202585961</v>
      </c>
      <c r="CZ38" s="502">
        <v>7285.2</v>
      </c>
      <c r="DA38" s="502">
        <v>8668.4599999999991</v>
      </c>
      <c r="DB38" s="502">
        <v>9095.92</v>
      </c>
      <c r="DC38" s="502">
        <v>9219.8700000000008</v>
      </c>
      <c r="DD38" s="502">
        <v>8087.5598824952267</v>
      </c>
      <c r="DE38" s="502">
        <v>8421.3778868803893</v>
      </c>
      <c r="DF38" s="502">
        <v>8904.1776877298544</v>
      </c>
      <c r="DG38" s="502">
        <v>9641.5919503121022</v>
      </c>
      <c r="DH38" s="502">
        <v>10355.822843133601</v>
      </c>
      <c r="DI38" s="502">
        <v>11127.142754340717</v>
      </c>
      <c r="DJ38" s="502">
        <v>11939.132295577749</v>
      </c>
      <c r="DK38" s="502">
        <v>12733.510163899287</v>
      </c>
      <c r="DL38" s="502">
        <v>13572.335108343117</v>
      </c>
      <c r="DM38" s="502">
        <v>14470.848888891236</v>
      </c>
      <c r="DN38" s="502">
        <v>15437.337774693047</v>
      </c>
      <c r="DO38" s="502">
        <v>16453.499853649653</v>
      </c>
      <c r="DP38" s="502">
        <v>17559.119798906795</v>
      </c>
      <c r="DQ38" s="502">
        <v>18746.456740052301</v>
      </c>
      <c r="DR38" s="502">
        <v>20025.971943963126</v>
      </c>
      <c r="DS38" s="502">
        <v>21407.133112601754</v>
      </c>
    </row>
    <row r="39" spans="1:123">
      <c r="A39" s="326" t="str">
        <f>Model!B183</f>
        <v>Invoer van goederen en diensten door gezinnen</v>
      </c>
      <c r="B39" s="326" t="str">
        <f>Model!C183</f>
        <v>MGWN</v>
      </c>
      <c r="C39" s="326">
        <f>Model!D183</f>
        <v>0</v>
      </c>
      <c r="E39" s="326">
        <f>Model!F183</f>
        <v>8.9999999999999998E-4</v>
      </c>
      <c r="F39" s="326">
        <f>Model!G183</f>
        <v>1.1000000000000001E-3</v>
      </c>
      <c r="G39" s="326">
        <f>Model!H183</f>
        <v>1.5E-3</v>
      </c>
      <c r="H39" s="326">
        <f>Model!I183</f>
        <v>1.7999999523162843E-3</v>
      </c>
      <c r="I39" s="326">
        <f>Model!J183</f>
        <v>2.9000000953674316E-3</v>
      </c>
      <c r="J39" s="326">
        <f>Model!K183</f>
        <v>2.5000000000000001E-3</v>
      </c>
      <c r="K39" s="326">
        <f>Model!L183</f>
        <v>2.9000000953674316E-3</v>
      </c>
      <c r="L39" s="326">
        <f>Model!M183</f>
        <v>3.2000000476837156E-3</v>
      </c>
      <c r="M39" s="326">
        <f>Model!N183</f>
        <v>4.1999998092651369E-3</v>
      </c>
      <c r="N39" s="326">
        <f>Model!O183</f>
        <v>4.1999998092651369E-3</v>
      </c>
      <c r="O39" s="326">
        <f>Model!P183</f>
        <v>4.9000000953674317E-3</v>
      </c>
      <c r="P39" s="326">
        <f>Model!Q183</f>
        <v>5.5999999046325681E-3</v>
      </c>
      <c r="Q39" s="326">
        <f>Model!R183</f>
        <v>6.6999998092651366E-3</v>
      </c>
      <c r="R39" s="326">
        <f>Model!S183</f>
        <v>7.4000000953674313E-3</v>
      </c>
      <c r="S39" s="326">
        <f>Model!T183</f>
        <v>8.6999998092651375E-3</v>
      </c>
      <c r="T39" s="326">
        <f>Model!U183</f>
        <v>1.0999999999999999E-2</v>
      </c>
      <c r="U39" s="326">
        <f>Model!V183</f>
        <v>1.6100000381469727E-2</v>
      </c>
      <c r="V39" s="326">
        <f>Model!W183</f>
        <v>1.7399999618530275E-2</v>
      </c>
      <c r="W39" s="326">
        <f>Model!X183</f>
        <v>2.1799999237060545E-2</v>
      </c>
      <c r="X39" s="326">
        <f>Model!Y183</f>
        <v>2.9200000762939451E-2</v>
      </c>
      <c r="Y39" s="326">
        <f>Model!Z183</f>
        <v>4.8599998474121095E-2</v>
      </c>
      <c r="Z39" s="326">
        <f>Model!AA183</f>
        <v>6.1099998474121092E-2</v>
      </c>
      <c r="AA39" s="326">
        <f>Model!AB183</f>
        <v>2.9000000000000001E-2</v>
      </c>
      <c r="AB39" s="326">
        <f>Model!AC183</f>
        <v>3.4000000000000002E-2</v>
      </c>
      <c r="AC39" s="326">
        <f>Model!AD183</f>
        <v>4.1000000000000002E-2</v>
      </c>
      <c r="AD39" s="326">
        <f>Model!AE183</f>
        <v>5.6900001525878909E-2</v>
      </c>
      <c r="AE39" s="326">
        <f>Model!AF183</f>
        <v>5.9900001525878904E-2</v>
      </c>
      <c r="AF39" s="326">
        <f>Model!AG183</f>
        <v>5.1499999999999997E-2</v>
      </c>
      <c r="AG39" s="326">
        <f>Model!AH183</f>
        <v>6.3400001525878907E-2</v>
      </c>
      <c r="AH39" s="326">
        <f>Model!AI183</f>
        <v>6.1599998474121093E-2</v>
      </c>
      <c r="AI39" s="326">
        <f>Model!AJ183</f>
        <v>2.9700000762939452E-2</v>
      </c>
      <c r="AJ39" s="326">
        <f>Model!AK183</f>
        <v>2.4E-2</v>
      </c>
      <c r="AK39" s="326">
        <f>Model!AL183</f>
        <v>2.1100000381469728E-2</v>
      </c>
      <c r="AL39" s="326">
        <f>Model!AM183</f>
        <v>1.4699999809265136E-2</v>
      </c>
      <c r="AM39" s="326">
        <f>Model!AN183</f>
        <v>1.7000000000000001E-2</v>
      </c>
      <c r="AN39" s="326">
        <f>Model!AO183</f>
        <v>1.7899999618530272E-2</v>
      </c>
      <c r="AO39" s="326">
        <f>Model!AP183</f>
        <v>2.1899999999999999E-2</v>
      </c>
      <c r="AP39" s="326">
        <f>Model!AQ183</f>
        <v>2.9000000000000001E-2</v>
      </c>
      <c r="AQ39" s="326">
        <f>Model!AR183</f>
        <v>2.0500000000000001E-2</v>
      </c>
      <c r="AR39" s="326">
        <f>Model!AS183</f>
        <v>0.11550000000000001</v>
      </c>
      <c r="AS39" s="326">
        <f>Model!AT183</f>
        <v>0.62960000000000005</v>
      </c>
      <c r="AT39" s="326">
        <f>Model!AU183</f>
        <v>1.5205</v>
      </c>
      <c r="AU39" s="326">
        <f>Model!AV183</f>
        <v>3.0871225</v>
      </c>
      <c r="AV39" s="326">
        <f>Model!AW183</f>
        <v>4.4511000000000003</v>
      </c>
      <c r="AW39" s="326">
        <f>Model!AX183</f>
        <v>4.3308000000000009</v>
      </c>
      <c r="AX39" s="326">
        <f>Model!AY183</f>
        <v>11.092839</v>
      </c>
      <c r="AY39" s="326">
        <f>Model!AZ183</f>
        <v>30.372498999999994</v>
      </c>
      <c r="AZ39" s="326">
        <f>Model!BA183</f>
        <v>50.976900000000001</v>
      </c>
      <c r="BA39" s="326">
        <f>Model!BB183</f>
        <v>23.036755500000002</v>
      </c>
      <c r="BB39" s="326">
        <f>Model!BC183</f>
        <v>14.578647999999998</v>
      </c>
      <c r="BC39" s="326">
        <f>Model!BD183</f>
        <v>39.369599999999998</v>
      </c>
      <c r="BD39" s="326">
        <f>Model!BE183</f>
        <v>46.136999999999993</v>
      </c>
      <c r="BE39" s="470">
        <f>Model!BF183</f>
        <v>50.187750000000008</v>
      </c>
      <c r="BF39" s="470">
        <f>Model!BG183</f>
        <v>0</v>
      </c>
      <c r="BG39" s="470">
        <f>Model!BH183</f>
        <v>0</v>
      </c>
      <c r="BH39" s="470">
        <f>Model!BI183</f>
        <v>0</v>
      </c>
      <c r="BI39" s="470">
        <f>Model!BJ183</f>
        <v>0</v>
      </c>
      <c r="BJ39" s="470">
        <f>Model!BK183</f>
        <v>0</v>
      </c>
      <c r="BK39" s="470">
        <f>Model!BL183</f>
        <v>0</v>
      </c>
      <c r="BL39" s="470">
        <f>Model!BM183</f>
        <v>0</v>
      </c>
      <c r="BM39" s="470">
        <f>Model!BN183</f>
        <v>0</v>
      </c>
      <c r="BN39" s="470">
        <f>Model!BO183</f>
        <v>0</v>
      </c>
      <c r="BO39" s="470">
        <f ca="1">Model!BP183</f>
        <v>0</v>
      </c>
      <c r="BP39" s="470">
        <f ca="1">Model!BQ183</f>
        <v>0</v>
      </c>
      <c r="BQ39" s="470">
        <f ca="1">Model!BR183</f>
        <v>0</v>
      </c>
      <c r="BR39" s="470">
        <f ca="1">Model!BS183</f>
        <v>0</v>
      </c>
      <c r="BS39" s="470">
        <f ca="1">Model!BT183</f>
        <v>0</v>
      </c>
      <c r="BT39" s="470">
        <f ca="1">Model!BU183</f>
        <v>0</v>
      </c>
      <c r="BU39" s="470">
        <f ca="1">Model!BV183</f>
        <v>0</v>
      </c>
      <c r="BV39" s="470">
        <f ca="1">Model!BW183</f>
        <v>0</v>
      </c>
      <c r="BW39" s="470">
        <f ca="1">Model!BX183</f>
        <v>0</v>
      </c>
      <c r="BX39" s="470">
        <f ca="1">Model!BY183</f>
        <v>0</v>
      </c>
      <c r="BY39" s="470">
        <f ca="1">Model!BZ183</f>
        <v>0</v>
      </c>
      <c r="BZ39" s="470">
        <f ca="1">Model!CA183</f>
        <v>0</v>
      </c>
      <c r="CA39" s="470">
        <f ca="1">Model!CB183</f>
        <v>0</v>
      </c>
      <c r="CB39" s="470">
        <f ca="1">Model!CC183</f>
        <v>0</v>
      </c>
      <c r="CC39" s="470">
        <f ca="1">Model!CD183</f>
        <v>0</v>
      </c>
      <c r="CE39" s="484">
        <f t="shared" si="19"/>
        <v>0</v>
      </c>
      <c r="CF39" s="484">
        <f t="shared" si="20"/>
        <v>0</v>
      </c>
      <c r="CG39" s="484">
        <f t="shared" si="21"/>
        <v>0</v>
      </c>
      <c r="CH39" s="484">
        <f t="shared" si="22"/>
        <v>0</v>
      </c>
      <c r="CI39" s="484">
        <f t="shared" si="23"/>
        <v>0</v>
      </c>
      <c r="CJ39" s="484">
        <f t="shared" ca="1" si="24"/>
        <v>0</v>
      </c>
      <c r="CK39" s="484">
        <f t="shared" ca="1" si="25"/>
        <v>0</v>
      </c>
      <c r="CL39" s="484">
        <f t="shared" ca="1" si="26"/>
        <v>0</v>
      </c>
      <c r="CM39" s="484">
        <f t="shared" ca="1" si="27"/>
        <v>0</v>
      </c>
      <c r="CN39" s="484">
        <f t="shared" ca="1" si="28"/>
        <v>0</v>
      </c>
      <c r="CO39" s="484">
        <f t="shared" ca="1" si="29"/>
        <v>0</v>
      </c>
      <c r="CP39" s="484">
        <f t="shared" ca="1" si="30"/>
        <v>0</v>
      </c>
      <c r="CQ39" s="484">
        <f t="shared" ca="1" si="31"/>
        <v>0</v>
      </c>
      <c r="CR39" s="484">
        <f t="shared" ca="1" si="32"/>
        <v>0</v>
      </c>
      <c r="CS39" s="484">
        <f t="shared" ca="1" si="33"/>
        <v>0</v>
      </c>
      <c r="CT39" s="484">
        <f t="shared" ca="1" si="34"/>
        <v>0</v>
      </c>
      <c r="CU39" s="484">
        <f t="shared" ca="1" si="35"/>
        <v>0</v>
      </c>
      <c r="CV39" s="484">
        <f t="shared" ca="1" si="36"/>
        <v>0</v>
      </c>
      <c r="CW39" s="484">
        <f t="shared" ca="1" si="37"/>
        <v>0</v>
      </c>
      <c r="CX39" s="484">
        <f t="shared" ca="1" si="38"/>
        <v>0</v>
      </c>
      <c r="CZ39" s="502">
        <v>0</v>
      </c>
      <c r="DA39" s="502">
        <v>0</v>
      </c>
      <c r="DB39" s="502">
        <v>0</v>
      </c>
      <c r="DC39" s="502">
        <v>0</v>
      </c>
      <c r="DD39" s="502">
        <v>0</v>
      </c>
      <c r="DE39" s="502">
        <v>0</v>
      </c>
      <c r="DF39" s="502">
        <v>0</v>
      </c>
      <c r="DG39" s="502">
        <v>0</v>
      </c>
      <c r="DH39" s="502">
        <v>0</v>
      </c>
      <c r="DI39" s="502">
        <v>0</v>
      </c>
      <c r="DJ39" s="502">
        <v>0</v>
      </c>
      <c r="DK39" s="502">
        <v>0</v>
      </c>
      <c r="DL39" s="502">
        <v>0</v>
      </c>
      <c r="DM39" s="502">
        <v>0</v>
      </c>
      <c r="DN39" s="502">
        <v>0</v>
      </c>
      <c r="DO39" s="502">
        <v>0</v>
      </c>
      <c r="DP39" s="502">
        <v>0</v>
      </c>
      <c r="DQ39" s="502">
        <v>0</v>
      </c>
      <c r="DR39" s="502">
        <v>0</v>
      </c>
      <c r="DS39" s="502">
        <v>0</v>
      </c>
    </row>
    <row r="40" spans="1:123">
      <c r="A40" s="326" t="str">
        <f>Model!B184</f>
        <v>Invoer van goederen en diensten door overheid</v>
      </c>
      <c r="B40" s="326" t="str">
        <f>Model!C184</f>
        <v>MOWN</v>
      </c>
      <c r="C40" s="326">
        <f>Model!D184</f>
        <v>0</v>
      </c>
      <c r="E40" s="326">
        <f>Model!F184</f>
        <v>4.0000000000000002E-4</v>
      </c>
      <c r="F40" s="326">
        <f>Model!G184</f>
        <v>4.0000000000000002E-4</v>
      </c>
      <c r="G40" s="326">
        <f>Model!H184</f>
        <v>1E-3</v>
      </c>
      <c r="H40" s="326">
        <f>Model!I184</f>
        <v>1.1000000238418578E-3</v>
      </c>
      <c r="I40" s="326">
        <f>Model!J184</f>
        <v>1E-3</v>
      </c>
      <c r="J40" s="326">
        <f>Model!K184</f>
        <v>1E-3</v>
      </c>
      <c r="K40" s="326">
        <f>Model!L184</f>
        <v>1.5E-3</v>
      </c>
      <c r="L40" s="326">
        <f>Model!M184</f>
        <v>1.7000000476837158E-3</v>
      </c>
      <c r="M40" s="326">
        <f>Model!N184</f>
        <v>1.7999999523162843E-3</v>
      </c>
      <c r="N40" s="326">
        <f>Model!O184</f>
        <v>2E-3</v>
      </c>
      <c r="O40" s="326">
        <f>Model!P184</f>
        <v>1.5E-3</v>
      </c>
      <c r="P40" s="326">
        <f>Model!Q184</f>
        <v>1.399999976158142E-3</v>
      </c>
      <c r="Q40" s="326">
        <f>Model!R184</f>
        <v>1.7999999523162843E-3</v>
      </c>
      <c r="R40" s="326">
        <f>Model!S184</f>
        <v>2.5000000000000001E-3</v>
      </c>
      <c r="S40" s="326">
        <f>Model!T184</f>
        <v>3.2000000476837156E-3</v>
      </c>
      <c r="T40" s="326">
        <f>Model!U184</f>
        <v>4.1999998092651369E-3</v>
      </c>
      <c r="U40" s="326">
        <f>Model!V184</f>
        <v>3.7000000476837156E-3</v>
      </c>
      <c r="V40" s="326">
        <f>Model!W184</f>
        <v>4.0999999046325685E-3</v>
      </c>
      <c r="W40" s="326">
        <f>Model!X184</f>
        <v>5.3000001907348637E-3</v>
      </c>
      <c r="X40" s="326">
        <f>Model!Y184</f>
        <v>4.5999999046325681E-3</v>
      </c>
      <c r="Y40" s="326">
        <f>Model!Z184</f>
        <v>5.4000000953674313E-3</v>
      </c>
      <c r="Z40" s="326">
        <f>Model!AA184</f>
        <v>1.0699999809265138E-2</v>
      </c>
      <c r="AA40" s="326">
        <f>Model!AB184</f>
        <v>1.7600000381469725E-2</v>
      </c>
      <c r="AB40" s="326">
        <f>Model!AC184</f>
        <v>2.8100000381469727E-2</v>
      </c>
      <c r="AC40" s="326">
        <f>Model!AD184</f>
        <v>1.5600000381469727E-2</v>
      </c>
      <c r="AD40" s="326">
        <f>Model!AE184</f>
        <v>1.8600000381469726E-2</v>
      </c>
      <c r="AE40" s="326">
        <f>Model!AF184</f>
        <v>2.6799999237060546E-2</v>
      </c>
      <c r="AF40" s="326">
        <f>Model!AG184</f>
        <v>2.3100000381469726E-2</v>
      </c>
      <c r="AG40" s="326">
        <f>Model!AH184</f>
        <v>2.7200000762939453E-2</v>
      </c>
      <c r="AH40" s="326">
        <f>Model!AI184</f>
        <v>2.3600000381469727E-2</v>
      </c>
      <c r="AI40" s="326">
        <f>Model!AJ184</f>
        <v>1.5899999618530274E-2</v>
      </c>
      <c r="AJ40" s="326">
        <f>Model!AK184</f>
        <v>1.8299999237060546E-2</v>
      </c>
      <c r="AK40" s="326">
        <f>Model!AL184</f>
        <v>1.6299999237060547E-2</v>
      </c>
      <c r="AL40" s="326">
        <f>Model!AM184</f>
        <v>1.9299999237060547E-2</v>
      </c>
      <c r="AM40" s="326">
        <f>Model!AN184</f>
        <v>1.9E-2</v>
      </c>
      <c r="AN40" s="326">
        <f>Model!AO184</f>
        <v>2.5700000762939452E-2</v>
      </c>
      <c r="AO40" s="326">
        <f>Model!AP184</f>
        <v>2.5899999999999999E-2</v>
      </c>
      <c r="AP40" s="326">
        <f>Model!AQ184</f>
        <v>2.7E-2</v>
      </c>
      <c r="AQ40" s="326">
        <f>Model!AR184</f>
        <v>2.23E-2</v>
      </c>
      <c r="AR40" s="326">
        <f>Model!AS184</f>
        <v>0.30119999999999997</v>
      </c>
      <c r="AS40" s="326">
        <f>Model!AT184</f>
        <v>3.1394000000000002</v>
      </c>
      <c r="AT40" s="326">
        <f>Model!AU184</f>
        <v>6.9737</v>
      </c>
      <c r="AU40" s="326">
        <f>Model!AV184</f>
        <v>10.383957499999999</v>
      </c>
      <c r="AV40" s="326">
        <f>Model!AW184</f>
        <v>7.8195000000000006</v>
      </c>
      <c r="AW40" s="326">
        <f>Model!AX184</f>
        <v>9.1027000000000005</v>
      </c>
      <c r="AX40" s="326">
        <f>Model!AY184</f>
        <v>12.984640999999998</v>
      </c>
      <c r="AY40" s="326">
        <f>Model!AZ184</f>
        <v>51.328196999999996</v>
      </c>
      <c r="AZ40" s="326">
        <f>Model!BA184</f>
        <v>22.656400000000001</v>
      </c>
      <c r="BA40" s="326">
        <f>Model!BB184</f>
        <v>31.879146500000001</v>
      </c>
      <c r="BB40" s="326">
        <f>Model!BC184</f>
        <v>22.648970999999996</v>
      </c>
      <c r="BC40" s="326">
        <f>Model!BD184</f>
        <v>54.953400000000002</v>
      </c>
      <c r="BD40" s="326">
        <f>Model!BE184</f>
        <v>34.397999999999996</v>
      </c>
      <c r="BE40" s="470">
        <f>Model!BF184</f>
        <v>50.461999999999996</v>
      </c>
      <c r="BF40" s="470">
        <f>Model!BG184</f>
        <v>0</v>
      </c>
      <c r="BG40" s="470">
        <f>Model!BH184</f>
        <v>0</v>
      </c>
      <c r="BH40" s="470">
        <f>Model!BI184</f>
        <v>0</v>
      </c>
      <c r="BI40" s="470">
        <f>Model!BJ184</f>
        <v>0</v>
      </c>
      <c r="BJ40" s="470">
        <f>Model!BK184</f>
        <v>0</v>
      </c>
      <c r="BK40" s="470">
        <f>Model!BL184</f>
        <v>0</v>
      </c>
      <c r="BL40" s="470">
        <f>Model!BM184</f>
        <v>0</v>
      </c>
      <c r="BM40" s="470">
        <f>Model!BN184</f>
        <v>0</v>
      </c>
      <c r="BN40" s="470">
        <f>Model!BO184</f>
        <v>0</v>
      </c>
      <c r="BO40" s="470">
        <f ca="1">Model!BP184</f>
        <v>0</v>
      </c>
      <c r="BP40" s="470">
        <f ca="1">Model!BQ184</f>
        <v>0</v>
      </c>
      <c r="BQ40" s="470">
        <f ca="1">Model!BR184</f>
        <v>0</v>
      </c>
      <c r="BR40" s="470">
        <f ca="1">Model!BS184</f>
        <v>0</v>
      </c>
      <c r="BS40" s="470">
        <f ca="1">Model!BT184</f>
        <v>0</v>
      </c>
      <c r="BT40" s="470">
        <f ca="1">Model!BU184</f>
        <v>0</v>
      </c>
      <c r="BU40" s="470">
        <f ca="1">Model!BV184</f>
        <v>0</v>
      </c>
      <c r="BV40" s="470">
        <f ca="1">Model!BW184</f>
        <v>0</v>
      </c>
      <c r="BW40" s="470">
        <f ca="1">Model!BX184</f>
        <v>0</v>
      </c>
      <c r="BX40" s="470">
        <f ca="1">Model!BY184</f>
        <v>0</v>
      </c>
      <c r="BY40" s="470">
        <f ca="1">Model!BZ184</f>
        <v>0</v>
      </c>
      <c r="BZ40" s="470">
        <f ca="1">Model!CA184</f>
        <v>0</v>
      </c>
      <c r="CA40" s="470">
        <f ca="1">Model!CB184</f>
        <v>0</v>
      </c>
      <c r="CB40" s="470">
        <f ca="1">Model!CC184</f>
        <v>0</v>
      </c>
      <c r="CC40" s="470">
        <f ca="1">Model!CD184</f>
        <v>0</v>
      </c>
      <c r="CE40" s="484">
        <f t="shared" si="19"/>
        <v>0</v>
      </c>
      <c r="CF40" s="484">
        <f t="shared" si="20"/>
        <v>0</v>
      </c>
      <c r="CG40" s="484">
        <f t="shared" si="21"/>
        <v>0</v>
      </c>
      <c r="CH40" s="484">
        <f t="shared" si="22"/>
        <v>0</v>
      </c>
      <c r="CI40" s="484">
        <f t="shared" si="23"/>
        <v>0</v>
      </c>
      <c r="CJ40" s="484">
        <f t="shared" ca="1" si="24"/>
        <v>0</v>
      </c>
      <c r="CK40" s="484">
        <f t="shared" ca="1" si="25"/>
        <v>0</v>
      </c>
      <c r="CL40" s="484">
        <f t="shared" ca="1" si="26"/>
        <v>0</v>
      </c>
      <c r="CM40" s="484">
        <f t="shared" ca="1" si="27"/>
        <v>0</v>
      </c>
      <c r="CN40" s="484">
        <f t="shared" ca="1" si="28"/>
        <v>0</v>
      </c>
      <c r="CO40" s="484">
        <f t="shared" ca="1" si="29"/>
        <v>0</v>
      </c>
      <c r="CP40" s="484">
        <f t="shared" ca="1" si="30"/>
        <v>0</v>
      </c>
      <c r="CQ40" s="484">
        <f t="shared" ca="1" si="31"/>
        <v>0</v>
      </c>
      <c r="CR40" s="484">
        <f t="shared" ca="1" si="32"/>
        <v>0</v>
      </c>
      <c r="CS40" s="484">
        <f t="shared" ca="1" si="33"/>
        <v>0</v>
      </c>
      <c r="CT40" s="484">
        <f t="shared" ca="1" si="34"/>
        <v>0</v>
      </c>
      <c r="CU40" s="484">
        <f t="shared" ca="1" si="35"/>
        <v>0</v>
      </c>
      <c r="CV40" s="484">
        <f t="shared" ca="1" si="36"/>
        <v>0</v>
      </c>
      <c r="CW40" s="484">
        <f t="shared" ca="1" si="37"/>
        <v>0</v>
      </c>
      <c r="CX40" s="484">
        <f t="shared" ca="1" si="38"/>
        <v>0</v>
      </c>
      <c r="CZ40" s="502">
        <v>0</v>
      </c>
      <c r="DA40" s="502">
        <v>0</v>
      </c>
      <c r="DB40" s="502">
        <v>0</v>
      </c>
      <c r="DC40" s="502">
        <v>0</v>
      </c>
      <c r="DD40" s="502">
        <v>0</v>
      </c>
      <c r="DE40" s="502">
        <v>0</v>
      </c>
      <c r="DF40" s="502">
        <v>0</v>
      </c>
      <c r="DG40" s="502">
        <v>0</v>
      </c>
      <c r="DH40" s="502">
        <v>0</v>
      </c>
      <c r="DI40" s="502">
        <v>0</v>
      </c>
      <c r="DJ40" s="502">
        <v>0</v>
      </c>
      <c r="DK40" s="502">
        <v>0</v>
      </c>
      <c r="DL40" s="502">
        <v>0</v>
      </c>
      <c r="DM40" s="502">
        <v>0</v>
      </c>
      <c r="DN40" s="502">
        <v>0</v>
      </c>
      <c r="DO40" s="502">
        <v>0</v>
      </c>
      <c r="DP40" s="502">
        <v>0</v>
      </c>
      <c r="DQ40" s="502">
        <v>0</v>
      </c>
      <c r="DR40" s="502">
        <v>0</v>
      </c>
      <c r="DS40" s="502">
        <v>0</v>
      </c>
    </row>
    <row r="41" spans="1:123">
      <c r="A41" s="450" t="str">
        <f>Model!B242</f>
        <v>Loonsom van de overheid</v>
      </c>
      <c r="B41" s="450" t="str">
        <f>Model!C242</f>
        <v>LOWN</v>
      </c>
      <c r="C41" s="450">
        <f>Model!D242</f>
        <v>0</v>
      </c>
      <c r="E41" s="450">
        <f>Model!F242</f>
        <v>1.1498834224862036E-2</v>
      </c>
      <c r="F41" s="450">
        <f>Model!G242</f>
        <v>1.3258859871524592E-2</v>
      </c>
      <c r="G41" s="450">
        <f>Model!H242</f>
        <v>1.4661013502419794E-2</v>
      </c>
      <c r="H41" s="450">
        <f>Model!I242</f>
        <v>1.9548018003226392E-2</v>
      </c>
      <c r="I41" s="450">
        <f>Model!J242</f>
        <v>2.0427679462388201E-2</v>
      </c>
      <c r="J41" s="450">
        <f>Model!K242</f>
        <v>2.2773440369501893E-2</v>
      </c>
      <c r="K41" s="450">
        <f>Model!L242</f>
        <v>2.5607904076584007E-2</v>
      </c>
      <c r="L41" s="450">
        <f>Model!M242</f>
        <v>3.4111290721853663E-2</v>
      </c>
      <c r="M41" s="450">
        <f>Model!N242</f>
        <v>3.508869184581382E-2</v>
      </c>
      <c r="N41" s="450">
        <f>Model!O242</f>
        <v>3.606609296977397E-2</v>
      </c>
      <c r="O41" s="450">
        <f>Model!P242</f>
        <v>4.1246317583969787E-2</v>
      </c>
      <c r="P41" s="450">
        <f>Model!Q242</f>
        <v>4.4569479615043629E-2</v>
      </c>
      <c r="Q41" s="450">
        <f>Model!R242</f>
        <v>5.2975131071491627E-2</v>
      </c>
      <c r="R41" s="450">
        <f>Model!S242</f>
        <v>5.6005071870182097E-2</v>
      </c>
      <c r="S41" s="450">
        <f>Model!T242</f>
        <v>5.8839533339275864E-2</v>
      </c>
      <c r="T41" s="450">
        <f>Model!U242</f>
        <v>6.8906765811260789E-2</v>
      </c>
      <c r="U41" s="450">
        <f>Model!V242</f>
        <v>8.0831054152402645E-2</v>
      </c>
      <c r="V41" s="450">
        <f>Model!W242</f>
        <v>8.2394897741129569E-2</v>
      </c>
      <c r="W41" s="450">
        <f>Model!X242</f>
        <v>9.4905628547038184E-2</v>
      </c>
      <c r="X41" s="450">
        <f>Model!Y242</f>
        <v>9.7251389454151876E-2</v>
      </c>
      <c r="Y41" s="450">
        <f>Model!Z242</f>
        <v>0.11044630015163727</v>
      </c>
      <c r="Z41" s="450">
        <f>Model!AA242</f>
        <v>0.13886602173128501</v>
      </c>
      <c r="AA41" s="450">
        <f>Model!AB242</f>
        <v>0.16641629379256903</v>
      </c>
      <c r="AB41" s="450">
        <f>Model!AC242</f>
        <v>0.21385484312840525</v>
      </c>
      <c r="AC41" s="450">
        <f>Model!AD242</f>
        <v>0.24750654280262482</v>
      </c>
      <c r="AD41" s="450">
        <f>Model!AE242</f>
        <v>0.25996751865174561</v>
      </c>
      <c r="AE41" s="450">
        <f>Model!AF242</f>
        <v>0.26500120202738831</v>
      </c>
      <c r="AF41" s="450">
        <f>Model!AG242</f>
        <v>0.32395031622777248</v>
      </c>
      <c r="AG41" s="450">
        <f>Model!AH242</f>
        <v>0.40630778585189414</v>
      </c>
      <c r="AH41" s="450">
        <f>Model!AI242</f>
        <v>0.43869226491204788</v>
      </c>
      <c r="AI41" s="450">
        <f>Model!AJ242</f>
        <v>0.43891520435858355</v>
      </c>
      <c r="AJ41" s="450">
        <f>Model!AK242</f>
        <v>0.45036708021688809</v>
      </c>
      <c r="AK41" s="450">
        <f>Model!AL242</f>
        <v>0.47954833551711656</v>
      </c>
      <c r="AL41" s="450">
        <f>Model!AM242</f>
        <v>0.55147470262093423</v>
      </c>
      <c r="AM41" s="450">
        <f>Model!AN242</f>
        <v>0.613662275469678</v>
      </c>
      <c r="AN41" s="450">
        <f>Model!AO242</f>
        <v>0.66059629271401277</v>
      </c>
      <c r="AO41" s="450">
        <f>Model!AP242</f>
        <v>0.61846127873291123</v>
      </c>
      <c r="AP41" s="450">
        <f>Model!AQ242</f>
        <v>0.79493318357161025</v>
      </c>
      <c r="AQ41" s="450">
        <f>Model!AR242</f>
        <v>0.98945121804075586</v>
      </c>
      <c r="AR41" s="450">
        <f>Model!AS242</f>
        <v>1.1714965374272197</v>
      </c>
      <c r="AS41" s="450">
        <f>Model!AT242</f>
        <v>4.0131400784940938</v>
      </c>
      <c r="AT41" s="450">
        <f>Model!AU242</f>
        <v>15.407956787638373</v>
      </c>
      <c r="AU41" s="450">
        <f>Model!AV242</f>
        <v>30.048999999999999</v>
      </c>
      <c r="AV41" s="450">
        <f>Model!AW242</f>
        <v>40.424999999999997</v>
      </c>
      <c r="AW41" s="450">
        <f>Model!AX242</f>
        <v>79.650000000000006</v>
      </c>
      <c r="AX41" s="450">
        <f>Model!AY242</f>
        <v>112.08199999999999</v>
      </c>
      <c r="AY41" s="450">
        <f>Model!AZ242</f>
        <v>178.589</v>
      </c>
      <c r="AZ41" s="450">
        <f>Model!BA242</f>
        <v>219.3126</v>
      </c>
      <c r="BA41" s="450">
        <f>Model!BB242</f>
        <v>387.80136300000004</v>
      </c>
      <c r="BB41" s="450">
        <f>Model!BC242</f>
        <v>431.54552899999999</v>
      </c>
      <c r="BC41" s="450">
        <f>Model!BD242</f>
        <v>465.17921699999999</v>
      </c>
      <c r="BD41" s="450">
        <f>Model!BE242</f>
        <v>501.62598700000001</v>
      </c>
      <c r="BE41" s="469">
        <f>Model!BF242</f>
        <v>603.03160000000003</v>
      </c>
      <c r="BF41" s="469">
        <f>Model!BG242</f>
        <v>692.43164899999999</v>
      </c>
      <c r="BG41" s="469">
        <f>Model!BH242</f>
        <v>758.54590599999995</v>
      </c>
      <c r="BH41" s="469">
        <f>Model!BI242</f>
        <v>967.63051199999995</v>
      </c>
      <c r="BI41" s="469">
        <f>Model!BJ242</f>
        <v>1075.3</v>
      </c>
      <c r="BJ41" s="469">
        <f>Model!BK242</f>
        <v>1208.7736030000001</v>
      </c>
      <c r="BK41" s="469">
        <f>Model!BL242</f>
        <v>1315.6</v>
      </c>
      <c r="BL41" s="469">
        <f>Model!BM242</f>
        <v>1565.9</v>
      </c>
      <c r="BM41" s="469">
        <f>Model!BN242</f>
        <v>1510.8</v>
      </c>
      <c r="BN41" s="469">
        <f>Model!BO242</f>
        <v>1704</v>
      </c>
      <c r="BO41" s="469">
        <f ca="1">Model!BP242</f>
        <v>2061.2001648316837</v>
      </c>
      <c r="BP41" s="469">
        <f ca="1">Model!BQ242</f>
        <v>2561.9492955218589</v>
      </c>
      <c r="BQ41" s="469">
        <f ca="1">Model!BR242</f>
        <v>2806.6754091390799</v>
      </c>
      <c r="BR41" s="469">
        <f ca="1">Model!BS242</f>
        <v>2937.018315022583</v>
      </c>
      <c r="BS41" s="469">
        <f ca="1">Model!BT242</f>
        <v>3080.1273490847693</v>
      </c>
      <c r="BT41" s="469">
        <f ca="1">Model!BU242</f>
        <v>3237.9750018703608</v>
      </c>
      <c r="BU41" s="469">
        <f ca="1">Model!BV242</f>
        <v>3407.1247020420697</v>
      </c>
      <c r="BV41" s="469">
        <f ca="1">Model!BW242</f>
        <v>3578.0320540949833</v>
      </c>
      <c r="BW41" s="469">
        <f ca="1">Model!BX242</f>
        <v>3756.1148543986992</v>
      </c>
      <c r="BX41" s="469">
        <f ca="1">Model!BY242</f>
        <v>3940.9619688439575</v>
      </c>
      <c r="BY41" s="469">
        <f ca="1">Model!BZ242</f>
        <v>4133.3878412867271</v>
      </c>
      <c r="BZ41" s="469">
        <f ca="1">Model!CA242</f>
        <v>4334.6400070200243</v>
      </c>
      <c r="CA41" s="469">
        <f ca="1">Model!CB242</f>
        <v>4536.1845172684298</v>
      </c>
      <c r="CB41" s="469">
        <f ca="1">Model!CC242</f>
        <v>4746.2628729140906</v>
      </c>
      <c r="CC41" s="469">
        <f ca="1">Model!CD242</f>
        <v>4965.1900331679526</v>
      </c>
      <c r="CE41" s="484">
        <f t="shared" si="19"/>
        <v>0</v>
      </c>
      <c r="CF41" s="484">
        <f t="shared" si="20"/>
        <v>0</v>
      </c>
      <c r="CG41" s="484">
        <f t="shared" si="21"/>
        <v>0</v>
      </c>
      <c r="CH41" s="484">
        <f t="shared" si="22"/>
        <v>0</v>
      </c>
      <c r="CI41" s="484">
        <f t="shared" si="23"/>
        <v>0</v>
      </c>
      <c r="CJ41" s="484">
        <f t="shared" ca="1" si="24"/>
        <v>278.36446543595093</v>
      </c>
      <c r="CK41" s="484">
        <f t="shared" ca="1" si="25"/>
        <v>476.46805799169306</v>
      </c>
      <c r="CL41" s="484">
        <f t="shared" ca="1" si="26"/>
        <v>342.82346492809393</v>
      </c>
      <c r="CM41" s="484">
        <f t="shared" ca="1" si="27"/>
        <v>307.89558937734364</v>
      </c>
      <c r="CN41" s="484">
        <f t="shared" ca="1" si="28"/>
        <v>346.38806484773204</v>
      </c>
      <c r="CO41" s="484">
        <f t="shared" ca="1" si="29"/>
        <v>417.05337912217965</v>
      </c>
      <c r="CP41" s="484">
        <f t="shared" ca="1" si="30"/>
        <v>493.78922917295222</v>
      </c>
      <c r="CQ41" s="484">
        <f t="shared" ca="1" si="31"/>
        <v>577.35818167383104</v>
      </c>
      <c r="CR41" s="484">
        <f t="shared" ca="1" si="32"/>
        <v>666.01640507225466</v>
      </c>
      <c r="CS41" s="484">
        <f t="shared" ca="1" si="33"/>
        <v>760.31243069854872</v>
      </c>
      <c r="CT41" s="484">
        <f t="shared" ca="1" si="34"/>
        <v>861.0430253496429</v>
      </c>
      <c r="CU41" s="484">
        <f t="shared" ca="1" si="35"/>
        <v>968.80908475310162</v>
      </c>
      <c r="CV41" s="484">
        <f t="shared" ca="1" si="36"/>
        <v>1081.2475888953491</v>
      </c>
      <c r="CW41" s="484">
        <f t="shared" ca="1" si="37"/>
        <v>1199.8429359087668</v>
      </c>
      <c r="CX41" s="484">
        <f t="shared" ca="1" si="38"/>
        <v>1325.0997538991373</v>
      </c>
      <c r="CZ41" s="502">
        <v>1208.7736030000001</v>
      </c>
      <c r="DA41" s="502">
        <v>1315.6</v>
      </c>
      <c r="DB41" s="502">
        <v>1565.9</v>
      </c>
      <c r="DC41" s="502">
        <v>1510.8</v>
      </c>
      <c r="DD41" s="502">
        <v>1704</v>
      </c>
      <c r="DE41" s="502">
        <v>1782.8356993957327</v>
      </c>
      <c r="DF41" s="502">
        <v>2085.4812375301658</v>
      </c>
      <c r="DG41" s="502">
        <v>2463.8519442109859</v>
      </c>
      <c r="DH41" s="502">
        <v>2629.1227256452394</v>
      </c>
      <c r="DI41" s="502">
        <v>2733.7392842370373</v>
      </c>
      <c r="DJ41" s="502">
        <v>2820.9216227481811</v>
      </c>
      <c r="DK41" s="502">
        <v>2913.3354728691174</v>
      </c>
      <c r="DL41" s="502">
        <v>3000.6738724211523</v>
      </c>
      <c r="DM41" s="502">
        <v>3090.0984493264446</v>
      </c>
      <c r="DN41" s="502">
        <v>3180.6495381454088</v>
      </c>
      <c r="DO41" s="502">
        <v>3272.3448159370841</v>
      </c>
      <c r="DP41" s="502">
        <v>3365.8309222669227</v>
      </c>
      <c r="DQ41" s="502">
        <v>3454.9369283730807</v>
      </c>
      <c r="DR41" s="502">
        <v>3546.4199370053238</v>
      </c>
      <c r="DS41" s="502">
        <v>3640.0902792688153</v>
      </c>
    </row>
    <row r="42" spans="1:123">
      <c r="CE42" s="483"/>
      <c r="CF42" s="483"/>
      <c r="CG42" s="483"/>
      <c r="CH42" s="483"/>
      <c r="CI42" s="483"/>
      <c r="CJ42" s="483"/>
      <c r="CK42" s="483"/>
      <c r="CL42" s="483"/>
      <c r="CM42" s="483"/>
      <c r="CN42" s="483"/>
      <c r="CO42" s="483"/>
      <c r="CP42" s="483"/>
      <c r="CQ42" s="483"/>
      <c r="CR42" s="483"/>
      <c r="CS42" s="483"/>
      <c r="CT42" s="483"/>
      <c r="CU42" s="483"/>
      <c r="CV42" s="483"/>
      <c r="CW42" s="483"/>
      <c r="CX42" s="483"/>
    </row>
    <row r="43" spans="1:123">
      <c r="A43" s="264" t="s">
        <v>3745</v>
      </c>
      <c r="CE43" s="483"/>
      <c r="CF43" s="483"/>
      <c r="CG43" s="483"/>
      <c r="CH43" s="483"/>
      <c r="CI43" s="483"/>
      <c r="CJ43" s="483"/>
      <c r="CK43" s="483"/>
      <c r="CL43" s="483"/>
      <c r="CM43" s="483"/>
      <c r="CN43" s="483"/>
      <c r="CO43" s="483"/>
      <c r="CP43" s="483"/>
      <c r="CQ43" s="483"/>
      <c r="CR43" s="483"/>
      <c r="CS43" s="483"/>
      <c r="CT43" s="483"/>
      <c r="CU43" s="483"/>
      <c r="CV43" s="483"/>
      <c r="CW43" s="483"/>
      <c r="CX43" s="483"/>
    </row>
    <row r="44" spans="1:123" s="264" customFormat="1">
      <c r="A44" s="264" t="s">
        <v>4293</v>
      </c>
      <c r="BI44" s="264">
        <f>BI2</f>
        <v>2010</v>
      </c>
      <c r="BJ44" s="264">
        <f t="shared" ref="BJ44:BO44" si="55">BJ2</f>
        <v>2011</v>
      </c>
      <c r="BK44" s="264">
        <f t="shared" si="55"/>
        <v>2012</v>
      </c>
      <c r="BL44" s="264">
        <f t="shared" si="55"/>
        <v>2013</v>
      </c>
      <c r="BM44" s="264">
        <f t="shared" si="55"/>
        <v>2014</v>
      </c>
      <c r="BN44" s="264">
        <f t="shared" si="55"/>
        <v>2015</v>
      </c>
      <c r="BO44" s="264">
        <f t="shared" si="55"/>
        <v>2016</v>
      </c>
      <c r="BP44" s="264">
        <f>BP2</f>
        <v>2017</v>
      </c>
      <c r="BQ44" s="264">
        <f>BQ2</f>
        <v>2018</v>
      </c>
      <c r="BR44" s="264">
        <f>BR2</f>
        <v>2019</v>
      </c>
      <c r="BS44" s="264">
        <f>BS2</f>
        <v>2020</v>
      </c>
      <c r="BT44" s="264">
        <f>BT2</f>
        <v>2021</v>
      </c>
      <c r="BU44" s="264">
        <f t="shared" ref="BU44:CB44" si="56">BU2</f>
        <v>2022</v>
      </c>
      <c r="BV44" s="264">
        <f t="shared" si="56"/>
        <v>2023</v>
      </c>
      <c r="BW44" s="264">
        <f t="shared" si="56"/>
        <v>2024</v>
      </c>
      <c r="BX44" s="264">
        <f t="shared" si="56"/>
        <v>2025</v>
      </c>
      <c r="BY44" s="264">
        <f t="shared" si="56"/>
        <v>2026</v>
      </c>
      <c r="BZ44" s="264">
        <f t="shared" si="56"/>
        <v>2027</v>
      </c>
      <c r="CA44" s="264">
        <f t="shared" si="56"/>
        <v>2028</v>
      </c>
      <c r="CB44" s="264">
        <f t="shared" si="56"/>
        <v>2029</v>
      </c>
      <c r="CC44" s="264">
        <f>CC2</f>
        <v>2030</v>
      </c>
      <c r="CE44" s="890">
        <f t="shared" ref="CE44:CX44" si="57">BJ44</f>
        <v>2011</v>
      </c>
      <c r="CF44" s="890">
        <f t="shared" si="57"/>
        <v>2012</v>
      </c>
      <c r="CG44" s="890">
        <f t="shared" si="57"/>
        <v>2013</v>
      </c>
      <c r="CH44" s="890">
        <f t="shared" si="57"/>
        <v>2014</v>
      </c>
      <c r="CI44" s="890">
        <f t="shared" si="57"/>
        <v>2015</v>
      </c>
      <c r="CJ44" s="890">
        <f t="shared" si="57"/>
        <v>2016</v>
      </c>
      <c r="CK44" s="890">
        <f t="shared" si="57"/>
        <v>2017</v>
      </c>
      <c r="CL44" s="890">
        <f t="shared" si="57"/>
        <v>2018</v>
      </c>
      <c r="CM44" s="890">
        <f t="shared" si="57"/>
        <v>2019</v>
      </c>
      <c r="CN44" s="890">
        <f t="shared" si="57"/>
        <v>2020</v>
      </c>
      <c r="CO44" s="890">
        <f t="shared" si="57"/>
        <v>2021</v>
      </c>
      <c r="CP44" s="890">
        <f t="shared" si="57"/>
        <v>2022</v>
      </c>
      <c r="CQ44" s="890">
        <f t="shared" si="57"/>
        <v>2023</v>
      </c>
      <c r="CR44" s="890">
        <f t="shared" si="57"/>
        <v>2024</v>
      </c>
      <c r="CS44" s="890">
        <f t="shared" si="57"/>
        <v>2025</v>
      </c>
      <c r="CT44" s="890">
        <f t="shared" si="57"/>
        <v>2026</v>
      </c>
      <c r="CU44" s="890">
        <f t="shared" si="57"/>
        <v>2027</v>
      </c>
      <c r="CV44" s="890">
        <f t="shared" si="57"/>
        <v>2028</v>
      </c>
      <c r="CW44" s="890">
        <f t="shared" si="57"/>
        <v>2029</v>
      </c>
      <c r="CX44" s="890">
        <f t="shared" si="57"/>
        <v>2030</v>
      </c>
      <c r="CY44" s="891"/>
      <c r="CZ44" s="892">
        <v>2011</v>
      </c>
      <c r="DA44" s="892">
        <v>2012</v>
      </c>
      <c r="DB44" s="892">
        <v>2013</v>
      </c>
      <c r="DC44" s="892">
        <v>2014</v>
      </c>
      <c r="DD44" s="892">
        <v>2015</v>
      </c>
      <c r="DE44" s="892">
        <v>2016</v>
      </c>
      <c r="DF44" s="892">
        <v>2017</v>
      </c>
      <c r="DG44" s="892">
        <v>2018</v>
      </c>
      <c r="DH44" s="892">
        <v>2019</v>
      </c>
      <c r="DI44" s="892">
        <v>2020</v>
      </c>
      <c r="DJ44" s="892">
        <v>2021</v>
      </c>
      <c r="DK44" s="892">
        <v>2022</v>
      </c>
      <c r="DL44" s="892">
        <v>2023</v>
      </c>
      <c r="DM44" s="892">
        <v>2024</v>
      </c>
      <c r="DN44" s="892">
        <v>2025</v>
      </c>
      <c r="DO44" s="892">
        <v>2026</v>
      </c>
      <c r="DP44" s="892">
        <v>2027</v>
      </c>
      <c r="DQ44" s="892">
        <v>2028</v>
      </c>
      <c r="DR44" s="892">
        <v>2029</v>
      </c>
      <c r="DS44" s="892">
        <v>2030</v>
      </c>
    </row>
    <row r="45" spans="1:123" s="264" customFormat="1">
      <c r="A45" s="263" t="str">
        <f>Model!B421</f>
        <v>BBPmp conform ABS</v>
      </c>
      <c r="B45" s="263">
        <f>Model!C421</f>
        <v>0</v>
      </c>
      <c r="C45" s="263" t="str">
        <f>Model!D421</f>
        <v>mlnSRD</v>
      </c>
      <c r="D45" s="263">
        <f>Model!E421</f>
        <v>0</v>
      </c>
      <c r="E45" s="263">
        <f>Model!F421</f>
        <v>0</v>
      </c>
      <c r="F45" s="263">
        <f>Model!G421</f>
        <v>0</v>
      </c>
      <c r="G45" s="263">
        <f>Model!H421</f>
        <v>0</v>
      </c>
      <c r="H45" s="263">
        <f>Model!I421</f>
        <v>0</v>
      </c>
      <c r="I45" s="263">
        <f>Model!J421</f>
        <v>0</v>
      </c>
      <c r="J45" s="263">
        <f>Model!K421</f>
        <v>0</v>
      </c>
      <c r="K45" s="263">
        <f>Model!L421</f>
        <v>0</v>
      </c>
      <c r="L45" s="263">
        <f>Model!M421</f>
        <v>0</v>
      </c>
      <c r="M45" s="263">
        <f>Model!N421</f>
        <v>0</v>
      </c>
      <c r="N45" s="263">
        <f>Model!O421</f>
        <v>0</v>
      </c>
      <c r="O45" s="263">
        <f>Model!P421</f>
        <v>0</v>
      </c>
      <c r="P45" s="263">
        <f>Model!Q421</f>
        <v>0</v>
      </c>
      <c r="Q45" s="263">
        <f>Model!R421</f>
        <v>0</v>
      </c>
      <c r="R45" s="263">
        <f>Model!S421</f>
        <v>0</v>
      </c>
      <c r="S45" s="263">
        <f>Model!T421</f>
        <v>0</v>
      </c>
      <c r="T45" s="263">
        <f>Model!U421</f>
        <v>0</v>
      </c>
      <c r="U45" s="263">
        <f>Model!V421</f>
        <v>0</v>
      </c>
      <c r="V45" s="263">
        <f>Model!W421</f>
        <v>0</v>
      </c>
      <c r="W45" s="263">
        <f>Model!X421</f>
        <v>0</v>
      </c>
      <c r="X45" s="263">
        <f>Model!Y421</f>
        <v>0</v>
      </c>
      <c r="Y45" s="263">
        <f>Model!Z421</f>
        <v>0</v>
      </c>
      <c r="Z45" s="263">
        <f>Model!AA421</f>
        <v>0</v>
      </c>
      <c r="AA45" s="263">
        <f>Model!AB421</f>
        <v>0</v>
      </c>
      <c r="AB45" s="263">
        <f>Model!AC421</f>
        <v>0</v>
      </c>
      <c r="AC45" s="263">
        <f>Model!AD421</f>
        <v>0</v>
      </c>
      <c r="AD45" s="263">
        <f>Model!AE421</f>
        <v>0</v>
      </c>
      <c r="AE45" s="263">
        <f>Model!AF421</f>
        <v>0</v>
      </c>
      <c r="AF45" s="263">
        <f>Model!AG421</f>
        <v>0</v>
      </c>
      <c r="AG45" s="263">
        <f>Model!AH421</f>
        <v>0</v>
      </c>
      <c r="AH45" s="263">
        <f>Model!AI421</f>
        <v>0</v>
      </c>
      <c r="AI45" s="263">
        <f>Model!AJ421</f>
        <v>0</v>
      </c>
      <c r="AJ45" s="263">
        <f>Model!AK421</f>
        <v>0</v>
      </c>
      <c r="AK45" s="263">
        <f>Model!AL421</f>
        <v>0</v>
      </c>
      <c r="AL45" s="263">
        <f>Model!AM421</f>
        <v>0</v>
      </c>
      <c r="AM45" s="263">
        <f>Model!AN421</f>
        <v>0</v>
      </c>
      <c r="AN45" s="263">
        <f>Model!AO421</f>
        <v>0</v>
      </c>
      <c r="AO45" s="263">
        <f>Model!AP421</f>
        <v>0</v>
      </c>
      <c r="AP45" s="263">
        <f>Model!AQ421</f>
        <v>0</v>
      </c>
      <c r="AQ45" s="263">
        <f>Model!AR421</f>
        <v>0</v>
      </c>
      <c r="AR45" s="263">
        <f>Model!AS421</f>
        <v>0</v>
      </c>
      <c r="AS45" s="263">
        <f>Model!AT421</f>
        <v>0</v>
      </c>
      <c r="AT45" s="263">
        <f>Model!AU421</f>
        <v>0</v>
      </c>
      <c r="AU45" s="263">
        <f>Model!AV421</f>
        <v>347.98572837278624</v>
      </c>
      <c r="AV45" s="263">
        <f>Model!AW421</f>
        <v>393.81406831179174</v>
      </c>
      <c r="AW45" s="263">
        <f>Model!AX421</f>
        <v>479.64843336586972</v>
      </c>
      <c r="AX45" s="263">
        <f>Model!AY421</f>
        <v>892.18635835645841</v>
      </c>
      <c r="AY45" s="263">
        <f>Model!AZ421</f>
        <v>1480.4267514836499</v>
      </c>
      <c r="AZ45" s="263">
        <f>Model!BA421</f>
        <v>2132.3433396373362</v>
      </c>
      <c r="BA45" s="263">
        <f>Model!BB421</f>
        <v>2534.2449999999999</v>
      </c>
      <c r="BB45" s="263">
        <f>Model!BC421</f>
        <v>3558.8736600000002</v>
      </c>
      <c r="BC45" s="263">
        <f>Model!BD421</f>
        <v>4390.9120000000003</v>
      </c>
      <c r="BD45" s="263">
        <f>Model!BE421</f>
        <v>6105.9160000000002</v>
      </c>
      <c r="BE45" s="263">
        <f>Model!BF421</f>
        <v>7206.3250130575279</v>
      </c>
      <c r="BF45" s="263">
        <f>Model!BG421</f>
        <v>8060.5318798577055</v>
      </c>
      <c r="BG45" s="263">
        <f>Model!BH421</f>
        <v>9698.0550363404745</v>
      </c>
      <c r="BH45" s="263">
        <f>Model!BI421</f>
        <v>10638.423667004776</v>
      </c>
      <c r="BI45" s="263">
        <f>Model!BJ421</f>
        <v>11993.016</v>
      </c>
      <c r="BJ45" s="469">
        <f>Model!BK421</f>
        <v>14451.880999999999</v>
      </c>
      <c r="BK45" s="469">
        <f>Model!BL421</f>
        <v>16433.674999999999</v>
      </c>
      <c r="BL45" s="469">
        <f>Model!BM421</f>
        <v>16932.127</v>
      </c>
      <c r="BM45" s="469">
        <f>Model!BN421</f>
        <v>17194.136999999999</v>
      </c>
      <c r="BN45" s="469">
        <f>Model!BO421</f>
        <v>17287.37</v>
      </c>
      <c r="BO45" s="469">
        <f>Model!BP421</f>
        <v>18456.981</v>
      </c>
      <c r="BP45" s="469">
        <f>Model!BQ421</f>
        <v>20067.792000000001</v>
      </c>
      <c r="BQ45" s="469">
        <f ca="1">Model!BR421</f>
        <v>22059.61520965823</v>
      </c>
      <c r="BR45" s="469">
        <f ca="1">Model!BS421</f>
        <v>22898.560341114091</v>
      </c>
      <c r="BS45" s="469">
        <f ca="1">Model!BT421</f>
        <v>23602.073337125086</v>
      </c>
      <c r="BT45" s="469">
        <f ca="1">Model!BU421</f>
        <v>24541.113303693612</v>
      </c>
      <c r="BU45" s="469">
        <f ca="1">Model!BV421</f>
        <v>25545.955830184535</v>
      </c>
      <c r="BV45" s="469">
        <f ca="1">Model!BW421</f>
        <v>26583.972487995787</v>
      </c>
      <c r="BW45" s="469">
        <f ca="1">Model!BX421</f>
        <v>27660.827547675708</v>
      </c>
      <c r="BX45" s="469">
        <f ca="1">Model!BY421</f>
        <v>28778.204038779651</v>
      </c>
      <c r="BY45" s="469">
        <f ca="1">Model!BZ421</f>
        <v>30188.334359178833</v>
      </c>
      <c r="BZ45" s="469">
        <f ca="1">Model!CA421</f>
        <v>31704.32671202888</v>
      </c>
      <c r="CA45" s="469">
        <f ca="1">Model!CB421</f>
        <v>33297.679755867102</v>
      </c>
      <c r="CB45" s="469">
        <f ca="1">Model!CC421</f>
        <v>34982.823780777544</v>
      </c>
      <c r="CC45" s="469">
        <f ca="1">Model!CD421</f>
        <v>36768.204241289706</v>
      </c>
      <c r="CE45" s="893">
        <f t="shared" ref="CE45:CE58" si="58">BJ45-CZ45</f>
        <v>0</v>
      </c>
      <c r="CF45" s="893">
        <f t="shared" ref="CF45:CF58" si="59">BK45-DA45</f>
        <v>0</v>
      </c>
      <c r="CG45" s="893">
        <f t="shared" ref="CG45:CG58" si="60">BL45-DB45</f>
        <v>0</v>
      </c>
      <c r="CH45" s="893">
        <f t="shared" ref="CH45:CH58" si="61">BM45-DC45</f>
        <v>0</v>
      </c>
      <c r="CI45" s="893">
        <f t="shared" ref="CI45:CI58" si="62">BN45-DD45</f>
        <v>0</v>
      </c>
      <c r="CJ45" s="893">
        <f t="shared" ref="CJ45:CJ58" si="63">BO45-DE45</f>
        <v>0</v>
      </c>
      <c r="CK45" s="893">
        <f t="shared" ref="CK45:CK58" si="64">BP45-DF45</f>
        <v>0</v>
      </c>
      <c r="CL45" s="893">
        <f t="shared" ref="CL45:CL58" ca="1" si="65">BQ45-DG45</f>
        <v>-468.4047738582376</v>
      </c>
      <c r="CM45" s="893">
        <f t="shared" ref="CM45:CM58" ca="1" si="66">BR45-DH45</f>
        <v>-1015.1956467853961</v>
      </c>
      <c r="CN45" s="893">
        <f t="shared" ref="CN45:CN58" ca="1" si="67">BS45-DI45</f>
        <v>-1188.4050346119911</v>
      </c>
      <c r="CO45" s="893">
        <f t="shared" ref="CO45:CO58" ca="1" si="68">BT45-DJ45</f>
        <v>-1159.9691601215891</v>
      </c>
      <c r="CP45" s="893">
        <f t="shared" ref="CP45:CP58" ca="1" si="69">BU45-DK45</f>
        <v>-1049.5197449579391</v>
      </c>
      <c r="CQ45" s="893">
        <f t="shared" ref="CQ45:CQ58" ca="1" si="70">BV45-DL45</f>
        <v>-902.91382980482376</v>
      </c>
      <c r="CR45" s="893">
        <f t="shared" ref="CR45:CR58" ca="1" si="71">BW45-DM45</f>
        <v>-738.84281707085756</v>
      </c>
      <c r="CS45" s="893">
        <f t="shared" ref="CS45:CS58" ca="1" si="72">BX45-DN45</f>
        <v>-560.02255381980285</v>
      </c>
      <c r="CT45" s="893">
        <f t="shared" ref="CT45:CT58" ca="1" si="73">BY45-DO45</f>
        <v>-410.63756125875443</v>
      </c>
      <c r="CU45" s="893">
        <f t="shared" ref="CU45:CU58" ca="1" si="74">BZ45-DP45</f>
        <v>-244.10105437393213</v>
      </c>
      <c r="CV45" s="893">
        <f t="shared" ref="CV45:CV58" ca="1" si="75">CA45-DQ45</f>
        <v>-63.382625530699443</v>
      </c>
      <c r="CW45" s="893">
        <f t="shared" ref="CW45:CW58" ca="1" si="76">CB45-DR45</f>
        <v>130.73390431983717</v>
      </c>
      <c r="CX45" s="893">
        <f t="shared" ref="CX45:CX58" ca="1" si="77">CC45-DS45</f>
        <v>339.88371076290787</v>
      </c>
      <c r="CY45" s="891"/>
      <c r="CZ45" s="892">
        <v>14451.880999999999</v>
      </c>
      <c r="DA45" s="892">
        <v>16433.674999999999</v>
      </c>
      <c r="DB45" s="892">
        <v>16932.127</v>
      </c>
      <c r="DC45" s="892">
        <v>17194.136999999999</v>
      </c>
      <c r="DD45" s="892">
        <v>17287.37</v>
      </c>
      <c r="DE45" s="892">
        <v>18456.981</v>
      </c>
      <c r="DF45" s="892">
        <v>20067.792000000001</v>
      </c>
      <c r="DG45" s="892">
        <v>22528.019983516468</v>
      </c>
      <c r="DH45" s="892">
        <v>23913.755987899487</v>
      </c>
      <c r="DI45" s="892">
        <v>24790.478371737077</v>
      </c>
      <c r="DJ45" s="892">
        <v>25701.082463815201</v>
      </c>
      <c r="DK45" s="892">
        <v>26595.475575142475</v>
      </c>
      <c r="DL45" s="892">
        <v>27486.88631780061</v>
      </c>
      <c r="DM45" s="892">
        <v>28399.670364746566</v>
      </c>
      <c r="DN45" s="892">
        <v>29338.226592599454</v>
      </c>
      <c r="DO45" s="892">
        <v>30598.971920437587</v>
      </c>
      <c r="DP45" s="892">
        <v>31948.427766402812</v>
      </c>
      <c r="DQ45" s="892">
        <v>33361.062381397802</v>
      </c>
      <c r="DR45" s="892">
        <v>34852.089876457707</v>
      </c>
      <c r="DS45" s="892">
        <v>36428.320530526798</v>
      </c>
    </row>
    <row r="46" spans="1:123" s="264" customFormat="1">
      <c r="A46" s="264" t="s">
        <v>4290</v>
      </c>
      <c r="E46" s="263">
        <f t="shared" ref="E46:BB46" si="78">E45-E26</f>
        <v>-0.13586534573248304</v>
      </c>
      <c r="F46" s="263">
        <f t="shared" si="78"/>
        <v>-0.14185086350566717</v>
      </c>
      <c r="G46" s="263">
        <f t="shared" si="78"/>
        <v>-0.15343199888797313</v>
      </c>
      <c r="H46" s="263">
        <f t="shared" si="78"/>
        <v>-0.17724070015556495</v>
      </c>
      <c r="I46" s="263">
        <f t="shared" si="78"/>
        <v>-0.18837748292073164</v>
      </c>
      <c r="J46" s="263">
        <f t="shared" si="78"/>
        <v>-0.20780287304332629</v>
      </c>
      <c r="K46" s="263">
        <f t="shared" si="78"/>
        <v>-0.22556155428735056</v>
      </c>
      <c r="L46" s="263">
        <f t="shared" si="78"/>
        <v>-0.23593360914628436</v>
      </c>
      <c r="M46" s="263">
        <f t="shared" si="78"/>
        <v>-0.24828982043012487</v>
      </c>
      <c r="N46" s="263">
        <f t="shared" si="78"/>
        <v>-0.26493747745129564</v>
      </c>
      <c r="O46" s="263">
        <f t="shared" si="78"/>
        <v>-0.29140250130304329</v>
      </c>
      <c r="P46" s="263">
        <f t="shared" si="78"/>
        <v>-0.33374046186287498</v>
      </c>
      <c r="Q46" s="263">
        <f t="shared" si="78"/>
        <v>-0.42151686122990173</v>
      </c>
      <c r="R46" s="263">
        <f t="shared" si="78"/>
        <v>-0.48892385527099469</v>
      </c>
      <c r="S46" s="263">
        <f t="shared" si="78"/>
        <v>-0.53559495364308884</v>
      </c>
      <c r="T46" s="263">
        <f t="shared" si="78"/>
        <v>-0.55959145349276418</v>
      </c>
      <c r="U46" s="263">
        <f t="shared" si="78"/>
        <v>-0.58938389379539635</v>
      </c>
      <c r="V46" s="263">
        <f t="shared" si="78"/>
        <v>-0.64004679212186022</v>
      </c>
      <c r="W46" s="263">
        <f t="shared" si="78"/>
        <v>-0.67391225237039776</v>
      </c>
      <c r="X46" s="263">
        <f t="shared" si="78"/>
        <v>-0.72981900892488716</v>
      </c>
      <c r="Y46" s="263">
        <f t="shared" si="78"/>
        <v>-0.88782266288243172</v>
      </c>
      <c r="Z46" s="263">
        <f t="shared" si="78"/>
        <v>-1.0666470776089993</v>
      </c>
      <c r="AA46" s="263">
        <f t="shared" si="78"/>
        <v>-1.1595554123383063</v>
      </c>
      <c r="AB46" s="263">
        <f t="shared" si="78"/>
        <v>-1.4706075189374941</v>
      </c>
      <c r="AC46" s="263">
        <f t="shared" si="78"/>
        <v>-1.6865036412243843</v>
      </c>
      <c r="AD46" s="263">
        <f t="shared" si="78"/>
        <v>-1.7945749081650377</v>
      </c>
      <c r="AE46" s="263">
        <f t="shared" si="78"/>
        <v>-1.8369870441817362</v>
      </c>
      <c r="AF46" s="263">
        <f t="shared" si="78"/>
        <v>-2.0623064070163921</v>
      </c>
      <c r="AG46" s="263">
        <f t="shared" si="78"/>
        <v>-2.1222001966893647</v>
      </c>
      <c r="AH46" s="263">
        <f t="shared" si="78"/>
        <v>-2.0523391530789263</v>
      </c>
      <c r="AI46" s="263">
        <f t="shared" si="78"/>
        <v>-2.004300109138605</v>
      </c>
      <c r="AJ46" s="263">
        <f t="shared" si="78"/>
        <v>-2.0005860002869698</v>
      </c>
      <c r="AK46" s="263">
        <f t="shared" si="78"/>
        <v>-2.0575526711946841</v>
      </c>
      <c r="AL46" s="263">
        <f t="shared" si="78"/>
        <v>-2.2662250885593451</v>
      </c>
      <c r="AM46" s="263">
        <f t="shared" si="78"/>
        <v>-2.6858092978059442</v>
      </c>
      <c r="AN46" s="263">
        <f t="shared" si="78"/>
        <v>-3.1644858839028007</v>
      </c>
      <c r="AO46" s="263">
        <f t="shared" si="78"/>
        <v>-4.0658461605290093</v>
      </c>
      <c r="AP46" s="263">
        <f t="shared" si="78"/>
        <v>-4.816653807353914</v>
      </c>
      <c r="AQ46" s="263">
        <f t="shared" si="78"/>
        <v>-6.2536149902572751</v>
      </c>
      <c r="AR46" s="263">
        <f t="shared" si="78"/>
        <v>-14.059989839502361</v>
      </c>
      <c r="AS46" s="263">
        <f t="shared" si="78"/>
        <v>-55.305189876195307</v>
      </c>
      <c r="AT46" s="263">
        <f t="shared" si="78"/>
        <v>-265.49515866743866</v>
      </c>
      <c r="AU46" s="263">
        <f t="shared" si="78"/>
        <v>0</v>
      </c>
      <c r="AV46" s="263">
        <f t="shared" si="78"/>
        <v>0</v>
      </c>
      <c r="AW46" s="263">
        <f t="shared" si="78"/>
        <v>0</v>
      </c>
      <c r="AX46" s="263">
        <f t="shared" si="78"/>
        <v>0</v>
      </c>
      <c r="AY46" s="263">
        <f t="shared" si="78"/>
        <v>0</v>
      </c>
      <c r="AZ46" s="263">
        <f t="shared" si="78"/>
        <v>0</v>
      </c>
      <c r="BA46" s="263">
        <f t="shared" si="78"/>
        <v>0</v>
      </c>
      <c r="BB46" s="263">
        <f t="shared" si="78"/>
        <v>0</v>
      </c>
      <c r="BC46" s="263">
        <f>BC45-BC26</f>
        <v>0</v>
      </c>
      <c r="BD46" s="263">
        <f ca="1">BD45-BD26</f>
        <v>52.347538089361478</v>
      </c>
      <c r="BE46" s="263">
        <f ca="1">BE45-BE26</f>
        <v>-214.61090172654622</v>
      </c>
      <c r="BF46" s="263">
        <f t="shared" ref="BF46:BN46" ca="1" si="79">BF45-BF26</f>
        <v>-365.52453357172726</v>
      </c>
      <c r="BG46" s="263">
        <f t="shared" ca="1" si="79"/>
        <v>-159.92826715680894</v>
      </c>
      <c r="BH46" s="263">
        <f t="shared" ca="1" si="79"/>
        <v>828.95218511144412</v>
      </c>
      <c r="BI46" s="450">
        <f t="shared" ca="1" si="79"/>
        <v>-232.40539233505842</v>
      </c>
      <c r="BJ46" s="894">
        <f t="shared" ca="1" si="79"/>
        <v>-1681.474781955596</v>
      </c>
      <c r="BK46" s="894">
        <f t="shared" ca="1" si="79"/>
        <v>-989.42360376388024</v>
      </c>
      <c r="BL46" s="894">
        <f t="shared" ca="1" si="79"/>
        <v>-270.52642064961765</v>
      </c>
      <c r="BM46" s="894">
        <f t="shared" ca="1" si="79"/>
        <v>0</v>
      </c>
      <c r="BN46" s="894">
        <f t="shared" ca="1" si="79"/>
        <v>-170.51112917129285</v>
      </c>
      <c r="BO46" s="894">
        <f t="shared" ref="BO46:CC46" ca="1" si="80">BO45-BO26</f>
        <v>-3478.8343830412668</v>
      </c>
      <c r="BP46" s="894">
        <f t="shared" ca="1" si="80"/>
        <v>-7095.9080268000143</v>
      </c>
      <c r="BQ46" s="894">
        <f t="shared" ca="1" si="80"/>
        <v>-7800.2104384146332</v>
      </c>
      <c r="BR46" s="894">
        <f t="shared" ca="1" si="80"/>
        <v>-8096.8587937664597</v>
      </c>
      <c r="BS46" s="894">
        <f t="shared" ca="1" si="80"/>
        <v>-8345.6187727094657</v>
      </c>
      <c r="BT46" s="894">
        <f t="shared" ca="1" si="80"/>
        <v>-8677.6603464042528</v>
      </c>
      <c r="BU46" s="894">
        <f t="shared" ca="1" si="80"/>
        <v>-9032.9694979739397</v>
      </c>
      <c r="BV46" s="894">
        <f t="shared" ca="1" si="80"/>
        <v>-9400.0089178620619</v>
      </c>
      <c r="BW46" s="894">
        <f t="shared" ca="1" si="80"/>
        <v>-9780.7814742889641</v>
      </c>
      <c r="BX46" s="894">
        <f t="shared" ca="1" si="80"/>
        <v>-10175.882281203012</v>
      </c>
      <c r="BY46" s="894">
        <f t="shared" ca="1" si="80"/>
        <v>-10674.499919822938</v>
      </c>
      <c r="BZ46" s="894">
        <f t="shared" ca="1" si="80"/>
        <v>-11210.550039594833</v>
      </c>
      <c r="CA46" s="894">
        <f t="shared" ca="1" si="80"/>
        <v>-11773.954655972164</v>
      </c>
      <c r="CB46" s="894">
        <f t="shared" ca="1" si="80"/>
        <v>-12369.81627406543</v>
      </c>
      <c r="CC46" s="894">
        <f t="shared" ca="1" si="80"/>
        <v>-13001.121179988586</v>
      </c>
      <c r="CE46" s="893">
        <f t="shared" ca="1" si="58"/>
        <v>-78.973682431074849</v>
      </c>
      <c r="CF46" s="893">
        <f t="shared" ca="1" si="59"/>
        <v>-69.904151876769902</v>
      </c>
      <c r="CG46" s="893">
        <f t="shared" ca="1" si="60"/>
        <v>-63.988956130728184</v>
      </c>
      <c r="CH46" s="893">
        <f t="shared" ca="1" si="61"/>
        <v>0</v>
      </c>
      <c r="CI46" s="893">
        <f t="shared" ca="1" si="62"/>
        <v>-101.35190038412838</v>
      </c>
      <c r="CJ46" s="893">
        <f t="shared" ca="1" si="63"/>
        <v>-1761.4104946205516</v>
      </c>
      <c r="CK46" s="893">
        <f t="shared" ca="1" si="64"/>
        <v>-3814.6719518812824</v>
      </c>
      <c r="CL46" s="893">
        <f t="shared" ca="1" si="65"/>
        <v>-4116.7084434565259</v>
      </c>
      <c r="CM46" s="893">
        <f t="shared" ca="1" si="66"/>
        <v>-4186.7784603496366</v>
      </c>
      <c r="CN46" s="893">
        <f t="shared" ca="1" si="67"/>
        <v>-4292.1876853314352</v>
      </c>
      <c r="CO46" s="893">
        <f t="shared" ca="1" si="68"/>
        <v>-4475.3385889966012</v>
      </c>
      <c r="CP46" s="893">
        <f t="shared" ca="1" si="69"/>
        <v>-4684.407688743664</v>
      </c>
      <c r="CQ46" s="893">
        <f t="shared" ca="1" si="70"/>
        <v>-4905.6946966883079</v>
      </c>
      <c r="CR46" s="893">
        <f t="shared" ca="1" si="71"/>
        <v>-5137.2201439439741</v>
      </c>
      <c r="CS46" s="893">
        <f t="shared" ca="1" si="72"/>
        <v>-5378.8598947950923</v>
      </c>
      <c r="CT46" s="893">
        <f t="shared" ca="1" si="73"/>
        <v>-5671.3361178079031</v>
      </c>
      <c r="CU46" s="893">
        <f t="shared" ca="1" si="74"/>
        <v>-5986.7399799699706</v>
      </c>
      <c r="CV46" s="893">
        <f t="shared" ca="1" si="75"/>
        <v>-6319.1681312034489</v>
      </c>
      <c r="CW46" s="893">
        <f t="shared" ca="1" si="76"/>
        <v>-6671.2354541651803</v>
      </c>
      <c r="CX46" s="893">
        <f t="shared" ca="1" si="77"/>
        <v>-7044.8147027503364</v>
      </c>
      <c r="CY46" s="891"/>
      <c r="CZ46" s="892">
        <v>-1602.5010995245211</v>
      </c>
      <c r="DA46" s="892">
        <v>-919.51945188711034</v>
      </c>
      <c r="DB46" s="892">
        <v>-206.53746451888946</v>
      </c>
      <c r="DC46" s="892">
        <v>0</v>
      </c>
      <c r="DD46" s="892">
        <v>-69.159228787164466</v>
      </c>
      <c r="DE46" s="892">
        <v>-1717.4238884207152</v>
      </c>
      <c r="DF46" s="892">
        <v>-3281.2360749187319</v>
      </c>
      <c r="DG46" s="892">
        <v>-3683.5019949581074</v>
      </c>
      <c r="DH46" s="892">
        <v>-3910.0803334168231</v>
      </c>
      <c r="DI46" s="892">
        <v>-4053.4310873780305</v>
      </c>
      <c r="DJ46" s="892">
        <v>-4202.3217574076516</v>
      </c>
      <c r="DK46" s="892">
        <v>-4348.5618092302757</v>
      </c>
      <c r="DL46" s="892">
        <v>-4494.314221173754</v>
      </c>
      <c r="DM46" s="892">
        <v>-4643.56133034499</v>
      </c>
      <c r="DN46" s="892">
        <v>-4797.0223864079198</v>
      </c>
      <c r="DO46" s="892">
        <v>-5003.1638020150349</v>
      </c>
      <c r="DP46" s="892">
        <v>-5223.8100596248623</v>
      </c>
      <c r="DQ46" s="892">
        <v>-5454.786524768715</v>
      </c>
      <c r="DR46" s="892">
        <v>-5698.5808199002495</v>
      </c>
      <c r="DS46" s="892">
        <v>-5956.3064772382495</v>
      </c>
    </row>
    <row r="47" spans="1:123" s="264" customFormat="1">
      <c r="A47" s="264" t="str">
        <f t="shared" ref="A47:A53" si="81">A29</f>
        <v>Consumptie</v>
      </c>
      <c r="E47" s="263">
        <f t="shared" ref="E47:BB47" si="82">E29+E29/E$28*(E$45-E$26)</f>
        <v>-7.8024433187642017E-3</v>
      </c>
      <c r="F47" s="263">
        <f t="shared" si="82"/>
        <v>-9.4431664832688028E-3</v>
      </c>
      <c r="G47" s="263">
        <f t="shared" si="82"/>
        <v>-1.0201129839778972E-2</v>
      </c>
      <c r="H47" s="263">
        <f t="shared" si="82"/>
        <v>-1.3053649760598154E-2</v>
      </c>
      <c r="I47" s="263">
        <f t="shared" si="82"/>
        <v>-1.4344165449609481E-2</v>
      </c>
      <c r="J47" s="263">
        <f t="shared" si="82"/>
        <v>-1.6000641526074832E-2</v>
      </c>
      <c r="K47" s="263">
        <f t="shared" si="82"/>
        <v>-1.843628274064657E-2</v>
      </c>
      <c r="L47" s="263">
        <f t="shared" si="82"/>
        <v>-2.4957257737327987E-2</v>
      </c>
      <c r="M47" s="263">
        <f t="shared" si="82"/>
        <v>-2.5541100535654726E-2</v>
      </c>
      <c r="N47" s="263">
        <f t="shared" si="82"/>
        <v>-2.5591639538911554E-2</v>
      </c>
      <c r="O47" s="263">
        <f t="shared" si="82"/>
        <v>-2.629623158849273E-2</v>
      </c>
      <c r="P47" s="263">
        <f t="shared" si="82"/>
        <v>-2.9146256455215735E-2</v>
      </c>
      <c r="Q47" s="263">
        <f t="shared" si="82"/>
        <v>-3.3634961647179357E-2</v>
      </c>
      <c r="R47" s="263">
        <f t="shared" si="82"/>
        <v>-3.9786004277395814E-2</v>
      </c>
      <c r="S47" s="263">
        <f t="shared" si="82"/>
        <v>-4.0336648724755952E-2</v>
      </c>
      <c r="T47" s="263">
        <f t="shared" si="82"/>
        <v>-4.7395841822353957E-2</v>
      </c>
      <c r="U47" s="263">
        <f t="shared" si="82"/>
        <v>-5.6385456389952071E-2</v>
      </c>
      <c r="V47" s="263">
        <f t="shared" si="82"/>
        <v>-5.5042041622280269E-2</v>
      </c>
      <c r="W47" s="263">
        <f t="shared" si="82"/>
        <v>-6.1738152312775907E-2</v>
      </c>
      <c r="X47" s="263">
        <f t="shared" si="82"/>
        <v>-6.7092930471721268E-2</v>
      </c>
      <c r="Y47" s="263">
        <f t="shared" si="82"/>
        <v>-6.6433325969973145E-2</v>
      </c>
      <c r="Z47" s="263">
        <f t="shared" si="82"/>
        <v>-8.5422461702556629E-2</v>
      </c>
      <c r="AA47" s="263">
        <f t="shared" si="82"/>
        <v>-0.11888739190297293</v>
      </c>
      <c r="AB47" s="263">
        <f t="shared" si="82"/>
        <v>-0.16758708787383525</v>
      </c>
      <c r="AC47" s="263">
        <f t="shared" si="82"/>
        <v>-0.18976209557415169</v>
      </c>
      <c r="AD47" s="263">
        <f t="shared" si="82"/>
        <v>-0.19471331978946083</v>
      </c>
      <c r="AE47" s="263">
        <f t="shared" si="82"/>
        <v>-0.19366613120804055</v>
      </c>
      <c r="AF47" s="263">
        <f t="shared" si="82"/>
        <v>-0.24911296384726822</v>
      </c>
      <c r="AG47" s="263">
        <f t="shared" si="82"/>
        <v>-0.33853485349444479</v>
      </c>
      <c r="AH47" s="263">
        <f t="shared" si="82"/>
        <v>-0.40603708577629982</v>
      </c>
      <c r="AI47" s="263">
        <f t="shared" si="82"/>
        <v>-0.39576740602147154</v>
      </c>
      <c r="AJ47" s="263">
        <f t="shared" si="82"/>
        <v>-0.39921019715985806</v>
      </c>
      <c r="AK47" s="263">
        <f t="shared" si="82"/>
        <v>-0.4495525784962886</v>
      </c>
      <c r="AL47" s="263">
        <f t="shared" si="82"/>
        <v>-0.57499100314296814</v>
      </c>
      <c r="AM47" s="263">
        <f t="shared" si="82"/>
        <v>-0.66781207336557191</v>
      </c>
      <c r="AN47" s="263">
        <f t="shared" si="82"/>
        <v>-0.79663415821658434</v>
      </c>
      <c r="AO47" s="263">
        <f t="shared" si="82"/>
        <v>-0.76965801499423048</v>
      </c>
      <c r="AP47" s="263">
        <f t="shared" si="82"/>
        <v>-1.1721147303013124</v>
      </c>
      <c r="AQ47" s="263">
        <f t="shared" si="82"/>
        <v>-1.5036791326379575</v>
      </c>
      <c r="AR47" s="263">
        <f t="shared" si="82"/>
        <v>-1.0953289249451963</v>
      </c>
      <c r="AS47" s="263">
        <f t="shared" si="82"/>
        <v>1.9135794398242219</v>
      </c>
      <c r="AT47" s="263">
        <f t="shared" si="82"/>
        <v>-10.813844504382104</v>
      </c>
      <c r="AU47" s="263">
        <f t="shared" si="82"/>
        <v>189.46955214778629</v>
      </c>
      <c r="AV47" s="263">
        <f t="shared" si="82"/>
        <v>256.50126331179166</v>
      </c>
      <c r="AW47" s="263">
        <f t="shared" si="82"/>
        <v>393.8235353658697</v>
      </c>
      <c r="AX47" s="263">
        <f t="shared" si="82"/>
        <v>608.27622618645853</v>
      </c>
      <c r="AY47" s="263">
        <f t="shared" si="82"/>
        <v>1005.1397660836498</v>
      </c>
      <c r="AZ47" s="263">
        <f t="shared" si="82"/>
        <v>1357.3710436373362</v>
      </c>
      <c r="BA47" s="263">
        <f t="shared" si="82"/>
        <v>1768.7433219999998</v>
      </c>
      <c r="BB47" s="263">
        <f t="shared" si="82"/>
        <v>2306.0192940000002</v>
      </c>
      <c r="BC47" s="263">
        <f>BC29+BC29/BC$28*(BC$45-BC$26)</f>
        <v>2584.4441919999999</v>
      </c>
      <c r="BD47" s="263">
        <f ca="1">BD29+BD29/BD$28*(BD$45-BD$26)</f>
        <v>3177.5270298558576</v>
      </c>
      <c r="BE47" s="263">
        <f ca="1">BE29+BE29/BE$28*(BE$45-BE$26)</f>
        <v>4135.8153824208748</v>
      </c>
      <c r="BF47" s="263">
        <f ca="1">BF29+BF29/BF$28*(BF$45-BF$26)</f>
        <v>4655.9891936545882</v>
      </c>
      <c r="BG47" s="263">
        <f t="shared" ref="BG47:BN47" ca="1" si="83">BG29+BG29/BG$28*(BG$45-BG$26)</f>
        <v>5624.5954225763035</v>
      </c>
      <c r="BH47" s="263">
        <f t="shared" ca="1" si="83"/>
        <v>6318.7942868182445</v>
      </c>
      <c r="BI47" s="263">
        <f t="shared" ca="1" si="83"/>
        <v>5731.8982299362133</v>
      </c>
      <c r="BJ47" s="469">
        <f t="shared" ca="1" si="83"/>
        <v>7623.1614800569869</v>
      </c>
      <c r="BK47" s="469">
        <f t="shared" ca="1" si="83"/>
        <v>8998.9806459463634</v>
      </c>
      <c r="BL47" s="469">
        <f t="shared" ca="1" si="83"/>
        <v>10727.787195963167</v>
      </c>
      <c r="BM47" s="469">
        <f t="shared" ca="1" si="83"/>
        <v>11046.745767166025</v>
      </c>
      <c r="BN47" s="469">
        <f t="shared" ca="1" si="83"/>
        <v>11774.494406501601</v>
      </c>
      <c r="BO47" s="469">
        <f t="shared" ref="BO47:BT47" ca="1" si="84">BO29+BO29/BO$28*(BO$45-BO$26)</f>
        <v>11822.34629319793</v>
      </c>
      <c r="BP47" s="469">
        <f t="shared" ca="1" si="84"/>
        <v>12625.348300982701</v>
      </c>
      <c r="BQ47" s="469">
        <f t="shared" ca="1" si="84"/>
        <v>14328.410013582183</v>
      </c>
      <c r="BR47" s="469">
        <f t="shared" ca="1" si="84"/>
        <v>15118.615128772741</v>
      </c>
      <c r="BS47" s="469">
        <f t="shared" ca="1" si="84"/>
        <v>15676.573195132218</v>
      </c>
      <c r="BT47" s="469">
        <f t="shared" ca="1" si="84"/>
        <v>16350.084876570669</v>
      </c>
      <c r="BU47" s="469">
        <f t="shared" ref="BU47:CB47" ca="1" si="85">BU29+BU29/BU$28*(BU$45-BU$26)</f>
        <v>17124.746495922776</v>
      </c>
      <c r="BV47" s="469">
        <f t="shared" ca="1" si="85"/>
        <v>17933.881879275574</v>
      </c>
      <c r="BW47" s="469">
        <f t="shared" ca="1" si="85"/>
        <v>18783.642183891836</v>
      </c>
      <c r="BX47" s="469">
        <f t="shared" ca="1" si="85"/>
        <v>19677.771258204561</v>
      </c>
      <c r="BY47" s="469">
        <f t="shared" ca="1" si="85"/>
        <v>20650.536363841024</v>
      </c>
      <c r="BZ47" s="469">
        <f t="shared" ca="1" si="85"/>
        <v>21711.027632785015</v>
      </c>
      <c r="CA47" s="469">
        <f t="shared" ca="1" si="85"/>
        <v>22832.190654765822</v>
      </c>
      <c r="CB47" s="469">
        <f t="shared" ca="1" si="85"/>
        <v>24024.266054247513</v>
      </c>
      <c r="CC47" s="469">
        <f ca="1">CC29+CC29/CC$28*(CC$45-CC$26)</f>
        <v>25295.443133316003</v>
      </c>
      <c r="CE47" s="893">
        <f t="shared" ca="1" si="58"/>
        <v>-497.46123570167038</v>
      </c>
      <c r="CF47" s="893">
        <f t="shared" ca="1" si="59"/>
        <v>10.7630112596853</v>
      </c>
      <c r="CG47" s="893">
        <f t="shared" ca="1" si="60"/>
        <v>-52.688849511945591</v>
      </c>
      <c r="CH47" s="893">
        <f t="shared" ca="1" si="61"/>
        <v>5.4037744878169178</v>
      </c>
      <c r="CI47" s="893">
        <f t="shared" ca="1" si="62"/>
        <v>343.45452286425279</v>
      </c>
      <c r="CJ47" s="893">
        <f t="shared" ca="1" si="63"/>
        <v>33.072408583802826</v>
      </c>
      <c r="CK47" s="893">
        <f t="shared" ca="1" si="64"/>
        <v>-121.13984852984686</v>
      </c>
      <c r="CL47" s="893">
        <f t="shared" ca="1" si="65"/>
        <v>-23.281449491094463</v>
      </c>
      <c r="CM47" s="893">
        <f t="shared" ca="1" si="66"/>
        <v>-278.55088035034714</v>
      </c>
      <c r="CN47" s="893">
        <f t="shared" ca="1" si="67"/>
        <v>-433.00147778592327</v>
      </c>
      <c r="CO47" s="893">
        <f t="shared" ca="1" si="68"/>
        <v>-428.93979867950111</v>
      </c>
      <c r="CP47" s="893">
        <f t="shared" ca="1" si="69"/>
        <v>-361.66426529299497</v>
      </c>
      <c r="CQ47" s="893">
        <f t="shared" ca="1" si="70"/>
        <v>-264.50704811923424</v>
      </c>
      <c r="CR47" s="893">
        <f t="shared" ca="1" si="71"/>
        <v>-155.08336153670461</v>
      </c>
      <c r="CS47" s="893">
        <f t="shared" ca="1" si="72"/>
        <v>-36.813982190451497</v>
      </c>
      <c r="CT47" s="893">
        <f t="shared" ca="1" si="73"/>
        <v>96.091295482241549</v>
      </c>
      <c r="CU47" s="893">
        <f t="shared" ca="1" si="74"/>
        <v>243.73920724017808</v>
      </c>
      <c r="CV47" s="893">
        <f t="shared" ca="1" si="75"/>
        <v>405.99407093846094</v>
      </c>
      <c r="CW47" s="893">
        <f t="shared" ca="1" si="76"/>
        <v>581.38856659653902</v>
      </c>
      <c r="CX47" s="893">
        <f t="shared" ca="1" si="77"/>
        <v>771.41667150133435</v>
      </c>
      <c r="CY47" s="891"/>
      <c r="CZ47" s="892">
        <v>8120.6227157586573</v>
      </c>
      <c r="DA47" s="892">
        <v>8988.2176346866781</v>
      </c>
      <c r="DB47" s="892">
        <v>10780.476045475112</v>
      </c>
      <c r="DC47" s="892">
        <v>11041.341992678208</v>
      </c>
      <c r="DD47" s="892">
        <v>11431.039883637348</v>
      </c>
      <c r="DE47" s="892">
        <v>11789.273884614127</v>
      </c>
      <c r="DF47" s="892">
        <v>12746.488149512548</v>
      </c>
      <c r="DG47" s="892">
        <v>14351.691463073277</v>
      </c>
      <c r="DH47" s="892">
        <v>15397.166009123088</v>
      </c>
      <c r="DI47" s="892">
        <v>16109.574672918141</v>
      </c>
      <c r="DJ47" s="892">
        <v>16779.02467525017</v>
      </c>
      <c r="DK47" s="892">
        <v>17486.410761215771</v>
      </c>
      <c r="DL47" s="892">
        <v>18198.388927394808</v>
      </c>
      <c r="DM47" s="892">
        <v>18938.72554542854</v>
      </c>
      <c r="DN47" s="892">
        <v>19714.585240395012</v>
      </c>
      <c r="DO47" s="892">
        <v>20554.445068358782</v>
      </c>
      <c r="DP47" s="892">
        <v>21467.288425544837</v>
      </c>
      <c r="DQ47" s="892">
        <v>22426.196583827361</v>
      </c>
      <c r="DR47" s="892">
        <v>23442.877487650974</v>
      </c>
      <c r="DS47" s="892">
        <v>24524.026461814668</v>
      </c>
    </row>
    <row r="48" spans="1:123" s="264" customFormat="1">
      <c r="A48" s="481" t="str">
        <f t="shared" si="81"/>
        <v>Consumptie van de gezinnen</v>
      </c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263"/>
      <c r="AO48" s="263"/>
      <c r="AP48" s="263"/>
      <c r="AQ48" s="263"/>
      <c r="AR48" s="263"/>
      <c r="AS48" s="263"/>
      <c r="AT48" s="263"/>
      <c r="AU48" s="263"/>
      <c r="AV48" s="263"/>
      <c r="AW48" s="263"/>
      <c r="AX48" s="263"/>
      <c r="AY48" s="263"/>
      <c r="AZ48" s="263"/>
      <c r="BA48" s="263"/>
      <c r="BB48" s="263"/>
      <c r="BC48" s="263"/>
      <c r="BD48" s="263"/>
      <c r="BE48" s="263"/>
      <c r="BF48" s="263"/>
      <c r="BG48" s="263"/>
      <c r="BH48" s="263"/>
      <c r="BI48" s="263"/>
      <c r="BJ48" s="889">
        <f ca="1">BJ30/BJ29*BJ47</f>
        <v>7105.6262595610542</v>
      </c>
      <c r="BK48" s="889">
        <f t="shared" ref="BK48:BP48" ca="1" si="86">BK30/BK29*BK47</f>
        <v>7977.6310842864787</v>
      </c>
      <c r="BL48" s="889">
        <f t="shared" ca="1" si="86"/>
        <v>9770.2072487031819</v>
      </c>
      <c r="BM48" s="889">
        <f t="shared" ca="1" si="86"/>
        <v>10189.141456566638</v>
      </c>
      <c r="BN48" s="889">
        <f t="shared" ca="1" si="86"/>
        <v>10833.587376077867</v>
      </c>
      <c r="BO48" s="889">
        <f t="shared" ca="1" si="86"/>
        <v>10732.952473120988</v>
      </c>
      <c r="BP48" s="889">
        <f t="shared" ca="1" si="86"/>
        <v>11559.152643709915</v>
      </c>
      <c r="BQ48" s="889">
        <f ca="1">BQ30/BQ29*BQ47</f>
        <v>13187.172483429651</v>
      </c>
      <c r="BR48" s="889">
        <f ca="1">BR30/BR29*BR47</f>
        <v>13923.854645888036</v>
      </c>
      <c r="BS48" s="889">
        <f ca="1">BS30/BS29*BS47</f>
        <v>14421.202441534631</v>
      </c>
      <c r="BT48" s="889">
        <f ca="1">BT30/BT29*BT47</f>
        <v>15028.952060505218</v>
      </c>
      <c r="BU48" s="889">
        <f t="shared" ref="BU48:CB48" ca="1" si="87">BU30/BU29*BU47</f>
        <v>15733.833169950734</v>
      </c>
      <c r="BV48" s="889">
        <f t="shared" ca="1" si="87"/>
        <v>16472.983396156302</v>
      </c>
      <c r="BW48" s="889">
        <f t="shared" ca="1" si="87"/>
        <v>17249.331626839226</v>
      </c>
      <c r="BX48" s="889">
        <f t="shared" ca="1" si="87"/>
        <v>18066.53444621159</v>
      </c>
      <c r="BY48" s="889">
        <f t="shared" ca="1" si="87"/>
        <v>18957.970730092311</v>
      </c>
      <c r="BZ48" s="889">
        <f t="shared" ca="1" si="87"/>
        <v>19932.809325106344</v>
      </c>
      <c r="CA48" s="889">
        <f t="shared" ca="1" si="87"/>
        <v>20967.919931187793</v>
      </c>
      <c r="CB48" s="889">
        <f t="shared" ca="1" si="87"/>
        <v>22069.710973573892</v>
      </c>
      <c r="CC48" s="889">
        <f ca="1">CC30/CC29*CC47</f>
        <v>23246.148439306518</v>
      </c>
      <c r="CE48" s="896">
        <f t="shared" ca="1" si="58"/>
        <v>-494.70812105770892</v>
      </c>
      <c r="CF48" s="896">
        <f t="shared" ca="1" si="59"/>
        <v>15.214836942878719</v>
      </c>
      <c r="CG48" s="896">
        <f t="shared" ca="1" si="60"/>
        <v>-48.754124795823373</v>
      </c>
      <c r="CH48" s="896">
        <f t="shared" ca="1" si="61"/>
        <v>5.4037744878169178</v>
      </c>
      <c r="CI48" s="896">
        <f t="shared" ca="1" si="62"/>
        <v>349.54700250280439</v>
      </c>
      <c r="CJ48" s="896">
        <f t="shared" ca="1" si="63"/>
        <v>117.46389790624926</v>
      </c>
      <c r="CK48" s="896">
        <f t="shared" ca="1" si="64"/>
        <v>20.629178454024441</v>
      </c>
      <c r="CL48" s="896">
        <f t="shared" ca="1" si="65"/>
        <v>107.95309247899058</v>
      </c>
      <c r="CM48" s="896">
        <f t="shared" ca="1" si="66"/>
        <v>-149.61639150699193</v>
      </c>
      <c r="CN48" s="896">
        <f t="shared" ca="1" si="67"/>
        <v>-304.07715944752817</v>
      </c>
      <c r="CO48" s="896">
        <f t="shared" ca="1" si="68"/>
        <v>-301.78010792680834</v>
      </c>
      <c r="CP48" s="896">
        <f t="shared" ca="1" si="69"/>
        <v>-237.73701464358419</v>
      </c>
      <c r="CQ48" s="896">
        <f t="shared" ca="1" si="70"/>
        <v>-145.12920793024023</v>
      </c>
      <c r="CR48" s="896">
        <f t="shared" ca="1" si="71"/>
        <v>-41.031030913534778</v>
      </c>
      <c r="CS48" s="896">
        <f t="shared" ca="1" si="72"/>
        <v>71.197443293396645</v>
      </c>
      <c r="CT48" s="896">
        <f t="shared" ca="1" si="73"/>
        <v>196.99739300629153</v>
      </c>
      <c r="CU48" s="896">
        <f t="shared" ca="1" si="74"/>
        <v>336.66183464109781</v>
      </c>
      <c r="CV48" s="896">
        <f t="shared" ca="1" si="75"/>
        <v>489.76307219273076</v>
      </c>
      <c r="CW48" s="896">
        <f t="shared" ca="1" si="76"/>
        <v>655.06388631596201</v>
      </c>
      <c r="CX48" s="896">
        <f t="shared" ca="1" si="77"/>
        <v>834.00285830667417</v>
      </c>
      <c r="CY48" s="891"/>
      <c r="CZ48" s="892">
        <v>7600.3343806187631</v>
      </c>
      <c r="DA48" s="892">
        <v>7962.4162473435999</v>
      </c>
      <c r="DB48" s="892">
        <v>9818.9613734990053</v>
      </c>
      <c r="DC48" s="892">
        <v>10183.737682078821</v>
      </c>
      <c r="DD48" s="892">
        <v>10484.040373575062</v>
      </c>
      <c r="DE48" s="892">
        <v>10615.488575214738</v>
      </c>
      <c r="DF48" s="892">
        <v>11538.52346525589</v>
      </c>
      <c r="DG48" s="892">
        <v>13079.21939095066</v>
      </c>
      <c r="DH48" s="892">
        <v>14073.471037395027</v>
      </c>
      <c r="DI48" s="892">
        <v>14725.27960098216</v>
      </c>
      <c r="DJ48" s="892">
        <v>15330.732168432027</v>
      </c>
      <c r="DK48" s="892">
        <v>15971.570184594319</v>
      </c>
      <c r="DL48" s="892">
        <v>16618.112604086542</v>
      </c>
      <c r="DM48" s="892">
        <v>17290.362657752761</v>
      </c>
      <c r="DN48" s="892">
        <v>17995.337002918193</v>
      </c>
      <c r="DO48" s="892">
        <v>18760.973337086019</v>
      </c>
      <c r="DP48" s="892">
        <v>19596.147490465246</v>
      </c>
      <c r="DQ48" s="892">
        <v>20478.156858995062</v>
      </c>
      <c r="DR48" s="892">
        <v>21414.64708725793</v>
      </c>
      <c r="DS48" s="892">
        <v>22412.145580999844</v>
      </c>
    </row>
    <row r="49" spans="1:123" s="264" customFormat="1">
      <c r="A49" s="481" t="str">
        <f t="shared" si="81"/>
        <v>Netto materiele overheidsconsumptie</v>
      </c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  <c r="AV49" s="263"/>
      <c r="AW49" s="263"/>
      <c r="AX49" s="263"/>
      <c r="AY49" s="263"/>
      <c r="AZ49" s="263"/>
      <c r="BA49" s="263"/>
      <c r="BB49" s="263"/>
      <c r="BC49" s="263"/>
      <c r="BD49" s="263"/>
      <c r="BE49" s="263"/>
      <c r="BF49" s="263"/>
      <c r="BG49" s="263"/>
      <c r="BH49" s="263"/>
      <c r="BI49" s="263"/>
      <c r="BJ49" s="889">
        <f ca="1">BJ31/BJ29*BJ47</f>
        <v>517.53522049592902</v>
      </c>
      <c r="BK49" s="889">
        <f t="shared" ref="BK49:BP49" ca="1" si="88">BK31/BK29*BK47</f>
        <v>1021.3495616598856</v>
      </c>
      <c r="BL49" s="889">
        <f t="shared" ca="1" si="88"/>
        <v>957.57994725998628</v>
      </c>
      <c r="BM49" s="889">
        <f t="shared" ca="1" si="88"/>
        <v>857.60431059938594</v>
      </c>
      <c r="BN49" s="889">
        <f t="shared" ca="1" si="88"/>
        <v>940.9070304237332</v>
      </c>
      <c r="BO49" s="889">
        <f t="shared" ca="1" si="88"/>
        <v>1089.3938200769437</v>
      </c>
      <c r="BP49" s="889">
        <f t="shared" ca="1" si="88"/>
        <v>1066.1956572727902</v>
      </c>
      <c r="BQ49" s="889">
        <f ca="1">BQ31/BQ29*BQ47</f>
        <v>1141.2375301525365</v>
      </c>
      <c r="BR49" s="889">
        <f ca="1">BR31/BR29*BR47</f>
        <v>1194.7604828847204</v>
      </c>
      <c r="BS49" s="889">
        <f ca="1">BS31/BS29*BS47</f>
        <v>1255.3707535976021</v>
      </c>
      <c r="BT49" s="889">
        <f ca="1">BT31/BT29*BT47</f>
        <v>1321.13281606548</v>
      </c>
      <c r="BU49" s="889">
        <f t="shared" ref="BU49:CB49" ca="1" si="89">BU31/BU29*BU47</f>
        <v>1390.9133259720686</v>
      </c>
      <c r="BV49" s="889">
        <f t="shared" ca="1" si="89"/>
        <v>1460.8984831193141</v>
      </c>
      <c r="BW49" s="889">
        <f t="shared" ca="1" si="89"/>
        <v>1534.310557052678</v>
      </c>
      <c r="BX49" s="889">
        <f t="shared" ca="1" si="89"/>
        <v>1611.2368119930807</v>
      </c>
      <c r="BY49" s="889">
        <f t="shared" ca="1" si="89"/>
        <v>1692.5656337488699</v>
      </c>
      <c r="BZ49" s="889">
        <f t="shared" ca="1" si="89"/>
        <v>1778.2183076788949</v>
      </c>
      <c r="CA49" s="889">
        <f t="shared" ca="1" si="89"/>
        <v>1864.2707235783373</v>
      </c>
      <c r="CB49" s="889">
        <f t="shared" ca="1" si="89"/>
        <v>1954.5550806740794</v>
      </c>
      <c r="CC49" s="889">
        <f ca="1">CC31/CC29*CC47</f>
        <v>2049.2946940101715</v>
      </c>
      <c r="CE49" s="896">
        <f t="shared" ca="1" si="58"/>
        <v>-2.7531146439641816</v>
      </c>
      <c r="CF49" s="896">
        <f t="shared" ca="1" si="59"/>
        <v>-4.4518256831930785</v>
      </c>
      <c r="CG49" s="896">
        <f t="shared" ca="1" si="60"/>
        <v>-3.9347247161217638</v>
      </c>
      <c r="CH49" s="896">
        <f t="shared" ca="1" si="61"/>
        <v>0</v>
      </c>
      <c r="CI49" s="896">
        <f t="shared" ca="1" si="62"/>
        <v>-6.0924796385523905</v>
      </c>
      <c r="CJ49" s="896">
        <f t="shared" ca="1" si="63"/>
        <v>-84.391489322445068</v>
      </c>
      <c r="CK49" s="896">
        <f t="shared" ca="1" si="64"/>
        <v>-141.76902698386289</v>
      </c>
      <c r="CL49" s="896">
        <f t="shared" ca="1" si="65"/>
        <v>-131.2345419700664</v>
      </c>
      <c r="CM49" s="896">
        <f t="shared" ca="1" si="66"/>
        <v>-128.93448884333088</v>
      </c>
      <c r="CN49" s="896">
        <f t="shared" ca="1" si="67"/>
        <v>-128.92431833835917</v>
      </c>
      <c r="CO49" s="896">
        <f t="shared" ca="1" si="68"/>
        <v>-127.15969075262819</v>
      </c>
      <c r="CP49" s="896">
        <f t="shared" ca="1" si="69"/>
        <v>-123.92725064933757</v>
      </c>
      <c r="CQ49" s="896">
        <f t="shared" ca="1" si="70"/>
        <v>-119.37784018889101</v>
      </c>
      <c r="CR49" s="896">
        <f t="shared" ca="1" si="71"/>
        <v>-114.0523306230325</v>
      </c>
      <c r="CS49" s="896">
        <f t="shared" ca="1" si="72"/>
        <v>-108.01142548367898</v>
      </c>
      <c r="CT49" s="896">
        <f t="shared" ca="1" si="73"/>
        <v>-100.90609752386649</v>
      </c>
      <c r="CU49" s="896">
        <f t="shared" ca="1" si="74"/>
        <v>-92.922627400715783</v>
      </c>
      <c r="CV49" s="896">
        <f t="shared" ca="1" si="75"/>
        <v>-83.769001254056775</v>
      </c>
      <c r="CW49" s="896">
        <f t="shared" ca="1" si="76"/>
        <v>-73.675319719145591</v>
      </c>
      <c r="CX49" s="896">
        <f t="shared" ca="1" si="77"/>
        <v>-62.58618680490008</v>
      </c>
      <c r="CY49" s="891"/>
      <c r="CZ49" s="892">
        <v>520.28833513989321</v>
      </c>
      <c r="DA49" s="892">
        <v>1025.8013873430787</v>
      </c>
      <c r="DB49" s="892">
        <v>961.51467197610805</v>
      </c>
      <c r="DC49" s="892">
        <v>857.60431059938594</v>
      </c>
      <c r="DD49" s="892">
        <v>946.99951006228559</v>
      </c>
      <c r="DE49" s="892">
        <v>1173.7853093993888</v>
      </c>
      <c r="DF49" s="892">
        <v>1207.9646842566531</v>
      </c>
      <c r="DG49" s="892">
        <v>1272.4720721226029</v>
      </c>
      <c r="DH49" s="892">
        <v>1323.6949717280513</v>
      </c>
      <c r="DI49" s="892">
        <v>1384.2950719359612</v>
      </c>
      <c r="DJ49" s="892">
        <v>1448.2925068181082</v>
      </c>
      <c r="DK49" s="892">
        <v>1514.8405766214062</v>
      </c>
      <c r="DL49" s="892">
        <v>1580.2763233082051</v>
      </c>
      <c r="DM49" s="892">
        <v>1648.3628876757105</v>
      </c>
      <c r="DN49" s="892">
        <v>1719.2482374767596</v>
      </c>
      <c r="DO49" s="892">
        <v>1793.4717312727364</v>
      </c>
      <c r="DP49" s="892">
        <v>1871.1409350796107</v>
      </c>
      <c r="DQ49" s="892">
        <v>1948.0397248323941</v>
      </c>
      <c r="DR49" s="892">
        <v>2028.230400393225</v>
      </c>
      <c r="DS49" s="892">
        <v>2111.8808808150716</v>
      </c>
    </row>
    <row r="50" spans="1:123" s="264" customFormat="1">
      <c r="A50" s="450" t="str">
        <f t="shared" si="81"/>
        <v>Investeringen</v>
      </c>
      <c r="E50" s="263">
        <f t="shared" ref="E50:BB50" si="90">E32+E32/E$28*(E$45-E$26)</f>
        <v>-2.2717780709194876E-3</v>
      </c>
      <c r="F50" s="263">
        <f t="shared" si="90"/>
        <v>-2.6917243551286898E-3</v>
      </c>
      <c r="G50" s="263">
        <f t="shared" si="90"/>
        <v>-3.2048929076125346E-3</v>
      </c>
      <c r="H50" s="263">
        <f t="shared" si="90"/>
        <v>-5.1378908383989466E-3</v>
      </c>
      <c r="I50" s="263">
        <f t="shared" si="90"/>
        <v>-5.2104003312392691E-3</v>
      </c>
      <c r="J50" s="263">
        <f t="shared" si="90"/>
        <v>-5.6001438480994051E-3</v>
      </c>
      <c r="K50" s="263">
        <f t="shared" si="90"/>
        <v>-6.6810680604899447E-3</v>
      </c>
      <c r="L50" s="263">
        <f t="shared" si="90"/>
        <v>-9.2720423750798503E-3</v>
      </c>
      <c r="M50" s="263">
        <f t="shared" si="90"/>
        <v>-9.9658168904326327E-3</v>
      </c>
      <c r="N50" s="263">
        <f t="shared" si="90"/>
        <v>-1.0699378542140245E-2</v>
      </c>
      <c r="O50" s="263">
        <f t="shared" si="90"/>
        <v>-2.0631619792305933E-2</v>
      </c>
      <c r="P50" s="263">
        <f t="shared" si="90"/>
        <v>-2.0423381531375184E-2</v>
      </c>
      <c r="Q50" s="263">
        <f t="shared" si="90"/>
        <v>-1.4813092686880483E-2</v>
      </c>
      <c r="R50" s="263">
        <f t="shared" si="90"/>
        <v>-1.1077172811335675E-2</v>
      </c>
      <c r="S50" s="263">
        <f t="shared" si="90"/>
        <v>-1.0858482586763876E-2</v>
      </c>
      <c r="T50" s="263">
        <f t="shared" si="90"/>
        <v>-1.0807726331046888E-2</v>
      </c>
      <c r="U50" s="263">
        <f t="shared" si="90"/>
        <v>-1.2602798009327495E-2</v>
      </c>
      <c r="V50" s="263">
        <f t="shared" si="90"/>
        <v>-1.2734593745744732E-2</v>
      </c>
      <c r="W50" s="263">
        <f t="shared" si="90"/>
        <v>-1.6920930023520256E-2</v>
      </c>
      <c r="X50" s="263">
        <f t="shared" si="90"/>
        <v>-1.9739400417651848E-2</v>
      </c>
      <c r="Y50" s="263">
        <f t="shared" si="90"/>
        <v>-3.06896060388962E-2</v>
      </c>
      <c r="Z50" s="263">
        <f t="shared" si="90"/>
        <v>-4.4745511315937903E-2</v>
      </c>
      <c r="AA50" s="263">
        <f t="shared" si="90"/>
        <v>-3.3480951785667262E-2</v>
      </c>
      <c r="AB50" s="263">
        <f t="shared" si="90"/>
        <v>-4.8267741792408836E-2</v>
      </c>
      <c r="AC50" s="263">
        <f t="shared" si="90"/>
        <v>-4.5393906038618259E-2</v>
      </c>
      <c r="AD50" s="263">
        <f t="shared" si="90"/>
        <v>-4.1233799098728097E-2</v>
      </c>
      <c r="AE50" s="263">
        <f t="shared" si="90"/>
        <v>-5.6247562102020976E-2</v>
      </c>
      <c r="AF50" s="263">
        <f t="shared" si="90"/>
        <v>-8.1291948627796651E-2</v>
      </c>
      <c r="AG50" s="263">
        <f t="shared" si="90"/>
        <v>-9.0499954504311753E-2</v>
      </c>
      <c r="AH50" s="263">
        <f t="shared" si="90"/>
        <v>-5.296602647019566E-2</v>
      </c>
      <c r="AI50" s="263">
        <f t="shared" si="90"/>
        <v>-4.1032639532677218E-2</v>
      </c>
      <c r="AJ50" s="263">
        <f t="shared" si="90"/>
        <v>-4.7668849449386208E-2</v>
      </c>
      <c r="AK50" s="263">
        <f t="shared" si="90"/>
        <v>-5.6589262677465002E-2</v>
      </c>
      <c r="AL50" s="263">
        <f t="shared" si="90"/>
        <v>-6.0112017275128271E-2</v>
      </c>
      <c r="AM50" s="263">
        <f t="shared" si="90"/>
        <v>-6.7739506915804854E-2</v>
      </c>
      <c r="AN50" s="263">
        <f t="shared" si="90"/>
        <v>-6.5556610221691403E-2</v>
      </c>
      <c r="AO50" s="263">
        <f t="shared" si="90"/>
        <v>-0.10706356384893434</v>
      </c>
      <c r="AP50" s="263">
        <f t="shared" si="90"/>
        <v>-0.14808370635105361</v>
      </c>
      <c r="AQ50" s="263">
        <f t="shared" si="90"/>
        <v>-0.20386822522056902</v>
      </c>
      <c r="AR50" s="263">
        <f t="shared" si="90"/>
        <v>-0.21424172776789874</v>
      </c>
      <c r="AS50" s="263">
        <f t="shared" si="90"/>
        <v>-5.9354654081485165</v>
      </c>
      <c r="AT50" s="263">
        <f t="shared" si="90"/>
        <v>-3.7284088543248401</v>
      </c>
      <c r="AU50" s="263">
        <f t="shared" si="90"/>
        <v>165.83338622499997</v>
      </c>
      <c r="AV50" s="263">
        <f t="shared" si="90"/>
        <v>123.273605</v>
      </c>
      <c r="AW50" s="263">
        <f t="shared" si="90"/>
        <v>67.166997999999992</v>
      </c>
      <c r="AX50" s="263">
        <f t="shared" si="90"/>
        <v>134.33605617000003</v>
      </c>
      <c r="AY50" s="263">
        <f t="shared" si="90"/>
        <v>201.73418939999996</v>
      </c>
      <c r="AZ50" s="263">
        <f t="shared" si="90"/>
        <v>502.2864459999999</v>
      </c>
      <c r="BA50" s="263">
        <f t="shared" si="90"/>
        <v>564.32130400000017</v>
      </c>
      <c r="BB50" s="263">
        <f t="shared" si="90"/>
        <v>1076.4351769999998</v>
      </c>
      <c r="BC50" s="263">
        <f>BC32+BC32/BC$28*(BC$45-BC$26)</f>
        <v>1155.376591</v>
      </c>
      <c r="BD50" s="263">
        <f ca="1">BD32+BD32/BD$28*(BD$45-BD$26)</f>
        <v>2236.616901026131</v>
      </c>
      <c r="BE50" s="263">
        <f ca="1">BE32+BE32/BE$28*(BE$45-BE$26)</f>
        <v>1744.9990214016264</v>
      </c>
      <c r="BF50" s="263">
        <f ca="1">BF32+BF32/BF$28*(BF$45-BF$26)</f>
        <v>2058.8192302826037</v>
      </c>
      <c r="BG50" s="263">
        <f t="shared" ref="BG50:BN50" ca="1" si="91">BG32+BG32/BG$28*(BG$45-BG$26)</f>
        <v>2738.3475060596202</v>
      </c>
      <c r="BH50" s="263">
        <f t="shared" ca="1" si="91"/>
        <v>3313.033905197467</v>
      </c>
      <c r="BI50" s="263">
        <f t="shared" ca="1" si="91"/>
        <v>3189.3907077896056</v>
      </c>
      <c r="BJ50" s="469">
        <f t="shared" ca="1" si="91"/>
        <v>3871.7624351307713</v>
      </c>
      <c r="BK50" s="469">
        <f t="shared" ca="1" si="91"/>
        <v>5213.8728442738466</v>
      </c>
      <c r="BL50" s="469">
        <f t="shared" ca="1" si="91"/>
        <v>5035.130953238785</v>
      </c>
      <c r="BM50" s="469">
        <f t="shared" ca="1" si="91"/>
        <v>5963.8612328339714</v>
      </c>
      <c r="BN50" s="469">
        <f t="shared" ca="1" si="91"/>
        <v>6375.9206664603007</v>
      </c>
      <c r="BO50" s="469">
        <f t="shared" ref="BO50:BT50" ca="1" si="92">BO32+BO32/BO$28*(BO$45-BO$26)</f>
        <v>6841.1489313293414</v>
      </c>
      <c r="BP50" s="469">
        <f t="shared" ca="1" si="92"/>
        <v>6365.2394328297341</v>
      </c>
      <c r="BQ50" s="469">
        <f t="shared" ca="1" si="92"/>
        <v>6597.0301207867496</v>
      </c>
      <c r="BR50" s="469">
        <f t="shared" ca="1" si="92"/>
        <v>6917.2443571464246</v>
      </c>
      <c r="BS50" s="469">
        <f t="shared" ca="1" si="92"/>
        <v>7233.6004964261829</v>
      </c>
      <c r="BT50" s="469">
        <f t="shared" ca="1" si="92"/>
        <v>7698.7206213733498</v>
      </c>
      <c r="BU50" s="469">
        <f t="shared" ref="BU50:CB50" ca="1" si="93">BU32+BU32/BU$28*(BU$45-BU$26)</f>
        <v>8122.2846151149279</v>
      </c>
      <c r="BV50" s="469">
        <f t="shared" ca="1" si="93"/>
        <v>8573.1090067703735</v>
      </c>
      <c r="BW50" s="469">
        <f t="shared" ca="1" si="93"/>
        <v>9049.7975108861901</v>
      </c>
      <c r="BX50" s="469">
        <f t="shared" ca="1" si="93"/>
        <v>9555.3641592317508</v>
      </c>
      <c r="BY50" s="469">
        <f t="shared" ca="1" si="93"/>
        <v>10103.170001416993</v>
      </c>
      <c r="BZ50" s="469">
        <f t="shared" ca="1" si="93"/>
        <v>10699.353911977385</v>
      </c>
      <c r="CA50" s="469">
        <f t="shared" ca="1" si="93"/>
        <v>11340.323971400787</v>
      </c>
      <c r="CB50" s="469">
        <f t="shared" ca="1" si="93"/>
        <v>12025.866041341789</v>
      </c>
      <c r="CC50" s="469">
        <f ca="1">CC32+CC32/CC$28*(CC$45-CC$26)</f>
        <v>12760.959686204906</v>
      </c>
      <c r="CE50" s="893">
        <f t="shared" ca="1" si="58"/>
        <v>-15.671342307005489</v>
      </c>
      <c r="CF50" s="893">
        <f t="shared" ca="1" si="59"/>
        <v>-23.870166168663673</v>
      </c>
      <c r="CG50" s="893">
        <f t="shared" ca="1" si="60"/>
        <v>-21.333145685186537</v>
      </c>
      <c r="CH50" s="893">
        <f t="shared" ca="1" si="61"/>
        <v>-6.0737744878188096</v>
      </c>
      <c r="CI50" s="893">
        <f t="shared" ca="1" si="62"/>
        <v>1030.8437643703892</v>
      </c>
      <c r="CJ50" s="893">
        <f t="shared" ca="1" si="63"/>
        <v>1328.010557014728</v>
      </c>
      <c r="CK50" s="893">
        <f t="shared" ca="1" si="64"/>
        <v>1103.1905941000414</v>
      </c>
      <c r="CL50" s="893">
        <f t="shared" ca="1" si="65"/>
        <v>1413.2058853973276</v>
      </c>
      <c r="CM50" s="893">
        <f t="shared" ca="1" si="66"/>
        <v>1421.895987869525</v>
      </c>
      <c r="CN50" s="893">
        <f t="shared" ca="1" si="67"/>
        <v>1422.2122859461988</v>
      </c>
      <c r="CO50" s="893">
        <f t="shared" ca="1" si="68"/>
        <v>1462.6485514102797</v>
      </c>
      <c r="CP50" s="893">
        <f t="shared" ca="1" si="69"/>
        <v>1557.3346075678955</v>
      </c>
      <c r="CQ50" s="893">
        <f t="shared" ca="1" si="70"/>
        <v>1667.0323777096874</v>
      </c>
      <c r="CR50" s="893">
        <f t="shared" ca="1" si="71"/>
        <v>1785.3909524985447</v>
      </c>
      <c r="CS50" s="893">
        <f t="shared" ca="1" si="72"/>
        <v>1911.6550272103705</v>
      </c>
      <c r="CT50" s="893">
        <f t="shared" ca="1" si="73"/>
        <v>2051.2363930087095</v>
      </c>
      <c r="CU50" s="893">
        <f t="shared" ca="1" si="74"/>
        <v>2205.5195601102641</v>
      </c>
      <c r="CV50" s="893">
        <f t="shared" ca="1" si="75"/>
        <v>2373.9448794224991</v>
      </c>
      <c r="CW50" s="893">
        <f t="shared" ca="1" si="76"/>
        <v>2555.1217912733155</v>
      </c>
      <c r="CX50" s="893">
        <f t="shared" ca="1" si="77"/>
        <v>2750.4169057843574</v>
      </c>
      <c r="CY50" s="891"/>
      <c r="CZ50" s="892">
        <v>3887.4337774377768</v>
      </c>
      <c r="DA50" s="892">
        <v>5237.7430104425102</v>
      </c>
      <c r="DB50" s="892">
        <v>5056.4640989239715</v>
      </c>
      <c r="DC50" s="892">
        <v>5969.9350073217902</v>
      </c>
      <c r="DD50" s="892">
        <v>5345.0769020899115</v>
      </c>
      <c r="DE50" s="892">
        <v>5513.1383743146134</v>
      </c>
      <c r="DF50" s="892">
        <v>5262.0488387296928</v>
      </c>
      <c r="DG50" s="892">
        <v>5183.824235389422</v>
      </c>
      <c r="DH50" s="892">
        <v>5495.3483692768996</v>
      </c>
      <c r="DI50" s="892">
        <v>5811.3882104799841</v>
      </c>
      <c r="DJ50" s="892">
        <v>6236.0720699630701</v>
      </c>
      <c r="DK50" s="892">
        <v>6564.9500075470323</v>
      </c>
      <c r="DL50" s="892">
        <v>6906.0766290606862</v>
      </c>
      <c r="DM50" s="892">
        <v>7264.4065583876454</v>
      </c>
      <c r="DN50" s="892">
        <v>7643.7091320213804</v>
      </c>
      <c r="DO50" s="892">
        <v>8051.9336084082834</v>
      </c>
      <c r="DP50" s="892">
        <v>8493.8343518671209</v>
      </c>
      <c r="DQ50" s="892">
        <v>8966.3790919782878</v>
      </c>
      <c r="DR50" s="892">
        <v>9470.7442500684738</v>
      </c>
      <c r="DS50" s="892">
        <v>10010.542780420548</v>
      </c>
    </row>
    <row r="51" spans="1:123" s="264" customFormat="1">
      <c r="A51" s="481" t="str">
        <f t="shared" si="81"/>
        <v>Bruto investeringen van de bedrijven</v>
      </c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263"/>
      <c r="AM51" s="263"/>
      <c r="AN51" s="263"/>
      <c r="AO51" s="263"/>
      <c r="AP51" s="263"/>
      <c r="AQ51" s="263"/>
      <c r="AR51" s="263"/>
      <c r="AS51" s="263"/>
      <c r="AT51" s="263"/>
      <c r="AU51" s="263"/>
      <c r="AV51" s="263"/>
      <c r="AW51" s="263"/>
      <c r="AX51" s="263"/>
      <c r="AY51" s="263"/>
      <c r="AZ51" s="263"/>
      <c r="BA51" s="263"/>
      <c r="BB51" s="263"/>
      <c r="BC51" s="263"/>
      <c r="BD51" s="263"/>
      <c r="BE51" s="263"/>
      <c r="BF51" s="263"/>
      <c r="BG51" s="263"/>
      <c r="BH51" s="263"/>
      <c r="BI51" s="263"/>
      <c r="BJ51" s="889">
        <f ca="1">BJ33/BJ32*BJ50</f>
        <v>3253.3785209745138</v>
      </c>
      <c r="BK51" s="889">
        <f t="shared" ref="BK51:BP51" ca="1" si="94">BK33/BK32*BK50</f>
        <v>4529.2771676724369</v>
      </c>
      <c r="BL51" s="889">
        <f t="shared" ca="1" si="94"/>
        <v>4292.2102650696561</v>
      </c>
      <c r="BM51" s="889">
        <f t="shared" ca="1" si="94"/>
        <v>5070.8612328339714</v>
      </c>
      <c r="BN51" s="889">
        <f t="shared" ca="1" si="94"/>
        <v>5943.7494257878679</v>
      </c>
      <c r="BO51" s="889">
        <f t="shared" ca="1" si="94"/>
        <v>6382.8249713879422</v>
      </c>
      <c r="BP51" s="889">
        <f t="shared" ca="1" si="94"/>
        <v>5933.2089892962076</v>
      </c>
      <c r="BQ51" s="889">
        <f ca="1">BQ33/BQ32*BQ50</f>
        <v>6139.1989059926445</v>
      </c>
      <c r="BR51" s="889">
        <f ca="1">BR33/BR32*BR50</f>
        <v>6438.4034703024463</v>
      </c>
      <c r="BS51" s="889">
        <f ca="1">BS33/BS32*BS50</f>
        <v>6728.0807092044297</v>
      </c>
      <c r="BT51" s="889">
        <f ca="1">BT33/BT32*BT50</f>
        <v>7164.4506322740644</v>
      </c>
      <c r="BU51" s="889">
        <f t="shared" ref="BU51:CB51" ca="1" si="95">BU33/BU32*BU50</f>
        <v>7557.4864170203409</v>
      </c>
      <c r="BV51" s="889">
        <f t="shared" ca="1" si="95"/>
        <v>7977.2490218473276</v>
      </c>
      <c r="BW51" s="889">
        <f t="shared" ca="1" si="95"/>
        <v>8421.1342758512365</v>
      </c>
      <c r="BX51" s="889">
        <f t="shared" ca="1" si="95"/>
        <v>8892.0646370951581</v>
      </c>
      <c r="BY51" s="889">
        <f t="shared" ca="1" si="95"/>
        <v>9403.0203677512854</v>
      </c>
      <c r="BZ51" s="889">
        <f t="shared" ca="1" si="95"/>
        <v>9960.1695210508151</v>
      </c>
      <c r="CA51" s="889">
        <f t="shared" ca="1" si="95"/>
        <v>10561.291494474197</v>
      </c>
      <c r="CB51" s="889">
        <f t="shared" ca="1" si="95"/>
        <v>11204.755854553074</v>
      </c>
      <c r="CC51" s="889">
        <f ca="1">CC33/CC32*CC50</f>
        <v>11895.40765343875</v>
      </c>
      <c r="CE51" s="896">
        <f t="shared" ca="1" si="58"/>
        <v>-12.381746271350039</v>
      </c>
      <c r="CF51" s="896">
        <f t="shared" ca="1" si="59"/>
        <v>-20.886172509583957</v>
      </c>
      <c r="CG51" s="896">
        <f t="shared" ca="1" si="60"/>
        <v>-18.280462301180705</v>
      </c>
      <c r="CH51" s="896">
        <f t="shared" ca="1" si="61"/>
        <v>-6.0737744878188096</v>
      </c>
      <c r="CI51" s="896">
        <f t="shared" ca="1" si="62"/>
        <v>1033.6421221241626</v>
      </c>
      <c r="CJ51" s="896">
        <f t="shared" ca="1" si="63"/>
        <v>1367.6528369730122</v>
      </c>
      <c r="CK51" s="896">
        <f t="shared" ca="1" si="64"/>
        <v>1172.1432211905239</v>
      </c>
      <c r="CL51" s="896">
        <f t="shared" ca="1" si="65"/>
        <v>1482.5182776355159</v>
      </c>
      <c r="CM51" s="896">
        <f t="shared" ca="1" si="66"/>
        <v>1493.3282140103838</v>
      </c>
      <c r="CN51" s="896">
        <f t="shared" ca="1" si="67"/>
        <v>1496.9226807534678</v>
      </c>
      <c r="CO51" s="896">
        <f t="shared" ca="1" si="68"/>
        <v>1540.3773302894997</v>
      </c>
      <c r="CP51" s="896">
        <f t="shared" ca="1" si="69"/>
        <v>1637.9498175041217</v>
      </c>
      <c r="CQ51" s="896">
        <f t="shared" ca="1" si="70"/>
        <v>1750.3476102602681</v>
      </c>
      <c r="CR51" s="896">
        <f t="shared" ca="1" si="71"/>
        <v>1871.4528797066059</v>
      </c>
      <c r="CS51" s="896">
        <f t="shared" ca="1" si="72"/>
        <v>2000.5323816360424</v>
      </c>
      <c r="CT51" s="896">
        <f t="shared" ca="1" si="73"/>
        <v>2142.8760323063561</v>
      </c>
      <c r="CU51" s="896">
        <f t="shared" ca="1" si="74"/>
        <v>2299.9646662350488</v>
      </c>
      <c r="CV51" s="896">
        <f t="shared" ca="1" si="75"/>
        <v>2471.0299823729856</v>
      </c>
      <c r="CW51" s="896">
        <f t="shared" ca="1" si="76"/>
        <v>2654.8794062429024</v>
      </c>
      <c r="CX51" s="896">
        <f t="shared" ca="1" si="77"/>
        <v>2852.8773856214866</v>
      </c>
      <c r="CY51" s="891"/>
      <c r="CZ51" s="892">
        <v>3265.7602672458638</v>
      </c>
      <c r="DA51" s="892">
        <v>4550.1633401820209</v>
      </c>
      <c r="DB51" s="892">
        <v>4310.4907273708368</v>
      </c>
      <c r="DC51" s="892">
        <v>5076.9350073217902</v>
      </c>
      <c r="DD51" s="892">
        <v>4910.1073036637054</v>
      </c>
      <c r="DE51" s="892">
        <v>5015.17213441493</v>
      </c>
      <c r="DF51" s="892">
        <v>4761.0657681056837</v>
      </c>
      <c r="DG51" s="892">
        <v>4656.6806283571286</v>
      </c>
      <c r="DH51" s="892">
        <v>4945.0752562920625</v>
      </c>
      <c r="DI51" s="892">
        <v>5231.1580284509619</v>
      </c>
      <c r="DJ51" s="892">
        <v>5624.0733019845648</v>
      </c>
      <c r="DK51" s="892">
        <v>5919.5365995162192</v>
      </c>
      <c r="DL51" s="892">
        <v>6226.9014115870596</v>
      </c>
      <c r="DM51" s="892">
        <v>6549.6813961446305</v>
      </c>
      <c r="DN51" s="892">
        <v>6891.5322554591157</v>
      </c>
      <c r="DO51" s="892">
        <v>7260.1443354449293</v>
      </c>
      <c r="DP51" s="892">
        <v>7660.2048548157663</v>
      </c>
      <c r="DQ51" s="892">
        <v>8090.2615121012113</v>
      </c>
      <c r="DR51" s="892">
        <v>8549.8764483101713</v>
      </c>
      <c r="DS51" s="892">
        <v>9042.5302678172629</v>
      </c>
    </row>
    <row r="52" spans="1:123" s="264" customFormat="1">
      <c r="A52" s="481" t="str">
        <f t="shared" si="81"/>
        <v>Bruto investeringen van de overheid</v>
      </c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263"/>
      <c r="AL52" s="263"/>
      <c r="AM52" s="263"/>
      <c r="AN52" s="263"/>
      <c r="AO52" s="263"/>
      <c r="AP52" s="263"/>
      <c r="AQ52" s="263"/>
      <c r="AR52" s="263"/>
      <c r="AS52" s="263"/>
      <c r="AT52" s="263"/>
      <c r="AU52" s="263"/>
      <c r="AV52" s="263"/>
      <c r="AW52" s="263"/>
      <c r="AX52" s="263"/>
      <c r="AY52" s="263"/>
      <c r="AZ52" s="263"/>
      <c r="BA52" s="263"/>
      <c r="BB52" s="263"/>
      <c r="BC52" s="263"/>
      <c r="BD52" s="263"/>
      <c r="BE52" s="263"/>
      <c r="BF52" s="263"/>
      <c r="BG52" s="263"/>
      <c r="BH52" s="263"/>
      <c r="BI52" s="263"/>
      <c r="BJ52" s="889">
        <f ca="1">BJ34/BJ32*BJ50</f>
        <v>618.38391415625824</v>
      </c>
      <c r="BK52" s="889">
        <f t="shared" ref="BK52:BP52" ca="1" si="96">BK34/BK32*BK50</f>
        <v>684.59567660140999</v>
      </c>
      <c r="BL52" s="889">
        <f t="shared" ca="1" si="96"/>
        <v>742.92068816912922</v>
      </c>
      <c r="BM52" s="889">
        <f t="shared" ca="1" si="96"/>
        <v>892.99999999999977</v>
      </c>
      <c r="BN52" s="889">
        <f t="shared" ca="1" si="96"/>
        <v>432.17124067243378</v>
      </c>
      <c r="BO52" s="889">
        <f t="shared" ca="1" si="96"/>
        <v>458.32395994139836</v>
      </c>
      <c r="BP52" s="889">
        <f t="shared" ca="1" si="96"/>
        <v>432.03044353352385</v>
      </c>
      <c r="BQ52" s="889">
        <f ca="1">BQ34/BQ32*BQ50</f>
        <v>457.83121479410204</v>
      </c>
      <c r="BR52" s="889">
        <f ca="1">BR34/BR32*BR50</f>
        <v>478.8408868439721</v>
      </c>
      <c r="BS52" s="889">
        <f ca="1">BS34/BS32*BS50</f>
        <v>505.51978722174442</v>
      </c>
      <c r="BT52" s="889">
        <f ca="1">BT34/BT32*BT50</f>
        <v>534.26998909927079</v>
      </c>
      <c r="BU52" s="889">
        <f t="shared" ref="BU52:CB52" ca="1" si="97">BU34/BU32*BU50</f>
        <v>564.79819809456546</v>
      </c>
      <c r="BV52" s="889">
        <f t="shared" ca="1" si="97"/>
        <v>595.8599849230161</v>
      </c>
      <c r="BW52" s="889">
        <f t="shared" ca="1" si="97"/>
        <v>628.66323503492049</v>
      </c>
      <c r="BX52" s="889">
        <f t="shared" ca="1" si="97"/>
        <v>663.29952213655054</v>
      </c>
      <c r="BY52" s="889">
        <f t="shared" ca="1" si="97"/>
        <v>700.14963366564575</v>
      </c>
      <c r="BZ52" s="889">
        <f t="shared" ca="1" si="97"/>
        <v>739.18439092647236</v>
      </c>
      <c r="CA52" s="889">
        <f t="shared" ca="1" si="97"/>
        <v>779.03247692642537</v>
      </c>
      <c r="CB52" s="889">
        <f t="shared" ca="1" si="97"/>
        <v>821.11018678844061</v>
      </c>
      <c r="CC52" s="889">
        <f ca="1">CC34/CC32*CC50</f>
        <v>865.55203276571285</v>
      </c>
      <c r="CE52" s="896">
        <f t="shared" ca="1" si="58"/>
        <v>-3.289596035655677</v>
      </c>
      <c r="CF52" s="896">
        <f t="shared" ca="1" si="59"/>
        <v>-2.9839936590798288</v>
      </c>
      <c r="CG52" s="896">
        <f t="shared" ca="1" si="60"/>
        <v>-3.0526833840053769</v>
      </c>
      <c r="CH52" s="896">
        <f t="shared" ca="1" si="61"/>
        <v>0</v>
      </c>
      <c r="CI52" s="896">
        <f t="shared" ca="1" si="62"/>
        <v>-2.7983577537719384</v>
      </c>
      <c r="CJ52" s="896">
        <f t="shared" ca="1" si="63"/>
        <v>-39.642279958285656</v>
      </c>
      <c r="CK52" s="896">
        <f t="shared" ca="1" si="64"/>
        <v>-68.952627090485635</v>
      </c>
      <c r="CL52" s="896">
        <f t="shared" ca="1" si="65"/>
        <v>-69.312392238191592</v>
      </c>
      <c r="CM52" s="896">
        <f t="shared" ca="1" si="66"/>
        <v>-71.43222614086568</v>
      </c>
      <c r="CN52" s="896">
        <f t="shared" ca="1" si="67"/>
        <v>-74.710394807280068</v>
      </c>
      <c r="CO52" s="896">
        <f t="shared" ca="1" si="68"/>
        <v>-77.728778879239712</v>
      </c>
      <c r="CP52" s="896">
        <f t="shared" ca="1" si="69"/>
        <v>-80.615209936259248</v>
      </c>
      <c r="CQ52" s="896">
        <f t="shared" ca="1" si="70"/>
        <v>-83.315232550639053</v>
      </c>
      <c r="CR52" s="896">
        <f t="shared" ca="1" si="71"/>
        <v>-86.061927208148518</v>
      </c>
      <c r="CS52" s="896">
        <f t="shared" ca="1" si="72"/>
        <v>-88.877354425799467</v>
      </c>
      <c r="CT52" s="896">
        <f t="shared" ca="1" si="73"/>
        <v>-91.639639297829376</v>
      </c>
      <c r="CU52" s="896">
        <f t="shared" ca="1" si="74"/>
        <v>-94.445106125036432</v>
      </c>
      <c r="CV52" s="896">
        <f t="shared" ca="1" si="75"/>
        <v>-97.085102950820101</v>
      </c>
      <c r="CW52" s="896">
        <f t="shared" ca="1" si="76"/>
        <v>-99.757614970010309</v>
      </c>
      <c r="CX52" s="896">
        <f t="shared" ca="1" si="77"/>
        <v>-102.46047983763287</v>
      </c>
      <c r="CY52" s="891"/>
      <c r="CZ52" s="892">
        <v>621.67351019191392</v>
      </c>
      <c r="DA52" s="892">
        <v>687.57967026048982</v>
      </c>
      <c r="DB52" s="892">
        <v>745.9733715531346</v>
      </c>
      <c r="DC52" s="892">
        <v>892.99999999999966</v>
      </c>
      <c r="DD52" s="892">
        <v>434.96959842620572</v>
      </c>
      <c r="DE52" s="892">
        <v>497.96623989968401</v>
      </c>
      <c r="DF52" s="892">
        <v>500.98307062400949</v>
      </c>
      <c r="DG52" s="892">
        <v>527.14360703229363</v>
      </c>
      <c r="DH52" s="892">
        <v>550.27311298483778</v>
      </c>
      <c r="DI52" s="892">
        <v>580.23018202902449</v>
      </c>
      <c r="DJ52" s="892">
        <v>611.9987679785105</v>
      </c>
      <c r="DK52" s="892">
        <v>645.41340803082471</v>
      </c>
      <c r="DL52" s="892">
        <v>679.17521747365515</v>
      </c>
      <c r="DM52" s="892">
        <v>714.72516224306901</v>
      </c>
      <c r="DN52" s="892">
        <v>752.17687656235</v>
      </c>
      <c r="DO52" s="892">
        <v>791.78927296347513</v>
      </c>
      <c r="DP52" s="892">
        <v>833.62949705150879</v>
      </c>
      <c r="DQ52" s="892">
        <v>876.11757987724548</v>
      </c>
      <c r="DR52" s="892">
        <v>920.86780175845092</v>
      </c>
      <c r="DS52" s="892">
        <v>968.01251260334573</v>
      </c>
    </row>
    <row r="53" spans="1:123" s="264" customFormat="1">
      <c r="A53" s="263" t="str">
        <f t="shared" si="81"/>
        <v>Exporten</v>
      </c>
      <c r="E53" s="263">
        <f t="shared" ref="E53:BB53" si="98">E35+E35/E$28*(E$45-E$26)</f>
        <v>-5.7602111977307219E-3</v>
      </c>
      <c r="F53" s="263">
        <f t="shared" si="98"/>
        <v>-5.9287080150156532E-3</v>
      </c>
      <c r="G53" s="263">
        <f t="shared" si="98"/>
        <v>-7.342604331786004E-3</v>
      </c>
      <c r="H53" s="263">
        <f t="shared" si="98"/>
        <v>-9.6690942372245348E-3</v>
      </c>
      <c r="I53" s="263">
        <f t="shared" si="98"/>
        <v>-8.8911288181458686E-3</v>
      </c>
      <c r="J53" s="263">
        <f t="shared" si="98"/>
        <v>-1.1077208656140036E-2</v>
      </c>
      <c r="K53" s="263">
        <f t="shared" si="98"/>
        <v>-1.2563588352552432E-2</v>
      </c>
      <c r="L53" s="263">
        <f t="shared" si="98"/>
        <v>-1.595515263788036E-2</v>
      </c>
      <c r="M53" s="263">
        <f t="shared" si="98"/>
        <v>-1.5684496898269798E-2</v>
      </c>
      <c r="N53" s="263">
        <f t="shared" si="98"/>
        <v>-1.6467356650458273E-2</v>
      </c>
      <c r="O53" s="263">
        <f t="shared" si="98"/>
        <v>-1.7939190677969716E-2</v>
      </c>
      <c r="P53" s="263">
        <f t="shared" si="98"/>
        <v>-2.0375782602016945E-2</v>
      </c>
      <c r="Q53" s="263">
        <f t="shared" si="98"/>
        <v>-2.8101670114874189E-2</v>
      </c>
      <c r="R53" s="263">
        <f t="shared" si="98"/>
        <v>-2.8952163167880601E-2</v>
      </c>
      <c r="S53" s="263">
        <f t="shared" si="98"/>
        <v>-3.026175011504334E-2</v>
      </c>
      <c r="T53" s="263">
        <f t="shared" si="98"/>
        <v>-3.9278224331032452E-2</v>
      </c>
      <c r="U53" s="263">
        <f t="shared" si="98"/>
        <v>-4.6665746688503373E-2</v>
      </c>
      <c r="V53" s="263">
        <f t="shared" si="98"/>
        <v>-5.0250892191042507E-2</v>
      </c>
      <c r="W53" s="263">
        <f t="shared" si="98"/>
        <v>-5.9696434640257423E-2</v>
      </c>
      <c r="X53" s="263">
        <f t="shared" si="98"/>
        <v>-5.5423522828366489E-2</v>
      </c>
      <c r="Y53" s="263">
        <f t="shared" si="98"/>
        <v>-7.7203945316801859E-2</v>
      </c>
      <c r="Z53" s="263">
        <f t="shared" si="98"/>
        <v>-8.6467493533171402E-2</v>
      </c>
      <c r="AA53" s="263">
        <f t="shared" si="98"/>
        <v>-0.10353900080776102</v>
      </c>
      <c r="AB53" s="263">
        <f t="shared" si="98"/>
        <v>-0.12034042225020514</v>
      </c>
      <c r="AC53" s="263">
        <f t="shared" si="98"/>
        <v>-0.13993865408236905</v>
      </c>
      <c r="AD53" s="263">
        <f t="shared" si="98"/>
        <v>-0.15529198487508178</v>
      </c>
      <c r="AE53" s="263">
        <f t="shared" si="98"/>
        <v>-0.18445732432390805</v>
      </c>
      <c r="AF53" s="263">
        <f t="shared" si="98"/>
        <v>-0.18818067662070903</v>
      </c>
      <c r="AG53" s="263">
        <f t="shared" si="98"/>
        <v>-0.21536136467433797</v>
      </c>
      <c r="AH53" s="263">
        <f t="shared" si="98"/>
        <v>-0.21050418022504791</v>
      </c>
      <c r="AI53" s="263">
        <f t="shared" si="98"/>
        <v>-0.21326313592269419</v>
      </c>
      <c r="AJ53" s="263">
        <f t="shared" si="98"/>
        <v>-0.19505404348905708</v>
      </c>
      <c r="AK53" s="263">
        <f t="shared" si="98"/>
        <v>-0.19409802674409593</v>
      </c>
      <c r="AL53" s="263">
        <f t="shared" si="98"/>
        <v>-0.22293756206358484</v>
      </c>
      <c r="AM53" s="263">
        <f t="shared" si="98"/>
        <v>-0.22838937065364773</v>
      </c>
      <c r="AN53" s="263">
        <f t="shared" si="98"/>
        <v>-0.26514718401076887</v>
      </c>
      <c r="AO53" s="263">
        <f t="shared" si="98"/>
        <v>-0.15582694857892565</v>
      </c>
      <c r="AP53" s="263">
        <f t="shared" si="98"/>
        <v>-0.12992189921691144</v>
      </c>
      <c r="AQ53" s="263">
        <f t="shared" si="98"/>
        <v>-0.12200471212920283</v>
      </c>
      <c r="AR53" s="263">
        <f t="shared" si="98"/>
        <v>-1.3507052599406091</v>
      </c>
      <c r="AS53" s="263">
        <f t="shared" si="98"/>
        <v>-5.9199079074954142</v>
      </c>
      <c r="AT53" s="263">
        <f t="shared" si="98"/>
        <v>-14.137711709723447</v>
      </c>
      <c r="AU53" s="263">
        <f t="shared" si="98"/>
        <v>194.72927249999995</v>
      </c>
      <c r="AV53" s="263">
        <f t="shared" si="98"/>
        <v>197.89350000000002</v>
      </c>
      <c r="AW53" s="263">
        <f t="shared" si="98"/>
        <v>169.10169999999997</v>
      </c>
      <c r="AX53" s="263">
        <f t="shared" si="98"/>
        <v>446.37928100000005</v>
      </c>
      <c r="AY53" s="263">
        <f t="shared" si="98"/>
        <v>694.58854699999983</v>
      </c>
      <c r="AZ53" s="263">
        <f t="shared" si="98"/>
        <v>1081.4073999999998</v>
      </c>
      <c r="BA53" s="263">
        <f t="shared" si="98"/>
        <v>948.92817100000036</v>
      </c>
      <c r="BB53" s="263">
        <f t="shared" si="98"/>
        <v>1577.6179799999993</v>
      </c>
      <c r="BC53" s="263">
        <f>BC35+BC35/BC$28*(BC$45-BC$26)</f>
        <v>2209.0720000000001</v>
      </c>
      <c r="BD53" s="263">
        <f ca="1">BD35+BD35/BD$28*(BD$45-BD$26)</f>
        <v>2747.4730995891755</v>
      </c>
      <c r="BE53" s="263">
        <f ca="1">BE35+BE35/BE$28*(BE$45-BE$26)</f>
        <v>3121.003072982181</v>
      </c>
      <c r="BF53" s="263">
        <f ca="1">BF35+BF35/BF$28*(BF$45-BF$26)</f>
        <v>4217.1058393087797</v>
      </c>
      <c r="BG53" s="263">
        <f t="shared" ref="BG53:BN53" ca="1" si="99">BG35+BG35/BG$28*(BG$45-BG$26)</f>
        <v>5468.2099494682734</v>
      </c>
      <c r="BH53" s="263">
        <f t="shared" ca="1" si="99"/>
        <v>5263.3872005621806</v>
      </c>
      <c r="BI53" s="263">
        <f t="shared" ca="1" si="99"/>
        <v>6944.9381201475117</v>
      </c>
      <c r="BJ53" s="469">
        <f t="shared" ca="1" si="99"/>
        <v>8212.598019638579</v>
      </c>
      <c r="BK53" s="469">
        <f t="shared" ca="1" si="99"/>
        <v>9041.2103208467761</v>
      </c>
      <c r="BL53" s="469">
        <f t="shared" ca="1" si="99"/>
        <v>8541.8632766331648</v>
      </c>
      <c r="BM53" s="469">
        <f t="shared" ca="1" si="99"/>
        <v>7892.5999999999985</v>
      </c>
      <c r="BN53" s="469">
        <f t="shared" ca="1" si="99"/>
        <v>6493.6078205371923</v>
      </c>
      <c r="BO53" s="469">
        <f t="shared" ref="BO53:BT53" ca="1" si="100">BO35+BO35/BO$28*(BO$45-BO$26)</f>
        <v>6910.6949035161724</v>
      </c>
      <c r="BP53" s="469">
        <f t="shared" ca="1" si="100"/>
        <v>7405.6525297174758</v>
      </c>
      <c r="BQ53" s="469">
        <f t="shared" ca="1" si="100"/>
        <v>7841.4988156356903</v>
      </c>
      <c r="BR53" s="469">
        <f t="shared" ca="1" si="100"/>
        <v>7848.9680362106465</v>
      </c>
      <c r="BS53" s="469">
        <f t="shared" ca="1" si="100"/>
        <v>8041.6847945724567</v>
      </c>
      <c r="BT53" s="469">
        <f t="shared" ca="1" si="100"/>
        <v>8378.4651747559292</v>
      </c>
      <c r="BU53" s="469">
        <f t="shared" ref="BU53:CB53" ca="1" si="101">BU35+BU35/BU$28*(BU$45-BU$26)</f>
        <v>8732.885862487823</v>
      </c>
      <c r="BV53" s="469">
        <f t="shared" ca="1" si="101"/>
        <v>9106.611912401575</v>
      </c>
      <c r="BW53" s="469">
        <f t="shared" ca="1" si="101"/>
        <v>9500.245032546718</v>
      </c>
      <c r="BX53" s="469">
        <f t="shared" ca="1" si="101"/>
        <v>9915.0695038296908</v>
      </c>
      <c r="BY53" s="469">
        <f t="shared" ca="1" si="101"/>
        <v>10547.174958448508</v>
      </c>
      <c r="BZ53" s="469">
        <f t="shared" ca="1" si="101"/>
        <v>11225.305914208697</v>
      </c>
      <c r="CA53" s="469">
        <f t="shared" ca="1" si="101"/>
        <v>11953.364624804624</v>
      </c>
      <c r="CB53" s="469">
        <f t="shared" ca="1" si="101"/>
        <v>12734.197994722639</v>
      </c>
      <c r="CC53" s="469">
        <f ca="1">CC35+CC35/CC$28*(CC$45-CC$26)</f>
        <v>13571.760810239906</v>
      </c>
      <c r="CE53" s="893">
        <f t="shared" ca="1" si="58"/>
        <v>478.74405018695779</v>
      </c>
      <c r="CF53" s="893">
        <f t="shared" ca="1" si="59"/>
        <v>-22.355731948695393</v>
      </c>
      <c r="CG53" s="893">
        <f t="shared" ca="1" si="60"/>
        <v>37.293207040729612</v>
      </c>
      <c r="CH53" s="893">
        <f t="shared" ca="1" si="61"/>
        <v>0.67000000000098225</v>
      </c>
      <c r="CI53" s="893">
        <f t="shared" ca="1" si="62"/>
        <v>-365.47115326138555</v>
      </c>
      <c r="CJ53" s="893">
        <f t="shared" ca="1" si="63"/>
        <v>-96.018985847621479</v>
      </c>
      <c r="CK53" s="893">
        <f t="shared" ca="1" si="64"/>
        <v>-98.270917539597576</v>
      </c>
      <c r="CL53" s="893">
        <f t="shared" ca="1" si="65"/>
        <v>-833.23778435181703</v>
      </c>
      <c r="CM53" s="893">
        <f t="shared" ca="1" si="66"/>
        <v>-1291.8072079543181</v>
      </c>
      <c r="CN53" s="893">
        <f t="shared" ca="1" si="67"/>
        <v>-1493.8189056757528</v>
      </c>
      <c r="CO53" s="893">
        <f t="shared" ca="1" si="68"/>
        <v>-1573.1656245869399</v>
      </c>
      <c r="CP53" s="893">
        <f t="shared" ca="1" si="69"/>
        <v>-1655.9819643910723</v>
      </c>
      <c r="CQ53" s="893">
        <f t="shared" ca="1" si="70"/>
        <v>-1742.6657314525328</v>
      </c>
      <c r="CR53" s="893">
        <f t="shared" ca="1" si="71"/>
        <v>-1833.6631919769898</v>
      </c>
      <c r="CS53" s="893">
        <f t="shared" ca="1" si="72"/>
        <v>-1929.2326470795742</v>
      </c>
      <c r="CT53" s="893">
        <f t="shared" ca="1" si="73"/>
        <v>-2080.3287424398659</v>
      </c>
      <c r="CU53" s="893">
        <f t="shared" ca="1" si="74"/>
        <v>-2242.0298727148202</v>
      </c>
      <c r="CV53" s="893">
        <f t="shared" ca="1" si="75"/>
        <v>-2414.806985125535</v>
      </c>
      <c r="CW53" s="893">
        <f t="shared" ca="1" si="76"/>
        <v>-2599.8624091080856</v>
      </c>
      <c r="CX53" s="893">
        <f t="shared" ca="1" si="77"/>
        <v>-2798.0545984062628</v>
      </c>
      <c r="CY53" s="891"/>
      <c r="CZ53" s="892">
        <v>7733.8539694516212</v>
      </c>
      <c r="DA53" s="892">
        <v>9063.5660527954715</v>
      </c>
      <c r="DB53" s="892">
        <v>8504.5700695924352</v>
      </c>
      <c r="DC53" s="892">
        <v>7891.9299999999976</v>
      </c>
      <c r="DD53" s="892">
        <v>6859.0789737985779</v>
      </c>
      <c r="DE53" s="892">
        <v>7006.7138893637939</v>
      </c>
      <c r="DF53" s="892">
        <v>7503.9234472570733</v>
      </c>
      <c r="DG53" s="892">
        <v>8674.7365999875074</v>
      </c>
      <c r="DH53" s="892">
        <v>9140.7752441649645</v>
      </c>
      <c r="DI53" s="892">
        <v>9535.5037002482095</v>
      </c>
      <c r="DJ53" s="892">
        <v>9951.6307993428691</v>
      </c>
      <c r="DK53" s="892">
        <v>10388.867826878895</v>
      </c>
      <c r="DL53" s="892">
        <v>10849.277643854108</v>
      </c>
      <c r="DM53" s="892">
        <v>11333.908224523708</v>
      </c>
      <c r="DN53" s="892">
        <v>11844.302150909265</v>
      </c>
      <c r="DO53" s="892">
        <v>12627.503700888374</v>
      </c>
      <c r="DP53" s="892">
        <v>13467.335786923517</v>
      </c>
      <c r="DQ53" s="892">
        <v>14368.171609930159</v>
      </c>
      <c r="DR53" s="892">
        <v>15334.060403830725</v>
      </c>
      <c r="DS53" s="892">
        <v>16369.815408646169</v>
      </c>
    </row>
    <row r="54" spans="1:123" s="264" customFormat="1">
      <c r="A54" s="263" t="str">
        <f>A37</f>
        <v>Importen</v>
      </c>
      <c r="E54" s="263">
        <f t="shared" ref="E54:BB54" si="102">E37+E37/E$28*(E$45-E$26)</f>
        <v>-4.3355983625523731E-3</v>
      </c>
      <c r="F54" s="263">
        <f t="shared" si="102"/>
        <v>-4.8047389818885594E-3</v>
      </c>
      <c r="G54" s="263">
        <f t="shared" si="102"/>
        <v>-6.0876135767577028E-3</v>
      </c>
      <c r="H54" s="263">
        <f t="shared" si="102"/>
        <v>-8.312616832995251E-3</v>
      </c>
      <c r="I54" s="263">
        <f t="shared" si="102"/>
        <v>-8.0180151366064101E-3</v>
      </c>
      <c r="J54" s="263">
        <f t="shared" si="102"/>
        <v>-9.9045536608124152E-3</v>
      </c>
      <c r="K54" s="263">
        <f t="shared" si="102"/>
        <v>-1.2073035077104929E-2</v>
      </c>
      <c r="L54" s="263">
        <f t="shared" si="102"/>
        <v>-1.6073162028434534E-2</v>
      </c>
      <c r="M54" s="263">
        <f t="shared" si="102"/>
        <v>-1.6102722478543371E-2</v>
      </c>
      <c r="N54" s="263">
        <f t="shared" si="102"/>
        <v>-1.669228176173615E-2</v>
      </c>
      <c r="O54" s="263">
        <f t="shared" si="102"/>
        <v>-2.3620724474798571E-2</v>
      </c>
      <c r="P54" s="263">
        <f t="shared" si="102"/>
        <v>-2.5375940973564243E-2</v>
      </c>
      <c r="Q54" s="263">
        <f t="shared" si="102"/>
        <v>-2.3574593377442415E-2</v>
      </c>
      <c r="R54" s="263">
        <f t="shared" si="102"/>
        <v>-2.3810268386430022E-2</v>
      </c>
      <c r="S54" s="263">
        <f t="shared" si="102"/>
        <v>-2.2617348087287215E-2</v>
      </c>
      <c r="T54" s="263">
        <f t="shared" si="102"/>
        <v>-2.8575026673172493E-2</v>
      </c>
      <c r="U54" s="263">
        <f t="shared" si="102"/>
        <v>-3.4822946935380267E-2</v>
      </c>
      <c r="V54" s="263">
        <f t="shared" si="102"/>
        <v>-3.5632629817937966E-2</v>
      </c>
      <c r="W54" s="263">
        <f t="shared" si="102"/>
        <v>-4.3449888429515415E-2</v>
      </c>
      <c r="X54" s="263">
        <f t="shared" si="102"/>
        <v>-4.5004464263587785E-2</v>
      </c>
      <c r="Y54" s="263">
        <f t="shared" si="102"/>
        <v>-6.3880577174033948E-2</v>
      </c>
      <c r="Z54" s="263">
        <f t="shared" si="102"/>
        <v>-7.776944482038084E-2</v>
      </c>
      <c r="AA54" s="263">
        <f t="shared" si="102"/>
        <v>-8.9491050703832231E-2</v>
      </c>
      <c r="AB54" s="263">
        <f t="shared" si="102"/>
        <v>-0.12234040878804386</v>
      </c>
      <c r="AC54" s="263">
        <f t="shared" si="102"/>
        <v>-0.12758811289251415</v>
      </c>
      <c r="AD54" s="263">
        <f t="shared" si="102"/>
        <v>-0.13127158511152504</v>
      </c>
      <c r="AE54" s="263">
        <f t="shared" si="102"/>
        <v>-0.16936981560658126</v>
      </c>
      <c r="AF54" s="263">
        <f t="shared" si="102"/>
        <v>-0.19463527286800142</v>
      </c>
      <c r="AG54" s="263">
        <f t="shared" si="102"/>
        <v>-0.2380883868212007</v>
      </c>
      <c r="AH54" s="263">
        <f t="shared" si="102"/>
        <v>-0.23081502755949557</v>
      </c>
      <c r="AI54" s="263">
        <f t="shared" si="102"/>
        <v>-0.2111479771182595</v>
      </c>
      <c r="AJ54" s="263">
        <f t="shared" si="102"/>
        <v>-0.19156600988141315</v>
      </c>
      <c r="AK54" s="263">
        <f t="shared" si="102"/>
        <v>-0.2206915324007328</v>
      </c>
      <c r="AL54" s="263">
        <f t="shared" si="102"/>
        <v>-0.30656587986074701</v>
      </c>
      <c r="AM54" s="263">
        <f t="shared" si="102"/>
        <v>-0.35027867546534686</v>
      </c>
      <c r="AN54" s="263">
        <f t="shared" si="102"/>
        <v>-0.46674165973503179</v>
      </c>
      <c r="AO54" s="263">
        <f t="shared" si="102"/>
        <v>-0.41408724868917979</v>
      </c>
      <c r="AP54" s="263">
        <f t="shared" si="102"/>
        <v>-0.655187152297668</v>
      </c>
      <c r="AQ54" s="263">
        <f t="shared" si="102"/>
        <v>-0.84010085194697304</v>
      </c>
      <c r="AR54" s="263">
        <f t="shared" si="102"/>
        <v>-1.4887793752264855</v>
      </c>
      <c r="AS54" s="263">
        <f t="shared" si="102"/>
        <v>-5.9286537973256088</v>
      </c>
      <c r="AT54" s="263">
        <f t="shared" si="102"/>
        <v>-13.272008280791994</v>
      </c>
      <c r="AU54" s="263">
        <f t="shared" si="102"/>
        <v>232.09548249999995</v>
      </c>
      <c r="AV54" s="263">
        <f t="shared" si="102"/>
        <v>224.27929999999998</v>
      </c>
      <c r="AW54" s="263">
        <f t="shared" si="102"/>
        <v>230.09379999999999</v>
      </c>
      <c r="AX54" s="263">
        <f t="shared" si="102"/>
        <v>408.88720500000005</v>
      </c>
      <c r="AY54" s="263">
        <f t="shared" si="102"/>
        <v>599.62475099999983</v>
      </c>
      <c r="AZ54" s="263">
        <f t="shared" si="102"/>
        <v>1028.03415</v>
      </c>
      <c r="BA54" s="263">
        <f t="shared" si="102"/>
        <v>1135.5491600000003</v>
      </c>
      <c r="BB54" s="263">
        <f t="shared" si="102"/>
        <v>1832.7443199999993</v>
      </c>
      <c r="BC54" s="263">
        <f>BC37+BC37/BC$28*(BC$45-BC$26)</f>
        <v>2023.16</v>
      </c>
      <c r="BD54" s="263">
        <f ca="1">BD37+BD37/BD$28*(BD$45-BD$26)</f>
        <v>2557.3270174711683</v>
      </c>
      <c r="BE54" s="263">
        <f ca="1">BE37+BE37/BE$28*(BE$45-BE$26)</f>
        <v>2398.524063747157</v>
      </c>
      <c r="BF54" s="263">
        <f ca="1">BF37+BF37/BF$28*(BF$45-BF$26)</f>
        <v>3563.8140323882626</v>
      </c>
      <c r="BG54" s="263">
        <f t="shared" ref="BG54:BN54" ca="1" si="103">BG37+BG37/BG$28*(BG$45-BG$26)</f>
        <v>4891.6437477637237</v>
      </c>
      <c r="BH54" s="263">
        <f t="shared" ca="1" si="103"/>
        <v>5224.4222375731215</v>
      </c>
      <c r="BI54" s="263">
        <f t="shared" ca="1" si="103"/>
        <v>4948.5110578733293</v>
      </c>
      <c r="BJ54" s="469">
        <f t="shared" ca="1" si="103"/>
        <v>6464.4145378263347</v>
      </c>
      <c r="BK54" s="469">
        <f t="shared" ca="1" si="103"/>
        <v>8135.9888110669835</v>
      </c>
      <c r="BL54" s="469">
        <f t="shared" ca="1" si="103"/>
        <v>8938.5544258351147</v>
      </c>
      <c r="BM54" s="469">
        <f t="shared" ca="1" si="103"/>
        <v>9219.869999999999</v>
      </c>
      <c r="BN54" s="469">
        <f t="shared" ca="1" si="103"/>
        <v>9060.6528934990947</v>
      </c>
      <c r="BO54" s="469">
        <f t="shared" ref="BO54:BT54" ca="1" si="104">BO37+BO37/BO$28*(BO$45-BO$26)</f>
        <v>9178.4092928751197</v>
      </c>
      <c r="BP54" s="469">
        <f t="shared" ca="1" si="104"/>
        <v>8890.3975590517639</v>
      </c>
      <c r="BQ54" s="469">
        <f t="shared" ca="1" si="104"/>
        <v>9513.9991494854658</v>
      </c>
      <c r="BR54" s="469">
        <f t="shared" ca="1" si="104"/>
        <v>9923.2854960383011</v>
      </c>
      <c r="BS54" s="469">
        <f t="shared" ca="1" si="104"/>
        <v>10429.912498090542</v>
      </c>
      <c r="BT54" s="469">
        <f t="shared" ca="1" si="104"/>
        <v>11124.132370876698</v>
      </c>
      <c r="BU54" s="469">
        <f t="shared" ref="BU54:CB54" ca="1" si="105">BU37+BU37/BU$28*(BU$45-BU$26)</f>
        <v>11841.085845383066</v>
      </c>
      <c r="BV54" s="469">
        <f t="shared" ca="1" si="105"/>
        <v>12607.662364546761</v>
      </c>
      <c r="BW54" s="469">
        <f t="shared" ca="1" si="105"/>
        <v>13428.972034047783</v>
      </c>
      <c r="BX54" s="469">
        <f t="shared" ca="1" si="105"/>
        <v>14310.962851330387</v>
      </c>
      <c r="BY54" s="469">
        <f t="shared" ca="1" si="105"/>
        <v>15245.934805814511</v>
      </c>
      <c r="BZ54" s="469">
        <f t="shared" ca="1" si="105"/>
        <v>16266.000753962344</v>
      </c>
      <c r="CA54" s="469">
        <f t="shared" ca="1" si="105"/>
        <v>17364.384012372673</v>
      </c>
      <c r="CB54" s="469">
        <f t="shared" ca="1" si="105"/>
        <v>18547.769182448632</v>
      </c>
      <c r="CC54" s="469">
        <f ca="1">CC37+CC37/CC$28*(CC$45-CC$26)</f>
        <v>19825.149421639268</v>
      </c>
      <c r="CE54" s="895">
        <f t="shared" ca="1" si="58"/>
        <v>-34.388527821722164</v>
      </c>
      <c r="CF54" s="895">
        <f t="shared" ca="1" si="59"/>
        <v>-35.462886857673766</v>
      </c>
      <c r="CG54" s="895">
        <f t="shared" ca="1" si="60"/>
        <v>-36.728788156404335</v>
      </c>
      <c r="CH54" s="895">
        <f t="shared" ca="1" si="61"/>
        <v>0</v>
      </c>
      <c r="CI54" s="895">
        <f t="shared" ca="1" si="62"/>
        <v>1008.8271339732555</v>
      </c>
      <c r="CJ54" s="895">
        <f t="shared" ca="1" si="63"/>
        <v>1543.4284451868562</v>
      </c>
      <c r="CK54" s="895">
        <f t="shared" ca="1" si="64"/>
        <v>1360.2478860222955</v>
      </c>
      <c r="CL54" s="895">
        <f t="shared" ca="1" si="65"/>
        <v>1367.9148903407586</v>
      </c>
      <c r="CM54" s="895">
        <f t="shared" ca="1" si="66"/>
        <v>1174.6291357276132</v>
      </c>
      <c r="CN54" s="895">
        <f t="shared" ca="1" si="67"/>
        <v>1030.1850019442663</v>
      </c>
      <c r="CO54" s="895">
        <f t="shared" ca="1" si="68"/>
        <v>1037.5656673876274</v>
      </c>
      <c r="CP54" s="895">
        <f t="shared" ca="1" si="69"/>
        <v>1082.9973520147287</v>
      </c>
      <c r="CQ54" s="895">
        <f t="shared" ca="1" si="70"/>
        <v>1140.1316096166101</v>
      </c>
      <c r="CR54" s="895">
        <f t="shared" ca="1" si="71"/>
        <v>1201.5036211279839</v>
      </c>
      <c r="CS54" s="895">
        <f t="shared" ca="1" si="72"/>
        <v>1265.943382458714</v>
      </c>
      <c r="CT54" s="895">
        <f t="shared" ca="1" si="73"/>
        <v>1338.6795326594456</v>
      </c>
      <c r="CU54" s="895">
        <f t="shared" ca="1" si="74"/>
        <v>1420.1390337625817</v>
      </c>
      <c r="CV54" s="895">
        <f t="shared" ca="1" si="75"/>
        <v>1509.762179661393</v>
      </c>
      <c r="CW54" s="895">
        <f t="shared" ca="1" si="76"/>
        <v>1605.7569803507358</v>
      </c>
      <c r="CX54" s="895">
        <f t="shared" ca="1" si="77"/>
        <v>1708.9950220159917</v>
      </c>
      <c r="CY54" s="891"/>
      <c r="CZ54" s="892">
        <v>6498.8030656480569</v>
      </c>
      <c r="DA54" s="892">
        <v>8171.4516979246573</v>
      </c>
      <c r="DB54" s="892">
        <v>8975.283213991519</v>
      </c>
      <c r="DC54" s="892">
        <v>9219.869999999999</v>
      </c>
      <c r="DD54" s="892">
        <v>8051.8257595258392</v>
      </c>
      <c r="DE54" s="892">
        <v>7634.9808476882636</v>
      </c>
      <c r="DF54" s="892">
        <v>7530.1496730294684</v>
      </c>
      <c r="DG54" s="892">
        <v>8146.0842591447072</v>
      </c>
      <c r="DH54" s="892">
        <v>8748.6563603106879</v>
      </c>
      <c r="DI54" s="892">
        <v>9399.7274961462754</v>
      </c>
      <c r="DJ54" s="892">
        <v>10086.56670348907</v>
      </c>
      <c r="DK54" s="892">
        <v>10758.088493368337</v>
      </c>
      <c r="DL54" s="892">
        <v>11467.530754930151</v>
      </c>
      <c r="DM54" s="892">
        <v>12227.468412919799</v>
      </c>
      <c r="DN54" s="892">
        <v>13045.019468871673</v>
      </c>
      <c r="DO54" s="892">
        <v>13907.255273155066</v>
      </c>
      <c r="DP54" s="892">
        <v>14845.861720199762</v>
      </c>
      <c r="DQ54" s="892">
        <v>15854.62183271128</v>
      </c>
      <c r="DR54" s="892">
        <v>16942.012202097896</v>
      </c>
      <c r="DS54" s="892">
        <v>18116.154399623276</v>
      </c>
    </row>
    <row r="55" spans="1:123" s="264" customFormat="1">
      <c r="A55" s="336" t="str">
        <f>A38</f>
        <v>Invoer van goederen en diensten door bedrijven</v>
      </c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3"/>
      <c r="Q55" s="263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63"/>
      <c r="AC55" s="263"/>
      <c r="AD55" s="263"/>
      <c r="AE55" s="263"/>
      <c r="AF55" s="263"/>
      <c r="AG55" s="263"/>
      <c r="AH55" s="263"/>
      <c r="AI55" s="263"/>
      <c r="AJ55" s="263"/>
      <c r="AK55" s="263"/>
      <c r="AL55" s="263"/>
      <c r="AM55" s="263"/>
      <c r="AN55" s="263"/>
      <c r="AO55" s="263"/>
      <c r="AP55" s="263"/>
      <c r="AQ55" s="263"/>
      <c r="AR55" s="263"/>
      <c r="AS55" s="263"/>
      <c r="AT55" s="263"/>
      <c r="AU55" s="263"/>
      <c r="AV55" s="263"/>
      <c r="AW55" s="263"/>
      <c r="AX55" s="263"/>
      <c r="AY55" s="263"/>
      <c r="AZ55" s="263"/>
      <c r="BA55" s="263"/>
      <c r="BB55" s="263"/>
      <c r="BC55" s="263"/>
      <c r="BD55" s="263"/>
      <c r="BE55" s="263"/>
      <c r="BF55" s="263"/>
      <c r="BG55" s="263"/>
      <c r="BH55" s="263"/>
      <c r="BI55" s="263"/>
      <c r="BJ55" s="469"/>
      <c r="BK55" s="889">
        <f t="shared" ref="BK55:BP55" ca="1" si="106">BK38/BK37*BK54</f>
        <v>8135.9888110669835</v>
      </c>
      <c r="BL55" s="889">
        <f t="shared" ca="1" si="106"/>
        <v>8938.5544258351147</v>
      </c>
      <c r="BM55" s="889">
        <f t="shared" ca="1" si="106"/>
        <v>9219.869999999999</v>
      </c>
      <c r="BN55" s="889">
        <f t="shared" ca="1" si="106"/>
        <v>9060.6528934990947</v>
      </c>
      <c r="BO55" s="889">
        <f t="shared" ca="1" si="106"/>
        <v>9178.4092928751215</v>
      </c>
      <c r="BP55" s="889">
        <f t="shared" ca="1" si="106"/>
        <v>8890.3975590517693</v>
      </c>
      <c r="BQ55" s="889">
        <f ca="1">BQ38/BQ37*BQ54</f>
        <v>9513.9991494854748</v>
      </c>
      <c r="BR55" s="889">
        <f ca="1">BR38/BR37*BR54</f>
        <v>9923.2854960383083</v>
      </c>
      <c r="BS55" s="889">
        <f ca="1">BS38/BS37*BS54</f>
        <v>10429.912498090551</v>
      </c>
      <c r="BT55" s="889">
        <f ca="1">BT38/BT37*BT54</f>
        <v>11124.13237087671</v>
      </c>
      <c r="BU55" s="889">
        <f t="shared" ref="BU55:CB55" ca="1" si="107">BU38/BU37*BU54</f>
        <v>11841.085845383077</v>
      </c>
      <c r="BV55" s="889">
        <f t="shared" ca="1" si="107"/>
        <v>12607.66236454677</v>
      </c>
      <c r="BW55" s="889">
        <f t="shared" ca="1" si="107"/>
        <v>13428.972034047792</v>
      </c>
      <c r="BX55" s="889">
        <f t="shared" ca="1" si="107"/>
        <v>14310.962851330405</v>
      </c>
      <c r="BY55" s="889">
        <f t="shared" ca="1" si="107"/>
        <v>15245.934805814548</v>
      </c>
      <c r="BZ55" s="889">
        <f t="shared" ca="1" si="107"/>
        <v>16266.000753962409</v>
      </c>
      <c r="CA55" s="889">
        <f t="shared" ca="1" si="107"/>
        <v>17364.384012372768</v>
      </c>
      <c r="CB55" s="889">
        <f t="shared" ca="1" si="107"/>
        <v>18547.769182448788</v>
      </c>
      <c r="CC55" s="889">
        <f ca="1">CC38/CC37*CC54</f>
        <v>19825.149421639511</v>
      </c>
      <c r="CE55" s="896">
        <f t="shared" si="58"/>
        <v>0</v>
      </c>
      <c r="CF55" s="896">
        <f t="shared" ca="1" si="59"/>
        <v>-35.462886857673766</v>
      </c>
      <c r="CG55" s="896">
        <f t="shared" ca="1" si="60"/>
        <v>-36.728788156404335</v>
      </c>
      <c r="CH55" s="896">
        <f t="shared" ca="1" si="61"/>
        <v>0</v>
      </c>
      <c r="CI55" s="896">
        <f t="shared" ca="1" si="62"/>
        <v>1008.8271339732537</v>
      </c>
      <c r="CJ55" s="896">
        <f t="shared" ca="1" si="63"/>
        <v>1543.4284451868562</v>
      </c>
      <c r="CK55" s="896">
        <f t="shared" ca="1" si="64"/>
        <v>1360.2478860222991</v>
      </c>
      <c r="CL55" s="896">
        <f t="shared" ca="1" si="65"/>
        <v>1367.9148903407659</v>
      </c>
      <c r="CM55" s="896">
        <f t="shared" ca="1" si="66"/>
        <v>1174.6291357276241</v>
      </c>
      <c r="CN55" s="896">
        <f t="shared" ca="1" si="67"/>
        <v>1030.1850019442791</v>
      </c>
      <c r="CO55" s="896">
        <f t="shared" ca="1" si="68"/>
        <v>1037.5656673876474</v>
      </c>
      <c r="CP55" s="896">
        <f t="shared" ca="1" si="69"/>
        <v>1082.997352014756</v>
      </c>
      <c r="CQ55" s="896">
        <f t="shared" ca="1" si="70"/>
        <v>1140.1316096166429</v>
      </c>
      <c r="CR55" s="896">
        <f t="shared" ca="1" si="71"/>
        <v>1201.5036211280258</v>
      </c>
      <c r="CS55" s="896">
        <f t="shared" ca="1" si="72"/>
        <v>1265.9433824587741</v>
      </c>
      <c r="CT55" s="896">
        <f t="shared" ca="1" si="73"/>
        <v>1338.6795326595311</v>
      </c>
      <c r="CU55" s="896">
        <f t="shared" ca="1" si="74"/>
        <v>1420.1390337626926</v>
      </c>
      <c r="CV55" s="896">
        <f t="shared" ca="1" si="75"/>
        <v>1509.762179661504</v>
      </c>
      <c r="CW55" s="896">
        <f t="shared" ca="1" si="76"/>
        <v>1605.7569803508522</v>
      </c>
      <c r="CX55" s="896">
        <f t="shared" ca="1" si="77"/>
        <v>1708.9950220161081</v>
      </c>
      <c r="CY55" s="891"/>
      <c r="CZ55" s="892"/>
      <c r="DA55" s="892">
        <v>8171.4516979246573</v>
      </c>
      <c r="DB55" s="892">
        <v>8975.283213991519</v>
      </c>
      <c r="DC55" s="892">
        <v>9219.869999999999</v>
      </c>
      <c r="DD55" s="892">
        <v>8051.825759525841</v>
      </c>
      <c r="DE55" s="892">
        <v>7634.9808476882654</v>
      </c>
      <c r="DF55" s="892">
        <v>7530.1496730294703</v>
      </c>
      <c r="DG55" s="892">
        <v>8146.084259144709</v>
      </c>
      <c r="DH55" s="892">
        <v>8748.6563603106842</v>
      </c>
      <c r="DI55" s="892">
        <v>9399.7274961462717</v>
      </c>
      <c r="DJ55" s="892">
        <v>10086.566703489063</v>
      </c>
      <c r="DK55" s="892">
        <v>10758.088493368321</v>
      </c>
      <c r="DL55" s="892">
        <v>11467.530754930127</v>
      </c>
      <c r="DM55" s="892">
        <v>12227.468412919767</v>
      </c>
      <c r="DN55" s="892">
        <v>13045.019468871631</v>
      </c>
      <c r="DO55" s="892">
        <v>13907.255273155017</v>
      </c>
      <c r="DP55" s="892">
        <v>14845.861720199717</v>
      </c>
      <c r="DQ55" s="892">
        <v>15854.621832711264</v>
      </c>
      <c r="DR55" s="892">
        <v>16942.012202097936</v>
      </c>
      <c r="DS55" s="892">
        <v>18116.154399623403</v>
      </c>
    </row>
    <row r="56" spans="1:123" s="264" customFormat="1">
      <c r="A56" s="336" t="str">
        <f>A39</f>
        <v>Invoer van goederen en diensten door gezinnen</v>
      </c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3"/>
      <c r="AI56" s="263"/>
      <c r="AJ56" s="263"/>
      <c r="AK56" s="263"/>
      <c r="AL56" s="263"/>
      <c r="AM56" s="263"/>
      <c r="AN56" s="263"/>
      <c r="AO56" s="263"/>
      <c r="AP56" s="263"/>
      <c r="AQ56" s="263"/>
      <c r="AR56" s="263"/>
      <c r="AS56" s="263"/>
      <c r="AT56" s="263"/>
      <c r="AU56" s="263"/>
      <c r="AV56" s="263"/>
      <c r="AW56" s="263"/>
      <c r="AX56" s="263"/>
      <c r="AY56" s="263"/>
      <c r="AZ56" s="263"/>
      <c r="BA56" s="263"/>
      <c r="BB56" s="263"/>
      <c r="BC56" s="263"/>
      <c r="BD56" s="263"/>
      <c r="BE56" s="263"/>
      <c r="BF56" s="263"/>
      <c r="BG56" s="263"/>
      <c r="BH56" s="263"/>
      <c r="BI56" s="263"/>
      <c r="BJ56" s="469"/>
      <c r="BK56" s="889">
        <f t="shared" ref="BK56:BP56" ca="1" si="108">BK39/BK37*BK54</f>
        <v>0</v>
      </c>
      <c r="BL56" s="889">
        <f t="shared" ca="1" si="108"/>
        <v>0</v>
      </c>
      <c r="BM56" s="889">
        <f t="shared" ca="1" si="108"/>
        <v>0</v>
      </c>
      <c r="BN56" s="889">
        <f t="shared" ca="1" si="108"/>
        <v>0</v>
      </c>
      <c r="BO56" s="889">
        <f t="shared" ca="1" si="108"/>
        <v>0</v>
      </c>
      <c r="BP56" s="889">
        <f t="shared" ca="1" si="108"/>
        <v>0</v>
      </c>
      <c r="BQ56" s="889">
        <f ca="1">BQ39/BQ37*BQ54</f>
        <v>0</v>
      </c>
      <c r="BR56" s="889">
        <f ca="1">BR39/BR37*BR54</f>
        <v>0</v>
      </c>
      <c r="BS56" s="889">
        <f ca="1">BS39/BS37*BS54</f>
        <v>0</v>
      </c>
      <c r="BT56" s="889">
        <f ca="1">BT39/BT37*BT54</f>
        <v>0</v>
      </c>
      <c r="BU56" s="889">
        <f t="shared" ref="BU56:CB56" ca="1" si="109">BU39/BU37*BU54</f>
        <v>0</v>
      </c>
      <c r="BV56" s="889">
        <f t="shared" ca="1" si="109"/>
        <v>0</v>
      </c>
      <c r="BW56" s="889">
        <f t="shared" ca="1" si="109"/>
        <v>0</v>
      </c>
      <c r="BX56" s="889">
        <f t="shared" ca="1" si="109"/>
        <v>0</v>
      </c>
      <c r="BY56" s="889">
        <f t="shared" ca="1" si="109"/>
        <v>0</v>
      </c>
      <c r="BZ56" s="889">
        <f t="shared" ca="1" si="109"/>
        <v>0</v>
      </c>
      <c r="CA56" s="889">
        <f t="shared" ca="1" si="109"/>
        <v>0</v>
      </c>
      <c r="CB56" s="889">
        <f t="shared" ca="1" si="109"/>
        <v>0</v>
      </c>
      <c r="CC56" s="889">
        <f ca="1">CC39/CC37*CC54</f>
        <v>0</v>
      </c>
      <c r="CE56" s="896">
        <f t="shared" si="58"/>
        <v>0</v>
      </c>
      <c r="CF56" s="896">
        <f t="shared" ca="1" si="59"/>
        <v>0</v>
      </c>
      <c r="CG56" s="896">
        <f t="shared" ca="1" si="60"/>
        <v>0</v>
      </c>
      <c r="CH56" s="896">
        <f t="shared" ca="1" si="61"/>
        <v>0</v>
      </c>
      <c r="CI56" s="896">
        <f t="shared" ca="1" si="62"/>
        <v>0</v>
      </c>
      <c r="CJ56" s="896">
        <f t="shared" ca="1" si="63"/>
        <v>0</v>
      </c>
      <c r="CK56" s="896">
        <f t="shared" ca="1" si="64"/>
        <v>0</v>
      </c>
      <c r="CL56" s="896">
        <f t="shared" ca="1" si="65"/>
        <v>0</v>
      </c>
      <c r="CM56" s="896">
        <f t="shared" ca="1" si="66"/>
        <v>0</v>
      </c>
      <c r="CN56" s="896">
        <f t="shared" ca="1" si="67"/>
        <v>0</v>
      </c>
      <c r="CO56" s="896">
        <f t="shared" ca="1" si="68"/>
        <v>0</v>
      </c>
      <c r="CP56" s="896">
        <f t="shared" ca="1" si="69"/>
        <v>0</v>
      </c>
      <c r="CQ56" s="896">
        <f t="shared" ca="1" si="70"/>
        <v>0</v>
      </c>
      <c r="CR56" s="896">
        <f t="shared" ca="1" si="71"/>
        <v>0</v>
      </c>
      <c r="CS56" s="896">
        <f t="shared" ca="1" si="72"/>
        <v>0</v>
      </c>
      <c r="CT56" s="896">
        <f t="shared" ca="1" si="73"/>
        <v>0</v>
      </c>
      <c r="CU56" s="896">
        <f t="shared" ca="1" si="74"/>
        <v>0</v>
      </c>
      <c r="CV56" s="896">
        <f t="shared" ca="1" si="75"/>
        <v>0</v>
      </c>
      <c r="CW56" s="896">
        <f t="shared" ca="1" si="76"/>
        <v>0</v>
      </c>
      <c r="CX56" s="896">
        <f t="shared" ca="1" si="77"/>
        <v>0</v>
      </c>
      <c r="CY56" s="891"/>
      <c r="CZ56" s="892"/>
      <c r="DA56" s="892">
        <v>0</v>
      </c>
      <c r="DB56" s="892">
        <v>0</v>
      </c>
      <c r="DC56" s="892">
        <v>0</v>
      </c>
      <c r="DD56" s="892">
        <v>0</v>
      </c>
      <c r="DE56" s="892">
        <v>0</v>
      </c>
      <c r="DF56" s="892">
        <v>0</v>
      </c>
      <c r="DG56" s="892">
        <v>0</v>
      </c>
      <c r="DH56" s="892">
        <v>0</v>
      </c>
      <c r="DI56" s="892">
        <v>0</v>
      </c>
      <c r="DJ56" s="892">
        <v>0</v>
      </c>
      <c r="DK56" s="892">
        <v>0</v>
      </c>
      <c r="DL56" s="892">
        <v>0</v>
      </c>
      <c r="DM56" s="892">
        <v>0</v>
      </c>
      <c r="DN56" s="892">
        <v>0</v>
      </c>
      <c r="DO56" s="892">
        <v>0</v>
      </c>
      <c r="DP56" s="892">
        <v>0</v>
      </c>
      <c r="DQ56" s="892">
        <v>0</v>
      </c>
      <c r="DR56" s="892">
        <v>0</v>
      </c>
      <c r="DS56" s="892">
        <v>0</v>
      </c>
    </row>
    <row r="57" spans="1:123" s="264" customFormat="1">
      <c r="A57" s="336" t="str">
        <f>A40</f>
        <v>Invoer van goederen en diensten door overheid</v>
      </c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263"/>
      <c r="AD57" s="263"/>
      <c r="AE57" s="263"/>
      <c r="AF57" s="263"/>
      <c r="AG57" s="263"/>
      <c r="AH57" s="263"/>
      <c r="AI57" s="263"/>
      <c r="AJ57" s="263"/>
      <c r="AK57" s="263"/>
      <c r="AL57" s="263"/>
      <c r="AM57" s="263"/>
      <c r="AN57" s="263"/>
      <c r="AO57" s="263"/>
      <c r="AP57" s="263"/>
      <c r="AQ57" s="263"/>
      <c r="AR57" s="263"/>
      <c r="AS57" s="263"/>
      <c r="AT57" s="263"/>
      <c r="AU57" s="263"/>
      <c r="AV57" s="263"/>
      <c r="AW57" s="263"/>
      <c r="AX57" s="263"/>
      <c r="AY57" s="263"/>
      <c r="AZ57" s="263"/>
      <c r="BA57" s="263"/>
      <c r="BB57" s="263"/>
      <c r="BC57" s="263"/>
      <c r="BD57" s="263"/>
      <c r="BE57" s="263"/>
      <c r="BF57" s="263"/>
      <c r="BG57" s="263"/>
      <c r="BH57" s="263"/>
      <c r="BI57" s="263"/>
      <c r="BJ57" s="469"/>
      <c r="BK57" s="889">
        <f t="shared" ref="BK57:BP57" ca="1" si="110">BK40/BK37*BK54</f>
        <v>0</v>
      </c>
      <c r="BL57" s="889">
        <f t="shared" ca="1" si="110"/>
        <v>0</v>
      </c>
      <c r="BM57" s="889">
        <f t="shared" ca="1" si="110"/>
        <v>0</v>
      </c>
      <c r="BN57" s="889">
        <f t="shared" ca="1" si="110"/>
        <v>0</v>
      </c>
      <c r="BO57" s="889">
        <f t="shared" ca="1" si="110"/>
        <v>0</v>
      </c>
      <c r="BP57" s="889">
        <f t="shared" ca="1" si="110"/>
        <v>0</v>
      </c>
      <c r="BQ57" s="889">
        <f ca="1">BQ40/BQ37*BQ54</f>
        <v>0</v>
      </c>
      <c r="BR57" s="889">
        <f ca="1">BR40/BR37*BR54</f>
        <v>0</v>
      </c>
      <c r="BS57" s="889">
        <f ca="1">BS40/BS37*BS54</f>
        <v>0</v>
      </c>
      <c r="BT57" s="889">
        <f ca="1">BT40/BT37*BT54</f>
        <v>0</v>
      </c>
      <c r="BU57" s="889">
        <f t="shared" ref="BU57:CB57" ca="1" si="111">BU40/BU37*BU54</f>
        <v>0</v>
      </c>
      <c r="BV57" s="889">
        <f t="shared" ca="1" si="111"/>
        <v>0</v>
      </c>
      <c r="BW57" s="889">
        <f t="shared" ca="1" si="111"/>
        <v>0</v>
      </c>
      <c r="BX57" s="889">
        <f t="shared" ca="1" si="111"/>
        <v>0</v>
      </c>
      <c r="BY57" s="889">
        <f t="shared" ca="1" si="111"/>
        <v>0</v>
      </c>
      <c r="BZ57" s="889">
        <f t="shared" ca="1" si="111"/>
        <v>0</v>
      </c>
      <c r="CA57" s="889">
        <f t="shared" ca="1" si="111"/>
        <v>0</v>
      </c>
      <c r="CB57" s="889">
        <f t="shared" ca="1" si="111"/>
        <v>0</v>
      </c>
      <c r="CC57" s="889">
        <f ca="1">CC40/CC37*CC54</f>
        <v>0</v>
      </c>
      <c r="CE57" s="896">
        <f t="shared" si="58"/>
        <v>0</v>
      </c>
      <c r="CF57" s="896">
        <f t="shared" ca="1" si="59"/>
        <v>0</v>
      </c>
      <c r="CG57" s="896">
        <f t="shared" ca="1" si="60"/>
        <v>0</v>
      </c>
      <c r="CH57" s="896">
        <f t="shared" ca="1" si="61"/>
        <v>0</v>
      </c>
      <c r="CI57" s="896">
        <f t="shared" ca="1" si="62"/>
        <v>0</v>
      </c>
      <c r="CJ57" s="896">
        <f t="shared" ca="1" si="63"/>
        <v>0</v>
      </c>
      <c r="CK57" s="896">
        <f t="shared" ca="1" si="64"/>
        <v>0</v>
      </c>
      <c r="CL57" s="896">
        <f t="shared" ca="1" si="65"/>
        <v>0</v>
      </c>
      <c r="CM57" s="896">
        <f t="shared" ca="1" si="66"/>
        <v>0</v>
      </c>
      <c r="CN57" s="896">
        <f t="shared" ca="1" si="67"/>
        <v>0</v>
      </c>
      <c r="CO57" s="896">
        <f t="shared" ca="1" si="68"/>
        <v>0</v>
      </c>
      <c r="CP57" s="896">
        <f t="shared" ca="1" si="69"/>
        <v>0</v>
      </c>
      <c r="CQ57" s="896">
        <f t="shared" ca="1" si="70"/>
        <v>0</v>
      </c>
      <c r="CR57" s="896">
        <f t="shared" ca="1" si="71"/>
        <v>0</v>
      </c>
      <c r="CS57" s="896">
        <f t="shared" ca="1" si="72"/>
        <v>0</v>
      </c>
      <c r="CT57" s="896">
        <f t="shared" ca="1" si="73"/>
        <v>0</v>
      </c>
      <c r="CU57" s="896">
        <f t="shared" ca="1" si="74"/>
        <v>0</v>
      </c>
      <c r="CV57" s="896">
        <f t="shared" ca="1" si="75"/>
        <v>0</v>
      </c>
      <c r="CW57" s="896">
        <f t="shared" ca="1" si="76"/>
        <v>0</v>
      </c>
      <c r="CX57" s="896">
        <f t="shared" ca="1" si="77"/>
        <v>0</v>
      </c>
      <c r="CY57" s="891"/>
      <c r="CZ57" s="892"/>
      <c r="DA57" s="892">
        <v>0</v>
      </c>
      <c r="DB57" s="892">
        <v>0</v>
      </c>
      <c r="DC57" s="892">
        <v>0</v>
      </c>
      <c r="DD57" s="892">
        <v>0</v>
      </c>
      <c r="DE57" s="892">
        <v>0</v>
      </c>
      <c r="DF57" s="892">
        <v>0</v>
      </c>
      <c r="DG57" s="892">
        <v>0</v>
      </c>
      <c r="DH57" s="892">
        <v>0</v>
      </c>
      <c r="DI57" s="892">
        <v>0</v>
      </c>
      <c r="DJ57" s="892">
        <v>0</v>
      </c>
      <c r="DK57" s="892">
        <v>0</v>
      </c>
      <c r="DL57" s="892">
        <v>0</v>
      </c>
      <c r="DM57" s="892">
        <v>0</v>
      </c>
      <c r="DN57" s="892">
        <v>0</v>
      </c>
      <c r="DO57" s="892">
        <v>0</v>
      </c>
      <c r="DP57" s="892">
        <v>0</v>
      </c>
      <c r="DQ57" s="892">
        <v>0</v>
      </c>
      <c r="DR57" s="892">
        <v>0</v>
      </c>
      <c r="DS57" s="892">
        <v>0</v>
      </c>
    </row>
    <row r="58" spans="1:123" s="264" customFormat="1">
      <c r="A58" s="450" t="str">
        <f>A41</f>
        <v>Loonsom van de overheid</v>
      </c>
      <c r="E58" s="263">
        <f t="shared" ref="E58:BB58" si="112">E41</f>
        <v>1.1498834224862036E-2</v>
      </c>
      <c r="F58" s="263">
        <f t="shared" si="112"/>
        <v>1.3258859871524592E-2</v>
      </c>
      <c r="G58" s="263">
        <f t="shared" si="112"/>
        <v>1.4661013502419794E-2</v>
      </c>
      <c r="H58" s="263">
        <f t="shared" si="112"/>
        <v>1.9548018003226392E-2</v>
      </c>
      <c r="I58" s="263">
        <f t="shared" si="112"/>
        <v>2.0427679462388201E-2</v>
      </c>
      <c r="J58" s="263">
        <f t="shared" si="112"/>
        <v>2.2773440369501893E-2</v>
      </c>
      <c r="K58" s="263">
        <f t="shared" si="112"/>
        <v>2.5607904076584007E-2</v>
      </c>
      <c r="L58" s="263">
        <f t="shared" si="112"/>
        <v>3.4111290721853663E-2</v>
      </c>
      <c r="M58" s="263">
        <f t="shared" si="112"/>
        <v>3.508869184581382E-2</v>
      </c>
      <c r="N58" s="263">
        <f t="shared" si="112"/>
        <v>3.606609296977397E-2</v>
      </c>
      <c r="O58" s="263">
        <f t="shared" si="112"/>
        <v>4.1246317583969787E-2</v>
      </c>
      <c r="P58" s="263">
        <f t="shared" si="112"/>
        <v>4.4569479615043629E-2</v>
      </c>
      <c r="Q58" s="263">
        <f t="shared" si="112"/>
        <v>5.2975131071491627E-2</v>
      </c>
      <c r="R58" s="263">
        <f t="shared" si="112"/>
        <v>5.6005071870182097E-2</v>
      </c>
      <c r="S58" s="263">
        <f t="shared" si="112"/>
        <v>5.8839533339275864E-2</v>
      </c>
      <c r="T58" s="263">
        <f t="shared" si="112"/>
        <v>6.8906765811260789E-2</v>
      </c>
      <c r="U58" s="263">
        <f t="shared" si="112"/>
        <v>8.0831054152402645E-2</v>
      </c>
      <c r="V58" s="263">
        <f t="shared" si="112"/>
        <v>8.2394897741129569E-2</v>
      </c>
      <c r="W58" s="263">
        <f t="shared" si="112"/>
        <v>9.4905628547038184E-2</v>
      </c>
      <c r="X58" s="263">
        <f t="shared" si="112"/>
        <v>9.7251389454151876E-2</v>
      </c>
      <c r="Y58" s="263">
        <f t="shared" si="112"/>
        <v>0.11044630015163727</v>
      </c>
      <c r="Z58" s="263">
        <f t="shared" si="112"/>
        <v>0.13886602173128501</v>
      </c>
      <c r="AA58" s="263">
        <f t="shared" si="112"/>
        <v>0.16641629379256903</v>
      </c>
      <c r="AB58" s="263">
        <f t="shared" si="112"/>
        <v>0.21385484312840525</v>
      </c>
      <c r="AC58" s="263">
        <f t="shared" si="112"/>
        <v>0.24750654280262482</v>
      </c>
      <c r="AD58" s="263">
        <f t="shared" si="112"/>
        <v>0.25996751865174561</v>
      </c>
      <c r="AE58" s="263">
        <f t="shared" si="112"/>
        <v>0.26500120202738831</v>
      </c>
      <c r="AF58" s="263">
        <f t="shared" si="112"/>
        <v>0.32395031622777248</v>
      </c>
      <c r="AG58" s="263">
        <f t="shared" si="112"/>
        <v>0.40630778585189414</v>
      </c>
      <c r="AH58" s="263">
        <f t="shared" si="112"/>
        <v>0.43869226491204788</v>
      </c>
      <c r="AI58" s="263">
        <f t="shared" si="112"/>
        <v>0.43891520435858355</v>
      </c>
      <c r="AJ58" s="263">
        <f t="shared" si="112"/>
        <v>0.45036708021688809</v>
      </c>
      <c r="AK58" s="263">
        <f t="shared" si="112"/>
        <v>0.47954833551711656</v>
      </c>
      <c r="AL58" s="263">
        <f t="shared" si="112"/>
        <v>0.55147470262093423</v>
      </c>
      <c r="AM58" s="263">
        <f t="shared" si="112"/>
        <v>0.613662275469678</v>
      </c>
      <c r="AN58" s="263">
        <f t="shared" si="112"/>
        <v>0.66059629271401277</v>
      </c>
      <c r="AO58" s="263">
        <f t="shared" si="112"/>
        <v>0.61846127873291123</v>
      </c>
      <c r="AP58" s="263">
        <f t="shared" si="112"/>
        <v>0.79493318357161025</v>
      </c>
      <c r="AQ58" s="263">
        <f t="shared" si="112"/>
        <v>0.98945121804075586</v>
      </c>
      <c r="AR58" s="263">
        <f t="shared" si="112"/>
        <v>1.1714965374272197</v>
      </c>
      <c r="AS58" s="263">
        <f t="shared" si="112"/>
        <v>4.0131400784940938</v>
      </c>
      <c r="AT58" s="263">
        <f t="shared" si="112"/>
        <v>15.407956787638373</v>
      </c>
      <c r="AU58" s="263">
        <f t="shared" si="112"/>
        <v>30.048999999999999</v>
      </c>
      <c r="AV58" s="263">
        <f t="shared" si="112"/>
        <v>40.424999999999997</v>
      </c>
      <c r="AW58" s="263">
        <f t="shared" si="112"/>
        <v>79.650000000000006</v>
      </c>
      <c r="AX58" s="263">
        <f t="shared" si="112"/>
        <v>112.08199999999999</v>
      </c>
      <c r="AY58" s="263">
        <f t="shared" si="112"/>
        <v>178.589</v>
      </c>
      <c r="AZ58" s="263">
        <f t="shared" si="112"/>
        <v>219.3126</v>
      </c>
      <c r="BA58" s="263">
        <f t="shared" si="112"/>
        <v>387.80136300000004</v>
      </c>
      <c r="BB58" s="263">
        <f t="shared" si="112"/>
        <v>431.54552899999999</v>
      </c>
      <c r="BC58" s="263">
        <f>BC41</f>
        <v>465.17921699999999</v>
      </c>
      <c r="BD58" s="263">
        <f>BD41</f>
        <v>501.62598700000001</v>
      </c>
      <c r="BE58" s="263">
        <f>BE41</f>
        <v>603.03160000000003</v>
      </c>
      <c r="BF58" s="263">
        <f t="shared" ref="BF58:BN58" si="113">BF41</f>
        <v>692.43164899999999</v>
      </c>
      <c r="BG58" s="263">
        <f t="shared" si="113"/>
        <v>758.54590599999995</v>
      </c>
      <c r="BH58" s="263">
        <f t="shared" si="113"/>
        <v>967.63051199999995</v>
      </c>
      <c r="BI58" s="263">
        <f t="shared" si="113"/>
        <v>1075.3</v>
      </c>
      <c r="BJ58" s="469">
        <f t="shared" si="113"/>
        <v>1208.7736030000001</v>
      </c>
      <c r="BK58" s="469">
        <f t="shared" si="113"/>
        <v>1315.6</v>
      </c>
      <c r="BL58" s="469">
        <f t="shared" si="113"/>
        <v>1565.9</v>
      </c>
      <c r="BM58" s="469">
        <f t="shared" si="113"/>
        <v>1510.8</v>
      </c>
      <c r="BN58" s="469">
        <f t="shared" si="113"/>
        <v>1704</v>
      </c>
      <c r="BO58" s="469">
        <f t="shared" ref="BO58:BT58" ca="1" si="114">BO41</f>
        <v>2061.2001648316837</v>
      </c>
      <c r="BP58" s="469">
        <f t="shared" ca="1" si="114"/>
        <v>2561.9492955218589</v>
      </c>
      <c r="BQ58" s="469">
        <f t="shared" ca="1" si="114"/>
        <v>2806.6754091390799</v>
      </c>
      <c r="BR58" s="469">
        <f t="shared" ca="1" si="114"/>
        <v>2937.018315022583</v>
      </c>
      <c r="BS58" s="469">
        <f t="shared" ca="1" si="114"/>
        <v>3080.1273490847693</v>
      </c>
      <c r="BT58" s="469">
        <f t="shared" ca="1" si="114"/>
        <v>3237.9750018703608</v>
      </c>
      <c r="BU58" s="469">
        <f t="shared" ref="BU58:CB58" ca="1" si="115">BU41</f>
        <v>3407.1247020420697</v>
      </c>
      <c r="BV58" s="469">
        <f t="shared" ca="1" si="115"/>
        <v>3578.0320540949833</v>
      </c>
      <c r="BW58" s="469">
        <f t="shared" ca="1" si="115"/>
        <v>3756.1148543986992</v>
      </c>
      <c r="BX58" s="469">
        <f t="shared" ca="1" si="115"/>
        <v>3940.9619688439575</v>
      </c>
      <c r="BY58" s="469">
        <f t="shared" ca="1" si="115"/>
        <v>4133.3878412867271</v>
      </c>
      <c r="BZ58" s="469">
        <f t="shared" ca="1" si="115"/>
        <v>4334.6400070200243</v>
      </c>
      <c r="CA58" s="469">
        <f t="shared" ca="1" si="115"/>
        <v>4536.1845172684298</v>
      </c>
      <c r="CB58" s="469">
        <f t="shared" ca="1" si="115"/>
        <v>4746.2628729140906</v>
      </c>
      <c r="CC58" s="469">
        <f ca="1">CC41</f>
        <v>4965.1900331679526</v>
      </c>
      <c r="CE58" s="893">
        <f t="shared" si="58"/>
        <v>0</v>
      </c>
      <c r="CF58" s="893">
        <f t="shared" si="59"/>
        <v>0</v>
      </c>
      <c r="CG58" s="893">
        <f t="shared" si="60"/>
        <v>0</v>
      </c>
      <c r="CH58" s="893">
        <f t="shared" si="61"/>
        <v>0</v>
      </c>
      <c r="CI58" s="893">
        <f t="shared" si="62"/>
        <v>0</v>
      </c>
      <c r="CJ58" s="893">
        <f t="shared" ca="1" si="63"/>
        <v>278.36446543595093</v>
      </c>
      <c r="CK58" s="893">
        <f t="shared" ca="1" si="64"/>
        <v>476.46805799169306</v>
      </c>
      <c r="CL58" s="893">
        <f t="shared" ca="1" si="65"/>
        <v>342.82346492809393</v>
      </c>
      <c r="CM58" s="893">
        <f t="shared" ca="1" si="66"/>
        <v>307.89558937734364</v>
      </c>
      <c r="CN58" s="893">
        <f t="shared" ca="1" si="67"/>
        <v>346.38806484773204</v>
      </c>
      <c r="CO58" s="893">
        <f t="shared" ca="1" si="68"/>
        <v>417.05337912217965</v>
      </c>
      <c r="CP58" s="893">
        <f t="shared" ca="1" si="69"/>
        <v>493.78922917295222</v>
      </c>
      <c r="CQ58" s="893">
        <f t="shared" ca="1" si="70"/>
        <v>577.35818167383104</v>
      </c>
      <c r="CR58" s="893">
        <f t="shared" ca="1" si="71"/>
        <v>666.01640507225466</v>
      </c>
      <c r="CS58" s="893">
        <f t="shared" ca="1" si="72"/>
        <v>760.31243069854872</v>
      </c>
      <c r="CT58" s="893">
        <f t="shared" ca="1" si="73"/>
        <v>861.0430253496429</v>
      </c>
      <c r="CU58" s="893">
        <f t="shared" ca="1" si="74"/>
        <v>968.80908475310162</v>
      </c>
      <c r="CV58" s="893">
        <f t="shared" ca="1" si="75"/>
        <v>1081.2475888953491</v>
      </c>
      <c r="CW58" s="893">
        <f t="shared" ca="1" si="76"/>
        <v>1199.8429359087668</v>
      </c>
      <c r="CX58" s="893">
        <f t="shared" ca="1" si="77"/>
        <v>1325.0997538991373</v>
      </c>
      <c r="CY58" s="891"/>
      <c r="CZ58" s="892">
        <v>1208.7736030000001</v>
      </c>
      <c r="DA58" s="892">
        <v>1315.6</v>
      </c>
      <c r="DB58" s="892">
        <v>1565.9</v>
      </c>
      <c r="DC58" s="892">
        <v>1510.8</v>
      </c>
      <c r="DD58" s="892">
        <v>1704</v>
      </c>
      <c r="DE58" s="892">
        <v>1782.8356993957327</v>
      </c>
      <c r="DF58" s="892">
        <v>2085.4812375301658</v>
      </c>
      <c r="DG58" s="892">
        <v>2463.8519442109859</v>
      </c>
      <c r="DH58" s="892">
        <v>2629.1227256452394</v>
      </c>
      <c r="DI58" s="892">
        <v>2733.7392842370373</v>
      </c>
      <c r="DJ58" s="892">
        <v>2820.9216227481811</v>
      </c>
      <c r="DK58" s="892">
        <v>2913.3354728691174</v>
      </c>
      <c r="DL58" s="892">
        <v>3000.6738724211523</v>
      </c>
      <c r="DM58" s="892">
        <v>3090.0984493264446</v>
      </c>
      <c r="DN58" s="892">
        <v>3180.6495381454088</v>
      </c>
      <c r="DO58" s="892">
        <v>3272.3448159370841</v>
      </c>
      <c r="DP58" s="892">
        <v>3365.8309222669227</v>
      </c>
      <c r="DQ58" s="892">
        <v>3454.9369283730807</v>
      </c>
      <c r="DR58" s="892">
        <v>3546.4199370053238</v>
      </c>
      <c r="DS58" s="892">
        <v>3640.0902792688153</v>
      </c>
    </row>
    <row r="59" spans="1:123"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62"/>
      <c r="AC59" s="262"/>
      <c r="AD59" s="262"/>
      <c r="AE59" s="262"/>
      <c r="AF59" s="262"/>
      <c r="AG59" s="262"/>
      <c r="AH59" s="262"/>
      <c r="AI59" s="262"/>
      <c r="AJ59" s="262"/>
      <c r="AK59" s="262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62"/>
      <c r="BH59" s="262"/>
      <c r="BI59" s="262"/>
      <c r="BJ59" s="262"/>
      <c r="BK59" s="262"/>
      <c r="BL59" s="262"/>
      <c r="BM59" s="262"/>
      <c r="BN59" s="262"/>
      <c r="CE59" s="484"/>
      <c r="CF59" s="484"/>
      <c r="CG59" s="484"/>
      <c r="CH59" s="484"/>
      <c r="CI59" s="484"/>
      <c r="CJ59" s="484"/>
      <c r="CK59" s="484"/>
      <c r="CL59" s="484"/>
      <c r="CM59" s="484"/>
      <c r="CN59" s="484"/>
      <c r="CO59" s="484"/>
      <c r="CP59" s="484"/>
      <c r="CQ59" s="484"/>
      <c r="CR59" s="484"/>
      <c r="CS59" s="484"/>
      <c r="CT59" s="484"/>
      <c r="CU59" s="484"/>
      <c r="CV59" s="484"/>
      <c r="CW59" s="484"/>
      <c r="CX59" s="484"/>
    </row>
    <row r="60" spans="1:123">
      <c r="BT60" s="1041"/>
      <c r="CE60" s="485"/>
      <c r="CF60" s="485"/>
      <c r="CG60" s="485"/>
      <c r="CH60" s="485"/>
      <c r="CI60" s="485"/>
      <c r="CJ60" s="485"/>
      <c r="CK60" s="485"/>
      <c r="CL60" s="485"/>
      <c r="CM60" s="485"/>
      <c r="CN60" s="485"/>
      <c r="CO60" s="485"/>
      <c r="CP60" s="485"/>
      <c r="CQ60" s="485"/>
      <c r="CR60" s="485"/>
      <c r="CS60" s="485"/>
      <c r="CT60" s="485"/>
      <c r="CU60" s="485"/>
      <c r="CV60" s="485"/>
      <c r="CW60" s="485"/>
      <c r="CX60" s="485"/>
    </row>
    <row r="61" spans="1:123">
      <c r="A61" s="264" t="s">
        <v>3747</v>
      </c>
      <c r="CE61" s="484"/>
      <c r="CF61" s="484"/>
      <c r="CG61" s="484"/>
      <c r="CH61" s="484"/>
      <c r="CI61" s="484"/>
      <c r="CJ61" s="484"/>
      <c r="CK61" s="484"/>
      <c r="CL61" s="484"/>
      <c r="CM61" s="484"/>
      <c r="CN61" s="484"/>
      <c r="CO61" s="484"/>
      <c r="CP61" s="484"/>
      <c r="CQ61" s="484"/>
      <c r="CR61" s="484"/>
      <c r="CS61" s="484"/>
      <c r="CT61" s="484"/>
      <c r="CU61" s="484"/>
      <c r="CV61" s="484"/>
      <c r="CW61" s="484"/>
      <c r="CX61" s="484"/>
    </row>
    <row r="62" spans="1:123">
      <c r="A62" s="260" t="s">
        <v>4291</v>
      </c>
      <c r="E62">
        <f t="shared" ref="E62:BG62" si="116">E2</f>
        <v>1954</v>
      </c>
      <c r="F62">
        <f t="shared" si="116"/>
        <v>1955</v>
      </c>
      <c r="G62">
        <f t="shared" si="116"/>
        <v>1956</v>
      </c>
      <c r="H62">
        <f t="shared" si="116"/>
        <v>1957</v>
      </c>
      <c r="I62">
        <f t="shared" si="116"/>
        <v>1958</v>
      </c>
      <c r="J62">
        <f t="shared" si="116"/>
        <v>1959</v>
      </c>
      <c r="K62">
        <f t="shared" si="116"/>
        <v>1960</v>
      </c>
      <c r="L62">
        <f t="shared" si="116"/>
        <v>1961</v>
      </c>
      <c r="M62">
        <f t="shared" si="116"/>
        <v>1962</v>
      </c>
      <c r="N62">
        <f t="shared" si="116"/>
        <v>1963</v>
      </c>
      <c r="O62">
        <f t="shared" si="116"/>
        <v>1964</v>
      </c>
      <c r="P62">
        <f t="shared" si="116"/>
        <v>1965</v>
      </c>
      <c r="Q62">
        <f t="shared" si="116"/>
        <v>1966</v>
      </c>
      <c r="R62">
        <f t="shared" si="116"/>
        <v>1967</v>
      </c>
      <c r="S62">
        <f t="shared" si="116"/>
        <v>1968</v>
      </c>
      <c r="T62">
        <f t="shared" si="116"/>
        <v>1969</v>
      </c>
      <c r="U62">
        <f t="shared" si="116"/>
        <v>1970</v>
      </c>
      <c r="V62">
        <f t="shared" si="116"/>
        <v>1971</v>
      </c>
      <c r="W62">
        <f t="shared" si="116"/>
        <v>1972</v>
      </c>
      <c r="X62">
        <f t="shared" si="116"/>
        <v>1973</v>
      </c>
      <c r="Y62">
        <f t="shared" si="116"/>
        <v>1974</v>
      </c>
      <c r="Z62">
        <f t="shared" si="116"/>
        <v>1975</v>
      </c>
      <c r="AA62">
        <f t="shared" si="116"/>
        <v>1976</v>
      </c>
      <c r="AB62">
        <f t="shared" si="116"/>
        <v>1977</v>
      </c>
      <c r="AC62">
        <f t="shared" si="116"/>
        <v>1978</v>
      </c>
      <c r="AD62">
        <f t="shared" si="116"/>
        <v>1979</v>
      </c>
      <c r="AE62">
        <f t="shared" si="116"/>
        <v>1980</v>
      </c>
      <c r="AF62">
        <f t="shared" si="116"/>
        <v>1981</v>
      </c>
      <c r="AG62">
        <f t="shared" si="116"/>
        <v>1982</v>
      </c>
      <c r="AH62">
        <f t="shared" si="116"/>
        <v>1983</v>
      </c>
      <c r="AI62">
        <f t="shared" si="116"/>
        <v>1984</v>
      </c>
      <c r="AJ62">
        <f t="shared" si="116"/>
        <v>1985</v>
      </c>
      <c r="AK62">
        <f t="shared" si="116"/>
        <v>1986</v>
      </c>
      <c r="AL62">
        <f t="shared" si="116"/>
        <v>1987</v>
      </c>
      <c r="AM62">
        <f t="shared" si="116"/>
        <v>1988</v>
      </c>
      <c r="AN62">
        <f t="shared" si="116"/>
        <v>1989</v>
      </c>
      <c r="AO62">
        <f t="shared" si="116"/>
        <v>1990</v>
      </c>
      <c r="AP62">
        <f t="shared" si="116"/>
        <v>1991</v>
      </c>
      <c r="AQ62">
        <f t="shared" si="116"/>
        <v>1992</v>
      </c>
      <c r="AR62">
        <f t="shared" si="116"/>
        <v>1993</v>
      </c>
      <c r="AS62">
        <f t="shared" si="116"/>
        <v>1994</v>
      </c>
      <c r="AT62">
        <f t="shared" si="116"/>
        <v>1995</v>
      </c>
      <c r="AU62">
        <f t="shared" si="116"/>
        <v>1996</v>
      </c>
      <c r="AV62">
        <f t="shared" si="116"/>
        <v>1997</v>
      </c>
      <c r="AW62">
        <f t="shared" si="116"/>
        <v>1998</v>
      </c>
      <c r="AX62">
        <f t="shared" si="116"/>
        <v>1999</v>
      </c>
      <c r="AY62">
        <f t="shared" si="116"/>
        <v>2000</v>
      </c>
      <c r="AZ62">
        <f t="shared" si="116"/>
        <v>2001</v>
      </c>
      <c r="BA62">
        <f t="shared" si="116"/>
        <v>2002</v>
      </c>
      <c r="BB62">
        <f t="shared" si="116"/>
        <v>2003</v>
      </c>
      <c r="BC62">
        <f t="shared" si="116"/>
        <v>2004</v>
      </c>
      <c r="BD62">
        <f t="shared" si="116"/>
        <v>2005</v>
      </c>
      <c r="BE62">
        <f t="shared" si="116"/>
        <v>2006</v>
      </c>
      <c r="BF62">
        <f t="shared" si="116"/>
        <v>2007</v>
      </c>
      <c r="BG62">
        <f t="shared" si="116"/>
        <v>2008</v>
      </c>
      <c r="BH62">
        <f>BH2</f>
        <v>2009</v>
      </c>
      <c r="BI62">
        <f>BI2</f>
        <v>2010</v>
      </c>
      <c r="BJ62">
        <f t="shared" ref="BJ62:BO62" si="117">BJ2</f>
        <v>2011</v>
      </c>
      <c r="BK62">
        <f t="shared" si="117"/>
        <v>2012</v>
      </c>
      <c r="BL62">
        <f t="shared" si="117"/>
        <v>2013</v>
      </c>
      <c r="BM62">
        <f t="shared" si="117"/>
        <v>2014</v>
      </c>
      <c r="BN62">
        <f t="shared" si="117"/>
        <v>2015</v>
      </c>
      <c r="BO62">
        <f t="shared" si="117"/>
        <v>2016</v>
      </c>
      <c r="BP62">
        <f>BP2</f>
        <v>2017</v>
      </c>
      <c r="BQ62">
        <f>BQ2</f>
        <v>2018</v>
      </c>
      <c r="BR62">
        <f>BR2</f>
        <v>2019</v>
      </c>
      <c r="BS62">
        <f>BS2</f>
        <v>2020</v>
      </c>
      <c r="BT62">
        <f>BT2</f>
        <v>2021</v>
      </c>
      <c r="BU62">
        <f t="shared" ref="BU62:CB62" si="118">BU2</f>
        <v>2022</v>
      </c>
      <c r="BV62">
        <f t="shared" si="118"/>
        <v>2023</v>
      </c>
      <c r="BW62">
        <f t="shared" si="118"/>
        <v>2024</v>
      </c>
      <c r="BX62">
        <f t="shared" si="118"/>
        <v>2025</v>
      </c>
      <c r="BY62">
        <f t="shared" si="118"/>
        <v>2026</v>
      </c>
      <c r="BZ62">
        <f t="shared" si="118"/>
        <v>2027</v>
      </c>
      <c r="CA62">
        <f t="shared" si="118"/>
        <v>2028</v>
      </c>
      <c r="CB62">
        <f t="shared" si="118"/>
        <v>2029</v>
      </c>
      <c r="CC62">
        <f>CC2</f>
        <v>2030</v>
      </c>
      <c r="CE62" s="485">
        <f t="shared" ref="CE62:CX62" si="119">BJ62</f>
        <v>2011</v>
      </c>
      <c r="CF62" s="485">
        <f t="shared" si="119"/>
        <v>2012</v>
      </c>
      <c r="CG62" s="485">
        <f t="shared" si="119"/>
        <v>2013</v>
      </c>
      <c r="CH62" s="485">
        <f t="shared" si="119"/>
        <v>2014</v>
      </c>
      <c r="CI62" s="485">
        <f t="shared" si="119"/>
        <v>2015</v>
      </c>
      <c r="CJ62" s="485">
        <f t="shared" si="119"/>
        <v>2016</v>
      </c>
      <c r="CK62" s="485">
        <f t="shared" si="119"/>
        <v>2017</v>
      </c>
      <c r="CL62" s="485">
        <f t="shared" si="119"/>
        <v>2018</v>
      </c>
      <c r="CM62" s="485">
        <f t="shared" si="119"/>
        <v>2019</v>
      </c>
      <c r="CN62" s="485">
        <f t="shared" si="119"/>
        <v>2020</v>
      </c>
      <c r="CO62" s="485">
        <f t="shared" si="119"/>
        <v>2021</v>
      </c>
      <c r="CP62" s="485">
        <f t="shared" si="119"/>
        <v>2022</v>
      </c>
      <c r="CQ62" s="485">
        <f t="shared" si="119"/>
        <v>2023</v>
      </c>
      <c r="CR62" s="485">
        <f t="shared" si="119"/>
        <v>2024</v>
      </c>
      <c r="CS62" s="485">
        <f t="shared" si="119"/>
        <v>2025</v>
      </c>
      <c r="CT62" s="485">
        <f t="shared" si="119"/>
        <v>2026</v>
      </c>
      <c r="CU62" s="485">
        <f t="shared" si="119"/>
        <v>2027</v>
      </c>
      <c r="CV62" s="485">
        <f t="shared" si="119"/>
        <v>2028</v>
      </c>
      <c r="CW62" s="485">
        <f t="shared" si="119"/>
        <v>2029</v>
      </c>
      <c r="CX62" s="485">
        <f t="shared" si="119"/>
        <v>2030</v>
      </c>
      <c r="CZ62" s="502">
        <v>2011</v>
      </c>
      <c r="DA62" s="502">
        <v>2012</v>
      </c>
      <c r="DB62" s="502">
        <v>2013</v>
      </c>
      <c r="DC62" s="502">
        <v>2014</v>
      </c>
      <c r="DD62" s="502">
        <v>2015</v>
      </c>
      <c r="DE62" s="502">
        <v>2016</v>
      </c>
      <c r="DF62" s="502">
        <v>2017</v>
      </c>
      <c r="DG62" s="502">
        <v>2018</v>
      </c>
      <c r="DH62" s="502">
        <v>2019</v>
      </c>
      <c r="DI62" s="502">
        <v>2020</v>
      </c>
      <c r="DJ62" s="502">
        <v>2021</v>
      </c>
      <c r="DK62" s="502">
        <v>2022</v>
      </c>
      <c r="DL62" s="502">
        <v>2023</v>
      </c>
      <c r="DM62" s="502">
        <v>2024</v>
      </c>
      <c r="DN62" s="502">
        <v>2025</v>
      </c>
      <c r="DO62" s="502">
        <v>2026</v>
      </c>
      <c r="DP62" s="502">
        <v>2027</v>
      </c>
      <c r="DQ62" s="502">
        <v>2028</v>
      </c>
      <c r="DR62" s="502">
        <v>2029</v>
      </c>
      <c r="DS62" s="502">
        <v>2030</v>
      </c>
    </row>
    <row r="63" spans="1:123">
      <c r="A63" s="326" t="str">
        <f>A26</f>
        <v>BBPmp</v>
      </c>
      <c r="E63" s="414" t="e">
        <f t="shared" ref="E63:BB63" si="120">(E26-D26)/D26*100</f>
        <v>#DIV/0!</v>
      </c>
      <c r="F63" s="414">
        <f t="shared" si="120"/>
        <v>4.4054778949810522</v>
      </c>
      <c r="G63" s="414">
        <f t="shared" si="120"/>
        <v>8.1643037596618306</v>
      </c>
      <c r="H63" s="414">
        <f t="shared" si="120"/>
        <v>15.517428854573886</v>
      </c>
      <c r="I63" s="414">
        <f t="shared" si="120"/>
        <v>6.2834229132427755</v>
      </c>
      <c r="J63" s="414">
        <f t="shared" si="120"/>
        <v>10.311949082985016</v>
      </c>
      <c r="K63" s="414">
        <f t="shared" si="120"/>
        <v>8.5459267159995598</v>
      </c>
      <c r="L63" s="414">
        <f t="shared" si="120"/>
        <v>4.5983256728761894</v>
      </c>
      <c r="M63" s="414">
        <f t="shared" si="120"/>
        <v>5.2371560493441072</v>
      </c>
      <c r="N63" s="414">
        <f t="shared" si="120"/>
        <v>6.7049293411752444</v>
      </c>
      <c r="O63" s="414">
        <f t="shared" si="120"/>
        <v>9.9891582370081284</v>
      </c>
      <c r="P63" s="414">
        <f t="shared" si="120"/>
        <v>14.529031278219001</v>
      </c>
      <c r="Q63" s="414">
        <f t="shared" si="120"/>
        <v>26.300796396420079</v>
      </c>
      <c r="R63" s="414">
        <f t="shared" si="120"/>
        <v>15.991529696917192</v>
      </c>
      <c r="S63" s="414">
        <f t="shared" si="120"/>
        <v>9.5456783032658272</v>
      </c>
      <c r="T63" s="414">
        <f t="shared" si="120"/>
        <v>4.4803446497119506</v>
      </c>
      <c r="U63" s="414">
        <f t="shared" si="120"/>
        <v>5.3239627082720276</v>
      </c>
      <c r="V63" s="414">
        <f t="shared" si="120"/>
        <v>8.5959081779814319</v>
      </c>
      <c r="W63" s="414">
        <f t="shared" si="120"/>
        <v>5.2910913179125512</v>
      </c>
      <c r="X63" s="414">
        <f t="shared" si="120"/>
        <v>8.2958510336983391</v>
      </c>
      <c r="Y63" s="414">
        <f t="shared" si="120"/>
        <v>21.649703834146948</v>
      </c>
      <c r="Z63" s="414">
        <f t="shared" si="120"/>
        <v>20.141906959886661</v>
      </c>
      <c r="AA63" s="414">
        <f t="shared" si="120"/>
        <v>8.7103163435811073</v>
      </c>
      <c r="AB63" s="414">
        <f t="shared" si="120"/>
        <v>26.825117910659774</v>
      </c>
      <c r="AC63" s="414">
        <f t="shared" si="120"/>
        <v>14.680743808713423</v>
      </c>
      <c r="AD63" s="414">
        <f t="shared" si="120"/>
        <v>6.4080067364808508</v>
      </c>
      <c r="AE63" s="414">
        <f t="shared" si="120"/>
        <v>2.3633527819724782</v>
      </c>
      <c r="AF63" s="414">
        <f t="shared" si="120"/>
        <v>12.265702338419143</v>
      </c>
      <c r="AG63" s="414">
        <f t="shared" si="120"/>
        <v>2.9042139164772753</v>
      </c>
      <c r="AH63" s="414">
        <f t="shared" si="120"/>
        <v>-3.2919158013189169</v>
      </c>
      <c r="AI63" s="414">
        <f t="shared" si="120"/>
        <v>-2.340697143951719</v>
      </c>
      <c r="AJ63" s="414">
        <f t="shared" si="120"/>
        <v>-0.18530702237158891</v>
      </c>
      <c r="AK63" s="414">
        <f t="shared" si="120"/>
        <v>2.8474992277034272</v>
      </c>
      <c r="AL63" s="414">
        <f t="shared" si="120"/>
        <v>10.141777670434985</v>
      </c>
      <c r="AM63" s="414">
        <f t="shared" si="120"/>
        <v>18.514674970496053</v>
      </c>
      <c r="AN63" s="414">
        <f t="shared" si="120"/>
        <v>17.822433874508164</v>
      </c>
      <c r="AO63" s="414">
        <f t="shared" si="120"/>
        <v>28.483624503154665</v>
      </c>
      <c r="AP63" s="414">
        <f t="shared" si="120"/>
        <v>18.466208931210932</v>
      </c>
      <c r="AQ63" s="414">
        <f t="shared" si="120"/>
        <v>29.833183790569596</v>
      </c>
      <c r="AR63" s="414">
        <f t="shared" si="120"/>
        <v>124.82979622837208</v>
      </c>
      <c r="AS63" s="414">
        <f t="shared" si="120"/>
        <v>293.35156360363902</v>
      </c>
      <c r="AT63" s="414">
        <f t="shared" si="120"/>
        <v>380.05469154299789</v>
      </c>
      <c r="AU63" s="414">
        <f t="shared" si="120"/>
        <v>31.070460990467996</v>
      </c>
      <c r="AV63" s="414">
        <f t="shared" si="120"/>
        <v>13.169603291865743</v>
      </c>
      <c r="AW63" s="414">
        <f t="shared" si="120"/>
        <v>21.795657382691818</v>
      </c>
      <c r="AX63" s="414">
        <f t="shared" si="120"/>
        <v>86.008396211295405</v>
      </c>
      <c r="AY63" s="414">
        <f t="shared" si="120"/>
        <v>65.932457677431799</v>
      </c>
      <c r="AZ63" s="414">
        <f t="shared" si="120"/>
        <v>44.035720612340356</v>
      </c>
      <c r="BA63" s="414">
        <f t="shared" si="120"/>
        <v>18.847886871305501</v>
      </c>
      <c r="BB63" s="414">
        <f t="shared" si="120"/>
        <v>40.431318203251934</v>
      </c>
      <c r="BC63" s="414">
        <f t="shared" ref="BC63:BI63" si="121">(BC26-BB26)/BB26*100</f>
        <v>23.37926039217697</v>
      </c>
      <c r="BD63" s="414">
        <f t="shared" ca="1" si="121"/>
        <v>37.86585706820447</v>
      </c>
      <c r="BE63" s="414">
        <f t="shared" ca="1" si="121"/>
        <v>22.587792001973401</v>
      </c>
      <c r="BF63" s="414">
        <f t="shared" ca="1" si="121"/>
        <v>13.544389955489924</v>
      </c>
      <c r="BG63" s="414">
        <f t="shared" ca="1" si="121"/>
        <v>16.994033979948775</v>
      </c>
      <c r="BH63" s="414">
        <f t="shared" ca="1" si="121"/>
        <v>-0.49210695646787572</v>
      </c>
      <c r="BI63" s="414">
        <f t="shared" ca="1" si="121"/>
        <v>24.628746970733051</v>
      </c>
      <c r="BJ63" s="414">
        <f t="shared" ref="BJ63:BP63" ca="1" si="122">(BJ26-BI26)/BI26*100</f>
        <v>31.965641626641066</v>
      </c>
      <c r="BK63" s="414">
        <f ca="1">(BK26-BJ26)/BJ26*100</f>
        <v>7.9942625653294099</v>
      </c>
      <c r="BL63" s="414">
        <f t="shared" ca="1" si="122"/>
        <v>-1.2652467171748605</v>
      </c>
      <c r="BM63" s="414">
        <f t="shared" ca="1" si="122"/>
        <v>-4.9506436253564934E-2</v>
      </c>
      <c r="BN63" s="414">
        <f t="shared" ca="1" si="122"/>
        <v>1.5339189700029106</v>
      </c>
      <c r="BO63" s="414">
        <f ca="1">(BO26-BN26)/BN26*100</f>
        <v>25.649929798110261</v>
      </c>
      <c r="BP63" s="414">
        <f t="shared" ca="1" si="122"/>
        <v>23.832643339077624</v>
      </c>
      <c r="BQ63" s="414">
        <f t="shared" ref="BQ63:CC63" ca="1" si="123">(BQ26-BP26)/BP26*100</f>
        <v>9.925472666142019</v>
      </c>
      <c r="BR63" s="414">
        <f t="shared" ca="1" si="123"/>
        <v>3.8030814385581584</v>
      </c>
      <c r="BS63" s="414">
        <f t="shared" ca="1" si="123"/>
        <v>3.0723022999303962</v>
      </c>
      <c r="BT63" s="414">
        <f t="shared" ca="1" si="123"/>
        <v>3.9786333732446097</v>
      </c>
      <c r="BU63" s="414">
        <f t="shared" ca="1" si="123"/>
        <v>4.0945270658918602</v>
      </c>
      <c r="BV63" s="414">
        <f t="shared" ca="1" si="123"/>
        <v>4.0633306685075068</v>
      </c>
      <c r="BW63" s="414">
        <f t="shared" ca="1" si="123"/>
        <v>4.0507680338828091</v>
      </c>
      <c r="BX63" s="414">
        <f t="shared" ca="1" si="123"/>
        <v>4.0395627686051494</v>
      </c>
      <c r="BY63" s="414">
        <f t="shared" ca="1" si="123"/>
        <v>4.8999941709323513</v>
      </c>
      <c r="BZ63" s="414">
        <f t="shared" ca="1" si="123"/>
        <v>5.0217820394226251</v>
      </c>
      <c r="CA63" s="414">
        <f t="shared" ca="1" si="123"/>
        <v>5.0256643464179369</v>
      </c>
      <c r="CB63" s="414">
        <f t="shared" ca="1" si="123"/>
        <v>5.0608451918143453</v>
      </c>
      <c r="CC63" s="414">
        <f t="shared" ca="1" si="123"/>
        <v>5.1035916131315107</v>
      </c>
      <c r="CE63" s="484">
        <f t="shared" ref="CE63:CN69" ca="1" si="124">BJ63-CZ63</f>
        <v>0.63450094718585959</v>
      </c>
      <c r="CF63" s="484">
        <f t="shared" ca="1" si="124"/>
        <v>-9.5817416017587753E-2</v>
      </c>
      <c r="CG63" s="484">
        <f t="shared" ca="1" si="124"/>
        <v>-2.8990257518291429E-2</v>
      </c>
      <c r="CH63" s="484">
        <f t="shared" ca="1" si="124"/>
        <v>-0.37317538721502352</v>
      </c>
      <c r="CI63" s="484">
        <f t="shared" ca="1" si="124"/>
        <v>0.58945616394779421</v>
      </c>
      <c r="CJ63" s="484">
        <f t="shared" ca="1" si="124"/>
        <v>9.4146812499161641</v>
      </c>
      <c r="CK63" s="484">
        <f t="shared" ca="1" si="124"/>
        <v>8.0967482578793568</v>
      </c>
      <c r="CL63" s="484">
        <f t="shared" ca="1" si="124"/>
        <v>-2.334112162704459</v>
      </c>
      <c r="CM63" s="484">
        <f t="shared" ca="1" si="124"/>
        <v>-2.3480849994907267</v>
      </c>
      <c r="CN63" s="484">
        <f t="shared" ca="1" si="124"/>
        <v>-0.59388206810120581</v>
      </c>
      <c r="CO63" s="484">
        <f t="shared" ref="CO63:CX69" ca="1" si="125">BT63-DJ63</f>
        <v>0.30543240300328822</v>
      </c>
      <c r="CP63" s="484">
        <f t="shared" ca="1" si="125"/>
        <v>0.61454480216234675</v>
      </c>
      <c r="CQ63" s="484">
        <f t="shared" ca="1" si="125"/>
        <v>0.71159236196901077</v>
      </c>
      <c r="CR63" s="484">
        <f t="shared" ca="1" si="125"/>
        <v>0.72996975796151853</v>
      </c>
      <c r="CS63" s="484">
        <f t="shared" ca="1" si="125"/>
        <v>0.73474895985764288</v>
      </c>
      <c r="CT63" s="484">
        <f t="shared" ca="1" si="125"/>
        <v>0.60271558846951567</v>
      </c>
      <c r="CU63" s="484">
        <f t="shared" ca="1" si="125"/>
        <v>0.61164744576996988</v>
      </c>
      <c r="CV63" s="484">
        <f t="shared" ca="1" si="125"/>
        <v>0.60405516638627343</v>
      </c>
      <c r="CW63" s="484">
        <f t="shared" ca="1" si="125"/>
        <v>0.59148064336610684</v>
      </c>
      <c r="CX63" s="484">
        <f t="shared" ca="1" si="125"/>
        <v>0.58096281337701505</v>
      </c>
      <c r="CZ63" s="502">
        <v>31.331140679455206</v>
      </c>
      <c r="DA63" s="502">
        <v>8.0900799813469977</v>
      </c>
      <c r="DB63" s="502">
        <v>-1.2362564596565691</v>
      </c>
      <c r="DC63" s="502">
        <v>0.32366895096145859</v>
      </c>
      <c r="DD63" s="502">
        <v>0.94446280605511634</v>
      </c>
      <c r="DE63" s="502">
        <v>16.235248548194097</v>
      </c>
      <c r="DF63" s="502">
        <v>15.735895081198267</v>
      </c>
      <c r="DG63" s="502">
        <v>12.259584828846478</v>
      </c>
      <c r="DH63" s="502">
        <v>6.1511664380488851</v>
      </c>
      <c r="DI63" s="502">
        <v>3.666184368031602</v>
      </c>
      <c r="DJ63" s="502">
        <v>3.6732009702413215</v>
      </c>
      <c r="DK63" s="502">
        <v>3.4799822637295135</v>
      </c>
      <c r="DL63" s="502">
        <v>3.351738306538496</v>
      </c>
      <c r="DM63" s="502">
        <v>3.3207982759212906</v>
      </c>
      <c r="DN63" s="502">
        <v>3.3048138087475065</v>
      </c>
      <c r="DO63" s="502">
        <v>4.2972785824628357</v>
      </c>
      <c r="DP63" s="502">
        <v>4.4101345936526553</v>
      </c>
      <c r="DQ63" s="502">
        <v>4.4216091800316635</v>
      </c>
      <c r="DR63" s="502">
        <v>4.4693645484482385</v>
      </c>
      <c r="DS63" s="502">
        <v>4.5226287997544956</v>
      </c>
    </row>
    <row r="64" spans="1:123">
      <c r="A64" t="str">
        <f>A28</f>
        <v>Bruto toegevoegde waarde van bedrijven, mp nominaal</v>
      </c>
      <c r="E64" s="414" t="e">
        <f t="shared" ref="E64:AJ64" si="126">(E28-D28)/D28*100</f>
        <v>#DIV/0!</v>
      </c>
      <c r="F64" s="414">
        <f t="shared" si="126"/>
        <v>3.3976124885215868</v>
      </c>
      <c r="G64" s="414">
        <f t="shared" si="126"/>
        <v>7.9157190678597624</v>
      </c>
      <c r="H64" s="414">
        <f t="shared" si="126"/>
        <v>13.635196661762025</v>
      </c>
      <c r="I64" s="414">
        <f t="shared" si="126"/>
        <v>6.5045005044026123</v>
      </c>
      <c r="J64" s="414">
        <f t="shared" si="126"/>
        <v>10.169484491071309</v>
      </c>
      <c r="K64" s="414">
        <f t="shared" si="126"/>
        <v>8.0658613720396684</v>
      </c>
      <c r="L64" s="414">
        <f t="shared" si="126"/>
        <v>0.93455068796915663</v>
      </c>
      <c r="M64" s="414">
        <f t="shared" si="126"/>
        <v>5.638033617248813</v>
      </c>
      <c r="N64" s="414">
        <f t="shared" si="126"/>
        <v>7.3499873106974576</v>
      </c>
      <c r="O64" s="414">
        <f t="shared" si="126"/>
        <v>9.2998953476729938</v>
      </c>
      <c r="P64" s="414">
        <f t="shared" si="126"/>
        <v>15.596175936458808</v>
      </c>
      <c r="Q64" s="414">
        <f t="shared" si="126"/>
        <v>27.447687625363038</v>
      </c>
      <c r="R64" s="414">
        <f t="shared" si="126"/>
        <v>17.468049877209658</v>
      </c>
      <c r="S64" s="414">
        <f t="shared" si="126"/>
        <v>10.125833893978854</v>
      </c>
      <c r="T64" s="414">
        <f t="shared" si="126"/>
        <v>2.9216799189852862</v>
      </c>
      <c r="U64" s="414">
        <f t="shared" si="126"/>
        <v>3.6414733147508165</v>
      </c>
      <c r="V64" s="414">
        <f t="shared" si="126"/>
        <v>9.6546614059228855</v>
      </c>
      <c r="W64" s="414">
        <f t="shared" si="126"/>
        <v>3.8294013985809459</v>
      </c>
      <c r="X64" s="414">
        <f t="shared" si="126"/>
        <v>9.2504979120438922</v>
      </c>
      <c r="Y64" s="414">
        <f t="shared" si="126"/>
        <v>22.892215599214456</v>
      </c>
      <c r="Z64" s="414">
        <f t="shared" si="126"/>
        <v>19.34773172399699</v>
      </c>
      <c r="AA64" s="414">
        <f t="shared" si="126"/>
        <v>7.0445567145356227</v>
      </c>
      <c r="AB64" s="414">
        <f t="shared" si="126"/>
        <v>26.54346730892679</v>
      </c>
      <c r="AC64" s="414">
        <f t="shared" si="126"/>
        <v>14.501216199547217</v>
      </c>
      <c r="AD64" s="414">
        <f t="shared" si="126"/>
        <v>6.6442309853435138</v>
      </c>
      <c r="AE64" s="414">
        <f t="shared" si="126"/>
        <v>2.4357013328934007</v>
      </c>
      <c r="AF64" s="414">
        <f t="shared" si="126"/>
        <v>10.583444467048604</v>
      </c>
      <c r="AG64" s="414">
        <f t="shared" si="126"/>
        <v>-1.2922369628514057</v>
      </c>
      <c r="AH64" s="414">
        <f t="shared" si="126"/>
        <v>-5.9587373908069896</v>
      </c>
      <c r="AI64" s="414">
        <f t="shared" si="126"/>
        <v>-2.9908639703500022</v>
      </c>
      <c r="AJ64" s="414">
        <f t="shared" si="126"/>
        <v>-0.96883422496469862</v>
      </c>
      <c r="AK64" s="414">
        <f t="shared" ref="AK64:BD64" si="127">(AK28-AJ28)/AJ28*100</f>
        <v>1.7923543086566007</v>
      </c>
      <c r="AL64" s="414">
        <f t="shared" si="127"/>
        <v>8.6657588429329095</v>
      </c>
      <c r="AM64" s="414">
        <f t="shared" si="127"/>
        <v>20.842487590534475</v>
      </c>
      <c r="AN64" s="414">
        <f t="shared" si="127"/>
        <v>20.835518146089296</v>
      </c>
      <c r="AO64" s="414">
        <f t="shared" si="127"/>
        <v>37.681185860889364</v>
      </c>
      <c r="AP64" s="414">
        <f t="shared" si="127"/>
        <v>16.660041210338402</v>
      </c>
      <c r="AQ64" s="414">
        <f t="shared" si="127"/>
        <v>30.89332314848204</v>
      </c>
      <c r="AR64" s="414">
        <f t="shared" si="127"/>
        <v>144.83458075713202</v>
      </c>
      <c r="AS64" s="414">
        <f t="shared" si="127"/>
        <v>297.96777323415159</v>
      </c>
      <c r="AT64" s="414">
        <f t="shared" si="127"/>
        <v>387.57498065715549</v>
      </c>
      <c r="AU64" s="414">
        <f t="shared" si="127"/>
        <v>27.130347328047865</v>
      </c>
      <c r="AV64" s="414">
        <f t="shared" si="127"/>
        <v>11.150753208178243</v>
      </c>
      <c r="AW64" s="414">
        <f t="shared" si="127"/>
        <v>13.1892492534475</v>
      </c>
      <c r="AX64" s="414">
        <f t="shared" si="127"/>
        <v>95.02685342842679</v>
      </c>
      <c r="AY64" s="414">
        <f t="shared" si="127"/>
        <v>66.87994850155583</v>
      </c>
      <c r="AZ64" s="414">
        <f t="shared" si="127"/>
        <v>46.948476294925023</v>
      </c>
      <c r="BA64" s="414">
        <f t="shared" si="127"/>
        <v>12.201209971508982</v>
      </c>
      <c r="BB64" s="414">
        <f t="shared" si="127"/>
        <v>45.698124893274425</v>
      </c>
      <c r="BC64" s="414">
        <f t="shared" si="127"/>
        <v>25.529929017864195</v>
      </c>
      <c r="BD64" s="414">
        <f t="shared" ca="1" si="127"/>
        <v>41.424360286384726</v>
      </c>
      <c r="BE64" s="414">
        <f t="shared" ref="BE64:BG65" ca="1" si="128">(BE28-BD28)/BD28*100</f>
        <v>22.802142594134253</v>
      </c>
      <c r="BF64" s="414">
        <f t="shared" ca="1" si="128"/>
        <v>13.431113247801129</v>
      </c>
      <c r="BG64" s="414">
        <f t="shared" ca="1" si="128"/>
        <v>17.660704710549936</v>
      </c>
      <c r="BH64" s="414">
        <f ca="1">(BH28-BG28)/BG28*100</f>
        <v>-2.8309049928163881</v>
      </c>
      <c r="BI64" s="414">
        <f ca="1">(BI28-BH28)/BH28*100</f>
        <v>26.106332723032143</v>
      </c>
      <c r="BJ64" s="414">
        <f t="shared" ref="BJ64:BP65" ca="1" si="129">(BJ28-BI28)/BI28*100</f>
        <v>33.851297701702372</v>
      </c>
      <c r="BK64" s="414">
        <f ca="1">(BK28-BJ28)/BJ28*100</f>
        <v>7.9259600746227674</v>
      </c>
      <c r="BL64" s="414">
        <f t="shared" ca="1" si="129"/>
        <v>-2.9225219551114057</v>
      </c>
      <c r="BM64" s="414">
        <f t="shared" ca="1" si="129"/>
        <v>0.29791081369145006</v>
      </c>
      <c r="BN64" s="414">
        <f t="shared" ca="1" si="129"/>
        <v>0.44980305639859863</v>
      </c>
      <c r="BO64" s="414">
        <f ca="1">(BO28-BN28)/BN28*100</f>
        <v>26.156945423486643</v>
      </c>
      <c r="BP64" s="414">
        <f t="shared" ca="1" si="129"/>
        <v>23.784790101181233</v>
      </c>
      <c r="BQ64" s="414">
        <f t="shared" ref="BQ64:BZ64" ca="1" si="130">(BQ28-BP28)/BP28*100</f>
        <v>9.9643295082206151</v>
      </c>
      <c r="BR64" s="414">
        <f t="shared" ca="1" si="130"/>
        <v>3.7158355756937649</v>
      </c>
      <c r="BS64" s="414">
        <f t="shared" ca="1" si="130"/>
        <v>2.8838562328867319</v>
      </c>
      <c r="BT64" s="414">
        <f t="shared" ca="1" si="130"/>
        <v>3.8563484544126108</v>
      </c>
      <c r="BU64" s="414">
        <f t="shared" ca="1" si="130"/>
        <v>3.9725492034526071</v>
      </c>
      <c r="BV64" s="414">
        <f t="shared" ca="1" si="130"/>
        <v>3.9591833030409891</v>
      </c>
      <c r="BW64" s="414">
        <f t="shared" ca="1" si="130"/>
        <v>3.9484873654334569</v>
      </c>
      <c r="BX64" s="414">
        <f t="shared" ca="1" si="130"/>
        <v>3.9412519138610396</v>
      </c>
      <c r="BY64" s="414">
        <f t="shared" ca="1" si="130"/>
        <v>4.901939253874577</v>
      </c>
      <c r="BZ64" s="414">
        <f t="shared" ca="1" si="130"/>
        <v>5.0389823054567957</v>
      </c>
      <c r="CA64" s="414">
        <f t="shared" ref="CA64:CC65" ca="1" si="131">(CA28-BZ28)/BZ28*100</f>
        <v>5.0679138205151295</v>
      </c>
      <c r="CB64" s="414">
        <f ca="1">(CB28-CA28)/CA28*100</f>
        <v>5.1089288332667682</v>
      </c>
      <c r="CC64" s="414">
        <f t="shared" ca="1" si="131"/>
        <v>5.1582846314230553</v>
      </c>
      <c r="CE64" s="484">
        <f t="shared" ca="1" si="124"/>
        <v>0.69551635889661867</v>
      </c>
      <c r="CF64" s="484">
        <f t="shared" ca="1" si="124"/>
        <v>-0.10325580859039807</v>
      </c>
      <c r="CG64" s="484">
        <f t="shared" ca="1" si="124"/>
        <v>-2.4144715540260098E-2</v>
      </c>
      <c r="CH64" s="484">
        <f t="shared" ca="1" si="124"/>
        <v>-0.41212712294491566</v>
      </c>
      <c r="CI64" s="484">
        <f t="shared" ca="1" si="124"/>
        <v>0.64623938377483181</v>
      </c>
      <c r="CJ64" s="484">
        <f t="shared" ca="1" si="124"/>
        <v>8.65792069590238</v>
      </c>
      <c r="CK64" s="484">
        <f t="shared" ca="1" si="124"/>
        <v>8.1690608567325356</v>
      </c>
      <c r="CL64" s="484">
        <f t="shared" ca="1" si="124"/>
        <v>-1.7182144054179371</v>
      </c>
      <c r="CM64" s="484">
        <f t="shared" ca="1" si="124"/>
        <v>-2.377577206779911</v>
      </c>
      <c r="CN64" s="484">
        <f t="shared" ca="1" si="124"/>
        <v>-0.74967020404119822</v>
      </c>
      <c r="CO64" s="484">
        <f t="shared" ca="1" si="125"/>
        <v>0.13246455367843524</v>
      </c>
      <c r="CP64" s="484">
        <f t="shared" ca="1" si="125"/>
        <v>0.47132176028482231</v>
      </c>
      <c r="CQ64" s="484">
        <f t="shared" ca="1" si="125"/>
        <v>0.57066753184030405</v>
      </c>
      <c r="CR64" s="484">
        <f t="shared" ca="1" si="125"/>
        <v>0.59241799373920401</v>
      </c>
      <c r="CS64" s="484">
        <f t="shared" ca="1" si="125"/>
        <v>0.59780805147838256</v>
      </c>
      <c r="CT64" s="484">
        <f t="shared" ca="1" si="125"/>
        <v>0.45933140078042545</v>
      </c>
      <c r="CU64" s="484">
        <f t="shared" ca="1" si="125"/>
        <v>0.47162830828732805</v>
      </c>
      <c r="CV64" s="484">
        <f t="shared" ca="1" si="125"/>
        <v>0.46965799741588299</v>
      </c>
      <c r="CW64" s="484">
        <f t="shared" ca="1" si="125"/>
        <v>0.46159738833267649</v>
      </c>
      <c r="CX64" s="484">
        <f t="shared" ca="1" si="125"/>
        <v>0.45534933768755614</v>
      </c>
      <c r="CZ64" s="502">
        <v>33.155781342805753</v>
      </c>
      <c r="DA64" s="502">
        <v>8.0292158832131655</v>
      </c>
      <c r="DB64" s="502">
        <v>-2.8983772395711456</v>
      </c>
      <c r="DC64" s="502">
        <v>0.71003793663636572</v>
      </c>
      <c r="DD64" s="502">
        <v>-0.19643632737623315</v>
      </c>
      <c r="DE64" s="502">
        <v>17.499024727584263</v>
      </c>
      <c r="DF64" s="502">
        <v>15.615729244448698</v>
      </c>
      <c r="DG64" s="502">
        <v>11.682543913638552</v>
      </c>
      <c r="DH64" s="502">
        <v>6.0934127824736759</v>
      </c>
      <c r="DI64" s="502">
        <v>3.6335264369279301</v>
      </c>
      <c r="DJ64" s="502">
        <v>3.7238839007341755</v>
      </c>
      <c r="DK64" s="502">
        <v>3.5012274431677848</v>
      </c>
      <c r="DL64" s="502">
        <v>3.388515771200685</v>
      </c>
      <c r="DM64" s="502">
        <v>3.3560693716942529</v>
      </c>
      <c r="DN64" s="502">
        <v>3.343443862382657</v>
      </c>
      <c r="DO64" s="502">
        <v>4.4426078530941515</v>
      </c>
      <c r="DP64" s="502">
        <v>4.5673539971694677</v>
      </c>
      <c r="DQ64" s="502">
        <v>4.5982558230992465</v>
      </c>
      <c r="DR64" s="502">
        <v>4.6473314449340917</v>
      </c>
      <c r="DS64" s="502">
        <v>4.7029352937354991</v>
      </c>
    </row>
    <row r="65" spans="1:123">
      <c r="A65" t="str">
        <f>A29</f>
        <v>Consumptie</v>
      </c>
      <c r="E65" s="414" t="e">
        <f t="shared" ref="E65:AJ65" si="132">(E29-D29)/D29*100</f>
        <v>#DIV/0!</v>
      </c>
      <c r="F65" s="414">
        <f t="shared" si="132"/>
        <v>8.5288414568504045</v>
      </c>
      <c r="G65" s="414">
        <f t="shared" si="132"/>
        <v>5.428377947641633</v>
      </c>
      <c r="H65" s="414">
        <f t="shared" si="132"/>
        <v>9.0580710909376077</v>
      </c>
      <c r="I65" s="414">
        <f t="shared" si="132"/>
        <v>11.994059103084924</v>
      </c>
      <c r="J65" s="414">
        <f t="shared" si="132"/>
        <v>10.23355596952071</v>
      </c>
      <c r="K65" s="414">
        <f t="shared" si="132"/>
        <v>10.733516992007939</v>
      </c>
      <c r="L65" s="414">
        <f t="shared" si="132"/>
        <v>2.5744601177826634</v>
      </c>
      <c r="M65" s="414">
        <f t="shared" si="132"/>
        <v>5.0978971083004536</v>
      </c>
      <c r="N65" s="414">
        <f t="shared" si="132"/>
        <v>4.6474332180111633</v>
      </c>
      <c r="O65" s="414">
        <f t="shared" si="132"/>
        <v>-1.7960246890049083</v>
      </c>
      <c r="P65" s="414">
        <f t="shared" si="132"/>
        <v>18.571510203379404</v>
      </c>
      <c r="Q65" s="414">
        <f t="shared" si="132"/>
        <v>23.738725505487306</v>
      </c>
      <c r="R65" s="414">
        <f t="shared" si="132"/>
        <v>31.432820611375405</v>
      </c>
      <c r="S65" s="414">
        <f t="shared" si="132"/>
        <v>6.2715065324282158</v>
      </c>
      <c r="T65" s="414">
        <f t="shared" si="132"/>
        <v>3.2653562959018814</v>
      </c>
      <c r="U65" s="414">
        <f t="shared" si="132"/>
        <v>5.110005905352125</v>
      </c>
      <c r="V65" s="414">
        <f t="shared" si="132"/>
        <v>5.0104346733243199</v>
      </c>
      <c r="W65" s="414">
        <f t="shared" si="132"/>
        <v>1.1085292212859901</v>
      </c>
      <c r="X65" s="414">
        <f t="shared" si="132"/>
        <v>15.862451480450018</v>
      </c>
      <c r="Y65" s="414">
        <f t="shared" si="132"/>
        <v>7.1465647411306943</v>
      </c>
      <c r="Z65" s="414">
        <f t="shared" si="132"/>
        <v>22.054960469170389</v>
      </c>
      <c r="AA65" s="414">
        <f t="shared" si="132"/>
        <v>24.316408033383738</v>
      </c>
      <c r="AB65" s="414">
        <f t="shared" si="132"/>
        <v>38.810155345285821</v>
      </c>
      <c r="AC65" s="414">
        <f t="shared" si="132"/>
        <v>12.024088555206843</v>
      </c>
      <c r="AD65" s="414">
        <f t="shared" si="132"/>
        <v>4.1816318168156226</v>
      </c>
      <c r="AE65" s="414">
        <f t="shared" si="132"/>
        <v>-5.050462836016064E-2</v>
      </c>
      <c r="AF65" s="414">
        <f t="shared" si="132"/>
        <v>16.359594961770838</v>
      </c>
      <c r="AG65" s="414">
        <f t="shared" si="132"/>
        <v>6.9502077010603083</v>
      </c>
      <c r="AH65" s="414">
        <f t="shared" si="132"/>
        <v>4.4662327336396315</v>
      </c>
      <c r="AI65" s="414">
        <f t="shared" si="132"/>
        <v>-5.492492242598364</v>
      </c>
      <c r="AJ65" s="414">
        <f t="shared" si="132"/>
        <v>-2.6474166343196974</v>
      </c>
      <c r="AK65" s="414">
        <f t="shared" ref="AK65:BD65" si="133">(AK29-AJ29)/AJ29*100</f>
        <v>7.6535302581396678</v>
      </c>
      <c r="AL65" s="414">
        <f t="shared" si="133"/>
        <v>20.859297694669099</v>
      </c>
      <c r="AM65" s="414">
        <f t="shared" si="133"/>
        <v>26.127283738929201</v>
      </c>
      <c r="AN65" s="414">
        <f t="shared" si="133"/>
        <v>33.903694764336592</v>
      </c>
      <c r="AO65" s="414">
        <f t="shared" si="133"/>
        <v>42.08135430735819</v>
      </c>
      <c r="AP65" s="414">
        <f t="shared" si="133"/>
        <v>38.221735175164042</v>
      </c>
      <c r="AQ65" s="414">
        <f t="shared" si="133"/>
        <v>34.908334811702133</v>
      </c>
      <c r="AR65" s="414">
        <f t="shared" si="133"/>
        <v>50.631402567052589</v>
      </c>
      <c r="AS65" s="414">
        <f t="shared" si="133"/>
        <v>-302.95816841866082</v>
      </c>
      <c r="AT65" s="414">
        <f t="shared" si="133"/>
        <v>-817.65266800423967</v>
      </c>
      <c r="AU65" s="414">
        <f t="shared" si="133"/>
        <v>7.9475754868197512</v>
      </c>
      <c r="AV65" s="414">
        <f t="shared" si="133"/>
        <v>35.378619099558847</v>
      </c>
      <c r="AW65" s="414">
        <f t="shared" si="133"/>
        <v>53.536684490771961</v>
      </c>
      <c r="AX65" s="414">
        <f t="shared" si="133"/>
        <v>54.454005807793557</v>
      </c>
      <c r="AY65" s="414">
        <f t="shared" si="133"/>
        <v>65.243966936748023</v>
      </c>
      <c r="AZ65" s="414">
        <f t="shared" si="133"/>
        <v>35.043014856142207</v>
      </c>
      <c r="BA65" s="414">
        <f t="shared" si="133"/>
        <v>30.306545899219405</v>
      </c>
      <c r="BB65" s="414">
        <f t="shared" si="133"/>
        <v>30.376141372083236</v>
      </c>
      <c r="BC65" s="414">
        <f t="shared" si="133"/>
        <v>12.073832110790624</v>
      </c>
      <c r="BD65" s="414">
        <f t="shared" ca="1" si="133"/>
        <v>21.799765306390277</v>
      </c>
      <c r="BE65" s="414">
        <f t="shared" ca="1" si="128"/>
        <v>35.655635658794779</v>
      </c>
      <c r="BF65" s="414">
        <f t="shared" ca="1" si="128"/>
        <v>14.442697028919024</v>
      </c>
      <c r="BG65" s="414">
        <f t="shared" ca="1" si="128"/>
        <v>17.152786661185228</v>
      </c>
      <c r="BH65" s="414">
        <f ca="1">(BH29-BG29)/BG29*100</f>
        <v>0.90731804770225954</v>
      </c>
      <c r="BI65" s="414">
        <f ca="1">(BI29-BH29)/BH29*100</f>
        <v>1.3284622310764997</v>
      </c>
      <c r="BJ65" s="414">
        <f t="shared" ca="1" si="129"/>
        <v>46.757777614099908</v>
      </c>
      <c r="BK65" s="414">
        <f ca="1">(BK29-BJ29)/BJ29*100</f>
        <v>11.603425427174514</v>
      </c>
      <c r="BL65" s="414">
        <f t="shared" ca="1" si="129"/>
        <v>13.858266791727857</v>
      </c>
      <c r="BM65" s="414">
        <f t="shared" ca="1" si="129"/>
        <v>1.191693945573135</v>
      </c>
      <c r="BN65" s="414">
        <f t="shared" ca="1" si="129"/>
        <v>7.754171087212387</v>
      </c>
      <c r="BO65" s="414">
        <f ca="1">(BO29-BN29)/BN29*100</f>
        <v>20.393170518268462</v>
      </c>
      <c r="BP65" s="414">
        <f t="shared" ca="1" si="129"/>
        <v>23.810095571560662</v>
      </c>
      <c r="BQ65" s="414">
        <f t="shared" ref="BQ65:BZ65" ca="1" si="134">(BQ29-BP29)/BP29*100</f>
        <v>13.472972597953422</v>
      </c>
      <c r="BR65" s="414">
        <f t="shared" ca="1" si="134"/>
        <v>5.5509257987046947</v>
      </c>
      <c r="BS65" s="414">
        <f t="shared" ca="1" si="134"/>
        <v>3.76763152263623</v>
      </c>
      <c r="BT65" s="414">
        <f t="shared" ca="1" si="134"/>
        <v>4.3462579962727874</v>
      </c>
      <c r="BU65" s="414">
        <f t="shared" ca="1" si="134"/>
        <v>4.7880433618904883</v>
      </c>
      <c r="BV65" s="414">
        <f t="shared" ca="1" si="134"/>
        <v>4.7677722691141948</v>
      </c>
      <c r="BW65" s="414">
        <f t="shared" ca="1" si="134"/>
        <v>4.7804208016418395</v>
      </c>
      <c r="BX65" s="414">
        <f t="shared" ca="1" si="134"/>
        <v>4.8007046834140166</v>
      </c>
      <c r="BY65" s="414">
        <f t="shared" ca="1" si="134"/>
        <v>4.9426747508002364</v>
      </c>
      <c r="BZ65" s="414">
        <f t="shared" ca="1" si="134"/>
        <v>5.128364745965996</v>
      </c>
      <c r="CA65" s="414">
        <f t="shared" ca="1" si="131"/>
        <v>5.1467073375311401</v>
      </c>
      <c r="CB65" s="414">
        <f ca="1">(CB29-CA29)/CA29*100</f>
        <v>5.20132838357853</v>
      </c>
      <c r="CC65" s="414">
        <f t="shared" ca="1" si="131"/>
        <v>5.2688227807883194</v>
      </c>
      <c r="CE65" s="484">
        <f t="shared" ca="1" si="124"/>
        <v>-8.7780672436588247</v>
      </c>
      <c r="CF65" s="484">
        <f t="shared" ca="1" si="124"/>
        <v>6.8619046429953183</v>
      </c>
      <c r="CG65" s="484">
        <f t="shared" ca="1" si="124"/>
        <v>-0.72470931098354896</v>
      </c>
      <c r="CH65" s="484">
        <f t="shared" ca="1" si="124"/>
        <v>0.13026082949350815</v>
      </c>
      <c r="CI65" s="484">
        <f t="shared" ca="1" si="124"/>
        <v>3.765262701169422</v>
      </c>
      <c r="CJ65" s="484">
        <f t="shared" ca="1" si="124"/>
        <v>7.1392148541170002</v>
      </c>
      <c r="CK65" s="484">
        <f t="shared" ca="1" si="124"/>
        <v>7.9007389586024814</v>
      </c>
      <c r="CL65" s="484">
        <f t="shared" ca="1" si="124"/>
        <v>0.77342240055034672</v>
      </c>
      <c r="CM65" s="484">
        <f t="shared" ca="1" si="124"/>
        <v>-1.7444753397284964</v>
      </c>
      <c r="CN65" s="484">
        <f t="shared" ca="1" si="124"/>
        <v>-0.86530748694943416</v>
      </c>
      <c r="CO65" s="484">
        <f t="shared" ca="1" si="125"/>
        <v>0.20000686267989565</v>
      </c>
      <c r="CP65" s="484">
        <f t="shared" ca="1" si="125"/>
        <v>0.57607704638399859</v>
      </c>
      <c r="CQ65" s="484">
        <f t="shared" ca="1" si="125"/>
        <v>0.70296121342097972</v>
      </c>
      <c r="CR65" s="484">
        <f t="shared" ca="1" si="125"/>
        <v>0.71879508763658428</v>
      </c>
      <c r="CS65" s="484">
        <f t="shared" ca="1" si="125"/>
        <v>0.71115956362289889</v>
      </c>
      <c r="CT65" s="484">
        <f t="shared" ca="1" si="125"/>
        <v>0.70917941445175625</v>
      </c>
      <c r="CU65" s="484">
        <f t="shared" ca="1" si="125"/>
        <v>0.71600748623732446</v>
      </c>
      <c r="CV65" s="484">
        <f t="shared" ca="1" si="125"/>
        <v>0.71210701029860157</v>
      </c>
      <c r="CW65" s="484">
        <f t="shared" ca="1" si="125"/>
        <v>0.70029141991160149</v>
      </c>
      <c r="CX65" s="484">
        <f t="shared" ca="1" si="125"/>
        <v>0.68976104653646342</v>
      </c>
      <c r="CZ65" s="502">
        <v>55.535844857758732</v>
      </c>
      <c r="DA65" s="502">
        <v>4.7415207841791958</v>
      </c>
      <c r="DB65" s="502">
        <v>14.582976102711406</v>
      </c>
      <c r="DC65" s="502">
        <v>1.0614331160796269</v>
      </c>
      <c r="DD65" s="502">
        <v>3.988908386042965</v>
      </c>
      <c r="DE65" s="502">
        <v>13.253955664151462</v>
      </c>
      <c r="DF65" s="502">
        <v>15.909356612958181</v>
      </c>
      <c r="DG65" s="502">
        <v>12.699550197403076</v>
      </c>
      <c r="DH65" s="502">
        <v>7.2954011384331912</v>
      </c>
      <c r="DI65" s="502">
        <v>4.6329390095856642</v>
      </c>
      <c r="DJ65" s="502">
        <v>4.1462511335928918</v>
      </c>
      <c r="DK65" s="502">
        <v>4.2119663155064897</v>
      </c>
      <c r="DL65" s="502">
        <v>4.0648110556932151</v>
      </c>
      <c r="DM65" s="502">
        <v>4.0616257140052552</v>
      </c>
      <c r="DN65" s="502">
        <v>4.0895451197911177</v>
      </c>
      <c r="DO65" s="502">
        <v>4.2334953363484802</v>
      </c>
      <c r="DP65" s="502">
        <v>4.4123572597286715</v>
      </c>
      <c r="DQ65" s="502">
        <v>4.4346003272325385</v>
      </c>
      <c r="DR65" s="502">
        <v>4.5010369636669285</v>
      </c>
      <c r="DS65" s="502">
        <v>4.579061734251856</v>
      </c>
    </row>
    <row r="66" spans="1:123">
      <c r="A66" s="326" t="str">
        <f>A32</f>
        <v>Investeringen</v>
      </c>
      <c r="E66" s="414" t="e">
        <f t="shared" ref="E66:BB66" si="135">(E32-D32)/D32*100</f>
        <v>#DIV/0!</v>
      </c>
      <c r="F66" s="414">
        <f t="shared" si="135"/>
        <v>6.2485040456482244</v>
      </c>
      <c r="G66" s="414">
        <f t="shared" si="135"/>
        <v>16.200991519917583</v>
      </c>
      <c r="H66" s="414">
        <f t="shared" si="135"/>
        <v>36.629815569187755</v>
      </c>
      <c r="I66" s="414">
        <f t="shared" si="135"/>
        <v>3.3565193676780911</v>
      </c>
      <c r="J66" s="414">
        <f t="shared" si="135"/>
        <v>6.2135189280648726</v>
      </c>
      <c r="K66" s="414">
        <f t="shared" si="135"/>
        <v>14.654166801251254</v>
      </c>
      <c r="L66" s="414">
        <f t="shared" si="135"/>
        <v>5.1587094051668778</v>
      </c>
      <c r="M66" s="414">
        <f t="shared" si="135"/>
        <v>10.379590715345815</v>
      </c>
      <c r="N66" s="414">
        <f t="shared" si="135"/>
        <v>12.128426251901574</v>
      </c>
      <c r="O66" s="414">
        <f t="shared" si="135"/>
        <v>84.292828421599509</v>
      </c>
      <c r="P66" s="414">
        <f t="shared" si="135"/>
        <v>5.8974274561577822</v>
      </c>
      <c r="Q66" s="414">
        <f t="shared" si="135"/>
        <v>-22.229377829273787</v>
      </c>
      <c r="R66" s="414">
        <f t="shared" si="135"/>
        <v>-16.910215848372452</v>
      </c>
      <c r="S66" s="414">
        <f t="shared" si="135"/>
        <v>2.7513549315311479</v>
      </c>
      <c r="T66" s="414">
        <f t="shared" si="135"/>
        <v>-12.525912784084117</v>
      </c>
      <c r="U66" s="414">
        <f t="shared" si="135"/>
        <v>3.0267116423045368</v>
      </c>
      <c r="V66" s="414">
        <f t="shared" si="135"/>
        <v>8.6983973574682949</v>
      </c>
      <c r="W66" s="414">
        <f t="shared" si="135"/>
        <v>19.775456323752401</v>
      </c>
      <c r="X66" s="414">
        <f t="shared" si="135"/>
        <v>24.373915617899051</v>
      </c>
      <c r="Y66" s="414">
        <f t="shared" si="135"/>
        <v>68.238881972267208</v>
      </c>
      <c r="Z66" s="414">
        <f t="shared" si="135"/>
        <v>38.397265492768966</v>
      </c>
      <c r="AA66" s="414">
        <f t="shared" si="135"/>
        <v>-33.16359892956811</v>
      </c>
      <c r="AB66" s="414">
        <f t="shared" si="135"/>
        <v>41.96316429293465</v>
      </c>
      <c r="AC66" s="414">
        <f t="shared" si="135"/>
        <v>-6.9571340319393009</v>
      </c>
      <c r="AD66" s="414">
        <f t="shared" si="135"/>
        <v>-7.7724316840094803</v>
      </c>
      <c r="AE66" s="414">
        <f t="shared" si="135"/>
        <v>37.079636314859229</v>
      </c>
      <c r="AF66" s="414">
        <f t="shared" si="135"/>
        <v>30.738464239086046</v>
      </c>
      <c r="AG66" s="414">
        <f t="shared" si="135"/>
        <v>-12.385618324319093</v>
      </c>
      <c r="AH66" s="414">
        <f t="shared" si="135"/>
        <v>-49.024364190015781</v>
      </c>
      <c r="AI66" s="414">
        <f t="shared" si="135"/>
        <v>-24.885453416668803</v>
      </c>
      <c r="AJ66" s="414">
        <f t="shared" si="135"/>
        <v>12.122066518963248</v>
      </c>
      <c r="AK66" s="414">
        <f t="shared" si="135"/>
        <v>13.487694865383116</v>
      </c>
      <c r="AL66" s="414">
        <f t="shared" si="135"/>
        <v>0.37528167984511374</v>
      </c>
      <c r="AM66" s="414">
        <f t="shared" si="135"/>
        <v>22.376084736167869</v>
      </c>
      <c r="AN66" s="414">
        <f t="shared" si="135"/>
        <v>8.6331469936932059</v>
      </c>
      <c r="AO66" s="414">
        <f t="shared" si="135"/>
        <v>140.17257955520782</v>
      </c>
      <c r="AP66" s="414">
        <f t="shared" si="135"/>
        <v>25.536377687251012</v>
      </c>
      <c r="AQ66" s="414">
        <f t="shared" si="135"/>
        <v>44.775808614275263</v>
      </c>
      <c r="AR66" s="414">
        <f t="shared" si="135"/>
        <v>117.31047255621527</v>
      </c>
      <c r="AS66" s="414">
        <f t="shared" si="135"/>
        <v>3118.5133250759991</v>
      </c>
      <c r="AT66" s="414">
        <f t="shared" si="135"/>
        <v>-20.228192630164287</v>
      </c>
      <c r="AU66" s="414">
        <f t="shared" si="135"/>
        <v>174.03246829037039</v>
      </c>
      <c r="AV66" s="414">
        <f t="shared" si="135"/>
        <v>-25.664181497961806</v>
      </c>
      <c r="AW66" s="414">
        <f t="shared" si="135"/>
        <v>-45.513885150028663</v>
      </c>
      <c r="AX66" s="414">
        <f t="shared" si="135"/>
        <v>100.00306723548967</v>
      </c>
      <c r="AY66" s="414">
        <f t="shared" si="135"/>
        <v>50.171290680670857</v>
      </c>
      <c r="AZ66" s="414">
        <f t="shared" si="135"/>
        <v>148.98429338819849</v>
      </c>
      <c r="BA66" s="414">
        <f t="shared" si="135"/>
        <v>12.350494124223301</v>
      </c>
      <c r="BB66" s="414">
        <f t="shared" si="135"/>
        <v>90.748633689718005</v>
      </c>
      <c r="BC66" s="414">
        <f t="shared" ref="BC66:BI66" si="136">(BC32-BB32)/BB32*100</f>
        <v>7.3335966425779384</v>
      </c>
      <c r="BD66" s="414">
        <f t="shared" si="136"/>
        <v>91.775178053611796</v>
      </c>
      <c r="BE66" s="414">
        <f t="shared" si="136"/>
        <v>-18.685211713914754</v>
      </c>
      <c r="BF66" s="414">
        <f t="shared" si="136"/>
        <v>19.938963935090925</v>
      </c>
      <c r="BG66" s="414">
        <f t="shared" ca="1" si="136"/>
        <v>28.986317112459258</v>
      </c>
      <c r="BH66" s="414">
        <f t="shared" ca="1" si="136"/>
        <v>8.6718487339559509</v>
      </c>
      <c r="BI66" s="414">
        <f t="shared" ca="1" si="136"/>
        <v>7.53480252292022</v>
      </c>
      <c r="BJ66" s="414">
        <f t="shared" ref="BJ66:BP66" ca="1" si="137">(BJ32-BI32)/BI32*100</f>
        <v>33.957013073051108</v>
      </c>
      <c r="BK66" s="414">
        <f ca="1">(BK32-BJ32)/BJ32*100</f>
        <v>27.312503927663144</v>
      </c>
      <c r="BL66" s="414">
        <f t="shared" ca="1" si="137"/>
        <v>-7.7645075073872842</v>
      </c>
      <c r="BM66" s="414">
        <f t="shared" ca="1" si="137"/>
        <v>16.395828633875233</v>
      </c>
      <c r="BN66" s="414">
        <f t="shared" ca="1" si="137"/>
        <v>8.0790594773819109</v>
      </c>
      <c r="BO66" s="414">
        <f ca="1">(BO32-BN32)/BN32*100</f>
        <v>28.654974630169015</v>
      </c>
      <c r="BP66" s="414">
        <f t="shared" ca="1" si="137"/>
        <v>7.8703447190950984</v>
      </c>
      <c r="BQ66" s="414">
        <f t="shared" ref="BQ66:CC66" ca="1" si="138">(BQ32-BP32)/BP32*100</f>
        <v>3.6266650870417831</v>
      </c>
      <c r="BR66" s="414">
        <f t="shared" ca="1" si="138"/>
        <v>4.8896622017494185</v>
      </c>
      <c r="BS66" s="414">
        <f t="shared" ca="1" si="138"/>
        <v>4.6511928129963049</v>
      </c>
      <c r="BT66" s="414">
        <f t="shared" ca="1" si="138"/>
        <v>6.4809807623082181</v>
      </c>
      <c r="BU66" s="414">
        <f t="shared" ca="1" si="138"/>
        <v>5.5521867924788779</v>
      </c>
      <c r="BV66" s="414">
        <f t="shared" ca="1" si="138"/>
        <v>5.5936246126194167</v>
      </c>
      <c r="BW66" s="414">
        <f t="shared" ca="1" si="138"/>
        <v>5.6027317591319132</v>
      </c>
      <c r="BX66" s="414">
        <f t="shared" ca="1" si="138"/>
        <v>5.6273738962750386</v>
      </c>
      <c r="BY66" s="414">
        <f t="shared" ca="1" si="138"/>
        <v>5.7321634548229206</v>
      </c>
      <c r="BZ66" s="414">
        <f t="shared" ca="1" si="138"/>
        <v>5.8938547511073427</v>
      </c>
      <c r="CA66" s="414">
        <f t="shared" ca="1" si="138"/>
        <v>5.9732817300485772</v>
      </c>
      <c r="CB66" s="414">
        <f t="shared" ca="1" si="138"/>
        <v>6.0253164475752143</v>
      </c>
      <c r="CC66" s="414">
        <f t="shared" ca="1" si="138"/>
        <v>6.0900313970080671</v>
      </c>
      <c r="CE66" s="484">
        <f t="shared" ca="1" si="124"/>
        <v>0.16952977742077735</v>
      </c>
      <c r="CF66" s="484">
        <f t="shared" ca="1" si="124"/>
        <v>-0.18914796131980438</v>
      </c>
      <c r="CG66" s="484">
        <f t="shared" ca="1" si="124"/>
        <v>8.4077637812098871E-3</v>
      </c>
      <c r="CH66" s="484">
        <f t="shared" ca="1" si="124"/>
        <v>-0.1037097766191124</v>
      </c>
      <c r="CI66" s="484">
        <f t="shared" ca="1" si="124"/>
        <v>18.148458447019131</v>
      </c>
      <c r="CJ66" s="484">
        <f t="shared" ca="1" si="124"/>
        <v>15.389643875711544</v>
      </c>
      <c r="CK66" s="484">
        <f t="shared" ca="1" si="124"/>
        <v>5.5478812577977532</v>
      </c>
      <c r="CL66" s="484">
        <f t="shared" ca="1" si="124"/>
        <v>5.0202810501779851</v>
      </c>
      <c r="CM66" s="484">
        <f t="shared" ca="1" si="124"/>
        <v>-1.1304759999401348</v>
      </c>
      <c r="CN66" s="484">
        <f t="shared" ca="1" si="124"/>
        <v>-1.105972412100626</v>
      </c>
      <c r="CO66" s="484">
        <f t="shared" ca="1" si="125"/>
        <v>-0.81717090948391213</v>
      </c>
      <c r="CP66" s="484">
        <f t="shared" ca="1" si="125"/>
        <v>0.28235600064312472</v>
      </c>
      <c r="CQ66" s="484">
        <f t="shared" ca="1" si="125"/>
        <v>0.4043153549453562</v>
      </c>
      <c r="CR66" s="484">
        <f t="shared" ca="1" si="125"/>
        <v>0.42070203560146524</v>
      </c>
      <c r="CS66" s="484">
        <f t="shared" ca="1" si="125"/>
        <v>0.41320550766636988</v>
      </c>
      <c r="CT66" s="484">
        <f t="shared" ca="1" si="125"/>
        <v>0.41837813124782919</v>
      </c>
      <c r="CU66" s="484">
        <f t="shared" ca="1" si="125"/>
        <v>0.43475315426455996</v>
      </c>
      <c r="CV66" s="484">
        <f t="shared" ca="1" si="125"/>
        <v>0.44246844386907558</v>
      </c>
      <c r="CW66" s="484">
        <f t="shared" ca="1" si="125"/>
        <v>0.43299955151497649</v>
      </c>
      <c r="CX66" s="484">
        <f t="shared" ca="1" si="125"/>
        <v>0.42351255770126794</v>
      </c>
      <c r="CZ66" s="502">
        <v>33.787483295630331</v>
      </c>
      <c r="DA66" s="502">
        <v>27.501651888982948</v>
      </c>
      <c r="DB66" s="502">
        <v>-7.7729152711684941</v>
      </c>
      <c r="DC66" s="502">
        <v>16.499538410494345</v>
      </c>
      <c r="DD66" s="502">
        <v>-10.06939896963722</v>
      </c>
      <c r="DE66" s="502">
        <v>13.265330754457471</v>
      </c>
      <c r="DF66" s="502">
        <v>2.3224634612973456</v>
      </c>
      <c r="DG66" s="502">
        <v>-1.3936159631362015</v>
      </c>
      <c r="DH66" s="502">
        <v>6.0201382016895533</v>
      </c>
      <c r="DI66" s="502">
        <v>5.757165225096931</v>
      </c>
      <c r="DJ66" s="502">
        <v>7.2981516717921302</v>
      </c>
      <c r="DK66" s="502">
        <v>5.2698307918357532</v>
      </c>
      <c r="DL66" s="502">
        <v>5.1893092576740605</v>
      </c>
      <c r="DM66" s="502">
        <v>5.182029723530448</v>
      </c>
      <c r="DN66" s="502">
        <v>5.2141683886086687</v>
      </c>
      <c r="DO66" s="502">
        <v>5.3137853235750914</v>
      </c>
      <c r="DP66" s="502">
        <v>5.4591015968427827</v>
      </c>
      <c r="DQ66" s="502">
        <v>5.5308132861795016</v>
      </c>
      <c r="DR66" s="502">
        <v>5.5923168960602379</v>
      </c>
      <c r="DS66" s="502">
        <v>5.6665188393067991</v>
      </c>
    </row>
    <row r="67" spans="1:123">
      <c r="A67" s="262" t="str">
        <f>A35</f>
        <v>Exporten</v>
      </c>
      <c r="E67" s="414" t="e">
        <f t="shared" ref="E67:BB67" si="139">(E35-D35)/D35*100</f>
        <v>#DIV/0!</v>
      </c>
      <c r="F67" s="414">
        <f t="shared" si="139"/>
        <v>-7.7046548956661187</v>
      </c>
      <c r="G67" s="414">
        <f t="shared" si="139"/>
        <v>20.869565217391308</v>
      </c>
      <c r="H67" s="414">
        <f t="shared" si="139"/>
        <v>12.230215827338119</v>
      </c>
      <c r="I67" s="414">
        <f t="shared" si="139"/>
        <v>-6.282053238306295</v>
      </c>
      <c r="J67" s="414">
        <f t="shared" si="139"/>
        <v>23.119017617848321</v>
      </c>
      <c r="K67" s="414">
        <f t="shared" si="139"/>
        <v>8.9999983045790017</v>
      </c>
      <c r="L67" s="414">
        <f t="shared" si="139"/>
        <v>-3.7716585176280648</v>
      </c>
      <c r="M67" s="414">
        <f t="shared" si="139"/>
        <v>0.95339143149503025</v>
      </c>
      <c r="N67" s="414">
        <f t="shared" si="139"/>
        <v>9.6537215672969339</v>
      </c>
      <c r="O67" s="414">
        <f t="shared" si="139"/>
        <v>4.114835456227576</v>
      </c>
      <c r="P67" s="414">
        <f t="shared" si="139"/>
        <v>21.507346728062725</v>
      </c>
      <c r="Q67" s="414">
        <f t="shared" si="139"/>
        <v>47.882000388048787</v>
      </c>
      <c r="R67" s="414">
        <f t="shared" si="139"/>
        <v>14.47570488580962</v>
      </c>
      <c r="S67" s="414">
        <f t="shared" si="139"/>
        <v>9.5621061683074373</v>
      </c>
      <c r="T67" s="414">
        <f t="shared" si="139"/>
        <v>14.070153217037538</v>
      </c>
      <c r="U67" s="414">
        <f t="shared" si="139"/>
        <v>4.9696078976913833</v>
      </c>
      <c r="V67" s="414">
        <f t="shared" si="139"/>
        <v>15.837874330154261</v>
      </c>
      <c r="W67" s="414">
        <f t="shared" si="139"/>
        <v>7.0861527994740214</v>
      </c>
      <c r="X67" s="414">
        <f t="shared" si="139"/>
        <v>-1.015928633447702</v>
      </c>
      <c r="Y67" s="414">
        <f t="shared" si="139"/>
        <v>50.73509692484398</v>
      </c>
      <c r="Z67" s="414">
        <f t="shared" si="139"/>
        <v>6.3121064136781593</v>
      </c>
      <c r="AA67" s="414">
        <f t="shared" si="139"/>
        <v>6.9586310122189756</v>
      </c>
      <c r="AB67" s="414">
        <f t="shared" si="139"/>
        <v>14.45217418103347</v>
      </c>
      <c r="AC67" s="414">
        <f t="shared" si="139"/>
        <v>15.045243430759159</v>
      </c>
      <c r="AD67" s="414">
        <f t="shared" si="139"/>
        <v>12.672079610971377</v>
      </c>
      <c r="AE67" s="414">
        <f t="shared" si="139"/>
        <v>19.362925341028188</v>
      </c>
      <c r="AF67" s="414">
        <f t="shared" si="139"/>
        <v>-7.7133949136549473</v>
      </c>
      <c r="AG67" s="414">
        <f t="shared" si="139"/>
        <v>-9.9326588438751688</v>
      </c>
      <c r="AH67" s="414">
        <f t="shared" si="139"/>
        <v>-14.86531195239486</v>
      </c>
      <c r="AI67" s="414">
        <f t="shared" si="139"/>
        <v>-1.7693416534954538</v>
      </c>
      <c r="AJ67" s="414">
        <f t="shared" si="139"/>
        <v>-11.727577443472658</v>
      </c>
      <c r="AK67" s="414">
        <f t="shared" si="139"/>
        <v>-4.8704216589162268</v>
      </c>
      <c r="AL67" s="414">
        <f t="shared" si="139"/>
        <v>8.5329574069796799</v>
      </c>
      <c r="AM67" s="414">
        <f t="shared" si="139"/>
        <v>11.252163679521775</v>
      </c>
      <c r="AN67" s="414">
        <f t="shared" si="139"/>
        <v>30.316387978765256</v>
      </c>
      <c r="AO67" s="414">
        <f t="shared" si="139"/>
        <v>-13.572139303482574</v>
      </c>
      <c r="AP67" s="414">
        <f t="shared" si="139"/>
        <v>-24.326502417683631</v>
      </c>
      <c r="AQ67" s="414">
        <f t="shared" si="139"/>
        <v>-1.2475277650996479</v>
      </c>
      <c r="AR67" s="414">
        <f t="shared" si="139"/>
        <v>2189.3390848867666</v>
      </c>
      <c r="AS67" s="414">
        <f t="shared" si="139"/>
        <v>409.16548340859072</v>
      </c>
      <c r="AT67" s="414">
        <f t="shared" si="139"/>
        <v>203.28075334544855</v>
      </c>
      <c r="AU67" s="414">
        <f t="shared" si="139"/>
        <v>-15.13947695949533</v>
      </c>
      <c r="AV67" s="414">
        <f t="shared" si="139"/>
        <v>1.6249367439094391</v>
      </c>
      <c r="AW67" s="414">
        <f t="shared" si="139"/>
        <v>-14.549138804457964</v>
      </c>
      <c r="AX67" s="414">
        <f t="shared" si="139"/>
        <v>163.97090094304195</v>
      </c>
      <c r="AY67" s="414">
        <f t="shared" si="139"/>
        <v>55.605014964841068</v>
      </c>
      <c r="AZ67" s="414">
        <f t="shared" si="139"/>
        <v>55.69035865487718</v>
      </c>
      <c r="BA67" s="414">
        <f t="shared" si="139"/>
        <v>-12.250630890818753</v>
      </c>
      <c r="BB67" s="414">
        <f t="shared" si="139"/>
        <v>66.252623561325336</v>
      </c>
      <c r="BC67" s="414">
        <f t="shared" ref="BC67:BI67" si="140">(BC35-BB35)/BB35*100</f>
        <v>40.025787485003214</v>
      </c>
      <c r="BD67" s="414">
        <f t="shared" si="140"/>
        <v>23.210560814676924</v>
      </c>
      <c r="BE67" s="414">
        <f t="shared" si="140"/>
        <v>18.393183212641588</v>
      </c>
      <c r="BF67" s="414">
        <f t="shared" si="140"/>
        <v>37.35914195387808</v>
      </c>
      <c r="BG67" s="414">
        <f t="shared" si="140"/>
        <v>25.748837209302327</v>
      </c>
      <c r="BH67" s="414">
        <f t="shared" si="140"/>
        <v>-13.543057074814364</v>
      </c>
      <c r="BI67" s="414">
        <f t="shared" si="140"/>
        <v>47.39075999148001</v>
      </c>
      <c r="BJ67" s="414">
        <f t="shared" ref="BJ67:BP67" si="141">(BJ35-BI35)/BI35*100</f>
        <v>30.489829439112349</v>
      </c>
      <c r="BK67" s="414">
        <f>(BK35-BJ35)/BJ35*100</f>
        <v>4.0795323785702404</v>
      </c>
      <c r="BL67" s="414">
        <f t="shared" si="141"/>
        <v>-9.7652582159624615</v>
      </c>
      <c r="BM67" s="414">
        <f t="shared" si="141"/>
        <v>-9.1995221027478937</v>
      </c>
      <c r="BN67" s="414">
        <f t="shared" si="141"/>
        <v>-16.825127334465201</v>
      </c>
      <c r="BO67" s="414">
        <f>(BO35-BN35)/BN35*100</f>
        <v>27.607472572963015</v>
      </c>
      <c r="BP67" s="414">
        <f t="shared" si="141"/>
        <v>24.23900895811353</v>
      </c>
      <c r="BQ67" s="414">
        <f t="shared" ref="BQ67:CC67" si="142">(BQ35-BP35)/BP35*100</f>
        <v>5.870155127942037</v>
      </c>
      <c r="BR67" s="414">
        <f t="shared" si="142"/>
        <v>0.12937729514505802</v>
      </c>
      <c r="BS67" s="414">
        <f t="shared" si="142"/>
        <v>2.5314895786545848</v>
      </c>
      <c r="BT67" s="414">
        <f t="shared" si="142"/>
        <v>4.2378451459169844</v>
      </c>
      <c r="BU67" s="414">
        <f t="shared" si="142"/>
        <v>4.2799721831690096</v>
      </c>
      <c r="BV67" s="414">
        <f t="shared" si="142"/>
        <v>4.3221672170427121</v>
      </c>
      <c r="BW67" s="414">
        <f t="shared" si="142"/>
        <v>4.3644561703059077</v>
      </c>
      <c r="BX67" s="414">
        <f t="shared" si="142"/>
        <v>4.4068655259079907</v>
      </c>
      <c r="BY67" s="414">
        <f t="shared" si="142"/>
        <v>6.3743913400331973</v>
      </c>
      <c r="BZ67" s="414">
        <f t="shared" si="142"/>
        <v>6.4223636238015791</v>
      </c>
      <c r="CA67" s="414">
        <f t="shared" si="142"/>
        <v>6.4683337326842043</v>
      </c>
      <c r="CB67" s="414">
        <f t="shared" si="142"/>
        <v>6.5123846318528384</v>
      </c>
      <c r="CC67" s="414">
        <f t="shared" si="142"/>
        <v>6.5545997298351963</v>
      </c>
      <c r="CE67" s="484">
        <f t="shared" si="124"/>
        <v>8.2569939128197589</v>
      </c>
      <c r="CF67" s="484">
        <f t="shared" si="124"/>
        <v>-6.8220559116820425</v>
      </c>
      <c r="CG67" s="484">
        <f t="shared" si="124"/>
        <v>0.59326587727470681</v>
      </c>
      <c r="CH67" s="484">
        <f t="shared" si="124"/>
        <v>-0.76513155548419398</v>
      </c>
      <c r="CI67" s="484">
        <f t="shared" si="124"/>
        <v>-4.1234139224105295</v>
      </c>
      <c r="CJ67" s="484">
        <f t="shared" si="124"/>
        <v>15.431293445595143</v>
      </c>
      <c r="CK67" s="484">
        <f t="shared" si="124"/>
        <v>9.4265504476202935</v>
      </c>
      <c r="CL67" s="484">
        <f t="shared" si="124"/>
        <v>-9.8416162156144473</v>
      </c>
      <c r="CM67" s="484">
        <f t="shared" si="124"/>
        <v>-5.2535209776374447</v>
      </c>
      <c r="CN67" s="484">
        <f t="shared" si="124"/>
        <v>-1.7928756236669083</v>
      </c>
      <c r="CO67" s="484">
        <f t="shared" si="125"/>
        <v>-0.11676013167943022</v>
      </c>
      <c r="CP67" s="484">
        <f t="shared" si="125"/>
        <v>-0.10971416454537497</v>
      </c>
      <c r="CQ67" s="484">
        <f t="shared" si="125"/>
        <v>-0.10277316787285429</v>
      </c>
      <c r="CR67" s="484">
        <f t="shared" si="125"/>
        <v>-9.593952682110185E-2</v>
      </c>
      <c r="CS67" s="484">
        <f t="shared" si="125"/>
        <v>-8.92153373257214E-2</v>
      </c>
      <c r="CT67" s="484">
        <f t="shared" si="125"/>
        <v>-0.2108853065833074</v>
      </c>
      <c r="CU67" s="484">
        <f t="shared" si="125"/>
        <v>-0.19910241261977557</v>
      </c>
      <c r="CV67" s="484">
        <f t="shared" si="125"/>
        <v>-0.18778939161953367</v>
      </c>
      <c r="CW67" s="484">
        <f t="shared" si="125"/>
        <v>-0.17694100449868966</v>
      </c>
      <c r="CX67" s="484">
        <f t="shared" si="125"/>
        <v>-0.1665500301190006</v>
      </c>
      <c r="CZ67" s="502">
        <v>22.23283552629259</v>
      </c>
      <c r="DA67" s="502">
        <v>10.901588290252283</v>
      </c>
      <c r="DB67" s="502">
        <v>-10.358524093237168</v>
      </c>
      <c r="DC67" s="502">
        <v>-8.4343905472636997</v>
      </c>
      <c r="DD67" s="502">
        <v>-12.701713412054671</v>
      </c>
      <c r="DE67" s="502">
        <v>12.176179127367872</v>
      </c>
      <c r="DF67" s="502">
        <v>14.812458510493236</v>
      </c>
      <c r="DG67" s="502">
        <v>15.711771343556483</v>
      </c>
      <c r="DH67" s="502">
        <v>5.3828982727825023</v>
      </c>
      <c r="DI67" s="502">
        <v>4.3243652023214931</v>
      </c>
      <c r="DJ67" s="502">
        <v>4.3546052775964146</v>
      </c>
      <c r="DK67" s="502">
        <v>4.3896863477143846</v>
      </c>
      <c r="DL67" s="502">
        <v>4.4249403849155664</v>
      </c>
      <c r="DM67" s="502">
        <v>4.4603956971270096</v>
      </c>
      <c r="DN67" s="502">
        <v>4.4960808632337121</v>
      </c>
      <c r="DO67" s="502">
        <v>6.5852766466165047</v>
      </c>
      <c r="DP67" s="502">
        <v>6.6214660364213547</v>
      </c>
      <c r="DQ67" s="502">
        <v>6.656123124303738</v>
      </c>
      <c r="DR67" s="502">
        <v>6.6893256363515281</v>
      </c>
      <c r="DS67" s="502">
        <v>6.7211497599541969</v>
      </c>
    </row>
    <row r="68" spans="1:123">
      <c r="A68" s="262" t="str">
        <f>A37</f>
        <v>Importen</v>
      </c>
      <c r="E68" s="414" t="e">
        <f t="shared" ref="E68:BB68" si="143">(E37-D37)/D37*100</f>
        <v>#DIV/0!</v>
      </c>
      <c r="F68" s="414">
        <f t="shared" si="143"/>
        <v>-0.62459790674572768</v>
      </c>
      <c r="G68" s="414">
        <f t="shared" si="143"/>
        <v>23.652862152262465</v>
      </c>
      <c r="H68" s="414">
        <f t="shared" si="143"/>
        <v>16.376372696900628</v>
      </c>
      <c r="I68" s="414">
        <f t="shared" si="143"/>
        <v>-1.6938325393428266</v>
      </c>
      <c r="J68" s="414">
        <f t="shared" si="143"/>
        <v>22.073035824729317</v>
      </c>
      <c r="K68" s="414">
        <f t="shared" si="143"/>
        <v>17.145249722458097</v>
      </c>
      <c r="L68" s="414">
        <f t="shared" si="143"/>
        <v>0.87895991474394919</v>
      </c>
      <c r="M68" s="414">
        <f t="shared" si="143"/>
        <v>2.8843384339984177</v>
      </c>
      <c r="N68" s="414">
        <f t="shared" si="143"/>
        <v>8.2646000134564712</v>
      </c>
      <c r="O68" s="414">
        <f t="shared" si="143"/>
        <v>35.241870729271426</v>
      </c>
      <c r="P68" s="414">
        <f t="shared" si="143"/>
        <v>14.926459297288719</v>
      </c>
      <c r="Q68" s="414">
        <f t="shared" si="143"/>
        <v>-0.38619284154972067</v>
      </c>
      <c r="R68" s="414">
        <f t="shared" si="143"/>
        <v>12.223683690666801</v>
      </c>
      <c r="S68" s="414">
        <f t="shared" si="143"/>
        <v>-0.43086356823382438</v>
      </c>
      <c r="T68" s="414">
        <f t="shared" si="143"/>
        <v>11.034817202750743</v>
      </c>
      <c r="U68" s="414">
        <f t="shared" si="143"/>
        <v>7.6703385146955831</v>
      </c>
      <c r="V68" s="414">
        <f t="shared" si="143"/>
        <v>10.07466610937785</v>
      </c>
      <c r="W68" s="414">
        <f t="shared" si="143"/>
        <v>9.918169932805224</v>
      </c>
      <c r="X68" s="414">
        <f t="shared" si="143"/>
        <v>10.429857164707677</v>
      </c>
      <c r="Y68" s="414">
        <f t="shared" si="143"/>
        <v>53.596829869370175</v>
      </c>
      <c r="Z68" s="414">
        <f t="shared" si="143"/>
        <v>15.560527255298679</v>
      </c>
      <c r="AA68" s="414">
        <f t="shared" si="143"/>
        <v>2.7863264233982936</v>
      </c>
      <c r="AB68" s="414">
        <f t="shared" si="143"/>
        <v>34.61913816742662</v>
      </c>
      <c r="AC68" s="414">
        <f t="shared" si="143"/>
        <v>3.1769753908391976</v>
      </c>
      <c r="AD68" s="414">
        <f t="shared" si="143"/>
        <v>4.4637176178181761</v>
      </c>
      <c r="AE68" s="414">
        <f t="shared" si="143"/>
        <v>29.654583852309564</v>
      </c>
      <c r="AF68" s="414">
        <f t="shared" si="143"/>
        <v>3.9549281293248431</v>
      </c>
      <c r="AG68" s="414">
        <f t="shared" si="143"/>
        <v>-3.7299410698148425</v>
      </c>
      <c r="AH68" s="414">
        <f t="shared" si="143"/>
        <v>-15.561698773962904</v>
      </c>
      <c r="AI68" s="414">
        <f t="shared" si="143"/>
        <v>-11.301794692122778</v>
      </c>
      <c r="AJ68" s="414">
        <f t="shared" si="143"/>
        <v>-12.43765028930131</v>
      </c>
      <c r="AK68" s="414">
        <f t="shared" si="143"/>
        <v>10.132786112252258</v>
      </c>
      <c r="AL68" s="414">
        <f t="shared" si="143"/>
        <v>31.261588827777903</v>
      </c>
      <c r="AM68" s="414">
        <f t="shared" si="143"/>
        <v>24.08112075223109</v>
      </c>
      <c r="AN68" s="414">
        <f t="shared" si="143"/>
        <v>49.572161615560461</v>
      </c>
      <c r="AO68" s="414">
        <f t="shared" si="143"/>
        <v>30.470854547049075</v>
      </c>
      <c r="AP68" s="414">
        <f t="shared" si="143"/>
        <v>43.607634508594082</v>
      </c>
      <c r="AQ68" s="414">
        <f t="shared" si="143"/>
        <v>34.840323347924446</v>
      </c>
      <c r="AR68" s="414">
        <f t="shared" si="143"/>
        <v>266.45871537632479</v>
      </c>
      <c r="AS68" s="414">
        <f t="shared" si="143"/>
        <v>362.62632524003698</v>
      </c>
      <c r="AT68" s="414">
        <f t="shared" si="143"/>
        <v>184.28977049596526</v>
      </c>
      <c r="AU68" s="414">
        <f t="shared" si="143"/>
        <v>7.7416513829565954</v>
      </c>
      <c r="AV68" s="414">
        <f t="shared" si="143"/>
        <v>-3.3676581792150979</v>
      </c>
      <c r="AW68" s="414">
        <f t="shared" si="143"/>
        <v>2.592526372251045</v>
      </c>
      <c r="AX68" s="414">
        <f t="shared" si="143"/>
        <v>77.704573091495703</v>
      </c>
      <c r="AY68" s="414">
        <f t="shared" si="143"/>
        <v>46.647961508113212</v>
      </c>
      <c r="AZ68" s="414">
        <f t="shared" si="143"/>
        <v>71.446250056479116</v>
      </c>
      <c r="BA68" s="414">
        <f t="shared" si="143"/>
        <v>10.458311136843054</v>
      </c>
      <c r="BB68" s="414">
        <f t="shared" si="143"/>
        <v>61.397179845564743</v>
      </c>
      <c r="BC68" s="414">
        <f t="shared" ref="BC68:BI68" si="144">(BC37-BB37)/BB37*100</f>
        <v>10.389647804228378</v>
      </c>
      <c r="BD68" s="414">
        <f t="shared" si="144"/>
        <v>25.221930050020759</v>
      </c>
      <c r="BE68" s="414">
        <f t="shared" si="144"/>
        <v>-2.248425066313001</v>
      </c>
      <c r="BF68" s="414">
        <f t="shared" si="144"/>
        <v>51.045648506800468</v>
      </c>
      <c r="BG68" s="414">
        <f t="shared" si="144"/>
        <v>33.110736038746644</v>
      </c>
      <c r="BH68" s="414">
        <f t="shared" si="144"/>
        <v>-4.068069374415006</v>
      </c>
      <c r="BI68" s="414">
        <f t="shared" si="144"/>
        <v>5.804337813507515</v>
      </c>
      <c r="BJ68" s="414">
        <f t="shared" ref="BJ68:BP68" si="145">(BJ37-BI37)/BI37*100</f>
        <v>44.151488469186845</v>
      </c>
      <c r="BK68" s="414">
        <f>(BK37-BJ37)/BJ37*100</f>
        <v>18.987261845934214</v>
      </c>
      <c r="BL68" s="414">
        <f t="shared" si="145"/>
        <v>4.9312103880043399</v>
      </c>
      <c r="BM68" s="414">
        <f t="shared" si="145"/>
        <v>1.362698880377144</v>
      </c>
      <c r="BN68" s="414">
        <f t="shared" si="145"/>
        <v>-0.65159993217548329</v>
      </c>
      <c r="BO68" s="414">
        <f ca="1">(BO37-BN37)/BN37*100</f>
        <v>21.464221246150139</v>
      </c>
      <c r="BP68" s="414">
        <f t="shared" ca="1" si="145"/>
        <v>12.297510586790644</v>
      </c>
      <c r="BQ68" s="414">
        <f t="shared" ref="BQ68:CC68" ca="1" si="146">(BQ37-BP37)/BP37*100</f>
        <v>6.9990016817288243</v>
      </c>
      <c r="BR68" s="414">
        <f t="shared" ca="1" si="146"/>
        <v>4.3374970120370779</v>
      </c>
      <c r="BS68" s="414">
        <f t="shared" ca="1" si="146"/>
        <v>5.1835827554180289</v>
      </c>
      <c r="BT68" s="414">
        <f t="shared" ca="1" si="146"/>
        <v>6.7071413547355752</v>
      </c>
      <c r="BU68" s="414">
        <f t="shared" ca="1" si="146"/>
        <v>6.4959208230408167</v>
      </c>
      <c r="BV68" s="414">
        <f t="shared" ca="1" si="146"/>
        <v>6.5174094702137166</v>
      </c>
      <c r="BW68" s="414">
        <f t="shared" ca="1" si="146"/>
        <v>6.5572088722470525</v>
      </c>
      <c r="BX68" s="414">
        <f t="shared" ca="1" si="146"/>
        <v>6.6090778003729964</v>
      </c>
      <c r="BY68" s="414">
        <f t="shared" ca="1" si="146"/>
        <v>6.532447514024188</v>
      </c>
      <c r="BZ68" s="414">
        <f t="shared" ca="1" si="146"/>
        <v>6.6835834469514648</v>
      </c>
      <c r="CA68" s="414">
        <f t="shared" ca="1" si="146"/>
        <v>6.7350526730517073</v>
      </c>
      <c r="CB68" s="414">
        <f t="shared" ca="1" si="146"/>
        <v>6.7950142972380281</v>
      </c>
      <c r="CC68" s="414">
        <f t="shared" ca="1" si="146"/>
        <v>6.864237099983769</v>
      </c>
      <c r="CE68" s="484">
        <f t="shared" si="124"/>
        <v>0</v>
      </c>
      <c r="CF68" s="484">
        <f t="shared" si="124"/>
        <v>0</v>
      </c>
      <c r="CG68" s="484">
        <f t="shared" si="124"/>
        <v>0</v>
      </c>
      <c r="CH68" s="484">
        <f t="shared" si="124"/>
        <v>0</v>
      </c>
      <c r="CI68" s="484">
        <f t="shared" si="124"/>
        <v>11.629594027227153</v>
      </c>
      <c r="CJ68" s="484">
        <f t="shared" ca="1" si="124"/>
        <v>17.336672155506857</v>
      </c>
      <c r="CK68" s="484">
        <f t="shared" ca="1" si="124"/>
        <v>6.5644843844916601</v>
      </c>
      <c r="CL68" s="484">
        <f t="shared" ca="1" si="124"/>
        <v>-1.2826643905736237</v>
      </c>
      <c r="CM68" s="484">
        <f t="shared" ca="1" si="124"/>
        <v>-3.0703138194344257</v>
      </c>
      <c r="CN68" s="484">
        <f t="shared" ca="1" si="124"/>
        <v>-2.2645932407418252</v>
      </c>
      <c r="CO68" s="484">
        <f t="shared" ca="1" si="125"/>
        <v>-0.59023551157880849</v>
      </c>
      <c r="CP68" s="484">
        <f t="shared" ca="1" si="125"/>
        <v>-0.15764367942965496</v>
      </c>
      <c r="CQ68" s="484">
        <f t="shared" ca="1" si="125"/>
        <v>-7.0129500949035695E-2</v>
      </c>
      <c r="CR68" s="484">
        <f t="shared" ca="1" si="125"/>
        <v>-6.2976772858323038E-2</v>
      </c>
      <c r="CS68" s="484">
        <f t="shared" ca="1" si="125"/>
        <v>-6.9790130752725332E-2</v>
      </c>
      <c r="CT68" s="484">
        <f t="shared" ca="1" si="125"/>
        <v>-5.0048080665984429E-2</v>
      </c>
      <c r="CU68" s="484">
        <f t="shared" ca="1" si="125"/>
        <v>-3.608078917693458E-2</v>
      </c>
      <c r="CV68" s="484">
        <f t="shared" ca="1" si="125"/>
        <v>-2.6886164106791455E-2</v>
      </c>
      <c r="CW68" s="484">
        <f t="shared" ca="1" si="125"/>
        <v>-3.0356606998166669E-2</v>
      </c>
      <c r="CX68" s="484">
        <f t="shared" ca="1" si="125"/>
        <v>-3.261251362454054E-2</v>
      </c>
      <c r="CZ68" s="502">
        <v>44.151488469186845</v>
      </c>
      <c r="DA68" s="502">
        <v>18.987261845934214</v>
      </c>
      <c r="DB68" s="502">
        <v>4.9312103880043399</v>
      </c>
      <c r="DC68" s="502">
        <v>1.362698880377144</v>
      </c>
      <c r="DD68" s="502">
        <v>-12.281193959402636</v>
      </c>
      <c r="DE68" s="502">
        <v>4.1275490906432823</v>
      </c>
      <c r="DF68" s="502">
        <v>5.7330262022989835</v>
      </c>
      <c r="DG68" s="502">
        <v>8.281666072302448</v>
      </c>
      <c r="DH68" s="502">
        <v>7.4078108314715037</v>
      </c>
      <c r="DI68" s="502">
        <v>7.4481759961598542</v>
      </c>
      <c r="DJ68" s="502">
        <v>7.2973768663143836</v>
      </c>
      <c r="DK68" s="502">
        <v>6.6535645024704717</v>
      </c>
      <c r="DL68" s="502">
        <v>6.5875389711627523</v>
      </c>
      <c r="DM68" s="502">
        <v>6.6201856451053755</v>
      </c>
      <c r="DN68" s="502">
        <v>6.6788679311257217</v>
      </c>
      <c r="DO68" s="502">
        <v>6.5824955946901724</v>
      </c>
      <c r="DP68" s="502">
        <v>6.7196642361283994</v>
      </c>
      <c r="DQ68" s="502">
        <v>6.7619388371584987</v>
      </c>
      <c r="DR68" s="502">
        <v>6.8253709042361947</v>
      </c>
      <c r="DS68" s="502">
        <v>6.8968496136083095</v>
      </c>
    </row>
    <row r="69" spans="1:123">
      <c r="A69" s="326" t="str">
        <f>A41</f>
        <v>Loonsom van de overheid</v>
      </c>
      <c r="E69" s="414" t="e">
        <f t="shared" ref="E69:BB69" si="147">(E41-D41)/D41*100</f>
        <v>#DIV/0!</v>
      </c>
      <c r="F69" s="414">
        <f t="shared" si="147"/>
        <v>15.306122448979581</v>
      </c>
      <c r="G69" s="414">
        <f t="shared" si="147"/>
        <v>10.575220226186561</v>
      </c>
      <c r="H69" s="414">
        <f t="shared" si="147"/>
        <v>33.333333333333329</v>
      </c>
      <c r="I69" s="414">
        <f t="shared" si="147"/>
        <v>4.5000033201147138</v>
      </c>
      <c r="J69" s="414">
        <f t="shared" si="147"/>
        <v>11.483247088504339</v>
      </c>
      <c r="K69" s="414">
        <f t="shared" si="147"/>
        <v>12.446357076895669</v>
      </c>
      <c r="L69" s="414">
        <f t="shared" si="147"/>
        <v>33.206101599877492</v>
      </c>
      <c r="M69" s="414">
        <f t="shared" si="147"/>
        <v>2.8653302272551588</v>
      </c>
      <c r="N69" s="414">
        <f t="shared" si="147"/>
        <v>2.7855159954524127</v>
      </c>
      <c r="O69" s="414">
        <f t="shared" si="147"/>
        <v>14.363143295108854</v>
      </c>
      <c r="P69" s="414">
        <f t="shared" si="147"/>
        <v>8.0568696206843349</v>
      </c>
      <c r="Q69" s="414">
        <f t="shared" si="147"/>
        <v>18.859658064328894</v>
      </c>
      <c r="R69" s="414">
        <f t="shared" si="147"/>
        <v>5.7195531892152722</v>
      </c>
      <c r="S69" s="414">
        <f t="shared" si="147"/>
        <v>5.061079960157814</v>
      </c>
      <c r="T69" s="414">
        <f t="shared" si="147"/>
        <v>17.109640237858525</v>
      </c>
      <c r="U69" s="414">
        <f t="shared" si="147"/>
        <v>17.304960116402938</v>
      </c>
      <c r="V69" s="414">
        <f t="shared" si="147"/>
        <v>1.9347064134266763</v>
      </c>
      <c r="W69" s="414">
        <f t="shared" si="147"/>
        <v>15.183865929678261</v>
      </c>
      <c r="X69" s="414">
        <f t="shared" si="147"/>
        <v>2.4716773314989005</v>
      </c>
      <c r="Y69" s="414">
        <f t="shared" si="147"/>
        <v>13.56783771578502</v>
      </c>
      <c r="Z69" s="414">
        <f t="shared" si="147"/>
        <v>25.731709926569636</v>
      </c>
      <c r="AA69" s="414">
        <f t="shared" si="147"/>
        <v>19.839462323328906</v>
      </c>
      <c r="AB69" s="414">
        <f t="shared" si="147"/>
        <v>28.505952304746309</v>
      </c>
      <c r="AC69" s="414">
        <f t="shared" si="147"/>
        <v>15.735766925799302</v>
      </c>
      <c r="AD69" s="414">
        <f t="shared" si="147"/>
        <v>5.034604624192843</v>
      </c>
      <c r="AE69" s="414">
        <f t="shared" si="147"/>
        <v>1.936273962896824</v>
      </c>
      <c r="AF69" s="414">
        <f t="shared" si="147"/>
        <v>22.244847853290754</v>
      </c>
      <c r="AG69" s="414">
        <f t="shared" si="147"/>
        <v>25.422870575688943</v>
      </c>
      <c r="AH69" s="414">
        <f t="shared" si="147"/>
        <v>7.9704303456194197</v>
      </c>
      <c r="AI69" s="414">
        <f t="shared" si="147"/>
        <v>5.0819096748918366E-2</v>
      </c>
      <c r="AJ69" s="414">
        <f t="shared" si="147"/>
        <v>2.6091317285396705</v>
      </c>
      <c r="AK69" s="414">
        <f t="shared" si="147"/>
        <v>6.4794379034487468</v>
      </c>
      <c r="AL69" s="414">
        <f t="shared" si="147"/>
        <v>14.998773173981833</v>
      </c>
      <c r="AM69" s="414">
        <f t="shared" si="147"/>
        <v>11.276595744680872</v>
      </c>
      <c r="AN69" s="414">
        <f t="shared" si="147"/>
        <v>7.6481835564053426</v>
      </c>
      <c r="AO69" s="414">
        <f t="shared" si="147"/>
        <v>-6.3783303730017673</v>
      </c>
      <c r="AP69" s="414">
        <f t="shared" si="147"/>
        <v>28.534026447096327</v>
      </c>
      <c r="AQ69" s="414">
        <f t="shared" si="147"/>
        <v>24.469733870610622</v>
      </c>
      <c r="AR69" s="414">
        <f t="shared" si="147"/>
        <v>18.39861491574467</v>
      </c>
      <c r="AS69" s="414">
        <f t="shared" si="147"/>
        <v>242.5652530998978</v>
      </c>
      <c r="AT69" s="414">
        <f t="shared" si="147"/>
        <v>283.93767688817172</v>
      </c>
      <c r="AU69" s="414">
        <f t="shared" si="147"/>
        <v>95.022613407820359</v>
      </c>
      <c r="AV69" s="414">
        <f t="shared" si="147"/>
        <v>34.530267230190681</v>
      </c>
      <c r="AW69" s="414">
        <f t="shared" si="147"/>
        <v>97.031539888682772</v>
      </c>
      <c r="AX69" s="414">
        <f t="shared" si="147"/>
        <v>40.718141870684228</v>
      </c>
      <c r="AY69" s="414">
        <f t="shared" si="147"/>
        <v>59.33780624899628</v>
      </c>
      <c r="AZ69" s="414">
        <f t="shared" si="147"/>
        <v>22.802972187536749</v>
      </c>
      <c r="BA69" s="414">
        <f t="shared" si="147"/>
        <v>76.825847215344695</v>
      </c>
      <c r="BB69" s="414">
        <f t="shared" si="147"/>
        <v>11.280044417997557</v>
      </c>
      <c r="BC69" s="414">
        <f t="shared" ref="BC69:BI69" si="148">(BC41-BB41)/BB41*100</f>
        <v>7.7937751036229619</v>
      </c>
      <c r="BD69" s="414">
        <f t="shared" si="148"/>
        <v>7.8349953454605892</v>
      </c>
      <c r="BE69" s="414">
        <f t="shared" si="148"/>
        <v>20.215382701056122</v>
      </c>
      <c r="BF69" s="414">
        <f t="shared" si="148"/>
        <v>14.82510186862512</v>
      </c>
      <c r="BG69" s="414">
        <f t="shared" si="148"/>
        <v>9.5481275437772428</v>
      </c>
      <c r="BH69" s="414">
        <f t="shared" si="148"/>
        <v>27.563869812778346</v>
      </c>
      <c r="BI69" s="414">
        <f t="shared" si="148"/>
        <v>11.12712824417426</v>
      </c>
      <c r="BJ69" s="414">
        <f t="shared" ref="BJ69:BP69" si="149">(BJ41-BI41)/BI41*100</f>
        <v>12.412685111131792</v>
      </c>
      <c r="BK69" s="414">
        <f>(BK41-BJ41)/BJ41*100</f>
        <v>8.8375851966714247</v>
      </c>
      <c r="BL69" s="414">
        <f t="shared" si="149"/>
        <v>19.025539677713606</v>
      </c>
      <c r="BM69" s="414">
        <f t="shared" si="149"/>
        <v>-3.5187432147646809</v>
      </c>
      <c r="BN69" s="414">
        <f t="shared" si="149"/>
        <v>12.787926926131854</v>
      </c>
      <c r="BO69" s="414">
        <f ca="1">(BO41-BN41)/BN41*100</f>
        <v>20.962450987774861</v>
      </c>
      <c r="BP69" s="414">
        <f t="shared" ca="1" si="149"/>
        <v>24.294056406262033</v>
      </c>
      <c r="BQ69" s="414">
        <f t="shared" ref="BQ69:CC69" ca="1" si="150">(BQ41-BP41)/BP41*100</f>
        <v>9.5523402451792592</v>
      </c>
      <c r="BR69" s="414">
        <f t="shared" ca="1" si="150"/>
        <v>4.6440320622427995</v>
      </c>
      <c r="BS69" s="414">
        <f t="shared" ca="1" si="150"/>
        <v>4.8725959021159841</v>
      </c>
      <c r="BT69" s="414">
        <f t="shared" ca="1" si="150"/>
        <v>5.1247118997366901</v>
      </c>
      <c r="BU69" s="414">
        <f t="shared" ca="1" si="150"/>
        <v>5.2239347145670507</v>
      </c>
      <c r="BV69" s="414">
        <f t="shared" ca="1" si="150"/>
        <v>5.0161754264667762</v>
      </c>
      <c r="BW69" s="414">
        <f t="shared" ca="1" si="150"/>
        <v>4.9771158450049047</v>
      </c>
      <c r="BX69" s="414">
        <f t="shared" ca="1" si="150"/>
        <v>4.9212316878113596</v>
      </c>
      <c r="BY69" s="414">
        <f t="shared" ca="1" si="150"/>
        <v>4.8827132553937282</v>
      </c>
      <c r="BZ69" s="414">
        <f t="shared" ca="1" si="150"/>
        <v>4.8689398009804785</v>
      </c>
      <c r="CA69" s="414">
        <f t="shared" ca="1" si="150"/>
        <v>4.6496251112433935</v>
      </c>
      <c r="CB69" s="414">
        <f t="shared" ca="1" si="150"/>
        <v>4.6311686582838671</v>
      </c>
      <c r="CC69" s="414">
        <f t="shared" ca="1" si="150"/>
        <v>4.6126218904400043</v>
      </c>
      <c r="CE69" s="484">
        <f t="shared" si="124"/>
        <v>0</v>
      </c>
      <c r="CF69" s="484">
        <f t="shared" si="124"/>
        <v>0</v>
      </c>
      <c r="CG69" s="484">
        <f t="shared" si="124"/>
        <v>0</v>
      </c>
      <c r="CH69" s="484">
        <f t="shared" si="124"/>
        <v>0</v>
      </c>
      <c r="CI69" s="484">
        <f t="shared" si="124"/>
        <v>0</v>
      </c>
      <c r="CJ69" s="484">
        <f t="shared" ca="1" si="124"/>
        <v>16.335942807274115</v>
      </c>
      <c r="CK69" s="484">
        <f t="shared" ca="1" si="124"/>
        <v>7.318541599316525</v>
      </c>
      <c r="CL69" s="484">
        <f t="shared" ca="1" si="124"/>
        <v>-8.5907482598472527</v>
      </c>
      <c r="CM69" s="484">
        <f t="shared" ca="1" si="124"/>
        <v>-2.0637890721630283</v>
      </c>
      <c r="CN69" s="484">
        <f t="shared" ca="1" si="124"/>
        <v>0.89345268558458679</v>
      </c>
      <c r="CO69" s="484">
        <f t="shared" ca="1" si="125"/>
        <v>1.9355877936507784</v>
      </c>
      <c r="CP69" s="484">
        <f t="shared" ca="1" si="125"/>
        <v>1.9479184872567195</v>
      </c>
      <c r="CQ69" s="484">
        <f t="shared" ca="1" si="125"/>
        <v>2.018292059947985</v>
      </c>
      <c r="CR69" s="484">
        <f t="shared" ca="1" si="125"/>
        <v>1.9969660284192621</v>
      </c>
      <c r="CS69" s="484">
        <f t="shared" ca="1" si="125"/>
        <v>1.9908691021564646</v>
      </c>
      <c r="CT69" s="484">
        <f t="shared" ca="1" si="125"/>
        <v>1.9998028092104123</v>
      </c>
      <c r="CU69" s="484">
        <f t="shared" ca="1" si="125"/>
        <v>2.0120860282808728</v>
      </c>
      <c r="CV69" s="484">
        <f t="shared" ca="1" si="125"/>
        <v>2.002254872986025</v>
      </c>
      <c r="CW69" s="484">
        <f t="shared" ca="1" si="125"/>
        <v>1.9832763659252279</v>
      </c>
      <c r="CX69" s="484">
        <f t="shared" ca="1" si="125"/>
        <v>1.9713570676793712</v>
      </c>
      <c r="CZ69" s="502">
        <v>12.412685111131792</v>
      </c>
      <c r="DA69" s="502">
        <v>8.8375851966714247</v>
      </c>
      <c r="DB69" s="502">
        <v>19.025539677713606</v>
      </c>
      <c r="DC69" s="502">
        <v>-3.5187432147646809</v>
      </c>
      <c r="DD69" s="502">
        <v>12.787926926131854</v>
      </c>
      <c r="DE69" s="502">
        <v>4.6265081805007462</v>
      </c>
      <c r="DF69" s="502">
        <v>16.975514806945508</v>
      </c>
      <c r="DG69" s="502">
        <v>18.143088505026512</v>
      </c>
      <c r="DH69" s="502">
        <v>6.7078211344058278</v>
      </c>
      <c r="DI69" s="502">
        <v>3.9791432165313974</v>
      </c>
      <c r="DJ69" s="502">
        <v>3.1891241060859117</v>
      </c>
      <c r="DK69" s="502">
        <v>3.2760162273103313</v>
      </c>
      <c r="DL69" s="502">
        <v>2.9978833665187912</v>
      </c>
      <c r="DM69" s="502">
        <v>2.9801498165856426</v>
      </c>
      <c r="DN69" s="502">
        <v>2.9303625856548949</v>
      </c>
      <c r="DO69" s="502">
        <v>2.8829104461833159</v>
      </c>
      <c r="DP69" s="502">
        <v>2.8568537726996057</v>
      </c>
      <c r="DQ69" s="502">
        <v>2.6473702382573685</v>
      </c>
      <c r="DR69" s="502">
        <v>2.6478922923586392</v>
      </c>
      <c r="DS69" s="502">
        <v>2.641264822760633</v>
      </c>
    </row>
    <row r="70" spans="1:123">
      <c r="CE70" s="484"/>
      <c r="CF70" s="484"/>
      <c r="CG70" s="484"/>
      <c r="CH70" s="484"/>
      <c r="CI70" s="484"/>
      <c r="CJ70" s="484"/>
      <c r="CK70" s="484"/>
      <c r="CL70" s="484"/>
      <c r="CM70" s="484"/>
      <c r="CN70" s="484"/>
      <c r="CO70" s="484"/>
      <c r="CP70" s="484"/>
      <c r="CQ70" s="484"/>
      <c r="CR70" s="484"/>
      <c r="CS70" s="484"/>
      <c r="CT70" s="484"/>
      <c r="CU70" s="484"/>
      <c r="CV70" s="484"/>
      <c r="CW70" s="484"/>
      <c r="CX70" s="484"/>
    </row>
    <row r="71" spans="1:123">
      <c r="A71" s="264" t="s">
        <v>3746</v>
      </c>
      <c r="CE71" s="484"/>
      <c r="CF71" s="484"/>
      <c r="CG71" s="484"/>
      <c r="CH71" s="484"/>
      <c r="CI71" s="484"/>
      <c r="CJ71" s="484"/>
      <c r="CK71" s="484"/>
      <c r="CL71" s="484"/>
      <c r="CM71" s="484"/>
      <c r="CN71" s="484"/>
      <c r="CO71" s="484"/>
      <c r="CP71" s="484"/>
      <c r="CQ71" s="484"/>
      <c r="CR71" s="484"/>
      <c r="CS71" s="484"/>
      <c r="CT71" s="484"/>
      <c r="CU71" s="484"/>
      <c r="CV71" s="484"/>
      <c r="CW71" s="484"/>
      <c r="CX71" s="484"/>
    </row>
    <row r="72" spans="1:123">
      <c r="A72" s="260" t="s">
        <v>4292</v>
      </c>
      <c r="BI72">
        <f>BI2</f>
        <v>2010</v>
      </c>
      <c r="BJ72">
        <f t="shared" ref="BJ72:BO72" si="151">BJ2</f>
        <v>2011</v>
      </c>
      <c r="BK72">
        <f t="shared" si="151"/>
        <v>2012</v>
      </c>
      <c r="BL72">
        <f t="shared" si="151"/>
        <v>2013</v>
      </c>
      <c r="BM72">
        <f t="shared" si="151"/>
        <v>2014</v>
      </c>
      <c r="BN72">
        <f t="shared" si="151"/>
        <v>2015</v>
      </c>
      <c r="BO72">
        <f t="shared" si="151"/>
        <v>2016</v>
      </c>
      <c r="BP72">
        <f>BP2</f>
        <v>2017</v>
      </c>
      <c r="BQ72">
        <f>BQ2</f>
        <v>2018</v>
      </c>
      <c r="BR72">
        <f>BR2</f>
        <v>2019</v>
      </c>
      <c r="BS72">
        <f>BS2</f>
        <v>2020</v>
      </c>
      <c r="BT72">
        <f>BT2</f>
        <v>2021</v>
      </c>
      <c r="BU72">
        <f t="shared" ref="BU72:CB72" si="152">BU2</f>
        <v>2022</v>
      </c>
      <c r="BV72">
        <f t="shared" si="152"/>
        <v>2023</v>
      </c>
      <c r="BW72">
        <f t="shared" si="152"/>
        <v>2024</v>
      </c>
      <c r="BX72">
        <f t="shared" si="152"/>
        <v>2025</v>
      </c>
      <c r="BY72">
        <f t="shared" si="152"/>
        <v>2026</v>
      </c>
      <c r="BZ72">
        <f t="shared" si="152"/>
        <v>2027</v>
      </c>
      <c r="CA72">
        <f t="shared" si="152"/>
        <v>2028</v>
      </c>
      <c r="CB72">
        <f t="shared" si="152"/>
        <v>2029</v>
      </c>
      <c r="CC72">
        <f>CC2</f>
        <v>2030</v>
      </c>
      <c r="CE72" s="485">
        <f t="shared" ref="CE72:CX72" si="153">BJ72</f>
        <v>2011</v>
      </c>
      <c r="CF72" s="485">
        <f t="shared" si="153"/>
        <v>2012</v>
      </c>
      <c r="CG72" s="485">
        <f t="shared" si="153"/>
        <v>2013</v>
      </c>
      <c r="CH72" s="485">
        <f t="shared" si="153"/>
        <v>2014</v>
      </c>
      <c r="CI72" s="485">
        <f t="shared" si="153"/>
        <v>2015</v>
      </c>
      <c r="CJ72" s="485">
        <f t="shared" si="153"/>
        <v>2016</v>
      </c>
      <c r="CK72" s="485">
        <f t="shared" si="153"/>
        <v>2017</v>
      </c>
      <c r="CL72" s="485">
        <f t="shared" si="153"/>
        <v>2018</v>
      </c>
      <c r="CM72" s="485">
        <f t="shared" si="153"/>
        <v>2019</v>
      </c>
      <c r="CN72" s="485">
        <f t="shared" si="153"/>
        <v>2020</v>
      </c>
      <c r="CO72" s="485">
        <f t="shared" si="153"/>
        <v>2021</v>
      </c>
      <c r="CP72" s="485">
        <f t="shared" si="153"/>
        <v>2022</v>
      </c>
      <c r="CQ72" s="485">
        <f t="shared" si="153"/>
        <v>2023</v>
      </c>
      <c r="CR72" s="485">
        <f t="shared" si="153"/>
        <v>2024</v>
      </c>
      <c r="CS72" s="485">
        <f t="shared" si="153"/>
        <v>2025</v>
      </c>
      <c r="CT72" s="485">
        <f t="shared" si="153"/>
        <v>2026</v>
      </c>
      <c r="CU72" s="485">
        <f t="shared" si="153"/>
        <v>2027</v>
      </c>
      <c r="CV72" s="485">
        <f t="shared" si="153"/>
        <v>2028</v>
      </c>
      <c r="CW72" s="485">
        <f t="shared" si="153"/>
        <v>2029</v>
      </c>
      <c r="CX72" s="485">
        <f t="shared" si="153"/>
        <v>2030</v>
      </c>
      <c r="CZ72" s="502">
        <v>2011</v>
      </c>
      <c r="DA72" s="502">
        <v>2012</v>
      </c>
      <c r="DB72" s="502">
        <v>2013</v>
      </c>
      <c r="DC72" s="502">
        <v>2014</v>
      </c>
      <c r="DD72" s="502">
        <v>2015</v>
      </c>
      <c r="DE72" s="502">
        <v>2016</v>
      </c>
      <c r="DF72" s="502">
        <v>2017</v>
      </c>
      <c r="DG72" s="502">
        <v>2018</v>
      </c>
      <c r="DH72" s="502">
        <v>2019</v>
      </c>
      <c r="DI72" s="502">
        <v>2020</v>
      </c>
      <c r="DJ72" s="502">
        <v>2021</v>
      </c>
      <c r="DK72" s="502">
        <v>2022</v>
      </c>
      <c r="DL72" s="502">
        <v>2023</v>
      </c>
      <c r="DM72" s="502">
        <v>2024</v>
      </c>
      <c r="DN72" s="502">
        <v>2025</v>
      </c>
      <c r="DO72" s="502">
        <v>2026</v>
      </c>
      <c r="DP72" s="502">
        <v>2027</v>
      </c>
      <c r="DQ72" s="502">
        <v>2028</v>
      </c>
      <c r="DR72" s="502">
        <v>2029</v>
      </c>
      <c r="DS72" s="502">
        <v>2030</v>
      </c>
    </row>
    <row r="73" spans="1:123">
      <c r="A73" t="str">
        <f>A45</f>
        <v>BBPmp conform ABS</v>
      </c>
      <c r="E73" s="289" t="e">
        <f t="shared" ref="E73:BB75" si="154">(E45-D45)/D45*100</f>
        <v>#DIV/0!</v>
      </c>
      <c r="F73" s="289" t="e">
        <f t="shared" si="154"/>
        <v>#DIV/0!</v>
      </c>
      <c r="G73" s="289" t="e">
        <f t="shared" si="154"/>
        <v>#DIV/0!</v>
      </c>
      <c r="H73" s="289" t="e">
        <f t="shared" si="154"/>
        <v>#DIV/0!</v>
      </c>
      <c r="I73" s="289" t="e">
        <f t="shared" si="154"/>
        <v>#DIV/0!</v>
      </c>
      <c r="J73" s="289" t="e">
        <f t="shared" si="154"/>
        <v>#DIV/0!</v>
      </c>
      <c r="K73" s="289" t="e">
        <f t="shared" si="154"/>
        <v>#DIV/0!</v>
      </c>
      <c r="L73" s="289" t="e">
        <f t="shared" si="154"/>
        <v>#DIV/0!</v>
      </c>
      <c r="M73" s="289" t="e">
        <f t="shared" si="154"/>
        <v>#DIV/0!</v>
      </c>
      <c r="N73" s="289" t="e">
        <f t="shared" si="154"/>
        <v>#DIV/0!</v>
      </c>
      <c r="O73" s="289" t="e">
        <f t="shared" si="154"/>
        <v>#DIV/0!</v>
      </c>
      <c r="P73" s="289" t="e">
        <f t="shared" si="154"/>
        <v>#DIV/0!</v>
      </c>
      <c r="Q73" s="289" t="e">
        <f t="shared" si="154"/>
        <v>#DIV/0!</v>
      </c>
      <c r="R73" s="289" t="e">
        <f t="shared" si="154"/>
        <v>#DIV/0!</v>
      </c>
      <c r="S73" s="289" t="e">
        <f t="shared" si="154"/>
        <v>#DIV/0!</v>
      </c>
      <c r="T73" s="289" t="e">
        <f t="shared" si="154"/>
        <v>#DIV/0!</v>
      </c>
      <c r="U73" s="289" t="e">
        <f t="shared" si="154"/>
        <v>#DIV/0!</v>
      </c>
      <c r="V73" s="289" t="e">
        <f t="shared" si="154"/>
        <v>#DIV/0!</v>
      </c>
      <c r="W73" s="289" t="e">
        <f t="shared" si="154"/>
        <v>#DIV/0!</v>
      </c>
      <c r="X73" s="289" t="e">
        <f t="shared" si="154"/>
        <v>#DIV/0!</v>
      </c>
      <c r="Y73" s="289" t="e">
        <f t="shared" si="154"/>
        <v>#DIV/0!</v>
      </c>
      <c r="Z73" s="289" t="e">
        <f t="shared" si="154"/>
        <v>#DIV/0!</v>
      </c>
      <c r="AA73" s="289" t="e">
        <f t="shared" si="154"/>
        <v>#DIV/0!</v>
      </c>
      <c r="AB73" s="289" t="e">
        <f t="shared" si="154"/>
        <v>#DIV/0!</v>
      </c>
      <c r="AC73" s="289" t="e">
        <f t="shared" si="154"/>
        <v>#DIV/0!</v>
      </c>
      <c r="AD73" s="289" t="e">
        <f t="shared" si="154"/>
        <v>#DIV/0!</v>
      </c>
      <c r="AE73" s="289" t="e">
        <f t="shared" si="154"/>
        <v>#DIV/0!</v>
      </c>
      <c r="AF73" s="289" t="e">
        <f t="shared" si="154"/>
        <v>#DIV/0!</v>
      </c>
      <c r="AG73" s="289" t="e">
        <f t="shared" si="154"/>
        <v>#DIV/0!</v>
      </c>
      <c r="AH73" s="289" t="e">
        <f t="shared" si="154"/>
        <v>#DIV/0!</v>
      </c>
      <c r="AI73" s="289" t="e">
        <f t="shared" si="154"/>
        <v>#DIV/0!</v>
      </c>
      <c r="AJ73" s="289" t="e">
        <f t="shared" si="154"/>
        <v>#DIV/0!</v>
      </c>
      <c r="AK73" s="289" t="e">
        <f t="shared" si="154"/>
        <v>#DIV/0!</v>
      </c>
      <c r="AL73" s="289" t="e">
        <f t="shared" si="154"/>
        <v>#DIV/0!</v>
      </c>
      <c r="AM73" s="289" t="e">
        <f t="shared" si="154"/>
        <v>#DIV/0!</v>
      </c>
      <c r="AN73" s="289" t="e">
        <f t="shared" si="154"/>
        <v>#DIV/0!</v>
      </c>
      <c r="AO73" s="289" t="e">
        <f t="shared" si="154"/>
        <v>#DIV/0!</v>
      </c>
      <c r="AP73" s="289" t="e">
        <f t="shared" si="154"/>
        <v>#DIV/0!</v>
      </c>
      <c r="AQ73" s="289" t="e">
        <f t="shared" si="154"/>
        <v>#DIV/0!</v>
      </c>
      <c r="AR73" s="289" t="e">
        <f t="shared" si="154"/>
        <v>#DIV/0!</v>
      </c>
      <c r="AS73" s="289" t="e">
        <f t="shared" si="154"/>
        <v>#DIV/0!</v>
      </c>
      <c r="AT73" s="289" t="e">
        <f t="shared" si="154"/>
        <v>#DIV/0!</v>
      </c>
      <c r="AU73" s="289" t="e">
        <f t="shared" si="154"/>
        <v>#DIV/0!</v>
      </c>
      <c r="AV73" s="289">
        <f t="shared" si="154"/>
        <v>13.169603291865762</v>
      </c>
      <c r="AW73" s="289">
        <f t="shared" si="154"/>
        <v>21.7956573826918</v>
      </c>
      <c r="AX73" s="289">
        <f t="shared" si="154"/>
        <v>86.008396211295462</v>
      </c>
      <c r="AY73" s="289">
        <f t="shared" si="154"/>
        <v>65.932457677431756</v>
      </c>
      <c r="AZ73" s="289">
        <f t="shared" si="154"/>
        <v>44.035720612340349</v>
      </c>
      <c r="BA73" s="289">
        <f t="shared" si="154"/>
        <v>18.847886871305548</v>
      </c>
      <c r="BB73" s="289">
        <f t="shared" si="154"/>
        <v>40.43131820325187</v>
      </c>
      <c r="BC73" s="289">
        <f>(BC45-BB45)/BB45*100</f>
        <v>23.379260392177002</v>
      </c>
      <c r="BD73" s="289">
        <f>(BD45-BC45)/BC45*100</f>
        <v>39.058036234841417</v>
      </c>
      <c r="BE73" s="289">
        <f>(BE45-BD45)/BD45*100</f>
        <v>18.022013618554983</v>
      </c>
      <c r="BF73" s="289">
        <f>(BF45-BE45)/BE45*100</f>
        <v>11.853571206577474</v>
      </c>
      <c r="BG73" s="289">
        <f t="shared" ref="BG73:BP73" si="155">(BG45-BF45)/BF45*100</f>
        <v>20.315323863115552</v>
      </c>
      <c r="BH73" s="289">
        <f t="shared" si="155"/>
        <v>9.6964662207067231</v>
      </c>
      <c r="BI73" s="289"/>
      <c r="BJ73" s="289">
        <f t="shared" si="155"/>
        <v>20.502474106596704</v>
      </c>
      <c r="BK73" s="289">
        <f>(BK45-BJ45)/BJ45*100</f>
        <v>13.713052300942694</v>
      </c>
      <c r="BL73" s="289">
        <f t="shared" si="155"/>
        <v>3.0331134088997205</v>
      </c>
      <c r="BM73" s="289">
        <f t="shared" si="155"/>
        <v>1.547413387579708</v>
      </c>
      <c r="BN73" s="289">
        <f t="shared" si="155"/>
        <v>0.54223715909673265</v>
      </c>
      <c r="BO73" s="289">
        <f>(BO45-BN45)/BN45*100</f>
        <v>6.7656965750140188</v>
      </c>
      <c r="BP73" s="289">
        <f t="shared" si="155"/>
        <v>8.7273807130212759</v>
      </c>
      <c r="BQ73" s="289">
        <f t="shared" ref="BQ73:BZ73" ca="1" si="156">(BQ45-BP45)/BP45*100</f>
        <v>9.9254726661419888</v>
      </c>
      <c r="BR73" s="289">
        <f t="shared" ca="1" si="156"/>
        <v>3.8030814385581424</v>
      </c>
      <c r="BS73" s="289">
        <f t="shared" ca="1" si="156"/>
        <v>3.0723022999303851</v>
      </c>
      <c r="BT73" s="289">
        <f t="shared" ca="1" si="156"/>
        <v>3.9786333732446053</v>
      </c>
      <c r="BU73" s="289">
        <f t="shared" ca="1" si="156"/>
        <v>4.0945270658918638</v>
      </c>
      <c r="BV73" s="289">
        <f t="shared" ca="1" si="156"/>
        <v>4.0633306685074349</v>
      </c>
      <c r="BW73" s="289">
        <f t="shared" ca="1" si="156"/>
        <v>4.0507680338827621</v>
      </c>
      <c r="BX73" s="289">
        <f t="shared" ca="1" si="156"/>
        <v>4.0395627686050002</v>
      </c>
      <c r="BY73" s="289">
        <f t="shared" ca="1" si="156"/>
        <v>4.899994170932211</v>
      </c>
      <c r="BZ73" s="289">
        <f t="shared" ca="1" si="156"/>
        <v>5.0217820394224786</v>
      </c>
      <c r="CA73" s="289">
        <f t="shared" ref="CA73:CC75" ca="1" si="157">(CA45-BZ45)/BZ45*100</f>
        <v>5.0256643464177113</v>
      </c>
      <c r="CB73" s="289">
        <f ca="1">(CB45-CA45)/CA45*100</f>
        <v>5.0608451918140531</v>
      </c>
      <c r="CC73" s="289">
        <f t="shared" ca="1" si="157"/>
        <v>5.1035916131310071</v>
      </c>
      <c r="CE73" s="484">
        <f t="shared" ref="CE73:CN79" si="158">BJ73-CZ73</f>
        <v>0</v>
      </c>
      <c r="CF73" s="484">
        <f t="shared" si="158"/>
        <v>0</v>
      </c>
      <c r="CG73" s="484">
        <f t="shared" si="158"/>
        <v>0</v>
      </c>
      <c r="CH73" s="484">
        <f t="shared" si="158"/>
        <v>0</v>
      </c>
      <c r="CI73" s="484">
        <f t="shared" si="158"/>
        <v>0</v>
      </c>
      <c r="CJ73" s="484">
        <f t="shared" si="158"/>
        <v>0</v>
      </c>
      <c r="CK73" s="484">
        <f t="shared" si="158"/>
        <v>0</v>
      </c>
      <c r="CL73" s="484">
        <f t="shared" ca="1" si="158"/>
        <v>-2.3341121627044839</v>
      </c>
      <c r="CM73" s="484">
        <f t="shared" ca="1" si="158"/>
        <v>-2.3480849994907809</v>
      </c>
      <c r="CN73" s="484">
        <f t="shared" ca="1" si="158"/>
        <v>-0.59388206810120892</v>
      </c>
      <c r="CO73" s="484">
        <f t="shared" ref="CO73:CX79" ca="1" si="159">BT73-DJ73</f>
        <v>0.30543240300323538</v>
      </c>
      <c r="CP73" s="484">
        <f t="shared" ca="1" si="159"/>
        <v>0.61454480216231699</v>
      </c>
      <c r="CQ73" s="484">
        <f t="shared" ca="1" si="159"/>
        <v>0.71159236196895348</v>
      </c>
      <c r="CR73" s="484">
        <f t="shared" ca="1" si="159"/>
        <v>0.7299697579615172</v>
      </c>
      <c r="CS73" s="484">
        <f t="shared" ca="1" si="159"/>
        <v>0.73474895985759625</v>
      </c>
      <c r="CT73" s="484">
        <f t="shared" ca="1" si="159"/>
        <v>0.60271558846957962</v>
      </c>
      <c r="CU73" s="484">
        <f t="shared" ca="1" si="159"/>
        <v>0.61164744577000363</v>
      </c>
      <c r="CV73" s="484">
        <f t="shared" ca="1" si="159"/>
        <v>0.60405516638624235</v>
      </c>
      <c r="CW73" s="484">
        <f t="shared" ca="1" si="159"/>
        <v>0.59148064336578443</v>
      </c>
      <c r="CX73" s="484">
        <f t="shared" ca="1" si="159"/>
        <v>0.58096281337624145</v>
      </c>
      <c r="CZ73" s="502">
        <v>20.502474106596704</v>
      </c>
      <c r="DA73" s="502">
        <v>13.713052300942694</v>
      </c>
      <c r="DB73" s="502">
        <v>3.0331134088997205</v>
      </c>
      <c r="DC73" s="502">
        <v>1.547413387579708</v>
      </c>
      <c r="DD73" s="502">
        <v>0.54223715909673265</v>
      </c>
      <c r="DE73" s="502">
        <v>6.7656965750140188</v>
      </c>
      <c r="DF73" s="502">
        <v>8.7273807130212759</v>
      </c>
      <c r="DG73" s="502">
        <v>12.259584828846473</v>
      </c>
      <c r="DH73" s="502">
        <v>6.1511664380489233</v>
      </c>
      <c r="DI73" s="502">
        <v>3.666184368031594</v>
      </c>
      <c r="DJ73" s="502">
        <v>3.6732009702413699</v>
      </c>
      <c r="DK73" s="502">
        <v>3.4799822637295468</v>
      </c>
      <c r="DL73" s="502">
        <v>3.3517383065384814</v>
      </c>
      <c r="DM73" s="502">
        <v>3.3207982759212449</v>
      </c>
      <c r="DN73" s="502">
        <v>3.3048138087474039</v>
      </c>
      <c r="DO73" s="502">
        <v>4.2972785824626314</v>
      </c>
      <c r="DP73" s="502">
        <v>4.410134593652475</v>
      </c>
      <c r="DQ73" s="502">
        <v>4.421609180031469</v>
      </c>
      <c r="DR73" s="502">
        <v>4.4693645484482687</v>
      </c>
      <c r="DS73" s="502">
        <v>4.5226287997547656</v>
      </c>
    </row>
    <row r="74" spans="1:123">
      <c r="A74" t="str">
        <f>A46</f>
        <v>BBPmp conform ABS- BBP Surya</v>
      </c>
      <c r="E74" s="289" t="e">
        <f t="shared" si="154"/>
        <v>#DIV/0!</v>
      </c>
      <c r="F74" s="289">
        <f t="shared" si="154"/>
        <v>4.4054778949810522</v>
      </c>
      <c r="G74" s="289">
        <f t="shared" si="154"/>
        <v>8.1643037596618306</v>
      </c>
      <c r="H74" s="289">
        <f t="shared" si="154"/>
        <v>15.517428854573886</v>
      </c>
      <c r="I74" s="289">
        <f t="shared" si="154"/>
        <v>6.2834229132427755</v>
      </c>
      <c r="J74" s="289">
        <f t="shared" si="154"/>
        <v>10.311949082985016</v>
      </c>
      <c r="K74" s="289">
        <f t="shared" si="154"/>
        <v>8.5459267159995598</v>
      </c>
      <c r="L74" s="289">
        <f t="shared" si="154"/>
        <v>4.5983256728761894</v>
      </c>
      <c r="M74" s="289">
        <f t="shared" si="154"/>
        <v>5.2371560493441072</v>
      </c>
      <c r="N74" s="289">
        <f t="shared" si="154"/>
        <v>6.7049293411752444</v>
      </c>
      <c r="O74" s="289">
        <f t="shared" si="154"/>
        <v>9.9891582370081284</v>
      </c>
      <c r="P74" s="289">
        <f t="shared" si="154"/>
        <v>14.529031278219001</v>
      </c>
      <c r="Q74" s="289">
        <f t="shared" si="154"/>
        <v>26.300796396420079</v>
      </c>
      <c r="R74" s="289">
        <f t="shared" si="154"/>
        <v>15.991529696917192</v>
      </c>
      <c r="S74" s="289">
        <f t="shared" si="154"/>
        <v>9.5456783032658272</v>
      </c>
      <c r="T74" s="289">
        <f t="shared" si="154"/>
        <v>4.4803446497119506</v>
      </c>
      <c r="U74" s="289">
        <f t="shared" si="154"/>
        <v>5.3239627082720276</v>
      </c>
      <c r="V74" s="289">
        <f t="shared" si="154"/>
        <v>8.5959081779814319</v>
      </c>
      <c r="W74" s="289">
        <f t="shared" si="154"/>
        <v>5.2910913179125512</v>
      </c>
      <c r="X74" s="289">
        <f t="shared" si="154"/>
        <v>8.2958510336983391</v>
      </c>
      <c r="Y74" s="289">
        <f t="shared" si="154"/>
        <v>21.649703834146948</v>
      </c>
      <c r="Z74" s="289">
        <f t="shared" si="154"/>
        <v>20.141906959886661</v>
      </c>
      <c r="AA74" s="289">
        <f t="shared" si="154"/>
        <v>8.7103163435811073</v>
      </c>
      <c r="AB74" s="289">
        <f t="shared" si="154"/>
        <v>26.825117910659774</v>
      </c>
      <c r="AC74" s="289">
        <f t="shared" si="154"/>
        <v>14.680743808713423</v>
      </c>
      <c r="AD74" s="289">
        <f t="shared" si="154"/>
        <v>6.4080067364808508</v>
      </c>
      <c r="AE74" s="289">
        <f t="shared" si="154"/>
        <v>2.3633527819724782</v>
      </c>
      <c r="AF74" s="289">
        <f t="shared" si="154"/>
        <v>12.265702338419143</v>
      </c>
      <c r="AG74" s="289">
        <f t="shared" si="154"/>
        <v>2.9042139164772753</v>
      </c>
      <c r="AH74" s="289">
        <f t="shared" si="154"/>
        <v>-3.2919158013189169</v>
      </c>
      <c r="AI74" s="289">
        <f t="shared" si="154"/>
        <v>-2.340697143951719</v>
      </c>
      <c r="AJ74" s="289">
        <f t="shared" si="154"/>
        <v>-0.18530702237158891</v>
      </c>
      <c r="AK74" s="289">
        <f t="shared" si="154"/>
        <v>2.8474992277034272</v>
      </c>
      <c r="AL74" s="289">
        <f t="shared" si="154"/>
        <v>10.141777670434985</v>
      </c>
      <c r="AM74" s="289">
        <f t="shared" si="154"/>
        <v>18.514674970496053</v>
      </c>
      <c r="AN74" s="289">
        <f t="shared" si="154"/>
        <v>17.822433874508164</v>
      </c>
      <c r="AO74" s="289">
        <f t="shared" si="154"/>
        <v>28.483624503154665</v>
      </c>
      <c r="AP74" s="289">
        <f t="shared" si="154"/>
        <v>18.466208931210932</v>
      </c>
      <c r="AQ74" s="289">
        <f t="shared" si="154"/>
        <v>29.833183790569596</v>
      </c>
      <c r="AR74" s="289">
        <f t="shared" si="154"/>
        <v>124.82979622837208</v>
      </c>
      <c r="AS74" s="289">
        <f t="shared" si="154"/>
        <v>293.35156360363902</v>
      </c>
      <c r="AT74" s="289">
        <f t="shared" si="154"/>
        <v>380.05469154299789</v>
      </c>
      <c r="AU74" s="289">
        <f t="shared" si="154"/>
        <v>-100</v>
      </c>
      <c r="AV74" s="289" t="e">
        <f t="shared" si="154"/>
        <v>#DIV/0!</v>
      </c>
      <c r="AW74" s="289" t="e">
        <f t="shared" si="154"/>
        <v>#DIV/0!</v>
      </c>
      <c r="AX74" s="289" t="e">
        <f t="shared" si="154"/>
        <v>#DIV/0!</v>
      </c>
      <c r="AY74" s="289" t="e">
        <f t="shared" si="154"/>
        <v>#DIV/0!</v>
      </c>
      <c r="AZ74" s="289" t="e">
        <f t="shared" si="154"/>
        <v>#DIV/0!</v>
      </c>
      <c r="BA74" s="289" t="e">
        <f t="shared" si="154"/>
        <v>#DIV/0!</v>
      </c>
      <c r="BB74" s="289" t="e">
        <f t="shared" si="154"/>
        <v>#DIV/0!</v>
      </c>
      <c r="BC74" s="289" t="e">
        <f>(BC46-BB46)/BB46*100</f>
        <v>#DIV/0!</v>
      </c>
      <c r="BD74" s="289" t="e">
        <f ca="1">(BD46-BC46)/BC46*100</f>
        <v>#DIV/0!</v>
      </c>
      <c r="BE74" s="289">
        <f t="shared" ref="BE74:BP74" ca="1" si="160">(BE46-BD46)/BD46*100</f>
        <v>-509.97324718535583</v>
      </c>
      <c r="BF74" s="289">
        <f t="shared" ca="1" si="160"/>
        <v>70.319648550506898</v>
      </c>
      <c r="BG74" s="289">
        <f t="shared" ca="1" si="160"/>
        <v>-56.246913006339682</v>
      </c>
      <c r="BH74" s="289">
        <f t="shared" ca="1" si="160"/>
        <v>-618.32749760157174</v>
      </c>
      <c r="BI74" s="289"/>
      <c r="BJ74" s="289">
        <f t="shared" ca="1" si="160"/>
        <v>623.50936656900672</v>
      </c>
      <c r="BK74" s="289">
        <f ca="1">(BK46-BJ46)/BJ46*100</f>
        <v>-41.157392642359078</v>
      </c>
      <c r="BL74" s="289">
        <f t="shared" ca="1" si="160"/>
        <v>-72.658180013039484</v>
      </c>
      <c r="BM74" s="289">
        <f t="shared" ca="1" si="160"/>
        <v>-100</v>
      </c>
      <c r="BN74" s="289" t="e">
        <f t="shared" ca="1" si="160"/>
        <v>#DIV/0!</v>
      </c>
      <c r="BO74" s="289">
        <f ca="1">(BO46-BN46)/BN46*100</f>
        <v>1940.2388981580689</v>
      </c>
      <c r="BP74" s="289">
        <f t="shared" ca="1" si="160"/>
        <v>103.97372353772786</v>
      </c>
      <c r="BQ74" s="289">
        <f t="shared" ref="BQ74:BZ74" ca="1" si="161">(BQ46-BP46)/BP46*100</f>
        <v>9.9254726661421024</v>
      </c>
      <c r="BR74" s="289">
        <f t="shared" ca="1" si="161"/>
        <v>3.803081438558205</v>
      </c>
      <c r="BS74" s="289">
        <f t="shared" ca="1" si="161"/>
        <v>3.0723022999304272</v>
      </c>
      <c r="BT74" s="289">
        <f t="shared" ca="1" si="161"/>
        <v>3.9786333732446222</v>
      </c>
      <c r="BU74" s="289">
        <f t="shared" ca="1" si="161"/>
        <v>4.094527065891854</v>
      </c>
      <c r="BV74" s="289">
        <f t="shared" ca="1" si="161"/>
        <v>4.063330668507712</v>
      </c>
      <c r="BW74" s="289">
        <f t="shared" ca="1" si="161"/>
        <v>4.0507680338829406</v>
      </c>
      <c r="BX74" s="289">
        <f t="shared" ca="1" si="161"/>
        <v>4.0395627686055704</v>
      </c>
      <c r="BY74" s="289">
        <f t="shared" ca="1" si="161"/>
        <v>4.8999941709327466</v>
      </c>
      <c r="BZ74" s="289">
        <f t="shared" ca="1" si="161"/>
        <v>5.021782039423039</v>
      </c>
      <c r="CA74" s="289">
        <f t="shared" ca="1" si="157"/>
        <v>5.0256643464185746</v>
      </c>
      <c r="CB74" s="289">
        <f ca="1">(CB46-CA46)/CA46*100</f>
        <v>5.0608451918151722</v>
      </c>
      <c r="CC74" s="289">
        <f t="shared" ca="1" si="157"/>
        <v>5.1035916131329353</v>
      </c>
      <c r="CE74" s="484">
        <f t="shared" ca="1" si="158"/>
        <v>30.796217711133181</v>
      </c>
      <c r="CF74" s="484">
        <f t="shared" ca="1" si="158"/>
        <v>1.4623377178920691</v>
      </c>
      <c r="CG74" s="484">
        <f t="shared" ca="1" si="158"/>
        <v>4.8803631798188007</v>
      </c>
      <c r="CH74" s="484">
        <f t="shared" ca="1" si="158"/>
        <v>0</v>
      </c>
      <c r="CI74" s="484" t="e">
        <f t="shared" ca="1" si="158"/>
        <v>#DIV/0!</v>
      </c>
      <c r="CJ74" s="484">
        <f t="shared" ca="1" si="158"/>
        <v>-443.05063317264876</v>
      </c>
      <c r="CK74" s="484">
        <f t="shared" ca="1" si="158"/>
        <v>12.918032683442306</v>
      </c>
      <c r="CL74" s="484">
        <f t="shared" ca="1" si="158"/>
        <v>-2.3341121627044057</v>
      </c>
      <c r="CM74" s="484">
        <f t="shared" ca="1" si="158"/>
        <v>-2.3480849994904491</v>
      </c>
      <c r="CN74" s="484">
        <f t="shared" ca="1" si="158"/>
        <v>-0.59388206810122268</v>
      </c>
      <c r="CO74" s="484">
        <f t="shared" ca="1" si="159"/>
        <v>0.30543240300359864</v>
      </c>
      <c r="CP74" s="484">
        <f t="shared" ca="1" si="159"/>
        <v>0.61454480216254437</v>
      </c>
      <c r="CQ74" s="484">
        <f t="shared" ca="1" si="159"/>
        <v>0.71159236196912978</v>
      </c>
      <c r="CR74" s="484">
        <f t="shared" ca="1" si="159"/>
        <v>0.72996975796137109</v>
      </c>
      <c r="CS74" s="484">
        <f t="shared" ca="1" si="159"/>
        <v>0.73474895985743505</v>
      </c>
      <c r="CT74" s="484">
        <f t="shared" ca="1" si="159"/>
        <v>0.60271558846866213</v>
      </c>
      <c r="CU74" s="484">
        <f t="shared" ca="1" si="159"/>
        <v>0.61164744576928509</v>
      </c>
      <c r="CV74" s="484">
        <f t="shared" ca="1" si="159"/>
        <v>0.60405516638571921</v>
      </c>
      <c r="CW74" s="484">
        <f t="shared" ca="1" si="159"/>
        <v>0.59148064336712025</v>
      </c>
      <c r="CX74" s="484">
        <f t="shared" ca="1" si="159"/>
        <v>0.58096281338009792</v>
      </c>
      <c r="CZ74" s="502">
        <v>592.71314885787353</v>
      </c>
      <c r="DA74" s="502">
        <v>-42.619730360251147</v>
      </c>
      <c r="DB74" s="502">
        <v>-77.538543192858285</v>
      </c>
      <c r="DC74" s="502">
        <v>-100</v>
      </c>
      <c r="DD74" s="502" t="e">
        <v>#DIV/0!</v>
      </c>
      <c r="DE74" s="502">
        <v>2383.2895313307176</v>
      </c>
      <c r="DF74" s="502">
        <v>91.055690854285558</v>
      </c>
      <c r="DG74" s="502">
        <v>12.259584828846508</v>
      </c>
      <c r="DH74" s="502">
        <v>6.1511664380486542</v>
      </c>
      <c r="DI74" s="502">
        <v>3.6661843680316499</v>
      </c>
      <c r="DJ74" s="502">
        <v>3.6732009702410235</v>
      </c>
      <c r="DK74" s="502">
        <v>3.4799822637293096</v>
      </c>
      <c r="DL74" s="502">
        <v>3.3517383065385822</v>
      </c>
      <c r="DM74" s="502">
        <v>3.3207982759215695</v>
      </c>
      <c r="DN74" s="502">
        <v>3.3048138087481354</v>
      </c>
      <c r="DO74" s="502">
        <v>4.2972785824640845</v>
      </c>
      <c r="DP74" s="502">
        <v>4.4101345936537539</v>
      </c>
      <c r="DQ74" s="502">
        <v>4.4216091800328554</v>
      </c>
      <c r="DR74" s="502">
        <v>4.469364548448052</v>
      </c>
      <c r="DS74" s="502">
        <v>4.5226287997528374</v>
      </c>
    </row>
    <row r="75" spans="1:123">
      <c r="A75" t="str">
        <f>A47</f>
        <v>Consumptie</v>
      </c>
      <c r="E75" s="289" t="e">
        <f t="shared" si="154"/>
        <v>#DIV/0!</v>
      </c>
      <c r="F75" s="289">
        <f t="shared" si="154"/>
        <v>21.028325326744813</v>
      </c>
      <c r="G75" s="289">
        <f t="shared" si="154"/>
        <v>8.0265804680359274</v>
      </c>
      <c r="H75" s="289">
        <f t="shared" si="154"/>
        <v>27.962784178041485</v>
      </c>
      <c r="I75" s="289">
        <f t="shared" si="154"/>
        <v>9.8862441744583105</v>
      </c>
      <c r="J75" s="289">
        <f t="shared" si="154"/>
        <v>11.548082614387646</v>
      </c>
      <c r="K75" s="289">
        <f t="shared" si="154"/>
        <v>15.22214725329974</v>
      </c>
      <c r="L75" s="289">
        <f t="shared" si="154"/>
        <v>35.370335161461746</v>
      </c>
      <c r="M75" s="289">
        <f t="shared" si="154"/>
        <v>2.3393707933444108</v>
      </c>
      <c r="N75" s="289">
        <f t="shared" si="154"/>
        <v>0.19787324037300749</v>
      </c>
      <c r="O75" s="289">
        <f t="shared" si="154"/>
        <v>2.7532118390064806</v>
      </c>
      <c r="P75" s="289">
        <f t="shared" si="154"/>
        <v>10.83814940225192</v>
      </c>
      <c r="Q75" s="289">
        <f t="shared" si="154"/>
        <v>15.400623400335057</v>
      </c>
      <c r="R75" s="289">
        <f t="shared" si="154"/>
        <v>18.287645738202549</v>
      </c>
      <c r="S75" s="289">
        <f t="shared" si="154"/>
        <v>1.384015453074747</v>
      </c>
      <c r="T75" s="289">
        <f t="shared" si="154"/>
        <v>17.500693093686639</v>
      </c>
      <c r="U75" s="289">
        <f t="shared" si="154"/>
        <v>18.967095470721691</v>
      </c>
      <c r="V75" s="289">
        <f t="shared" si="154"/>
        <v>-2.3825554561108415</v>
      </c>
      <c r="W75" s="289">
        <f t="shared" si="154"/>
        <v>12.165447525451425</v>
      </c>
      <c r="X75" s="289">
        <f t="shared" si="154"/>
        <v>8.6733696399224112</v>
      </c>
      <c r="Y75" s="289">
        <f t="shared" si="154"/>
        <v>-0.98312072093219627</v>
      </c>
      <c r="Z75" s="289">
        <f t="shared" si="154"/>
        <v>28.58374988054382</v>
      </c>
      <c r="AA75" s="289">
        <f t="shared" si="154"/>
        <v>39.175797013368815</v>
      </c>
      <c r="AB75" s="289">
        <f t="shared" si="154"/>
        <v>40.962876879835505</v>
      </c>
      <c r="AC75" s="289">
        <f t="shared" si="154"/>
        <v>13.231930921199892</v>
      </c>
      <c r="AD75" s="289">
        <f t="shared" si="154"/>
        <v>2.609174503648116</v>
      </c>
      <c r="AE75" s="289">
        <f t="shared" si="154"/>
        <v>-0.53781045002600703</v>
      </c>
      <c r="AF75" s="289">
        <f t="shared" si="154"/>
        <v>28.630113222877068</v>
      </c>
      <c r="AG75" s="289">
        <f t="shared" si="154"/>
        <v>35.89612048532382</v>
      </c>
      <c r="AH75" s="289">
        <f t="shared" si="154"/>
        <v>19.93952220431056</v>
      </c>
      <c r="AI75" s="289">
        <f t="shared" si="154"/>
        <v>-2.5292467399113927</v>
      </c>
      <c r="AJ75" s="289">
        <f t="shared" si="154"/>
        <v>0.86990264635378889</v>
      </c>
      <c r="AK75" s="289">
        <f t="shared" si="154"/>
        <v>12.610494845719497</v>
      </c>
      <c r="AL75" s="289">
        <f t="shared" si="154"/>
        <v>27.9029485419168</v>
      </c>
      <c r="AM75" s="289">
        <f t="shared" si="154"/>
        <v>16.143047406869488</v>
      </c>
      <c r="AN75" s="289">
        <f t="shared" si="154"/>
        <v>19.290170092581267</v>
      </c>
      <c r="AO75" s="289">
        <f t="shared" si="154"/>
        <v>-3.386264942837129</v>
      </c>
      <c r="AP75" s="289">
        <f t="shared" si="154"/>
        <v>52.290329921413061</v>
      </c>
      <c r="AQ75" s="289">
        <f t="shared" si="154"/>
        <v>28.287708853501968</v>
      </c>
      <c r="AR75" s="289">
        <f t="shared" si="154"/>
        <v>-27.156738351245057</v>
      </c>
      <c r="AS75" s="289">
        <f t="shared" si="154"/>
        <v>-274.70363433705234</v>
      </c>
      <c r="AT75" s="289">
        <f t="shared" si="154"/>
        <v>-665.1108221237705</v>
      </c>
      <c r="AU75" s="289">
        <f t="shared" si="154"/>
        <v>-1852.1016884513863</v>
      </c>
      <c r="AV75" s="289">
        <f t="shared" si="154"/>
        <v>35.378619099558875</v>
      </c>
      <c r="AW75" s="289">
        <f t="shared" si="154"/>
        <v>53.536684490771933</v>
      </c>
      <c r="AX75" s="289">
        <f t="shared" si="154"/>
        <v>54.454005807793614</v>
      </c>
      <c r="AY75" s="289">
        <f t="shared" si="154"/>
        <v>65.243966936747952</v>
      </c>
      <c r="AZ75" s="289">
        <f t="shared" si="154"/>
        <v>35.043014856142214</v>
      </c>
      <c r="BA75" s="289">
        <f t="shared" si="154"/>
        <v>30.306545899219461</v>
      </c>
      <c r="BB75" s="289">
        <f t="shared" si="154"/>
        <v>30.376141372083183</v>
      </c>
      <c r="BC75" s="289">
        <f>(BC47-BB47)/BB47*100</f>
        <v>12.073832110790645</v>
      </c>
      <c r="BD75" s="289">
        <f ca="1">(BD47-BC47)/BC47*100</f>
        <v>22.948177395035724</v>
      </c>
      <c r="BE75" s="289">
        <f t="shared" ref="BE75:BP75" ca="1" si="162">(BE47-BD47)/BD47*100</f>
        <v>30.158306870751883</v>
      </c>
      <c r="BF75" s="289">
        <f t="shared" ca="1" si="162"/>
        <v>12.577297658031167</v>
      </c>
      <c r="BG75" s="289">
        <f t="shared" ca="1" si="162"/>
        <v>20.803446671263316</v>
      </c>
      <c r="BH75" s="289">
        <f t="shared" ca="1" si="162"/>
        <v>12.34220085333655</v>
      </c>
      <c r="BI75" s="289"/>
      <c r="BJ75" s="289">
        <f t="shared" ca="1" si="162"/>
        <v>32.9954087503368</v>
      </c>
      <c r="BK75" s="289">
        <f ca="1">(BK47-BJ47)/BJ47*100</f>
        <v>18.047881702213285</v>
      </c>
      <c r="BL75" s="289">
        <f t="shared" ca="1" si="162"/>
        <v>19.211137550290797</v>
      </c>
      <c r="BM75" s="289">
        <f t="shared" ca="1" si="162"/>
        <v>2.9732000213695651</v>
      </c>
      <c r="BN75" s="289">
        <f t="shared" ca="1" si="162"/>
        <v>6.5879006783938614</v>
      </c>
      <c r="BO75" s="289">
        <f ca="1">(BO47-BN47)/BN47*100</f>
        <v>0.40640289972796484</v>
      </c>
      <c r="BP75" s="289">
        <f t="shared" ca="1" si="162"/>
        <v>6.792238933542186</v>
      </c>
      <c r="BQ75" s="289">
        <f t="shared" ref="BQ75:BZ75" ca="1" si="163">(BQ47-BP47)/BP47*100</f>
        <v>13.489225580152292</v>
      </c>
      <c r="BR75" s="289">
        <f t="shared" ca="1" si="163"/>
        <v>5.514953260281545</v>
      </c>
      <c r="BS75" s="289">
        <f t="shared" ca="1" si="163"/>
        <v>3.6905368752830308</v>
      </c>
      <c r="BT75" s="289">
        <f t="shared" ca="1" si="163"/>
        <v>4.2962940500771252</v>
      </c>
      <c r="BU75" s="289">
        <f t="shared" ca="1" si="163"/>
        <v>4.7379669598057044</v>
      </c>
      <c r="BV75" s="289">
        <f t="shared" ca="1" si="163"/>
        <v>4.7249480951174609</v>
      </c>
      <c r="BW75" s="289">
        <f t="shared" ca="1" si="163"/>
        <v>4.7382954250314686</v>
      </c>
      <c r="BX75" s="289">
        <f t="shared" ca="1" si="163"/>
        <v>4.7601475025940232</v>
      </c>
      <c r="BY75" s="289">
        <f t="shared" ca="1" si="163"/>
        <v>4.9434719657637691</v>
      </c>
      <c r="BZ75" s="289">
        <f t="shared" ca="1" si="163"/>
        <v>5.1354175516763139</v>
      </c>
      <c r="CA75" s="289">
        <f t="shared" ca="1" si="157"/>
        <v>5.1640255861854278</v>
      </c>
      <c r="CB75" s="289">
        <f ca="1">(CB47-CA47)/CA47*100</f>
        <v>5.2210294557647554</v>
      </c>
      <c r="CC75" s="289">
        <f t="shared" ca="1" si="157"/>
        <v>5.291221285171142</v>
      </c>
      <c r="CE75" s="484">
        <f t="shared" ca="1" si="158"/>
        <v>-8.6911242271027831</v>
      </c>
      <c r="CF75" s="484">
        <f t="shared" ca="1" si="158"/>
        <v>7.3640345479255966</v>
      </c>
      <c r="CG75" s="484">
        <f t="shared" ca="1" si="158"/>
        <v>-0.72894939054917884</v>
      </c>
      <c r="CH75" s="484">
        <f t="shared" ca="1" si="158"/>
        <v>0.55340013402981159</v>
      </c>
      <c r="CI75" s="484">
        <f t="shared" ca="1" si="158"/>
        <v>3.0584575072869584</v>
      </c>
      <c r="CJ75" s="484">
        <f t="shared" ca="1" si="158"/>
        <v>-2.7274677246722163</v>
      </c>
      <c r="CK75" s="484">
        <f t="shared" ca="1" si="158"/>
        <v>-1.3271268074442544</v>
      </c>
      <c r="CL75" s="484">
        <f t="shared" ca="1" si="158"/>
        <v>0.89592698110157798</v>
      </c>
      <c r="CM75" s="484">
        <f t="shared" ca="1" si="158"/>
        <v>-1.7697249864589431</v>
      </c>
      <c r="CN75" s="484">
        <f t="shared" ca="1" si="158"/>
        <v>-0.93634487277981826</v>
      </c>
      <c r="CO75" s="484">
        <f t="shared" ca="1" si="159"/>
        <v>0.14069083941357263</v>
      </c>
      <c r="CP75" s="484">
        <f t="shared" ca="1" si="159"/>
        <v>0.52207181895744981</v>
      </c>
      <c r="CQ75" s="484">
        <f t="shared" ca="1" si="159"/>
        <v>0.65333971360683929</v>
      </c>
      <c r="CR75" s="484">
        <f t="shared" ca="1" si="159"/>
        <v>0.67015169545509767</v>
      </c>
      <c r="CS75" s="484">
        <f t="shared" ca="1" si="159"/>
        <v>0.66346373627929456</v>
      </c>
      <c r="CT75" s="484">
        <f t="shared" ca="1" si="159"/>
        <v>0.68337814323229384</v>
      </c>
      <c r="CU75" s="484">
        <f t="shared" ca="1" si="159"/>
        <v>0.69431805154301607</v>
      </c>
      <c r="CV75" s="484">
        <f t="shared" ca="1" si="159"/>
        <v>0.6971914929634897</v>
      </c>
      <c r="CW75" s="484">
        <f t="shared" ca="1" si="159"/>
        <v>0.68757724944283183</v>
      </c>
      <c r="CX75" s="484">
        <f t="shared" ca="1" si="159"/>
        <v>0.67937713449803461</v>
      </c>
      <c r="CZ75" s="502">
        <v>41.686532977439583</v>
      </c>
      <c r="DA75" s="502">
        <v>10.683847154287688</v>
      </c>
      <c r="DB75" s="502">
        <v>19.940086940839976</v>
      </c>
      <c r="DC75" s="502">
        <v>2.4197998873397535</v>
      </c>
      <c r="DD75" s="502">
        <v>3.529443171106903</v>
      </c>
      <c r="DE75" s="502">
        <v>3.1338706244001813</v>
      </c>
      <c r="DF75" s="502">
        <v>8.1193657409864404</v>
      </c>
      <c r="DG75" s="502">
        <v>12.593298599050714</v>
      </c>
      <c r="DH75" s="502">
        <v>7.284678246740488</v>
      </c>
      <c r="DI75" s="502">
        <v>4.626881748062849</v>
      </c>
      <c r="DJ75" s="502">
        <v>4.1556032106635525</v>
      </c>
      <c r="DK75" s="502">
        <v>4.2158951408482546</v>
      </c>
      <c r="DL75" s="502">
        <v>4.0716083815106217</v>
      </c>
      <c r="DM75" s="502">
        <v>4.0681437295763709</v>
      </c>
      <c r="DN75" s="502">
        <v>4.0966837663147286</v>
      </c>
      <c r="DO75" s="502">
        <v>4.2600938225314753</v>
      </c>
      <c r="DP75" s="502">
        <v>4.4410995001332978</v>
      </c>
      <c r="DQ75" s="502">
        <v>4.4668340932219381</v>
      </c>
      <c r="DR75" s="502">
        <v>4.5334522063219236</v>
      </c>
      <c r="DS75" s="502">
        <v>4.6118441506731074</v>
      </c>
    </row>
    <row r="76" spans="1:123">
      <c r="A76" t="str">
        <f>A50</f>
        <v>Investeringen</v>
      </c>
      <c r="E76" s="289" t="e">
        <f t="shared" ref="E76:AJ76" si="164">(E50-D50)/D50*100</f>
        <v>#DIV/0!</v>
      </c>
      <c r="F76" s="289">
        <f t="shared" si="164"/>
        <v>18.485356892243953</v>
      </c>
      <c r="G76" s="289">
        <f t="shared" si="164"/>
        <v>19.064676942350228</v>
      </c>
      <c r="H76" s="289">
        <f t="shared" si="164"/>
        <v>60.313963258959156</v>
      </c>
      <c r="I76" s="289">
        <f t="shared" si="164"/>
        <v>1.4112696264079769</v>
      </c>
      <c r="J76" s="289">
        <f t="shared" si="164"/>
        <v>7.480106941560809</v>
      </c>
      <c r="K76" s="289">
        <f t="shared" si="164"/>
        <v>19.301722271962483</v>
      </c>
      <c r="L76" s="289">
        <f t="shared" si="164"/>
        <v>38.780839996410705</v>
      </c>
      <c r="M76" s="289">
        <f t="shared" si="164"/>
        <v>7.4824346922466232</v>
      </c>
      <c r="N76" s="289">
        <f t="shared" si="164"/>
        <v>7.3607779449755366</v>
      </c>
      <c r="O76" s="289">
        <f t="shared" si="164"/>
        <v>92.83007616794626</v>
      </c>
      <c r="P76" s="289">
        <f t="shared" si="164"/>
        <v>-1.0093161032775826</v>
      </c>
      <c r="Q76" s="289">
        <f t="shared" si="164"/>
        <v>-27.469931146690669</v>
      </c>
      <c r="R76" s="289">
        <f t="shared" si="164"/>
        <v>-25.220390869852594</v>
      </c>
      <c r="S76" s="289">
        <f t="shared" si="164"/>
        <v>-1.974242239391675</v>
      </c>
      <c r="T76" s="289">
        <f t="shared" si="164"/>
        <v>-0.46743414939817135</v>
      </c>
      <c r="U76" s="289">
        <f t="shared" si="164"/>
        <v>16.609151853928637</v>
      </c>
      <c r="V76" s="289">
        <f t="shared" si="164"/>
        <v>1.0457656809201654</v>
      </c>
      <c r="W76" s="289">
        <f t="shared" si="164"/>
        <v>32.873732459462154</v>
      </c>
      <c r="X76" s="289">
        <f t="shared" si="164"/>
        <v>16.656710891268332</v>
      </c>
      <c r="Y76" s="289">
        <f t="shared" si="164"/>
        <v>55.473851229301744</v>
      </c>
      <c r="Z76" s="289">
        <f t="shared" si="164"/>
        <v>45.800214115577631</v>
      </c>
      <c r="AA76" s="289">
        <f t="shared" si="164"/>
        <v>-25.174725238324225</v>
      </c>
      <c r="AB76" s="289">
        <f t="shared" si="164"/>
        <v>44.164783908776442</v>
      </c>
      <c r="AC76" s="289">
        <f t="shared" si="164"/>
        <v>-5.9539469779846854</v>
      </c>
      <c r="AD76" s="289">
        <f t="shared" si="164"/>
        <v>-9.1644612744957588</v>
      </c>
      <c r="AE76" s="289">
        <f t="shared" si="164"/>
        <v>36.411301726878705</v>
      </c>
      <c r="AF76" s="289">
        <f t="shared" si="164"/>
        <v>44.52528356758031</v>
      </c>
      <c r="AG76" s="289">
        <f t="shared" si="164"/>
        <v>11.327082241163735</v>
      </c>
      <c r="AH76" s="289">
        <f t="shared" si="164"/>
        <v>-41.473974478437817</v>
      </c>
      <c r="AI76" s="289">
        <f t="shared" si="164"/>
        <v>-22.53026653648153</v>
      </c>
      <c r="AJ76" s="289">
        <f t="shared" si="164"/>
        <v>16.173002741936948</v>
      </c>
      <c r="AK76" s="289">
        <f t="shared" ref="AK76:BD76" si="165">(AK50-AJ50)/AJ50*100</f>
        <v>18.713296693997833</v>
      </c>
      <c r="AL76" s="289">
        <f t="shared" si="165"/>
        <v>6.2251289926527029</v>
      </c>
      <c r="AM76" s="289">
        <f t="shared" si="165"/>
        <v>12.688793333562778</v>
      </c>
      <c r="AN76" s="289">
        <f t="shared" si="165"/>
        <v>-3.2224868374472053</v>
      </c>
      <c r="AO76" s="289">
        <f t="shared" si="165"/>
        <v>63.314673359223036</v>
      </c>
      <c r="AP76" s="289">
        <f t="shared" si="165"/>
        <v>38.31382127349908</v>
      </c>
      <c r="AQ76" s="289">
        <f t="shared" si="165"/>
        <v>37.670936421101061</v>
      </c>
      <c r="AR76" s="289">
        <f t="shared" si="165"/>
        <v>5.0883371040810408</v>
      </c>
      <c r="AS76" s="289">
        <f t="shared" si="165"/>
        <v>2670.4525490845422</v>
      </c>
      <c r="AT76" s="289">
        <f t="shared" si="165"/>
        <v>-37.184220647528562</v>
      </c>
      <c r="AU76" s="289">
        <f t="shared" si="165"/>
        <v>-4547.8326466969502</v>
      </c>
      <c r="AV76" s="289">
        <f t="shared" si="165"/>
        <v>-25.664181497961795</v>
      </c>
      <c r="AW76" s="289">
        <f t="shared" si="165"/>
        <v>-45.513885150028678</v>
      </c>
      <c r="AX76" s="289">
        <f t="shared" si="165"/>
        <v>100.00306723548975</v>
      </c>
      <c r="AY76" s="289">
        <f t="shared" si="165"/>
        <v>50.171290680670808</v>
      </c>
      <c r="AZ76" s="289">
        <f t="shared" si="165"/>
        <v>148.98429338819849</v>
      </c>
      <c r="BA76" s="289">
        <f t="shared" si="165"/>
        <v>12.350494124223349</v>
      </c>
      <c r="BB76" s="289">
        <f t="shared" si="165"/>
        <v>90.748633689717934</v>
      </c>
      <c r="BC76" s="289">
        <f t="shared" si="165"/>
        <v>7.3335966425779606</v>
      </c>
      <c r="BD76" s="289">
        <f t="shared" ca="1" si="165"/>
        <v>93.583366535953218</v>
      </c>
      <c r="BE76" s="289">
        <f t="shared" ref="BE76:BP76" ca="1" si="166">(BE50-BD50)/BD50*100</f>
        <v>-21.980424068107361</v>
      </c>
      <c r="BF76" s="289">
        <f t="shared" ca="1" si="166"/>
        <v>17.983976210422696</v>
      </c>
      <c r="BG76" s="289">
        <f t="shared" ca="1" si="166"/>
        <v>33.005728030029182</v>
      </c>
      <c r="BH76" s="289">
        <f t="shared" ca="1" si="166"/>
        <v>20.986613198877709</v>
      </c>
      <c r="BI76" s="289"/>
      <c r="BJ76" s="289">
        <f t="shared" ca="1" si="166"/>
        <v>21.395049708854287</v>
      </c>
      <c r="BK76" s="289">
        <f ca="1">(BK50-BJ50)/BJ50*100</f>
        <v>34.664069183721615</v>
      </c>
      <c r="BL76" s="289">
        <f t="shared" ca="1" si="166"/>
        <v>-3.4281981239984689</v>
      </c>
      <c r="BM76" s="289">
        <f t="shared" ca="1" si="166"/>
        <v>18.445007453039374</v>
      </c>
      <c r="BN76" s="289">
        <f t="shared" ca="1" si="166"/>
        <v>6.9092726597617782</v>
      </c>
      <c r="BO76" s="289">
        <f ca="1">(BO50-BN50)/BN50*100</f>
        <v>7.2966445036920442</v>
      </c>
      <c r="BP76" s="289">
        <f t="shared" ca="1" si="166"/>
        <v>-6.9565726938081829</v>
      </c>
      <c r="BQ76" s="289">
        <f t="shared" ref="BQ76:CC76" ca="1" si="167">(BQ50-BP50)/BP50*100</f>
        <v>3.6415077610673716</v>
      </c>
      <c r="BR76" s="289">
        <f t="shared" ca="1" si="167"/>
        <v>4.8539150268649491</v>
      </c>
      <c r="BS76" s="289">
        <f t="shared" ca="1" si="167"/>
        <v>4.5734417196483843</v>
      </c>
      <c r="BT76" s="289">
        <f t="shared" ca="1" si="167"/>
        <v>6.4299946503399399</v>
      </c>
      <c r="BU76" s="289">
        <f t="shared" ca="1" si="167"/>
        <v>5.5017452194027001</v>
      </c>
      <c r="BV76" s="289">
        <f t="shared" ca="1" si="167"/>
        <v>5.550462868741354</v>
      </c>
      <c r="BW76" s="289">
        <f t="shared" ca="1" si="167"/>
        <v>5.5602757848916324</v>
      </c>
      <c r="BX76" s="289">
        <f t="shared" ca="1" si="167"/>
        <v>5.5864967999273354</v>
      </c>
      <c r="BY76" s="289">
        <f t="shared" ca="1" si="167"/>
        <v>5.7329666672723176</v>
      </c>
      <c r="BZ76" s="289">
        <f t="shared" ca="1" si="167"/>
        <v>5.9009589116759988</v>
      </c>
      <c r="CA76" s="289">
        <f t="shared" ca="1" si="167"/>
        <v>5.9907361201115918</v>
      </c>
      <c r="CB76" s="289">
        <f t="shared" ca="1" si="167"/>
        <v>6.0451718281582956</v>
      </c>
      <c r="CC76" s="289">
        <f t="shared" ca="1" si="167"/>
        <v>6.112604633512932</v>
      </c>
      <c r="CE76" s="484">
        <f t="shared" ca="1" si="158"/>
        <v>-0.47965178693652177</v>
      </c>
      <c r="CF76" s="484">
        <f t="shared" ca="1" si="158"/>
        <v>-7.1165171697494145E-2</v>
      </c>
      <c r="CG76" s="484">
        <f t="shared" ca="1" si="158"/>
        <v>3.2813826322923401E-2</v>
      </c>
      <c r="CH76" s="484">
        <f t="shared" ca="1" si="158"/>
        <v>0.37959869057613815</v>
      </c>
      <c r="CI76" s="484">
        <f t="shared" ca="1" si="158"/>
        <v>17.376021535009585</v>
      </c>
      <c r="CJ76" s="484">
        <f t="shared" ca="1" si="158"/>
        <v>4.1524152380852151</v>
      </c>
      <c r="CK76" s="484">
        <f t="shared" ca="1" si="158"/>
        <v>-2.402187903563628</v>
      </c>
      <c r="CL76" s="484">
        <f t="shared" ca="1" si="158"/>
        <v>5.128088477774571</v>
      </c>
      <c r="CM76" s="484">
        <f t="shared" ca="1" si="158"/>
        <v>-1.155627730405544</v>
      </c>
      <c r="CN76" s="484">
        <f t="shared" ca="1" si="158"/>
        <v>-1.1776011618181155</v>
      </c>
      <c r="CO76" s="484">
        <f t="shared" ca="1" si="159"/>
        <v>-0.87779213143504453</v>
      </c>
      <c r="CP76" s="484">
        <f t="shared" ca="1" si="159"/>
        <v>0.22794572038713223</v>
      </c>
      <c r="CQ76" s="484">
        <f t="shared" ca="1" si="159"/>
        <v>0.35428283505493674</v>
      </c>
      <c r="CR76" s="484">
        <f t="shared" ca="1" si="159"/>
        <v>0.37165786803980883</v>
      </c>
      <c r="CS76" s="484">
        <f t="shared" ca="1" si="159"/>
        <v>0.36511263612687017</v>
      </c>
      <c r="CT76" s="484">
        <f t="shared" ca="1" si="159"/>
        <v>0.39230718722028257</v>
      </c>
      <c r="CU76" s="484">
        <f t="shared" ca="1" si="159"/>
        <v>0.41282693059036468</v>
      </c>
      <c r="CV76" s="484">
        <f t="shared" ca="1" si="159"/>
        <v>0.42735072153371956</v>
      </c>
      <c r="CW76" s="484">
        <f t="shared" ca="1" si="159"/>
        <v>0.4201011846316014</v>
      </c>
      <c r="CX76" s="484">
        <f t="shared" ca="1" si="159"/>
        <v>0.41296249241961913</v>
      </c>
      <c r="CZ76" s="502">
        <v>21.874701495790809</v>
      </c>
      <c r="DA76" s="502">
        <v>34.735234355419109</v>
      </c>
      <c r="DB76" s="502">
        <v>-3.4610119503213923</v>
      </c>
      <c r="DC76" s="502">
        <v>18.065408762463235</v>
      </c>
      <c r="DD76" s="502">
        <v>-10.466748875247808</v>
      </c>
      <c r="DE76" s="502">
        <v>3.1442292656068291</v>
      </c>
      <c r="DF76" s="502">
        <v>-4.5543847902445549</v>
      </c>
      <c r="DG76" s="502">
        <v>-1.4865807167071996</v>
      </c>
      <c r="DH76" s="502">
        <v>6.0095427572704931</v>
      </c>
      <c r="DI76" s="502">
        <v>5.7510428814664998</v>
      </c>
      <c r="DJ76" s="502">
        <v>7.3077867817749844</v>
      </c>
      <c r="DK76" s="502">
        <v>5.2737994990155679</v>
      </c>
      <c r="DL76" s="502">
        <v>5.1961800336864172</v>
      </c>
      <c r="DM76" s="502">
        <v>5.1886179168518236</v>
      </c>
      <c r="DN76" s="502">
        <v>5.2213841638004652</v>
      </c>
      <c r="DO76" s="502">
        <v>5.3406594800520351</v>
      </c>
      <c r="DP76" s="502">
        <v>5.4881319810856342</v>
      </c>
      <c r="DQ76" s="502">
        <v>5.5633853985778723</v>
      </c>
      <c r="DR76" s="502">
        <v>5.6250706435266942</v>
      </c>
      <c r="DS76" s="502">
        <v>5.6996421410933129</v>
      </c>
    </row>
    <row r="77" spans="1:123">
      <c r="A77" t="str">
        <f>A53</f>
        <v>Exporten</v>
      </c>
      <c r="E77" s="289" t="e">
        <f t="shared" ref="E77:AJ77" si="168">(E53-D53)/D53*100</f>
        <v>#DIV/0!</v>
      </c>
      <c r="F77" s="289">
        <f t="shared" si="168"/>
        <v>2.9251847111319793</v>
      </c>
      <c r="G77" s="289">
        <f t="shared" si="168"/>
        <v>23.848304102502134</v>
      </c>
      <c r="H77" s="289">
        <f t="shared" si="168"/>
        <v>31.684805558256723</v>
      </c>
      <c r="I77" s="289">
        <f t="shared" si="168"/>
        <v>-8.0458975783235012</v>
      </c>
      <c r="J77" s="289">
        <f t="shared" si="168"/>
        <v>24.587202398109518</v>
      </c>
      <c r="K77" s="289">
        <f t="shared" si="168"/>
        <v>13.418359647748476</v>
      </c>
      <c r="L77" s="289">
        <f t="shared" si="168"/>
        <v>26.995187920486856</v>
      </c>
      <c r="M77" s="289">
        <f t="shared" si="168"/>
        <v>-1.6963531829083049</v>
      </c>
      <c r="N77" s="289">
        <f t="shared" si="168"/>
        <v>4.9912965475789957</v>
      </c>
      <c r="O77" s="289">
        <f t="shared" si="168"/>
        <v>8.9378888108947514</v>
      </c>
      <c r="P77" s="289">
        <f t="shared" si="168"/>
        <v>13.582507526604834</v>
      </c>
      <c r="Q77" s="289">
        <f t="shared" si="168"/>
        <v>37.91700993164541</v>
      </c>
      <c r="R77" s="289">
        <f t="shared" si="168"/>
        <v>3.0264857908080249</v>
      </c>
      <c r="S77" s="289">
        <f t="shared" si="168"/>
        <v>4.5232784147043921</v>
      </c>
      <c r="T77" s="289">
        <f t="shared" si="168"/>
        <v>29.794952974338901</v>
      </c>
      <c r="U77" s="289">
        <f t="shared" si="168"/>
        <v>18.808188209349066</v>
      </c>
      <c r="V77" s="289">
        <f t="shared" si="168"/>
        <v>7.6826061017949465</v>
      </c>
      <c r="W77" s="289">
        <f t="shared" si="168"/>
        <v>18.796765663990808</v>
      </c>
      <c r="X77" s="289">
        <f t="shared" si="168"/>
        <v>-7.1577336865096708</v>
      </c>
      <c r="Y77" s="289">
        <f t="shared" si="168"/>
        <v>39.298156048081204</v>
      </c>
      <c r="Z77" s="289">
        <f t="shared" si="168"/>
        <v>11.998801587609439</v>
      </c>
      <c r="AA77" s="289">
        <f t="shared" si="168"/>
        <v>19.743266026371515</v>
      </c>
      <c r="AB77" s="289">
        <f t="shared" si="168"/>
        <v>16.227142730147662</v>
      </c>
      <c r="AC77" s="289">
        <f t="shared" si="168"/>
        <v>16.28565985202907</v>
      </c>
      <c r="AD77" s="289">
        <f t="shared" si="168"/>
        <v>10.971472387947671</v>
      </c>
      <c r="AE77" s="289">
        <f t="shared" si="168"/>
        <v>18.780968942014052</v>
      </c>
      <c r="AF77" s="289">
        <f t="shared" si="168"/>
        <v>2.0185440239080772</v>
      </c>
      <c r="AG77" s="289">
        <f t="shared" si="168"/>
        <v>14.443931513974452</v>
      </c>
      <c r="AH77" s="289">
        <f t="shared" si="168"/>
        <v>-2.2553648174708267</v>
      </c>
      <c r="AI77" s="289">
        <f t="shared" si="168"/>
        <v>1.3106417624090456</v>
      </c>
      <c r="AJ77" s="289">
        <f t="shared" si="168"/>
        <v>-8.5383216160892097</v>
      </c>
      <c r="AK77" s="289">
        <f t="shared" ref="AK77:BD77" si="169">(AK53-AJ53)/AJ53*100</f>
        <v>-0.49012916003188967</v>
      </c>
      <c r="AL77" s="289">
        <f t="shared" si="169"/>
        <v>14.858232102231378</v>
      </c>
      <c r="AM77" s="289">
        <f t="shared" si="169"/>
        <v>2.4454419163819328</v>
      </c>
      <c r="AN77" s="289">
        <f t="shared" si="169"/>
        <v>16.094362558082587</v>
      </c>
      <c r="AO77" s="289">
        <f t="shared" si="169"/>
        <v>-41.230019409673687</v>
      </c>
      <c r="AP77" s="289">
        <f t="shared" si="169"/>
        <v>-16.624242211156062</v>
      </c>
      <c r="AQ77" s="289">
        <f t="shared" si="169"/>
        <v>-6.0938049208243559</v>
      </c>
      <c r="AR77" s="289">
        <f t="shared" si="169"/>
        <v>1007.0926986084063</v>
      </c>
      <c r="AS77" s="289">
        <f t="shared" si="169"/>
        <v>338.28273147879162</v>
      </c>
      <c r="AT77" s="289">
        <f t="shared" si="169"/>
        <v>138.8164128672199</v>
      </c>
      <c r="AU77" s="289">
        <f t="shared" si="169"/>
        <v>-1477.3747583639836</v>
      </c>
      <c r="AV77" s="289">
        <f t="shared" si="169"/>
        <v>1.624936743909454</v>
      </c>
      <c r="AW77" s="289">
        <f t="shared" si="169"/>
        <v>-14.549138804457979</v>
      </c>
      <c r="AX77" s="289">
        <f t="shared" si="169"/>
        <v>163.97090094304204</v>
      </c>
      <c r="AY77" s="289">
        <f t="shared" si="169"/>
        <v>55.605014964841025</v>
      </c>
      <c r="AZ77" s="289">
        <f t="shared" si="169"/>
        <v>55.690358654877173</v>
      </c>
      <c r="BA77" s="289">
        <f t="shared" si="169"/>
        <v>-12.250630890818712</v>
      </c>
      <c r="BB77" s="289">
        <f t="shared" si="169"/>
        <v>66.252623561325237</v>
      </c>
      <c r="BC77" s="289">
        <f t="shared" si="169"/>
        <v>40.025787485003249</v>
      </c>
      <c r="BD77" s="289">
        <f t="shared" ca="1" si="169"/>
        <v>24.372274855196</v>
      </c>
      <c r="BE77" s="289">
        <f t="shared" ref="BE77:BP77" ca="1" si="170">(BE53-BD53)/BD53*100</f>
        <v>13.595400568211524</v>
      </c>
      <c r="BF77" s="289">
        <f t="shared" ca="1" si="170"/>
        <v>35.120207852895525</v>
      </c>
      <c r="BG77" s="289">
        <f t="shared" ca="1" si="170"/>
        <v>29.667363301570838</v>
      </c>
      <c r="BH77" s="289">
        <f t="shared" ca="1" si="170"/>
        <v>-3.7457001614579495</v>
      </c>
      <c r="BI77" s="289"/>
      <c r="BJ77" s="289">
        <f t="shared" ca="1" si="170"/>
        <v>18.253004959303251</v>
      </c>
      <c r="BK77" s="289">
        <f ca="1">(BK53-BJ53)/BJ53*100</f>
        <v>10.089527080550605</v>
      </c>
      <c r="BL77" s="289">
        <f t="shared" ca="1" si="170"/>
        <v>-5.5230110404825066</v>
      </c>
      <c r="BM77" s="289">
        <f t="shared" ca="1" si="170"/>
        <v>-7.6009560865867423</v>
      </c>
      <c r="BN77" s="289">
        <f t="shared" ca="1" si="170"/>
        <v>-17.725365272062522</v>
      </c>
      <c r="BO77" s="289">
        <f ca="1">(BO53-BN53)/BN53*100</f>
        <v>6.42304085041705</v>
      </c>
      <c r="BP77" s="289">
        <f t="shared" ca="1" si="170"/>
        <v>7.1621976242862084</v>
      </c>
      <c r="BQ77" s="289">
        <f t="shared" ref="BQ77:BZ77" ca="1" si="171">(BQ53-BP53)/BP53*100</f>
        <v>5.8853191419560433</v>
      </c>
      <c r="BR77" s="289">
        <f t="shared" ca="1" si="171"/>
        <v>9.5252460665590427E-2</v>
      </c>
      <c r="BS77" s="289">
        <f t="shared" ca="1" si="171"/>
        <v>2.4553133287423949</v>
      </c>
      <c r="BT77" s="289">
        <f t="shared" ca="1" si="171"/>
        <v>4.1879331108671956</v>
      </c>
      <c r="BU77" s="289">
        <f t="shared" ca="1" si="171"/>
        <v>4.2301385795545592</v>
      </c>
      <c r="BV77" s="289">
        <f t="shared" ca="1" si="171"/>
        <v>4.2795251855872181</v>
      </c>
      <c r="BW77" s="289">
        <f t="shared" ca="1" si="171"/>
        <v>4.322498025957219</v>
      </c>
      <c r="BX77" s="289">
        <f t="shared" ca="1" si="171"/>
        <v>4.3664607582418471</v>
      </c>
      <c r="BY77" s="289">
        <f t="shared" ca="1" si="171"/>
        <v>6.3751994312764682</v>
      </c>
      <c r="BZ77" s="289">
        <f t="shared" ca="1" si="171"/>
        <v>6.429503240742128</v>
      </c>
      <c r="CA77" s="289">
        <f t="shared" ref="CA77:CC78" ca="1" si="172">(CA53-BZ53)/BZ53*100</f>
        <v>6.4858696605708532</v>
      </c>
      <c r="CB77" s="289">
        <f ca="1">(CB53-CA53)/CA53*100</f>
        <v>6.5323312257847013</v>
      </c>
      <c r="CC77" s="289">
        <f t="shared" ca="1" si="172"/>
        <v>6.5772718145608655</v>
      </c>
      <c r="CE77" s="484">
        <f t="shared" ca="1" si="158"/>
        <v>6.9040956608684549</v>
      </c>
      <c r="CF77" s="484">
        <f t="shared" ca="1" si="158"/>
        <v>-7.1038681994243458</v>
      </c>
      <c r="CG77" s="484">
        <f t="shared" ca="1" si="158"/>
        <v>0.64449499353183626</v>
      </c>
      <c r="CH77" s="484">
        <f t="shared" ca="1" si="158"/>
        <v>-0.39729894014386247</v>
      </c>
      <c r="CI77" s="484">
        <f t="shared" ca="1" si="158"/>
        <v>-4.6379325882776943</v>
      </c>
      <c r="CJ77" s="484">
        <f t="shared" ca="1" si="158"/>
        <v>4.2706393963854543</v>
      </c>
      <c r="CK77" s="484">
        <f t="shared" ca="1" si="158"/>
        <v>6.6010085530778362E-2</v>
      </c>
      <c r="CL77" s="484">
        <f t="shared" ca="1" si="158"/>
        <v>-9.7173607222475802</v>
      </c>
      <c r="CM77" s="484">
        <f t="shared" ca="1" si="158"/>
        <v>-5.2771140522049942</v>
      </c>
      <c r="CN77" s="484">
        <f t="shared" ca="1" si="158"/>
        <v>-1.8630124755729534</v>
      </c>
      <c r="CO77" s="484">
        <f t="shared" ca="1" si="159"/>
        <v>-0.1760429534892971</v>
      </c>
      <c r="CP77" s="484">
        <f t="shared" ca="1" si="159"/>
        <v>-0.1634832936051458</v>
      </c>
      <c r="CQ77" s="484">
        <f t="shared" ca="1" si="159"/>
        <v>-0.15223604814417957</v>
      </c>
      <c r="CR77" s="484">
        <f t="shared" ca="1" si="159"/>
        <v>-0.14444066414196222</v>
      </c>
      <c r="CS77" s="484">
        <f t="shared" ca="1" si="159"/>
        <v>-0.1367866324613356</v>
      </c>
      <c r="CT77" s="484">
        <f t="shared" ca="1" si="159"/>
        <v>-0.23727583320320189</v>
      </c>
      <c r="CU77" s="484">
        <f t="shared" ca="1" si="159"/>
        <v>-0.2213131512266111</v>
      </c>
      <c r="CV77" s="484">
        <f t="shared" ca="1" si="159"/>
        <v>-0.20317290329938142</v>
      </c>
      <c r="CW77" s="484">
        <f t="shared" ca="1" si="159"/>
        <v>-0.19008843986724777</v>
      </c>
      <c r="CX77" s="484">
        <f t="shared" ca="1" si="159"/>
        <v>-0.17733184251547041</v>
      </c>
      <c r="CZ77" s="502">
        <v>11.348909298434796</v>
      </c>
      <c r="DA77" s="502">
        <v>17.193395279974951</v>
      </c>
      <c r="DB77" s="502">
        <v>-6.1675060340143428</v>
      </c>
      <c r="DC77" s="502">
        <v>-7.2036571464428798</v>
      </c>
      <c r="DD77" s="502">
        <v>-13.087432683784828</v>
      </c>
      <c r="DE77" s="502">
        <v>2.1524014540315957</v>
      </c>
      <c r="DF77" s="502">
        <v>7.0961875387554301</v>
      </c>
      <c r="DG77" s="502">
        <v>15.602679864203624</v>
      </c>
      <c r="DH77" s="502">
        <v>5.3723665128705846</v>
      </c>
      <c r="DI77" s="502">
        <v>4.3183258043153483</v>
      </c>
      <c r="DJ77" s="502">
        <v>4.3639760643564927</v>
      </c>
      <c r="DK77" s="502">
        <v>4.393621873159705</v>
      </c>
      <c r="DL77" s="502">
        <v>4.4317612337313976</v>
      </c>
      <c r="DM77" s="502">
        <v>4.4669386900991812</v>
      </c>
      <c r="DN77" s="502">
        <v>4.5032473907031827</v>
      </c>
      <c r="DO77" s="502">
        <v>6.61247526447967</v>
      </c>
      <c r="DP77" s="502">
        <v>6.6508163919687391</v>
      </c>
      <c r="DQ77" s="502">
        <v>6.6890425638702347</v>
      </c>
      <c r="DR77" s="502">
        <v>6.722419665651949</v>
      </c>
      <c r="DS77" s="502">
        <v>6.7546036570763359</v>
      </c>
    </row>
    <row r="78" spans="1:123">
      <c r="A78" t="str">
        <f>A54</f>
        <v>Importen</v>
      </c>
      <c r="E78" s="289" t="e">
        <f t="shared" ref="E78:AJ78" si="173">(E54-D54)/D54*100</f>
        <v>#DIV/0!</v>
      </c>
      <c r="F78" s="289">
        <f t="shared" si="173"/>
        <v>10.820666032819576</v>
      </c>
      <c r="G78" s="289">
        <f t="shared" si="173"/>
        <v>26.700193282193542</v>
      </c>
      <c r="H78" s="289">
        <f t="shared" si="173"/>
        <v>36.549679577766462</v>
      </c>
      <c r="I78" s="289">
        <f t="shared" si="173"/>
        <v>-3.54403074636472</v>
      </c>
      <c r="J78" s="289">
        <f t="shared" si="173"/>
        <v>23.528747352857636</v>
      </c>
      <c r="K78" s="289">
        <f t="shared" si="173"/>
        <v>21.893782300076364</v>
      </c>
      <c r="L78" s="289">
        <f t="shared" si="173"/>
        <v>33.13273692806019</v>
      </c>
      <c r="M78" s="289">
        <f t="shared" si="173"/>
        <v>0.18391185291694648</v>
      </c>
      <c r="N78" s="289">
        <f t="shared" si="173"/>
        <v>3.6612397933228791</v>
      </c>
      <c r="O78" s="289">
        <f t="shared" si="173"/>
        <v>41.506864142112349</v>
      </c>
      <c r="P78" s="289">
        <f t="shared" si="173"/>
        <v>7.4308326175107267</v>
      </c>
      <c r="Q78" s="289">
        <f t="shared" si="173"/>
        <v>-7.0986435458626236</v>
      </c>
      <c r="R78" s="289">
        <f t="shared" si="173"/>
        <v>0.99969914735884668</v>
      </c>
      <c r="S78" s="289">
        <f t="shared" si="173"/>
        <v>-5.0101085791316757</v>
      </c>
      <c r="T78" s="289">
        <f t="shared" si="173"/>
        <v>26.341189793307279</v>
      </c>
      <c r="U78" s="289">
        <f t="shared" si="173"/>
        <v>21.864967384522512</v>
      </c>
      <c r="V78" s="289">
        <f t="shared" si="173"/>
        <v>2.3251417637347007</v>
      </c>
      <c r="W78" s="289">
        <f t="shared" si="173"/>
        <v>21.938483495377966</v>
      </c>
      <c r="X78" s="289">
        <f t="shared" si="173"/>
        <v>3.5778592080718652</v>
      </c>
      <c r="Y78" s="289">
        <f t="shared" si="173"/>
        <v>41.942756611633413</v>
      </c>
      <c r="Z78" s="289">
        <f t="shared" si="173"/>
        <v>21.741925731992932</v>
      </c>
      <c r="AA78" s="289">
        <f t="shared" si="173"/>
        <v>15.072250947044875</v>
      </c>
      <c r="AB78" s="289">
        <f t="shared" si="173"/>
        <v>36.706863787894875</v>
      </c>
      <c r="AC78" s="289">
        <f t="shared" si="173"/>
        <v>4.2894282898481988</v>
      </c>
      <c r="AD78" s="289">
        <f t="shared" si="173"/>
        <v>2.8870026646714382</v>
      </c>
      <c r="AE78" s="289">
        <f t="shared" si="173"/>
        <v>29.022450260419212</v>
      </c>
      <c r="AF78" s="289">
        <f t="shared" si="173"/>
        <v>14.917331739976461</v>
      </c>
      <c r="AG78" s="289">
        <f t="shared" si="173"/>
        <v>22.32540552023605</v>
      </c>
      <c r="AH78" s="289">
        <f t="shared" si="173"/>
        <v>-3.054898795701142</v>
      </c>
      <c r="AI78" s="289">
        <f t="shared" si="173"/>
        <v>-8.5206975686046391</v>
      </c>
      <c r="AJ78" s="289">
        <f t="shared" si="173"/>
        <v>-9.2740491782589558</v>
      </c>
      <c r="AK78" s="289">
        <f t="shared" ref="AK78:BD78" si="174">(AK54-AJ54)/AJ54*100</f>
        <v>15.203909366463025</v>
      </c>
      <c r="AL78" s="289">
        <f t="shared" si="174"/>
        <v>38.911482704321948</v>
      </c>
      <c r="AM78" s="289">
        <f t="shared" si="174"/>
        <v>14.258858691141926</v>
      </c>
      <c r="AN78" s="289">
        <f t="shared" si="174"/>
        <v>33.248665256302942</v>
      </c>
      <c r="AO78" s="289">
        <f t="shared" si="174"/>
        <v>-11.281275186736876</v>
      </c>
      <c r="AP78" s="289">
        <f t="shared" si="174"/>
        <v>58.224421150785425</v>
      </c>
      <c r="AQ78" s="289">
        <f t="shared" si="174"/>
        <v>28.223035052020389</v>
      </c>
      <c r="AR78" s="289">
        <f t="shared" si="174"/>
        <v>77.214363225102034</v>
      </c>
      <c r="AS78" s="289">
        <f t="shared" si="174"/>
        <v>298.22245632760007</v>
      </c>
      <c r="AT78" s="289">
        <f t="shared" si="174"/>
        <v>123.86208968347825</v>
      </c>
      <c r="AU78" s="289">
        <f t="shared" si="174"/>
        <v>-1848.759325564178</v>
      </c>
      <c r="AV78" s="289">
        <f t="shared" si="174"/>
        <v>-3.3676581792150864</v>
      </c>
      <c r="AW78" s="289">
        <f t="shared" si="174"/>
        <v>2.5925263722510326</v>
      </c>
      <c r="AX78" s="289">
        <f t="shared" si="174"/>
        <v>77.70457309149576</v>
      </c>
      <c r="AY78" s="289">
        <f t="shared" si="174"/>
        <v>46.647961508113163</v>
      </c>
      <c r="AZ78" s="289">
        <f t="shared" si="174"/>
        <v>71.446250056479116</v>
      </c>
      <c r="BA78" s="289">
        <f t="shared" si="174"/>
        <v>10.458311136843101</v>
      </c>
      <c r="BB78" s="289">
        <f t="shared" si="174"/>
        <v>61.397179845564679</v>
      </c>
      <c r="BC78" s="289">
        <f t="shared" si="174"/>
        <v>10.389647804228405</v>
      </c>
      <c r="BD78" s="289">
        <f t="shared" ca="1" si="174"/>
        <v>26.402608665215222</v>
      </c>
      <c r="BE78" s="289">
        <f t="shared" ref="BE78:BP78" ca="1" si="175">(BE54-BD54)/BD54*100</f>
        <v>-6.2097241627331963</v>
      </c>
      <c r="BF78" s="289">
        <f t="shared" ca="1" si="175"/>
        <v>48.583626333129246</v>
      </c>
      <c r="BG78" s="289">
        <f t="shared" ca="1" si="175"/>
        <v>37.258670158095377</v>
      </c>
      <c r="BH78" s="289">
        <f t="shared" ca="1" si="175"/>
        <v>6.8029992977622635</v>
      </c>
      <c r="BI78" s="289"/>
      <c r="BJ78" s="289">
        <f t="shared" ca="1" si="175"/>
        <v>30.633527180688564</v>
      </c>
      <c r="BK78" s="289">
        <f ca="1">(BK54-BJ54)/BJ54*100</f>
        <v>25.858092228762253</v>
      </c>
      <c r="BL78" s="289">
        <f t="shared" ca="1" si="175"/>
        <v>9.8643893619475094</v>
      </c>
      <c r="BM78" s="289">
        <f t="shared" ca="1" si="175"/>
        <v>3.1472155425020132</v>
      </c>
      <c r="BN78" s="289">
        <f t="shared" ca="1" si="175"/>
        <v>-1.726891013657506</v>
      </c>
      <c r="BO78" s="289">
        <f ca="1">(BO54-BN54)/BN54*100</f>
        <v>1.2996458506926554</v>
      </c>
      <c r="BP78" s="289">
        <f t="shared" ca="1" si="175"/>
        <v>-3.1379264601648278</v>
      </c>
      <c r="BQ78" s="289">
        <f t="shared" ref="BQ78:BZ78" ca="1" si="176">(BQ54-BP54)/BP54*100</f>
        <v>7.0143273829051829</v>
      </c>
      <c r="BR78" s="289">
        <f t="shared" ca="1" si="176"/>
        <v>4.3019380191448748</v>
      </c>
      <c r="BS78" s="289">
        <f t="shared" ca="1" si="176"/>
        <v>5.1054361204714169</v>
      </c>
      <c r="BT78" s="289">
        <f t="shared" ca="1" si="176"/>
        <v>6.6560469506647388</v>
      </c>
      <c r="BU78" s="289">
        <f t="shared" ca="1" si="176"/>
        <v>6.445028255717034</v>
      </c>
      <c r="BV78" s="289">
        <f t="shared" ca="1" si="176"/>
        <v>6.4738701262147256</v>
      </c>
      <c r="BW78" s="289">
        <f t="shared" ca="1" si="176"/>
        <v>6.5143691649815869</v>
      </c>
      <c r="BX78" s="289">
        <f t="shared" ca="1" si="176"/>
        <v>6.5678207910955964</v>
      </c>
      <c r="BY78" s="289">
        <f t="shared" ca="1" si="176"/>
        <v>6.5332568059682083</v>
      </c>
      <c r="BZ78" s="289">
        <f t="shared" ca="1" si="176"/>
        <v>6.690740588493127</v>
      </c>
      <c r="CA78" s="289">
        <f t="shared" ca="1" si="172"/>
        <v>6.752632531034199</v>
      </c>
      <c r="CB78" s="289">
        <f ca="1">(CB54-CA54)/CA54*100</f>
        <v>6.815013819279506</v>
      </c>
      <c r="CC78" s="289">
        <f t="shared" ca="1" si="172"/>
        <v>6.8869750675967758</v>
      </c>
      <c r="CE78" s="484">
        <f t="shared" ca="1" si="158"/>
        <v>-0.68234179739156531</v>
      </c>
      <c r="CF78" s="484">
        <f t="shared" ca="1" si="158"/>
        <v>0.12029689352531747</v>
      </c>
      <c r="CG78" s="484">
        <f t="shared" ca="1" si="158"/>
        <v>2.7318229641672076E-2</v>
      </c>
      <c r="CH78" s="484">
        <f t="shared" ca="1" si="158"/>
        <v>0.42210057758151898</v>
      </c>
      <c r="CI78" s="484">
        <f t="shared" ca="1" si="158"/>
        <v>10.941880243140693</v>
      </c>
      <c r="CJ78" s="484">
        <f t="shared" ca="1" si="158"/>
        <v>6.4766693517839542</v>
      </c>
      <c r="CK78" s="484">
        <f t="shared" ca="1" si="158"/>
        <v>-1.764888639244345</v>
      </c>
      <c r="CL78" s="484">
        <f t="shared" ca="1" si="158"/>
        <v>-1.1652522119243169</v>
      </c>
      <c r="CM78" s="484">
        <f t="shared" ca="1" si="158"/>
        <v>-3.0951386866299231</v>
      </c>
      <c r="CN78" s="484">
        <f t="shared" ca="1" si="158"/>
        <v>-2.3365196384637326</v>
      </c>
      <c r="CO78" s="484">
        <f t="shared" ca="1" si="159"/>
        <v>-0.65096495605688709</v>
      </c>
      <c r="CP78" s="484">
        <f t="shared" ca="1" si="159"/>
        <v>-0.21255712114840808</v>
      </c>
      <c r="CQ78" s="484">
        <f t="shared" ca="1" si="159"/>
        <v>-0.1206309508040988</v>
      </c>
      <c r="CR78" s="484">
        <f t="shared" ca="1" si="159"/>
        <v>-0.11249475393953379</v>
      </c>
      <c r="CS78" s="484">
        <f t="shared" ca="1" si="159"/>
        <v>-0.11836336692710514</v>
      </c>
      <c r="CT78" s="484">
        <f t="shared" ca="1" si="159"/>
        <v>-7.6436696911415858E-2</v>
      </c>
      <c r="CU78" s="484">
        <f t="shared" ca="1" si="159"/>
        <v>-5.8301034813178276E-2</v>
      </c>
      <c r="CV78" s="484">
        <f t="shared" ca="1" si="159"/>
        <v>-4.2258405737535476E-2</v>
      </c>
      <c r="CW78" s="484">
        <f t="shared" ca="1" si="159"/>
        <v>-4.3493314224685165E-2</v>
      </c>
      <c r="CX78" s="484">
        <f t="shared" ca="1" si="159"/>
        <v>-4.3383519796922343E-2</v>
      </c>
      <c r="CZ78" s="502">
        <v>31.315868978080129</v>
      </c>
      <c r="DA78" s="502">
        <v>25.737795335236935</v>
      </c>
      <c r="DB78" s="502">
        <v>9.8370711323058373</v>
      </c>
      <c r="DC78" s="502">
        <v>2.7251149649204942</v>
      </c>
      <c r="DD78" s="502">
        <v>-12.668771256798198</v>
      </c>
      <c r="DE78" s="502">
        <v>-5.1770235010912984</v>
      </c>
      <c r="DF78" s="502">
        <v>-1.3730378209204828</v>
      </c>
      <c r="DG78" s="502">
        <v>8.1795795948294998</v>
      </c>
      <c r="DH78" s="502">
        <v>7.3970767057747979</v>
      </c>
      <c r="DI78" s="502">
        <v>7.4419557589351495</v>
      </c>
      <c r="DJ78" s="502">
        <v>7.3070119067216259</v>
      </c>
      <c r="DK78" s="502">
        <v>6.6575853768654421</v>
      </c>
      <c r="DL78" s="502">
        <v>6.5945010770188244</v>
      </c>
      <c r="DM78" s="502">
        <v>6.6268639189211207</v>
      </c>
      <c r="DN78" s="502">
        <v>6.6861841580227015</v>
      </c>
      <c r="DO78" s="502">
        <v>6.6096935028796242</v>
      </c>
      <c r="DP78" s="502">
        <v>6.7490416233063053</v>
      </c>
      <c r="DQ78" s="502">
        <v>6.7948909367717345</v>
      </c>
      <c r="DR78" s="502">
        <v>6.8585071335041912</v>
      </c>
      <c r="DS78" s="502">
        <v>6.9303585873936981</v>
      </c>
    </row>
    <row r="79" spans="1:123">
      <c r="A79" t="str">
        <f>A58</f>
        <v>Loonsom van de overheid</v>
      </c>
      <c r="E79" s="289" t="e">
        <f t="shared" ref="E79:AJ79" si="177">(E58-D58)/D58*100</f>
        <v>#DIV/0!</v>
      </c>
      <c r="F79" s="289">
        <f t="shared" si="177"/>
        <v>15.306122448979581</v>
      </c>
      <c r="G79" s="289">
        <f t="shared" si="177"/>
        <v>10.575220226186561</v>
      </c>
      <c r="H79" s="289">
        <f t="shared" si="177"/>
        <v>33.333333333333329</v>
      </c>
      <c r="I79" s="289">
        <f t="shared" si="177"/>
        <v>4.5000033201147138</v>
      </c>
      <c r="J79" s="289">
        <f t="shared" si="177"/>
        <v>11.483247088504339</v>
      </c>
      <c r="K79" s="289">
        <f t="shared" si="177"/>
        <v>12.446357076895669</v>
      </c>
      <c r="L79" s="289">
        <f t="shared" si="177"/>
        <v>33.206101599877492</v>
      </c>
      <c r="M79" s="289">
        <f t="shared" si="177"/>
        <v>2.8653302272551588</v>
      </c>
      <c r="N79" s="289">
        <f t="shared" si="177"/>
        <v>2.7855159954524127</v>
      </c>
      <c r="O79" s="289">
        <f t="shared" si="177"/>
        <v>14.363143295108854</v>
      </c>
      <c r="P79" s="289">
        <f t="shared" si="177"/>
        <v>8.0568696206843349</v>
      </c>
      <c r="Q79" s="289">
        <f t="shared" si="177"/>
        <v>18.859658064328894</v>
      </c>
      <c r="R79" s="289">
        <f t="shared" si="177"/>
        <v>5.7195531892152722</v>
      </c>
      <c r="S79" s="289">
        <f t="shared" si="177"/>
        <v>5.061079960157814</v>
      </c>
      <c r="T79" s="289">
        <f t="shared" si="177"/>
        <v>17.109640237858525</v>
      </c>
      <c r="U79" s="289">
        <f t="shared" si="177"/>
        <v>17.304960116402938</v>
      </c>
      <c r="V79" s="289">
        <f t="shared" si="177"/>
        <v>1.9347064134266763</v>
      </c>
      <c r="W79" s="289">
        <f t="shared" si="177"/>
        <v>15.183865929678261</v>
      </c>
      <c r="X79" s="289">
        <f t="shared" si="177"/>
        <v>2.4716773314989005</v>
      </c>
      <c r="Y79" s="289">
        <f t="shared" si="177"/>
        <v>13.56783771578502</v>
      </c>
      <c r="Z79" s="289">
        <f t="shared" si="177"/>
        <v>25.731709926569636</v>
      </c>
      <c r="AA79" s="289">
        <f t="shared" si="177"/>
        <v>19.839462323328906</v>
      </c>
      <c r="AB79" s="289">
        <f t="shared" si="177"/>
        <v>28.505952304746309</v>
      </c>
      <c r="AC79" s="289">
        <f t="shared" si="177"/>
        <v>15.735766925799302</v>
      </c>
      <c r="AD79" s="289">
        <f t="shared" si="177"/>
        <v>5.034604624192843</v>
      </c>
      <c r="AE79" s="289">
        <f t="shared" si="177"/>
        <v>1.936273962896824</v>
      </c>
      <c r="AF79" s="289">
        <f t="shared" si="177"/>
        <v>22.244847853290754</v>
      </c>
      <c r="AG79" s="289">
        <f t="shared" si="177"/>
        <v>25.422870575688943</v>
      </c>
      <c r="AH79" s="289">
        <f t="shared" si="177"/>
        <v>7.9704303456194197</v>
      </c>
      <c r="AI79" s="289">
        <f t="shared" si="177"/>
        <v>5.0819096748918366E-2</v>
      </c>
      <c r="AJ79" s="289">
        <f t="shared" si="177"/>
        <v>2.6091317285396705</v>
      </c>
      <c r="AK79" s="289">
        <f t="shared" ref="AK79:BD79" si="178">(AK58-AJ58)/AJ58*100</f>
        <v>6.4794379034487468</v>
      </c>
      <c r="AL79" s="289">
        <f t="shared" si="178"/>
        <v>14.998773173981833</v>
      </c>
      <c r="AM79" s="289">
        <f t="shared" si="178"/>
        <v>11.276595744680872</v>
      </c>
      <c r="AN79" s="289">
        <f t="shared" si="178"/>
        <v>7.6481835564053426</v>
      </c>
      <c r="AO79" s="289">
        <f t="shared" si="178"/>
        <v>-6.3783303730017673</v>
      </c>
      <c r="AP79" s="289">
        <f t="shared" si="178"/>
        <v>28.534026447096327</v>
      </c>
      <c r="AQ79" s="289">
        <f t="shared" si="178"/>
        <v>24.469733870610622</v>
      </c>
      <c r="AR79" s="289">
        <f t="shared" si="178"/>
        <v>18.39861491574467</v>
      </c>
      <c r="AS79" s="289">
        <f t="shared" si="178"/>
        <v>242.5652530998978</v>
      </c>
      <c r="AT79" s="289">
        <f t="shared" si="178"/>
        <v>283.93767688817172</v>
      </c>
      <c r="AU79" s="289">
        <f t="shared" si="178"/>
        <v>95.022613407820359</v>
      </c>
      <c r="AV79" s="289">
        <f t="shared" si="178"/>
        <v>34.530267230190681</v>
      </c>
      <c r="AW79" s="289">
        <f t="shared" si="178"/>
        <v>97.031539888682772</v>
      </c>
      <c r="AX79" s="289">
        <f t="shared" si="178"/>
        <v>40.718141870684228</v>
      </c>
      <c r="AY79" s="289">
        <f t="shared" si="178"/>
        <v>59.33780624899628</v>
      </c>
      <c r="AZ79" s="289">
        <f t="shared" si="178"/>
        <v>22.802972187536749</v>
      </c>
      <c r="BA79" s="289">
        <f t="shared" si="178"/>
        <v>76.825847215344695</v>
      </c>
      <c r="BB79" s="289">
        <f t="shared" si="178"/>
        <v>11.280044417997557</v>
      </c>
      <c r="BC79" s="289">
        <f t="shared" si="178"/>
        <v>7.7937751036229619</v>
      </c>
      <c r="BD79" s="289">
        <f t="shared" si="178"/>
        <v>7.8349953454605892</v>
      </c>
      <c r="BE79" s="289">
        <f t="shared" ref="BE79:BP79" si="179">(BE58-BD58)/BD58*100</f>
        <v>20.215382701056122</v>
      </c>
      <c r="BF79" s="289">
        <f t="shared" si="179"/>
        <v>14.82510186862512</v>
      </c>
      <c r="BG79" s="289">
        <f t="shared" si="179"/>
        <v>9.5481275437772428</v>
      </c>
      <c r="BH79" s="289">
        <f t="shared" si="179"/>
        <v>27.563869812778346</v>
      </c>
      <c r="BI79" s="289"/>
      <c r="BJ79" s="289">
        <f t="shared" si="179"/>
        <v>12.412685111131792</v>
      </c>
      <c r="BK79" s="289">
        <f>(BK58-BJ58)/BJ58*100</f>
        <v>8.8375851966714247</v>
      </c>
      <c r="BL79" s="289">
        <f t="shared" si="179"/>
        <v>19.025539677713606</v>
      </c>
      <c r="BM79" s="289">
        <f t="shared" si="179"/>
        <v>-3.5187432147646809</v>
      </c>
      <c r="BN79" s="289">
        <f t="shared" si="179"/>
        <v>12.787926926131854</v>
      </c>
      <c r="BO79" s="289">
        <f ca="1">(BO58-BN58)/BN58*100</f>
        <v>20.962450987774861</v>
      </c>
      <c r="BP79" s="289">
        <f t="shared" ca="1" si="179"/>
        <v>24.294056406262033</v>
      </c>
      <c r="BQ79" s="289">
        <f t="shared" ref="BQ79:CC79" ca="1" si="180">(BQ58-BP58)/BP58*100</f>
        <v>9.5523402451792592</v>
      </c>
      <c r="BR79" s="289">
        <f t="shared" ca="1" si="180"/>
        <v>4.6440320622427995</v>
      </c>
      <c r="BS79" s="289">
        <f t="shared" ca="1" si="180"/>
        <v>4.8725959021159841</v>
      </c>
      <c r="BT79" s="289">
        <f t="shared" ca="1" si="180"/>
        <v>5.1247118997366901</v>
      </c>
      <c r="BU79" s="289">
        <f t="shared" ca="1" si="180"/>
        <v>5.2239347145670507</v>
      </c>
      <c r="BV79" s="289">
        <f t="shared" ca="1" si="180"/>
        <v>5.0161754264667762</v>
      </c>
      <c r="BW79" s="289">
        <f t="shared" ca="1" si="180"/>
        <v>4.9771158450049047</v>
      </c>
      <c r="BX79" s="289">
        <f t="shared" ca="1" si="180"/>
        <v>4.9212316878113596</v>
      </c>
      <c r="BY79" s="289">
        <f t="shared" ca="1" si="180"/>
        <v>4.8827132553937282</v>
      </c>
      <c r="BZ79" s="289">
        <f t="shared" ca="1" si="180"/>
        <v>4.8689398009804785</v>
      </c>
      <c r="CA79" s="289">
        <f t="shared" ca="1" si="180"/>
        <v>4.6496251112433935</v>
      </c>
      <c r="CB79" s="289">
        <f t="shared" ca="1" si="180"/>
        <v>4.6311686582838671</v>
      </c>
      <c r="CC79" s="289">
        <f t="shared" ca="1" si="180"/>
        <v>4.6126218904400043</v>
      </c>
      <c r="CE79" s="485">
        <f t="shared" si="158"/>
        <v>0</v>
      </c>
      <c r="CF79" s="485">
        <f t="shared" si="158"/>
        <v>0</v>
      </c>
      <c r="CG79" s="485">
        <f t="shared" si="158"/>
        <v>0</v>
      </c>
      <c r="CH79" s="485">
        <f t="shared" si="158"/>
        <v>0</v>
      </c>
      <c r="CI79" s="485">
        <f t="shared" si="158"/>
        <v>0</v>
      </c>
      <c r="CJ79" s="485">
        <f t="shared" ca="1" si="158"/>
        <v>16.335942807274115</v>
      </c>
      <c r="CK79" s="485">
        <f t="shared" ca="1" si="158"/>
        <v>7.318541599316525</v>
      </c>
      <c r="CL79" s="485">
        <f t="shared" ca="1" si="158"/>
        <v>-8.5907482598472527</v>
      </c>
      <c r="CM79" s="485">
        <f t="shared" ca="1" si="158"/>
        <v>-2.0637890721630283</v>
      </c>
      <c r="CN79" s="485">
        <f t="shared" ca="1" si="158"/>
        <v>0.89345268558458679</v>
      </c>
      <c r="CO79" s="485">
        <f t="shared" ca="1" si="159"/>
        <v>1.9355877936507784</v>
      </c>
      <c r="CP79" s="485">
        <f t="shared" ca="1" si="159"/>
        <v>1.9479184872567195</v>
      </c>
      <c r="CQ79" s="485">
        <f t="shared" ca="1" si="159"/>
        <v>2.018292059947985</v>
      </c>
      <c r="CR79" s="485">
        <f t="shared" ca="1" si="159"/>
        <v>1.9969660284192621</v>
      </c>
      <c r="CS79" s="485">
        <f t="shared" ca="1" si="159"/>
        <v>1.9908691021564646</v>
      </c>
      <c r="CT79" s="485">
        <f t="shared" ca="1" si="159"/>
        <v>1.9998028092104123</v>
      </c>
      <c r="CU79" s="485">
        <f t="shared" ca="1" si="159"/>
        <v>2.0120860282808728</v>
      </c>
      <c r="CV79" s="485">
        <f t="shared" ca="1" si="159"/>
        <v>2.002254872986025</v>
      </c>
      <c r="CW79" s="485">
        <f t="shared" ca="1" si="159"/>
        <v>1.9832763659252279</v>
      </c>
      <c r="CX79" s="485">
        <f t="shared" ca="1" si="159"/>
        <v>1.9713570676793712</v>
      </c>
      <c r="CZ79" s="502">
        <v>12.412685111131792</v>
      </c>
      <c r="DA79" s="502">
        <v>8.8375851966714247</v>
      </c>
      <c r="DB79" s="502">
        <v>19.025539677713606</v>
      </c>
      <c r="DC79" s="502">
        <v>-3.5187432147646809</v>
      </c>
      <c r="DD79" s="502">
        <v>12.787926926131854</v>
      </c>
      <c r="DE79" s="502">
        <v>4.6265081805007462</v>
      </c>
      <c r="DF79" s="502">
        <v>16.975514806945508</v>
      </c>
      <c r="DG79" s="502">
        <v>18.143088505026512</v>
      </c>
      <c r="DH79" s="502">
        <v>6.7078211344058278</v>
      </c>
      <c r="DI79" s="502">
        <v>3.9791432165313974</v>
      </c>
      <c r="DJ79" s="502">
        <v>3.1891241060859117</v>
      </c>
      <c r="DK79" s="502">
        <v>3.2760162273103313</v>
      </c>
      <c r="DL79" s="502">
        <v>2.9978833665187912</v>
      </c>
      <c r="DM79" s="502">
        <v>2.9801498165856426</v>
      </c>
      <c r="DN79" s="502">
        <v>2.9303625856548949</v>
      </c>
      <c r="DO79" s="502">
        <v>2.8829104461833159</v>
      </c>
      <c r="DP79" s="502">
        <v>2.8568537726996057</v>
      </c>
      <c r="DQ79" s="502">
        <v>2.6473702382573685</v>
      </c>
      <c r="DR79" s="502">
        <v>2.6478922923586392</v>
      </c>
      <c r="DS79" s="502">
        <v>2.641264822760633</v>
      </c>
    </row>
    <row r="80" spans="1:123" hidden="1">
      <c r="E80" s="289"/>
      <c r="F80" s="289"/>
      <c r="G80" s="289"/>
      <c r="H80" s="289"/>
      <c r="I80" s="289"/>
      <c r="J80" s="289"/>
      <c r="K80" s="289"/>
      <c r="L80" s="289"/>
      <c r="M80" s="289"/>
      <c r="N80" s="289"/>
      <c r="O80" s="289"/>
      <c r="P80" s="289"/>
      <c r="Q80" s="289"/>
      <c r="R80" s="289"/>
      <c r="S80" s="289"/>
      <c r="T80" s="289"/>
      <c r="U80" s="289"/>
      <c r="V80" s="289"/>
      <c r="W80" s="289"/>
      <c r="X80" s="289"/>
      <c r="Y80" s="289"/>
      <c r="Z80" s="289"/>
      <c r="AA80" s="289"/>
      <c r="AB80" s="289"/>
      <c r="AC80" s="289"/>
      <c r="AD80" s="289"/>
      <c r="AE80" s="289"/>
      <c r="AF80" s="289"/>
      <c r="AG80" s="289"/>
      <c r="AH80" s="289"/>
      <c r="AI80" s="289"/>
      <c r="AJ80" s="289"/>
      <c r="AK80" s="289"/>
      <c r="AL80" s="289"/>
      <c r="AM80" s="289"/>
      <c r="AN80" s="289"/>
      <c r="AO80" s="289"/>
      <c r="AP80" s="289"/>
      <c r="AQ80" s="289"/>
      <c r="AR80" s="289"/>
      <c r="AS80" s="289"/>
      <c r="AT80" s="289"/>
      <c r="AU80" s="289"/>
      <c r="AV80" s="289"/>
      <c r="AW80" s="289"/>
      <c r="AX80" s="289"/>
      <c r="AY80" s="289"/>
      <c r="AZ80" s="289"/>
      <c r="BA80" s="289"/>
      <c r="BB80" s="289"/>
      <c r="BC80" s="289"/>
      <c r="BD80" s="289"/>
      <c r="BE80" s="289"/>
      <c r="BF80" s="289"/>
      <c r="BG80" s="289"/>
      <c r="BH80" s="289"/>
      <c r="BI80" s="289"/>
      <c r="BJ80" s="289"/>
      <c r="BK80" s="289"/>
      <c r="BL80" s="289"/>
      <c r="BM80" s="289"/>
      <c r="BN80" s="289"/>
      <c r="CY80"/>
    </row>
    <row r="81" spans="1:123" hidden="1"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CY81"/>
    </row>
    <row r="82" spans="1:123" hidden="1">
      <c r="E82" s="289"/>
      <c r="F82" s="289"/>
      <c r="G82" s="289"/>
      <c r="H82" s="289"/>
      <c r="I82" s="289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9"/>
      <c r="AD82" s="289"/>
      <c r="AE82" s="289"/>
      <c r="AF82" s="289"/>
      <c r="AG82" s="289"/>
      <c r="AH82" s="289"/>
      <c r="AI82" s="289"/>
      <c r="AJ82" s="289"/>
      <c r="AK82" s="289"/>
      <c r="AL82" s="289"/>
      <c r="AM82" s="289"/>
      <c r="AN82" s="289"/>
      <c r="AO82" s="289"/>
      <c r="AP82" s="289"/>
      <c r="AQ82" s="289"/>
      <c r="AR82" s="289"/>
      <c r="AS82" s="289"/>
      <c r="AT82" s="289"/>
      <c r="AU82" s="289"/>
      <c r="AV82" s="289"/>
      <c r="AW82" s="289"/>
      <c r="AX82" s="289"/>
      <c r="AY82" s="289"/>
      <c r="AZ82" s="289"/>
      <c r="BA82" s="289"/>
      <c r="BB82" s="289"/>
      <c r="BC82" s="289"/>
      <c r="BD82" s="289"/>
      <c r="BE82" s="289"/>
      <c r="BF82" s="289"/>
      <c r="BG82" s="289"/>
      <c r="BH82" s="289"/>
      <c r="BI82" s="289"/>
      <c r="BJ82" s="289"/>
      <c r="BK82" s="289"/>
      <c r="BL82" s="289"/>
      <c r="BM82" s="289"/>
      <c r="BN82" s="289"/>
      <c r="CY82"/>
    </row>
    <row r="83" spans="1:123" hidden="1">
      <c r="CY83"/>
    </row>
    <row r="84" spans="1:123" hidden="1">
      <c r="CY84"/>
    </row>
    <row r="85" spans="1:123" hidden="1">
      <c r="CY85"/>
    </row>
    <row r="86" spans="1:123" hidden="1">
      <c r="CY86"/>
    </row>
    <row r="87" spans="1:123" hidden="1">
      <c r="CY87"/>
    </row>
    <row r="88" spans="1:123" hidden="1">
      <c r="CY88"/>
    </row>
    <row r="89" spans="1:123" hidden="1">
      <c r="CY89"/>
    </row>
    <row r="90" spans="1:123" hidden="1">
      <c r="CY90"/>
    </row>
    <row r="91" spans="1:123" hidden="1">
      <c r="CY91"/>
    </row>
    <row r="92" spans="1:123">
      <c r="CY92"/>
    </row>
    <row r="93" spans="1:123">
      <c r="A93" t="str">
        <f>A23</f>
        <v>Tabel A</v>
      </c>
      <c r="CY93"/>
    </row>
    <row r="94" spans="1:123">
      <c r="A94" t="str">
        <f>A24</f>
        <v>Componenten BBP conform data Surya</v>
      </c>
      <c r="BJ94">
        <f>BJ24</f>
        <v>2011</v>
      </c>
      <c r="BK94">
        <f t="shared" ref="BK94:BP94" si="181">BK24</f>
        <v>2012</v>
      </c>
      <c r="BL94">
        <f t="shared" si="181"/>
        <v>2013</v>
      </c>
      <c r="BM94">
        <f t="shared" si="181"/>
        <v>2014</v>
      </c>
      <c r="BN94">
        <f t="shared" si="181"/>
        <v>2015</v>
      </c>
      <c r="BO94">
        <f t="shared" si="181"/>
        <v>2016</v>
      </c>
      <c r="BP94">
        <f t="shared" si="181"/>
        <v>2017</v>
      </c>
      <c r="BQ94">
        <f>BQ24</f>
        <v>2018</v>
      </c>
      <c r="BR94">
        <f>BR24</f>
        <v>2019</v>
      </c>
      <c r="BS94">
        <f>BS24</f>
        <v>2020</v>
      </c>
      <c r="BT94">
        <f>BT24</f>
        <v>2021</v>
      </c>
      <c r="BU94">
        <f t="shared" ref="BU94:CB94" si="182">BU24</f>
        <v>2022</v>
      </c>
      <c r="BV94">
        <f t="shared" si="182"/>
        <v>2023</v>
      </c>
      <c r="BW94">
        <f t="shared" si="182"/>
        <v>2024</v>
      </c>
      <c r="BX94">
        <f t="shared" si="182"/>
        <v>2025</v>
      </c>
      <c r="BY94">
        <f t="shared" si="182"/>
        <v>2026</v>
      </c>
      <c r="BZ94">
        <f t="shared" si="182"/>
        <v>2027</v>
      </c>
      <c r="CA94">
        <f t="shared" si="182"/>
        <v>2028</v>
      </c>
      <c r="CB94">
        <f t="shared" si="182"/>
        <v>2029</v>
      </c>
      <c r="CC94">
        <f>CC24</f>
        <v>2030</v>
      </c>
      <c r="CE94" s="485">
        <f t="shared" ref="CE94:CX94" si="183">BJ94</f>
        <v>2011</v>
      </c>
      <c r="CF94" s="485">
        <f t="shared" si="183"/>
        <v>2012</v>
      </c>
      <c r="CG94" s="485">
        <f t="shared" si="183"/>
        <v>2013</v>
      </c>
      <c r="CH94" s="485">
        <f t="shared" si="183"/>
        <v>2014</v>
      </c>
      <c r="CI94" s="485">
        <f t="shared" si="183"/>
        <v>2015</v>
      </c>
      <c r="CJ94" s="485">
        <f t="shared" si="183"/>
        <v>2016</v>
      </c>
      <c r="CK94" s="485">
        <f t="shared" si="183"/>
        <v>2017</v>
      </c>
      <c r="CL94" s="485">
        <f t="shared" si="183"/>
        <v>2018</v>
      </c>
      <c r="CM94" s="485">
        <f t="shared" si="183"/>
        <v>2019</v>
      </c>
      <c r="CN94" s="485">
        <f t="shared" si="183"/>
        <v>2020</v>
      </c>
      <c r="CO94" s="485">
        <f t="shared" si="183"/>
        <v>2021</v>
      </c>
      <c r="CP94" s="485">
        <f t="shared" si="183"/>
        <v>2022</v>
      </c>
      <c r="CQ94" s="485">
        <f t="shared" si="183"/>
        <v>2023</v>
      </c>
      <c r="CR94" s="485">
        <f t="shared" si="183"/>
        <v>2024</v>
      </c>
      <c r="CS94" s="485">
        <f t="shared" si="183"/>
        <v>2025</v>
      </c>
      <c r="CT94" s="485">
        <f t="shared" si="183"/>
        <v>2026</v>
      </c>
      <c r="CU94" s="485">
        <f t="shared" si="183"/>
        <v>2027</v>
      </c>
      <c r="CV94" s="485">
        <f t="shared" si="183"/>
        <v>2028</v>
      </c>
      <c r="CW94" s="485">
        <f t="shared" si="183"/>
        <v>2029</v>
      </c>
      <c r="CX94" s="485">
        <f t="shared" si="183"/>
        <v>2030</v>
      </c>
      <c r="CZ94" s="502">
        <v>2011</v>
      </c>
      <c r="DA94" s="502">
        <v>2012</v>
      </c>
      <c r="DB94" s="502">
        <v>2013</v>
      </c>
      <c r="DC94" s="502">
        <v>2014</v>
      </c>
      <c r="DD94" s="502">
        <v>2015</v>
      </c>
      <c r="DE94" s="502">
        <v>2016</v>
      </c>
      <c r="DF94" s="502">
        <v>2017</v>
      </c>
      <c r="DG94" s="502">
        <v>2018</v>
      </c>
      <c r="DH94" s="502">
        <v>2019</v>
      </c>
      <c r="DI94" s="502">
        <v>2020</v>
      </c>
      <c r="DJ94" s="502">
        <v>2021</v>
      </c>
      <c r="DK94" s="502">
        <v>2022</v>
      </c>
      <c r="DL94" s="502">
        <v>2023</v>
      </c>
      <c r="DM94" s="502">
        <v>2024</v>
      </c>
      <c r="DN94" s="502">
        <v>2025</v>
      </c>
      <c r="DO94" s="502">
        <v>2026</v>
      </c>
      <c r="DP94" s="502">
        <v>2027</v>
      </c>
      <c r="DQ94" s="502">
        <v>2028</v>
      </c>
      <c r="DR94" s="502">
        <v>2029</v>
      </c>
      <c r="DS94" s="502">
        <v>2030</v>
      </c>
    </row>
    <row r="95" spans="1:123">
      <c r="A95" s="326" t="str">
        <f>A26</f>
        <v>BBPmp</v>
      </c>
      <c r="B95" s="326" t="str">
        <f>B26</f>
        <v>BBPmp</v>
      </c>
      <c r="C95" s="326" t="str">
        <f>C26</f>
        <v>BBPmp</v>
      </c>
      <c r="D95" s="326">
        <f>D26</f>
        <v>0</v>
      </c>
      <c r="E95" s="326">
        <f>E26</f>
        <v>0.13586534573248304</v>
      </c>
      <c r="F95" s="326">
        <f t="shared" ref="F95:BB95" si="184">F26</f>
        <v>0.14185086350566717</v>
      </c>
      <c r="G95" s="326">
        <f t="shared" si="184"/>
        <v>0.15343199888797313</v>
      </c>
      <c r="H95" s="326">
        <f t="shared" si="184"/>
        <v>0.17724070015556495</v>
      </c>
      <c r="I95" s="326">
        <f t="shared" si="184"/>
        <v>0.18837748292073164</v>
      </c>
      <c r="J95" s="326">
        <f t="shared" si="184"/>
        <v>0.20780287304332629</v>
      </c>
      <c r="K95" s="326">
        <f t="shared" si="184"/>
        <v>0.22556155428735056</v>
      </c>
      <c r="L95" s="326">
        <f t="shared" si="184"/>
        <v>0.23593360914628436</v>
      </c>
      <c r="M95" s="326">
        <f t="shared" si="184"/>
        <v>0.24828982043012487</v>
      </c>
      <c r="N95" s="326">
        <f t="shared" si="184"/>
        <v>0.26493747745129564</v>
      </c>
      <c r="O95" s="326">
        <f t="shared" si="184"/>
        <v>0.29140250130304329</v>
      </c>
      <c r="P95" s="326">
        <f t="shared" si="184"/>
        <v>0.33374046186287498</v>
      </c>
      <c r="Q95" s="326">
        <f t="shared" si="184"/>
        <v>0.42151686122990173</v>
      </c>
      <c r="R95" s="326">
        <f t="shared" si="184"/>
        <v>0.48892385527099469</v>
      </c>
      <c r="S95" s="326">
        <f t="shared" si="184"/>
        <v>0.53559495364308884</v>
      </c>
      <c r="T95" s="326">
        <f t="shared" si="184"/>
        <v>0.55959145349276418</v>
      </c>
      <c r="U95" s="326">
        <f t="shared" si="184"/>
        <v>0.58938389379539635</v>
      </c>
      <c r="V95" s="326">
        <f t="shared" si="184"/>
        <v>0.64004679212186022</v>
      </c>
      <c r="W95" s="326">
        <f t="shared" si="184"/>
        <v>0.67391225237039776</v>
      </c>
      <c r="X95" s="326">
        <f t="shared" si="184"/>
        <v>0.72981900892488716</v>
      </c>
      <c r="Y95" s="326">
        <f t="shared" si="184"/>
        <v>0.88782266288243172</v>
      </c>
      <c r="Z95" s="326">
        <f t="shared" si="184"/>
        <v>1.0666470776089993</v>
      </c>
      <c r="AA95" s="326">
        <f t="shared" si="184"/>
        <v>1.1595554123383063</v>
      </c>
      <c r="AB95" s="326">
        <f t="shared" si="184"/>
        <v>1.4706075189374941</v>
      </c>
      <c r="AC95" s="326">
        <f t="shared" si="184"/>
        <v>1.6865036412243843</v>
      </c>
      <c r="AD95" s="326">
        <f t="shared" si="184"/>
        <v>1.7945749081650377</v>
      </c>
      <c r="AE95" s="326">
        <f t="shared" si="184"/>
        <v>1.8369870441817362</v>
      </c>
      <c r="AF95" s="326">
        <f t="shared" si="184"/>
        <v>2.0623064070163921</v>
      </c>
      <c r="AG95" s="326">
        <f t="shared" si="184"/>
        <v>2.1222001966893647</v>
      </c>
      <c r="AH95" s="326">
        <f t="shared" si="184"/>
        <v>2.0523391530789263</v>
      </c>
      <c r="AI95" s="326">
        <f t="shared" si="184"/>
        <v>2.004300109138605</v>
      </c>
      <c r="AJ95" s="326">
        <f t="shared" si="184"/>
        <v>2.0005860002869698</v>
      </c>
      <c r="AK95" s="326">
        <f t="shared" si="184"/>
        <v>2.0575526711946841</v>
      </c>
      <c r="AL95" s="326">
        <f t="shared" si="184"/>
        <v>2.2662250885593451</v>
      </c>
      <c r="AM95" s="326">
        <f t="shared" si="184"/>
        <v>2.6858092978059442</v>
      </c>
      <c r="AN95" s="326">
        <f t="shared" si="184"/>
        <v>3.1644858839028007</v>
      </c>
      <c r="AO95" s="326">
        <f t="shared" si="184"/>
        <v>4.0658461605290093</v>
      </c>
      <c r="AP95" s="326">
        <f t="shared" si="184"/>
        <v>4.816653807353914</v>
      </c>
      <c r="AQ95" s="326">
        <f t="shared" si="184"/>
        <v>6.2536149902572751</v>
      </c>
      <c r="AR95" s="326">
        <f t="shared" si="184"/>
        <v>14.059989839502361</v>
      </c>
      <c r="AS95" s="326">
        <f t="shared" si="184"/>
        <v>55.305189876195307</v>
      </c>
      <c r="AT95" s="326">
        <f t="shared" si="184"/>
        <v>265.49515866743866</v>
      </c>
      <c r="AU95" s="326">
        <f t="shared" si="184"/>
        <v>347.9857283727863</v>
      </c>
      <c r="AV95" s="326">
        <f t="shared" si="184"/>
        <v>393.81406831179174</v>
      </c>
      <c r="AW95" s="326">
        <f t="shared" si="184"/>
        <v>479.64843336586978</v>
      </c>
      <c r="AX95" s="326">
        <f t="shared" si="184"/>
        <v>892.1863583564583</v>
      </c>
      <c r="AY95" s="326">
        <f t="shared" si="184"/>
        <v>1480.4267514836502</v>
      </c>
      <c r="AZ95" s="326">
        <f t="shared" si="184"/>
        <v>2132.3433396373366</v>
      </c>
      <c r="BA95" s="326">
        <f t="shared" si="184"/>
        <v>2534.2449999999994</v>
      </c>
      <c r="BB95" s="326">
        <f t="shared" si="184"/>
        <v>3558.8736600000011</v>
      </c>
      <c r="BC95" s="326">
        <f t="shared" ref="BC95:BJ95" si="185">BC26</f>
        <v>4390.9120000000003</v>
      </c>
      <c r="BD95" s="326">
        <f t="shared" ca="1" si="185"/>
        <v>6053.5684619106387</v>
      </c>
      <c r="BE95" s="326">
        <f t="shared" ca="1" si="185"/>
        <v>7420.9359147840742</v>
      </c>
      <c r="BF95" s="326">
        <f t="shared" ca="1" si="185"/>
        <v>8426.0564134294327</v>
      </c>
      <c r="BG95" s="326">
        <f t="shared" ca="1" si="185"/>
        <v>9857.9833034972835</v>
      </c>
      <c r="BH95" s="326">
        <f t="shared" ca="1" si="185"/>
        <v>9809.4714818933317</v>
      </c>
      <c r="BI95" s="326">
        <f t="shared" ca="1" si="185"/>
        <v>12225.421392335058</v>
      </c>
      <c r="BJ95" s="326">
        <f t="shared" ca="1" si="185"/>
        <v>16133.355781955595</v>
      </c>
      <c r="BK95" s="326">
        <f t="shared" ref="BK95:BP95" ca="1" si="186">BK26</f>
        <v>17423.09860376388</v>
      </c>
      <c r="BL95" s="326">
        <f t="shared" ca="1" si="186"/>
        <v>17202.653420649618</v>
      </c>
      <c r="BM95" s="326">
        <f t="shared" ca="1" si="186"/>
        <v>17194.137000000002</v>
      </c>
      <c r="BN95" s="326">
        <f t="shared" ca="1" si="186"/>
        <v>17457.881129171292</v>
      </c>
      <c r="BO95" s="326">
        <f t="shared" ca="1" si="186"/>
        <v>21935.815383041267</v>
      </c>
      <c r="BP95" s="326">
        <f t="shared" ca="1" si="186"/>
        <v>27163.700026800016</v>
      </c>
      <c r="BQ95" s="326">
        <f ca="1">BQ26</f>
        <v>29859.825648072863</v>
      </c>
      <c r="BR95" s="326">
        <f ca="1">BR26</f>
        <v>30995.419134880551</v>
      </c>
      <c r="BS95" s="326">
        <f ca="1">BS26</f>
        <v>31947.692109834552</v>
      </c>
      <c r="BT95" s="326">
        <f ca="1">BT26</f>
        <v>33218.773650097864</v>
      </c>
      <c r="BU95" s="326">
        <f t="shared" ref="BU95:CB95" ca="1" si="187">BU26</f>
        <v>34578.925328158475</v>
      </c>
      <c r="BV95" s="326">
        <f t="shared" ca="1" si="187"/>
        <v>35983.981405857849</v>
      </c>
      <c r="BW95" s="326">
        <f t="shared" ca="1" si="187"/>
        <v>37441.609021964672</v>
      </c>
      <c r="BX95" s="326">
        <f t="shared" ca="1" si="187"/>
        <v>38954.086319982664</v>
      </c>
      <c r="BY95" s="326">
        <f t="shared" ca="1" si="187"/>
        <v>40862.83427900177</v>
      </c>
      <c r="BZ95" s="326">
        <f t="shared" ca="1" si="187"/>
        <v>42914.876751623713</v>
      </c>
      <c r="CA95" s="326">
        <f t="shared" ca="1" si="187"/>
        <v>45071.634411839266</v>
      </c>
      <c r="CB95" s="326">
        <f t="shared" ca="1" si="187"/>
        <v>47352.640054842974</v>
      </c>
      <c r="CC95" s="326">
        <f ca="1">CC26</f>
        <v>49769.325421278292</v>
      </c>
      <c r="CE95" s="485">
        <f t="shared" ref="CE95:CN101" ca="1" si="188">BJ95-CZ95</f>
        <v>78.973682431074849</v>
      </c>
      <c r="CF95" s="485">
        <f t="shared" ca="1" si="188"/>
        <v>69.904151876769902</v>
      </c>
      <c r="CG95" s="485">
        <f t="shared" ca="1" si="188"/>
        <v>63.988956130728184</v>
      </c>
      <c r="CH95" s="485">
        <f t="shared" ca="1" si="188"/>
        <v>0</v>
      </c>
      <c r="CI95" s="485">
        <f t="shared" ca="1" si="188"/>
        <v>101.35190038412838</v>
      </c>
      <c r="CJ95" s="485">
        <f t="shared" ca="1" si="188"/>
        <v>1761.4104946205516</v>
      </c>
      <c r="CK95" s="485">
        <f t="shared" ca="1" si="188"/>
        <v>3814.6719518812824</v>
      </c>
      <c r="CL95" s="485">
        <f t="shared" ca="1" si="188"/>
        <v>3648.3036695982883</v>
      </c>
      <c r="CM95" s="485">
        <f t="shared" ca="1" si="188"/>
        <v>3171.5828135642405</v>
      </c>
      <c r="CN95" s="485">
        <f t="shared" ca="1" si="188"/>
        <v>3103.7826507194441</v>
      </c>
      <c r="CO95" s="485">
        <f t="shared" ref="CO95:CX101" ca="1" si="189">BT95-DJ95</f>
        <v>3315.3694288750121</v>
      </c>
      <c r="CP95" s="485">
        <f t="shared" ca="1" si="189"/>
        <v>3634.8879437857249</v>
      </c>
      <c r="CQ95" s="485">
        <f t="shared" ca="1" si="189"/>
        <v>4002.7808668834841</v>
      </c>
      <c r="CR95" s="485">
        <f t="shared" ca="1" si="189"/>
        <v>4398.3773268731165</v>
      </c>
      <c r="CS95" s="485">
        <f t="shared" ca="1" si="189"/>
        <v>4818.8373409752894</v>
      </c>
      <c r="CT95" s="485">
        <f t="shared" ca="1" si="189"/>
        <v>5260.6985565491486</v>
      </c>
      <c r="CU95" s="485">
        <f t="shared" ca="1" si="189"/>
        <v>5742.6389255960385</v>
      </c>
      <c r="CV95" s="485">
        <f t="shared" ca="1" si="189"/>
        <v>6255.7855056727494</v>
      </c>
      <c r="CW95" s="485">
        <f t="shared" ca="1" si="189"/>
        <v>6801.9693584850174</v>
      </c>
      <c r="CX95" s="485">
        <f t="shared" ca="1" si="189"/>
        <v>7384.6984135132443</v>
      </c>
      <c r="CZ95" s="502">
        <v>16054.382099524521</v>
      </c>
      <c r="DA95" s="502">
        <v>17353.19445188711</v>
      </c>
      <c r="DB95" s="502">
        <v>17138.66446451889</v>
      </c>
      <c r="DC95" s="502">
        <v>17194.137000000002</v>
      </c>
      <c r="DD95" s="502">
        <v>17356.529228787163</v>
      </c>
      <c r="DE95" s="502">
        <v>20174.404888420715</v>
      </c>
      <c r="DF95" s="502">
        <v>23349.028074918733</v>
      </c>
      <c r="DG95" s="502">
        <v>26211.521978474575</v>
      </c>
      <c r="DH95" s="502">
        <v>27823.83632131631</v>
      </c>
      <c r="DI95" s="502">
        <v>28843.909459115108</v>
      </c>
      <c r="DJ95" s="502">
        <v>29903.404221222852</v>
      </c>
      <c r="DK95" s="502">
        <v>30944.03738437275</v>
      </c>
      <c r="DL95" s="502">
        <v>31981.200538974364</v>
      </c>
      <c r="DM95" s="502">
        <v>33043.231695091556</v>
      </c>
      <c r="DN95" s="502">
        <v>34135.248979007374</v>
      </c>
      <c r="DO95" s="502">
        <v>35602.135722452622</v>
      </c>
      <c r="DP95" s="502">
        <v>37172.237826027675</v>
      </c>
      <c r="DQ95" s="502">
        <v>38815.848906166517</v>
      </c>
      <c r="DR95" s="502">
        <v>40550.670696357956</v>
      </c>
      <c r="DS95" s="502">
        <v>42384.627007765048</v>
      </c>
    </row>
    <row r="96" spans="1:123">
      <c r="A96" t="str">
        <f t="shared" ref="A96:E97" si="190">A28</f>
        <v>Bruto toegevoegde waarde van bedrijven, mp nominaal</v>
      </c>
      <c r="B96" t="str">
        <f t="shared" si="190"/>
        <v>Bruto toegevoegde waarde van bedrijven, mp nominaal</v>
      </c>
      <c r="C96" t="str">
        <f t="shared" si="190"/>
        <v>Bruto toegevoegde waarde van bedrijven, mp nominaal</v>
      </c>
      <c r="D96">
        <f t="shared" si="190"/>
        <v>0</v>
      </c>
      <c r="E96" s="262">
        <f t="shared" si="190"/>
        <v>0.12436651150762101</v>
      </c>
      <c r="F96" s="262">
        <f t="shared" ref="F96:BB96" si="191">F28</f>
        <v>0.12859200363414258</v>
      </c>
      <c r="G96" s="262">
        <f t="shared" si="191"/>
        <v>0.13877098538555332</v>
      </c>
      <c r="H96" s="262">
        <f t="shared" si="191"/>
        <v>0.15769268215233856</v>
      </c>
      <c r="I96" s="262">
        <f t="shared" si="191"/>
        <v>0.16794980345834343</v>
      </c>
      <c r="J96" s="262">
        <f t="shared" si="191"/>
        <v>0.18502943267382441</v>
      </c>
      <c r="K96" s="262">
        <f t="shared" si="191"/>
        <v>0.19995365021076655</v>
      </c>
      <c r="L96" s="262">
        <f t="shared" si="191"/>
        <v>0.20182231842443071</v>
      </c>
      <c r="M96" s="262">
        <f t="shared" si="191"/>
        <v>0.21320112858431106</v>
      </c>
      <c r="N96" s="262">
        <f t="shared" si="191"/>
        <v>0.22887138448152169</v>
      </c>
      <c r="O96" s="262">
        <f t="shared" si="191"/>
        <v>0.2501561837190735</v>
      </c>
      <c r="P96" s="262">
        <f t="shared" si="191"/>
        <v>0.28917098224783133</v>
      </c>
      <c r="Q96" s="262">
        <f t="shared" si="191"/>
        <v>0.36854173015841007</v>
      </c>
      <c r="R96" s="262">
        <f t="shared" si="191"/>
        <v>0.43291878340081258</v>
      </c>
      <c r="S96" s="262">
        <f t="shared" si="191"/>
        <v>0.47675542030381296</v>
      </c>
      <c r="T96" s="262">
        <f t="shared" si="191"/>
        <v>0.49068468768150336</v>
      </c>
      <c r="U96" s="262">
        <f t="shared" si="191"/>
        <v>0.50855283964299369</v>
      </c>
      <c r="V96" s="262">
        <f t="shared" si="191"/>
        <v>0.55765189438073071</v>
      </c>
      <c r="W96" s="262">
        <f t="shared" si="191"/>
        <v>0.57900662382335955</v>
      </c>
      <c r="X96" s="262">
        <f t="shared" si="191"/>
        <v>0.63256761947073525</v>
      </c>
      <c r="Y96" s="262">
        <f t="shared" si="191"/>
        <v>0.77737636273079447</v>
      </c>
      <c r="Z96" s="262">
        <f t="shared" si="191"/>
        <v>0.92778105587771431</v>
      </c>
      <c r="AA96" s="262">
        <f t="shared" si="191"/>
        <v>0.99313911854573733</v>
      </c>
      <c r="AB96" s="262">
        <f t="shared" si="191"/>
        <v>1.2567526758090888</v>
      </c>
      <c r="AC96" s="262">
        <f t="shared" si="191"/>
        <v>1.4389970984217595</v>
      </c>
      <c r="AD96" s="262">
        <f t="shared" si="191"/>
        <v>1.5346073895132921</v>
      </c>
      <c r="AE96" s="262">
        <f t="shared" si="191"/>
        <v>1.571985842154348</v>
      </c>
      <c r="AF96" s="262">
        <f t="shared" si="191"/>
        <v>1.7383560907886197</v>
      </c>
      <c r="AG96" s="262">
        <f t="shared" si="191"/>
        <v>1.7158924108374705</v>
      </c>
      <c r="AH96" s="262">
        <f t="shared" si="191"/>
        <v>1.6136468881668786</v>
      </c>
      <c r="AI96" s="262">
        <f t="shared" si="191"/>
        <v>1.5653849047800215</v>
      </c>
      <c r="AJ96" s="262">
        <f t="shared" si="191"/>
        <v>1.5502189200700816</v>
      </c>
      <c r="AK96" s="262">
        <f t="shared" si="191"/>
        <v>1.5780043356775675</v>
      </c>
      <c r="AL96" s="262">
        <f t="shared" si="191"/>
        <v>1.714750385938411</v>
      </c>
      <c r="AM96" s="262">
        <f t="shared" si="191"/>
        <v>2.0721470223362664</v>
      </c>
      <c r="AN96" s="262">
        <f t="shared" si="191"/>
        <v>2.5038895911887882</v>
      </c>
      <c r="AO96" s="262">
        <f t="shared" si="191"/>
        <v>3.4473848817960984</v>
      </c>
      <c r="AP96" s="262">
        <f t="shared" si="191"/>
        <v>4.0217206237823042</v>
      </c>
      <c r="AQ96" s="262">
        <f t="shared" si="191"/>
        <v>5.2641637722165191</v>
      </c>
      <c r="AR96" s="262">
        <f t="shared" si="191"/>
        <v>12.88849330207514</v>
      </c>
      <c r="AS96" s="262">
        <f t="shared" si="191"/>
        <v>51.29204979770121</v>
      </c>
      <c r="AT96" s="262">
        <f t="shared" si="191"/>
        <v>250.08720187980026</v>
      </c>
      <c r="AU96" s="262">
        <f t="shared" si="191"/>
        <v>317.93672837278632</v>
      </c>
      <c r="AV96" s="262">
        <f t="shared" si="191"/>
        <v>353.38906831179173</v>
      </c>
      <c r="AW96" s="262">
        <f t="shared" si="191"/>
        <v>399.9984333658698</v>
      </c>
      <c r="AX96" s="262">
        <f t="shared" si="191"/>
        <v>780.10435835645831</v>
      </c>
      <c r="AY96" s="262">
        <f t="shared" si="191"/>
        <v>1301.8377514836502</v>
      </c>
      <c r="AZ96" s="262">
        <f t="shared" si="191"/>
        <v>1913.0307396373366</v>
      </c>
      <c r="BA96" s="262">
        <f t="shared" si="191"/>
        <v>2146.4436369999994</v>
      </c>
      <c r="BB96" s="262">
        <f t="shared" si="191"/>
        <v>3127.3281310000011</v>
      </c>
      <c r="BC96" s="262">
        <f t="shared" ref="BC96:BJ97" si="192">BC28</f>
        <v>3925.7327830000004</v>
      </c>
      <c r="BD96" s="262">
        <f t="shared" ca="1" si="192"/>
        <v>5551.9424749106383</v>
      </c>
      <c r="BE96" s="262">
        <f t="shared" ca="1" si="192"/>
        <v>6817.9043147840684</v>
      </c>
      <c r="BF96" s="262">
        <f t="shared" ca="1" si="192"/>
        <v>7733.6247644294363</v>
      </c>
      <c r="BG96" s="262">
        <f t="shared" ca="1" si="192"/>
        <v>9099.4373974972823</v>
      </c>
      <c r="BH96" s="262">
        <f t="shared" ca="1" si="192"/>
        <v>8841.8409698933301</v>
      </c>
      <c r="BI96" s="262">
        <f t="shared" ca="1" si="192"/>
        <v>11150.121392335055</v>
      </c>
      <c r="BJ96" s="262">
        <f t="shared" ca="1" si="192"/>
        <v>14924.582178955596</v>
      </c>
      <c r="BK96" s="262">
        <f t="shared" ref="BK96:BP96" ca="1" si="193">BK28</f>
        <v>16107.498603763881</v>
      </c>
      <c r="BL96" s="262">
        <f t="shared" ca="1" si="193"/>
        <v>15636.753420649618</v>
      </c>
      <c r="BM96" s="262">
        <f t="shared" ca="1" si="193"/>
        <v>15683.337000000001</v>
      </c>
      <c r="BN96" s="262">
        <f t="shared" ca="1" si="193"/>
        <v>15753.881129171294</v>
      </c>
      <c r="BO96" s="262">
        <f t="shared" ca="1" si="193"/>
        <v>19874.61521820959</v>
      </c>
      <c r="BP96" s="262">
        <f t="shared" ca="1" si="193"/>
        <v>24601.750731278164</v>
      </c>
      <c r="BQ96" s="262">
        <f t="shared" ref="BQ96:BT97" ca="1" si="194">BQ28</f>
        <v>27053.150238933795</v>
      </c>
      <c r="BR96" s="262">
        <f t="shared" ca="1" si="194"/>
        <v>28058.40081985798</v>
      </c>
      <c r="BS96" s="262">
        <f t="shared" ca="1" si="194"/>
        <v>28867.564760749796</v>
      </c>
      <c r="BT96" s="262">
        <f t="shared" ca="1" si="194"/>
        <v>29980.79864822753</v>
      </c>
      <c r="BU96" s="262">
        <f t="shared" ref="BU96:CB96" ca="1" si="195">BU28</f>
        <v>31171.800626116423</v>
      </c>
      <c r="BV96" s="262">
        <f t="shared" ca="1" si="195"/>
        <v>32405.949351762851</v>
      </c>
      <c r="BW96" s="262">
        <f t="shared" ca="1" si="195"/>
        <v>33685.494167565972</v>
      </c>
      <c r="BX96" s="262">
        <f t="shared" ca="1" si="195"/>
        <v>35013.124351138715</v>
      </c>
      <c r="BY96" s="262">
        <f t="shared" ca="1" si="195"/>
        <v>36729.446437715102</v>
      </c>
      <c r="BZ96" s="262">
        <f t="shared" ca="1" si="195"/>
        <v>38580.236744603797</v>
      </c>
      <c r="CA96" s="262">
        <f t="shared" ca="1" si="195"/>
        <v>40535.449894571029</v>
      </c>
      <c r="CB96" s="262">
        <f t="shared" ca="1" si="195"/>
        <v>42606.377181929172</v>
      </c>
      <c r="CC96" s="262">
        <f ca="1">CC28</f>
        <v>44804.135388110764</v>
      </c>
      <c r="CE96" s="485">
        <f t="shared" ca="1" si="188"/>
        <v>78.973682431074849</v>
      </c>
      <c r="CF96" s="485">
        <f t="shared" ca="1" si="188"/>
        <v>69.904151876769902</v>
      </c>
      <c r="CG96" s="485">
        <f t="shared" ca="1" si="188"/>
        <v>63.988956130728184</v>
      </c>
      <c r="CH96" s="485">
        <f t="shared" ca="1" si="188"/>
        <v>0</v>
      </c>
      <c r="CI96" s="485">
        <f t="shared" ca="1" si="188"/>
        <v>101.3519003841302</v>
      </c>
      <c r="CJ96" s="485">
        <f t="shared" ca="1" si="188"/>
        <v>1483.0460291846066</v>
      </c>
      <c r="CK96" s="485">
        <f t="shared" ca="1" si="188"/>
        <v>3338.2038938895894</v>
      </c>
      <c r="CL96" s="485">
        <f t="shared" ca="1" si="188"/>
        <v>3305.4802046701989</v>
      </c>
      <c r="CM96" s="485">
        <f t="shared" ca="1" si="188"/>
        <v>2863.687224186895</v>
      </c>
      <c r="CN96" s="485">
        <f t="shared" ca="1" si="188"/>
        <v>2757.394585871727</v>
      </c>
      <c r="CO96" s="485">
        <f t="shared" ca="1" si="189"/>
        <v>2898.3160497528806</v>
      </c>
      <c r="CP96" s="485">
        <f t="shared" ca="1" si="189"/>
        <v>3141.0987146128391</v>
      </c>
      <c r="CQ96" s="485">
        <f t="shared" ca="1" si="189"/>
        <v>3425.4226852097163</v>
      </c>
      <c r="CR96" s="485">
        <f t="shared" ca="1" si="189"/>
        <v>3732.3609218009624</v>
      </c>
      <c r="CS96" s="485">
        <f t="shared" ca="1" si="189"/>
        <v>4058.5249102768757</v>
      </c>
      <c r="CT96" s="485">
        <f t="shared" ca="1" si="189"/>
        <v>4399.6555311996963</v>
      </c>
      <c r="CU96" s="485">
        <f t="shared" ca="1" si="189"/>
        <v>4773.8298408431292</v>
      </c>
      <c r="CV96" s="485">
        <f t="shared" ca="1" si="189"/>
        <v>5174.5379167775609</v>
      </c>
      <c r="CW96" s="485">
        <f t="shared" ca="1" si="189"/>
        <v>5602.1264225762425</v>
      </c>
      <c r="CX96" s="485">
        <f t="shared" ca="1" si="189"/>
        <v>6059.5986596138391</v>
      </c>
      <c r="CZ96" s="502">
        <v>14845.608496524521</v>
      </c>
      <c r="DA96" s="502">
        <v>16037.594451887111</v>
      </c>
      <c r="DB96" s="502">
        <v>15572.76446451889</v>
      </c>
      <c r="DC96" s="502">
        <v>15683.337000000001</v>
      </c>
      <c r="DD96" s="502">
        <v>15652.529228787163</v>
      </c>
      <c r="DE96" s="502">
        <v>18391.569189024984</v>
      </c>
      <c r="DF96" s="502">
        <v>21263.546837388574</v>
      </c>
      <c r="DG96" s="502">
        <v>23747.670034263596</v>
      </c>
      <c r="DH96" s="502">
        <v>25194.713595671084</v>
      </c>
      <c r="DI96" s="502">
        <v>26110.170174878069</v>
      </c>
      <c r="DJ96" s="502">
        <v>27082.482598474649</v>
      </c>
      <c r="DK96" s="502">
        <v>28030.701911503584</v>
      </c>
      <c r="DL96" s="502">
        <v>28980.526666553134</v>
      </c>
      <c r="DM96" s="502">
        <v>29953.13324576501</v>
      </c>
      <c r="DN96" s="502">
        <v>30954.599440861839</v>
      </c>
      <c r="DO96" s="502">
        <v>32329.790906515405</v>
      </c>
      <c r="DP96" s="502">
        <v>33806.406903760668</v>
      </c>
      <c r="DQ96" s="502">
        <v>35360.911977793468</v>
      </c>
      <c r="DR96" s="502">
        <v>37004.25075935293</v>
      </c>
      <c r="DS96" s="502">
        <v>38744.536728496925</v>
      </c>
    </row>
    <row r="97" spans="1:123">
      <c r="A97" t="str">
        <f t="shared" si="190"/>
        <v>Consumptie</v>
      </c>
      <c r="B97" t="str">
        <f t="shared" si="190"/>
        <v>Consumptie</v>
      </c>
      <c r="C97" t="str">
        <f t="shared" si="190"/>
        <v>Consumptie</v>
      </c>
      <c r="D97">
        <f t="shared" si="190"/>
        <v>0</v>
      </c>
      <c r="E97" s="262">
        <f t="shared" si="190"/>
        <v>8.4387916010876432E-2</v>
      </c>
      <c r="F97" s="262">
        <f t="shared" ref="F97:BB97" si="196">F29</f>
        <v>9.1585227576184161E-2</v>
      </c>
      <c r="G97" s="262">
        <f t="shared" si="196"/>
        <v>9.6556819873227145E-2</v>
      </c>
      <c r="H97" s="262">
        <f t="shared" si="196"/>
        <v>0.10530300526049263</v>
      </c>
      <c r="I97" s="262">
        <f t="shared" si="196"/>
        <v>0.11793310994876074</v>
      </c>
      <c r="J97" s="262">
        <f t="shared" si="196"/>
        <v>0.13000186076196357</v>
      </c>
      <c r="K97" s="262">
        <f t="shared" si="196"/>
        <v>0.14395563257677543</v>
      </c>
      <c r="L97" s="262">
        <f t="shared" si="196"/>
        <v>0.14766171292476626</v>
      </c>
      <c r="M97" s="262">
        <f t="shared" si="196"/>
        <v>0.15518935511802484</v>
      </c>
      <c r="N97" s="262">
        <f t="shared" si="196"/>
        <v>0.16240167675859724</v>
      </c>
      <c r="O97" s="262">
        <f t="shared" si="196"/>
        <v>0.15948490254865488</v>
      </c>
      <c r="P97" s="262">
        <f t="shared" si="196"/>
        <v>0.18910365749832803</v>
      </c>
      <c r="Q97" s="262">
        <f t="shared" si="196"/>
        <v>0.23399445567269297</v>
      </c>
      <c r="R97" s="262">
        <f t="shared" si="196"/>
        <v>0.3075455131648549</v>
      </c>
      <c r="S97" s="262">
        <f t="shared" si="196"/>
        <v>0.32683325011317865</v>
      </c>
      <c r="T97" s="262">
        <f t="shared" si="196"/>
        <v>0.33750552022285008</v>
      </c>
      <c r="U97" s="262">
        <f t="shared" si="196"/>
        <v>0.35475207223712713</v>
      </c>
      <c r="V97" s="262">
        <f t="shared" si="196"/>
        <v>0.37252669306883268</v>
      </c>
      <c r="W97" s="262">
        <f t="shared" si="196"/>
        <v>0.37665626031859106</v>
      </c>
      <c r="X97" s="262">
        <f t="shared" si="196"/>
        <v>0.43640317685970509</v>
      </c>
      <c r="Y97" s="262">
        <f t="shared" si="196"/>
        <v>0.467591012426335</v>
      </c>
      <c r="Z97" s="262">
        <f t="shared" si="196"/>
        <v>0.57071802537435679</v>
      </c>
      <c r="AA97" s="262">
        <f t="shared" si="196"/>
        <v>0.70949614914445591</v>
      </c>
      <c r="AB97" s="262">
        <f t="shared" si="196"/>
        <v>0.98485270679624004</v>
      </c>
      <c r="AC97" s="262">
        <f t="shared" si="196"/>
        <v>1.1032722683997715</v>
      </c>
      <c r="AD97" s="262">
        <f t="shared" si="196"/>
        <v>1.1494070526012798</v>
      </c>
      <c r="AE97" s="262">
        <f t="shared" si="196"/>
        <v>1.1488265488410181</v>
      </c>
      <c r="AF97" s="262">
        <f t="shared" si="196"/>
        <v>1.3367699190446991</v>
      </c>
      <c r="AG97" s="262">
        <f t="shared" si="196"/>
        <v>1.4296782049036014</v>
      </c>
      <c r="AH97" s="262">
        <f t="shared" si="196"/>
        <v>1.4935309608767176</v>
      </c>
      <c r="AI97" s="262">
        <f t="shared" si="196"/>
        <v>1.411498888709759</v>
      </c>
      <c r="AJ97" s="262">
        <f t="shared" si="196"/>
        <v>1.3741306323368192</v>
      </c>
      <c r="AK97" s="262">
        <f t="shared" si="196"/>
        <v>1.4793001360690836</v>
      </c>
      <c r="AL97" s="262">
        <f t="shared" si="196"/>
        <v>1.7878717552493788</v>
      </c>
      <c r="AM97" s="262">
        <f t="shared" si="196"/>
        <v>2.2549940816315579</v>
      </c>
      <c r="AN97" s="262">
        <f t="shared" si="196"/>
        <v>3.0195203920217764</v>
      </c>
      <c r="AO97" s="262">
        <f t="shared" si="196"/>
        <v>4.2901754665713909</v>
      </c>
      <c r="AP97" s="262">
        <f t="shared" si="196"/>
        <v>5.9299549719541664</v>
      </c>
      <c r="AQ97" s="262">
        <f t="shared" si="196"/>
        <v>8.0000035077471043</v>
      </c>
      <c r="AR97" s="262">
        <f t="shared" si="196"/>
        <v>12.050517489132869</v>
      </c>
      <c r="AS97" s="262">
        <f t="shared" si="196"/>
        <v>-24.457509580914461</v>
      </c>
      <c r="AT97" s="262">
        <f t="shared" si="196"/>
        <v>175.51997003482518</v>
      </c>
      <c r="AU97" s="262">
        <f t="shared" si="196"/>
        <v>189.46955214778632</v>
      </c>
      <c r="AV97" s="262">
        <f t="shared" si="196"/>
        <v>256.50126331179166</v>
      </c>
      <c r="AW97" s="262">
        <f t="shared" si="196"/>
        <v>393.82353536586976</v>
      </c>
      <c r="AX97" s="262">
        <f t="shared" si="196"/>
        <v>608.27622618645842</v>
      </c>
      <c r="AY97" s="262">
        <f t="shared" si="196"/>
        <v>1005.13976608365</v>
      </c>
      <c r="AZ97" s="262">
        <f t="shared" si="196"/>
        <v>1357.3710436373365</v>
      </c>
      <c r="BA97" s="262">
        <f t="shared" si="196"/>
        <v>1768.7433219999994</v>
      </c>
      <c r="BB97" s="262">
        <f t="shared" si="196"/>
        <v>2306.0192940000006</v>
      </c>
      <c r="BC97" s="262">
        <f t="shared" si="192"/>
        <v>2584.4441919999999</v>
      </c>
      <c r="BD97" s="262">
        <f t="shared" ca="1" si="192"/>
        <v>3147.8469603306344</v>
      </c>
      <c r="BE97" s="262">
        <f t="shared" ca="1" si="192"/>
        <v>4270.2318036025717</v>
      </c>
      <c r="BF97" s="262">
        <f t="shared" ca="1" si="192"/>
        <v>4886.9684454294356</v>
      </c>
      <c r="BG97" s="262">
        <f t="shared" ca="1" si="192"/>
        <v>5725.2197170733871</v>
      </c>
      <c r="BH97" s="262">
        <f t="shared" ca="1" si="192"/>
        <v>5777.1656688370022</v>
      </c>
      <c r="BI97" s="262">
        <f t="shared" ca="1" si="192"/>
        <v>5853.9131327742198</v>
      </c>
      <c r="BJ97" s="355">
        <f t="shared" ca="1" si="192"/>
        <v>8591.0728171193787</v>
      </c>
      <c r="BK97" s="262">
        <f t="shared" ref="BK97:BP97" ca="1" si="197">BK29</f>
        <v>9587.9315448480866</v>
      </c>
      <c r="BL97" s="262">
        <f t="shared" ca="1" si="197"/>
        <v>10916.652678141369</v>
      </c>
      <c r="BM97" s="262">
        <f t="shared" ca="1" si="197"/>
        <v>11046.745767166027</v>
      </c>
      <c r="BN97" s="262">
        <f t="shared" ca="1" si="197"/>
        <v>11903.329333521473</v>
      </c>
      <c r="BO97" s="262">
        <f t="shared" ca="1" si="197"/>
        <v>14330.795581857576</v>
      </c>
      <c r="BP97" s="262">
        <f t="shared" ca="1" si="197"/>
        <v>17742.971706062857</v>
      </c>
      <c r="BQ97" s="262">
        <f t="shared" ca="1" si="194"/>
        <v>20133.477422083335</v>
      </c>
      <c r="BR97" s="262">
        <f t="shared" ca="1" si="194"/>
        <v>21251.071814482144</v>
      </c>
      <c r="BS97" s="262">
        <f t="shared" ca="1" si="194"/>
        <v>22051.733895062636</v>
      </c>
      <c r="BT97" s="262">
        <f t="shared" ca="1" si="194"/>
        <v>23010.159142793593</v>
      </c>
      <c r="BU97" s="262">
        <f t="shared" ref="BU97:CB97" ca="1" si="198">BU29</f>
        <v>24111.895540190559</v>
      </c>
      <c r="BV97" s="262">
        <f t="shared" ca="1" si="198"/>
        <v>25261.495809313546</v>
      </c>
      <c r="BW97" s="262">
        <f t="shared" ca="1" si="198"/>
        <v>26469.101609787853</v>
      </c>
      <c r="BX97" s="262">
        <f t="shared" ca="1" si="198"/>
        <v>27739.805010426553</v>
      </c>
      <c r="BY97" s="262">
        <f t="shared" ca="1" si="198"/>
        <v>29110.893348598125</v>
      </c>
      <c r="BZ97" s="262">
        <f t="shared" ca="1" si="198"/>
        <v>30603.806140323391</v>
      </c>
      <c r="CA97" s="262">
        <f t="shared" ca="1" si="198"/>
        <v>32178.894476511221</v>
      </c>
      <c r="CB97" s="262">
        <f t="shared" ca="1" si="198"/>
        <v>33852.624448439783</v>
      </c>
      <c r="CC97" s="262">
        <f ca="1">CC29</f>
        <v>35636.259237273895</v>
      </c>
      <c r="CE97" s="485">
        <f t="shared" ca="1" si="188"/>
        <v>-512.19743299175207</v>
      </c>
      <c r="CF97" s="485">
        <f t="shared" ca="1" si="188"/>
        <v>53.027843787935126</v>
      </c>
      <c r="CG97" s="485">
        <f t="shared" ca="1" si="188"/>
        <v>-8.7237510609302262</v>
      </c>
      <c r="CH97" s="485">
        <f t="shared" ca="1" si="188"/>
        <v>5.4037744878169178</v>
      </c>
      <c r="CI97" s="485">
        <f t="shared" ca="1" si="188"/>
        <v>421.55832416563862</v>
      </c>
      <c r="CJ97" s="485">
        <f t="shared" ca="1" si="188"/>
        <v>1327.235733462323</v>
      </c>
      <c r="CK97" s="485">
        <f t="shared" ca="1" si="188"/>
        <v>2670.6291490069598</v>
      </c>
      <c r="CL97" s="485">
        <f t="shared" ca="1" si="188"/>
        <v>3147.0151560695776</v>
      </c>
      <c r="CM97" s="485">
        <f t="shared" ca="1" si="188"/>
        <v>3025.3789869340944</v>
      </c>
      <c r="CN97" s="485">
        <f t="shared" ca="1" si="188"/>
        <v>2981.6558347398568</v>
      </c>
      <c r="CO97" s="485">
        <f t="shared" ca="1" si="189"/>
        <v>3149.3877547176307</v>
      </c>
      <c r="CP97" s="485">
        <f t="shared" ca="1" si="189"/>
        <v>3414.5951512490865</v>
      </c>
      <c r="CQ97" s="485">
        <f t="shared" ca="1" si="189"/>
        <v>3722.8892659323465</v>
      </c>
      <c r="CR97" s="485">
        <f t="shared" ca="1" si="189"/>
        <v>4055.6774846022636</v>
      </c>
      <c r="CS97" s="485">
        <f t="shared" ca="1" si="189"/>
        <v>4409.7737927513517</v>
      </c>
      <c r="CT97" s="485">
        <f t="shared" ca="1" si="189"/>
        <v>4793.1863473539997</v>
      </c>
      <c r="CU97" s="485">
        <f t="shared" ca="1" si="189"/>
        <v>5213.1150288103236</v>
      </c>
      <c r="CV97" s="485">
        <f t="shared" ca="1" si="189"/>
        <v>5662.2276938803916</v>
      </c>
      <c r="CW97" s="485">
        <f t="shared" ca="1" si="189"/>
        <v>6142.43269239035</v>
      </c>
      <c r="CX97" s="485">
        <f t="shared" ca="1" si="189"/>
        <v>6657.2006940353895</v>
      </c>
      <c r="CZ97" s="502">
        <v>9103.2702501111307</v>
      </c>
      <c r="DA97" s="502">
        <v>9534.9037010601514</v>
      </c>
      <c r="DB97" s="502">
        <v>10925.376429202299</v>
      </c>
      <c r="DC97" s="502">
        <v>11041.34199267821</v>
      </c>
      <c r="DD97" s="502">
        <v>11481.771009355834</v>
      </c>
      <c r="DE97" s="502">
        <v>13003.559848395253</v>
      </c>
      <c r="DF97" s="502">
        <v>15072.342557055897</v>
      </c>
      <c r="DG97" s="502">
        <v>16986.462266013757</v>
      </c>
      <c r="DH97" s="502">
        <v>18225.69282754805</v>
      </c>
      <c r="DI97" s="502">
        <v>19070.078060322779</v>
      </c>
      <c r="DJ97" s="502">
        <v>19860.771388075962</v>
      </c>
      <c r="DK97" s="502">
        <v>20697.300388941472</v>
      </c>
      <c r="DL97" s="502">
        <v>21538.6065433812</v>
      </c>
      <c r="DM97" s="502">
        <v>22413.424125185589</v>
      </c>
      <c r="DN97" s="502">
        <v>23330.031217675201</v>
      </c>
      <c r="DO97" s="502">
        <v>24317.707001244125</v>
      </c>
      <c r="DP97" s="502">
        <v>25390.691111513068</v>
      </c>
      <c r="DQ97" s="502">
        <v>26516.666782630829</v>
      </c>
      <c r="DR97" s="502">
        <v>27710.191756049433</v>
      </c>
      <c r="DS97" s="502">
        <v>28979.058543238505</v>
      </c>
    </row>
    <row r="98" spans="1:123">
      <c r="A98" s="326" t="str">
        <f>A32</f>
        <v>Investeringen</v>
      </c>
      <c r="B98" s="326" t="str">
        <f>B32</f>
        <v>Investeringen</v>
      </c>
      <c r="C98" s="326" t="str">
        <f>C32</f>
        <v>Investeringen</v>
      </c>
      <c r="D98" s="326">
        <f>D32</f>
        <v>0</v>
      </c>
      <c r="E98" s="326">
        <f>E32</f>
        <v>2.4570587598253639E-2</v>
      </c>
      <c r="F98" s="326">
        <f t="shared" ref="F98:BB98" si="199">F32</f>
        <v>2.6105881758370059E-2</v>
      </c>
      <c r="G98" s="326">
        <f t="shared" si="199"/>
        <v>3.0335293448243303E-2</v>
      </c>
      <c r="H98" s="326">
        <f t="shared" si="199"/>
        <v>4.1447055490706722E-2</v>
      </c>
      <c r="I98" s="326">
        <f t="shared" si="199"/>
        <v>4.2838233935584578E-2</v>
      </c>
      <c r="J98" s="326">
        <f t="shared" si="199"/>
        <v>4.5499995709620836E-2</v>
      </c>
      <c r="K98" s="326">
        <f t="shared" si="199"/>
        <v>5.2167640975470837E-2</v>
      </c>
      <c r="L98" s="326">
        <f t="shared" si="199"/>
        <v>5.4858817976926141E-2</v>
      </c>
      <c r="M98" s="326">
        <f t="shared" si="199"/>
        <v>6.0552938754207628E-2</v>
      </c>
      <c r="N98" s="326">
        <f t="shared" si="199"/>
        <v>6.7897057274370828E-2</v>
      </c>
      <c r="O98" s="326">
        <f t="shared" si="199"/>
        <v>0.12512940726597138</v>
      </c>
      <c r="P98" s="326">
        <f t="shared" si="199"/>
        <v>0.13250882328580227</v>
      </c>
      <c r="Q98" s="326">
        <f t="shared" si="199"/>
        <v>0.10305293630047656</v>
      </c>
      <c r="R98" s="326">
        <f t="shared" si="199"/>
        <v>8.5626462333980205E-2</v>
      </c>
      <c r="S98" s="326">
        <f t="shared" si="199"/>
        <v>8.798235022810183E-2</v>
      </c>
      <c r="T98" s="326">
        <f t="shared" si="199"/>
        <v>7.6961757773142361E-2</v>
      </c>
      <c r="U98" s="326">
        <f t="shared" si="199"/>
        <v>7.9291168255784278E-2</v>
      </c>
      <c r="V98" s="326">
        <f t="shared" si="199"/>
        <v>8.6188229140051156E-2</v>
      </c>
      <c r="W98" s="326">
        <f t="shared" si="199"/>
        <v>0.10323234474985761</v>
      </c>
      <c r="X98" s="326">
        <f t="shared" si="199"/>
        <v>0.12839410934956655</v>
      </c>
      <c r="Y98" s="326">
        <f t="shared" si="199"/>
        <v>0.21600881408796097</v>
      </c>
      <c r="Z98" s="326">
        <f t="shared" si="199"/>
        <v>0.29895029192109707</v>
      </c>
      <c r="AA98" s="326">
        <f t="shared" si="199"/>
        <v>0.19980761610961137</v>
      </c>
      <c r="AB98" s="326">
        <f t="shared" si="199"/>
        <v>0.28365321432748375</v>
      </c>
      <c r="AC98" s="326">
        <f t="shared" si="199"/>
        <v>0.26391908002081665</v>
      </c>
      <c r="AD98" s="326">
        <f t="shared" si="199"/>
        <v>0.24340614982513237</v>
      </c>
      <c r="AE98" s="326">
        <f t="shared" si="199"/>
        <v>0.33366026494829282</v>
      </c>
      <c r="AF98" s="326">
        <f t="shared" si="199"/>
        <v>0.43622230616946356</v>
      </c>
      <c r="AG98" s="326">
        <f t="shared" si="199"/>
        <v>0.38219347628177114</v>
      </c>
      <c r="AH98" s="326">
        <f t="shared" si="199"/>
        <v>0.19482555455891407</v>
      </c>
      <c r="AI98" s="326">
        <f t="shared" si="199"/>
        <v>0.14634233193538884</v>
      </c>
      <c r="AJ98" s="326">
        <f t="shared" si="199"/>
        <v>0.16408204675799867</v>
      </c>
      <c r="AK98" s="326">
        <f t="shared" si="199"/>
        <v>0.18621293255359278</v>
      </c>
      <c r="AL98" s="326">
        <f t="shared" si="199"/>
        <v>0.18691175557496875</v>
      </c>
      <c r="AM98" s="326">
        <f t="shared" si="199"/>
        <v>0.22873528838428273</v>
      </c>
      <c r="AN98" s="326">
        <f t="shared" si="199"/>
        <v>0.24848234205694592</v>
      </c>
      <c r="AO98" s="326">
        <f t="shared" si="199"/>
        <v>0.59678645065736202</v>
      </c>
      <c r="AP98" s="326">
        <f t="shared" si="199"/>
        <v>0.74918409268356589</v>
      </c>
      <c r="AQ98" s="326">
        <f t="shared" si="199"/>
        <v>1.084637328192154</v>
      </c>
      <c r="AR98" s="326">
        <f t="shared" si="199"/>
        <v>2.3570305034154773</v>
      </c>
      <c r="AS98" s="326">
        <f t="shared" si="199"/>
        <v>75.861340828533031</v>
      </c>
      <c r="AT98" s="326">
        <f t="shared" si="199"/>
        <v>60.515962673911901</v>
      </c>
      <c r="AU98" s="326">
        <f t="shared" si="199"/>
        <v>165.833386225</v>
      </c>
      <c r="AV98" s="326">
        <f t="shared" si="199"/>
        <v>123.273605</v>
      </c>
      <c r="AW98" s="326">
        <f t="shared" si="199"/>
        <v>67.166998000000007</v>
      </c>
      <c r="AX98" s="326">
        <f t="shared" si="199"/>
        <v>134.33605617000001</v>
      </c>
      <c r="AY98" s="326">
        <f t="shared" si="199"/>
        <v>201.73418939999999</v>
      </c>
      <c r="AZ98" s="326">
        <f t="shared" si="199"/>
        <v>502.28644600000001</v>
      </c>
      <c r="BA98" s="326">
        <f t="shared" si="199"/>
        <v>564.32130400000005</v>
      </c>
      <c r="BB98" s="326">
        <f t="shared" si="199"/>
        <v>1076.4351770000001</v>
      </c>
      <c r="BC98" s="326">
        <f t="shared" ref="BC98:BJ98" si="200">BC32</f>
        <v>1155.376591</v>
      </c>
      <c r="BD98" s="326">
        <f t="shared" si="200"/>
        <v>2215.72551458</v>
      </c>
      <c r="BE98" s="326">
        <f t="shared" si="200"/>
        <v>1801.7125111814998</v>
      </c>
      <c r="BF98" s="326">
        <f t="shared" si="200"/>
        <v>2160.9553190000001</v>
      </c>
      <c r="BG98" s="326">
        <f t="shared" ca="1" si="200"/>
        <v>2787.3366804238958</v>
      </c>
      <c r="BH98" s="326">
        <f t="shared" ca="1" si="200"/>
        <v>3029.0503010563252</v>
      </c>
      <c r="BI98" s="326">
        <f t="shared" ca="1" si="200"/>
        <v>3257.2832595608397</v>
      </c>
      <c r="BJ98" s="326">
        <f t="shared" ca="1" si="200"/>
        <v>4363.3593618362193</v>
      </c>
      <c r="BK98" s="326">
        <f t="shared" ref="BK98:BP98" ca="1" si="201">BK32</f>
        <v>5555.1020589157943</v>
      </c>
      <c r="BL98" s="326">
        <f t="shared" ca="1" si="201"/>
        <v>5123.7757425082518</v>
      </c>
      <c r="BM98" s="326">
        <f t="shared" ca="1" si="201"/>
        <v>5963.8612328339732</v>
      </c>
      <c r="BN98" s="326">
        <f t="shared" ca="1" si="201"/>
        <v>6445.685128983152</v>
      </c>
      <c r="BO98" s="326">
        <f t="shared" ca="1" si="201"/>
        <v>8292.6945674338513</v>
      </c>
      <c r="BP98" s="326">
        <f t="shared" ca="1" si="201"/>
        <v>8945.3582163925676</v>
      </c>
      <c r="BQ98" s="326">
        <f ca="1">BQ32</f>
        <v>9269.7763997373004</v>
      </c>
      <c r="BR98" s="326">
        <f ca="1">BR32</f>
        <v>9723.0371525419432</v>
      </c>
      <c r="BS98" s="326">
        <f ca="1">BS32</f>
        <v>10175.274357785935</v>
      </c>
      <c r="BT98" s="326">
        <f ca="1">BT32</f>
        <v>10834.731931426122</v>
      </c>
      <c r="BU98" s="326">
        <f t="shared" ref="BU98:CB98" ca="1" si="202">BU32</f>
        <v>11436.296486723255</v>
      </c>
      <c r="BV98" s="326">
        <f t="shared" ca="1" si="202"/>
        <v>12075.999981776737</v>
      </c>
      <c r="BW98" s="326">
        <f t="shared" ca="1" si="202"/>
        <v>12752.585867988506</v>
      </c>
      <c r="BX98" s="326">
        <f t="shared" ca="1" si="202"/>
        <v>13470.221556223751</v>
      </c>
      <c r="BY98" s="326">
        <f t="shared" ca="1" si="202"/>
        <v>14242.356673553288</v>
      </c>
      <c r="BZ98" s="326">
        <f t="shared" ca="1" si="202"/>
        <v>15081.780489027162</v>
      </c>
      <c r="CA98" s="326">
        <f t="shared" ca="1" si="202"/>
        <v>15982.657727544252</v>
      </c>
      <c r="CB98" s="326">
        <f t="shared" ca="1" si="202"/>
        <v>16945.663432361627</v>
      </c>
      <c r="CC98" s="326">
        <f ca="1">CC32</f>
        <v>17977.659655823765</v>
      </c>
      <c r="CE98" s="485">
        <f t="shared" ca="1" si="188"/>
        <v>5.521115422829098</v>
      </c>
      <c r="CF98" s="485">
        <f t="shared" ca="1" si="188"/>
        <v>-1.2136919111653697</v>
      </c>
      <c r="CG98" s="485">
        <f t="shared" ca="1" si="188"/>
        <v>-0.65229280833864323</v>
      </c>
      <c r="CH98" s="485">
        <f t="shared" ca="1" si="188"/>
        <v>-6.0737744878188096</v>
      </c>
      <c r="CI98" s="485">
        <f t="shared" ca="1" si="188"/>
        <v>1076.8866957766322</v>
      </c>
      <c r="CJ98" s="485">
        <f t="shared" ca="1" si="188"/>
        <v>2211.7072645223561</v>
      </c>
      <c r="CK98" s="485">
        <f t="shared" ca="1" si="188"/>
        <v>2723.142205284822</v>
      </c>
      <c r="CL98" s="485">
        <f t="shared" ca="1" si="188"/>
        <v>3134.274184221169</v>
      </c>
      <c r="CM98" s="485">
        <f t="shared" ca="1" si="188"/>
        <v>3218.1692242840163</v>
      </c>
      <c r="CN98" s="485">
        <f t="shared" ca="1" si="188"/>
        <v>3295.9104352238592</v>
      </c>
      <c r="CO98" s="485">
        <f t="shared" ca="1" si="189"/>
        <v>3453.3015957409179</v>
      </c>
      <c r="CP98" s="485">
        <f t="shared" ca="1" si="189"/>
        <v>3665.8772623302066</v>
      </c>
      <c r="CQ98" s="485">
        <f t="shared" ca="1" si="189"/>
        <v>3902.3496732121748</v>
      </c>
      <c r="CR98" s="485">
        <f t="shared" ca="1" si="189"/>
        <v>4155.3745709366904</v>
      </c>
      <c r="CS98" s="485">
        <f t="shared" ca="1" si="189"/>
        <v>4424.7371854191661</v>
      </c>
      <c r="CT98" s="485">
        <f t="shared" ca="1" si="189"/>
        <v>4716.2146818066103</v>
      </c>
      <c r="CU98" s="485">
        <f t="shared" ca="1" si="189"/>
        <v>5035.5967276915308</v>
      </c>
      <c r="CV98" s="485">
        <f t="shared" ca="1" si="189"/>
        <v>5380.8382999826626</v>
      </c>
      <c r="CW98" s="485">
        <f t="shared" ca="1" si="189"/>
        <v>5750.9566656627139</v>
      </c>
      <c r="CX98" s="485">
        <f t="shared" ca="1" si="189"/>
        <v>6148.6027211847049</v>
      </c>
      <c r="CZ98" s="502">
        <v>4357.8382464133902</v>
      </c>
      <c r="DA98" s="502">
        <v>5556.3157508269596</v>
      </c>
      <c r="DB98" s="502">
        <v>5124.4280353165905</v>
      </c>
      <c r="DC98" s="502">
        <v>5969.935007321792</v>
      </c>
      <c r="DD98" s="502">
        <v>5368.7984332065198</v>
      </c>
      <c r="DE98" s="502">
        <v>6080.9873029114951</v>
      </c>
      <c r="DF98" s="502">
        <v>6222.2160111077455</v>
      </c>
      <c r="DG98" s="502">
        <v>6135.5022155161314</v>
      </c>
      <c r="DH98" s="502">
        <v>6504.8679282579269</v>
      </c>
      <c r="DI98" s="502">
        <v>6879.3639225620755</v>
      </c>
      <c r="DJ98" s="502">
        <v>7381.4303356852042</v>
      </c>
      <c r="DK98" s="502">
        <v>7770.4192243930484</v>
      </c>
      <c r="DL98" s="502">
        <v>8173.6503085645618</v>
      </c>
      <c r="DM98" s="502">
        <v>8597.2112970518156</v>
      </c>
      <c r="DN98" s="502">
        <v>9045.4843708045846</v>
      </c>
      <c r="DO98" s="502">
        <v>9526.1419917466774</v>
      </c>
      <c r="DP98" s="502">
        <v>10046.183761335631</v>
      </c>
      <c r="DQ98" s="502">
        <v>10601.81942756159</v>
      </c>
      <c r="DR98" s="502">
        <v>11194.706766698913</v>
      </c>
      <c r="DS98" s="502">
        <v>11829.05693463906</v>
      </c>
    </row>
    <row r="99" spans="1:123">
      <c r="A99" s="326" t="str">
        <f>A35</f>
        <v>Exporten</v>
      </c>
      <c r="B99" s="326" t="str">
        <f>B35</f>
        <v>Exporten</v>
      </c>
      <c r="C99" s="326" t="str">
        <f>C35</f>
        <v>Exporten</v>
      </c>
      <c r="D99" s="326">
        <f>D35</f>
        <v>0</v>
      </c>
      <c r="E99" s="326">
        <f>E35</f>
        <v>6.2299999999999994E-2</v>
      </c>
      <c r="F99" s="326">
        <f t="shared" ref="F99:BB99" si="203">F35</f>
        <v>5.7500000000000002E-2</v>
      </c>
      <c r="G99" s="326">
        <f t="shared" si="203"/>
        <v>6.9500000000000006E-2</v>
      </c>
      <c r="H99" s="326">
        <f t="shared" si="203"/>
        <v>7.8E-2</v>
      </c>
      <c r="I99" s="326">
        <f t="shared" si="203"/>
        <v>7.3099998474121089E-2</v>
      </c>
      <c r="J99" s="326">
        <f t="shared" si="203"/>
        <v>0.09</v>
      </c>
      <c r="K99" s="326">
        <f t="shared" si="203"/>
        <v>9.8099998474121097E-2</v>
      </c>
      <c r="L99" s="326">
        <f t="shared" si="203"/>
        <v>9.4400001525878907E-2</v>
      </c>
      <c r="M99" s="326">
        <f t="shared" si="203"/>
        <v>9.5300003051757814E-2</v>
      </c>
      <c r="N99" s="326">
        <f t="shared" si="203"/>
        <v>0.1045</v>
      </c>
      <c r="O99" s="326">
        <f t="shared" si="203"/>
        <v>0.10880000305175781</v>
      </c>
      <c r="P99" s="326">
        <f t="shared" si="203"/>
        <v>0.13219999694824219</v>
      </c>
      <c r="Q99" s="326">
        <f t="shared" si="203"/>
        <v>0.19550000000000001</v>
      </c>
      <c r="R99" s="326">
        <f t="shared" si="203"/>
        <v>0.22380000305175782</v>
      </c>
      <c r="S99" s="326">
        <f t="shared" si="203"/>
        <v>0.24519999694824218</v>
      </c>
      <c r="T99" s="326">
        <f t="shared" si="203"/>
        <v>0.27970001220703122</v>
      </c>
      <c r="U99" s="326">
        <f t="shared" si="203"/>
        <v>0.29360000610351561</v>
      </c>
      <c r="V99" s="326">
        <f t="shared" si="203"/>
        <v>0.34010000610351565</v>
      </c>
      <c r="W99" s="326">
        <f t="shared" si="203"/>
        <v>0.36420001220703124</v>
      </c>
      <c r="X99" s="326">
        <f t="shared" si="203"/>
        <v>0.36049999999999999</v>
      </c>
      <c r="Y99" s="326">
        <f t="shared" si="203"/>
        <v>0.54340002441406254</v>
      </c>
      <c r="Z99" s="326">
        <f t="shared" si="203"/>
        <v>0.57770001220703127</v>
      </c>
      <c r="AA99" s="326">
        <f t="shared" si="203"/>
        <v>0.61790002441406255</v>
      </c>
      <c r="AB99" s="326">
        <f t="shared" si="203"/>
        <v>0.70720001220703121</v>
      </c>
      <c r="AC99" s="326">
        <f t="shared" si="203"/>
        <v>0.81359997558593755</v>
      </c>
      <c r="AD99" s="326">
        <f t="shared" si="203"/>
        <v>0.91670001220703123</v>
      </c>
      <c r="AE99" s="326">
        <f t="shared" si="203"/>
        <v>1.094199951171875</v>
      </c>
      <c r="AF99" s="326">
        <f t="shared" si="203"/>
        <v>1.0097999877929686</v>
      </c>
      <c r="AG99" s="326">
        <f t="shared" si="203"/>
        <v>0.90949999999999998</v>
      </c>
      <c r="AH99" s="326">
        <f t="shared" si="203"/>
        <v>0.77429998779296871</v>
      </c>
      <c r="AI99" s="326">
        <f t="shared" si="203"/>
        <v>0.7605999755859375</v>
      </c>
      <c r="AJ99" s="326">
        <f t="shared" si="203"/>
        <v>0.67140002441406255</v>
      </c>
      <c r="AK99" s="326">
        <f t="shared" si="203"/>
        <v>0.63870001220703121</v>
      </c>
      <c r="AL99" s="326">
        <f t="shared" si="203"/>
        <v>0.6932000122070312</v>
      </c>
      <c r="AM99" s="326">
        <f t="shared" si="203"/>
        <v>0.77120001220703127</v>
      </c>
      <c r="AN99" s="326">
        <f t="shared" si="203"/>
        <v>1.0049999999999999</v>
      </c>
      <c r="AO99" s="326">
        <f t="shared" si="203"/>
        <v>0.86860000000000004</v>
      </c>
      <c r="AP99" s="326">
        <f t="shared" si="203"/>
        <v>0.6573</v>
      </c>
      <c r="AQ99" s="326">
        <f t="shared" si="203"/>
        <v>0.64910000000000001</v>
      </c>
      <c r="AR99" s="326">
        <f t="shared" si="203"/>
        <v>14.860100000000001</v>
      </c>
      <c r="AS99" s="326">
        <f t="shared" si="203"/>
        <v>75.662499999999994</v>
      </c>
      <c r="AT99" s="326">
        <f t="shared" si="203"/>
        <v>229.46979999999999</v>
      </c>
      <c r="AU99" s="326">
        <f t="shared" si="203"/>
        <v>194.72927249999998</v>
      </c>
      <c r="AV99" s="326">
        <f t="shared" si="203"/>
        <v>197.89350000000002</v>
      </c>
      <c r="AW99" s="326">
        <f t="shared" si="203"/>
        <v>169.10169999999999</v>
      </c>
      <c r="AX99" s="326">
        <f t="shared" si="203"/>
        <v>446.37928099999999</v>
      </c>
      <c r="AY99" s="326">
        <f t="shared" si="203"/>
        <v>694.58854699999995</v>
      </c>
      <c r="AZ99" s="326">
        <f t="shared" si="203"/>
        <v>1081.4074000000001</v>
      </c>
      <c r="BA99" s="326">
        <f t="shared" si="203"/>
        <v>948.92817100000013</v>
      </c>
      <c r="BB99" s="326">
        <f t="shared" si="203"/>
        <v>1577.6179799999998</v>
      </c>
      <c r="BC99" s="326">
        <f t="shared" ref="BC99:BJ99" si="204">BC35</f>
        <v>2209.0720000000001</v>
      </c>
      <c r="BD99" s="326">
        <f t="shared" si="204"/>
        <v>2721.81</v>
      </c>
      <c r="BE99" s="326">
        <f t="shared" si="204"/>
        <v>3222.4375</v>
      </c>
      <c r="BF99" s="326">
        <f t="shared" si="204"/>
        <v>4426.3125</v>
      </c>
      <c r="BG99" s="326">
        <f t="shared" si="204"/>
        <v>5566.0365000000002</v>
      </c>
      <c r="BH99" s="326">
        <f t="shared" si="204"/>
        <v>4812.2250000000004</v>
      </c>
      <c r="BI99" s="326">
        <f t="shared" si="204"/>
        <v>7092.7749999999996</v>
      </c>
      <c r="BJ99" s="326">
        <f t="shared" si="204"/>
        <v>9255.35</v>
      </c>
      <c r="BK99" s="326">
        <f t="shared" ref="BK99:BP99" si="205">BK35</f>
        <v>9632.9250000000011</v>
      </c>
      <c r="BL99" s="326">
        <f t="shared" si="205"/>
        <v>8692.244999999999</v>
      </c>
      <c r="BM99" s="326">
        <f t="shared" si="205"/>
        <v>7892.6</v>
      </c>
      <c r="BN99" s="326">
        <f t="shared" si="205"/>
        <v>6564.66</v>
      </c>
      <c r="BO99" s="326">
        <f t="shared" si="205"/>
        <v>8376.9967090082737</v>
      </c>
      <c r="BP99" s="326">
        <f t="shared" si="205"/>
        <v>10407.497691725664</v>
      </c>
      <c r="BQ99" s="326">
        <f>BQ35</f>
        <v>11018.433951166948</v>
      </c>
      <c r="BR99" s="326">
        <f>BR35</f>
        <v>11032.689302980312</v>
      </c>
      <c r="BS99" s="326">
        <f>BS35</f>
        <v>11311.980682930598</v>
      </c>
      <c r="BT99" s="326">
        <f>BT35</f>
        <v>11791.364907209239</v>
      </c>
      <c r="BU99" s="326">
        <f t="shared" ref="BU99:CB99" si="206">BU35</f>
        <v>12296.032045253747</v>
      </c>
      <c r="BV99" s="326">
        <f t="shared" si="206"/>
        <v>12827.487111310771</v>
      </c>
      <c r="BW99" s="326">
        <f t="shared" si="206"/>
        <v>13387.337164035569</v>
      </c>
      <c r="BX99" s="326">
        <f t="shared" si="206"/>
        <v>13977.299110354521</v>
      </c>
      <c r="BY99" s="326">
        <f t="shared" si="206"/>
        <v>14868.266854415497</v>
      </c>
      <c r="BZ99" s="326">
        <f t="shared" si="206"/>
        <v>15823.161016363225</v>
      </c>
      <c r="CA99" s="326">
        <f t="shared" si="206"/>
        <v>16846.655877961584</v>
      </c>
      <c r="CB99" s="326">
        <f t="shared" si="206"/>
        <v>17943.774906339087</v>
      </c>
      <c r="CC99" s="326">
        <f>CC35</f>
        <v>19119.917527872225</v>
      </c>
      <c r="CE99" s="485">
        <f t="shared" si="188"/>
        <v>585.65000000000146</v>
      </c>
      <c r="CF99" s="485">
        <f t="shared" si="188"/>
        <v>18.090000000000146</v>
      </c>
      <c r="CG99" s="485">
        <f t="shared" si="188"/>
        <v>73.364999999997963</v>
      </c>
      <c r="CH99" s="485">
        <f t="shared" si="188"/>
        <v>0.67000000000098225</v>
      </c>
      <c r="CI99" s="485">
        <f t="shared" si="188"/>
        <v>-324.85966872003337</v>
      </c>
      <c r="CJ99" s="485">
        <f t="shared" si="188"/>
        <v>648.59678440964763</v>
      </c>
      <c r="CK99" s="485">
        <f t="shared" si="188"/>
        <v>1534.3317347708762</v>
      </c>
      <c r="CL99" s="485">
        <f t="shared" si="188"/>
        <v>751.13644812112761</v>
      </c>
      <c r="CM99" s="485">
        <f t="shared" si="188"/>
        <v>212.71361998159773</v>
      </c>
      <c r="CN99" s="485">
        <f t="shared" si="188"/>
        <v>24.109736596639777</v>
      </c>
      <c r="CO99" s="485">
        <f t="shared" si="189"/>
        <v>11.951736917950257</v>
      </c>
      <c r="CP99" s="485">
        <f t="shared" si="189"/>
        <v>-0.46041681468886964</v>
      </c>
      <c r="CQ99" s="485">
        <f t="shared" si="189"/>
        <v>-13.117811639829597</v>
      </c>
      <c r="CR99" s="485">
        <f t="shared" si="189"/>
        <v>-26.009548383399306</v>
      </c>
      <c r="CS99" s="485">
        <f t="shared" si="189"/>
        <v>-39.12251672070488</v>
      </c>
      <c r="CT99" s="485">
        <f t="shared" si="189"/>
        <v>-71.174912758819119</v>
      </c>
      <c r="CU99" s="485">
        <f t="shared" si="189"/>
        <v>-105.49081345548439</v>
      </c>
      <c r="CV99" s="485">
        <f t="shared" si="189"/>
        <v>-142.22662969151861</v>
      </c>
      <c r="CW99" s="485">
        <f t="shared" si="189"/>
        <v>-181.54927422809487</v>
      </c>
      <c r="CX99" s="485">
        <f t="shared" si="189"/>
        <v>-223.63683534806842</v>
      </c>
      <c r="CZ99" s="502">
        <v>8669.6999999999989</v>
      </c>
      <c r="DA99" s="502">
        <v>9614.8350000000009</v>
      </c>
      <c r="DB99" s="502">
        <v>8618.880000000001</v>
      </c>
      <c r="DC99" s="502">
        <v>7891.9299999999994</v>
      </c>
      <c r="DD99" s="502">
        <v>6889.5196687200332</v>
      </c>
      <c r="DE99" s="502">
        <v>7728.3999245986261</v>
      </c>
      <c r="DF99" s="502">
        <v>8873.1659569547883</v>
      </c>
      <c r="DG99" s="502">
        <v>10267.29750304582</v>
      </c>
      <c r="DH99" s="502">
        <v>10819.975682998715</v>
      </c>
      <c r="DI99" s="502">
        <v>11287.870946333958</v>
      </c>
      <c r="DJ99" s="502">
        <v>11779.413170291289</v>
      </c>
      <c r="DK99" s="502">
        <v>12296.492462068436</v>
      </c>
      <c r="DL99" s="502">
        <v>12840.604922950601</v>
      </c>
      <c r="DM99" s="502">
        <v>13413.346712418968</v>
      </c>
      <c r="DN99" s="502">
        <v>14016.421627075226</v>
      </c>
      <c r="DO99" s="502">
        <v>14939.441767174316</v>
      </c>
      <c r="DP99" s="502">
        <v>15928.651829818709</v>
      </c>
      <c r="DQ99" s="502">
        <v>16988.882507653103</v>
      </c>
      <c r="DR99" s="502">
        <v>18125.324180567182</v>
      </c>
      <c r="DS99" s="502">
        <v>19343.554363220293</v>
      </c>
    </row>
    <row r="100" spans="1:123">
      <c r="A100" s="326" t="str">
        <f>A37</f>
        <v>Importen</v>
      </c>
      <c r="B100" s="326" t="str">
        <f>B37</f>
        <v>Importen</v>
      </c>
      <c r="C100" s="326" t="str">
        <f>C37</f>
        <v>Importen</v>
      </c>
      <c r="D100" s="326">
        <f>D37</f>
        <v>0</v>
      </c>
      <c r="E100" s="326">
        <f>E37</f>
        <v>4.6891992101509052E-2</v>
      </c>
      <c r="F100" s="326">
        <f t="shared" ref="F100:BB100" si="207">F37</f>
        <v>4.6599105700411654E-2</v>
      </c>
      <c r="G100" s="326">
        <f t="shared" si="207"/>
        <v>5.7621127935917102E-2</v>
      </c>
      <c r="H100" s="326">
        <f t="shared" si="207"/>
        <v>6.7057378598860809E-2</v>
      </c>
      <c r="I100" s="326">
        <f t="shared" si="207"/>
        <v>6.5921538900122992E-2</v>
      </c>
      <c r="J100" s="326">
        <f t="shared" si="207"/>
        <v>8.0472423797760012E-2</v>
      </c>
      <c r="K100" s="326">
        <f t="shared" si="207"/>
        <v>9.4269621815600765E-2</v>
      </c>
      <c r="L100" s="326">
        <f t="shared" si="207"/>
        <v>9.5098214003140613E-2</v>
      </c>
      <c r="M100" s="326">
        <f t="shared" si="207"/>
        <v>9.7841168339679263E-2</v>
      </c>
      <c r="N100" s="326">
        <f t="shared" si="207"/>
        <v>0.10592734955144636</v>
      </c>
      <c r="O100" s="326">
        <f t="shared" si="207"/>
        <v>0.14325812914731056</v>
      </c>
      <c r="P100" s="326">
        <f t="shared" si="207"/>
        <v>0.16464149548454118</v>
      </c>
      <c r="Q100" s="326">
        <f t="shared" si="207"/>
        <v>0.16400566181475948</v>
      </c>
      <c r="R100" s="326">
        <f t="shared" si="207"/>
        <v>0.18405319514978039</v>
      </c>
      <c r="S100" s="326">
        <f t="shared" si="207"/>
        <v>0.18326017698570968</v>
      </c>
      <c r="T100" s="326">
        <f t="shared" si="207"/>
        <v>0.20348260252152023</v>
      </c>
      <c r="U100" s="326">
        <f t="shared" si="207"/>
        <v>0.21909040695343332</v>
      </c>
      <c r="V100" s="326">
        <f t="shared" si="207"/>
        <v>0.24116303393166888</v>
      </c>
      <c r="W100" s="326">
        <f t="shared" si="207"/>
        <v>0.26508199345212052</v>
      </c>
      <c r="X100" s="326">
        <f t="shared" si="207"/>
        <v>0.29272966673853645</v>
      </c>
      <c r="Y100" s="326">
        <f t="shared" si="207"/>
        <v>0.44962348819756415</v>
      </c>
      <c r="Z100" s="326">
        <f t="shared" si="207"/>
        <v>0.51958727362477075</v>
      </c>
      <c r="AA100" s="326">
        <f t="shared" si="207"/>
        <v>0.53406467112239253</v>
      </c>
      <c r="AB100" s="326">
        <f t="shared" si="207"/>
        <v>0.71895325752166617</v>
      </c>
      <c r="AC100" s="326">
        <f t="shared" si="207"/>
        <v>0.74179422558476626</v>
      </c>
      <c r="AD100" s="326">
        <f t="shared" si="207"/>
        <v>0.77490582512015138</v>
      </c>
      <c r="AE100" s="326">
        <f t="shared" si="207"/>
        <v>1.004700922806838</v>
      </c>
      <c r="AF100" s="326">
        <f t="shared" si="207"/>
        <v>1.0444361222185119</v>
      </c>
      <c r="AG100" s="326">
        <f t="shared" si="207"/>
        <v>1.0054792703479021</v>
      </c>
      <c r="AH100" s="326">
        <f t="shared" si="207"/>
        <v>0.84900961506172146</v>
      </c>
      <c r="AI100" s="326">
        <f t="shared" si="207"/>
        <v>0.75305629145106379</v>
      </c>
      <c r="AJ100" s="326">
        <f t="shared" si="207"/>
        <v>0.65939378343879884</v>
      </c>
      <c r="AK100" s="326">
        <f t="shared" si="207"/>
        <v>0.72620874515214018</v>
      </c>
      <c r="AL100" s="326">
        <f t="shared" si="207"/>
        <v>0.95323313709296775</v>
      </c>
      <c r="AM100" s="326">
        <f t="shared" si="207"/>
        <v>1.1827823598866058</v>
      </c>
      <c r="AN100" s="326">
        <f t="shared" si="207"/>
        <v>1.769113142889934</v>
      </c>
      <c r="AO100" s="326">
        <f t="shared" si="207"/>
        <v>2.3081770354326543</v>
      </c>
      <c r="AP100" s="326">
        <f t="shared" si="207"/>
        <v>3.3147184408554282</v>
      </c>
      <c r="AQ100" s="326">
        <f t="shared" si="207"/>
        <v>4.4695770637227392</v>
      </c>
      <c r="AR100" s="326">
        <f t="shared" si="207"/>
        <v>16.379154690473207</v>
      </c>
      <c r="AS100" s="326">
        <f t="shared" si="207"/>
        <v>75.774281449917353</v>
      </c>
      <c r="AT100" s="326">
        <f t="shared" si="207"/>
        <v>215.41853082893681</v>
      </c>
      <c r="AU100" s="326">
        <f t="shared" si="207"/>
        <v>232.09548249999997</v>
      </c>
      <c r="AV100" s="326">
        <f t="shared" si="207"/>
        <v>224.27929999999998</v>
      </c>
      <c r="AW100" s="326">
        <f t="shared" si="207"/>
        <v>230.09380000000002</v>
      </c>
      <c r="AX100" s="326">
        <f t="shared" si="207"/>
        <v>408.88720499999999</v>
      </c>
      <c r="AY100" s="326">
        <f t="shared" si="207"/>
        <v>599.62475099999995</v>
      </c>
      <c r="AZ100" s="326">
        <f t="shared" si="207"/>
        <v>1028.0341500000002</v>
      </c>
      <c r="BA100" s="326">
        <f t="shared" si="207"/>
        <v>1135.54916</v>
      </c>
      <c r="BB100" s="326">
        <f t="shared" si="207"/>
        <v>1832.7443199999998</v>
      </c>
      <c r="BC100" s="326">
        <f t="shared" ref="BC100:BJ100" si="208">BC37</f>
        <v>2023.16</v>
      </c>
      <c r="BD100" s="326">
        <f t="shared" si="208"/>
        <v>2533.44</v>
      </c>
      <c r="BE100" s="326">
        <f t="shared" si="208"/>
        <v>2476.4775</v>
      </c>
      <c r="BF100" s="326">
        <f t="shared" si="208"/>
        <v>3740.6114999999995</v>
      </c>
      <c r="BG100" s="326">
        <f t="shared" si="208"/>
        <v>4979.1555000000008</v>
      </c>
      <c r="BH100" s="326">
        <f t="shared" si="208"/>
        <v>4776.6000000000004</v>
      </c>
      <c r="BI100" s="326">
        <f t="shared" si="208"/>
        <v>5053.8500000000004</v>
      </c>
      <c r="BJ100" s="326">
        <f t="shared" si="208"/>
        <v>7285.2</v>
      </c>
      <c r="BK100" s="326">
        <f t="shared" ref="BK100:BP100" si="209">BK37</f>
        <v>8668.4599999999991</v>
      </c>
      <c r="BL100" s="326">
        <f t="shared" si="209"/>
        <v>9095.92</v>
      </c>
      <c r="BM100" s="326">
        <f t="shared" si="209"/>
        <v>9219.8700000000008</v>
      </c>
      <c r="BN100" s="326">
        <f t="shared" si="209"/>
        <v>9159.7933333333331</v>
      </c>
      <c r="BO100" s="326">
        <f t="shared" ca="1" si="209"/>
        <v>11125.87164009011</v>
      </c>
      <c r="BP100" s="326">
        <f t="shared" ca="1" si="209"/>
        <v>12494.076882902929</v>
      </c>
      <c r="BQ100" s="326">
        <f ca="1">BQ37</f>
        <v>13368.537534053798</v>
      </c>
      <c r="BR100" s="326">
        <f ca="1">BR37</f>
        <v>13948.397450146436</v>
      </c>
      <c r="BS100" s="326">
        <f ca="1">BS37</f>
        <v>14671.424175029395</v>
      </c>
      <c r="BT100" s="326">
        <f ca="1">BT37</f>
        <v>15655.457333201464</v>
      </c>
      <c r="BU100" s="326">
        <f t="shared" ref="BU100:CB100" ca="1" si="210">BU37</f>
        <v>16672.423446051169</v>
      </c>
      <c r="BV100" s="326">
        <f t="shared" ca="1" si="210"/>
        <v>17759.03355063824</v>
      </c>
      <c r="BW100" s="326">
        <f t="shared" ca="1" si="210"/>
        <v>18923.530474246021</v>
      </c>
      <c r="BX100" s="326">
        <f t="shared" ca="1" si="210"/>
        <v>20174.201325866234</v>
      </c>
      <c r="BY100" s="326">
        <f t="shared" ca="1" si="210"/>
        <v>21492.070438852017</v>
      </c>
      <c r="BZ100" s="326">
        <f t="shared" ca="1" si="210"/>
        <v>22928.51090111028</v>
      </c>
      <c r="CA100" s="326">
        <f t="shared" ca="1" si="210"/>
        <v>24472.758187446459</v>
      </c>
      <c r="CB100" s="326">
        <f t="shared" ca="1" si="210"/>
        <v>26135.685605211936</v>
      </c>
      <c r="CC100" s="326">
        <f ca="1">CC37</f>
        <v>27929.701032860012</v>
      </c>
      <c r="CE100" s="485">
        <f t="shared" si="188"/>
        <v>0</v>
      </c>
      <c r="CF100" s="485">
        <f t="shared" si="188"/>
        <v>0</v>
      </c>
      <c r="CG100" s="485">
        <f t="shared" si="188"/>
        <v>0</v>
      </c>
      <c r="CH100" s="485">
        <f t="shared" si="188"/>
        <v>0</v>
      </c>
      <c r="CI100" s="485">
        <f t="shared" si="188"/>
        <v>1072.2334508381082</v>
      </c>
      <c r="CJ100" s="485">
        <f t="shared" ca="1" si="188"/>
        <v>2704.4937532097229</v>
      </c>
      <c r="CK100" s="485">
        <f t="shared" ca="1" si="188"/>
        <v>3589.8991951730768</v>
      </c>
      <c r="CL100" s="485">
        <f t="shared" ca="1" si="188"/>
        <v>3726.9455837416972</v>
      </c>
      <c r="CM100" s="485">
        <f t="shared" ca="1" si="188"/>
        <v>3592.5746070128316</v>
      </c>
      <c r="CN100" s="485">
        <f t="shared" ca="1" si="188"/>
        <v>3544.2814206886742</v>
      </c>
      <c r="CO100" s="485">
        <f t="shared" ca="1" si="189"/>
        <v>3716.3250376237065</v>
      </c>
      <c r="CP100" s="485">
        <f t="shared" ca="1" si="189"/>
        <v>3938.9132821518615</v>
      </c>
      <c r="CQ100" s="485">
        <f t="shared" ca="1" si="189"/>
        <v>4186.6984422950954</v>
      </c>
      <c r="CR100" s="485">
        <f t="shared" ca="1" si="189"/>
        <v>4452.6815853547469</v>
      </c>
      <c r="CS100" s="485">
        <f t="shared" ca="1" si="189"/>
        <v>4736.8635511731372</v>
      </c>
      <c r="CT100" s="485">
        <f t="shared" ca="1" si="189"/>
        <v>5038.5705852023057</v>
      </c>
      <c r="CU100" s="485">
        <f t="shared" ca="1" si="189"/>
        <v>5369.3911022034299</v>
      </c>
      <c r="CV100" s="485">
        <f t="shared" ca="1" si="189"/>
        <v>5726.3014473941403</v>
      </c>
      <c r="CW100" s="485">
        <f t="shared" ca="1" si="189"/>
        <v>6109.7136612488612</v>
      </c>
      <c r="CX100" s="485">
        <f t="shared" ca="1" si="189"/>
        <v>6522.5679202584106</v>
      </c>
      <c r="CZ100" s="502">
        <v>7285.2</v>
      </c>
      <c r="DA100" s="502">
        <v>8668.4599999999991</v>
      </c>
      <c r="DB100" s="502">
        <v>9095.92</v>
      </c>
      <c r="DC100" s="502">
        <v>9219.8700000000008</v>
      </c>
      <c r="DD100" s="502">
        <v>8087.5598824952249</v>
      </c>
      <c r="DE100" s="502">
        <v>8421.3778868803875</v>
      </c>
      <c r="DF100" s="502">
        <v>8904.1776877298526</v>
      </c>
      <c r="DG100" s="502">
        <v>9641.5919503121004</v>
      </c>
      <c r="DH100" s="502">
        <v>10355.822843133605</v>
      </c>
      <c r="DI100" s="502">
        <v>11127.142754340721</v>
      </c>
      <c r="DJ100" s="502">
        <v>11939.132295577758</v>
      </c>
      <c r="DK100" s="502">
        <v>12733.510163899307</v>
      </c>
      <c r="DL100" s="502">
        <v>13572.335108343144</v>
      </c>
      <c r="DM100" s="502">
        <v>14470.848888891274</v>
      </c>
      <c r="DN100" s="502">
        <v>15437.337774693096</v>
      </c>
      <c r="DO100" s="502">
        <v>16453.499853649711</v>
      </c>
      <c r="DP100" s="502">
        <v>17559.11979890685</v>
      </c>
      <c r="DQ100" s="502">
        <v>18746.456740052319</v>
      </c>
      <c r="DR100" s="502">
        <v>20025.971943963075</v>
      </c>
      <c r="DS100" s="502">
        <v>21407.133112601601</v>
      </c>
    </row>
    <row r="101" spans="1:123">
      <c r="A101" s="326" t="str">
        <f>A41</f>
        <v>Loonsom van de overheid</v>
      </c>
      <c r="B101" s="326" t="str">
        <f>B41</f>
        <v>LOWN</v>
      </c>
      <c r="C101" s="326">
        <f>C41</f>
        <v>0</v>
      </c>
      <c r="D101" s="326">
        <f>D41</f>
        <v>0</v>
      </c>
      <c r="E101" s="326">
        <f>E41</f>
        <v>1.1498834224862036E-2</v>
      </c>
      <c r="F101" s="326">
        <f t="shared" ref="F101:BB101" si="211">F41</f>
        <v>1.3258859871524592E-2</v>
      </c>
      <c r="G101" s="326">
        <f t="shared" si="211"/>
        <v>1.4661013502419794E-2</v>
      </c>
      <c r="H101" s="326">
        <f t="shared" si="211"/>
        <v>1.9548018003226392E-2</v>
      </c>
      <c r="I101" s="326">
        <f t="shared" si="211"/>
        <v>2.0427679462388201E-2</v>
      </c>
      <c r="J101" s="326">
        <f t="shared" si="211"/>
        <v>2.2773440369501893E-2</v>
      </c>
      <c r="K101" s="326">
        <f t="shared" si="211"/>
        <v>2.5607904076584007E-2</v>
      </c>
      <c r="L101" s="326">
        <f t="shared" si="211"/>
        <v>3.4111290721853663E-2</v>
      </c>
      <c r="M101" s="326">
        <f t="shared" si="211"/>
        <v>3.508869184581382E-2</v>
      </c>
      <c r="N101" s="326">
        <f t="shared" si="211"/>
        <v>3.606609296977397E-2</v>
      </c>
      <c r="O101" s="326">
        <f t="shared" si="211"/>
        <v>4.1246317583969787E-2</v>
      </c>
      <c r="P101" s="326">
        <f t="shared" si="211"/>
        <v>4.4569479615043629E-2</v>
      </c>
      <c r="Q101" s="326">
        <f t="shared" si="211"/>
        <v>5.2975131071491627E-2</v>
      </c>
      <c r="R101" s="326">
        <f t="shared" si="211"/>
        <v>5.6005071870182097E-2</v>
      </c>
      <c r="S101" s="326">
        <f t="shared" si="211"/>
        <v>5.8839533339275864E-2</v>
      </c>
      <c r="T101" s="326">
        <f t="shared" si="211"/>
        <v>6.8906765811260789E-2</v>
      </c>
      <c r="U101" s="326">
        <f t="shared" si="211"/>
        <v>8.0831054152402645E-2</v>
      </c>
      <c r="V101" s="326">
        <f t="shared" si="211"/>
        <v>8.2394897741129569E-2</v>
      </c>
      <c r="W101" s="326">
        <f t="shared" si="211"/>
        <v>9.4905628547038184E-2</v>
      </c>
      <c r="X101" s="326">
        <f t="shared" si="211"/>
        <v>9.7251389454151876E-2</v>
      </c>
      <c r="Y101" s="326">
        <f t="shared" si="211"/>
        <v>0.11044630015163727</v>
      </c>
      <c r="Z101" s="326">
        <f t="shared" si="211"/>
        <v>0.13886602173128501</v>
      </c>
      <c r="AA101" s="326">
        <f t="shared" si="211"/>
        <v>0.16641629379256903</v>
      </c>
      <c r="AB101" s="326">
        <f t="shared" si="211"/>
        <v>0.21385484312840525</v>
      </c>
      <c r="AC101" s="326">
        <f t="shared" si="211"/>
        <v>0.24750654280262482</v>
      </c>
      <c r="AD101" s="326">
        <f t="shared" si="211"/>
        <v>0.25996751865174561</v>
      </c>
      <c r="AE101" s="326">
        <f t="shared" si="211"/>
        <v>0.26500120202738831</v>
      </c>
      <c r="AF101" s="326">
        <f t="shared" si="211"/>
        <v>0.32395031622777248</v>
      </c>
      <c r="AG101" s="326">
        <f t="shared" si="211"/>
        <v>0.40630778585189414</v>
      </c>
      <c r="AH101" s="326">
        <f t="shared" si="211"/>
        <v>0.43869226491204788</v>
      </c>
      <c r="AI101" s="326">
        <f t="shared" si="211"/>
        <v>0.43891520435858355</v>
      </c>
      <c r="AJ101" s="326">
        <f t="shared" si="211"/>
        <v>0.45036708021688809</v>
      </c>
      <c r="AK101" s="326">
        <f t="shared" si="211"/>
        <v>0.47954833551711656</v>
      </c>
      <c r="AL101" s="326">
        <f t="shared" si="211"/>
        <v>0.55147470262093423</v>
      </c>
      <c r="AM101" s="326">
        <f t="shared" si="211"/>
        <v>0.613662275469678</v>
      </c>
      <c r="AN101" s="326">
        <f t="shared" si="211"/>
        <v>0.66059629271401277</v>
      </c>
      <c r="AO101" s="326">
        <f t="shared" si="211"/>
        <v>0.61846127873291123</v>
      </c>
      <c r="AP101" s="326">
        <f t="shared" si="211"/>
        <v>0.79493318357161025</v>
      </c>
      <c r="AQ101" s="326">
        <f t="shared" si="211"/>
        <v>0.98945121804075586</v>
      </c>
      <c r="AR101" s="326">
        <f t="shared" si="211"/>
        <v>1.1714965374272197</v>
      </c>
      <c r="AS101" s="326">
        <f t="shared" si="211"/>
        <v>4.0131400784940938</v>
      </c>
      <c r="AT101" s="326">
        <f t="shared" si="211"/>
        <v>15.407956787638373</v>
      </c>
      <c r="AU101" s="326">
        <f t="shared" si="211"/>
        <v>30.048999999999999</v>
      </c>
      <c r="AV101" s="326">
        <f t="shared" si="211"/>
        <v>40.424999999999997</v>
      </c>
      <c r="AW101" s="326">
        <f t="shared" si="211"/>
        <v>79.650000000000006</v>
      </c>
      <c r="AX101" s="326">
        <f t="shared" si="211"/>
        <v>112.08199999999999</v>
      </c>
      <c r="AY101" s="326">
        <f t="shared" si="211"/>
        <v>178.589</v>
      </c>
      <c r="AZ101" s="326">
        <f t="shared" si="211"/>
        <v>219.3126</v>
      </c>
      <c r="BA101" s="326">
        <f t="shared" si="211"/>
        <v>387.80136300000004</v>
      </c>
      <c r="BB101" s="326">
        <f t="shared" si="211"/>
        <v>431.54552899999999</v>
      </c>
      <c r="BC101" s="326">
        <f t="shared" ref="BC101:BJ101" si="212">BC41</f>
        <v>465.17921699999999</v>
      </c>
      <c r="BD101" s="326">
        <f t="shared" si="212"/>
        <v>501.62598700000001</v>
      </c>
      <c r="BE101" s="326">
        <f t="shared" si="212"/>
        <v>603.03160000000003</v>
      </c>
      <c r="BF101" s="326">
        <f t="shared" si="212"/>
        <v>692.43164899999999</v>
      </c>
      <c r="BG101" s="326">
        <f t="shared" si="212"/>
        <v>758.54590599999995</v>
      </c>
      <c r="BH101" s="326">
        <f t="shared" si="212"/>
        <v>967.63051199999995</v>
      </c>
      <c r="BI101" s="326">
        <f t="shared" si="212"/>
        <v>1075.3</v>
      </c>
      <c r="BJ101" s="326">
        <f t="shared" si="212"/>
        <v>1208.7736030000001</v>
      </c>
      <c r="BK101" s="326">
        <f t="shared" ref="BK101:BP101" si="213">BK41</f>
        <v>1315.6</v>
      </c>
      <c r="BL101" s="326">
        <f t="shared" si="213"/>
        <v>1565.9</v>
      </c>
      <c r="BM101" s="326">
        <f t="shared" si="213"/>
        <v>1510.8</v>
      </c>
      <c r="BN101" s="326">
        <f t="shared" si="213"/>
        <v>1704</v>
      </c>
      <c r="BO101" s="326">
        <f t="shared" ca="1" si="213"/>
        <v>2061.2001648316837</v>
      </c>
      <c r="BP101" s="326">
        <f t="shared" ca="1" si="213"/>
        <v>2561.9492955218589</v>
      </c>
      <c r="BQ101" s="326">
        <f ca="1">BQ41</f>
        <v>2806.6754091390799</v>
      </c>
      <c r="BR101" s="326">
        <f ca="1">BR41</f>
        <v>2937.018315022583</v>
      </c>
      <c r="BS101" s="326">
        <f ca="1">BS41</f>
        <v>3080.1273490847693</v>
      </c>
      <c r="BT101" s="326">
        <f ca="1">BT41</f>
        <v>3237.9750018703608</v>
      </c>
      <c r="BU101" s="326">
        <f t="shared" ref="BU101:CB101" ca="1" si="214">BU41</f>
        <v>3407.1247020420697</v>
      </c>
      <c r="BV101" s="326">
        <f t="shared" ca="1" si="214"/>
        <v>3578.0320540949833</v>
      </c>
      <c r="BW101" s="326">
        <f t="shared" ca="1" si="214"/>
        <v>3756.1148543986992</v>
      </c>
      <c r="BX101" s="326">
        <f t="shared" ca="1" si="214"/>
        <v>3940.9619688439575</v>
      </c>
      <c r="BY101" s="326">
        <f t="shared" ca="1" si="214"/>
        <v>4133.3878412867271</v>
      </c>
      <c r="BZ101" s="326">
        <f t="shared" ca="1" si="214"/>
        <v>4334.6400070200243</v>
      </c>
      <c r="CA101" s="326">
        <f t="shared" ca="1" si="214"/>
        <v>4536.1845172684298</v>
      </c>
      <c r="CB101" s="326">
        <f t="shared" ca="1" si="214"/>
        <v>4746.2628729140906</v>
      </c>
      <c r="CC101" s="326">
        <f ca="1">CC41</f>
        <v>4965.1900331679526</v>
      </c>
      <c r="CE101" s="485">
        <f t="shared" si="188"/>
        <v>0</v>
      </c>
      <c r="CF101" s="485">
        <f t="shared" si="188"/>
        <v>0</v>
      </c>
      <c r="CG101" s="485">
        <f t="shared" si="188"/>
        <v>0</v>
      </c>
      <c r="CH101" s="485">
        <f t="shared" si="188"/>
        <v>0</v>
      </c>
      <c r="CI101" s="485">
        <f t="shared" si="188"/>
        <v>0</v>
      </c>
      <c r="CJ101" s="485">
        <f t="shared" ca="1" si="188"/>
        <v>278.36446543595093</v>
      </c>
      <c r="CK101" s="485">
        <f t="shared" ca="1" si="188"/>
        <v>476.46805799169306</v>
      </c>
      <c r="CL101" s="485">
        <f t="shared" ca="1" si="188"/>
        <v>342.82346492809393</v>
      </c>
      <c r="CM101" s="485">
        <f t="shared" ca="1" si="188"/>
        <v>307.89558937734364</v>
      </c>
      <c r="CN101" s="485">
        <f t="shared" ca="1" si="188"/>
        <v>346.38806484773204</v>
      </c>
      <c r="CO101" s="485">
        <f t="shared" ca="1" si="189"/>
        <v>417.05337912217965</v>
      </c>
      <c r="CP101" s="485">
        <f t="shared" ca="1" si="189"/>
        <v>493.78922917295222</v>
      </c>
      <c r="CQ101" s="485">
        <f t="shared" ca="1" si="189"/>
        <v>577.35818167383104</v>
      </c>
      <c r="CR101" s="485">
        <f t="shared" ca="1" si="189"/>
        <v>666.01640507225466</v>
      </c>
      <c r="CS101" s="485">
        <f t="shared" ca="1" si="189"/>
        <v>760.31243069854872</v>
      </c>
      <c r="CT101" s="485">
        <f t="shared" ca="1" si="189"/>
        <v>861.0430253496429</v>
      </c>
      <c r="CU101" s="485">
        <f t="shared" ca="1" si="189"/>
        <v>968.80908475310162</v>
      </c>
      <c r="CV101" s="485">
        <f t="shared" ca="1" si="189"/>
        <v>1081.2475888953491</v>
      </c>
      <c r="CW101" s="485">
        <f t="shared" ca="1" si="189"/>
        <v>1199.8429359087668</v>
      </c>
      <c r="CX101" s="485">
        <f t="shared" ca="1" si="189"/>
        <v>1325.0997538991373</v>
      </c>
      <c r="CZ101" s="502">
        <v>1208.7736030000001</v>
      </c>
      <c r="DA101" s="502">
        <v>1315.6</v>
      </c>
      <c r="DB101" s="502">
        <v>1565.9</v>
      </c>
      <c r="DC101" s="502">
        <v>1510.8</v>
      </c>
      <c r="DD101" s="502">
        <v>1704</v>
      </c>
      <c r="DE101" s="502">
        <v>1782.8356993957327</v>
      </c>
      <c r="DF101" s="502">
        <v>2085.4812375301658</v>
      </c>
      <c r="DG101" s="502">
        <v>2463.8519442109859</v>
      </c>
      <c r="DH101" s="502">
        <v>2629.1227256452394</v>
      </c>
      <c r="DI101" s="502">
        <v>2733.7392842370373</v>
      </c>
      <c r="DJ101" s="502">
        <v>2820.9216227481811</v>
      </c>
      <c r="DK101" s="502">
        <v>2913.3354728691174</v>
      </c>
      <c r="DL101" s="502">
        <v>3000.6738724211523</v>
      </c>
      <c r="DM101" s="502">
        <v>3090.0984493264446</v>
      </c>
      <c r="DN101" s="502">
        <v>3180.6495381454088</v>
      </c>
      <c r="DO101" s="502">
        <v>3272.3448159370841</v>
      </c>
      <c r="DP101" s="502">
        <v>3365.8309222669227</v>
      </c>
      <c r="DQ101" s="502">
        <v>3454.9369283730807</v>
      </c>
      <c r="DR101" s="502">
        <v>3546.4199370053238</v>
      </c>
      <c r="DS101" s="502">
        <v>3640.0902792688153</v>
      </c>
    </row>
    <row r="102" spans="1:123">
      <c r="A102" s="326"/>
    </row>
    <row r="103" spans="1:123">
      <c r="A103" s="326" t="str">
        <f>A43</f>
        <v>Tabel B</v>
      </c>
    </row>
    <row r="104" spans="1:123">
      <c r="A104" s="326" t="str">
        <f>A44</f>
        <v>Componenten BBP conform data BBP ABS</v>
      </c>
      <c r="B104" s="326">
        <f t="shared" ref="B104:BB104" si="215">B44</f>
        <v>0</v>
      </c>
      <c r="C104" s="326">
        <f t="shared" si="215"/>
        <v>0</v>
      </c>
      <c r="D104" s="326">
        <f t="shared" si="215"/>
        <v>0</v>
      </c>
      <c r="E104" s="326">
        <f t="shared" si="215"/>
        <v>0</v>
      </c>
      <c r="F104" s="326">
        <f t="shared" si="215"/>
        <v>0</v>
      </c>
      <c r="G104" s="326">
        <f t="shared" si="215"/>
        <v>0</v>
      </c>
      <c r="H104" s="326">
        <f t="shared" si="215"/>
        <v>0</v>
      </c>
      <c r="I104" s="326">
        <f t="shared" si="215"/>
        <v>0</v>
      </c>
      <c r="J104" s="326">
        <f t="shared" si="215"/>
        <v>0</v>
      </c>
      <c r="K104" s="326">
        <f t="shared" si="215"/>
        <v>0</v>
      </c>
      <c r="L104" s="326">
        <f t="shared" si="215"/>
        <v>0</v>
      </c>
      <c r="M104" s="326">
        <f t="shared" si="215"/>
        <v>0</v>
      </c>
      <c r="N104" s="326">
        <f t="shared" si="215"/>
        <v>0</v>
      </c>
      <c r="O104" s="326">
        <f t="shared" si="215"/>
        <v>0</v>
      </c>
      <c r="P104" s="326">
        <f t="shared" si="215"/>
        <v>0</v>
      </c>
      <c r="Q104" s="326">
        <f t="shared" si="215"/>
        <v>0</v>
      </c>
      <c r="R104" s="326">
        <f t="shared" si="215"/>
        <v>0</v>
      </c>
      <c r="S104" s="326">
        <f t="shared" si="215"/>
        <v>0</v>
      </c>
      <c r="T104" s="326">
        <f t="shared" si="215"/>
        <v>0</v>
      </c>
      <c r="U104" s="326">
        <f t="shared" si="215"/>
        <v>0</v>
      </c>
      <c r="V104" s="326">
        <f t="shared" si="215"/>
        <v>0</v>
      </c>
      <c r="W104" s="326">
        <f t="shared" si="215"/>
        <v>0</v>
      </c>
      <c r="X104" s="326">
        <f t="shared" si="215"/>
        <v>0</v>
      </c>
      <c r="Y104" s="326">
        <f t="shared" si="215"/>
        <v>0</v>
      </c>
      <c r="Z104" s="326">
        <f t="shared" si="215"/>
        <v>0</v>
      </c>
      <c r="AA104" s="326">
        <f t="shared" si="215"/>
        <v>0</v>
      </c>
      <c r="AB104" s="326">
        <f t="shared" si="215"/>
        <v>0</v>
      </c>
      <c r="AC104" s="326">
        <f t="shared" si="215"/>
        <v>0</v>
      </c>
      <c r="AD104" s="326">
        <f t="shared" si="215"/>
        <v>0</v>
      </c>
      <c r="AE104" s="326">
        <f t="shared" si="215"/>
        <v>0</v>
      </c>
      <c r="AF104" s="326">
        <f t="shared" si="215"/>
        <v>0</v>
      </c>
      <c r="AG104" s="326">
        <f t="shared" si="215"/>
        <v>0</v>
      </c>
      <c r="AH104" s="326">
        <f t="shared" si="215"/>
        <v>0</v>
      </c>
      <c r="AI104" s="326">
        <f t="shared" si="215"/>
        <v>0</v>
      </c>
      <c r="AJ104" s="326">
        <f t="shared" si="215"/>
        <v>0</v>
      </c>
      <c r="AK104" s="326">
        <f t="shared" si="215"/>
        <v>0</v>
      </c>
      <c r="AL104" s="326">
        <f t="shared" si="215"/>
        <v>0</v>
      </c>
      <c r="AM104" s="326">
        <f t="shared" si="215"/>
        <v>0</v>
      </c>
      <c r="AN104" s="326">
        <f t="shared" si="215"/>
        <v>0</v>
      </c>
      <c r="AO104" s="326">
        <f t="shared" si="215"/>
        <v>0</v>
      </c>
      <c r="AP104" s="326">
        <f t="shared" si="215"/>
        <v>0</v>
      </c>
      <c r="AQ104" s="326">
        <f t="shared" si="215"/>
        <v>0</v>
      </c>
      <c r="AR104" s="326">
        <f t="shared" si="215"/>
        <v>0</v>
      </c>
      <c r="AS104" s="326">
        <f t="shared" si="215"/>
        <v>0</v>
      </c>
      <c r="AT104" s="326">
        <f t="shared" si="215"/>
        <v>0</v>
      </c>
      <c r="AU104" s="326">
        <f t="shared" si="215"/>
        <v>0</v>
      </c>
      <c r="AV104" s="326">
        <f t="shared" si="215"/>
        <v>0</v>
      </c>
      <c r="AW104" s="326">
        <f t="shared" si="215"/>
        <v>0</v>
      </c>
      <c r="AX104" s="326">
        <f t="shared" si="215"/>
        <v>0</v>
      </c>
      <c r="AY104" s="326">
        <f t="shared" si="215"/>
        <v>0</v>
      </c>
      <c r="AZ104" s="326">
        <f t="shared" si="215"/>
        <v>0</v>
      </c>
      <c r="BA104" s="326">
        <f t="shared" si="215"/>
        <v>0</v>
      </c>
      <c r="BB104" s="326">
        <f t="shared" si="215"/>
        <v>0</v>
      </c>
      <c r="BC104" s="326">
        <f t="shared" ref="BC104:BE107" si="216">BC44</f>
        <v>0</v>
      </c>
      <c r="BD104" s="326">
        <f t="shared" si="216"/>
        <v>0</v>
      </c>
      <c r="BE104" s="326">
        <f t="shared" si="216"/>
        <v>0</v>
      </c>
      <c r="BF104" s="326">
        <f t="shared" ref="BF104:BP104" si="217">BF44</f>
        <v>0</v>
      </c>
      <c r="BG104" s="326">
        <f t="shared" si="217"/>
        <v>0</v>
      </c>
      <c r="BH104" s="326">
        <f t="shared" si="217"/>
        <v>0</v>
      </c>
      <c r="BI104" s="326">
        <f t="shared" si="217"/>
        <v>2010</v>
      </c>
      <c r="BJ104" s="326">
        <f t="shared" si="217"/>
        <v>2011</v>
      </c>
      <c r="BK104" s="326">
        <f t="shared" si="217"/>
        <v>2012</v>
      </c>
      <c r="BL104" s="326">
        <f t="shared" si="217"/>
        <v>2013</v>
      </c>
      <c r="BM104" s="326">
        <f t="shared" si="217"/>
        <v>2014</v>
      </c>
      <c r="BN104" s="326">
        <f t="shared" si="217"/>
        <v>2015</v>
      </c>
      <c r="BO104" s="326">
        <f t="shared" si="217"/>
        <v>2016</v>
      </c>
      <c r="BP104" s="326">
        <f t="shared" si="217"/>
        <v>2017</v>
      </c>
      <c r="BQ104" s="326">
        <f t="shared" ref="BQ104:BT107" si="218">BQ44</f>
        <v>2018</v>
      </c>
      <c r="BR104" s="326">
        <f t="shared" si="218"/>
        <v>2019</v>
      </c>
      <c r="BS104" s="326">
        <f t="shared" si="218"/>
        <v>2020</v>
      </c>
      <c r="BT104" s="326">
        <f t="shared" si="218"/>
        <v>2021</v>
      </c>
      <c r="BU104" s="326">
        <f t="shared" ref="BU104:CB104" si="219">BU44</f>
        <v>2022</v>
      </c>
      <c r="BV104" s="326">
        <f t="shared" si="219"/>
        <v>2023</v>
      </c>
      <c r="BW104" s="326">
        <f t="shared" si="219"/>
        <v>2024</v>
      </c>
      <c r="BX104" s="326">
        <f t="shared" si="219"/>
        <v>2025</v>
      </c>
      <c r="BY104" s="326">
        <f t="shared" si="219"/>
        <v>2026</v>
      </c>
      <c r="BZ104" s="326">
        <f t="shared" si="219"/>
        <v>2027</v>
      </c>
      <c r="CA104" s="326">
        <f t="shared" si="219"/>
        <v>2028</v>
      </c>
      <c r="CB104" s="326">
        <f t="shared" si="219"/>
        <v>2029</v>
      </c>
      <c r="CC104" s="326">
        <f>CC44</f>
        <v>2030</v>
      </c>
      <c r="CE104" s="485">
        <f t="shared" ref="CE104:CX104" si="220">BJ104</f>
        <v>2011</v>
      </c>
      <c r="CF104" s="485">
        <f t="shared" si="220"/>
        <v>2012</v>
      </c>
      <c r="CG104" s="485">
        <f t="shared" si="220"/>
        <v>2013</v>
      </c>
      <c r="CH104" s="485">
        <f t="shared" si="220"/>
        <v>2014</v>
      </c>
      <c r="CI104" s="485">
        <f t="shared" si="220"/>
        <v>2015</v>
      </c>
      <c r="CJ104" s="485">
        <f t="shared" si="220"/>
        <v>2016</v>
      </c>
      <c r="CK104" s="485">
        <f t="shared" si="220"/>
        <v>2017</v>
      </c>
      <c r="CL104" s="485">
        <f t="shared" si="220"/>
        <v>2018</v>
      </c>
      <c r="CM104" s="485">
        <f t="shared" si="220"/>
        <v>2019</v>
      </c>
      <c r="CN104" s="485">
        <f t="shared" si="220"/>
        <v>2020</v>
      </c>
      <c r="CO104" s="485">
        <f t="shared" si="220"/>
        <v>2021</v>
      </c>
      <c r="CP104" s="485">
        <f t="shared" si="220"/>
        <v>2022</v>
      </c>
      <c r="CQ104" s="485">
        <f t="shared" si="220"/>
        <v>2023</v>
      </c>
      <c r="CR104" s="485">
        <f t="shared" si="220"/>
        <v>2024</v>
      </c>
      <c r="CS104" s="485">
        <f t="shared" si="220"/>
        <v>2025</v>
      </c>
      <c r="CT104" s="485">
        <f t="shared" si="220"/>
        <v>2026</v>
      </c>
      <c r="CU104" s="485">
        <f t="shared" si="220"/>
        <v>2027</v>
      </c>
      <c r="CV104" s="485">
        <f t="shared" si="220"/>
        <v>2028</v>
      </c>
      <c r="CW104" s="485">
        <f t="shared" si="220"/>
        <v>2029</v>
      </c>
      <c r="CX104" s="485">
        <f t="shared" si="220"/>
        <v>2030</v>
      </c>
      <c r="CZ104" s="502">
        <v>2011</v>
      </c>
      <c r="DA104" s="502">
        <v>2012</v>
      </c>
      <c r="DB104" s="502">
        <v>2013</v>
      </c>
      <c r="DC104" s="502">
        <v>2014</v>
      </c>
      <c r="DD104" s="502">
        <v>2015</v>
      </c>
      <c r="DE104" s="502">
        <v>2016</v>
      </c>
      <c r="DF104" s="502">
        <v>2017</v>
      </c>
      <c r="DG104" s="502">
        <v>2018</v>
      </c>
      <c r="DH104" s="502">
        <v>2019</v>
      </c>
      <c r="DI104" s="502">
        <v>2020</v>
      </c>
      <c r="DJ104" s="502">
        <v>2021</v>
      </c>
      <c r="DK104" s="502">
        <v>2022</v>
      </c>
      <c r="DL104" s="502">
        <v>2023</v>
      </c>
      <c r="DM104" s="502">
        <v>2024</v>
      </c>
      <c r="DN104" s="502">
        <v>2025</v>
      </c>
      <c r="DO104" s="502">
        <v>2026</v>
      </c>
      <c r="DP104" s="502">
        <v>2027</v>
      </c>
      <c r="DQ104" s="502">
        <v>2028</v>
      </c>
      <c r="DR104" s="502">
        <v>2029</v>
      </c>
      <c r="DS104" s="502">
        <v>2030</v>
      </c>
    </row>
    <row r="105" spans="1:123">
      <c r="A105" s="326" t="str">
        <f>A45</f>
        <v>BBPmp conform ABS</v>
      </c>
      <c r="B105" s="326">
        <f t="shared" ref="B105:E106" si="221">B45</f>
        <v>0</v>
      </c>
      <c r="C105" s="326" t="str">
        <f t="shared" si="221"/>
        <v>mlnSRD</v>
      </c>
      <c r="D105" s="326">
        <f t="shared" si="221"/>
        <v>0</v>
      </c>
      <c r="E105" s="326">
        <f t="shared" si="221"/>
        <v>0</v>
      </c>
      <c r="F105" s="326">
        <f t="shared" ref="F105:BB105" si="222">F45</f>
        <v>0</v>
      </c>
      <c r="G105" s="326">
        <f t="shared" si="222"/>
        <v>0</v>
      </c>
      <c r="H105" s="326">
        <f t="shared" si="222"/>
        <v>0</v>
      </c>
      <c r="I105" s="326">
        <f t="shared" si="222"/>
        <v>0</v>
      </c>
      <c r="J105" s="326">
        <f t="shared" si="222"/>
        <v>0</v>
      </c>
      <c r="K105" s="326">
        <f t="shared" si="222"/>
        <v>0</v>
      </c>
      <c r="L105" s="326">
        <f t="shared" si="222"/>
        <v>0</v>
      </c>
      <c r="M105" s="326">
        <f t="shared" si="222"/>
        <v>0</v>
      </c>
      <c r="N105" s="326">
        <f t="shared" si="222"/>
        <v>0</v>
      </c>
      <c r="O105" s="326">
        <f t="shared" si="222"/>
        <v>0</v>
      </c>
      <c r="P105" s="326">
        <f t="shared" si="222"/>
        <v>0</v>
      </c>
      <c r="Q105" s="326">
        <f t="shared" si="222"/>
        <v>0</v>
      </c>
      <c r="R105" s="326">
        <f t="shared" si="222"/>
        <v>0</v>
      </c>
      <c r="S105" s="326">
        <f t="shared" si="222"/>
        <v>0</v>
      </c>
      <c r="T105" s="326">
        <f t="shared" si="222"/>
        <v>0</v>
      </c>
      <c r="U105" s="326">
        <f t="shared" si="222"/>
        <v>0</v>
      </c>
      <c r="V105" s="326">
        <f t="shared" si="222"/>
        <v>0</v>
      </c>
      <c r="W105" s="326">
        <f t="shared" si="222"/>
        <v>0</v>
      </c>
      <c r="X105" s="326">
        <f t="shared" si="222"/>
        <v>0</v>
      </c>
      <c r="Y105" s="326">
        <f t="shared" si="222"/>
        <v>0</v>
      </c>
      <c r="Z105" s="326">
        <f t="shared" si="222"/>
        <v>0</v>
      </c>
      <c r="AA105" s="326">
        <f t="shared" si="222"/>
        <v>0</v>
      </c>
      <c r="AB105" s="326">
        <f t="shared" si="222"/>
        <v>0</v>
      </c>
      <c r="AC105" s="326">
        <f t="shared" si="222"/>
        <v>0</v>
      </c>
      <c r="AD105" s="326">
        <f t="shared" si="222"/>
        <v>0</v>
      </c>
      <c r="AE105" s="326">
        <f t="shared" si="222"/>
        <v>0</v>
      </c>
      <c r="AF105" s="326">
        <f t="shared" si="222"/>
        <v>0</v>
      </c>
      <c r="AG105" s="326">
        <f t="shared" si="222"/>
        <v>0</v>
      </c>
      <c r="AH105" s="326">
        <f t="shared" si="222"/>
        <v>0</v>
      </c>
      <c r="AI105" s="326">
        <f t="shared" si="222"/>
        <v>0</v>
      </c>
      <c r="AJ105" s="326">
        <f t="shared" si="222"/>
        <v>0</v>
      </c>
      <c r="AK105" s="326">
        <f t="shared" si="222"/>
        <v>0</v>
      </c>
      <c r="AL105" s="326">
        <f t="shared" si="222"/>
        <v>0</v>
      </c>
      <c r="AM105" s="326">
        <f t="shared" si="222"/>
        <v>0</v>
      </c>
      <c r="AN105" s="326">
        <f t="shared" si="222"/>
        <v>0</v>
      </c>
      <c r="AO105" s="326">
        <f t="shared" si="222"/>
        <v>0</v>
      </c>
      <c r="AP105" s="326">
        <f t="shared" si="222"/>
        <v>0</v>
      </c>
      <c r="AQ105" s="326">
        <f t="shared" si="222"/>
        <v>0</v>
      </c>
      <c r="AR105" s="326">
        <f t="shared" si="222"/>
        <v>0</v>
      </c>
      <c r="AS105" s="326">
        <f t="shared" si="222"/>
        <v>0</v>
      </c>
      <c r="AT105" s="326">
        <f t="shared" si="222"/>
        <v>0</v>
      </c>
      <c r="AU105" s="326">
        <f t="shared" si="222"/>
        <v>347.98572837278624</v>
      </c>
      <c r="AV105" s="326">
        <f t="shared" si="222"/>
        <v>393.81406831179174</v>
      </c>
      <c r="AW105" s="326">
        <f t="shared" si="222"/>
        <v>479.64843336586972</v>
      </c>
      <c r="AX105" s="326">
        <f t="shared" si="222"/>
        <v>892.18635835645841</v>
      </c>
      <c r="AY105" s="326">
        <f t="shared" si="222"/>
        <v>1480.4267514836499</v>
      </c>
      <c r="AZ105" s="326">
        <f t="shared" si="222"/>
        <v>2132.3433396373362</v>
      </c>
      <c r="BA105" s="326">
        <f t="shared" si="222"/>
        <v>2534.2449999999999</v>
      </c>
      <c r="BB105" s="326">
        <f t="shared" si="222"/>
        <v>3558.8736600000002</v>
      </c>
      <c r="BC105" s="326">
        <f t="shared" si="216"/>
        <v>4390.9120000000003</v>
      </c>
      <c r="BD105" s="326">
        <f t="shared" si="216"/>
        <v>6105.9160000000002</v>
      </c>
      <c r="BE105" s="326">
        <f t="shared" si="216"/>
        <v>7206.3250130575279</v>
      </c>
      <c r="BF105" s="326">
        <f t="shared" ref="BF105:BM106" si="223">BF45</f>
        <v>8060.5318798577055</v>
      </c>
      <c r="BG105" s="326">
        <f t="shared" si="223"/>
        <v>9698.0550363404745</v>
      </c>
      <c r="BH105" s="326">
        <f t="shared" si="223"/>
        <v>10638.423667004776</v>
      </c>
      <c r="BI105" s="326">
        <f t="shared" si="223"/>
        <v>11993.016</v>
      </c>
      <c r="BJ105" s="326">
        <f t="shared" si="223"/>
        <v>14451.880999999999</v>
      </c>
      <c r="BK105" s="326">
        <f t="shared" si="223"/>
        <v>16433.674999999999</v>
      </c>
      <c r="BL105" s="326">
        <f t="shared" si="223"/>
        <v>16932.127</v>
      </c>
      <c r="BM105" s="326">
        <f t="shared" si="223"/>
        <v>17194.136999999999</v>
      </c>
      <c r="BN105" s="326">
        <f t="shared" ref="BN105:BP106" si="224">BN45</f>
        <v>17287.37</v>
      </c>
      <c r="BO105" s="326">
        <f t="shared" si="224"/>
        <v>18456.981</v>
      </c>
      <c r="BP105" s="326">
        <f t="shared" si="224"/>
        <v>20067.792000000001</v>
      </c>
      <c r="BQ105" s="326">
        <f t="shared" ca="1" si="218"/>
        <v>22059.61520965823</v>
      </c>
      <c r="BR105" s="326">
        <f t="shared" ca="1" si="218"/>
        <v>22898.560341114091</v>
      </c>
      <c r="BS105" s="326">
        <f t="shared" ca="1" si="218"/>
        <v>23602.073337125086</v>
      </c>
      <c r="BT105" s="326">
        <f t="shared" ca="1" si="218"/>
        <v>24541.113303693612</v>
      </c>
      <c r="BU105" s="326">
        <f t="shared" ref="BU105:CB105" ca="1" si="225">BU45</f>
        <v>25545.955830184535</v>
      </c>
      <c r="BV105" s="326">
        <f t="shared" ca="1" si="225"/>
        <v>26583.972487995787</v>
      </c>
      <c r="BW105" s="326">
        <f t="shared" ca="1" si="225"/>
        <v>27660.827547675708</v>
      </c>
      <c r="BX105" s="326">
        <f t="shared" ca="1" si="225"/>
        <v>28778.204038779651</v>
      </c>
      <c r="BY105" s="326">
        <f t="shared" ca="1" si="225"/>
        <v>30188.334359178833</v>
      </c>
      <c r="BZ105" s="326">
        <f t="shared" ca="1" si="225"/>
        <v>31704.32671202888</v>
      </c>
      <c r="CA105" s="326">
        <f t="shared" ca="1" si="225"/>
        <v>33297.679755867102</v>
      </c>
      <c r="CB105" s="326">
        <f t="shared" ca="1" si="225"/>
        <v>34982.823780777544</v>
      </c>
      <c r="CC105" s="326">
        <f ca="1">CC45</f>
        <v>36768.204241289706</v>
      </c>
      <c r="CE105" s="485">
        <f t="shared" ref="CE105:CN112" si="226">BJ105-CZ105</f>
        <v>0</v>
      </c>
      <c r="CF105" s="485">
        <f t="shared" si="226"/>
        <v>0</v>
      </c>
      <c r="CG105" s="485">
        <f t="shared" si="226"/>
        <v>0</v>
      </c>
      <c r="CH105" s="485">
        <f t="shared" si="226"/>
        <v>0</v>
      </c>
      <c r="CI105" s="485">
        <f t="shared" si="226"/>
        <v>0</v>
      </c>
      <c r="CJ105" s="485">
        <f t="shared" si="226"/>
        <v>0</v>
      </c>
      <c r="CK105" s="485">
        <f t="shared" si="226"/>
        <v>0</v>
      </c>
      <c r="CL105" s="485">
        <f t="shared" ca="1" si="226"/>
        <v>-468.4047738582376</v>
      </c>
      <c r="CM105" s="485">
        <f t="shared" ca="1" si="226"/>
        <v>-1015.1956467853961</v>
      </c>
      <c r="CN105" s="485">
        <f t="shared" ca="1" si="226"/>
        <v>-1188.4050346119911</v>
      </c>
      <c r="CO105" s="485">
        <f t="shared" ref="CO105:CX112" ca="1" si="227">BT105-DJ105</f>
        <v>-1159.9691601215891</v>
      </c>
      <c r="CP105" s="485">
        <f t="shared" ca="1" si="227"/>
        <v>-1049.5197449579391</v>
      </c>
      <c r="CQ105" s="485">
        <f t="shared" ca="1" si="227"/>
        <v>-902.91382980482376</v>
      </c>
      <c r="CR105" s="485">
        <f t="shared" ca="1" si="227"/>
        <v>-738.84281707085756</v>
      </c>
      <c r="CS105" s="485">
        <f t="shared" ca="1" si="227"/>
        <v>-560.02255381980285</v>
      </c>
      <c r="CT105" s="485">
        <f t="shared" ca="1" si="227"/>
        <v>-410.63756125875443</v>
      </c>
      <c r="CU105" s="485">
        <f t="shared" ca="1" si="227"/>
        <v>-244.10105437393213</v>
      </c>
      <c r="CV105" s="485">
        <f t="shared" ca="1" si="227"/>
        <v>-63.382625530699443</v>
      </c>
      <c r="CW105" s="485">
        <f t="shared" ca="1" si="227"/>
        <v>130.73390431983717</v>
      </c>
      <c r="CX105" s="485">
        <f t="shared" ca="1" si="227"/>
        <v>339.88371076290787</v>
      </c>
      <c r="CZ105" s="502">
        <v>14451.880999999999</v>
      </c>
      <c r="DA105" s="502">
        <v>16433.674999999999</v>
      </c>
      <c r="DB105" s="502">
        <v>16932.127</v>
      </c>
      <c r="DC105" s="502">
        <v>17194.136999999999</v>
      </c>
      <c r="DD105" s="502">
        <v>17287.37</v>
      </c>
      <c r="DE105" s="502">
        <v>18456.981</v>
      </c>
      <c r="DF105" s="502">
        <v>20067.792000000001</v>
      </c>
      <c r="DG105" s="502">
        <v>22528.019983516468</v>
      </c>
      <c r="DH105" s="502">
        <v>23913.755987899487</v>
      </c>
      <c r="DI105" s="502">
        <v>24790.478371737077</v>
      </c>
      <c r="DJ105" s="502">
        <v>25701.082463815201</v>
      </c>
      <c r="DK105" s="502">
        <v>26595.475575142475</v>
      </c>
      <c r="DL105" s="502">
        <v>27486.88631780061</v>
      </c>
      <c r="DM105" s="502">
        <v>28399.670364746566</v>
      </c>
      <c r="DN105" s="502">
        <v>29338.226592599454</v>
      </c>
      <c r="DO105" s="502">
        <v>30598.971920437587</v>
      </c>
      <c r="DP105" s="502">
        <v>31948.427766402812</v>
      </c>
      <c r="DQ105" s="502">
        <v>33361.062381397802</v>
      </c>
      <c r="DR105" s="502">
        <v>34852.089876457707</v>
      </c>
      <c r="DS105" s="502">
        <v>36428.320530526798</v>
      </c>
    </row>
    <row r="106" spans="1:123">
      <c r="A106" s="326" t="str">
        <f>A46</f>
        <v>BBPmp conform ABS- BBP Surya</v>
      </c>
      <c r="B106" s="326">
        <f t="shared" si="221"/>
        <v>0</v>
      </c>
      <c r="C106" s="326">
        <f t="shared" si="221"/>
        <v>0</v>
      </c>
      <c r="D106" s="326">
        <f t="shared" si="221"/>
        <v>0</v>
      </c>
      <c r="E106" s="326">
        <f t="shared" si="221"/>
        <v>-0.13586534573248304</v>
      </c>
      <c r="F106" s="326">
        <f t="shared" ref="F106:BB106" si="228">F46</f>
        <v>-0.14185086350566717</v>
      </c>
      <c r="G106" s="326">
        <f t="shared" si="228"/>
        <v>-0.15343199888797313</v>
      </c>
      <c r="H106" s="326">
        <f t="shared" si="228"/>
        <v>-0.17724070015556495</v>
      </c>
      <c r="I106" s="326">
        <f t="shared" si="228"/>
        <v>-0.18837748292073164</v>
      </c>
      <c r="J106" s="326">
        <f t="shared" si="228"/>
        <v>-0.20780287304332629</v>
      </c>
      <c r="K106" s="326">
        <f t="shared" si="228"/>
        <v>-0.22556155428735056</v>
      </c>
      <c r="L106" s="326">
        <f t="shared" si="228"/>
        <v>-0.23593360914628436</v>
      </c>
      <c r="M106" s="326">
        <f t="shared" si="228"/>
        <v>-0.24828982043012487</v>
      </c>
      <c r="N106" s="326">
        <f t="shared" si="228"/>
        <v>-0.26493747745129564</v>
      </c>
      <c r="O106" s="326">
        <f t="shared" si="228"/>
        <v>-0.29140250130304329</v>
      </c>
      <c r="P106" s="326">
        <f t="shared" si="228"/>
        <v>-0.33374046186287498</v>
      </c>
      <c r="Q106" s="326">
        <f t="shared" si="228"/>
        <v>-0.42151686122990173</v>
      </c>
      <c r="R106" s="326">
        <f t="shared" si="228"/>
        <v>-0.48892385527099469</v>
      </c>
      <c r="S106" s="326">
        <f t="shared" si="228"/>
        <v>-0.53559495364308884</v>
      </c>
      <c r="T106" s="326">
        <f t="shared" si="228"/>
        <v>-0.55959145349276418</v>
      </c>
      <c r="U106" s="326">
        <f t="shared" si="228"/>
        <v>-0.58938389379539635</v>
      </c>
      <c r="V106" s="326">
        <f t="shared" si="228"/>
        <v>-0.64004679212186022</v>
      </c>
      <c r="W106" s="326">
        <f t="shared" si="228"/>
        <v>-0.67391225237039776</v>
      </c>
      <c r="X106" s="326">
        <f t="shared" si="228"/>
        <v>-0.72981900892488716</v>
      </c>
      <c r="Y106" s="326">
        <f t="shared" si="228"/>
        <v>-0.88782266288243172</v>
      </c>
      <c r="Z106" s="326">
        <f t="shared" si="228"/>
        <v>-1.0666470776089993</v>
      </c>
      <c r="AA106" s="326">
        <f t="shared" si="228"/>
        <v>-1.1595554123383063</v>
      </c>
      <c r="AB106" s="326">
        <f t="shared" si="228"/>
        <v>-1.4706075189374941</v>
      </c>
      <c r="AC106" s="326">
        <f t="shared" si="228"/>
        <v>-1.6865036412243843</v>
      </c>
      <c r="AD106" s="326">
        <f t="shared" si="228"/>
        <v>-1.7945749081650377</v>
      </c>
      <c r="AE106" s="326">
        <f t="shared" si="228"/>
        <v>-1.8369870441817362</v>
      </c>
      <c r="AF106" s="326">
        <f t="shared" si="228"/>
        <v>-2.0623064070163921</v>
      </c>
      <c r="AG106" s="326">
        <f t="shared" si="228"/>
        <v>-2.1222001966893647</v>
      </c>
      <c r="AH106" s="326">
        <f t="shared" si="228"/>
        <v>-2.0523391530789263</v>
      </c>
      <c r="AI106" s="326">
        <f t="shared" si="228"/>
        <v>-2.004300109138605</v>
      </c>
      <c r="AJ106" s="326">
        <f t="shared" si="228"/>
        <v>-2.0005860002869698</v>
      </c>
      <c r="AK106" s="326">
        <f t="shared" si="228"/>
        <v>-2.0575526711946841</v>
      </c>
      <c r="AL106" s="326">
        <f t="shared" si="228"/>
        <v>-2.2662250885593451</v>
      </c>
      <c r="AM106" s="326">
        <f t="shared" si="228"/>
        <v>-2.6858092978059442</v>
      </c>
      <c r="AN106" s="326">
        <f t="shared" si="228"/>
        <v>-3.1644858839028007</v>
      </c>
      <c r="AO106" s="326">
        <f t="shared" si="228"/>
        <v>-4.0658461605290093</v>
      </c>
      <c r="AP106" s="326">
        <f t="shared" si="228"/>
        <v>-4.816653807353914</v>
      </c>
      <c r="AQ106" s="326">
        <f t="shared" si="228"/>
        <v>-6.2536149902572751</v>
      </c>
      <c r="AR106" s="326">
        <f t="shared" si="228"/>
        <v>-14.059989839502361</v>
      </c>
      <c r="AS106" s="326">
        <f t="shared" si="228"/>
        <v>-55.305189876195307</v>
      </c>
      <c r="AT106" s="326">
        <f t="shared" si="228"/>
        <v>-265.49515866743866</v>
      </c>
      <c r="AU106" s="326">
        <f t="shared" si="228"/>
        <v>0</v>
      </c>
      <c r="AV106" s="326">
        <f t="shared" si="228"/>
        <v>0</v>
      </c>
      <c r="AW106" s="326">
        <f t="shared" si="228"/>
        <v>0</v>
      </c>
      <c r="AX106" s="326">
        <f t="shared" si="228"/>
        <v>0</v>
      </c>
      <c r="AY106" s="326">
        <f t="shared" si="228"/>
        <v>0</v>
      </c>
      <c r="AZ106" s="326">
        <f t="shared" si="228"/>
        <v>0</v>
      </c>
      <c r="BA106" s="326">
        <f t="shared" si="228"/>
        <v>0</v>
      </c>
      <c r="BB106" s="326">
        <f t="shared" si="228"/>
        <v>0</v>
      </c>
      <c r="BC106" s="326">
        <f t="shared" si="216"/>
        <v>0</v>
      </c>
      <c r="BD106" s="326">
        <f t="shared" ca="1" si="216"/>
        <v>52.347538089361478</v>
      </c>
      <c r="BE106" s="326">
        <f t="shared" ca="1" si="216"/>
        <v>-214.61090172654622</v>
      </c>
      <c r="BF106" s="326">
        <f t="shared" ca="1" si="223"/>
        <v>-365.52453357172726</v>
      </c>
      <c r="BG106" s="326">
        <f t="shared" ca="1" si="223"/>
        <v>-159.92826715680894</v>
      </c>
      <c r="BH106" s="326">
        <f t="shared" ca="1" si="223"/>
        <v>828.95218511144412</v>
      </c>
      <c r="BI106" s="326">
        <f t="shared" ca="1" si="223"/>
        <v>-232.40539233505842</v>
      </c>
      <c r="BJ106" s="326">
        <f t="shared" ca="1" si="223"/>
        <v>-1681.474781955596</v>
      </c>
      <c r="BK106" s="326">
        <f t="shared" ca="1" si="223"/>
        <v>-989.42360376388024</v>
      </c>
      <c r="BL106" s="326">
        <f t="shared" ca="1" si="223"/>
        <v>-270.52642064961765</v>
      </c>
      <c r="BM106" s="326">
        <f t="shared" ca="1" si="223"/>
        <v>0</v>
      </c>
      <c r="BN106" s="326">
        <f t="shared" ca="1" si="224"/>
        <v>-170.51112917129285</v>
      </c>
      <c r="BO106" s="326">
        <f t="shared" ca="1" si="224"/>
        <v>-3478.8343830412668</v>
      </c>
      <c r="BP106" s="326">
        <f t="shared" ca="1" si="224"/>
        <v>-7095.9080268000143</v>
      </c>
      <c r="BQ106" s="326">
        <f t="shared" ca="1" si="218"/>
        <v>-7800.2104384146332</v>
      </c>
      <c r="BR106" s="326">
        <f t="shared" ca="1" si="218"/>
        <v>-8096.8587937664597</v>
      </c>
      <c r="BS106" s="326">
        <f t="shared" ca="1" si="218"/>
        <v>-8345.6187727094657</v>
      </c>
      <c r="BT106" s="326">
        <f t="shared" ca="1" si="218"/>
        <v>-8677.6603464042528</v>
      </c>
      <c r="BU106" s="326">
        <f t="shared" ref="BU106:CB106" ca="1" si="229">BU46</f>
        <v>-9032.9694979739397</v>
      </c>
      <c r="BV106" s="326">
        <f t="shared" ca="1" si="229"/>
        <v>-9400.0089178620619</v>
      </c>
      <c r="BW106" s="326">
        <f t="shared" ca="1" si="229"/>
        <v>-9780.7814742889641</v>
      </c>
      <c r="BX106" s="326">
        <f t="shared" ca="1" si="229"/>
        <v>-10175.882281203012</v>
      </c>
      <c r="BY106" s="326">
        <f t="shared" ca="1" si="229"/>
        <v>-10674.499919822938</v>
      </c>
      <c r="BZ106" s="326">
        <f t="shared" ca="1" si="229"/>
        <v>-11210.550039594833</v>
      </c>
      <c r="CA106" s="326">
        <f t="shared" ca="1" si="229"/>
        <v>-11773.954655972164</v>
      </c>
      <c r="CB106" s="326">
        <f t="shared" ca="1" si="229"/>
        <v>-12369.81627406543</v>
      </c>
      <c r="CC106" s="326">
        <f ca="1">CC46</f>
        <v>-13001.121179988586</v>
      </c>
      <c r="CE106" s="485">
        <f t="shared" ca="1" si="226"/>
        <v>-78.973682431074849</v>
      </c>
      <c r="CF106" s="485">
        <f t="shared" ca="1" si="226"/>
        <v>-69.904151876769902</v>
      </c>
      <c r="CG106" s="485">
        <f t="shared" ca="1" si="226"/>
        <v>-63.988956130728184</v>
      </c>
      <c r="CH106" s="485">
        <f t="shared" ca="1" si="226"/>
        <v>0</v>
      </c>
      <c r="CI106" s="485">
        <f t="shared" ca="1" si="226"/>
        <v>-101.35190038412838</v>
      </c>
      <c r="CJ106" s="485">
        <f t="shared" ca="1" si="226"/>
        <v>-1761.4104946205516</v>
      </c>
      <c r="CK106" s="485">
        <f t="shared" ca="1" si="226"/>
        <v>-3814.6719518812824</v>
      </c>
      <c r="CL106" s="485">
        <f t="shared" ca="1" si="226"/>
        <v>-4116.7084434565259</v>
      </c>
      <c r="CM106" s="485">
        <f t="shared" ca="1" si="226"/>
        <v>-4186.7784603496366</v>
      </c>
      <c r="CN106" s="485">
        <f t="shared" ca="1" si="226"/>
        <v>-4292.1876853314352</v>
      </c>
      <c r="CO106" s="485">
        <f t="shared" ca="1" si="227"/>
        <v>-4475.3385889966012</v>
      </c>
      <c r="CP106" s="485">
        <f t="shared" ca="1" si="227"/>
        <v>-4684.407688743664</v>
      </c>
      <c r="CQ106" s="485">
        <f t="shared" ca="1" si="227"/>
        <v>-4905.6946966883079</v>
      </c>
      <c r="CR106" s="485">
        <f t="shared" ca="1" si="227"/>
        <v>-5137.2201439439741</v>
      </c>
      <c r="CS106" s="485">
        <f t="shared" ca="1" si="227"/>
        <v>-5378.8598947950923</v>
      </c>
      <c r="CT106" s="485">
        <f t="shared" ca="1" si="227"/>
        <v>-5671.3361178079031</v>
      </c>
      <c r="CU106" s="485">
        <f t="shared" ca="1" si="227"/>
        <v>-5986.7399799699706</v>
      </c>
      <c r="CV106" s="485">
        <f t="shared" ca="1" si="227"/>
        <v>-6319.1681312034489</v>
      </c>
      <c r="CW106" s="485">
        <f t="shared" ca="1" si="227"/>
        <v>-6671.2354541651803</v>
      </c>
      <c r="CX106" s="485">
        <f t="shared" ca="1" si="227"/>
        <v>-7044.8147027503364</v>
      </c>
      <c r="CZ106" s="502">
        <v>-1602.5010995245211</v>
      </c>
      <c r="DA106" s="502">
        <v>-919.51945188711034</v>
      </c>
      <c r="DB106" s="502">
        <v>-206.53746451888946</v>
      </c>
      <c r="DC106" s="502">
        <v>0</v>
      </c>
      <c r="DD106" s="502">
        <v>-69.159228787164466</v>
      </c>
      <c r="DE106" s="502">
        <v>-1717.4238884207152</v>
      </c>
      <c r="DF106" s="502">
        <v>-3281.2360749187319</v>
      </c>
      <c r="DG106" s="502">
        <v>-3683.5019949581074</v>
      </c>
      <c r="DH106" s="502">
        <v>-3910.0803334168231</v>
      </c>
      <c r="DI106" s="502">
        <v>-4053.4310873780305</v>
      </c>
      <c r="DJ106" s="502">
        <v>-4202.3217574076516</v>
      </c>
      <c r="DK106" s="502">
        <v>-4348.5618092302757</v>
      </c>
      <c r="DL106" s="502">
        <v>-4494.314221173754</v>
      </c>
      <c r="DM106" s="502">
        <v>-4643.56133034499</v>
      </c>
      <c r="DN106" s="502">
        <v>-4797.0223864079198</v>
      </c>
      <c r="DO106" s="502">
        <v>-5003.1638020150349</v>
      </c>
      <c r="DP106" s="502">
        <v>-5223.8100596248623</v>
      </c>
      <c r="DQ106" s="502">
        <v>-5454.786524768715</v>
      </c>
      <c r="DR106" s="502">
        <v>-5698.5808199002495</v>
      </c>
      <c r="DS106" s="502">
        <v>-5956.3064772382495</v>
      </c>
    </row>
    <row r="107" spans="1:123">
      <c r="A107" s="326" t="str">
        <f>A47</f>
        <v>Consumptie</v>
      </c>
      <c r="B107" s="326">
        <f t="shared" ref="B107:BB107" si="230">B47</f>
        <v>0</v>
      </c>
      <c r="C107" s="326">
        <f t="shared" si="230"/>
        <v>0</v>
      </c>
      <c r="D107" s="326">
        <f t="shared" si="230"/>
        <v>0</v>
      </c>
      <c r="E107" s="326">
        <f t="shared" si="230"/>
        <v>-7.8024433187642017E-3</v>
      </c>
      <c r="F107" s="326">
        <f t="shared" si="230"/>
        <v>-9.4431664832688028E-3</v>
      </c>
      <c r="G107" s="326">
        <f t="shared" si="230"/>
        <v>-1.0201129839778972E-2</v>
      </c>
      <c r="H107" s="326">
        <f t="shared" si="230"/>
        <v>-1.3053649760598154E-2</v>
      </c>
      <c r="I107" s="326">
        <f t="shared" si="230"/>
        <v>-1.4344165449609481E-2</v>
      </c>
      <c r="J107" s="326">
        <f t="shared" si="230"/>
        <v>-1.6000641526074832E-2</v>
      </c>
      <c r="K107" s="326">
        <f t="shared" si="230"/>
        <v>-1.843628274064657E-2</v>
      </c>
      <c r="L107" s="326">
        <f t="shared" si="230"/>
        <v>-2.4957257737327987E-2</v>
      </c>
      <c r="M107" s="326">
        <f t="shared" si="230"/>
        <v>-2.5541100535654726E-2</v>
      </c>
      <c r="N107" s="326">
        <f t="shared" si="230"/>
        <v>-2.5591639538911554E-2</v>
      </c>
      <c r="O107" s="326">
        <f t="shared" si="230"/>
        <v>-2.629623158849273E-2</v>
      </c>
      <c r="P107" s="326">
        <f t="shared" si="230"/>
        <v>-2.9146256455215735E-2</v>
      </c>
      <c r="Q107" s="326">
        <f t="shared" si="230"/>
        <v>-3.3634961647179357E-2</v>
      </c>
      <c r="R107" s="326">
        <f t="shared" si="230"/>
        <v>-3.9786004277395814E-2</v>
      </c>
      <c r="S107" s="326">
        <f t="shared" si="230"/>
        <v>-4.0336648724755952E-2</v>
      </c>
      <c r="T107" s="326">
        <f t="shared" si="230"/>
        <v>-4.7395841822353957E-2</v>
      </c>
      <c r="U107" s="326">
        <f t="shared" si="230"/>
        <v>-5.6385456389952071E-2</v>
      </c>
      <c r="V107" s="326">
        <f t="shared" si="230"/>
        <v>-5.5042041622280269E-2</v>
      </c>
      <c r="W107" s="326">
        <f t="shared" si="230"/>
        <v>-6.1738152312775907E-2</v>
      </c>
      <c r="X107" s="326">
        <f t="shared" si="230"/>
        <v>-6.7092930471721268E-2</v>
      </c>
      <c r="Y107" s="326">
        <f t="shared" si="230"/>
        <v>-6.6433325969973145E-2</v>
      </c>
      <c r="Z107" s="326">
        <f t="shared" si="230"/>
        <v>-8.5422461702556629E-2</v>
      </c>
      <c r="AA107" s="326">
        <f t="shared" si="230"/>
        <v>-0.11888739190297293</v>
      </c>
      <c r="AB107" s="326">
        <f t="shared" si="230"/>
        <v>-0.16758708787383525</v>
      </c>
      <c r="AC107" s="326">
        <f t="shared" si="230"/>
        <v>-0.18976209557415169</v>
      </c>
      <c r="AD107" s="326">
        <f t="shared" si="230"/>
        <v>-0.19471331978946083</v>
      </c>
      <c r="AE107" s="326">
        <f t="shared" si="230"/>
        <v>-0.19366613120804055</v>
      </c>
      <c r="AF107" s="326">
        <f t="shared" si="230"/>
        <v>-0.24911296384726822</v>
      </c>
      <c r="AG107" s="326">
        <f t="shared" si="230"/>
        <v>-0.33853485349444479</v>
      </c>
      <c r="AH107" s="326">
        <f t="shared" si="230"/>
        <v>-0.40603708577629982</v>
      </c>
      <c r="AI107" s="326">
        <f t="shared" si="230"/>
        <v>-0.39576740602147154</v>
      </c>
      <c r="AJ107" s="326">
        <f t="shared" si="230"/>
        <v>-0.39921019715985806</v>
      </c>
      <c r="AK107" s="326">
        <f t="shared" si="230"/>
        <v>-0.4495525784962886</v>
      </c>
      <c r="AL107" s="326">
        <f t="shared" si="230"/>
        <v>-0.57499100314296814</v>
      </c>
      <c r="AM107" s="326">
        <f t="shared" si="230"/>
        <v>-0.66781207336557191</v>
      </c>
      <c r="AN107" s="326">
        <f t="shared" si="230"/>
        <v>-0.79663415821658434</v>
      </c>
      <c r="AO107" s="326">
        <f t="shared" si="230"/>
        <v>-0.76965801499423048</v>
      </c>
      <c r="AP107" s="326">
        <f t="shared" si="230"/>
        <v>-1.1721147303013124</v>
      </c>
      <c r="AQ107" s="326">
        <f t="shared" si="230"/>
        <v>-1.5036791326379575</v>
      </c>
      <c r="AR107" s="326">
        <f t="shared" si="230"/>
        <v>-1.0953289249451963</v>
      </c>
      <c r="AS107" s="326">
        <f t="shared" si="230"/>
        <v>1.9135794398242219</v>
      </c>
      <c r="AT107" s="326">
        <f t="shared" si="230"/>
        <v>-10.813844504382104</v>
      </c>
      <c r="AU107" s="326">
        <f t="shared" si="230"/>
        <v>189.46955214778629</v>
      </c>
      <c r="AV107" s="326">
        <f t="shared" si="230"/>
        <v>256.50126331179166</v>
      </c>
      <c r="AW107" s="326">
        <f t="shared" si="230"/>
        <v>393.8235353658697</v>
      </c>
      <c r="AX107" s="326">
        <f t="shared" si="230"/>
        <v>608.27622618645853</v>
      </c>
      <c r="AY107" s="326">
        <f t="shared" si="230"/>
        <v>1005.1397660836498</v>
      </c>
      <c r="AZ107" s="326">
        <f t="shared" si="230"/>
        <v>1357.3710436373362</v>
      </c>
      <c r="BA107" s="326">
        <f t="shared" si="230"/>
        <v>1768.7433219999998</v>
      </c>
      <c r="BB107" s="326">
        <f t="shared" si="230"/>
        <v>2306.0192940000002</v>
      </c>
      <c r="BC107" s="326">
        <f t="shared" si="216"/>
        <v>2584.4441919999999</v>
      </c>
      <c r="BD107" s="326">
        <f t="shared" ca="1" si="216"/>
        <v>3177.5270298558576</v>
      </c>
      <c r="BE107" s="326">
        <f t="shared" ca="1" si="216"/>
        <v>4135.8153824208748</v>
      </c>
      <c r="BF107" s="326">
        <f t="shared" ref="BF107:BP107" ca="1" si="231">BF47</f>
        <v>4655.9891936545882</v>
      </c>
      <c r="BG107" s="326">
        <f t="shared" ca="1" si="231"/>
        <v>5624.5954225763035</v>
      </c>
      <c r="BH107" s="326">
        <f t="shared" ca="1" si="231"/>
        <v>6318.7942868182445</v>
      </c>
      <c r="BI107" s="326">
        <f t="shared" ca="1" si="231"/>
        <v>5731.8982299362133</v>
      </c>
      <c r="BJ107" s="326">
        <f t="shared" ca="1" si="231"/>
        <v>7623.1614800569869</v>
      </c>
      <c r="BK107" s="326">
        <f t="shared" ca="1" si="231"/>
        <v>8998.9806459463634</v>
      </c>
      <c r="BL107" s="326">
        <f t="shared" ca="1" si="231"/>
        <v>10727.787195963167</v>
      </c>
      <c r="BM107" s="326">
        <f t="shared" ca="1" si="231"/>
        <v>11046.745767166025</v>
      </c>
      <c r="BN107" s="326">
        <f t="shared" ca="1" si="231"/>
        <v>11774.494406501601</v>
      </c>
      <c r="BO107" s="326">
        <f t="shared" ca="1" si="231"/>
        <v>11822.34629319793</v>
      </c>
      <c r="BP107" s="326">
        <f t="shared" ca="1" si="231"/>
        <v>12625.348300982701</v>
      </c>
      <c r="BQ107" s="326">
        <f t="shared" ca="1" si="218"/>
        <v>14328.410013582183</v>
      </c>
      <c r="BR107" s="326">
        <f t="shared" ca="1" si="218"/>
        <v>15118.615128772741</v>
      </c>
      <c r="BS107" s="326">
        <f t="shared" ca="1" si="218"/>
        <v>15676.573195132218</v>
      </c>
      <c r="BT107" s="326">
        <f t="shared" ca="1" si="218"/>
        <v>16350.084876570669</v>
      </c>
      <c r="BU107" s="326">
        <f t="shared" ref="BU107:CB107" ca="1" si="232">BU47</f>
        <v>17124.746495922776</v>
      </c>
      <c r="BV107" s="326">
        <f t="shared" ca="1" si="232"/>
        <v>17933.881879275574</v>
      </c>
      <c r="BW107" s="326">
        <f t="shared" ca="1" si="232"/>
        <v>18783.642183891836</v>
      </c>
      <c r="BX107" s="326">
        <f t="shared" ca="1" si="232"/>
        <v>19677.771258204561</v>
      </c>
      <c r="BY107" s="326">
        <f t="shared" ca="1" si="232"/>
        <v>20650.536363841024</v>
      </c>
      <c r="BZ107" s="326">
        <f t="shared" ca="1" si="232"/>
        <v>21711.027632785015</v>
      </c>
      <c r="CA107" s="326">
        <f t="shared" ca="1" si="232"/>
        <v>22832.190654765822</v>
      </c>
      <c r="CB107" s="326">
        <f t="shared" ca="1" si="232"/>
        <v>24024.266054247513</v>
      </c>
      <c r="CC107" s="326">
        <f ca="1">CC47</f>
        <v>25295.443133316003</v>
      </c>
      <c r="CE107" s="485">
        <f t="shared" ca="1" si="226"/>
        <v>-497.46123570167038</v>
      </c>
      <c r="CF107" s="485">
        <f t="shared" ca="1" si="226"/>
        <v>10.7630112596853</v>
      </c>
      <c r="CG107" s="485">
        <f t="shared" ca="1" si="226"/>
        <v>-52.688849511945591</v>
      </c>
      <c r="CH107" s="485">
        <f t="shared" ca="1" si="226"/>
        <v>5.4037744878169178</v>
      </c>
      <c r="CI107" s="485">
        <f t="shared" ca="1" si="226"/>
        <v>343.45452286425279</v>
      </c>
      <c r="CJ107" s="485">
        <f t="shared" ca="1" si="226"/>
        <v>33.072408583802826</v>
      </c>
      <c r="CK107" s="485">
        <f t="shared" ca="1" si="226"/>
        <v>-121.13984852984686</v>
      </c>
      <c r="CL107" s="485">
        <f t="shared" ca="1" si="226"/>
        <v>-23.281449491094463</v>
      </c>
      <c r="CM107" s="485">
        <f t="shared" ca="1" si="226"/>
        <v>-278.55088035034714</v>
      </c>
      <c r="CN107" s="485">
        <f t="shared" ca="1" si="226"/>
        <v>-433.00147778592327</v>
      </c>
      <c r="CO107" s="485">
        <f t="shared" ca="1" si="227"/>
        <v>-428.93979867950111</v>
      </c>
      <c r="CP107" s="485">
        <f t="shared" ca="1" si="227"/>
        <v>-361.66426529299497</v>
      </c>
      <c r="CQ107" s="485">
        <f t="shared" ca="1" si="227"/>
        <v>-264.50704811923424</v>
      </c>
      <c r="CR107" s="485">
        <f t="shared" ca="1" si="227"/>
        <v>-155.08336153670461</v>
      </c>
      <c r="CS107" s="485">
        <f t="shared" ca="1" si="227"/>
        <v>-36.813982190451497</v>
      </c>
      <c r="CT107" s="485">
        <f t="shared" ca="1" si="227"/>
        <v>96.091295482241549</v>
      </c>
      <c r="CU107" s="485">
        <f t="shared" ca="1" si="227"/>
        <v>243.73920724017808</v>
      </c>
      <c r="CV107" s="485">
        <f t="shared" ca="1" si="227"/>
        <v>405.99407093846094</v>
      </c>
      <c r="CW107" s="485">
        <f t="shared" ca="1" si="227"/>
        <v>581.38856659653902</v>
      </c>
      <c r="CX107" s="485">
        <f t="shared" ca="1" si="227"/>
        <v>771.41667150133435</v>
      </c>
      <c r="CZ107" s="502">
        <v>8120.6227157586573</v>
      </c>
      <c r="DA107" s="502">
        <v>8988.2176346866781</v>
      </c>
      <c r="DB107" s="502">
        <v>10780.476045475112</v>
      </c>
      <c r="DC107" s="502">
        <v>11041.341992678208</v>
      </c>
      <c r="DD107" s="502">
        <v>11431.039883637348</v>
      </c>
      <c r="DE107" s="502">
        <v>11789.273884614127</v>
      </c>
      <c r="DF107" s="502">
        <v>12746.488149512548</v>
      </c>
      <c r="DG107" s="502">
        <v>14351.691463073277</v>
      </c>
      <c r="DH107" s="502">
        <v>15397.166009123088</v>
      </c>
      <c r="DI107" s="502">
        <v>16109.574672918141</v>
      </c>
      <c r="DJ107" s="502">
        <v>16779.02467525017</v>
      </c>
      <c r="DK107" s="502">
        <v>17486.410761215771</v>
      </c>
      <c r="DL107" s="502">
        <v>18198.388927394808</v>
      </c>
      <c r="DM107" s="502">
        <v>18938.72554542854</v>
      </c>
      <c r="DN107" s="502">
        <v>19714.585240395012</v>
      </c>
      <c r="DO107" s="502">
        <v>20554.445068358782</v>
      </c>
      <c r="DP107" s="502">
        <v>21467.288425544837</v>
      </c>
      <c r="DQ107" s="502">
        <v>22426.196583827361</v>
      </c>
      <c r="DR107" s="502">
        <v>23442.877487650974</v>
      </c>
      <c r="DS107" s="502">
        <v>24524.026461814668</v>
      </c>
    </row>
    <row r="108" spans="1:123">
      <c r="A108" s="326" t="s">
        <v>1480</v>
      </c>
      <c r="B108" s="326"/>
      <c r="C108" s="326"/>
      <c r="D108" s="326"/>
      <c r="E108" s="326">
        <f t="shared" ref="E108:AR108" si="233">E107+E112</f>
        <v>3.6963909060978347E-3</v>
      </c>
      <c r="F108" s="326">
        <f t="shared" si="233"/>
        <v>3.8156933882557888E-3</v>
      </c>
      <c r="G108" s="326">
        <f t="shared" si="233"/>
        <v>4.459883662640822E-3</v>
      </c>
      <c r="H108" s="326">
        <f t="shared" si="233"/>
        <v>6.4943682426282373E-3</v>
      </c>
      <c r="I108" s="326">
        <f t="shared" si="233"/>
        <v>6.0835140127787207E-3</v>
      </c>
      <c r="J108" s="326">
        <f t="shared" si="233"/>
        <v>6.7727988434270608E-3</v>
      </c>
      <c r="K108" s="326">
        <f t="shared" si="233"/>
        <v>7.1716213359374371E-3</v>
      </c>
      <c r="L108" s="326">
        <f t="shared" si="233"/>
        <v>9.1540329845256757E-3</v>
      </c>
      <c r="M108" s="326">
        <f t="shared" si="233"/>
        <v>9.547591310159094E-3</v>
      </c>
      <c r="N108" s="326">
        <f t="shared" si="233"/>
        <v>1.0474453430862417E-2</v>
      </c>
      <c r="O108" s="326">
        <f t="shared" si="233"/>
        <v>1.4950085995477057E-2</v>
      </c>
      <c r="P108" s="326">
        <f t="shared" si="233"/>
        <v>1.5423223159827894E-2</v>
      </c>
      <c r="Q108" s="326">
        <f t="shared" si="233"/>
        <v>1.934016942431227E-2</v>
      </c>
      <c r="R108" s="326">
        <f t="shared" si="233"/>
        <v>1.6219067592786282E-2</v>
      </c>
      <c r="S108" s="326">
        <f t="shared" si="233"/>
        <v>1.8502884614519911E-2</v>
      </c>
      <c r="T108" s="326">
        <f t="shared" si="233"/>
        <v>2.1510923988906833E-2</v>
      </c>
      <c r="U108" s="326">
        <f t="shared" si="233"/>
        <v>2.4445597762450574E-2</v>
      </c>
      <c r="V108" s="326">
        <f t="shared" si="233"/>
        <v>2.73528561188493E-2</v>
      </c>
      <c r="W108" s="326">
        <f t="shared" si="233"/>
        <v>3.3167476234262278E-2</v>
      </c>
      <c r="X108" s="326">
        <f t="shared" si="233"/>
        <v>3.0158458982430608E-2</v>
      </c>
      <c r="Y108" s="326">
        <f t="shared" si="233"/>
        <v>4.4012974181664125E-2</v>
      </c>
      <c r="Z108" s="326">
        <f t="shared" si="233"/>
        <v>5.3443560028728382E-2</v>
      </c>
      <c r="AA108" s="326">
        <f t="shared" si="233"/>
        <v>4.7528901889596104E-2</v>
      </c>
      <c r="AB108" s="326">
        <f t="shared" si="233"/>
        <v>4.6267755254569998E-2</v>
      </c>
      <c r="AC108" s="326">
        <f t="shared" si="233"/>
        <v>5.7744447228473134E-2</v>
      </c>
      <c r="AD108" s="326">
        <f t="shared" si="233"/>
        <v>6.5254198862284785E-2</v>
      </c>
      <c r="AE108" s="326">
        <f t="shared" si="233"/>
        <v>7.1335070819347757E-2</v>
      </c>
      <c r="AF108" s="326">
        <f t="shared" si="233"/>
        <v>7.4837352380504263E-2</v>
      </c>
      <c r="AG108" s="326">
        <f t="shared" si="233"/>
        <v>6.7772932357449356E-2</v>
      </c>
      <c r="AH108" s="326">
        <f t="shared" si="233"/>
        <v>3.2655179135748058E-2</v>
      </c>
      <c r="AI108" s="326">
        <f t="shared" si="233"/>
        <v>4.314779833711202E-2</v>
      </c>
      <c r="AJ108" s="326">
        <f t="shared" si="233"/>
        <v>5.1156883057030034E-2</v>
      </c>
      <c r="AK108" s="326">
        <f t="shared" si="233"/>
        <v>2.9995757020827962E-2</v>
      </c>
      <c r="AL108" s="326">
        <f t="shared" si="233"/>
        <v>-2.3516300522033906E-2</v>
      </c>
      <c r="AM108" s="326">
        <f t="shared" si="233"/>
        <v>-5.4149797895893914E-2</v>
      </c>
      <c r="AN108" s="326">
        <f t="shared" si="233"/>
        <v>-0.13603786550257158</v>
      </c>
      <c r="AO108" s="326">
        <f t="shared" si="233"/>
        <v>-0.15119673626131924</v>
      </c>
      <c r="AP108" s="326">
        <f t="shared" si="233"/>
        <v>-0.37718154672970217</v>
      </c>
      <c r="AQ108" s="326">
        <f t="shared" si="233"/>
        <v>-0.51422791459720163</v>
      </c>
      <c r="AR108" s="326">
        <f t="shared" si="233"/>
        <v>7.6167612482023417E-2</v>
      </c>
      <c r="AS108" s="326">
        <f t="shared" ref="AS108:CC108" si="234">AS107+AS112</f>
        <v>5.9267195183183157</v>
      </c>
      <c r="AT108" s="326">
        <f t="shared" si="234"/>
        <v>4.5941122832562691</v>
      </c>
      <c r="AU108" s="326">
        <f t="shared" si="234"/>
        <v>219.51855214778629</v>
      </c>
      <c r="AV108" s="326">
        <f t="shared" si="234"/>
        <v>296.92626331179167</v>
      </c>
      <c r="AW108" s="326">
        <f t="shared" si="234"/>
        <v>473.47353536586968</v>
      </c>
      <c r="AX108" s="326">
        <f t="shared" si="234"/>
        <v>720.35822618645852</v>
      </c>
      <c r="AY108" s="326">
        <f t="shared" si="234"/>
        <v>1183.7287660836498</v>
      </c>
      <c r="AZ108" s="326">
        <f t="shared" si="234"/>
        <v>1576.6836436373362</v>
      </c>
      <c r="BA108" s="326">
        <f t="shared" si="234"/>
        <v>2156.5446849999998</v>
      </c>
      <c r="BB108" s="326">
        <f t="shared" si="234"/>
        <v>2737.5648230000002</v>
      </c>
      <c r="BC108" s="326">
        <f t="shared" si="234"/>
        <v>3049.6234089999998</v>
      </c>
      <c r="BD108" s="326">
        <f t="shared" ca="1" si="234"/>
        <v>3679.1530168558575</v>
      </c>
      <c r="BE108" s="326">
        <f t="shared" ca="1" si="234"/>
        <v>4738.8469824208751</v>
      </c>
      <c r="BF108" s="326">
        <f t="shared" ca="1" si="234"/>
        <v>5348.4208426545883</v>
      </c>
      <c r="BG108" s="326">
        <f t="shared" ca="1" si="234"/>
        <v>6383.1413285763037</v>
      </c>
      <c r="BH108" s="326">
        <f t="shared" ca="1" si="234"/>
        <v>7286.4247988182442</v>
      </c>
      <c r="BI108" s="326">
        <f t="shared" ca="1" si="234"/>
        <v>6807.1982299362135</v>
      </c>
      <c r="BJ108" s="326">
        <f t="shared" ca="1" si="234"/>
        <v>8831.9350830569874</v>
      </c>
      <c r="BK108" s="326">
        <f t="shared" ca="1" si="234"/>
        <v>10314.580645946364</v>
      </c>
      <c r="BL108" s="326">
        <f t="shared" ca="1" si="234"/>
        <v>12293.687195963166</v>
      </c>
      <c r="BM108" s="326">
        <f t="shared" ca="1" si="234"/>
        <v>12557.545767166024</v>
      </c>
      <c r="BN108" s="326">
        <f t="shared" ca="1" si="234"/>
        <v>13478.494406501601</v>
      </c>
      <c r="BO108" s="326">
        <f t="shared" ca="1" si="234"/>
        <v>13883.546458029614</v>
      </c>
      <c r="BP108" s="326">
        <f t="shared" ca="1" si="234"/>
        <v>15187.297596504561</v>
      </c>
      <c r="BQ108" s="326">
        <f t="shared" ca="1" si="234"/>
        <v>17135.085422721262</v>
      </c>
      <c r="BR108" s="326">
        <f t="shared" ca="1" si="234"/>
        <v>18055.633443795323</v>
      </c>
      <c r="BS108" s="326">
        <f t="shared" ca="1" si="234"/>
        <v>18756.70054421699</v>
      </c>
      <c r="BT108" s="326">
        <f t="shared" ca="1" si="234"/>
        <v>19588.059878441032</v>
      </c>
      <c r="BU108" s="326">
        <f t="shared" ca="1" si="234"/>
        <v>20531.871197964851</v>
      </c>
      <c r="BV108" s="326">
        <f t="shared" ca="1" si="234"/>
        <v>21511.913933370561</v>
      </c>
      <c r="BW108" s="326">
        <f t="shared" ca="1" si="234"/>
        <v>22539.75703829054</v>
      </c>
      <c r="BX108" s="326">
        <f t="shared" ca="1" si="234"/>
        <v>23618.733227048524</v>
      </c>
      <c r="BY108" s="326">
        <f t="shared" ca="1" si="234"/>
        <v>24783.924205127754</v>
      </c>
      <c r="BZ108" s="326">
        <f t="shared" ca="1" si="234"/>
        <v>26045.667639805044</v>
      </c>
      <c r="CA108" s="326">
        <f t="shared" ca="1" si="234"/>
        <v>27368.375172034255</v>
      </c>
      <c r="CB108" s="326">
        <f t="shared" ca="1" si="234"/>
        <v>28770.528927161606</v>
      </c>
      <c r="CC108" s="326">
        <f t="shared" ca="1" si="234"/>
        <v>30260.633166483953</v>
      </c>
      <c r="CE108" s="485"/>
      <c r="CF108" s="485"/>
      <c r="CG108" s="485"/>
      <c r="CH108" s="485"/>
      <c r="CI108" s="485"/>
      <c r="CJ108" s="485"/>
      <c r="CK108" s="485"/>
      <c r="CL108" s="485"/>
      <c r="CM108" s="485"/>
      <c r="CN108" s="485"/>
      <c r="CO108" s="485"/>
      <c r="CP108" s="485"/>
      <c r="CQ108" s="485"/>
      <c r="CR108" s="485"/>
      <c r="CS108" s="485"/>
      <c r="CT108" s="485"/>
      <c r="CU108" s="485"/>
      <c r="CV108" s="485"/>
      <c r="CW108" s="485"/>
      <c r="CX108" s="485"/>
      <c r="CZ108" s="502">
        <v>9329.3963187586578</v>
      </c>
      <c r="DA108" s="502">
        <v>10303.817634686679</v>
      </c>
      <c r="DB108" s="502">
        <v>12346.376045475112</v>
      </c>
      <c r="DC108" s="502">
        <v>12552.141992678207</v>
      </c>
      <c r="DD108" s="502">
        <v>13135.039883637348</v>
      </c>
      <c r="DE108" s="502">
        <v>13572.109584009861</v>
      </c>
      <c r="DF108" s="502">
        <v>14831.969387042715</v>
      </c>
      <c r="DG108" s="502">
        <v>16815.543407284262</v>
      </c>
      <c r="DH108" s="502">
        <v>18026.288734768325</v>
      </c>
      <c r="DI108" s="502">
        <v>18843.313957155176</v>
      </c>
      <c r="DJ108" s="502">
        <v>19599.946297998351</v>
      </c>
      <c r="DK108" s="502">
        <v>20399.746234084887</v>
      </c>
      <c r="DL108" s="502">
        <v>21199.062799815962</v>
      </c>
      <c r="DM108" s="502">
        <v>22028.823994754988</v>
      </c>
      <c r="DN108" s="502">
        <v>22895.234778540427</v>
      </c>
      <c r="DO108" s="502">
        <v>23826.789884295875</v>
      </c>
      <c r="DP108" s="502">
        <v>24833.119347811771</v>
      </c>
      <c r="DQ108" s="502">
        <v>25881.133512200453</v>
      </c>
      <c r="DR108" s="502">
        <v>26989.29742465631</v>
      </c>
      <c r="DS108" s="502">
        <v>28164.11674108349</v>
      </c>
    </row>
    <row r="109" spans="1:123">
      <c r="A109" s="326" t="str">
        <f t="shared" ref="A109:BB109" si="235">A50</f>
        <v>Investeringen</v>
      </c>
      <c r="B109" s="326">
        <f t="shared" si="235"/>
        <v>0</v>
      </c>
      <c r="C109" s="326">
        <f t="shared" si="235"/>
        <v>0</v>
      </c>
      <c r="D109" s="326">
        <f t="shared" si="235"/>
        <v>0</v>
      </c>
      <c r="E109" s="326">
        <f t="shared" si="235"/>
        <v>-2.2717780709194876E-3</v>
      </c>
      <c r="F109" s="326">
        <f t="shared" si="235"/>
        <v>-2.6917243551286898E-3</v>
      </c>
      <c r="G109" s="326">
        <f t="shared" si="235"/>
        <v>-3.2048929076125346E-3</v>
      </c>
      <c r="H109" s="326">
        <f t="shared" si="235"/>
        <v>-5.1378908383989466E-3</v>
      </c>
      <c r="I109" s="326">
        <f t="shared" si="235"/>
        <v>-5.2104003312392691E-3</v>
      </c>
      <c r="J109" s="326">
        <f t="shared" si="235"/>
        <v>-5.6001438480994051E-3</v>
      </c>
      <c r="K109" s="326">
        <f t="shared" si="235"/>
        <v>-6.6810680604899447E-3</v>
      </c>
      <c r="L109" s="326">
        <f t="shared" si="235"/>
        <v>-9.2720423750798503E-3</v>
      </c>
      <c r="M109" s="326">
        <f t="shared" si="235"/>
        <v>-9.9658168904326327E-3</v>
      </c>
      <c r="N109" s="326">
        <f t="shared" si="235"/>
        <v>-1.0699378542140245E-2</v>
      </c>
      <c r="O109" s="326">
        <f t="shared" si="235"/>
        <v>-2.0631619792305933E-2</v>
      </c>
      <c r="P109" s="326">
        <f t="shared" si="235"/>
        <v>-2.0423381531375184E-2</v>
      </c>
      <c r="Q109" s="326">
        <f t="shared" si="235"/>
        <v>-1.4813092686880483E-2</v>
      </c>
      <c r="R109" s="326">
        <f t="shared" si="235"/>
        <v>-1.1077172811335675E-2</v>
      </c>
      <c r="S109" s="326">
        <f t="shared" si="235"/>
        <v>-1.0858482586763876E-2</v>
      </c>
      <c r="T109" s="326">
        <f t="shared" si="235"/>
        <v>-1.0807726331046888E-2</v>
      </c>
      <c r="U109" s="326">
        <f t="shared" si="235"/>
        <v>-1.2602798009327495E-2</v>
      </c>
      <c r="V109" s="326">
        <f t="shared" si="235"/>
        <v>-1.2734593745744732E-2</v>
      </c>
      <c r="W109" s="326">
        <f t="shared" si="235"/>
        <v>-1.6920930023520256E-2</v>
      </c>
      <c r="X109" s="326">
        <f t="shared" si="235"/>
        <v>-1.9739400417651848E-2</v>
      </c>
      <c r="Y109" s="326">
        <f t="shared" si="235"/>
        <v>-3.06896060388962E-2</v>
      </c>
      <c r="Z109" s="326">
        <f t="shared" si="235"/>
        <v>-4.4745511315937903E-2</v>
      </c>
      <c r="AA109" s="326">
        <f t="shared" si="235"/>
        <v>-3.3480951785667262E-2</v>
      </c>
      <c r="AB109" s="326">
        <f t="shared" si="235"/>
        <v>-4.8267741792408836E-2</v>
      </c>
      <c r="AC109" s="326">
        <f t="shared" si="235"/>
        <v>-4.5393906038618259E-2</v>
      </c>
      <c r="AD109" s="326">
        <f t="shared" si="235"/>
        <v>-4.1233799098728097E-2</v>
      </c>
      <c r="AE109" s="326">
        <f t="shared" si="235"/>
        <v>-5.6247562102020976E-2</v>
      </c>
      <c r="AF109" s="326">
        <f t="shared" si="235"/>
        <v>-8.1291948627796651E-2</v>
      </c>
      <c r="AG109" s="326">
        <f t="shared" si="235"/>
        <v>-9.0499954504311753E-2</v>
      </c>
      <c r="AH109" s="326">
        <f t="shared" si="235"/>
        <v>-5.296602647019566E-2</v>
      </c>
      <c r="AI109" s="326">
        <f t="shared" si="235"/>
        <v>-4.1032639532677218E-2</v>
      </c>
      <c r="AJ109" s="326">
        <f t="shared" si="235"/>
        <v>-4.7668849449386208E-2</v>
      </c>
      <c r="AK109" s="326">
        <f t="shared" si="235"/>
        <v>-5.6589262677465002E-2</v>
      </c>
      <c r="AL109" s="326">
        <f t="shared" si="235"/>
        <v>-6.0112017275128271E-2</v>
      </c>
      <c r="AM109" s="326">
        <f t="shared" si="235"/>
        <v>-6.7739506915804854E-2</v>
      </c>
      <c r="AN109" s="326">
        <f t="shared" si="235"/>
        <v>-6.5556610221691403E-2</v>
      </c>
      <c r="AO109" s="326">
        <f t="shared" si="235"/>
        <v>-0.10706356384893434</v>
      </c>
      <c r="AP109" s="326">
        <f t="shared" si="235"/>
        <v>-0.14808370635105361</v>
      </c>
      <c r="AQ109" s="326">
        <f t="shared" si="235"/>
        <v>-0.20386822522056902</v>
      </c>
      <c r="AR109" s="326">
        <f t="shared" si="235"/>
        <v>-0.21424172776789874</v>
      </c>
      <c r="AS109" s="326">
        <f t="shared" si="235"/>
        <v>-5.9354654081485165</v>
      </c>
      <c r="AT109" s="326">
        <f t="shared" si="235"/>
        <v>-3.7284088543248401</v>
      </c>
      <c r="AU109" s="326">
        <f t="shared" si="235"/>
        <v>165.83338622499997</v>
      </c>
      <c r="AV109" s="326">
        <f t="shared" si="235"/>
        <v>123.273605</v>
      </c>
      <c r="AW109" s="326">
        <f t="shared" si="235"/>
        <v>67.166997999999992</v>
      </c>
      <c r="AX109" s="326">
        <f t="shared" si="235"/>
        <v>134.33605617000003</v>
      </c>
      <c r="AY109" s="326">
        <f t="shared" si="235"/>
        <v>201.73418939999996</v>
      </c>
      <c r="AZ109" s="326">
        <f t="shared" si="235"/>
        <v>502.2864459999999</v>
      </c>
      <c r="BA109" s="326">
        <f t="shared" si="235"/>
        <v>564.32130400000017</v>
      </c>
      <c r="BB109" s="326">
        <f t="shared" si="235"/>
        <v>1076.4351769999998</v>
      </c>
      <c r="BC109" s="326">
        <f>BC50</f>
        <v>1155.376591</v>
      </c>
      <c r="BD109" s="326">
        <f ca="1">BD50</f>
        <v>2236.616901026131</v>
      </c>
      <c r="BE109" s="326">
        <f ca="1">BE50</f>
        <v>1744.9990214016264</v>
      </c>
      <c r="BF109" s="326">
        <f t="shared" ref="BF109:BP109" ca="1" si="236">BF50</f>
        <v>2058.8192302826037</v>
      </c>
      <c r="BG109" s="326">
        <f t="shared" ca="1" si="236"/>
        <v>2738.3475060596202</v>
      </c>
      <c r="BH109" s="326">
        <f t="shared" ca="1" si="236"/>
        <v>3313.033905197467</v>
      </c>
      <c r="BI109" s="326">
        <f t="shared" ca="1" si="236"/>
        <v>3189.3907077896056</v>
      </c>
      <c r="BJ109" s="326">
        <f t="shared" ca="1" si="236"/>
        <v>3871.7624351307713</v>
      </c>
      <c r="BK109" s="326">
        <f t="shared" ca="1" si="236"/>
        <v>5213.8728442738466</v>
      </c>
      <c r="BL109" s="326">
        <f t="shared" ca="1" si="236"/>
        <v>5035.130953238785</v>
      </c>
      <c r="BM109" s="326">
        <f t="shared" ca="1" si="236"/>
        <v>5963.8612328339714</v>
      </c>
      <c r="BN109" s="326">
        <f t="shared" ca="1" si="236"/>
        <v>6375.9206664603007</v>
      </c>
      <c r="BO109" s="326">
        <f t="shared" ca="1" si="236"/>
        <v>6841.1489313293414</v>
      </c>
      <c r="BP109" s="326">
        <f t="shared" ca="1" si="236"/>
        <v>6365.2394328297341</v>
      </c>
      <c r="BQ109" s="326">
        <f ca="1">BQ50</f>
        <v>6597.0301207867496</v>
      </c>
      <c r="BR109" s="326">
        <f ca="1">BR50</f>
        <v>6917.2443571464246</v>
      </c>
      <c r="BS109" s="326">
        <f ca="1">BS50</f>
        <v>7233.6004964261829</v>
      </c>
      <c r="BT109" s="326">
        <f ca="1">BT50</f>
        <v>7698.7206213733498</v>
      </c>
      <c r="BU109" s="326">
        <f t="shared" ref="BU109:CB109" ca="1" si="237">BU50</f>
        <v>8122.2846151149279</v>
      </c>
      <c r="BV109" s="326">
        <f t="shared" ca="1" si="237"/>
        <v>8573.1090067703735</v>
      </c>
      <c r="BW109" s="326">
        <f t="shared" ca="1" si="237"/>
        <v>9049.7975108861901</v>
      </c>
      <c r="BX109" s="326">
        <f t="shared" ca="1" si="237"/>
        <v>9555.3641592317508</v>
      </c>
      <c r="BY109" s="326">
        <f t="shared" ca="1" si="237"/>
        <v>10103.170001416993</v>
      </c>
      <c r="BZ109" s="326">
        <f t="shared" ca="1" si="237"/>
        <v>10699.353911977385</v>
      </c>
      <c r="CA109" s="326">
        <f t="shared" ca="1" si="237"/>
        <v>11340.323971400787</v>
      </c>
      <c r="CB109" s="326">
        <f t="shared" ca="1" si="237"/>
        <v>12025.866041341789</v>
      </c>
      <c r="CC109" s="326">
        <f ca="1">CC50</f>
        <v>12760.959686204906</v>
      </c>
      <c r="CE109" s="485">
        <f t="shared" ca="1" si="226"/>
        <v>-15.671342307005489</v>
      </c>
      <c r="CF109" s="485">
        <f t="shared" ca="1" si="226"/>
        <v>-23.870166168663673</v>
      </c>
      <c r="CG109" s="485">
        <f t="shared" ca="1" si="226"/>
        <v>-21.333145685186537</v>
      </c>
      <c r="CH109" s="485">
        <f t="shared" ca="1" si="226"/>
        <v>-6.0737744878188096</v>
      </c>
      <c r="CI109" s="485">
        <f t="shared" ca="1" si="226"/>
        <v>1030.8437643703892</v>
      </c>
      <c r="CJ109" s="485">
        <f t="shared" ca="1" si="226"/>
        <v>1328.010557014728</v>
      </c>
      <c r="CK109" s="485">
        <f t="shared" ca="1" si="226"/>
        <v>1103.1905941000414</v>
      </c>
      <c r="CL109" s="485">
        <f t="shared" ca="1" si="226"/>
        <v>1413.2058853973276</v>
      </c>
      <c r="CM109" s="485">
        <f t="shared" ca="1" si="226"/>
        <v>1421.895987869525</v>
      </c>
      <c r="CN109" s="485">
        <f t="shared" ca="1" si="226"/>
        <v>1422.2122859461988</v>
      </c>
      <c r="CO109" s="485">
        <f t="shared" ca="1" si="227"/>
        <v>1462.6485514102797</v>
      </c>
      <c r="CP109" s="485">
        <f t="shared" ca="1" si="227"/>
        <v>1557.3346075678955</v>
      </c>
      <c r="CQ109" s="485">
        <f t="shared" ca="1" si="227"/>
        <v>1667.0323777096874</v>
      </c>
      <c r="CR109" s="485">
        <f t="shared" ca="1" si="227"/>
        <v>1785.3909524985447</v>
      </c>
      <c r="CS109" s="485">
        <f t="shared" ca="1" si="227"/>
        <v>1911.6550272103705</v>
      </c>
      <c r="CT109" s="485">
        <f t="shared" ca="1" si="227"/>
        <v>2051.2363930087095</v>
      </c>
      <c r="CU109" s="485">
        <f t="shared" ca="1" si="227"/>
        <v>2205.5195601102641</v>
      </c>
      <c r="CV109" s="485">
        <f t="shared" ca="1" si="227"/>
        <v>2373.9448794224991</v>
      </c>
      <c r="CW109" s="485">
        <f t="shared" ca="1" si="227"/>
        <v>2555.1217912733155</v>
      </c>
      <c r="CX109" s="485">
        <f t="shared" ca="1" si="227"/>
        <v>2750.4169057843574</v>
      </c>
      <c r="CZ109" s="502">
        <v>3887.4337774377768</v>
      </c>
      <c r="DA109" s="502">
        <v>5237.7430104425102</v>
      </c>
      <c r="DB109" s="502">
        <v>5056.4640989239715</v>
      </c>
      <c r="DC109" s="502">
        <v>5969.9350073217902</v>
      </c>
      <c r="DD109" s="502">
        <v>5345.0769020899115</v>
      </c>
      <c r="DE109" s="502">
        <v>5513.1383743146134</v>
      </c>
      <c r="DF109" s="502">
        <v>5262.0488387296928</v>
      </c>
      <c r="DG109" s="502">
        <v>5183.824235389422</v>
      </c>
      <c r="DH109" s="502">
        <v>5495.3483692768996</v>
      </c>
      <c r="DI109" s="502">
        <v>5811.3882104799841</v>
      </c>
      <c r="DJ109" s="502">
        <v>6236.0720699630701</v>
      </c>
      <c r="DK109" s="502">
        <v>6564.9500075470323</v>
      </c>
      <c r="DL109" s="502">
        <v>6906.0766290606862</v>
      </c>
      <c r="DM109" s="502">
        <v>7264.4065583876454</v>
      </c>
      <c r="DN109" s="502">
        <v>7643.7091320213804</v>
      </c>
      <c r="DO109" s="502">
        <v>8051.9336084082834</v>
      </c>
      <c r="DP109" s="502">
        <v>8493.8343518671209</v>
      </c>
      <c r="DQ109" s="502">
        <v>8966.3790919782878</v>
      </c>
      <c r="DR109" s="502">
        <v>9470.7442500684738</v>
      </c>
      <c r="DS109" s="502">
        <v>10010.542780420548</v>
      </c>
    </row>
    <row r="110" spans="1:123">
      <c r="A110" s="326" t="str">
        <f t="shared" ref="A110:E111" si="238">A53</f>
        <v>Exporten</v>
      </c>
      <c r="B110" s="326">
        <f t="shared" si="238"/>
        <v>0</v>
      </c>
      <c r="C110" s="326">
        <f t="shared" si="238"/>
        <v>0</v>
      </c>
      <c r="D110" s="326">
        <f t="shared" si="238"/>
        <v>0</v>
      </c>
      <c r="E110" s="326">
        <f t="shared" si="238"/>
        <v>-5.7602111977307219E-3</v>
      </c>
      <c r="F110" s="326">
        <f t="shared" ref="F110:BB110" si="239">F53</f>
        <v>-5.9287080150156532E-3</v>
      </c>
      <c r="G110" s="326">
        <f t="shared" si="239"/>
        <v>-7.342604331786004E-3</v>
      </c>
      <c r="H110" s="326">
        <f t="shared" si="239"/>
        <v>-9.6690942372245348E-3</v>
      </c>
      <c r="I110" s="326">
        <f t="shared" si="239"/>
        <v>-8.8911288181458686E-3</v>
      </c>
      <c r="J110" s="326">
        <f t="shared" si="239"/>
        <v>-1.1077208656140036E-2</v>
      </c>
      <c r="K110" s="326">
        <f t="shared" si="239"/>
        <v>-1.2563588352552432E-2</v>
      </c>
      <c r="L110" s="326">
        <f t="shared" si="239"/>
        <v>-1.595515263788036E-2</v>
      </c>
      <c r="M110" s="326">
        <f t="shared" si="239"/>
        <v>-1.5684496898269798E-2</v>
      </c>
      <c r="N110" s="326">
        <f t="shared" si="239"/>
        <v>-1.6467356650458273E-2</v>
      </c>
      <c r="O110" s="326">
        <f t="shared" si="239"/>
        <v>-1.7939190677969716E-2</v>
      </c>
      <c r="P110" s="326">
        <f t="shared" si="239"/>
        <v>-2.0375782602016945E-2</v>
      </c>
      <c r="Q110" s="326">
        <f t="shared" si="239"/>
        <v>-2.8101670114874189E-2</v>
      </c>
      <c r="R110" s="326">
        <f t="shared" si="239"/>
        <v>-2.8952163167880601E-2</v>
      </c>
      <c r="S110" s="326">
        <f t="shared" si="239"/>
        <v>-3.026175011504334E-2</v>
      </c>
      <c r="T110" s="326">
        <f t="shared" si="239"/>
        <v>-3.9278224331032452E-2</v>
      </c>
      <c r="U110" s="326">
        <f t="shared" si="239"/>
        <v>-4.6665746688503373E-2</v>
      </c>
      <c r="V110" s="326">
        <f t="shared" si="239"/>
        <v>-5.0250892191042507E-2</v>
      </c>
      <c r="W110" s="326">
        <f t="shared" si="239"/>
        <v>-5.9696434640257423E-2</v>
      </c>
      <c r="X110" s="326">
        <f t="shared" si="239"/>
        <v>-5.5423522828366489E-2</v>
      </c>
      <c r="Y110" s="326">
        <f t="shared" si="239"/>
        <v>-7.7203945316801859E-2</v>
      </c>
      <c r="Z110" s="326">
        <f t="shared" si="239"/>
        <v>-8.6467493533171402E-2</v>
      </c>
      <c r="AA110" s="326">
        <f t="shared" si="239"/>
        <v>-0.10353900080776102</v>
      </c>
      <c r="AB110" s="326">
        <f t="shared" si="239"/>
        <v>-0.12034042225020514</v>
      </c>
      <c r="AC110" s="326">
        <f t="shared" si="239"/>
        <v>-0.13993865408236905</v>
      </c>
      <c r="AD110" s="326">
        <f t="shared" si="239"/>
        <v>-0.15529198487508178</v>
      </c>
      <c r="AE110" s="326">
        <f t="shared" si="239"/>
        <v>-0.18445732432390805</v>
      </c>
      <c r="AF110" s="326">
        <f t="shared" si="239"/>
        <v>-0.18818067662070903</v>
      </c>
      <c r="AG110" s="326">
        <f t="shared" si="239"/>
        <v>-0.21536136467433797</v>
      </c>
      <c r="AH110" s="326">
        <f t="shared" si="239"/>
        <v>-0.21050418022504791</v>
      </c>
      <c r="AI110" s="326">
        <f t="shared" si="239"/>
        <v>-0.21326313592269419</v>
      </c>
      <c r="AJ110" s="326">
        <f t="shared" si="239"/>
        <v>-0.19505404348905708</v>
      </c>
      <c r="AK110" s="326">
        <f t="shared" si="239"/>
        <v>-0.19409802674409593</v>
      </c>
      <c r="AL110" s="326">
        <f t="shared" si="239"/>
        <v>-0.22293756206358484</v>
      </c>
      <c r="AM110" s="326">
        <f t="shared" si="239"/>
        <v>-0.22838937065364773</v>
      </c>
      <c r="AN110" s="326">
        <f t="shared" si="239"/>
        <v>-0.26514718401076887</v>
      </c>
      <c r="AO110" s="326">
        <f t="shared" si="239"/>
        <v>-0.15582694857892565</v>
      </c>
      <c r="AP110" s="326">
        <f t="shared" si="239"/>
        <v>-0.12992189921691144</v>
      </c>
      <c r="AQ110" s="326">
        <f t="shared" si="239"/>
        <v>-0.12200471212920283</v>
      </c>
      <c r="AR110" s="326">
        <f t="shared" si="239"/>
        <v>-1.3507052599406091</v>
      </c>
      <c r="AS110" s="326">
        <f t="shared" si="239"/>
        <v>-5.9199079074954142</v>
      </c>
      <c r="AT110" s="326">
        <f t="shared" si="239"/>
        <v>-14.137711709723447</v>
      </c>
      <c r="AU110" s="326">
        <f t="shared" si="239"/>
        <v>194.72927249999995</v>
      </c>
      <c r="AV110" s="326">
        <f t="shared" si="239"/>
        <v>197.89350000000002</v>
      </c>
      <c r="AW110" s="326">
        <f t="shared" si="239"/>
        <v>169.10169999999997</v>
      </c>
      <c r="AX110" s="326">
        <f t="shared" si="239"/>
        <v>446.37928100000005</v>
      </c>
      <c r="AY110" s="326">
        <f t="shared" si="239"/>
        <v>694.58854699999983</v>
      </c>
      <c r="AZ110" s="326">
        <f t="shared" si="239"/>
        <v>1081.4073999999998</v>
      </c>
      <c r="BA110" s="326">
        <f t="shared" si="239"/>
        <v>948.92817100000036</v>
      </c>
      <c r="BB110" s="326">
        <f t="shared" si="239"/>
        <v>1577.6179799999993</v>
      </c>
      <c r="BC110" s="326">
        <f t="shared" ref="BC110:BM110" si="240">BC53</f>
        <v>2209.0720000000001</v>
      </c>
      <c r="BD110" s="326">
        <f t="shared" ca="1" si="240"/>
        <v>2747.4730995891755</v>
      </c>
      <c r="BE110" s="326">
        <f t="shared" ca="1" si="240"/>
        <v>3121.003072982181</v>
      </c>
      <c r="BF110" s="326">
        <f t="shared" ca="1" si="240"/>
        <v>4217.1058393087797</v>
      </c>
      <c r="BG110" s="326">
        <f t="shared" ca="1" si="240"/>
        <v>5468.2099494682734</v>
      </c>
      <c r="BH110" s="326">
        <f t="shared" ca="1" si="240"/>
        <v>5263.3872005621806</v>
      </c>
      <c r="BI110" s="326">
        <f t="shared" ca="1" si="240"/>
        <v>6944.9381201475117</v>
      </c>
      <c r="BJ110" s="326">
        <f t="shared" ca="1" si="240"/>
        <v>8212.598019638579</v>
      </c>
      <c r="BK110" s="326">
        <f t="shared" ca="1" si="240"/>
        <v>9041.2103208467761</v>
      </c>
      <c r="BL110" s="326">
        <f t="shared" ca="1" si="240"/>
        <v>8541.8632766331648</v>
      </c>
      <c r="BM110" s="326">
        <f t="shared" ca="1" si="240"/>
        <v>7892.5999999999985</v>
      </c>
      <c r="BN110" s="326">
        <f t="shared" ref="BN110:BP111" ca="1" si="241">BN53</f>
        <v>6493.6078205371923</v>
      </c>
      <c r="BO110" s="326">
        <f t="shared" ca="1" si="241"/>
        <v>6910.6949035161724</v>
      </c>
      <c r="BP110" s="326">
        <f t="shared" ca="1" si="241"/>
        <v>7405.6525297174758</v>
      </c>
      <c r="BQ110" s="326">
        <f t="shared" ref="BQ110:BT111" ca="1" si="242">BQ53</f>
        <v>7841.4988156356903</v>
      </c>
      <c r="BR110" s="326">
        <f t="shared" ca="1" si="242"/>
        <v>7848.9680362106465</v>
      </c>
      <c r="BS110" s="326">
        <f t="shared" ca="1" si="242"/>
        <v>8041.6847945724567</v>
      </c>
      <c r="BT110" s="326">
        <f t="shared" ca="1" si="242"/>
        <v>8378.4651747559292</v>
      </c>
      <c r="BU110" s="326">
        <f t="shared" ref="BU110:CB110" ca="1" si="243">BU53</f>
        <v>8732.885862487823</v>
      </c>
      <c r="BV110" s="326">
        <f t="shared" ca="1" si="243"/>
        <v>9106.611912401575</v>
      </c>
      <c r="BW110" s="326">
        <f t="shared" ca="1" si="243"/>
        <v>9500.245032546718</v>
      </c>
      <c r="BX110" s="326">
        <f t="shared" ca="1" si="243"/>
        <v>9915.0695038296908</v>
      </c>
      <c r="BY110" s="326">
        <f t="shared" ca="1" si="243"/>
        <v>10547.174958448508</v>
      </c>
      <c r="BZ110" s="326">
        <f t="shared" ca="1" si="243"/>
        <v>11225.305914208697</v>
      </c>
      <c r="CA110" s="326">
        <f t="shared" ca="1" si="243"/>
        <v>11953.364624804624</v>
      </c>
      <c r="CB110" s="326">
        <f t="shared" ca="1" si="243"/>
        <v>12734.197994722639</v>
      </c>
      <c r="CC110" s="326">
        <f ca="1">CC53</f>
        <v>13571.760810239906</v>
      </c>
      <c r="CE110" s="485">
        <f t="shared" ca="1" si="226"/>
        <v>478.74405018695779</v>
      </c>
      <c r="CF110" s="485">
        <f t="shared" ca="1" si="226"/>
        <v>-22.355731948695393</v>
      </c>
      <c r="CG110" s="485">
        <f t="shared" ca="1" si="226"/>
        <v>37.293207040729612</v>
      </c>
      <c r="CH110" s="485">
        <f t="shared" ca="1" si="226"/>
        <v>0.67000000000098225</v>
      </c>
      <c r="CI110" s="485">
        <f t="shared" ca="1" si="226"/>
        <v>-365.47115326138555</v>
      </c>
      <c r="CJ110" s="485">
        <f t="shared" ca="1" si="226"/>
        <v>-96.018985847621479</v>
      </c>
      <c r="CK110" s="485">
        <f t="shared" ca="1" si="226"/>
        <v>-98.270917539597576</v>
      </c>
      <c r="CL110" s="485">
        <f t="shared" ca="1" si="226"/>
        <v>-833.23778435181703</v>
      </c>
      <c r="CM110" s="485">
        <f t="shared" ca="1" si="226"/>
        <v>-1291.8072079543181</v>
      </c>
      <c r="CN110" s="485">
        <f t="shared" ca="1" si="226"/>
        <v>-1493.8189056757528</v>
      </c>
      <c r="CO110" s="485">
        <f t="shared" ca="1" si="227"/>
        <v>-1573.1656245869399</v>
      </c>
      <c r="CP110" s="485">
        <f t="shared" ca="1" si="227"/>
        <v>-1655.9819643910723</v>
      </c>
      <c r="CQ110" s="485">
        <f t="shared" ca="1" si="227"/>
        <v>-1742.6657314525328</v>
      </c>
      <c r="CR110" s="485">
        <f t="shared" ca="1" si="227"/>
        <v>-1833.6631919769898</v>
      </c>
      <c r="CS110" s="485">
        <f t="shared" ca="1" si="227"/>
        <v>-1929.2326470795742</v>
      </c>
      <c r="CT110" s="485">
        <f t="shared" ca="1" si="227"/>
        <v>-2080.3287424398659</v>
      </c>
      <c r="CU110" s="485">
        <f t="shared" ca="1" si="227"/>
        <v>-2242.0298727148202</v>
      </c>
      <c r="CV110" s="485">
        <f t="shared" ca="1" si="227"/>
        <v>-2414.806985125535</v>
      </c>
      <c r="CW110" s="485">
        <f t="shared" ca="1" si="227"/>
        <v>-2599.8624091080856</v>
      </c>
      <c r="CX110" s="485">
        <f t="shared" ca="1" si="227"/>
        <v>-2798.0545984062628</v>
      </c>
      <c r="CZ110" s="502">
        <v>7733.8539694516212</v>
      </c>
      <c r="DA110" s="502">
        <v>9063.5660527954715</v>
      </c>
      <c r="DB110" s="502">
        <v>8504.5700695924352</v>
      </c>
      <c r="DC110" s="502">
        <v>7891.9299999999976</v>
      </c>
      <c r="DD110" s="502">
        <v>6859.0789737985779</v>
      </c>
      <c r="DE110" s="502">
        <v>7006.7138893637939</v>
      </c>
      <c r="DF110" s="502">
        <v>7503.9234472570733</v>
      </c>
      <c r="DG110" s="502">
        <v>8674.7365999875074</v>
      </c>
      <c r="DH110" s="502">
        <v>9140.7752441649645</v>
      </c>
      <c r="DI110" s="502">
        <v>9535.5037002482095</v>
      </c>
      <c r="DJ110" s="502">
        <v>9951.6307993428691</v>
      </c>
      <c r="DK110" s="502">
        <v>10388.867826878895</v>
      </c>
      <c r="DL110" s="502">
        <v>10849.277643854108</v>
      </c>
      <c r="DM110" s="502">
        <v>11333.908224523708</v>
      </c>
      <c r="DN110" s="502">
        <v>11844.302150909265</v>
      </c>
      <c r="DO110" s="502">
        <v>12627.503700888374</v>
      </c>
      <c r="DP110" s="502">
        <v>13467.335786923517</v>
      </c>
      <c r="DQ110" s="502">
        <v>14368.171609930159</v>
      </c>
      <c r="DR110" s="502">
        <v>15334.060403830725</v>
      </c>
      <c r="DS110" s="502">
        <v>16369.815408646169</v>
      </c>
    </row>
    <row r="111" spans="1:123">
      <c r="A111" s="326" t="str">
        <f t="shared" si="238"/>
        <v>Importen</v>
      </c>
      <c r="B111" s="326">
        <f t="shared" si="238"/>
        <v>0</v>
      </c>
      <c r="C111" s="326">
        <f t="shared" si="238"/>
        <v>0</v>
      </c>
      <c r="D111" s="326">
        <f t="shared" si="238"/>
        <v>0</v>
      </c>
      <c r="E111" s="326">
        <f t="shared" si="238"/>
        <v>-4.3355983625523731E-3</v>
      </c>
      <c r="F111" s="326">
        <f t="shared" ref="F111:BB111" si="244">F54</f>
        <v>-4.8047389818885594E-3</v>
      </c>
      <c r="G111" s="326">
        <f t="shared" si="244"/>
        <v>-6.0876135767577028E-3</v>
      </c>
      <c r="H111" s="326">
        <f t="shared" si="244"/>
        <v>-8.312616832995251E-3</v>
      </c>
      <c r="I111" s="326">
        <f t="shared" si="244"/>
        <v>-8.0180151366064101E-3</v>
      </c>
      <c r="J111" s="326">
        <f t="shared" si="244"/>
        <v>-9.9045536608124152E-3</v>
      </c>
      <c r="K111" s="326">
        <f t="shared" si="244"/>
        <v>-1.2073035077104929E-2</v>
      </c>
      <c r="L111" s="326">
        <f t="shared" si="244"/>
        <v>-1.6073162028434534E-2</v>
      </c>
      <c r="M111" s="326">
        <f t="shared" si="244"/>
        <v>-1.6102722478543371E-2</v>
      </c>
      <c r="N111" s="326">
        <f t="shared" si="244"/>
        <v>-1.669228176173615E-2</v>
      </c>
      <c r="O111" s="326">
        <f t="shared" si="244"/>
        <v>-2.3620724474798571E-2</v>
      </c>
      <c r="P111" s="326">
        <f t="shared" si="244"/>
        <v>-2.5375940973564243E-2</v>
      </c>
      <c r="Q111" s="326">
        <f t="shared" si="244"/>
        <v>-2.3574593377442415E-2</v>
      </c>
      <c r="R111" s="326">
        <f t="shared" si="244"/>
        <v>-2.3810268386430022E-2</v>
      </c>
      <c r="S111" s="326">
        <f t="shared" si="244"/>
        <v>-2.2617348087287215E-2</v>
      </c>
      <c r="T111" s="326">
        <f t="shared" si="244"/>
        <v>-2.8575026673172493E-2</v>
      </c>
      <c r="U111" s="326">
        <f t="shared" si="244"/>
        <v>-3.4822946935380267E-2</v>
      </c>
      <c r="V111" s="326">
        <f t="shared" si="244"/>
        <v>-3.5632629817937966E-2</v>
      </c>
      <c r="W111" s="326">
        <f t="shared" si="244"/>
        <v>-4.3449888429515415E-2</v>
      </c>
      <c r="X111" s="326">
        <f t="shared" si="244"/>
        <v>-4.5004464263587785E-2</v>
      </c>
      <c r="Y111" s="326">
        <f t="shared" si="244"/>
        <v>-6.3880577174033948E-2</v>
      </c>
      <c r="Z111" s="326">
        <f t="shared" si="244"/>
        <v>-7.776944482038084E-2</v>
      </c>
      <c r="AA111" s="326">
        <f t="shared" si="244"/>
        <v>-8.9491050703832231E-2</v>
      </c>
      <c r="AB111" s="326">
        <f t="shared" si="244"/>
        <v>-0.12234040878804386</v>
      </c>
      <c r="AC111" s="326">
        <f t="shared" si="244"/>
        <v>-0.12758811289251415</v>
      </c>
      <c r="AD111" s="326">
        <f t="shared" si="244"/>
        <v>-0.13127158511152504</v>
      </c>
      <c r="AE111" s="326">
        <f t="shared" si="244"/>
        <v>-0.16936981560658126</v>
      </c>
      <c r="AF111" s="326">
        <f t="shared" si="244"/>
        <v>-0.19463527286800142</v>
      </c>
      <c r="AG111" s="326">
        <f t="shared" si="244"/>
        <v>-0.2380883868212007</v>
      </c>
      <c r="AH111" s="326">
        <f t="shared" si="244"/>
        <v>-0.23081502755949557</v>
      </c>
      <c r="AI111" s="326">
        <f t="shared" si="244"/>
        <v>-0.2111479771182595</v>
      </c>
      <c r="AJ111" s="326">
        <f t="shared" si="244"/>
        <v>-0.19156600988141315</v>
      </c>
      <c r="AK111" s="326">
        <f t="shared" si="244"/>
        <v>-0.2206915324007328</v>
      </c>
      <c r="AL111" s="326">
        <f t="shared" si="244"/>
        <v>-0.30656587986074701</v>
      </c>
      <c r="AM111" s="326">
        <f t="shared" si="244"/>
        <v>-0.35027867546534686</v>
      </c>
      <c r="AN111" s="326">
        <f t="shared" si="244"/>
        <v>-0.46674165973503179</v>
      </c>
      <c r="AO111" s="326">
        <f t="shared" si="244"/>
        <v>-0.41408724868917979</v>
      </c>
      <c r="AP111" s="326">
        <f t="shared" si="244"/>
        <v>-0.655187152297668</v>
      </c>
      <c r="AQ111" s="326">
        <f t="shared" si="244"/>
        <v>-0.84010085194697304</v>
      </c>
      <c r="AR111" s="326">
        <f t="shared" si="244"/>
        <v>-1.4887793752264855</v>
      </c>
      <c r="AS111" s="326">
        <f t="shared" si="244"/>
        <v>-5.9286537973256088</v>
      </c>
      <c r="AT111" s="326">
        <f t="shared" si="244"/>
        <v>-13.272008280791994</v>
      </c>
      <c r="AU111" s="326">
        <f t="shared" si="244"/>
        <v>232.09548249999995</v>
      </c>
      <c r="AV111" s="326">
        <f t="shared" si="244"/>
        <v>224.27929999999998</v>
      </c>
      <c r="AW111" s="326">
        <f t="shared" si="244"/>
        <v>230.09379999999999</v>
      </c>
      <c r="AX111" s="326">
        <f t="shared" si="244"/>
        <v>408.88720500000005</v>
      </c>
      <c r="AY111" s="326">
        <f t="shared" si="244"/>
        <v>599.62475099999983</v>
      </c>
      <c r="AZ111" s="326">
        <f t="shared" si="244"/>
        <v>1028.03415</v>
      </c>
      <c r="BA111" s="326">
        <f t="shared" si="244"/>
        <v>1135.5491600000003</v>
      </c>
      <c r="BB111" s="326">
        <f t="shared" si="244"/>
        <v>1832.7443199999993</v>
      </c>
      <c r="BC111" s="326">
        <f t="shared" ref="BC111:BM111" si="245">BC54</f>
        <v>2023.16</v>
      </c>
      <c r="BD111" s="326">
        <f t="shared" ca="1" si="245"/>
        <v>2557.3270174711683</v>
      </c>
      <c r="BE111" s="326">
        <f t="shared" ca="1" si="245"/>
        <v>2398.524063747157</v>
      </c>
      <c r="BF111" s="326">
        <f t="shared" ca="1" si="245"/>
        <v>3563.8140323882626</v>
      </c>
      <c r="BG111" s="326">
        <f t="shared" ca="1" si="245"/>
        <v>4891.6437477637237</v>
      </c>
      <c r="BH111" s="326">
        <f t="shared" ca="1" si="245"/>
        <v>5224.4222375731215</v>
      </c>
      <c r="BI111" s="326">
        <f t="shared" ca="1" si="245"/>
        <v>4948.5110578733293</v>
      </c>
      <c r="BJ111" s="326">
        <f t="shared" ca="1" si="245"/>
        <v>6464.4145378263347</v>
      </c>
      <c r="BK111" s="326">
        <f t="shared" ca="1" si="245"/>
        <v>8135.9888110669835</v>
      </c>
      <c r="BL111" s="326">
        <f t="shared" ca="1" si="245"/>
        <v>8938.5544258351147</v>
      </c>
      <c r="BM111" s="326">
        <f t="shared" ca="1" si="245"/>
        <v>9219.869999999999</v>
      </c>
      <c r="BN111" s="326">
        <f t="shared" ca="1" si="241"/>
        <v>9060.6528934990947</v>
      </c>
      <c r="BO111" s="326">
        <f t="shared" ca="1" si="241"/>
        <v>9178.4092928751197</v>
      </c>
      <c r="BP111" s="326">
        <f t="shared" ca="1" si="241"/>
        <v>8890.3975590517639</v>
      </c>
      <c r="BQ111" s="326">
        <f t="shared" ca="1" si="242"/>
        <v>9513.9991494854658</v>
      </c>
      <c r="BR111" s="326">
        <f t="shared" ca="1" si="242"/>
        <v>9923.2854960383011</v>
      </c>
      <c r="BS111" s="326">
        <f t="shared" ca="1" si="242"/>
        <v>10429.912498090542</v>
      </c>
      <c r="BT111" s="326">
        <f t="shared" ca="1" si="242"/>
        <v>11124.132370876698</v>
      </c>
      <c r="BU111" s="326">
        <f t="shared" ref="BU111:CB111" ca="1" si="246">BU54</f>
        <v>11841.085845383066</v>
      </c>
      <c r="BV111" s="326">
        <f t="shared" ca="1" si="246"/>
        <v>12607.662364546761</v>
      </c>
      <c r="BW111" s="326">
        <f t="shared" ca="1" si="246"/>
        <v>13428.972034047783</v>
      </c>
      <c r="BX111" s="326">
        <f t="shared" ca="1" si="246"/>
        <v>14310.962851330387</v>
      </c>
      <c r="BY111" s="326">
        <f t="shared" ca="1" si="246"/>
        <v>15245.934805814511</v>
      </c>
      <c r="BZ111" s="326">
        <f t="shared" ca="1" si="246"/>
        <v>16266.000753962344</v>
      </c>
      <c r="CA111" s="326">
        <f t="shared" ca="1" si="246"/>
        <v>17364.384012372673</v>
      </c>
      <c r="CB111" s="326">
        <f t="shared" ca="1" si="246"/>
        <v>18547.769182448632</v>
      </c>
      <c r="CC111" s="326">
        <f ca="1">CC54</f>
        <v>19825.149421639268</v>
      </c>
      <c r="CE111" s="485">
        <f t="shared" ca="1" si="226"/>
        <v>-34.388527821722164</v>
      </c>
      <c r="CF111" s="485">
        <f t="shared" ca="1" si="226"/>
        <v>-35.462886857673766</v>
      </c>
      <c r="CG111" s="485">
        <f t="shared" ca="1" si="226"/>
        <v>-36.728788156404335</v>
      </c>
      <c r="CH111" s="485">
        <f t="shared" ca="1" si="226"/>
        <v>0</v>
      </c>
      <c r="CI111" s="485">
        <f t="shared" ca="1" si="226"/>
        <v>1008.8271339732555</v>
      </c>
      <c r="CJ111" s="485">
        <f t="shared" ca="1" si="226"/>
        <v>1543.4284451868562</v>
      </c>
      <c r="CK111" s="485">
        <f t="shared" ca="1" si="226"/>
        <v>1360.2478860222955</v>
      </c>
      <c r="CL111" s="485">
        <f t="shared" ca="1" si="226"/>
        <v>1367.9148903407586</v>
      </c>
      <c r="CM111" s="485">
        <f t="shared" ca="1" si="226"/>
        <v>1174.6291357276132</v>
      </c>
      <c r="CN111" s="485">
        <f t="shared" ca="1" si="226"/>
        <v>1030.1850019442663</v>
      </c>
      <c r="CO111" s="485">
        <f t="shared" ca="1" si="227"/>
        <v>1037.5656673876274</v>
      </c>
      <c r="CP111" s="485">
        <f t="shared" ca="1" si="227"/>
        <v>1082.9973520147287</v>
      </c>
      <c r="CQ111" s="485">
        <f t="shared" ca="1" si="227"/>
        <v>1140.1316096166101</v>
      </c>
      <c r="CR111" s="485">
        <f t="shared" ca="1" si="227"/>
        <v>1201.5036211279839</v>
      </c>
      <c r="CS111" s="485">
        <f t="shared" ca="1" si="227"/>
        <v>1265.943382458714</v>
      </c>
      <c r="CT111" s="485">
        <f t="shared" ca="1" si="227"/>
        <v>1338.6795326594456</v>
      </c>
      <c r="CU111" s="485">
        <f t="shared" ca="1" si="227"/>
        <v>1420.1390337625817</v>
      </c>
      <c r="CV111" s="485">
        <f t="shared" ca="1" si="227"/>
        <v>1509.762179661393</v>
      </c>
      <c r="CW111" s="485">
        <f t="shared" ca="1" si="227"/>
        <v>1605.7569803507358</v>
      </c>
      <c r="CX111" s="485">
        <f t="shared" ca="1" si="227"/>
        <v>1708.9950220159917</v>
      </c>
      <c r="CZ111" s="502">
        <v>6498.8030656480569</v>
      </c>
      <c r="DA111" s="502">
        <v>8171.4516979246573</v>
      </c>
      <c r="DB111" s="502">
        <v>8975.283213991519</v>
      </c>
      <c r="DC111" s="502">
        <v>9219.869999999999</v>
      </c>
      <c r="DD111" s="502">
        <v>8051.8257595258392</v>
      </c>
      <c r="DE111" s="502">
        <v>7634.9808476882636</v>
      </c>
      <c r="DF111" s="502">
        <v>7530.1496730294684</v>
      </c>
      <c r="DG111" s="502">
        <v>8146.0842591447072</v>
      </c>
      <c r="DH111" s="502">
        <v>8748.6563603106879</v>
      </c>
      <c r="DI111" s="502">
        <v>9399.7274961462754</v>
      </c>
      <c r="DJ111" s="502">
        <v>10086.56670348907</v>
      </c>
      <c r="DK111" s="502">
        <v>10758.088493368337</v>
      </c>
      <c r="DL111" s="502">
        <v>11467.530754930151</v>
      </c>
      <c r="DM111" s="502">
        <v>12227.468412919799</v>
      </c>
      <c r="DN111" s="502">
        <v>13045.019468871673</v>
      </c>
      <c r="DO111" s="502">
        <v>13907.255273155066</v>
      </c>
      <c r="DP111" s="502">
        <v>14845.861720199762</v>
      </c>
      <c r="DQ111" s="502">
        <v>15854.62183271128</v>
      </c>
      <c r="DR111" s="502">
        <v>16942.012202097896</v>
      </c>
      <c r="DS111" s="502">
        <v>18116.154399623276</v>
      </c>
    </row>
    <row r="112" spans="1:123">
      <c r="A112" s="326" t="str">
        <f>A58</f>
        <v>Loonsom van de overheid</v>
      </c>
      <c r="B112" s="326">
        <f>B58</f>
        <v>0</v>
      </c>
      <c r="C112" s="326">
        <f>C58</f>
        <v>0</v>
      </c>
      <c r="D112" s="326">
        <f>D58</f>
        <v>0</v>
      </c>
      <c r="E112" s="326">
        <f>E58</f>
        <v>1.1498834224862036E-2</v>
      </c>
      <c r="F112" s="326">
        <f t="shared" ref="F112:BB112" si="247">F58</f>
        <v>1.3258859871524592E-2</v>
      </c>
      <c r="G112" s="326">
        <f t="shared" si="247"/>
        <v>1.4661013502419794E-2</v>
      </c>
      <c r="H112" s="326">
        <f t="shared" si="247"/>
        <v>1.9548018003226392E-2</v>
      </c>
      <c r="I112" s="326">
        <f t="shared" si="247"/>
        <v>2.0427679462388201E-2</v>
      </c>
      <c r="J112" s="326">
        <f t="shared" si="247"/>
        <v>2.2773440369501893E-2</v>
      </c>
      <c r="K112" s="326">
        <f t="shared" si="247"/>
        <v>2.5607904076584007E-2</v>
      </c>
      <c r="L112" s="326">
        <f t="shared" si="247"/>
        <v>3.4111290721853663E-2</v>
      </c>
      <c r="M112" s="326">
        <f t="shared" si="247"/>
        <v>3.508869184581382E-2</v>
      </c>
      <c r="N112" s="326">
        <f t="shared" si="247"/>
        <v>3.606609296977397E-2</v>
      </c>
      <c r="O112" s="326">
        <f t="shared" si="247"/>
        <v>4.1246317583969787E-2</v>
      </c>
      <c r="P112" s="326">
        <f t="shared" si="247"/>
        <v>4.4569479615043629E-2</v>
      </c>
      <c r="Q112" s="326">
        <f t="shared" si="247"/>
        <v>5.2975131071491627E-2</v>
      </c>
      <c r="R112" s="326">
        <f t="shared" si="247"/>
        <v>5.6005071870182097E-2</v>
      </c>
      <c r="S112" s="326">
        <f t="shared" si="247"/>
        <v>5.8839533339275864E-2</v>
      </c>
      <c r="T112" s="326">
        <f t="shared" si="247"/>
        <v>6.8906765811260789E-2</v>
      </c>
      <c r="U112" s="326">
        <f t="shared" si="247"/>
        <v>8.0831054152402645E-2</v>
      </c>
      <c r="V112" s="326">
        <f t="shared" si="247"/>
        <v>8.2394897741129569E-2</v>
      </c>
      <c r="W112" s="326">
        <f t="shared" si="247"/>
        <v>9.4905628547038184E-2</v>
      </c>
      <c r="X112" s="326">
        <f t="shared" si="247"/>
        <v>9.7251389454151876E-2</v>
      </c>
      <c r="Y112" s="326">
        <f t="shared" si="247"/>
        <v>0.11044630015163727</v>
      </c>
      <c r="Z112" s="326">
        <f t="shared" si="247"/>
        <v>0.13886602173128501</v>
      </c>
      <c r="AA112" s="326">
        <f t="shared" si="247"/>
        <v>0.16641629379256903</v>
      </c>
      <c r="AB112" s="326">
        <f t="shared" si="247"/>
        <v>0.21385484312840525</v>
      </c>
      <c r="AC112" s="326">
        <f t="shared" si="247"/>
        <v>0.24750654280262482</v>
      </c>
      <c r="AD112" s="326">
        <f t="shared" si="247"/>
        <v>0.25996751865174561</v>
      </c>
      <c r="AE112" s="326">
        <f t="shared" si="247"/>
        <v>0.26500120202738831</v>
      </c>
      <c r="AF112" s="326">
        <f t="shared" si="247"/>
        <v>0.32395031622777248</v>
      </c>
      <c r="AG112" s="326">
        <f t="shared" si="247"/>
        <v>0.40630778585189414</v>
      </c>
      <c r="AH112" s="326">
        <f t="shared" si="247"/>
        <v>0.43869226491204788</v>
      </c>
      <c r="AI112" s="326">
        <f t="shared" si="247"/>
        <v>0.43891520435858355</v>
      </c>
      <c r="AJ112" s="326">
        <f t="shared" si="247"/>
        <v>0.45036708021688809</v>
      </c>
      <c r="AK112" s="326">
        <f t="shared" si="247"/>
        <v>0.47954833551711656</v>
      </c>
      <c r="AL112" s="326">
        <f t="shared" si="247"/>
        <v>0.55147470262093423</v>
      </c>
      <c r="AM112" s="326">
        <f t="shared" si="247"/>
        <v>0.613662275469678</v>
      </c>
      <c r="AN112" s="326">
        <f t="shared" si="247"/>
        <v>0.66059629271401277</v>
      </c>
      <c r="AO112" s="326">
        <f t="shared" si="247"/>
        <v>0.61846127873291123</v>
      </c>
      <c r="AP112" s="326">
        <f t="shared" si="247"/>
        <v>0.79493318357161025</v>
      </c>
      <c r="AQ112" s="326">
        <f t="shared" si="247"/>
        <v>0.98945121804075586</v>
      </c>
      <c r="AR112" s="326">
        <f t="shared" si="247"/>
        <v>1.1714965374272197</v>
      </c>
      <c r="AS112" s="326">
        <f t="shared" si="247"/>
        <v>4.0131400784940938</v>
      </c>
      <c r="AT112" s="326">
        <f t="shared" si="247"/>
        <v>15.407956787638373</v>
      </c>
      <c r="AU112" s="326">
        <f t="shared" si="247"/>
        <v>30.048999999999999</v>
      </c>
      <c r="AV112" s="326">
        <f t="shared" si="247"/>
        <v>40.424999999999997</v>
      </c>
      <c r="AW112" s="326">
        <f t="shared" si="247"/>
        <v>79.650000000000006</v>
      </c>
      <c r="AX112" s="326">
        <f t="shared" si="247"/>
        <v>112.08199999999999</v>
      </c>
      <c r="AY112" s="326">
        <f t="shared" si="247"/>
        <v>178.589</v>
      </c>
      <c r="AZ112" s="326">
        <f t="shared" si="247"/>
        <v>219.3126</v>
      </c>
      <c r="BA112" s="326">
        <f t="shared" si="247"/>
        <v>387.80136300000004</v>
      </c>
      <c r="BB112" s="326">
        <f t="shared" si="247"/>
        <v>431.54552899999999</v>
      </c>
      <c r="BC112" s="326">
        <f t="shared" ref="BC112:BT112" si="248">BC58</f>
        <v>465.17921699999999</v>
      </c>
      <c r="BD112" s="326">
        <f t="shared" si="248"/>
        <v>501.62598700000001</v>
      </c>
      <c r="BE112" s="326">
        <f t="shared" si="248"/>
        <v>603.03160000000003</v>
      </c>
      <c r="BF112" s="326">
        <f t="shared" si="248"/>
        <v>692.43164899999999</v>
      </c>
      <c r="BG112" s="326">
        <f t="shared" si="248"/>
        <v>758.54590599999995</v>
      </c>
      <c r="BH112" s="326">
        <f t="shared" si="248"/>
        <v>967.63051199999995</v>
      </c>
      <c r="BI112" s="326">
        <f t="shared" si="248"/>
        <v>1075.3</v>
      </c>
      <c r="BJ112" s="326">
        <f t="shared" si="248"/>
        <v>1208.7736030000001</v>
      </c>
      <c r="BK112" s="326">
        <f t="shared" si="248"/>
        <v>1315.6</v>
      </c>
      <c r="BL112" s="326">
        <f t="shared" si="248"/>
        <v>1565.9</v>
      </c>
      <c r="BM112" s="326">
        <f t="shared" si="248"/>
        <v>1510.8</v>
      </c>
      <c r="BN112" s="326">
        <f t="shared" si="248"/>
        <v>1704</v>
      </c>
      <c r="BO112" s="326">
        <f t="shared" ca="1" si="248"/>
        <v>2061.2001648316837</v>
      </c>
      <c r="BP112" s="326">
        <f t="shared" ca="1" si="248"/>
        <v>2561.9492955218589</v>
      </c>
      <c r="BQ112" s="326">
        <f t="shared" ca="1" si="248"/>
        <v>2806.6754091390799</v>
      </c>
      <c r="BR112" s="326">
        <f t="shared" ca="1" si="248"/>
        <v>2937.018315022583</v>
      </c>
      <c r="BS112" s="326">
        <f t="shared" ca="1" si="248"/>
        <v>3080.1273490847693</v>
      </c>
      <c r="BT112" s="326">
        <f t="shared" ca="1" si="248"/>
        <v>3237.9750018703608</v>
      </c>
      <c r="BU112" s="326">
        <f t="shared" ref="BU112:CB112" ca="1" si="249">BU58</f>
        <v>3407.1247020420697</v>
      </c>
      <c r="BV112" s="326">
        <f t="shared" ca="1" si="249"/>
        <v>3578.0320540949833</v>
      </c>
      <c r="BW112" s="326">
        <f t="shared" ca="1" si="249"/>
        <v>3756.1148543986992</v>
      </c>
      <c r="BX112" s="326">
        <f t="shared" ca="1" si="249"/>
        <v>3940.9619688439575</v>
      </c>
      <c r="BY112" s="326">
        <f t="shared" ca="1" si="249"/>
        <v>4133.3878412867271</v>
      </c>
      <c r="BZ112" s="326">
        <f t="shared" ca="1" si="249"/>
        <v>4334.6400070200243</v>
      </c>
      <c r="CA112" s="326">
        <f t="shared" ca="1" si="249"/>
        <v>4536.1845172684298</v>
      </c>
      <c r="CB112" s="326">
        <f t="shared" ca="1" si="249"/>
        <v>4746.2628729140906</v>
      </c>
      <c r="CC112" s="326">
        <f ca="1">CC58</f>
        <v>4965.1900331679526</v>
      </c>
      <c r="CE112" s="485">
        <f t="shared" si="226"/>
        <v>0</v>
      </c>
      <c r="CF112" s="485">
        <f t="shared" si="226"/>
        <v>0</v>
      </c>
      <c r="CG112" s="485">
        <f t="shared" si="226"/>
        <v>0</v>
      </c>
      <c r="CH112" s="485">
        <f t="shared" si="226"/>
        <v>0</v>
      </c>
      <c r="CI112" s="485">
        <f t="shared" si="226"/>
        <v>0</v>
      </c>
      <c r="CJ112" s="485">
        <f t="shared" ca="1" si="226"/>
        <v>278.36446543595093</v>
      </c>
      <c r="CK112" s="485">
        <f t="shared" ca="1" si="226"/>
        <v>476.46805799169306</v>
      </c>
      <c r="CL112" s="485">
        <f t="shared" ca="1" si="226"/>
        <v>342.82346492809393</v>
      </c>
      <c r="CM112" s="485">
        <f t="shared" ca="1" si="226"/>
        <v>307.89558937734364</v>
      </c>
      <c r="CN112" s="485">
        <f t="shared" ca="1" si="226"/>
        <v>346.38806484773204</v>
      </c>
      <c r="CO112" s="485">
        <f t="shared" ca="1" si="227"/>
        <v>417.05337912217965</v>
      </c>
      <c r="CP112" s="485">
        <f t="shared" ca="1" si="227"/>
        <v>493.78922917295222</v>
      </c>
      <c r="CQ112" s="485">
        <f t="shared" ca="1" si="227"/>
        <v>577.35818167383104</v>
      </c>
      <c r="CR112" s="485">
        <f t="shared" ca="1" si="227"/>
        <v>666.01640507225466</v>
      </c>
      <c r="CS112" s="485">
        <f t="shared" ca="1" si="227"/>
        <v>760.31243069854872</v>
      </c>
      <c r="CT112" s="485">
        <f t="shared" ca="1" si="227"/>
        <v>861.0430253496429</v>
      </c>
      <c r="CU112" s="485">
        <f t="shared" ca="1" si="227"/>
        <v>968.80908475310162</v>
      </c>
      <c r="CV112" s="485">
        <f t="shared" ca="1" si="227"/>
        <v>1081.2475888953491</v>
      </c>
      <c r="CW112" s="485">
        <f t="shared" ca="1" si="227"/>
        <v>1199.8429359087668</v>
      </c>
      <c r="CX112" s="485">
        <f t="shared" ca="1" si="227"/>
        <v>1325.0997538991373</v>
      </c>
      <c r="CZ112" s="502">
        <v>1208.7736030000001</v>
      </c>
      <c r="DA112" s="502">
        <v>1315.6</v>
      </c>
      <c r="DB112" s="502">
        <v>1565.9</v>
      </c>
      <c r="DC112" s="502">
        <v>1510.8</v>
      </c>
      <c r="DD112" s="502">
        <v>1704</v>
      </c>
      <c r="DE112" s="502">
        <v>1782.8356993957327</v>
      </c>
      <c r="DF112" s="502">
        <v>2085.4812375301658</v>
      </c>
      <c r="DG112" s="502">
        <v>2463.8519442109859</v>
      </c>
      <c r="DH112" s="502">
        <v>2629.1227256452394</v>
      </c>
      <c r="DI112" s="502">
        <v>2733.7392842370373</v>
      </c>
      <c r="DJ112" s="502">
        <v>2820.9216227481811</v>
      </c>
      <c r="DK112" s="502">
        <v>2913.3354728691174</v>
      </c>
      <c r="DL112" s="502">
        <v>3000.6738724211523</v>
      </c>
      <c r="DM112" s="502">
        <v>3090.0984493264446</v>
      </c>
      <c r="DN112" s="502">
        <v>3180.6495381454088</v>
      </c>
      <c r="DO112" s="502">
        <v>3272.3448159370841</v>
      </c>
      <c r="DP112" s="502">
        <v>3365.8309222669227</v>
      </c>
      <c r="DQ112" s="502">
        <v>3454.9369283730807</v>
      </c>
      <c r="DR112" s="502">
        <v>3546.4199370053238</v>
      </c>
      <c r="DS112" s="502">
        <v>3640.0902792688153</v>
      </c>
    </row>
    <row r="113" spans="1:123">
      <c r="A113" s="326"/>
    </row>
    <row r="114" spans="1:123">
      <c r="A114" s="326"/>
      <c r="AX114" s="326">
        <f>AX107+AX112+AX109+AX110-AX111</f>
        <v>892.18635835645864</v>
      </c>
      <c r="AY114" s="326">
        <f t="shared" ref="AY114:CC114" si="250">AY107+AY112+AY109+AY110-AY111</f>
        <v>1480.4267514836497</v>
      </c>
      <c r="AZ114" s="326">
        <f t="shared" si="250"/>
        <v>2132.3433396373362</v>
      </c>
      <c r="BA114" s="326">
        <f t="shared" si="250"/>
        <v>2534.2449999999999</v>
      </c>
      <c r="BB114" s="326">
        <f t="shared" si="250"/>
        <v>3558.8736599999997</v>
      </c>
      <c r="BC114" s="326">
        <f t="shared" si="250"/>
        <v>4390.9120000000003</v>
      </c>
      <c r="BD114" s="326">
        <f t="shared" ca="1" si="250"/>
        <v>6105.9159999999956</v>
      </c>
      <c r="BE114" s="326">
        <f t="shared" ca="1" si="250"/>
        <v>7206.3250130575261</v>
      </c>
      <c r="BF114" s="326">
        <f t="shared" ca="1" si="250"/>
        <v>8060.5318798577091</v>
      </c>
      <c r="BG114" s="326">
        <f t="shared" ca="1" si="250"/>
        <v>9698.0550363404727</v>
      </c>
      <c r="BH114" s="326">
        <f t="shared" ca="1" si="250"/>
        <v>10638.423667004769</v>
      </c>
      <c r="BI114" s="326">
        <f t="shared" ca="1" si="250"/>
        <v>11993.016000000003</v>
      </c>
      <c r="BJ114" s="326">
        <f t="shared" ca="1" si="250"/>
        <v>14451.881000000001</v>
      </c>
      <c r="BK114" s="326">
        <f t="shared" ca="1" si="250"/>
        <v>16433.675000000003</v>
      </c>
      <c r="BL114" s="326">
        <f t="shared" ca="1" si="250"/>
        <v>16932.127</v>
      </c>
      <c r="BM114" s="326">
        <f t="shared" ca="1" si="250"/>
        <v>17194.136999999995</v>
      </c>
      <c r="BN114" s="326">
        <f t="shared" ca="1" si="250"/>
        <v>17287.369999999995</v>
      </c>
      <c r="BO114" s="326">
        <f t="shared" ca="1" si="250"/>
        <v>18456.981000000007</v>
      </c>
      <c r="BP114" s="326">
        <f t="shared" ca="1" si="250"/>
        <v>20067.792000000001</v>
      </c>
      <c r="BQ114" s="326">
        <f t="shared" ca="1" si="250"/>
        <v>22059.615209658234</v>
      </c>
      <c r="BR114" s="326">
        <f t="shared" ca="1" si="250"/>
        <v>22898.560341114095</v>
      </c>
      <c r="BS114" s="326">
        <f t="shared" ca="1" si="250"/>
        <v>23602.07333712509</v>
      </c>
      <c r="BT114" s="326">
        <f t="shared" ca="1" si="250"/>
        <v>24541.113303693612</v>
      </c>
      <c r="BU114" s="326">
        <f t="shared" ca="1" si="250"/>
        <v>25545.955830184532</v>
      </c>
      <c r="BV114" s="326">
        <f t="shared" ca="1" si="250"/>
        <v>26583.972487995743</v>
      </c>
      <c r="BW114" s="326">
        <f t="shared" ca="1" si="250"/>
        <v>27660.827547675664</v>
      </c>
      <c r="BX114" s="326">
        <f t="shared" ca="1" si="250"/>
        <v>28778.204038779568</v>
      </c>
      <c r="BY114" s="326">
        <f t="shared" ca="1" si="250"/>
        <v>30188.334359178742</v>
      </c>
      <c r="BZ114" s="326">
        <f t="shared" ca="1" si="250"/>
        <v>31704.326712028782</v>
      </c>
      <c r="CA114" s="326">
        <f t="shared" ca="1" si="250"/>
        <v>33297.679755866993</v>
      </c>
      <c r="CB114" s="326">
        <f t="shared" ca="1" si="250"/>
        <v>34982.823780777406</v>
      </c>
      <c r="CC114" s="326">
        <f t="shared" ca="1" si="250"/>
        <v>36768.204241289503</v>
      </c>
      <c r="CZ114" s="502">
        <v>14451.880999999999</v>
      </c>
      <c r="DA114" s="502">
        <v>16433.675000000003</v>
      </c>
      <c r="DB114" s="502">
        <v>16932.127</v>
      </c>
      <c r="DC114" s="502">
        <v>17194.136999999995</v>
      </c>
      <c r="DD114" s="502">
        <v>17287.369999999995</v>
      </c>
      <c r="DE114" s="502">
        <v>18456.981000000003</v>
      </c>
      <c r="DF114" s="502">
        <v>20067.792000000016</v>
      </c>
      <c r="DG114" s="502">
        <v>22528.019983516486</v>
      </c>
      <c r="DH114" s="502">
        <v>23913.755987899505</v>
      </c>
      <c r="DI114" s="502">
        <v>24790.478371737096</v>
      </c>
      <c r="DJ114" s="502">
        <v>25701.082463815219</v>
      </c>
      <c r="DK114" s="502">
        <v>26595.475575142478</v>
      </c>
      <c r="DL114" s="502">
        <v>27486.886317800599</v>
      </c>
      <c r="DM114" s="502">
        <v>28399.67036474654</v>
      </c>
      <c r="DN114" s="502">
        <v>29338.226592599392</v>
      </c>
      <c r="DO114" s="502">
        <v>30598.971920437456</v>
      </c>
      <c r="DP114" s="502">
        <v>31948.427766402638</v>
      </c>
      <c r="DQ114" s="502">
        <v>33361.062381397605</v>
      </c>
      <c r="DR114" s="502">
        <v>34852.089876457605</v>
      </c>
      <c r="DS114" s="502">
        <v>36428.320530526922</v>
      </c>
    </row>
  </sheetData>
  <phoneticPr fontId="104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075"/>
  <sheetViews>
    <sheetView topLeftCell="A1119" workbookViewId="0">
      <selection activeCell="A1141" sqref="A1141"/>
    </sheetView>
  </sheetViews>
  <sheetFormatPr defaultRowHeight="15.75"/>
  <cols>
    <col min="1" max="1" width="16.28515625" style="3" customWidth="1"/>
    <col min="2" max="11" width="9.140625" style="3"/>
    <col min="12" max="12" width="9.85546875" style="3" bestFit="1" customWidth="1"/>
    <col min="13" max="16384" width="9.140625" style="3"/>
  </cols>
  <sheetData>
    <row r="1" spans="1:16" s="53" customFormat="1" ht="5.25" customHeight="1">
      <c r="A1" s="53" t="s">
        <v>2219</v>
      </c>
      <c r="B1" s="54"/>
      <c r="C1" s="54"/>
      <c r="D1" s="54"/>
      <c r="J1" s="55"/>
      <c r="K1" s="55"/>
      <c r="L1" s="55"/>
      <c r="M1" s="55"/>
      <c r="N1" s="55"/>
      <c r="O1" s="55"/>
    </row>
    <row r="2" spans="1:16" s="19" customFormat="1" ht="3" customHeight="1">
      <c r="A2" s="19" t="s">
        <v>2219</v>
      </c>
      <c r="B2" s="43"/>
      <c r="C2" s="43"/>
      <c r="D2" s="43"/>
      <c r="J2" s="20"/>
      <c r="K2" s="20"/>
      <c r="L2" s="20"/>
      <c r="M2" s="20"/>
      <c r="N2" s="20"/>
      <c r="O2" s="20"/>
    </row>
    <row r="3" spans="1:16" s="58" customFormat="1" ht="12" customHeight="1">
      <c r="A3" s="56" t="s">
        <v>1042</v>
      </c>
      <c r="B3" s="57" t="s">
        <v>1879</v>
      </c>
      <c r="C3" s="57"/>
      <c r="D3" s="57"/>
      <c r="J3" s="59" t="s">
        <v>2220</v>
      </c>
      <c r="K3" s="60"/>
      <c r="L3" s="59" t="s">
        <v>2218</v>
      </c>
      <c r="M3" s="60"/>
      <c r="N3" s="60"/>
      <c r="O3" s="60"/>
      <c r="P3" s="129" t="s">
        <v>1083</v>
      </c>
    </row>
    <row r="4" spans="1:16" s="19" customFormat="1" ht="3" customHeight="1">
      <c r="A4" s="61"/>
      <c r="B4" s="43"/>
      <c r="C4" s="43"/>
      <c r="D4" s="43"/>
      <c r="J4" s="20"/>
      <c r="K4" s="20"/>
      <c r="L4" s="20"/>
      <c r="M4" s="20"/>
      <c r="N4" s="20"/>
      <c r="O4" s="20"/>
    </row>
    <row r="5" spans="1:16" s="53" customFormat="1" ht="6" customHeight="1">
      <c r="A5" s="53" t="s">
        <v>2219</v>
      </c>
      <c r="B5" s="54"/>
      <c r="C5" s="54"/>
      <c r="D5" s="54"/>
      <c r="J5" s="55"/>
      <c r="K5" s="55"/>
      <c r="L5" s="55"/>
      <c r="M5" s="55"/>
      <c r="N5" s="55"/>
      <c r="O5" s="55"/>
    </row>
    <row r="6" spans="1:16">
      <c r="A6" s="3" t="s">
        <v>317</v>
      </c>
    </row>
    <row r="7" spans="1:16">
      <c r="A7" s="8" t="s">
        <v>3383</v>
      </c>
    </row>
    <row r="9" spans="1:16">
      <c r="A9" s="69" t="s">
        <v>3384</v>
      </c>
    </row>
    <row r="10" spans="1:16">
      <c r="A10" s="69" t="s">
        <v>132</v>
      </c>
    </row>
    <row r="11" spans="1:16">
      <c r="A11" s="3" t="s">
        <v>3517</v>
      </c>
    </row>
    <row r="12" spans="1:16">
      <c r="A12" s="3" t="s">
        <v>3925</v>
      </c>
    </row>
    <row r="13" spans="1:16">
      <c r="A13" s="69" t="s">
        <v>133</v>
      </c>
    </row>
    <row r="14" spans="1:16">
      <c r="A14" s="69" t="s">
        <v>2143</v>
      </c>
    </row>
    <row r="16" spans="1:16">
      <c r="A16" s="69" t="s">
        <v>2140</v>
      </c>
    </row>
    <row r="17" spans="1:1">
      <c r="A17" s="69" t="s">
        <v>287</v>
      </c>
    </row>
    <row r="18" spans="1:1">
      <c r="A18" s="69" t="s">
        <v>1707</v>
      </c>
    </row>
    <row r="19" spans="1:1">
      <c r="A19" s="69" t="s">
        <v>1708</v>
      </c>
    </row>
    <row r="20" spans="1:1">
      <c r="A20" s="69" t="s">
        <v>2762</v>
      </c>
    </row>
    <row r="21" spans="1:1">
      <c r="A21" s="69" t="s">
        <v>2763</v>
      </c>
    </row>
    <row r="22" spans="1:1">
      <c r="A22" s="69" t="s">
        <v>3296</v>
      </c>
    </row>
    <row r="23" spans="1:1">
      <c r="A23" s="69" t="s">
        <v>3763</v>
      </c>
    </row>
    <row r="27" spans="1:1">
      <c r="A27" s="3" t="s">
        <v>2141</v>
      </c>
    </row>
    <row r="28" spans="1:1">
      <c r="A28" s="3" t="s">
        <v>312</v>
      </c>
    </row>
    <row r="29" spans="1:1">
      <c r="A29" s="3" t="s">
        <v>2142</v>
      </c>
    </row>
    <row r="30" spans="1:1">
      <c r="A30" s="3" t="s">
        <v>1302</v>
      </c>
    </row>
    <row r="31" spans="1:1">
      <c r="A31" s="3" t="s">
        <v>1303</v>
      </c>
    </row>
    <row r="33" spans="1:4">
      <c r="A33" s="3" t="s">
        <v>3990</v>
      </c>
      <c r="D33" s="3" t="s">
        <v>2886</v>
      </c>
    </row>
    <row r="34" spans="1:4">
      <c r="A34" s="3" t="s">
        <v>739</v>
      </c>
      <c r="D34" s="3" t="s">
        <v>3943</v>
      </c>
    </row>
    <row r="35" spans="1:4">
      <c r="A35" s="3" t="s">
        <v>1671</v>
      </c>
    </row>
    <row r="36" spans="1:4">
      <c r="A36" s="3" t="s">
        <v>3944</v>
      </c>
    </row>
    <row r="37" spans="1:4">
      <c r="A37" s="3" t="s">
        <v>3365</v>
      </c>
    </row>
    <row r="40" spans="1:4">
      <c r="A40" s="8" t="s">
        <v>3384</v>
      </c>
    </row>
    <row r="42" spans="1:4">
      <c r="A42" s="3" t="s">
        <v>3009</v>
      </c>
    </row>
    <row r="43" spans="1:4">
      <c r="A43" s="3" t="s">
        <v>1966</v>
      </c>
    </row>
    <row r="44" spans="1:4">
      <c r="A44" s="3" t="s">
        <v>1967</v>
      </c>
    </row>
    <row r="45" spans="1:4">
      <c r="A45" s="3" t="s">
        <v>562</v>
      </c>
    </row>
    <row r="46" spans="1:4">
      <c r="A46" s="3" t="s">
        <v>72</v>
      </c>
    </row>
    <row r="48" spans="1:4">
      <c r="A48" s="3" t="s">
        <v>2916</v>
      </c>
    </row>
    <row r="49" spans="1:1">
      <c r="A49" s="3" t="s">
        <v>0</v>
      </c>
    </row>
    <row r="50" spans="1:1">
      <c r="A50" s="3" t="s">
        <v>2432</v>
      </c>
    </row>
    <row r="51" spans="1:1">
      <c r="A51" s="3" t="s">
        <v>4060</v>
      </c>
    </row>
    <row r="52" spans="1:1">
      <c r="A52" s="3" t="s">
        <v>1844</v>
      </c>
    </row>
    <row r="53" spans="1:1">
      <c r="A53" s="3" t="s">
        <v>1735</v>
      </c>
    </row>
    <row r="54" spans="1:1">
      <c r="A54" s="3" t="s">
        <v>3103</v>
      </c>
    </row>
    <row r="55" spans="1:1">
      <c r="A55" s="3" t="s">
        <v>4047</v>
      </c>
    </row>
    <row r="57" spans="1:1">
      <c r="A57" s="3" t="s">
        <v>1430</v>
      </c>
    </row>
    <row r="58" spans="1:1">
      <c r="A58" s="3" t="s">
        <v>2013</v>
      </c>
    </row>
    <row r="59" spans="1:1">
      <c r="A59" s="3" t="s">
        <v>2776</v>
      </c>
    </row>
    <row r="60" spans="1:1">
      <c r="A60" s="3" t="s">
        <v>1278</v>
      </c>
    </row>
    <row r="61" spans="1:1">
      <c r="A61" s="3" t="s">
        <v>1695</v>
      </c>
    </row>
    <row r="62" spans="1:1">
      <c r="A62" s="3" t="s">
        <v>163</v>
      </c>
    </row>
    <row r="64" spans="1:1">
      <c r="A64" s="3" t="s">
        <v>726</v>
      </c>
    </row>
    <row r="65" spans="1:1">
      <c r="A65" s="3" t="s">
        <v>544</v>
      </c>
    </row>
    <row r="66" spans="1:1">
      <c r="A66" s="3" t="s">
        <v>2664</v>
      </c>
    </row>
    <row r="67" spans="1:1">
      <c r="A67" s="3" t="s">
        <v>1905</v>
      </c>
    </row>
    <row r="69" spans="1:1">
      <c r="A69" s="3" t="s">
        <v>2680</v>
      </c>
    </row>
    <row r="70" spans="1:1">
      <c r="A70" s="3" t="s">
        <v>339</v>
      </c>
    </row>
    <row r="71" spans="1:1">
      <c r="A71" s="3" t="s">
        <v>1986</v>
      </c>
    </row>
    <row r="73" spans="1:1">
      <c r="A73" s="3" t="s">
        <v>3962</v>
      </c>
    </row>
    <row r="74" spans="1:1">
      <c r="A74" s="3" t="s">
        <v>4538</v>
      </c>
    </row>
    <row r="75" spans="1:1">
      <c r="A75" s="3" t="s">
        <v>3203</v>
      </c>
    </row>
    <row r="76" spans="1:1">
      <c r="A76" s="3" t="s">
        <v>1359</v>
      </c>
    </row>
    <row r="77" spans="1:1">
      <c r="A77" s="3" t="s">
        <v>2273</v>
      </c>
    </row>
    <row r="78" spans="1:1">
      <c r="A78" s="3" t="s">
        <v>455</v>
      </c>
    </row>
    <row r="79" spans="1:1">
      <c r="A79" s="3" t="s">
        <v>456</v>
      </c>
    </row>
    <row r="80" spans="1:1">
      <c r="A80" s="3" t="s">
        <v>513</v>
      </c>
    </row>
    <row r="81" spans="1:1">
      <c r="A81" s="3" t="s">
        <v>3749</v>
      </c>
    </row>
    <row r="83" spans="1:1">
      <c r="A83" s="3" t="s">
        <v>310</v>
      </c>
    </row>
    <row r="84" spans="1:1">
      <c r="A84" s="3" t="s">
        <v>667</v>
      </c>
    </row>
    <row r="85" spans="1:1">
      <c r="A85" s="3" t="s">
        <v>396</v>
      </c>
    </row>
    <row r="86" spans="1:1">
      <c r="A86" s="3" t="s">
        <v>2651</v>
      </c>
    </row>
    <row r="87" spans="1:1">
      <c r="A87" s="3" t="s">
        <v>1485</v>
      </c>
    </row>
    <row r="88" spans="1:1">
      <c r="A88" s="3" t="s">
        <v>4451</v>
      </c>
    </row>
    <row r="92" spans="1:1">
      <c r="A92" s="8" t="s">
        <v>132</v>
      </c>
    </row>
    <row r="93" spans="1:1">
      <c r="A93" s="3" t="s">
        <v>423</v>
      </c>
    </row>
    <row r="94" spans="1:1">
      <c r="A94" s="3" t="s">
        <v>3524</v>
      </c>
    </row>
    <row r="95" spans="1:1">
      <c r="A95" s="3" t="s">
        <v>1464</v>
      </c>
    </row>
    <row r="96" spans="1:1">
      <c r="A96" s="3" t="s">
        <v>1507</v>
      </c>
    </row>
    <row r="97" spans="1:1">
      <c r="A97" s="3" t="s">
        <v>147</v>
      </c>
    </row>
    <row r="98" spans="1:1">
      <c r="A98" s="3" t="s">
        <v>1909</v>
      </c>
    </row>
    <row r="99" spans="1:1">
      <c r="A99" s="3" t="s">
        <v>1910</v>
      </c>
    </row>
    <row r="101" spans="1:1">
      <c r="A101" s="3" t="s">
        <v>1364</v>
      </c>
    </row>
    <row r="102" spans="1:1">
      <c r="A102" s="3" t="s">
        <v>351</v>
      </c>
    </row>
    <row r="103" spans="1:1">
      <c r="A103" s="3" t="s">
        <v>1998</v>
      </c>
    </row>
    <row r="104" spans="1:1">
      <c r="A104" s="3" t="s">
        <v>3075</v>
      </c>
    </row>
    <row r="105" spans="1:1">
      <c r="A105" s="3" t="s">
        <v>2375</v>
      </c>
    </row>
    <row r="106" spans="1:1">
      <c r="A106" s="3" t="s">
        <v>1830</v>
      </c>
    </row>
    <row r="107" spans="1:1">
      <c r="A107" s="3" t="s">
        <v>1811</v>
      </c>
    </row>
    <row r="109" spans="1:1">
      <c r="A109" s="3" t="s">
        <v>1812</v>
      </c>
    </row>
    <row r="110" spans="1:1">
      <c r="A110" s="3" t="s">
        <v>595</v>
      </c>
    </row>
    <row r="111" spans="1:1">
      <c r="A111" s="3" t="s">
        <v>1386</v>
      </c>
    </row>
    <row r="112" spans="1:1">
      <c r="A112" s="3" t="s">
        <v>2190</v>
      </c>
    </row>
    <row r="113" spans="1:1">
      <c r="A113" s="3" t="s">
        <v>1776</v>
      </c>
    </row>
    <row r="114" spans="1:1">
      <c r="A114" s="3" t="s">
        <v>4090</v>
      </c>
    </row>
    <row r="116" spans="1:1">
      <c r="A116" s="3" t="s">
        <v>1434</v>
      </c>
    </row>
    <row r="117" spans="1:1">
      <c r="A117" s="3" t="s">
        <v>3505</v>
      </c>
    </row>
    <row r="118" spans="1:1">
      <c r="A118" s="3" t="s">
        <v>2529</v>
      </c>
    </row>
    <row r="119" spans="1:1">
      <c r="A119" s="3" t="s">
        <v>3309</v>
      </c>
    </row>
    <row r="120" spans="1:1">
      <c r="A120" s="3" t="s">
        <v>492</v>
      </c>
    </row>
    <row r="122" spans="1:1">
      <c r="A122" s="3" t="s">
        <v>3686</v>
      </c>
    </row>
    <row r="123" spans="1:1">
      <c r="A123" s="3" t="s">
        <v>3420</v>
      </c>
    </row>
    <row r="124" spans="1:1">
      <c r="A124" s="3" t="s">
        <v>2879</v>
      </c>
    </row>
    <row r="125" spans="1:1">
      <c r="A125" s="3" t="s">
        <v>2784</v>
      </c>
    </row>
    <row r="126" spans="1:1">
      <c r="A126" s="3" t="s">
        <v>4097</v>
      </c>
    </row>
    <row r="128" spans="1:1">
      <c r="A128" s="3" t="s">
        <v>1610</v>
      </c>
    </row>
    <row r="129" spans="1:1">
      <c r="A129" s="3" t="s">
        <v>741</v>
      </c>
    </row>
    <row r="130" spans="1:1">
      <c r="A130" s="3" t="s">
        <v>3400</v>
      </c>
    </row>
    <row r="131" spans="1:1">
      <c r="A131" s="3" t="s">
        <v>1633</v>
      </c>
    </row>
    <row r="133" spans="1:1">
      <c r="A133" s="3" t="s">
        <v>3937</v>
      </c>
    </row>
    <row r="134" spans="1:1">
      <c r="A134" s="3" t="s">
        <v>1604</v>
      </c>
    </row>
    <row r="135" spans="1:1">
      <c r="A135" s="3" t="s">
        <v>1842</v>
      </c>
    </row>
    <row r="136" spans="1:1">
      <c r="A136" s="3" t="s">
        <v>3124</v>
      </c>
    </row>
    <row r="137" spans="1:1">
      <c r="A137" s="3" t="s">
        <v>2919</v>
      </c>
    </row>
    <row r="138" spans="1:1">
      <c r="A138" s="3" t="s">
        <v>3435</v>
      </c>
    </row>
    <row r="140" spans="1:1">
      <c r="A140" s="3" t="s">
        <v>2144</v>
      </c>
    </row>
    <row r="141" spans="1:1">
      <c r="A141" s="3" t="s">
        <v>4525</v>
      </c>
    </row>
    <row r="142" spans="1:1">
      <c r="A142" s="3" t="s">
        <v>1573</v>
      </c>
    </row>
    <row r="143" spans="1:1">
      <c r="A143" s="3" t="s">
        <v>3546</v>
      </c>
    </row>
    <row r="144" spans="1:1">
      <c r="A144" s="3" t="s">
        <v>1360</v>
      </c>
    </row>
    <row r="145" spans="1:1">
      <c r="A145" s="3" t="s">
        <v>4257</v>
      </c>
    </row>
    <row r="146" spans="1:1">
      <c r="A146" s="3" t="s">
        <v>859</v>
      </c>
    </row>
    <row r="148" spans="1:1">
      <c r="A148" s="3" t="s">
        <v>972</v>
      </c>
    </row>
    <row r="149" spans="1:1">
      <c r="A149" s="3" t="s">
        <v>973</v>
      </c>
    </row>
    <row r="150" spans="1:1">
      <c r="A150" s="3" t="s">
        <v>242</v>
      </c>
    </row>
    <row r="151" spans="1:1">
      <c r="A151" s="3" t="s">
        <v>3008</v>
      </c>
    </row>
    <row r="152" spans="1:1">
      <c r="A152" s="3" t="s">
        <v>2546</v>
      </c>
    </row>
    <row r="153" spans="1:1">
      <c r="A153" s="3" t="s">
        <v>950</v>
      </c>
    </row>
    <row r="154" spans="1:1">
      <c r="A154" s="3" t="s">
        <v>1761</v>
      </c>
    </row>
    <row r="155" spans="1:1">
      <c r="A155" s="3" t="s">
        <v>90</v>
      </c>
    </row>
    <row r="157" spans="1:1">
      <c r="A157" s="3" t="s">
        <v>1021</v>
      </c>
    </row>
    <row r="158" spans="1:1">
      <c r="A158" s="3" t="s">
        <v>1022</v>
      </c>
    </row>
    <row r="160" spans="1:1">
      <c r="A160" s="3" t="s">
        <v>1664</v>
      </c>
    </row>
    <row r="161" spans="1:1">
      <c r="A161" s="3" t="s">
        <v>1204</v>
      </c>
    </row>
    <row r="162" spans="1:1">
      <c r="A162" s="3" t="s">
        <v>1396</v>
      </c>
    </row>
    <row r="164" spans="1:1">
      <c r="A164" s="3" t="s">
        <v>2383</v>
      </c>
    </row>
    <row r="165" spans="1:1">
      <c r="A165" s="3" t="s">
        <v>2456</v>
      </c>
    </row>
    <row r="166" spans="1:1">
      <c r="A166" s="3" t="s">
        <v>2457</v>
      </c>
    </row>
    <row r="167" spans="1:1">
      <c r="A167" s="3" t="s">
        <v>2200</v>
      </c>
    </row>
    <row r="168" spans="1:1">
      <c r="A168" s="3" t="s">
        <v>720</v>
      </c>
    </row>
    <row r="169" spans="1:1">
      <c r="A169" s="3" t="s">
        <v>1620</v>
      </c>
    </row>
    <row r="170" spans="1:1">
      <c r="A170" s="3" t="s">
        <v>3030</v>
      </c>
    </row>
    <row r="171" spans="1:1">
      <c r="A171" s="3" t="s">
        <v>3758</v>
      </c>
    </row>
    <row r="172" spans="1:1">
      <c r="A172" s="3" t="s">
        <v>3759</v>
      </c>
    </row>
    <row r="173" spans="1:1">
      <c r="A173" s="3" t="s">
        <v>3571</v>
      </c>
    </row>
    <row r="175" spans="1:1">
      <c r="A175" s="3" t="s">
        <v>2657</v>
      </c>
    </row>
    <row r="176" spans="1:1">
      <c r="A176" s="3" t="s">
        <v>75</v>
      </c>
    </row>
    <row r="177" spans="1:1">
      <c r="A177" s="3" t="s">
        <v>2349</v>
      </c>
    </row>
    <row r="178" spans="1:1">
      <c r="A178" s="3" t="s">
        <v>2350</v>
      </c>
    </row>
    <row r="180" spans="1:1">
      <c r="A180" s="3" t="s">
        <v>4300</v>
      </c>
    </row>
    <row r="181" spans="1:1">
      <c r="A181" s="3" t="s">
        <v>4347</v>
      </c>
    </row>
    <row r="182" spans="1:1">
      <c r="A182" s="3" t="s">
        <v>627</v>
      </c>
    </row>
    <row r="183" spans="1:1">
      <c r="A183" s="3" t="s">
        <v>2696</v>
      </c>
    </row>
    <row r="184" spans="1:1">
      <c r="A184" s="3" t="s">
        <v>2697</v>
      </c>
    </row>
    <row r="185" spans="1:1">
      <c r="A185" s="3" t="s">
        <v>1378</v>
      </c>
    </row>
    <row r="186" spans="1:1">
      <c r="A186" s="3" t="s">
        <v>1379</v>
      </c>
    </row>
    <row r="190" spans="1:1">
      <c r="A190" s="8" t="s">
        <v>133</v>
      </c>
    </row>
    <row r="192" spans="1:1">
      <c r="A192" s="3" t="s">
        <v>1380</v>
      </c>
    </row>
    <row r="193" spans="1:1">
      <c r="A193" s="3" t="s">
        <v>2162</v>
      </c>
    </row>
    <row r="194" spans="1:1">
      <c r="A194" s="3" t="s">
        <v>2666</v>
      </c>
    </row>
    <row r="195" spans="1:1">
      <c r="A195" s="3" t="s">
        <v>3411</v>
      </c>
    </row>
    <row r="196" spans="1:1">
      <c r="A196" s="3" t="s">
        <v>3412</v>
      </c>
    </row>
    <row r="198" spans="1:1">
      <c r="A198" s="3" t="s">
        <v>2249</v>
      </c>
    </row>
    <row r="199" spans="1:1">
      <c r="A199" s="3" t="s">
        <v>3491</v>
      </c>
    </row>
    <row r="200" spans="1:1">
      <c r="A200" s="3" t="s">
        <v>3766</v>
      </c>
    </row>
    <row r="201" spans="1:1">
      <c r="A201" s="3" t="s">
        <v>2924</v>
      </c>
    </row>
    <row r="202" spans="1:1">
      <c r="A202" s="3" t="s">
        <v>2925</v>
      </c>
    </row>
    <row r="203" spans="1:1">
      <c r="A203" s="3" t="s">
        <v>3509</v>
      </c>
    </row>
    <row r="204" spans="1:1">
      <c r="A204" s="3" t="s">
        <v>3240</v>
      </c>
    </row>
    <row r="205" spans="1:1">
      <c r="A205" s="3" t="s">
        <v>4628</v>
      </c>
    </row>
    <row r="206" spans="1:1">
      <c r="A206" s="3" t="s">
        <v>2246</v>
      </c>
    </row>
    <row r="208" spans="1:1">
      <c r="A208" s="3" t="s">
        <v>2201</v>
      </c>
    </row>
    <row r="209" spans="1:1">
      <c r="A209" s="3" t="s">
        <v>3210</v>
      </c>
    </row>
    <row r="210" spans="1:1">
      <c r="A210" s="3" t="s">
        <v>4498</v>
      </c>
    </row>
    <row r="212" spans="1:1">
      <c r="A212" s="3" t="s">
        <v>4015</v>
      </c>
    </row>
    <row r="213" spans="1:1">
      <c r="A213" s="3" t="s">
        <v>771</v>
      </c>
    </row>
    <row r="214" spans="1:1">
      <c r="A214" s="3" t="s">
        <v>11</v>
      </c>
    </row>
    <row r="215" spans="1:1">
      <c r="A215" s="3" t="s">
        <v>12</v>
      </c>
    </row>
    <row r="216" spans="1:1">
      <c r="A216" s="3" t="s">
        <v>205</v>
      </c>
    </row>
    <row r="217" spans="1:1">
      <c r="A217" s="3" t="s">
        <v>2799</v>
      </c>
    </row>
    <row r="218" spans="1:1">
      <c r="A218" s="3" t="s">
        <v>2535</v>
      </c>
    </row>
    <row r="220" spans="1:1">
      <c r="A220" s="3" t="s">
        <v>3264</v>
      </c>
    </row>
    <row r="221" spans="1:1">
      <c r="A221" s="3" t="s">
        <v>188</v>
      </c>
    </row>
    <row r="223" spans="1:1">
      <c r="A223" s="3" t="s">
        <v>1940</v>
      </c>
    </row>
    <row r="224" spans="1:1">
      <c r="A224" s="3" t="s">
        <v>130</v>
      </c>
    </row>
    <row r="225" spans="1:1">
      <c r="A225" s="3" t="s">
        <v>2530</v>
      </c>
    </row>
    <row r="226" spans="1:1">
      <c r="A226" s="3" t="s">
        <v>3044</v>
      </c>
    </row>
    <row r="227" spans="1:1">
      <c r="A227" s="3" t="s">
        <v>1285</v>
      </c>
    </row>
    <row r="228" spans="1:1">
      <c r="A228" s="3" t="s">
        <v>3600</v>
      </c>
    </row>
    <row r="229" spans="1:1">
      <c r="A229" s="3" t="s">
        <v>2744</v>
      </c>
    </row>
    <row r="230" spans="1:1">
      <c r="A230" s="3" t="s">
        <v>4452</v>
      </c>
    </row>
    <row r="231" spans="1:1">
      <c r="A231" s="3" t="s">
        <v>206</v>
      </c>
    </row>
    <row r="232" spans="1:1">
      <c r="A232" s="3" t="s">
        <v>2242</v>
      </c>
    </row>
    <row r="233" spans="1:1">
      <c r="A233" s="3" t="s">
        <v>3576</v>
      </c>
    </row>
    <row r="234" spans="1:1">
      <c r="A234" s="3" t="s">
        <v>3577</v>
      </c>
    </row>
    <row r="235" spans="1:1">
      <c r="A235" s="3" t="s">
        <v>4191</v>
      </c>
    </row>
    <row r="236" spans="1:1">
      <c r="A236" s="3" t="s">
        <v>250</v>
      </c>
    </row>
    <row r="238" spans="1:1">
      <c r="A238" s="3" t="s">
        <v>1051</v>
      </c>
    </row>
    <row r="240" spans="1:1">
      <c r="A240" s="3" t="s">
        <v>1052</v>
      </c>
    </row>
    <row r="241" spans="1:1">
      <c r="A241" s="3" t="s">
        <v>2417</v>
      </c>
    </row>
    <row r="242" spans="1:1">
      <c r="A242" s="3" t="s">
        <v>3049</v>
      </c>
    </row>
    <row r="243" spans="1:1">
      <c r="A243" s="3" t="s">
        <v>3787</v>
      </c>
    </row>
    <row r="244" spans="1:1">
      <c r="A244" s="3" t="s">
        <v>4023</v>
      </c>
    </row>
    <row r="245" spans="1:1">
      <c r="A245" s="3" t="s">
        <v>182</v>
      </c>
    </row>
    <row r="247" spans="1:1">
      <c r="A247" s="3" t="s">
        <v>906</v>
      </c>
    </row>
    <row r="248" spans="1:1">
      <c r="A248" s="3" t="s">
        <v>4531</v>
      </c>
    </row>
    <row r="250" spans="1:1">
      <c r="A250" s="3" t="s">
        <v>248</v>
      </c>
    </row>
    <row r="251" spans="1:1">
      <c r="A251" s="3" t="s">
        <v>3042</v>
      </c>
    </row>
    <row r="252" spans="1:1">
      <c r="A252" s="3" t="s">
        <v>3681</v>
      </c>
    </row>
    <row r="253" spans="1:1">
      <c r="A253" s="3" t="s">
        <v>2926</v>
      </c>
    </row>
    <row r="254" spans="1:1">
      <c r="A254" s="3" t="s">
        <v>193</v>
      </c>
    </row>
    <row r="255" spans="1:1">
      <c r="A255" s="3" t="s">
        <v>3807</v>
      </c>
    </row>
    <row r="256" spans="1:1">
      <c r="A256" s="3" t="s">
        <v>1662</v>
      </c>
    </row>
    <row r="257" spans="1:1">
      <c r="A257" s="3" t="s">
        <v>2166</v>
      </c>
    </row>
    <row r="258" spans="1:1">
      <c r="A258" s="3" t="s">
        <v>2702</v>
      </c>
    </row>
    <row r="259" spans="1:1">
      <c r="A259" s="3" t="s">
        <v>3710</v>
      </c>
    </row>
    <row r="260" spans="1:1">
      <c r="A260" s="3" t="s">
        <v>907</v>
      </c>
    </row>
    <row r="261" spans="1:1">
      <c r="A261" s="3" t="s">
        <v>1725</v>
      </c>
    </row>
    <row r="262" spans="1:1">
      <c r="A262" s="3" t="s">
        <v>2053</v>
      </c>
    </row>
    <row r="263" spans="1:1">
      <c r="A263" s="3" t="s">
        <v>754</v>
      </c>
    </row>
    <row r="265" spans="1:1">
      <c r="A265" s="3" t="s">
        <v>3554</v>
      </c>
    </row>
    <row r="266" spans="1:1">
      <c r="A266" s="3" t="s">
        <v>3508</v>
      </c>
    </row>
    <row r="267" spans="1:1">
      <c r="A267" s="3" t="s">
        <v>4018</v>
      </c>
    </row>
    <row r="268" spans="1:1">
      <c r="A268" s="3" t="s">
        <v>1205</v>
      </c>
    </row>
    <row r="271" spans="1:1">
      <c r="A271" s="8" t="s">
        <v>2143</v>
      </c>
    </row>
    <row r="272" spans="1:1">
      <c r="A272" s="3" t="s">
        <v>1950</v>
      </c>
    </row>
    <row r="273" spans="1:3">
      <c r="A273" s="3" t="s">
        <v>1951</v>
      </c>
    </row>
    <row r="275" spans="1:3">
      <c r="A275" s="3" t="s">
        <v>1952</v>
      </c>
      <c r="B275" s="3" t="s">
        <v>3186</v>
      </c>
    </row>
    <row r="277" spans="1:3">
      <c r="A277" s="3" t="s">
        <v>1953</v>
      </c>
      <c r="B277" s="3" t="s">
        <v>318</v>
      </c>
    </row>
    <row r="279" spans="1:3">
      <c r="A279" s="3" t="s">
        <v>1954</v>
      </c>
      <c r="B279" s="3" t="s">
        <v>361</v>
      </c>
    </row>
    <row r="280" spans="1:3">
      <c r="A280" s="3" t="s">
        <v>92</v>
      </c>
      <c r="B280" s="3" t="s">
        <v>2637</v>
      </c>
    </row>
    <row r="281" spans="1:3">
      <c r="A281" s="3" t="s">
        <v>93</v>
      </c>
      <c r="B281" s="3" t="s">
        <v>2064</v>
      </c>
    </row>
    <row r="282" spans="1:3">
      <c r="A282" s="3" t="s">
        <v>94</v>
      </c>
      <c r="C282" s="3" t="s">
        <v>2065</v>
      </c>
    </row>
    <row r="283" spans="1:3">
      <c r="A283" s="3" t="s">
        <v>95</v>
      </c>
      <c r="B283" s="3" t="s">
        <v>1072</v>
      </c>
    </row>
    <row r="284" spans="1:3">
      <c r="A284" s="3" t="s">
        <v>96</v>
      </c>
      <c r="B284" s="3" t="s">
        <v>1073</v>
      </c>
    </row>
    <row r="285" spans="1:3">
      <c r="A285" s="3" t="s">
        <v>97</v>
      </c>
      <c r="B285" s="3" t="s">
        <v>1074</v>
      </c>
    </row>
    <row r="286" spans="1:3">
      <c r="A286" s="3" t="s">
        <v>2638</v>
      </c>
      <c r="C286" s="3" t="s">
        <v>1075</v>
      </c>
    </row>
    <row r="287" spans="1:3">
      <c r="A287" s="3" t="s">
        <v>2639</v>
      </c>
      <c r="B287" s="3" t="s">
        <v>3317</v>
      </c>
    </row>
    <row r="288" spans="1:3">
      <c r="A288" s="3" t="s">
        <v>363</v>
      </c>
      <c r="B288" s="3" t="s">
        <v>3318</v>
      </c>
    </row>
    <row r="289" spans="1:3">
      <c r="A289" s="3" t="s">
        <v>3063</v>
      </c>
      <c r="B289" s="3" t="s">
        <v>3319</v>
      </c>
    </row>
    <row r="290" spans="1:3">
      <c r="A290" s="3" t="s">
        <v>3064</v>
      </c>
      <c r="B290" s="3" t="s">
        <v>3785</v>
      </c>
    </row>
    <row r="291" spans="1:3">
      <c r="A291" s="3" t="s">
        <v>3065</v>
      </c>
      <c r="C291" s="3" t="s">
        <v>4317</v>
      </c>
    </row>
    <row r="292" spans="1:3">
      <c r="A292" s="3" t="s">
        <v>3066</v>
      </c>
      <c r="B292" s="3" t="s">
        <v>4124</v>
      </c>
    </row>
    <row r="294" spans="1:3">
      <c r="A294" s="3" t="s">
        <v>4125</v>
      </c>
      <c r="B294" s="3" t="s">
        <v>4126</v>
      </c>
    </row>
    <row r="295" spans="1:3">
      <c r="A295" s="3" t="s">
        <v>2802</v>
      </c>
      <c r="B295" s="3" t="s">
        <v>672</v>
      </c>
    </row>
    <row r="296" spans="1:3">
      <c r="A296" s="3" t="s">
        <v>2803</v>
      </c>
      <c r="B296" s="3" t="s">
        <v>294</v>
      </c>
    </row>
    <row r="297" spans="1:3">
      <c r="A297" s="3" t="s">
        <v>2804</v>
      </c>
      <c r="B297" s="3" t="s">
        <v>1772</v>
      </c>
    </row>
    <row r="298" spans="1:3">
      <c r="A298" s="3" t="s">
        <v>2805</v>
      </c>
      <c r="B298" s="3" t="s">
        <v>2402</v>
      </c>
    </row>
    <row r="299" spans="1:3">
      <c r="A299" s="3" t="s">
        <v>2806</v>
      </c>
      <c r="B299" s="3" t="s">
        <v>2282</v>
      </c>
    </row>
    <row r="300" spans="1:3">
      <c r="A300" s="3" t="s">
        <v>355</v>
      </c>
      <c r="B300" s="3" t="s">
        <v>2565</v>
      </c>
    </row>
    <row r="301" spans="1:3">
      <c r="A301" s="3" t="s">
        <v>356</v>
      </c>
      <c r="B301" s="3" t="s">
        <v>1977</v>
      </c>
    </row>
    <row r="302" spans="1:3">
      <c r="A302" s="3" t="s">
        <v>357</v>
      </c>
      <c r="B302" s="3" t="s">
        <v>1978</v>
      </c>
    </row>
    <row r="303" spans="1:3">
      <c r="A303" s="3" t="s">
        <v>358</v>
      </c>
      <c r="B303" s="3" t="s">
        <v>2066</v>
      </c>
    </row>
    <row r="304" spans="1:3">
      <c r="A304" s="3" t="s">
        <v>359</v>
      </c>
      <c r="B304" s="3" t="s">
        <v>2117</v>
      </c>
    </row>
    <row r="305" spans="1:2">
      <c r="A305" s="3" t="s">
        <v>3451</v>
      </c>
      <c r="B305" s="3" t="s">
        <v>3363</v>
      </c>
    </row>
    <row r="306" spans="1:2">
      <c r="A306" s="3" t="s">
        <v>3452</v>
      </c>
      <c r="B306" s="3" t="s">
        <v>3965</v>
      </c>
    </row>
    <row r="307" spans="1:2">
      <c r="A307" s="3" t="s">
        <v>360</v>
      </c>
      <c r="B307" s="3" t="s">
        <v>3966</v>
      </c>
    </row>
    <row r="309" spans="1:2">
      <c r="A309" s="3" t="s">
        <v>3967</v>
      </c>
      <c r="B309" s="3" t="s">
        <v>387</v>
      </c>
    </row>
    <row r="310" spans="1:2">
      <c r="A310" s="3" t="s">
        <v>3506</v>
      </c>
      <c r="B310" s="3" t="s">
        <v>4387</v>
      </c>
    </row>
    <row r="311" spans="1:2">
      <c r="A311" s="3" t="s">
        <v>320</v>
      </c>
      <c r="B311" s="3" t="s">
        <v>4388</v>
      </c>
    </row>
    <row r="312" spans="1:2">
      <c r="A312" s="3" t="s">
        <v>321</v>
      </c>
      <c r="B312" s="3" t="s">
        <v>4389</v>
      </c>
    </row>
    <row r="313" spans="1:2">
      <c r="A313" s="3" t="s">
        <v>322</v>
      </c>
      <c r="B313" s="3" t="s">
        <v>4390</v>
      </c>
    </row>
    <row r="314" spans="1:2">
      <c r="A314" s="3" t="s">
        <v>323</v>
      </c>
      <c r="B314" s="3" t="s">
        <v>1459</v>
      </c>
    </row>
    <row r="315" spans="1:2">
      <c r="A315" s="3" t="s">
        <v>2369</v>
      </c>
      <c r="B315" s="3" t="s">
        <v>1230</v>
      </c>
    </row>
    <row r="316" spans="1:2">
      <c r="A316" s="3" t="s">
        <v>2370</v>
      </c>
      <c r="B316" s="3" t="s">
        <v>2006</v>
      </c>
    </row>
    <row r="317" spans="1:2">
      <c r="A317" s="3" t="s">
        <v>2371</v>
      </c>
      <c r="B317" s="3" t="s">
        <v>1454</v>
      </c>
    </row>
    <row r="318" spans="1:2">
      <c r="A318" s="3" t="s">
        <v>3540</v>
      </c>
      <c r="B318" s="3" t="s">
        <v>1276</v>
      </c>
    </row>
    <row r="319" spans="1:2">
      <c r="A319" s="3" t="s">
        <v>104</v>
      </c>
      <c r="B319" s="3" t="s">
        <v>3389</v>
      </c>
    </row>
    <row r="320" spans="1:2">
      <c r="A320" s="3" t="s">
        <v>537</v>
      </c>
      <c r="B320" s="3" t="s">
        <v>3390</v>
      </c>
    </row>
    <row r="321" spans="1:2">
      <c r="A321" s="3" t="s">
        <v>538</v>
      </c>
      <c r="B321" s="3" t="s">
        <v>3391</v>
      </c>
    </row>
    <row r="322" spans="1:2">
      <c r="A322" s="3" t="s">
        <v>539</v>
      </c>
      <c r="B322" s="3" t="s">
        <v>3392</v>
      </c>
    </row>
    <row r="324" spans="1:2">
      <c r="A324" s="3" t="s">
        <v>3393</v>
      </c>
      <c r="B324" s="3" t="s">
        <v>1818</v>
      </c>
    </row>
    <row r="326" spans="1:2">
      <c r="A326" s="3" t="s">
        <v>1819</v>
      </c>
      <c r="B326" s="3" t="s">
        <v>2439</v>
      </c>
    </row>
    <row r="327" spans="1:2">
      <c r="A327" s="3" t="s">
        <v>2440</v>
      </c>
      <c r="B327" s="3" t="s">
        <v>2494</v>
      </c>
    </row>
    <row r="329" spans="1:2">
      <c r="A329" s="3" t="s">
        <v>2495</v>
      </c>
      <c r="B329" s="3" t="s">
        <v>1200</v>
      </c>
    </row>
    <row r="330" spans="1:2">
      <c r="A330" s="3" t="s">
        <v>3772</v>
      </c>
      <c r="B330" s="3" t="s">
        <v>811</v>
      </c>
    </row>
    <row r="331" spans="1:2">
      <c r="A331" s="3" t="s">
        <v>3773</v>
      </c>
      <c r="B331" s="3" t="s">
        <v>151</v>
      </c>
    </row>
    <row r="332" spans="1:2">
      <c r="A332" s="3" t="s">
        <v>2061</v>
      </c>
      <c r="B332" s="3" t="s">
        <v>1663</v>
      </c>
    </row>
    <row r="334" spans="1:2">
      <c r="A334" s="3" t="s">
        <v>4020</v>
      </c>
      <c r="B334" s="3" t="s">
        <v>2062</v>
      </c>
    </row>
    <row r="335" spans="1:2">
      <c r="A335" s="3" t="s">
        <v>3493</v>
      </c>
      <c r="B335" s="3" t="s">
        <v>8</v>
      </c>
    </row>
    <row r="336" spans="1:2">
      <c r="A336" s="3" t="s">
        <v>2063</v>
      </c>
      <c r="B336" s="3" t="s">
        <v>245</v>
      </c>
    </row>
    <row r="338" spans="1:3">
      <c r="A338" s="3" t="s">
        <v>246</v>
      </c>
      <c r="B338" s="3" t="s">
        <v>1549</v>
      </c>
    </row>
    <row r="339" spans="1:3">
      <c r="A339" s="3" t="s">
        <v>3495</v>
      </c>
      <c r="B339" s="3" t="s">
        <v>3832</v>
      </c>
    </row>
    <row r="340" spans="1:3">
      <c r="A340" s="3" t="s">
        <v>3496</v>
      </c>
      <c r="B340" s="3" t="s">
        <v>1550</v>
      </c>
    </row>
    <row r="341" spans="1:3">
      <c r="A341" s="3" t="s">
        <v>3497</v>
      </c>
      <c r="B341" s="3" t="s">
        <v>265</v>
      </c>
    </row>
    <row r="343" spans="1:3">
      <c r="A343" s="3" t="s">
        <v>266</v>
      </c>
      <c r="B343" s="3" t="s">
        <v>3498</v>
      </c>
    </row>
    <row r="344" spans="1:3">
      <c r="A344" s="3" t="s">
        <v>509</v>
      </c>
      <c r="B344" s="3" t="s">
        <v>4307</v>
      </c>
    </row>
    <row r="345" spans="1:3">
      <c r="A345" s="3" t="s">
        <v>3499</v>
      </c>
      <c r="B345" s="3" t="s">
        <v>2277</v>
      </c>
    </row>
    <row r="347" spans="1:3">
      <c r="A347" s="3" t="s">
        <v>2278</v>
      </c>
      <c r="B347" s="3" t="s">
        <v>4094</v>
      </c>
    </row>
    <row r="348" spans="1:3">
      <c r="A348" s="3" t="s">
        <v>4095</v>
      </c>
      <c r="C348" s="3" t="s">
        <v>2279</v>
      </c>
    </row>
    <row r="349" spans="1:3">
      <c r="A349" s="3" t="s">
        <v>4096</v>
      </c>
      <c r="C349" s="3" t="s">
        <v>2280</v>
      </c>
    </row>
    <row r="350" spans="1:3">
      <c r="A350" s="3" t="s">
        <v>2601</v>
      </c>
      <c r="C350" s="3" t="s">
        <v>65</v>
      </c>
    </row>
    <row r="351" spans="1:3">
      <c r="B351" s="3" t="s">
        <v>4316</v>
      </c>
      <c r="C351" s="3" t="s">
        <v>66</v>
      </c>
    </row>
    <row r="353" spans="1:3">
      <c r="A353" s="3" t="s">
        <v>67</v>
      </c>
      <c r="B353" s="3" t="s">
        <v>2602</v>
      </c>
    </row>
    <row r="354" spans="1:3">
      <c r="A354" s="3" t="s">
        <v>2603</v>
      </c>
      <c r="C354" s="3" t="s">
        <v>1542</v>
      </c>
    </row>
    <row r="355" spans="1:3">
      <c r="A355" s="3" t="s">
        <v>2604</v>
      </c>
      <c r="C355" s="3" t="s">
        <v>3360</v>
      </c>
    </row>
    <row r="356" spans="1:3">
      <c r="A356" s="3" t="s">
        <v>2605</v>
      </c>
      <c r="C356" s="3" t="s">
        <v>1590</v>
      </c>
    </row>
    <row r="359" spans="1:3">
      <c r="A359" s="3" t="s">
        <v>1591</v>
      </c>
      <c r="B359" s="3" t="s">
        <v>3388</v>
      </c>
    </row>
    <row r="361" spans="1:3">
      <c r="A361" s="3" t="s">
        <v>1591</v>
      </c>
      <c r="B361" s="3" t="s">
        <v>318</v>
      </c>
    </row>
    <row r="362" spans="1:3">
      <c r="A362" s="3" t="s">
        <v>1592</v>
      </c>
      <c r="B362" s="3" t="s">
        <v>3067</v>
      </c>
    </row>
    <row r="363" spans="1:3">
      <c r="A363" s="3" t="s">
        <v>3068</v>
      </c>
      <c r="B363" s="3" t="s">
        <v>1593</v>
      </c>
    </row>
    <row r="364" spans="1:3">
      <c r="A364" s="3" t="s">
        <v>3069</v>
      </c>
      <c r="B364" s="3" t="s">
        <v>301</v>
      </c>
    </row>
    <row r="365" spans="1:3">
      <c r="A365" s="3" t="s">
        <v>3070</v>
      </c>
      <c r="B365" s="3" t="s">
        <v>1460</v>
      </c>
    </row>
    <row r="366" spans="1:3">
      <c r="A366" s="3" t="s">
        <v>4413</v>
      </c>
      <c r="B366" s="3" t="s">
        <v>3371</v>
      </c>
    </row>
    <row r="367" spans="1:3">
      <c r="A367" s="3" t="s">
        <v>1294</v>
      </c>
      <c r="B367" s="3" t="s">
        <v>3372</v>
      </c>
    </row>
    <row r="368" spans="1:3">
      <c r="A368" s="3" t="s">
        <v>1295</v>
      </c>
      <c r="B368" s="3" t="s">
        <v>3373</v>
      </c>
    </row>
    <row r="369" spans="1:3">
      <c r="A369" s="3" t="s">
        <v>2303</v>
      </c>
      <c r="C369" s="3" t="s">
        <v>1524</v>
      </c>
    </row>
    <row r="370" spans="1:3">
      <c r="A370" s="3" t="s">
        <v>2304</v>
      </c>
      <c r="C370" s="3" t="s">
        <v>1525</v>
      </c>
    </row>
    <row r="371" spans="1:3">
      <c r="A371" s="3" t="s">
        <v>489</v>
      </c>
      <c r="B371" s="3" t="s">
        <v>162</v>
      </c>
    </row>
    <row r="372" spans="1:3">
      <c r="A372" s="3" t="s">
        <v>490</v>
      </c>
      <c r="B372" s="3" t="s">
        <v>1526</v>
      </c>
    </row>
    <row r="373" spans="1:3">
      <c r="A373" s="3" t="s">
        <v>491</v>
      </c>
      <c r="B373" s="3" t="s">
        <v>3043</v>
      </c>
    </row>
    <row r="374" spans="1:3">
      <c r="A374" s="3" t="s">
        <v>1227</v>
      </c>
      <c r="B374" s="3" t="s">
        <v>3551</v>
      </c>
    </row>
    <row r="375" spans="1:3">
      <c r="A375" s="3" t="s">
        <v>1228</v>
      </c>
      <c r="C375" s="3" t="s">
        <v>3552</v>
      </c>
    </row>
    <row r="377" spans="1:3">
      <c r="A377" s="3" t="s">
        <v>3541</v>
      </c>
      <c r="B377" s="3" t="s">
        <v>3092</v>
      </c>
    </row>
    <row r="378" spans="1:3">
      <c r="A378" s="3" t="s">
        <v>4359</v>
      </c>
      <c r="C378" s="3" t="s">
        <v>2192</v>
      </c>
    </row>
    <row r="379" spans="1:3">
      <c r="A379" s="3" t="s">
        <v>4360</v>
      </c>
      <c r="C379" s="3" t="s">
        <v>3045</v>
      </c>
    </row>
    <row r="383" spans="1:3">
      <c r="A383" s="3" t="s">
        <v>3529</v>
      </c>
      <c r="B383" s="3" t="s">
        <v>486</v>
      </c>
    </row>
    <row r="384" spans="1:3">
      <c r="A384" s="3" t="s">
        <v>3530</v>
      </c>
      <c r="C384" s="3" t="s">
        <v>2292</v>
      </c>
    </row>
    <row r="385" spans="1:3">
      <c r="A385" s="3" t="s">
        <v>4362</v>
      </c>
      <c r="C385" s="3" t="s">
        <v>4624</v>
      </c>
    </row>
    <row r="386" spans="1:3">
      <c r="A386" s="3" t="s">
        <v>1435</v>
      </c>
      <c r="C386" s="3" t="s">
        <v>60</v>
      </c>
    </row>
    <row r="387" spans="1:3">
      <c r="A387" s="3" t="s">
        <v>2681</v>
      </c>
      <c r="C387" s="3" t="s">
        <v>4626</v>
      </c>
    </row>
    <row r="389" spans="1:3">
      <c r="A389" s="3" t="s">
        <v>3522</v>
      </c>
      <c r="B389" s="3" t="s">
        <v>487</v>
      </c>
    </row>
    <row r="390" spans="1:3">
      <c r="A390" s="3" t="s">
        <v>2593</v>
      </c>
      <c r="C390" s="3" t="s">
        <v>4627</v>
      </c>
    </row>
    <row r="392" spans="1:3">
      <c r="A392" s="3" t="s">
        <v>3523</v>
      </c>
      <c r="B392" s="3" t="s">
        <v>715</v>
      </c>
    </row>
    <row r="393" spans="1:3">
      <c r="A393" s="3" t="s">
        <v>716</v>
      </c>
    </row>
    <row r="394" spans="1:3">
      <c r="A394" s="3" t="s">
        <v>4005</v>
      </c>
      <c r="B394" s="3" t="s">
        <v>4006</v>
      </c>
    </row>
    <row r="395" spans="1:3">
      <c r="A395" s="3" t="s">
        <v>4182</v>
      </c>
      <c r="B395" s="3" t="s">
        <v>2351</v>
      </c>
    </row>
    <row r="396" spans="1:3">
      <c r="A396" s="3" t="s">
        <v>4183</v>
      </c>
      <c r="B396" s="3" t="s">
        <v>2122</v>
      </c>
    </row>
    <row r="397" spans="1:3">
      <c r="A397" s="3" t="s">
        <v>4007</v>
      </c>
      <c r="B397" s="3" t="s">
        <v>1367</v>
      </c>
    </row>
    <row r="398" spans="1:3">
      <c r="A398" s="3" t="s">
        <v>4185</v>
      </c>
      <c r="B398" s="3" t="s">
        <v>1368</v>
      </c>
    </row>
    <row r="399" spans="1:3">
      <c r="A399" s="3" t="s">
        <v>4186</v>
      </c>
      <c r="B399" s="3" t="s">
        <v>2476</v>
      </c>
    </row>
    <row r="400" spans="1:3">
      <c r="A400" s="3" t="s">
        <v>4187</v>
      </c>
      <c r="B400" s="3" t="s">
        <v>4607</v>
      </c>
    </row>
    <row r="401" spans="1:2">
      <c r="A401" s="3" t="s">
        <v>4188</v>
      </c>
      <c r="B401" s="3" t="s">
        <v>4608</v>
      </c>
    </row>
    <row r="402" spans="1:2">
      <c r="A402" s="3" t="s">
        <v>2074</v>
      </c>
      <c r="B402" s="3" t="s">
        <v>536</v>
      </c>
    </row>
    <row r="403" spans="1:2">
      <c r="A403" s="3" t="s">
        <v>2075</v>
      </c>
      <c r="B403" s="3" t="s">
        <v>418</v>
      </c>
    </row>
    <row r="404" spans="1:2">
      <c r="A404" s="3" t="s">
        <v>1775</v>
      </c>
      <c r="B404" s="3" t="s">
        <v>4527</v>
      </c>
    </row>
    <row r="405" spans="1:2">
      <c r="A405" s="3" t="s">
        <v>4528</v>
      </c>
      <c r="B405" s="3" t="s">
        <v>2518</v>
      </c>
    </row>
    <row r="406" spans="1:2">
      <c r="A406" s="3" t="s">
        <v>3792</v>
      </c>
      <c r="B406" s="3" t="s">
        <v>4556</v>
      </c>
    </row>
    <row r="407" spans="1:2">
      <c r="A407" s="3" t="s">
        <v>3793</v>
      </c>
      <c r="B407" s="3" t="s">
        <v>626</v>
      </c>
    </row>
    <row r="408" spans="1:2">
      <c r="A408" s="3" t="s">
        <v>1672</v>
      </c>
      <c r="B408" s="3" t="s">
        <v>2439</v>
      </c>
    </row>
    <row r="409" spans="1:2">
      <c r="A409" s="3" t="s">
        <v>2440</v>
      </c>
      <c r="B409" s="3" t="s">
        <v>4529</v>
      </c>
    </row>
    <row r="410" spans="1:2">
      <c r="A410" s="3" t="s">
        <v>364</v>
      </c>
      <c r="B410" s="3" t="s">
        <v>964</v>
      </c>
    </row>
    <row r="411" spans="1:2">
      <c r="A411" s="3" t="s">
        <v>965</v>
      </c>
      <c r="B411" s="3" t="s">
        <v>807</v>
      </c>
    </row>
    <row r="412" spans="1:2">
      <c r="A412" s="3" t="s">
        <v>808</v>
      </c>
      <c r="B412" s="3" t="s">
        <v>966</v>
      </c>
    </row>
    <row r="414" spans="1:2">
      <c r="A414" s="3" t="s">
        <v>945</v>
      </c>
    </row>
    <row r="415" spans="1:2">
      <c r="A415" s="3" t="s">
        <v>4025</v>
      </c>
      <c r="B415" s="3" t="s">
        <v>3794</v>
      </c>
    </row>
    <row r="416" spans="1:2">
      <c r="A416" s="3" t="s">
        <v>3795</v>
      </c>
      <c r="B416" s="3" t="s">
        <v>580</v>
      </c>
    </row>
    <row r="417" spans="1:2">
      <c r="A417" s="3" t="s">
        <v>1923</v>
      </c>
      <c r="B417" s="3" t="s">
        <v>1200</v>
      </c>
    </row>
    <row r="418" spans="1:2">
      <c r="A418" s="3" t="s">
        <v>3796</v>
      </c>
      <c r="B418" s="3" t="s">
        <v>3555</v>
      </c>
    </row>
    <row r="419" spans="1:2">
      <c r="A419" s="3" t="s">
        <v>3772</v>
      </c>
      <c r="B419" s="3" t="s">
        <v>3182</v>
      </c>
    </row>
    <row r="420" spans="1:2">
      <c r="A420" s="3" t="s">
        <v>3773</v>
      </c>
      <c r="B420" s="3" t="s">
        <v>3182</v>
      </c>
    </row>
    <row r="421" spans="1:2">
      <c r="A421" s="3" t="s">
        <v>2061</v>
      </c>
      <c r="B421" s="3" t="s">
        <v>3182</v>
      </c>
    </row>
    <row r="422" spans="1:2">
      <c r="A422" s="3" t="s">
        <v>809</v>
      </c>
      <c r="B422" s="3" t="s">
        <v>4339</v>
      </c>
    </row>
    <row r="423" spans="1:2">
      <c r="A423" s="3" t="s">
        <v>4340</v>
      </c>
      <c r="B423" s="3" t="s">
        <v>1023</v>
      </c>
    </row>
    <row r="424" spans="1:2">
      <c r="A424" s="3" t="s">
        <v>3375</v>
      </c>
      <c r="B424" s="3" t="s">
        <v>3843</v>
      </c>
    </row>
    <row r="425" spans="1:2">
      <c r="A425" s="3" t="s">
        <v>3081</v>
      </c>
      <c r="B425" s="3" t="s">
        <v>2062</v>
      </c>
    </row>
    <row r="426" spans="1:2">
      <c r="A426" s="3" t="s">
        <v>3378</v>
      </c>
      <c r="B426" s="3" t="s">
        <v>241</v>
      </c>
    </row>
    <row r="427" spans="1:2">
      <c r="A427" s="3" t="s">
        <v>3493</v>
      </c>
      <c r="B427" s="3" t="s">
        <v>3082</v>
      </c>
    </row>
    <row r="428" spans="1:2">
      <c r="A428" s="3" t="s">
        <v>2063</v>
      </c>
      <c r="B428" s="3" t="s">
        <v>3082</v>
      </c>
    </row>
    <row r="429" spans="1:2">
      <c r="A429" s="3" t="s">
        <v>3376</v>
      </c>
      <c r="B429" s="3" t="s">
        <v>2471</v>
      </c>
    </row>
    <row r="430" spans="1:2">
      <c r="A430" s="3" t="s">
        <v>3377</v>
      </c>
      <c r="B430" s="3" t="s">
        <v>1427</v>
      </c>
    </row>
    <row r="431" spans="1:2">
      <c r="A431" s="3" t="s">
        <v>424</v>
      </c>
      <c r="B431" s="3" t="s">
        <v>3379</v>
      </c>
    </row>
    <row r="432" spans="1:2">
      <c r="A432" s="3" t="s">
        <v>3328</v>
      </c>
      <c r="B432" s="3" t="s">
        <v>902</v>
      </c>
    </row>
    <row r="433" spans="1:2">
      <c r="A433" s="3" t="s">
        <v>3380</v>
      </c>
      <c r="B433" s="3" t="s">
        <v>3208</v>
      </c>
    </row>
    <row r="434" spans="1:2">
      <c r="A434" s="3" t="s">
        <v>693</v>
      </c>
      <c r="B434" s="3" t="s">
        <v>757</v>
      </c>
    </row>
    <row r="435" spans="1:2">
      <c r="A435" s="3" t="s">
        <v>168</v>
      </c>
      <c r="B435" s="3" t="s">
        <v>757</v>
      </c>
    </row>
    <row r="436" spans="1:2">
      <c r="A436" s="3" t="s">
        <v>694</v>
      </c>
      <c r="B436" s="3" t="s">
        <v>3595</v>
      </c>
    </row>
    <row r="437" spans="1:2">
      <c r="A437" s="3" t="s">
        <v>2584</v>
      </c>
      <c r="B437" s="3" t="s">
        <v>999</v>
      </c>
    </row>
    <row r="438" spans="1:2">
      <c r="A438" s="3" t="s">
        <v>2585</v>
      </c>
      <c r="B438" s="3" t="s">
        <v>3433</v>
      </c>
    </row>
    <row r="439" spans="1:2">
      <c r="A439" s="3" t="s">
        <v>3495</v>
      </c>
      <c r="B439" s="3" t="s">
        <v>1306</v>
      </c>
    </row>
    <row r="440" spans="1:2">
      <c r="A440" s="3" t="s">
        <v>3496</v>
      </c>
      <c r="B440" s="3" t="s">
        <v>1306</v>
      </c>
    </row>
    <row r="441" spans="1:2">
      <c r="A441" s="3" t="s">
        <v>3497</v>
      </c>
      <c r="B441" s="3" t="s">
        <v>1306</v>
      </c>
    </row>
    <row r="442" spans="1:2">
      <c r="A442" s="3" t="s">
        <v>430</v>
      </c>
      <c r="B442" s="3" t="s">
        <v>3498</v>
      </c>
    </row>
    <row r="443" spans="1:2">
      <c r="A443" s="3" t="s">
        <v>3499</v>
      </c>
      <c r="B443" s="3" t="s">
        <v>1694</v>
      </c>
    </row>
    <row r="444" spans="1:2">
      <c r="A444" s="3" t="s">
        <v>509</v>
      </c>
      <c r="B444" s="3" t="s">
        <v>1694</v>
      </c>
    </row>
    <row r="445" spans="1:2">
      <c r="A445" s="3" t="s">
        <v>510</v>
      </c>
      <c r="B445" s="3" t="s">
        <v>3877</v>
      </c>
    </row>
    <row r="447" spans="1:2">
      <c r="A447" s="3" t="s">
        <v>1647</v>
      </c>
      <c r="B447" s="3" t="s">
        <v>2586</v>
      </c>
    </row>
    <row r="448" spans="1:2">
      <c r="A448" s="3" t="s">
        <v>2587</v>
      </c>
      <c r="B448" s="3" t="s">
        <v>2510</v>
      </c>
    </row>
    <row r="449" spans="1:3">
      <c r="A449" s="3" t="s">
        <v>2479</v>
      </c>
      <c r="B449" s="3" t="s">
        <v>2077</v>
      </c>
    </row>
    <row r="451" spans="1:3">
      <c r="A451" s="3" t="s">
        <v>1648</v>
      </c>
      <c r="B451" s="3" t="s">
        <v>1400</v>
      </c>
    </row>
    <row r="452" spans="1:3">
      <c r="A452" s="3" t="s">
        <v>2480</v>
      </c>
      <c r="B452" s="3" t="s">
        <v>1649</v>
      </c>
    </row>
    <row r="453" spans="1:3">
      <c r="A453" s="3" t="s">
        <v>2481</v>
      </c>
      <c r="B453" s="3" t="s">
        <v>3190</v>
      </c>
    </row>
    <row r="454" spans="1:3">
      <c r="A454" s="3" t="s">
        <v>2482</v>
      </c>
      <c r="B454" s="3" t="s">
        <v>2574</v>
      </c>
    </row>
    <row r="455" spans="1:3">
      <c r="A455" s="3" t="s">
        <v>2483</v>
      </c>
      <c r="B455" s="3" t="s">
        <v>3287</v>
      </c>
    </row>
    <row r="457" spans="1:3">
      <c r="A457" s="3" t="s">
        <v>3288</v>
      </c>
      <c r="B457" s="3" t="s">
        <v>3676</v>
      </c>
    </row>
    <row r="458" spans="1:3">
      <c r="A458" s="3" t="s">
        <v>3289</v>
      </c>
      <c r="B458" s="3" t="s">
        <v>1358</v>
      </c>
    </row>
    <row r="459" spans="1:3">
      <c r="A459" s="3" t="s">
        <v>913</v>
      </c>
      <c r="C459" s="3" t="s">
        <v>2403</v>
      </c>
    </row>
    <row r="460" spans="1:3">
      <c r="A460" s="3" t="s">
        <v>914</v>
      </c>
      <c r="C460" s="3" t="s">
        <v>2862</v>
      </c>
    </row>
    <row r="461" spans="1:3">
      <c r="A461" s="3" t="s">
        <v>915</v>
      </c>
      <c r="C461" s="3" t="s">
        <v>1784</v>
      </c>
    </row>
    <row r="462" spans="1:3">
      <c r="A462" s="3" t="s">
        <v>916</v>
      </c>
      <c r="C462" s="3" t="s">
        <v>1785</v>
      </c>
    </row>
    <row r="463" spans="1:3">
      <c r="A463" s="3" t="s">
        <v>3613</v>
      </c>
      <c r="B463" s="3" t="s">
        <v>917</v>
      </c>
    </row>
    <row r="464" spans="1:3">
      <c r="A464" s="3" t="s">
        <v>918</v>
      </c>
      <c r="B464" s="3" t="s">
        <v>4034</v>
      </c>
    </row>
    <row r="465" spans="1:3">
      <c r="A465" s="3" t="s">
        <v>919</v>
      </c>
      <c r="C465" s="3" t="s">
        <v>4617</v>
      </c>
    </row>
    <row r="466" spans="1:3">
      <c r="A466" s="3" t="s">
        <v>920</v>
      </c>
      <c r="C466" s="3" t="s">
        <v>4618</v>
      </c>
    </row>
    <row r="467" spans="1:3">
      <c r="A467" s="3" t="s">
        <v>3380</v>
      </c>
      <c r="B467" s="3" t="s">
        <v>1488</v>
      </c>
    </row>
    <row r="468" spans="1:3">
      <c r="A468" s="3" t="s">
        <v>921</v>
      </c>
      <c r="C468" s="3" t="s">
        <v>868</v>
      </c>
    </row>
    <row r="469" spans="1:3">
      <c r="A469" s="3" t="s">
        <v>3878</v>
      </c>
      <c r="B469" s="3" t="s">
        <v>2062</v>
      </c>
    </row>
    <row r="470" spans="1:3">
      <c r="A470" s="3" t="s">
        <v>397</v>
      </c>
      <c r="B470" s="3" t="s">
        <v>2501</v>
      </c>
    </row>
    <row r="471" spans="1:3">
      <c r="A471" s="3" t="s">
        <v>922</v>
      </c>
      <c r="B471" s="3" t="s">
        <v>730</v>
      </c>
    </row>
    <row r="472" spans="1:3">
      <c r="A472" s="3" t="s">
        <v>2502</v>
      </c>
      <c r="B472" s="3" t="s">
        <v>1678</v>
      </c>
    </row>
    <row r="473" spans="1:3">
      <c r="A473" s="3" t="s">
        <v>1679</v>
      </c>
      <c r="B473" s="3" t="s">
        <v>4655</v>
      </c>
    </row>
    <row r="474" spans="1:3">
      <c r="A474" s="3" t="s">
        <v>1397</v>
      </c>
      <c r="B474" s="3" t="s">
        <v>4536</v>
      </c>
    </row>
    <row r="475" spans="1:3">
      <c r="A475" s="3" t="s">
        <v>4537</v>
      </c>
      <c r="B475" s="3" t="s">
        <v>1080</v>
      </c>
    </row>
    <row r="476" spans="1:3">
      <c r="A476" s="3" t="s">
        <v>1680</v>
      </c>
      <c r="B476" s="3" t="s">
        <v>3155</v>
      </c>
    </row>
    <row r="477" spans="1:3">
      <c r="A477" s="3" t="s">
        <v>1681</v>
      </c>
      <c r="B477" s="3" t="s">
        <v>3156</v>
      </c>
    </row>
    <row r="478" spans="1:3">
      <c r="A478" s="3" t="s">
        <v>941</v>
      </c>
      <c r="B478" s="3" t="s">
        <v>1703</v>
      </c>
    </row>
    <row r="480" spans="1:3">
      <c r="A480" s="3" t="s">
        <v>1704</v>
      </c>
      <c r="B480" s="3" t="s">
        <v>4094</v>
      </c>
    </row>
    <row r="481" spans="1:3">
      <c r="A481" s="3" t="s">
        <v>1682</v>
      </c>
      <c r="C481" s="3" t="s">
        <v>953</v>
      </c>
    </row>
    <row r="482" spans="1:3">
      <c r="A482" s="3" t="s">
        <v>1683</v>
      </c>
      <c r="C482" s="3" t="s">
        <v>3826</v>
      </c>
    </row>
    <row r="483" spans="1:3">
      <c r="A483" s="3" t="s">
        <v>1684</v>
      </c>
      <c r="B483" s="3" t="s">
        <v>954</v>
      </c>
    </row>
    <row r="484" spans="1:3">
      <c r="A484" s="3" t="s">
        <v>443</v>
      </c>
      <c r="C484" s="3" t="s">
        <v>2155</v>
      </c>
    </row>
    <row r="486" spans="1:3">
      <c r="A486" s="3" t="s">
        <v>2739</v>
      </c>
      <c r="B486" s="3" t="s">
        <v>2602</v>
      </c>
    </row>
    <row r="487" spans="1:3">
      <c r="A487" s="3" t="s">
        <v>444</v>
      </c>
      <c r="C487" s="3" t="s">
        <v>4031</v>
      </c>
    </row>
    <row r="488" spans="1:3">
      <c r="A488" s="3" t="s">
        <v>445</v>
      </c>
      <c r="C488" s="3" t="s">
        <v>3281</v>
      </c>
    </row>
    <row r="489" spans="1:3">
      <c r="A489" s="3" t="s">
        <v>446</v>
      </c>
      <c r="C489" s="3" t="s">
        <v>402</v>
      </c>
    </row>
    <row r="490" spans="1:3">
      <c r="A490" s="3" t="s">
        <v>447</v>
      </c>
      <c r="C490" s="3" t="s">
        <v>4513</v>
      </c>
    </row>
    <row r="491" spans="1:3">
      <c r="A491" s="3" t="s">
        <v>448</v>
      </c>
      <c r="C491" s="3" t="s">
        <v>4514</v>
      </c>
    </row>
    <row r="492" spans="1:3">
      <c r="A492" s="3" t="s">
        <v>2297</v>
      </c>
      <c r="C492" s="3" t="s">
        <v>4515</v>
      </c>
    </row>
    <row r="494" spans="1:3">
      <c r="A494" s="3" t="s">
        <v>4516</v>
      </c>
      <c r="B494" s="3" t="s">
        <v>2145</v>
      </c>
    </row>
    <row r="495" spans="1:3">
      <c r="A495" s="3" t="s">
        <v>1831</v>
      </c>
      <c r="B495" s="3" t="s">
        <v>2146</v>
      </c>
    </row>
    <row r="496" spans="1:3">
      <c r="A496" s="3" t="s">
        <v>3694</v>
      </c>
      <c r="C496" s="3" t="s">
        <v>3248</v>
      </c>
    </row>
    <row r="497" spans="1:3">
      <c r="A497" s="3" t="s">
        <v>3704</v>
      </c>
      <c r="C497" s="3" t="s">
        <v>713</v>
      </c>
    </row>
    <row r="498" spans="1:3">
      <c r="A498" s="3" t="s">
        <v>4417</v>
      </c>
      <c r="C498" s="3" t="s">
        <v>3536</v>
      </c>
    </row>
    <row r="499" spans="1:3">
      <c r="A499" s="3" t="s">
        <v>3695</v>
      </c>
      <c r="C499" s="3" t="s">
        <v>4535</v>
      </c>
    </row>
    <row r="500" spans="1:3">
      <c r="A500" s="3" t="s">
        <v>4418</v>
      </c>
      <c r="C500" s="3" t="s">
        <v>3950</v>
      </c>
    </row>
    <row r="501" spans="1:3">
      <c r="A501" s="3" t="s">
        <v>2147</v>
      </c>
      <c r="C501" s="3" t="s">
        <v>1575</v>
      </c>
    </row>
    <row r="502" spans="1:3">
      <c r="A502" s="3" t="s">
        <v>2148</v>
      </c>
      <c r="C502" s="3" t="s">
        <v>1576</v>
      </c>
    </row>
    <row r="503" spans="1:3">
      <c r="A503" s="3" t="s">
        <v>428</v>
      </c>
      <c r="C503" s="3" t="s">
        <v>2754</v>
      </c>
    </row>
    <row r="504" spans="1:3">
      <c r="A504" s="3" t="s">
        <v>1577</v>
      </c>
      <c r="B504" s="3" t="s">
        <v>2786</v>
      </c>
    </row>
    <row r="505" spans="1:3">
      <c r="A505" s="3" t="s">
        <v>3705</v>
      </c>
      <c r="C505" s="3" t="s">
        <v>1578</v>
      </c>
    </row>
    <row r="506" spans="1:3">
      <c r="A506" s="3" t="s">
        <v>3696</v>
      </c>
      <c r="C506" s="3" t="s">
        <v>2138</v>
      </c>
    </row>
    <row r="507" spans="1:3">
      <c r="A507" s="3" t="s">
        <v>2787</v>
      </c>
      <c r="C507" s="3" t="s">
        <v>4559</v>
      </c>
    </row>
    <row r="508" spans="1:3">
      <c r="A508" s="3" t="s">
        <v>937</v>
      </c>
      <c r="C508" s="3" t="s">
        <v>2187</v>
      </c>
    </row>
    <row r="509" spans="1:3">
      <c r="A509" s="3" t="s">
        <v>3697</v>
      </c>
      <c r="B509" s="3" t="s">
        <v>2877</v>
      </c>
    </row>
    <row r="510" spans="1:3">
      <c r="A510" s="3" t="s">
        <v>3698</v>
      </c>
      <c r="B510" s="3" t="s">
        <v>3774</v>
      </c>
    </row>
    <row r="511" spans="1:3">
      <c r="A511" s="3" t="s">
        <v>4419</v>
      </c>
      <c r="C511" s="3" t="s">
        <v>2010</v>
      </c>
    </row>
    <row r="512" spans="1:3">
      <c r="A512" s="3" t="s">
        <v>3775</v>
      </c>
      <c r="B512" s="3" t="s">
        <v>4032</v>
      </c>
    </row>
    <row r="513" spans="1:3">
      <c r="A513" s="3" t="s">
        <v>3706</v>
      </c>
      <c r="C513" s="3" t="s">
        <v>714</v>
      </c>
    </row>
    <row r="514" spans="1:3">
      <c r="A514" s="3" t="s">
        <v>3701</v>
      </c>
      <c r="C514" s="3" t="s">
        <v>622</v>
      </c>
    </row>
    <row r="515" spans="1:3">
      <c r="A515" s="3" t="s">
        <v>3700</v>
      </c>
      <c r="C515" s="3" t="s">
        <v>621</v>
      </c>
    </row>
    <row r="516" spans="1:3">
      <c r="A516" s="3" t="s">
        <v>938</v>
      </c>
      <c r="C516" s="3" t="s">
        <v>4305</v>
      </c>
    </row>
    <row r="517" spans="1:3">
      <c r="A517" s="3" t="s">
        <v>3702</v>
      </c>
      <c r="B517" s="3" t="s">
        <v>4204</v>
      </c>
    </row>
    <row r="518" spans="1:3">
      <c r="A518" s="3" t="s">
        <v>3085</v>
      </c>
      <c r="B518" s="3" t="s">
        <v>196</v>
      </c>
    </row>
    <row r="519" spans="1:3">
      <c r="A519" s="3" t="s">
        <v>2298</v>
      </c>
      <c r="C519" s="3" t="s">
        <v>4061</v>
      </c>
    </row>
    <row r="520" spans="1:3">
      <c r="A520" s="3" t="s">
        <v>4415</v>
      </c>
      <c r="C520" s="3" t="s">
        <v>2362</v>
      </c>
    </row>
    <row r="521" spans="1:3">
      <c r="A521" s="3" t="s">
        <v>3086</v>
      </c>
      <c r="B521" s="3" t="s">
        <v>197</v>
      </c>
    </row>
    <row r="522" spans="1:3">
      <c r="A522" s="3" t="s">
        <v>4501</v>
      </c>
      <c r="C522" s="3" t="s">
        <v>3959</v>
      </c>
    </row>
    <row r="523" spans="1:3">
      <c r="A523" s="3" t="s">
        <v>426</v>
      </c>
      <c r="C523" s="3" t="s">
        <v>3959</v>
      </c>
    </row>
    <row r="524" spans="1:3">
      <c r="A524" s="3" t="s">
        <v>3087</v>
      </c>
      <c r="B524" s="3" t="s">
        <v>1078</v>
      </c>
    </row>
    <row r="525" spans="1:3">
      <c r="A525" s="3" t="s">
        <v>939</v>
      </c>
      <c r="C525" s="3" t="s">
        <v>3088</v>
      </c>
    </row>
    <row r="526" spans="1:3">
      <c r="A526" s="3" t="s">
        <v>940</v>
      </c>
      <c r="C526" s="3" t="s">
        <v>3088</v>
      </c>
    </row>
    <row r="527" spans="1:3">
      <c r="A527" s="3" t="s">
        <v>3089</v>
      </c>
      <c r="B527" s="3" t="s">
        <v>1079</v>
      </c>
    </row>
    <row r="528" spans="1:3">
      <c r="A528" s="3" t="s">
        <v>2606</v>
      </c>
      <c r="B528" s="3" t="s">
        <v>4058</v>
      </c>
    </row>
    <row r="529" spans="1:3">
      <c r="A529" s="3" t="s">
        <v>2607</v>
      </c>
      <c r="B529" s="3" t="s">
        <v>4059</v>
      </c>
    </row>
    <row r="530" spans="1:3">
      <c r="A530" s="3" t="s">
        <v>165</v>
      </c>
      <c r="B530" s="3" t="s">
        <v>3475</v>
      </c>
    </row>
    <row r="531" spans="1:3">
      <c r="A531" s="3" t="s">
        <v>3693</v>
      </c>
      <c r="C531" s="3" t="s">
        <v>3476</v>
      </c>
    </row>
    <row r="532" spans="1:3">
      <c r="A532" s="3" t="s">
        <v>166</v>
      </c>
      <c r="C532" s="3" t="s">
        <v>2752</v>
      </c>
    </row>
    <row r="533" spans="1:3">
      <c r="A533" s="3" t="s">
        <v>4416</v>
      </c>
      <c r="B533" s="3" t="s">
        <v>1609</v>
      </c>
    </row>
    <row r="534" spans="1:3">
      <c r="A534" s="3" t="s">
        <v>3790</v>
      </c>
      <c r="B534" s="3" t="s">
        <v>2712</v>
      </c>
    </row>
    <row r="535" spans="1:3">
      <c r="A535" s="3" t="s">
        <v>3791</v>
      </c>
      <c r="B535" s="3" t="s">
        <v>4512</v>
      </c>
    </row>
    <row r="536" spans="1:3">
      <c r="A536" s="3" t="s">
        <v>3579</v>
      </c>
      <c r="B536" s="3" t="s">
        <v>3492</v>
      </c>
    </row>
    <row r="537" spans="1:3">
      <c r="A537" s="3" t="s">
        <v>4414</v>
      </c>
      <c r="B537" s="3" t="s">
        <v>1554</v>
      </c>
    </row>
    <row r="538" spans="1:3">
      <c r="A538" s="3" t="s">
        <v>3703</v>
      </c>
      <c r="B538" s="3" t="s">
        <v>1555</v>
      </c>
    </row>
    <row r="539" spans="1:3">
      <c r="A539" s="3" t="s">
        <v>2788</v>
      </c>
      <c r="B539" s="3" t="s">
        <v>1596</v>
      </c>
    </row>
    <row r="540" spans="1:3">
      <c r="A540" s="3" t="s">
        <v>515</v>
      </c>
      <c r="C540" s="3" t="s">
        <v>1556</v>
      </c>
    </row>
    <row r="541" spans="1:3">
      <c r="A541" s="3" t="s">
        <v>516</v>
      </c>
      <c r="C541" s="3" t="s">
        <v>4567</v>
      </c>
    </row>
    <row r="542" spans="1:3">
      <c r="A542" s="3" t="s">
        <v>517</v>
      </c>
      <c r="C542" s="3" t="s">
        <v>1553</v>
      </c>
    </row>
    <row r="543" spans="1:3">
      <c r="A543" s="3" t="s">
        <v>1711</v>
      </c>
      <c r="C543" s="3" t="s">
        <v>3275</v>
      </c>
    </row>
    <row r="544" spans="1:3">
      <c r="A544" s="3" t="s">
        <v>3276</v>
      </c>
      <c r="C544" s="3" t="s">
        <v>3277</v>
      </c>
    </row>
    <row r="545" spans="1:3">
      <c r="A545" s="3" t="s">
        <v>3697</v>
      </c>
      <c r="B545" s="3" t="s">
        <v>2877</v>
      </c>
    </row>
    <row r="546" spans="1:3">
      <c r="A546" s="3" t="s">
        <v>1528</v>
      </c>
      <c r="C546" s="3" t="s">
        <v>123</v>
      </c>
    </row>
    <row r="548" spans="1:3">
      <c r="A548" s="8" t="s">
        <v>475</v>
      </c>
    </row>
    <row r="550" spans="1:3">
      <c r="A550" s="3" t="s">
        <v>132</v>
      </c>
    </row>
    <row r="551" spans="1:3">
      <c r="A551" s="3" t="s">
        <v>1618</v>
      </c>
    </row>
    <row r="552" spans="1:3">
      <c r="A552" s="3" t="s">
        <v>2361</v>
      </c>
    </row>
    <row r="553" spans="1:3">
      <c r="A553" s="3" t="s">
        <v>1696</v>
      </c>
    </row>
    <row r="555" spans="1:3">
      <c r="A555" s="3" t="s">
        <v>4578</v>
      </c>
    </row>
    <row r="556" spans="1:3">
      <c r="A556" s="3" t="s">
        <v>755</v>
      </c>
    </row>
    <row r="557" spans="1:3">
      <c r="A557" s="3" t="s">
        <v>3022</v>
      </c>
    </row>
    <row r="558" spans="1:3">
      <c r="A558" s="3" t="s">
        <v>290</v>
      </c>
    </row>
    <row r="559" spans="1:3">
      <c r="A559" s="3" t="s">
        <v>392</v>
      </c>
    </row>
    <row r="560" spans="1:3">
      <c r="A560" s="3" t="s">
        <v>823</v>
      </c>
    </row>
    <row r="561" spans="1:1">
      <c r="A561" s="3" t="s">
        <v>2420</v>
      </c>
    </row>
    <row r="562" spans="1:1">
      <c r="A562" s="3" t="s">
        <v>2631</v>
      </c>
    </row>
    <row r="563" spans="1:1">
      <c r="A563" s="3" t="s">
        <v>2632</v>
      </c>
    </row>
    <row r="565" spans="1:1">
      <c r="A565" s="3" t="s">
        <v>2633</v>
      </c>
    </row>
    <row r="566" spans="1:1">
      <c r="A566" s="3" t="s">
        <v>3330</v>
      </c>
    </row>
    <row r="567" spans="1:1">
      <c r="A567" s="3" t="s">
        <v>2768</v>
      </c>
    </row>
    <row r="568" spans="1:1">
      <c r="A568" s="3" t="s">
        <v>1956</v>
      </c>
    </row>
    <row r="569" spans="1:1">
      <c r="A569" s="3" t="s">
        <v>3170</v>
      </c>
    </row>
    <row r="571" spans="1:1">
      <c r="A571" s="3" t="s">
        <v>2037</v>
      </c>
    </row>
    <row r="572" spans="1:1">
      <c r="A572" s="3" t="s">
        <v>1183</v>
      </c>
    </row>
    <row r="573" spans="1:1">
      <c r="A573" s="3" t="s">
        <v>1346</v>
      </c>
    </row>
    <row r="574" spans="1:1">
      <c r="A574" s="3" t="s">
        <v>1110</v>
      </c>
    </row>
    <row r="575" spans="1:1">
      <c r="A575" s="3" t="s">
        <v>2506</v>
      </c>
    </row>
    <row r="577" spans="1:1">
      <c r="A577" s="3" t="s">
        <v>3228</v>
      </c>
    </row>
    <row r="578" spans="1:1">
      <c r="A578" s="3" t="s">
        <v>2093</v>
      </c>
    </row>
    <row r="579" spans="1:1">
      <c r="A579" s="3" t="s">
        <v>2390</v>
      </c>
    </row>
    <row r="580" spans="1:1">
      <c r="A580" s="3" t="s">
        <v>4374</v>
      </c>
    </row>
    <row r="581" spans="1:1">
      <c r="A581" s="3" t="s">
        <v>3810</v>
      </c>
    </row>
    <row r="583" spans="1:1">
      <c r="A583" s="3" t="s">
        <v>2452</v>
      </c>
    </row>
    <row r="584" spans="1:1">
      <c r="A584" s="3" t="s">
        <v>1852</v>
      </c>
    </row>
    <row r="586" spans="1:1">
      <c r="A586" s="3" t="s">
        <v>1853</v>
      </c>
    </row>
    <row r="587" spans="1:1">
      <c r="A587" s="3" t="s">
        <v>4605</v>
      </c>
    </row>
    <row r="588" spans="1:1">
      <c r="A588" s="3" t="s">
        <v>4606</v>
      </c>
    </row>
    <row r="589" spans="1:1">
      <c r="A589" s="3" t="s">
        <v>2658</v>
      </c>
    </row>
    <row r="590" spans="1:1">
      <c r="A590" s="3" t="s">
        <v>2659</v>
      </c>
    </row>
    <row r="591" spans="1:1">
      <c r="A591" s="3" t="s">
        <v>1180</v>
      </c>
    </row>
    <row r="592" spans="1:1">
      <c r="A592" s="3" t="s">
        <v>1629</v>
      </c>
    </row>
    <row r="593" spans="1:1">
      <c r="A593" s="3" t="s">
        <v>2867</v>
      </c>
    </row>
    <row r="594" spans="1:1">
      <c r="A594" s="3" t="s">
        <v>404</v>
      </c>
    </row>
    <row r="595" spans="1:1">
      <c r="A595" s="3" t="s">
        <v>405</v>
      </c>
    </row>
    <row r="596" spans="1:1">
      <c r="A596" s="3" t="s">
        <v>4197</v>
      </c>
    </row>
    <row r="598" spans="1:1">
      <c r="A598" s="3" t="s">
        <v>2650</v>
      </c>
    </row>
    <row r="599" spans="1:1">
      <c r="A599" s="3" t="s">
        <v>1960</v>
      </c>
    </row>
    <row r="600" spans="1:1">
      <c r="A600" s="3" t="s">
        <v>1961</v>
      </c>
    </row>
    <row r="602" spans="1:1">
      <c r="A602" s="3" t="s">
        <v>441</v>
      </c>
    </row>
    <row r="603" spans="1:1">
      <c r="A603" s="3" t="s">
        <v>442</v>
      </c>
    </row>
    <row r="604" spans="1:1">
      <c r="A604" s="3" t="s">
        <v>745</v>
      </c>
    </row>
    <row r="605" spans="1:1">
      <c r="A605" s="3" t="s">
        <v>4113</v>
      </c>
    </row>
    <row r="606" spans="1:1">
      <c r="A606" s="3" t="s">
        <v>4114</v>
      </c>
    </row>
    <row r="607" spans="1:1">
      <c r="A607" s="3" t="s">
        <v>4009</v>
      </c>
    </row>
    <row r="608" spans="1:1">
      <c r="A608" s="3" t="s">
        <v>4010</v>
      </c>
    </row>
    <row r="609" spans="1:1">
      <c r="A609" s="3" t="s">
        <v>2783</v>
      </c>
    </row>
    <row r="610" spans="1:1">
      <c r="A610" s="3" t="s">
        <v>4456</v>
      </c>
    </row>
    <row r="611" spans="1:1">
      <c r="A611" s="3" t="s">
        <v>2365</v>
      </c>
    </row>
    <row r="613" spans="1:1">
      <c r="A613" s="3" t="s">
        <v>2608</v>
      </c>
    </row>
    <row r="614" spans="1:1">
      <c r="A614" s="3" t="s">
        <v>442</v>
      </c>
    </row>
    <row r="615" spans="1:1">
      <c r="A615" s="3" t="s">
        <v>190</v>
      </c>
    </row>
    <row r="616" spans="1:1">
      <c r="A616" s="3" t="s">
        <v>146</v>
      </c>
    </row>
    <row r="617" spans="1:1">
      <c r="A617" s="3" t="s">
        <v>3968</v>
      </c>
    </row>
    <row r="618" spans="1:1">
      <c r="A618" s="3" t="s">
        <v>3969</v>
      </c>
    </row>
    <row r="619" spans="1:1">
      <c r="A619" s="3" t="s">
        <v>3970</v>
      </c>
    </row>
    <row r="620" spans="1:1">
      <c r="A620" s="3" t="s">
        <v>2871</v>
      </c>
    </row>
    <row r="621" spans="1:1">
      <c r="A621" s="3" t="s">
        <v>2188</v>
      </c>
    </row>
    <row r="622" spans="1:1">
      <c r="A622" s="3" t="s">
        <v>2189</v>
      </c>
    </row>
    <row r="623" spans="1:1">
      <c r="A623" s="3" t="s">
        <v>608</v>
      </c>
    </row>
    <row r="624" spans="1:1">
      <c r="A624" s="3" t="s">
        <v>3604</v>
      </c>
    </row>
    <row r="625" spans="1:1">
      <c r="A625" s="3" t="s">
        <v>597</v>
      </c>
    </row>
    <row r="626" spans="1:1">
      <c r="A626" s="3" t="s">
        <v>4639</v>
      </c>
    </row>
    <row r="627" spans="1:1">
      <c r="A627" s="3" t="s">
        <v>4488</v>
      </c>
    </row>
    <row r="628" spans="1:1">
      <c r="A628" s="3" t="s">
        <v>4489</v>
      </c>
    </row>
    <row r="629" spans="1:1">
      <c r="A629" s="3" t="s">
        <v>1058</v>
      </c>
    </row>
    <row r="630" spans="1:1">
      <c r="A630" s="3" t="s">
        <v>3349</v>
      </c>
    </row>
    <row r="631" spans="1:1">
      <c r="A631" s="3" t="s">
        <v>3269</v>
      </c>
    </row>
    <row r="632" spans="1:1">
      <c r="A632" s="3" t="s">
        <v>712</v>
      </c>
    </row>
    <row r="633" spans="1:1">
      <c r="A633" s="3" t="s">
        <v>4119</v>
      </c>
    </row>
    <row r="634" spans="1:1">
      <c r="A634" s="3" t="s">
        <v>4120</v>
      </c>
    </row>
    <row r="635" spans="1:1">
      <c r="A635" s="3" t="s">
        <v>2576</v>
      </c>
    </row>
    <row r="636" spans="1:1">
      <c r="A636" s="3" t="s">
        <v>2577</v>
      </c>
    </row>
    <row r="637" spans="1:1">
      <c r="A637" s="3" t="s">
        <v>2578</v>
      </c>
    </row>
    <row r="638" spans="1:1">
      <c r="A638" s="3" t="s">
        <v>565</v>
      </c>
    </row>
    <row r="639" spans="1:1">
      <c r="A639" s="3" t="s">
        <v>2599</v>
      </c>
    </row>
    <row r="640" spans="1:1">
      <c r="A640" s="3" t="s">
        <v>3136</v>
      </c>
    </row>
    <row r="641" spans="1:1">
      <c r="A641" s="3" t="s">
        <v>2522</v>
      </c>
    </row>
    <row r="642" spans="1:1">
      <c r="A642" s="3" t="s">
        <v>943</v>
      </c>
    </row>
    <row r="643" spans="1:1">
      <c r="A643" s="3" t="s">
        <v>3949</v>
      </c>
    </row>
    <row r="644" spans="1:1">
      <c r="A644" s="3" t="s">
        <v>1231</v>
      </c>
    </row>
    <row r="645" spans="1:1">
      <c r="A645" s="3" t="s">
        <v>1232</v>
      </c>
    </row>
    <row r="646" spans="1:1">
      <c r="A646" s="3" t="s">
        <v>1226</v>
      </c>
    </row>
    <row r="647" spans="1:1">
      <c r="A647" s="3" t="s">
        <v>4473</v>
      </c>
    </row>
    <row r="648" spans="1:1">
      <c r="A648" s="3" t="s">
        <v>4637</v>
      </c>
    </row>
    <row r="651" spans="1:1">
      <c r="A651" s="8" t="s">
        <v>4638</v>
      </c>
    </row>
    <row r="653" spans="1:1">
      <c r="A653" s="3" t="s">
        <v>132</v>
      </c>
    </row>
    <row r="654" spans="1:1">
      <c r="A654" s="3" t="s">
        <v>1467</v>
      </c>
    </row>
    <row r="655" spans="1:1">
      <c r="A655" s="3" t="s">
        <v>557</v>
      </c>
    </row>
    <row r="656" spans="1:1">
      <c r="A656" s="3" t="s">
        <v>1314</v>
      </c>
    </row>
    <row r="657" spans="1:1">
      <c r="A657" s="3" t="s">
        <v>759</v>
      </c>
    </row>
    <row r="659" spans="1:1">
      <c r="A659" s="3" t="s">
        <v>304</v>
      </c>
    </row>
    <row r="660" spans="1:1">
      <c r="A660" s="3" t="s">
        <v>3591</v>
      </c>
    </row>
    <row r="661" spans="1:1">
      <c r="A661" s="3" t="s">
        <v>1769</v>
      </c>
    </row>
    <row r="662" spans="1:1">
      <c r="A662" s="3" t="s">
        <v>1783</v>
      </c>
    </row>
    <row r="663" spans="1:1">
      <c r="A663" s="3" t="s">
        <v>4052</v>
      </c>
    </row>
    <row r="664" spans="1:1">
      <c r="A664" s="3" t="s">
        <v>143</v>
      </c>
    </row>
    <row r="665" spans="1:1">
      <c r="A665" s="3" t="s">
        <v>4553</v>
      </c>
    </row>
    <row r="666" spans="1:1">
      <c r="A666" s="3" t="s">
        <v>2511</v>
      </c>
    </row>
    <row r="667" spans="1:1">
      <c r="A667" s="3" t="s">
        <v>1939</v>
      </c>
    </row>
    <row r="669" spans="1:1">
      <c r="A669" s="3" t="s">
        <v>4356</v>
      </c>
    </row>
    <row r="670" spans="1:1">
      <c r="A670" s="3" t="s">
        <v>4378</v>
      </c>
    </row>
    <row r="671" spans="1:1">
      <c r="A671" s="3" t="s">
        <v>1642</v>
      </c>
    </row>
    <row r="672" spans="1:1">
      <c r="A672" s="3" t="s">
        <v>2643</v>
      </c>
    </row>
    <row r="673" spans="1:1">
      <c r="A673" s="3" t="s">
        <v>1727</v>
      </c>
    </row>
    <row r="674" spans="1:1">
      <c r="A674" s="3" t="s">
        <v>3142</v>
      </c>
    </row>
    <row r="675" spans="1:1">
      <c r="A675" s="3" t="s">
        <v>1068</v>
      </c>
    </row>
    <row r="677" spans="1:1">
      <c r="A677" s="3" t="s">
        <v>4379</v>
      </c>
    </row>
    <row r="678" spans="1:1">
      <c r="A678" s="3" t="s">
        <v>1845</v>
      </c>
    </row>
    <row r="679" spans="1:1">
      <c r="A679" s="3" t="s">
        <v>836</v>
      </c>
    </row>
    <row r="680" spans="1:1">
      <c r="A680" s="3" t="s">
        <v>2626</v>
      </c>
    </row>
    <row r="682" spans="1:1">
      <c r="A682" s="3" t="s">
        <v>4532</v>
      </c>
    </row>
    <row r="683" spans="1:1">
      <c r="A683" s="3" t="s">
        <v>812</v>
      </c>
    </row>
    <row r="684" spans="1:1">
      <c r="A684" s="3" t="s">
        <v>813</v>
      </c>
    </row>
    <row r="686" spans="1:1">
      <c r="A686" s="3" t="s">
        <v>3757</v>
      </c>
    </row>
    <row r="687" spans="1:1">
      <c r="A687" s="3" t="s">
        <v>4050</v>
      </c>
    </row>
    <row r="688" spans="1:1">
      <c r="A688" s="3" t="s">
        <v>1993</v>
      </c>
    </row>
    <row r="689" spans="1:1">
      <c r="A689" s="3" t="s">
        <v>3214</v>
      </c>
    </row>
    <row r="690" spans="1:1">
      <c r="A690" s="3" t="s">
        <v>924</v>
      </c>
    </row>
    <row r="691" spans="1:1">
      <c r="A691" s="3" t="s">
        <v>3440</v>
      </c>
    </row>
    <row r="692" spans="1:1">
      <c r="A692" s="3" t="s">
        <v>2024</v>
      </c>
    </row>
    <row r="693" spans="1:1">
      <c r="A693" s="3" t="s">
        <v>1366</v>
      </c>
    </row>
    <row r="695" spans="1:1">
      <c r="A695" s="3" t="s">
        <v>3144</v>
      </c>
    </row>
    <row r="696" spans="1:1">
      <c r="A696" s="3" t="s">
        <v>2216</v>
      </c>
    </row>
    <row r="697" spans="1:1">
      <c r="A697" s="3" t="s">
        <v>186</v>
      </c>
    </row>
    <row r="698" spans="1:1">
      <c r="A698" s="3" t="s">
        <v>187</v>
      </c>
    </row>
    <row r="700" spans="1:1">
      <c r="A700" s="3" t="s">
        <v>1212</v>
      </c>
    </row>
    <row r="701" spans="1:1">
      <c r="A701" s="3" t="s">
        <v>1667</v>
      </c>
    </row>
    <row r="702" spans="1:1">
      <c r="A702" s="3" t="s">
        <v>2096</v>
      </c>
    </row>
    <row r="703" spans="1:1">
      <c r="A703" s="3" t="s">
        <v>3628</v>
      </c>
    </row>
    <row r="704" spans="1:1">
      <c r="A704" s="3" t="s">
        <v>1045</v>
      </c>
    </row>
    <row r="706" spans="1:1">
      <c r="A706" s="3" t="s">
        <v>4540</v>
      </c>
    </row>
    <row r="707" spans="1:1">
      <c r="A707" s="3" t="s">
        <v>3150</v>
      </c>
    </row>
    <row r="708" spans="1:1">
      <c r="A708" s="3" t="s">
        <v>820</v>
      </c>
    </row>
    <row r="709" spans="1:1">
      <c r="A709" s="3" t="s">
        <v>3041</v>
      </c>
    </row>
    <row r="710" spans="1:1">
      <c r="A710" s="3" t="s">
        <v>801</v>
      </c>
    </row>
    <row r="712" spans="1:1">
      <c r="A712" s="3" t="s">
        <v>988</v>
      </c>
    </row>
    <row r="713" spans="1:1">
      <c r="A713" s="3" t="s">
        <v>652</v>
      </c>
    </row>
    <row r="714" spans="1:1">
      <c r="A714" s="3" t="s">
        <v>653</v>
      </c>
    </row>
    <row r="715" spans="1:1">
      <c r="A715" s="3" t="s">
        <v>654</v>
      </c>
    </row>
    <row r="717" spans="1:1">
      <c r="A717" s="3" t="s">
        <v>1846</v>
      </c>
    </row>
    <row r="718" spans="1:1">
      <c r="A718" s="3" t="s">
        <v>2880</v>
      </c>
    </row>
    <row r="719" spans="1:1">
      <c r="A719" s="3" t="s">
        <v>2881</v>
      </c>
    </row>
    <row r="721" spans="1:1">
      <c r="A721" s="3" t="s">
        <v>2099</v>
      </c>
    </row>
    <row r="722" spans="1:1">
      <c r="A722" s="3" t="s">
        <v>4017</v>
      </c>
    </row>
    <row r="723" spans="1:1">
      <c r="A723" s="3" t="s">
        <v>3448</v>
      </c>
    </row>
    <row r="724" spans="1:1">
      <c r="A724" s="3" t="s">
        <v>2470</v>
      </c>
    </row>
    <row r="725" spans="1:1">
      <c r="A725" s="3" t="s">
        <v>2368</v>
      </c>
    </row>
    <row r="726" spans="1:1">
      <c r="A726" s="3" t="s">
        <v>160</v>
      </c>
    </row>
    <row r="727" spans="1:1">
      <c r="A727" s="3" t="s">
        <v>900</v>
      </c>
    </row>
    <row r="728" spans="1:1">
      <c r="A728" s="3" t="s">
        <v>41</v>
      </c>
    </row>
    <row r="730" spans="1:1">
      <c r="A730" s="3" t="s">
        <v>1544</v>
      </c>
    </row>
    <row r="731" spans="1:1">
      <c r="A731" s="3" t="s">
        <v>282</v>
      </c>
    </row>
    <row r="732" spans="1:1">
      <c r="A732" s="3" t="s">
        <v>3171</v>
      </c>
    </row>
    <row r="733" spans="1:1">
      <c r="A733" s="3" t="s">
        <v>4202</v>
      </c>
    </row>
    <row r="734" spans="1:1">
      <c r="A734" s="3" t="s">
        <v>4478</v>
      </c>
    </row>
    <row r="736" spans="1:1">
      <c r="A736" s="3" t="s">
        <v>1336</v>
      </c>
    </row>
    <row r="737" spans="1:1">
      <c r="A737" s="3" t="s">
        <v>2520</v>
      </c>
    </row>
    <row r="738" spans="1:1">
      <c r="A738" s="3" t="s">
        <v>3538</v>
      </c>
    </row>
    <row r="739" spans="1:1">
      <c r="A739" s="3" t="s">
        <v>2468</v>
      </c>
    </row>
    <row r="741" spans="1:1">
      <c r="A741" s="3" t="s">
        <v>577</v>
      </c>
    </row>
    <row r="742" spans="1:1">
      <c r="A742" s="3" t="s">
        <v>1900</v>
      </c>
    </row>
    <row r="743" spans="1:1">
      <c r="A743" s="3" t="s">
        <v>1025</v>
      </c>
    </row>
    <row r="744" spans="1:1">
      <c r="A744" s="3" t="s">
        <v>1026</v>
      </c>
    </row>
    <row r="745" spans="1:1">
      <c r="A745" s="3" t="s">
        <v>3364</v>
      </c>
    </row>
    <row r="746" spans="1:1">
      <c r="A746" s="3" t="s">
        <v>1869</v>
      </c>
    </row>
    <row r="748" spans="1:1">
      <c r="A748" s="3" t="s">
        <v>1870</v>
      </c>
    </row>
    <row r="749" spans="1:1">
      <c r="A749" s="3" t="s">
        <v>3972</v>
      </c>
    </row>
    <row r="750" spans="1:1">
      <c r="A750" s="3" t="s">
        <v>484</v>
      </c>
    </row>
    <row r="751" spans="1:1">
      <c r="A751" s="3" t="s">
        <v>3323</v>
      </c>
    </row>
    <row r="752" spans="1:1">
      <c r="A752" s="3" t="s">
        <v>2785</v>
      </c>
    </row>
    <row r="754" spans="1:1">
      <c r="A754" s="3" t="s">
        <v>4549</v>
      </c>
    </row>
    <row r="755" spans="1:1">
      <c r="A755" s="3" t="s">
        <v>1429</v>
      </c>
    </row>
    <row r="756" spans="1:1">
      <c r="A756" s="3" t="s">
        <v>705</v>
      </c>
    </row>
    <row r="757" spans="1:1">
      <c r="A757" s="3" t="s">
        <v>1760</v>
      </c>
    </row>
    <row r="758" spans="1:1">
      <c r="A758" s="3" t="s">
        <v>4160</v>
      </c>
    </row>
    <row r="760" spans="1:1">
      <c r="A760" s="3" t="s">
        <v>4161</v>
      </c>
    </row>
    <row r="761" spans="1:1">
      <c r="A761" s="3" t="s">
        <v>1292</v>
      </c>
    </row>
    <row r="762" spans="1:1">
      <c r="A762" s="3" t="s">
        <v>4358</v>
      </c>
    </row>
    <row r="763" spans="1:1">
      <c r="A763" s="3" t="s">
        <v>259</v>
      </c>
    </row>
    <row r="764" spans="1:1">
      <c r="A764" s="3" t="s">
        <v>996</v>
      </c>
    </row>
    <row r="765" spans="1:1">
      <c r="A765" s="3" t="s">
        <v>997</v>
      </c>
    </row>
    <row r="769" spans="1:1">
      <c r="A769" s="3" t="s">
        <v>3938</v>
      </c>
    </row>
    <row r="770" spans="1:1">
      <c r="A770" s="3" t="s">
        <v>3939</v>
      </c>
    </row>
    <row r="771" spans="1:1">
      <c r="A771" s="3" t="s">
        <v>3940</v>
      </c>
    </row>
    <row r="773" spans="1:1">
      <c r="A773" s="3" t="s">
        <v>340</v>
      </c>
    </row>
    <row r="774" spans="1:1">
      <c r="A774" s="3" t="s">
        <v>148</v>
      </c>
    </row>
    <row r="775" spans="1:1">
      <c r="A775" s="3" t="s">
        <v>4621</v>
      </c>
    </row>
    <row r="776" spans="1:1">
      <c r="A776" s="3" t="s">
        <v>4176</v>
      </c>
    </row>
    <row r="777" spans="1:1">
      <c r="A777" s="3" t="s">
        <v>3324</v>
      </c>
    </row>
    <row r="778" spans="1:1">
      <c r="A778" s="3" t="s">
        <v>2580</v>
      </c>
    </row>
    <row r="779" spans="1:1">
      <c r="A779" s="3" t="s">
        <v>1236</v>
      </c>
    </row>
    <row r="780" spans="1:1">
      <c r="A780" s="3" t="s">
        <v>4596</v>
      </c>
    </row>
    <row r="781" spans="1:1">
      <c r="A781" s="3" t="s">
        <v>4582</v>
      </c>
    </row>
    <row r="782" spans="1:1">
      <c r="A782" s="3" t="s">
        <v>3061</v>
      </c>
    </row>
    <row r="783" spans="1:1">
      <c r="A783" s="3" t="s">
        <v>57</v>
      </c>
    </row>
    <row r="784" spans="1:1">
      <c r="A784" s="3" t="s">
        <v>4196</v>
      </c>
    </row>
    <row r="785" spans="1:1">
      <c r="A785" s="3" t="s">
        <v>2394</v>
      </c>
    </row>
    <row r="786" spans="1:1">
      <c r="A786" s="3" t="s">
        <v>178</v>
      </c>
    </row>
    <row r="787" spans="1:1">
      <c r="A787" s="3" t="s">
        <v>4375</v>
      </c>
    </row>
    <row r="788" spans="1:1">
      <c r="A788" s="3" t="s">
        <v>1738</v>
      </c>
    </row>
    <row r="789" spans="1:1">
      <c r="A789" s="3" t="s">
        <v>1063</v>
      </c>
    </row>
    <row r="790" spans="1:1">
      <c r="A790" s="3" t="s">
        <v>3341</v>
      </c>
    </row>
    <row r="791" spans="1:1">
      <c r="A791" s="3" t="s">
        <v>3489</v>
      </c>
    </row>
    <row r="792" spans="1:1">
      <c r="A792" s="3" t="s">
        <v>566</v>
      </c>
    </row>
    <row r="793" spans="1:1">
      <c r="A793" s="3" t="s">
        <v>2412</v>
      </c>
    </row>
    <row r="794" spans="1:1">
      <c r="A794" s="3" t="s">
        <v>2392</v>
      </c>
    </row>
    <row r="795" spans="1:1">
      <c r="A795" s="3" t="s">
        <v>1673</v>
      </c>
    </row>
    <row r="796" spans="1:1">
      <c r="A796" s="3" t="s">
        <v>2300</v>
      </c>
    </row>
    <row r="797" spans="1:1">
      <c r="A797" s="3" t="s">
        <v>2714</v>
      </c>
    </row>
    <row r="798" spans="1:1">
      <c r="A798" s="3" t="s">
        <v>898</v>
      </c>
    </row>
    <row r="799" spans="1:1">
      <c r="A799" s="3" t="s">
        <v>899</v>
      </c>
    </row>
    <row r="800" spans="1:1">
      <c r="A800" s="3" t="s">
        <v>3244</v>
      </c>
    </row>
    <row r="801" spans="1:1">
      <c r="A801" s="3" t="s">
        <v>2204</v>
      </c>
    </row>
    <row r="802" spans="1:1">
      <c r="A802" s="3" t="s">
        <v>944</v>
      </c>
    </row>
    <row r="803" spans="1:1">
      <c r="A803" s="3" t="s">
        <v>109</v>
      </c>
    </row>
    <row r="804" spans="1:1">
      <c r="A804" s="3" t="s">
        <v>243</v>
      </c>
    </row>
    <row r="805" spans="1:1">
      <c r="A805" s="3" t="s">
        <v>742</v>
      </c>
    </row>
    <row r="806" spans="1:1">
      <c r="A806" s="3" t="s">
        <v>1319</v>
      </c>
    </row>
    <row r="807" spans="1:1">
      <c r="A807" s="3" t="s">
        <v>2487</v>
      </c>
    </row>
    <row r="808" spans="1:1">
      <c r="A808" s="3" t="s">
        <v>483</v>
      </c>
    </row>
    <row r="809" spans="1:1">
      <c r="A809" s="3" t="s">
        <v>2029</v>
      </c>
    </row>
    <row r="811" spans="1:1">
      <c r="A811" s="3" t="s">
        <v>3468</v>
      </c>
    </row>
    <row r="812" spans="1:1">
      <c r="A812" s="3" t="s">
        <v>4299</v>
      </c>
    </row>
    <row r="813" spans="1:1">
      <c r="A813" s="3" t="s">
        <v>332</v>
      </c>
    </row>
    <row r="814" spans="1:1">
      <c r="A814" s="3" t="s">
        <v>1790</v>
      </c>
    </row>
    <row r="815" spans="1:1">
      <c r="A815" s="3" t="s">
        <v>1791</v>
      </c>
    </row>
    <row r="816" spans="1:1">
      <c r="A816" s="3" t="s">
        <v>3998</v>
      </c>
    </row>
    <row r="817" spans="1:1">
      <c r="A817" s="3" t="s">
        <v>3999</v>
      </c>
    </row>
    <row r="819" spans="1:1">
      <c r="A819" s="3" t="s">
        <v>4079</v>
      </c>
    </row>
    <row r="820" spans="1:1">
      <c r="A820" s="3" t="s">
        <v>2616</v>
      </c>
    </row>
    <row r="822" spans="1:1">
      <c r="A822" s="3" t="s">
        <v>2617</v>
      </c>
    </row>
    <row r="823" spans="1:1">
      <c r="A823" s="3" t="s">
        <v>288</v>
      </c>
    </row>
    <row r="824" spans="1:1">
      <c r="A824" s="3" t="s">
        <v>1077</v>
      </c>
    </row>
    <row r="825" spans="1:1">
      <c r="A825" s="3" t="s">
        <v>3370</v>
      </c>
    </row>
    <row r="826" spans="1:1">
      <c r="A826" s="3" t="s">
        <v>1827</v>
      </c>
    </row>
    <row r="827" spans="1:1">
      <c r="A827" s="3" t="s">
        <v>1677</v>
      </c>
    </row>
    <row r="828" spans="1:1">
      <c r="A828" s="3" t="s">
        <v>2097</v>
      </c>
    </row>
    <row r="829" spans="1:1">
      <c r="A829" s="3" t="s">
        <v>488</v>
      </c>
    </row>
    <row r="830" spans="1:1">
      <c r="A830" s="3" t="s">
        <v>3847</v>
      </c>
    </row>
    <row r="831" spans="1:1">
      <c r="A831" s="3" t="s">
        <v>3277</v>
      </c>
    </row>
    <row r="832" spans="1:1">
      <c r="A832" s="3" t="s">
        <v>1616</v>
      </c>
    </row>
    <row r="833" spans="1:1">
      <c r="A833" s="3" t="s">
        <v>1617</v>
      </c>
    </row>
    <row r="835" spans="1:1">
      <c r="A835" s="3" t="s">
        <v>4610</v>
      </c>
    </row>
    <row r="836" spans="1:1">
      <c r="A836" s="3" t="s">
        <v>344</v>
      </c>
    </row>
    <row r="837" spans="1:1">
      <c r="A837" s="3" t="s">
        <v>1904</v>
      </c>
    </row>
    <row r="839" spans="1:1">
      <c r="A839" s="3" t="s">
        <v>2252</v>
      </c>
    </row>
    <row r="840" spans="1:1">
      <c r="A840" s="3" t="s">
        <v>417</v>
      </c>
    </row>
    <row r="841" spans="1:1">
      <c r="A841" s="3" t="s">
        <v>3326</v>
      </c>
    </row>
    <row r="842" spans="1:1">
      <c r="A842" s="3" t="s">
        <v>1273</v>
      </c>
    </row>
    <row r="843" spans="1:1">
      <c r="A843" s="3" t="s">
        <v>4326</v>
      </c>
    </row>
    <row r="844" spans="1:1">
      <c r="A844" s="3" t="s">
        <v>2269</v>
      </c>
    </row>
    <row r="845" spans="1:1">
      <c r="A845" s="3" t="s">
        <v>980</v>
      </c>
    </row>
    <row r="846" spans="1:1">
      <c r="A846" s="3" t="s">
        <v>3817</v>
      </c>
    </row>
    <row r="847" spans="1:1">
      <c r="A847" s="3" t="s">
        <v>878</v>
      </c>
    </row>
    <row r="849" spans="1:1">
      <c r="A849" s="3" t="s">
        <v>1361</v>
      </c>
    </row>
    <row r="850" spans="1:1">
      <c r="A850" s="3" t="s">
        <v>2060</v>
      </c>
    </row>
    <row r="851" spans="1:1">
      <c r="A851" s="3" t="s">
        <v>647</v>
      </c>
    </row>
    <row r="852" spans="1:1">
      <c r="A852" s="3" t="s">
        <v>948</v>
      </c>
    </row>
    <row r="853" spans="1:1">
      <c r="A853" s="3" t="s">
        <v>2364</v>
      </c>
    </row>
    <row r="854" spans="1:1">
      <c r="A854" s="3" t="s">
        <v>1824</v>
      </c>
    </row>
    <row r="855" spans="1:1">
      <c r="A855" s="3" t="s">
        <v>167</v>
      </c>
    </row>
    <row r="856" spans="1:1">
      <c r="A856" s="3" t="s">
        <v>194</v>
      </c>
    </row>
    <row r="857" spans="1:1">
      <c r="A857" s="3" t="s">
        <v>1603</v>
      </c>
    </row>
    <row r="860" spans="1:1">
      <c r="A860" s="8" t="s">
        <v>485</v>
      </c>
    </row>
    <row r="862" spans="1:1">
      <c r="A862" s="3" t="s">
        <v>132</v>
      </c>
    </row>
    <row r="863" spans="1:1">
      <c r="A863" s="3" t="s">
        <v>3598</v>
      </c>
    </row>
    <row r="864" spans="1:1">
      <c r="A864" s="3" t="s">
        <v>3680</v>
      </c>
    </row>
    <row r="865" spans="1:3">
      <c r="A865" s="3" t="s">
        <v>91</v>
      </c>
    </row>
    <row r="866" spans="1:3">
      <c r="A866" s="3" t="s">
        <v>4420</v>
      </c>
    </row>
    <row r="868" spans="1:3">
      <c r="A868" s="3" t="s">
        <v>2856</v>
      </c>
    </row>
    <row r="869" spans="1:3">
      <c r="A869" s="3" t="s">
        <v>1658</v>
      </c>
    </row>
    <row r="870" spans="1:3">
      <c r="A870" s="3" t="s">
        <v>2705</v>
      </c>
    </row>
    <row r="872" spans="1:3">
      <c r="A872" s="3" t="s">
        <v>92</v>
      </c>
      <c r="B872" s="3" t="s">
        <v>3361</v>
      </c>
    </row>
    <row r="873" spans="1:3">
      <c r="A873" s="3" t="s">
        <v>93</v>
      </c>
      <c r="B873" s="3" t="s">
        <v>3191</v>
      </c>
    </row>
    <row r="874" spans="1:3">
      <c r="A874" s="3" t="s">
        <v>94</v>
      </c>
      <c r="C874" s="3" t="s">
        <v>2798</v>
      </c>
    </row>
    <row r="875" spans="1:3">
      <c r="A875" s="3" t="s">
        <v>95</v>
      </c>
      <c r="B875" s="3" t="s">
        <v>3192</v>
      </c>
    </row>
    <row r="876" spans="1:3">
      <c r="A876" s="3" t="s">
        <v>96</v>
      </c>
      <c r="B876" s="3" t="s">
        <v>570</v>
      </c>
    </row>
    <row r="877" spans="1:3">
      <c r="A877" s="3" t="s">
        <v>1335</v>
      </c>
    </row>
    <row r="878" spans="1:3">
      <c r="A878" s="3" t="s">
        <v>97</v>
      </c>
      <c r="B878" s="3" t="s">
        <v>560</v>
      </c>
    </row>
    <row r="879" spans="1:3">
      <c r="A879" s="3" t="s">
        <v>2638</v>
      </c>
      <c r="C879" s="3" t="s">
        <v>1750</v>
      </c>
    </row>
    <row r="880" spans="1:3">
      <c r="A880" s="3" t="s">
        <v>2639</v>
      </c>
      <c r="B880" s="3" t="s">
        <v>4146</v>
      </c>
    </row>
    <row r="881" spans="1:3">
      <c r="A881" s="3" t="s">
        <v>363</v>
      </c>
      <c r="B881" s="3" t="s">
        <v>2798</v>
      </c>
    </row>
    <row r="882" spans="1:3">
      <c r="A882" s="3" t="s">
        <v>3063</v>
      </c>
      <c r="B882" s="3" t="s">
        <v>1515</v>
      </c>
    </row>
    <row r="883" spans="1:3">
      <c r="A883" s="3" t="s">
        <v>3064</v>
      </c>
      <c r="B883" s="3" t="s">
        <v>1516</v>
      </c>
    </row>
    <row r="884" spans="1:3">
      <c r="A884" s="3" t="s">
        <v>3065</v>
      </c>
      <c r="C884" s="3" t="s">
        <v>1517</v>
      </c>
    </row>
    <row r="885" spans="1:3">
      <c r="A885" s="3" t="s">
        <v>3066</v>
      </c>
      <c r="B885" s="3" t="s">
        <v>3355</v>
      </c>
    </row>
    <row r="887" spans="1:3">
      <c r="A887" s="3" t="s">
        <v>4126</v>
      </c>
    </row>
    <row r="888" spans="1:3">
      <c r="A888" s="3" t="s">
        <v>983</v>
      </c>
    </row>
    <row r="890" spans="1:3">
      <c r="A890" s="3" t="s">
        <v>1705</v>
      </c>
    </row>
    <row r="891" spans="1:3">
      <c r="A891" s="3" t="s">
        <v>983</v>
      </c>
    </row>
    <row r="893" spans="1:3">
      <c r="A893" s="3" t="s">
        <v>3578</v>
      </c>
    </row>
    <row r="894" spans="1:3">
      <c r="A894" s="3" t="s">
        <v>2705</v>
      </c>
    </row>
    <row r="896" spans="1:3">
      <c r="A896" s="3" t="s">
        <v>2440</v>
      </c>
      <c r="B896" s="3" t="s">
        <v>1674</v>
      </c>
      <c r="C896" s="3" t="s">
        <v>1675</v>
      </c>
    </row>
    <row r="897" spans="1:3">
      <c r="A897" s="3" t="s">
        <v>3772</v>
      </c>
      <c r="B897" s="3" t="s">
        <v>3191</v>
      </c>
    </row>
    <row r="898" spans="1:3">
      <c r="A898" s="3" t="s">
        <v>3773</v>
      </c>
      <c r="B898" s="3" t="s">
        <v>1676</v>
      </c>
    </row>
    <row r="899" spans="1:3">
      <c r="A899" s="3" t="s">
        <v>2061</v>
      </c>
      <c r="B899" s="3" t="s">
        <v>1676</v>
      </c>
    </row>
    <row r="900" spans="1:3">
      <c r="A900" s="3" t="s">
        <v>3493</v>
      </c>
      <c r="B900" s="3" t="s">
        <v>1676</v>
      </c>
    </row>
    <row r="901" spans="1:3">
      <c r="A901" s="3" t="s">
        <v>2063</v>
      </c>
      <c r="B901" s="3" t="s">
        <v>1676</v>
      </c>
    </row>
    <row r="902" spans="1:3">
      <c r="A902" s="3" t="s">
        <v>3495</v>
      </c>
      <c r="C902" s="3" t="s">
        <v>1676</v>
      </c>
    </row>
    <row r="903" spans="1:3">
      <c r="A903" s="3" t="s">
        <v>3496</v>
      </c>
      <c r="B903" s="3" t="s">
        <v>1676</v>
      </c>
    </row>
    <row r="904" spans="1:3">
      <c r="A904" s="3" t="s">
        <v>3497</v>
      </c>
      <c r="B904" s="3" t="s">
        <v>1676</v>
      </c>
    </row>
    <row r="905" spans="1:3">
      <c r="A905" s="3" t="s">
        <v>509</v>
      </c>
      <c r="B905" s="3" t="s">
        <v>3559</v>
      </c>
    </row>
    <row r="906" spans="1:3">
      <c r="A906" s="3" t="s">
        <v>1002</v>
      </c>
    </row>
    <row r="907" spans="1:3">
      <c r="A907" s="3" t="s">
        <v>2500</v>
      </c>
    </row>
    <row r="908" spans="1:3">
      <c r="A908" s="3" t="s">
        <v>1579</v>
      </c>
    </row>
    <row r="909" spans="1:3">
      <c r="A909" s="3" t="s">
        <v>3499</v>
      </c>
      <c r="B909" s="3" t="s">
        <v>3191</v>
      </c>
    </row>
    <row r="911" spans="1:3">
      <c r="A911" s="3" t="s">
        <v>567</v>
      </c>
    </row>
    <row r="912" spans="1:3">
      <c r="A912" s="3" t="s">
        <v>4095</v>
      </c>
      <c r="C912" s="3" t="s">
        <v>1880</v>
      </c>
    </row>
    <row r="913" spans="1:3">
      <c r="A913" s="3" t="s">
        <v>4096</v>
      </c>
      <c r="C913" s="3" t="s">
        <v>3072</v>
      </c>
    </row>
    <row r="914" spans="1:3">
      <c r="A914" s="3" t="s">
        <v>2601</v>
      </c>
      <c r="C914" s="3" t="s">
        <v>65</v>
      </c>
    </row>
    <row r="915" spans="1:3">
      <c r="A915" s="3" t="s">
        <v>4316</v>
      </c>
      <c r="B915" s="3" t="s">
        <v>863</v>
      </c>
    </row>
    <row r="917" spans="1:3">
      <c r="A917" s="3" t="s">
        <v>864</v>
      </c>
    </row>
    <row r="918" spans="1:3">
      <c r="A918" s="3" t="s">
        <v>2603</v>
      </c>
      <c r="C918" s="3" t="s">
        <v>1069</v>
      </c>
    </row>
    <row r="919" spans="1:3">
      <c r="A919" s="3" t="s">
        <v>2186</v>
      </c>
    </row>
    <row r="920" spans="1:3">
      <c r="A920" s="3" t="s">
        <v>2604</v>
      </c>
      <c r="C920" s="3" t="s">
        <v>1889</v>
      </c>
    </row>
    <row r="921" spans="1:3">
      <c r="A921" s="3" t="s">
        <v>2605</v>
      </c>
      <c r="C921" s="3" t="s">
        <v>3813</v>
      </c>
    </row>
    <row r="922" spans="1:3">
      <c r="A922" s="3" t="s">
        <v>2421</v>
      </c>
    </row>
    <row r="924" spans="1:3">
      <c r="A924" s="3" t="s">
        <v>665</v>
      </c>
    </row>
    <row r="926" spans="1:3">
      <c r="A926" s="3" t="s">
        <v>2525</v>
      </c>
    </row>
    <row r="928" spans="1:3">
      <c r="A928" s="3" t="s">
        <v>610</v>
      </c>
    </row>
    <row r="929" spans="1:3">
      <c r="A929" s="3" t="s">
        <v>3461</v>
      </c>
      <c r="B929" s="3" t="s">
        <v>615</v>
      </c>
    </row>
    <row r="930" spans="1:3">
      <c r="A930" s="3" t="s">
        <v>2802</v>
      </c>
      <c r="B930" s="3" t="s">
        <v>1272</v>
      </c>
    </row>
    <row r="931" spans="1:3">
      <c r="A931" s="3" t="s">
        <v>933</v>
      </c>
      <c r="B931" s="3" t="s">
        <v>4380</v>
      </c>
    </row>
    <row r="932" spans="1:3">
      <c r="A932" s="3" t="s">
        <v>4095</v>
      </c>
      <c r="C932" s="3" t="s">
        <v>2791</v>
      </c>
    </row>
    <row r="933" spans="1:3">
      <c r="A933" s="3" t="s">
        <v>3238</v>
      </c>
      <c r="B933" s="3" t="s">
        <v>3599</v>
      </c>
    </row>
    <row r="935" spans="1:3">
      <c r="A935" s="3" t="s">
        <v>2709</v>
      </c>
    </row>
    <row r="936" spans="1:3">
      <c r="A936" s="3" t="s">
        <v>3219</v>
      </c>
    </row>
    <row r="937" spans="1:3">
      <c r="A937" s="3" t="s">
        <v>435</v>
      </c>
    </row>
    <row r="938" spans="1:3">
      <c r="A938" s="3" t="s">
        <v>244</v>
      </c>
    </row>
    <row r="939" spans="1:3">
      <c r="A939" s="3" t="s">
        <v>3519</v>
      </c>
    </row>
    <row r="940" spans="1:3">
      <c r="A940" s="3" t="s">
        <v>1282</v>
      </c>
    </row>
    <row r="941" spans="1:3">
      <c r="A941" s="3" t="s">
        <v>2219</v>
      </c>
    </row>
    <row r="942" spans="1:3">
      <c r="A942" s="3" t="s">
        <v>1283</v>
      </c>
    </row>
    <row r="943" spans="1:3">
      <c r="A943" s="3" t="s">
        <v>3250</v>
      </c>
      <c r="B943" s="3" t="s">
        <v>1284</v>
      </c>
    </row>
    <row r="944" spans="1:3">
      <c r="A944" s="3" t="s">
        <v>2803</v>
      </c>
      <c r="B944" s="3" t="s">
        <v>691</v>
      </c>
    </row>
    <row r="945" spans="1:3">
      <c r="A945" s="3" t="s">
        <v>934</v>
      </c>
      <c r="B945" s="3" t="s">
        <v>635</v>
      </c>
    </row>
    <row r="946" spans="1:3">
      <c r="A946" s="3" t="s">
        <v>4095</v>
      </c>
      <c r="C946" s="3" t="s">
        <v>2791</v>
      </c>
    </row>
    <row r="947" spans="1:3">
      <c r="A947" s="3" t="s">
        <v>3238</v>
      </c>
      <c r="B947" s="3" t="s">
        <v>3599</v>
      </c>
    </row>
    <row r="949" spans="1:3">
      <c r="A949" s="3" t="s">
        <v>393</v>
      </c>
    </row>
    <row r="950" spans="1:3">
      <c r="A950" s="3" t="s">
        <v>4510</v>
      </c>
    </row>
    <row r="951" spans="1:3">
      <c r="A951" s="3" t="s">
        <v>3243</v>
      </c>
    </row>
    <row r="952" spans="1:3">
      <c r="A952" s="3" t="s">
        <v>244</v>
      </c>
    </row>
    <row r="953" spans="1:3">
      <c r="A953" s="3" t="s">
        <v>3519</v>
      </c>
    </row>
    <row r="954" spans="1:3">
      <c r="A954" s="3" t="s">
        <v>1282</v>
      </c>
    </row>
    <row r="956" spans="1:3">
      <c r="A956" s="3" t="s">
        <v>611</v>
      </c>
    </row>
    <row r="957" spans="1:3">
      <c r="A957" s="3" t="s">
        <v>3715</v>
      </c>
      <c r="B957" s="3" t="s">
        <v>612</v>
      </c>
    </row>
    <row r="958" spans="1:3">
      <c r="A958" s="3" t="s">
        <v>2804</v>
      </c>
      <c r="B958" s="3" t="s">
        <v>613</v>
      </c>
    </row>
    <row r="959" spans="1:3">
      <c r="A959" s="3" t="s">
        <v>2176</v>
      </c>
      <c r="B959" s="3" t="s">
        <v>4571</v>
      </c>
    </row>
    <row r="960" spans="1:3">
      <c r="A960" s="3" t="s">
        <v>4095</v>
      </c>
      <c r="C960" s="3" t="s">
        <v>2791</v>
      </c>
    </row>
    <row r="961" spans="1:3">
      <c r="A961" s="3" t="s">
        <v>3238</v>
      </c>
      <c r="B961" s="3" t="s">
        <v>3599</v>
      </c>
    </row>
    <row r="963" spans="1:3">
      <c r="A963" s="3" t="s">
        <v>3544</v>
      </c>
    </row>
    <row r="964" spans="1:3">
      <c r="A964" s="3" t="s">
        <v>3060</v>
      </c>
    </row>
    <row r="965" spans="1:3">
      <c r="A965" s="3" t="s">
        <v>3408</v>
      </c>
    </row>
    <row r="966" spans="1:3">
      <c r="A966" s="3" t="s">
        <v>3104</v>
      </c>
    </row>
    <row r="967" spans="1:3">
      <c r="A967" s="3" t="s">
        <v>875</v>
      </c>
    </row>
    <row r="968" spans="1:3">
      <c r="A968" s="3" t="s">
        <v>2107</v>
      </c>
    </row>
    <row r="970" spans="1:3">
      <c r="A970" s="3" t="s">
        <v>3106</v>
      </c>
    </row>
    <row r="971" spans="1:3">
      <c r="A971" s="3" t="s">
        <v>3714</v>
      </c>
      <c r="B971" s="3" t="s">
        <v>1655</v>
      </c>
    </row>
    <row r="972" spans="1:3">
      <c r="A972" s="3" t="s">
        <v>2805</v>
      </c>
      <c r="B972" s="3" t="s">
        <v>1656</v>
      </c>
    </row>
    <row r="973" spans="1:3">
      <c r="A973" s="3" t="s">
        <v>2177</v>
      </c>
      <c r="B973" s="3" t="s">
        <v>1428</v>
      </c>
    </row>
    <row r="974" spans="1:3">
      <c r="A974" s="3" t="s">
        <v>4095</v>
      </c>
      <c r="C974" s="3" t="s">
        <v>2791</v>
      </c>
    </row>
    <row r="975" spans="1:3">
      <c r="A975" s="3" t="s">
        <v>3238</v>
      </c>
      <c r="B975" s="3" t="s">
        <v>3599</v>
      </c>
    </row>
    <row r="977" spans="1:3">
      <c r="A977" s="3" t="s">
        <v>4653</v>
      </c>
    </row>
    <row r="978" spans="1:3">
      <c r="A978" s="3" t="s">
        <v>1213</v>
      </c>
    </row>
    <row r="979" spans="1:3">
      <c r="A979" s="3" t="s">
        <v>13</v>
      </c>
    </row>
    <row r="980" spans="1:3">
      <c r="A980" s="3" t="s">
        <v>740</v>
      </c>
    </row>
    <row r="981" spans="1:3">
      <c r="A981" s="3" t="s">
        <v>2630</v>
      </c>
    </row>
    <row r="982" spans="1:3">
      <c r="A982" s="3" t="s">
        <v>4021</v>
      </c>
    </row>
    <row r="984" spans="1:3">
      <c r="A984" s="3" t="s">
        <v>2708</v>
      </c>
    </row>
    <row r="985" spans="1:3">
      <c r="A985" s="3" t="s">
        <v>596</v>
      </c>
      <c r="B985" s="3" t="s">
        <v>3588</v>
      </c>
    </row>
    <row r="986" spans="1:3">
      <c r="A986" s="3" t="s">
        <v>2806</v>
      </c>
      <c r="B986" s="3" t="s">
        <v>2671</v>
      </c>
    </row>
    <row r="987" spans="1:3">
      <c r="A987" s="3" t="s">
        <v>2178</v>
      </c>
      <c r="B987" s="3" t="s">
        <v>2672</v>
      </c>
    </row>
    <row r="988" spans="1:3">
      <c r="A988" s="3" t="s">
        <v>4095</v>
      </c>
      <c r="C988" s="3" t="s">
        <v>2791</v>
      </c>
    </row>
    <row r="989" spans="1:3">
      <c r="A989" s="3" t="s">
        <v>3238</v>
      </c>
      <c r="B989" s="3" t="s">
        <v>3599</v>
      </c>
    </row>
    <row r="991" spans="1:3">
      <c r="A991" s="3" t="s">
        <v>3024</v>
      </c>
    </row>
    <row r="992" spans="1:3">
      <c r="A992" s="3" t="s">
        <v>852</v>
      </c>
    </row>
    <row r="993" spans="1:3">
      <c r="A993" s="3" t="s">
        <v>1036</v>
      </c>
    </row>
    <row r="994" spans="1:3">
      <c r="A994" s="3" t="s">
        <v>1037</v>
      </c>
    </row>
    <row r="995" spans="1:3">
      <c r="A995" s="3" t="s">
        <v>4393</v>
      </c>
    </row>
    <row r="996" spans="1:3">
      <c r="A996" s="3" t="s">
        <v>1906</v>
      </c>
    </row>
    <row r="997" spans="1:3">
      <c r="A997" s="3" t="s">
        <v>2342</v>
      </c>
    </row>
    <row r="998" spans="1:3">
      <c r="A998" s="3" t="s">
        <v>3547</v>
      </c>
    </row>
    <row r="999" spans="1:3">
      <c r="A999" s="3" t="s">
        <v>1589</v>
      </c>
    </row>
    <row r="1001" spans="1:3">
      <c r="A1001" s="3" t="s">
        <v>1470</v>
      </c>
    </row>
    <row r="1002" spans="1:3">
      <c r="A1002" s="3" t="s">
        <v>708</v>
      </c>
      <c r="B1002" s="3" t="s">
        <v>1471</v>
      </c>
    </row>
    <row r="1003" spans="1:3">
      <c r="A1003" s="3" t="s">
        <v>355</v>
      </c>
      <c r="B1003" s="3" t="s">
        <v>1049</v>
      </c>
    </row>
    <row r="1004" spans="1:3">
      <c r="A1004" s="3" t="s">
        <v>2179</v>
      </c>
      <c r="B1004" s="3" t="s">
        <v>4580</v>
      </c>
    </row>
    <row r="1005" spans="1:3">
      <c r="A1005" s="3" t="s">
        <v>4095</v>
      </c>
      <c r="C1005" s="3" t="s">
        <v>2791</v>
      </c>
    </row>
    <row r="1006" spans="1:3">
      <c r="A1006" s="3" t="s">
        <v>3238</v>
      </c>
      <c r="B1006" s="3" t="s">
        <v>3599</v>
      </c>
    </row>
    <row r="1008" spans="1:3">
      <c r="A1008" s="3" t="s">
        <v>4505</v>
      </c>
    </row>
    <row r="1009" spans="1:3">
      <c r="A1009" s="3" t="s">
        <v>3315</v>
      </c>
    </row>
    <row r="1010" spans="1:3">
      <c r="A1010" s="3" t="s">
        <v>1537</v>
      </c>
    </row>
    <row r="1011" spans="1:3">
      <c r="A1011" s="3" t="s">
        <v>843</v>
      </c>
    </row>
    <row r="1012" spans="1:3">
      <c r="A1012" s="3" t="s">
        <v>3971</v>
      </c>
    </row>
    <row r="1013" spans="1:3">
      <c r="A1013" s="3" t="s">
        <v>1352</v>
      </c>
    </row>
    <row r="1014" spans="1:3">
      <c r="A1014" s="3" t="s">
        <v>1501</v>
      </c>
    </row>
    <row r="1016" spans="1:3">
      <c r="A1016" s="3" t="s">
        <v>1420</v>
      </c>
      <c r="B1016" s="3" t="s">
        <v>987</v>
      </c>
    </row>
    <row r="1017" spans="1:3">
      <c r="A1017" s="3" t="s">
        <v>707</v>
      </c>
      <c r="B1017" s="3" t="s">
        <v>1502</v>
      </c>
    </row>
    <row r="1018" spans="1:3">
      <c r="A1018" s="3" t="s">
        <v>356</v>
      </c>
      <c r="B1018" s="3" t="s">
        <v>1503</v>
      </c>
    </row>
    <row r="1019" spans="1:3">
      <c r="A1019" s="3" t="s">
        <v>2180</v>
      </c>
      <c r="B1019" s="3" t="s">
        <v>2692</v>
      </c>
    </row>
    <row r="1020" spans="1:3">
      <c r="A1020" s="3" t="s">
        <v>4095</v>
      </c>
      <c r="C1020" s="3" t="s">
        <v>2791</v>
      </c>
    </row>
    <row r="1021" spans="1:3">
      <c r="A1021" s="3" t="s">
        <v>3238</v>
      </c>
      <c r="B1021" s="3" t="s">
        <v>3599</v>
      </c>
    </row>
    <row r="1023" spans="1:3">
      <c r="A1023" s="3" t="s">
        <v>3581</v>
      </c>
    </row>
    <row r="1024" spans="1:3">
      <c r="A1024" s="3" t="s">
        <v>346</v>
      </c>
    </row>
    <row r="1025" spans="1:3">
      <c r="A1025" s="3" t="s">
        <v>3977</v>
      </c>
    </row>
    <row r="1026" spans="1:3">
      <c r="A1026" s="3" t="s">
        <v>2892</v>
      </c>
    </row>
    <row r="1027" spans="1:3">
      <c r="A1027" s="3" t="s">
        <v>659</v>
      </c>
    </row>
    <row r="1028" spans="1:3">
      <c r="A1028" s="3" t="s">
        <v>3362</v>
      </c>
    </row>
    <row r="1030" spans="1:3">
      <c r="A1030" s="3" t="s">
        <v>5</v>
      </c>
    </row>
    <row r="1031" spans="1:3">
      <c r="A1031" s="3" t="s">
        <v>706</v>
      </c>
      <c r="B1031" s="3" t="s">
        <v>6</v>
      </c>
    </row>
    <row r="1032" spans="1:3">
      <c r="A1032" s="3" t="s">
        <v>357</v>
      </c>
      <c r="B1032" s="3" t="s">
        <v>2512</v>
      </c>
    </row>
    <row r="1033" spans="1:3">
      <c r="A1033" s="3" t="s">
        <v>1697</v>
      </c>
      <c r="B1033" s="3" t="s">
        <v>753</v>
      </c>
    </row>
    <row r="1034" spans="1:3">
      <c r="A1034" s="3" t="s">
        <v>4095</v>
      </c>
      <c r="C1034" s="3" t="s">
        <v>2791</v>
      </c>
    </row>
    <row r="1035" spans="1:3">
      <c r="A1035" s="3" t="s">
        <v>3238</v>
      </c>
      <c r="B1035" s="3" t="s">
        <v>3599</v>
      </c>
    </row>
    <row r="1037" spans="1:3">
      <c r="A1037" s="3" t="s">
        <v>2323</v>
      </c>
    </row>
    <row r="1038" spans="1:3">
      <c r="A1038" s="3" t="s">
        <v>2354</v>
      </c>
    </row>
    <row r="1039" spans="1:3">
      <c r="A1039" s="3" t="s">
        <v>952</v>
      </c>
    </row>
    <row r="1040" spans="1:3">
      <c r="A1040" s="3" t="s">
        <v>7</v>
      </c>
    </row>
    <row r="1041" spans="1:3">
      <c r="A1041" s="3" t="s">
        <v>728</v>
      </c>
    </row>
    <row r="1042" spans="1:3">
      <c r="A1042" s="3" t="s">
        <v>3671</v>
      </c>
    </row>
    <row r="1043" spans="1:3">
      <c r="A1043" s="3" t="s">
        <v>3437</v>
      </c>
    </row>
    <row r="1045" spans="1:3">
      <c r="A1045" s="3" t="s">
        <v>1247</v>
      </c>
    </row>
    <row r="1046" spans="1:3">
      <c r="A1046" s="3" t="s">
        <v>1521</v>
      </c>
      <c r="B1046" s="3" t="s">
        <v>2710</v>
      </c>
    </row>
    <row r="1047" spans="1:3">
      <c r="A1047" s="3" t="s">
        <v>358</v>
      </c>
      <c r="B1047" s="3" t="s">
        <v>3986</v>
      </c>
    </row>
    <row r="1048" spans="1:3">
      <c r="A1048" s="3" t="s">
        <v>3093</v>
      </c>
      <c r="B1048" s="3" t="s">
        <v>2409</v>
      </c>
    </row>
    <row r="1049" spans="1:3">
      <c r="A1049" s="3" t="s">
        <v>4095</v>
      </c>
      <c r="C1049" s="3" t="s">
        <v>2791</v>
      </c>
    </row>
    <row r="1050" spans="1:3">
      <c r="A1050" s="3" t="s">
        <v>3238</v>
      </c>
      <c r="B1050" s="3" t="s">
        <v>3599</v>
      </c>
    </row>
    <row r="1052" spans="1:3">
      <c r="A1052" s="3" t="s">
        <v>1895</v>
      </c>
    </row>
    <row r="1053" spans="1:3">
      <c r="A1053" s="3" t="s">
        <v>170</v>
      </c>
    </row>
    <row r="1054" spans="1:3">
      <c r="A1054" s="3" t="s">
        <v>4364</v>
      </c>
    </row>
    <row r="1055" spans="1:3">
      <c r="A1055" s="3" t="s">
        <v>2433</v>
      </c>
    </row>
    <row r="1056" spans="1:3">
      <c r="A1056" s="3" t="s">
        <v>3590</v>
      </c>
    </row>
    <row r="1057" spans="1:3">
      <c r="A1057" s="3" t="s">
        <v>2128</v>
      </c>
    </row>
    <row r="1058" spans="1:3">
      <c r="A1058" s="3" t="s">
        <v>1266</v>
      </c>
    </row>
    <row r="1060" spans="1:3">
      <c r="A1060" s="3" t="s">
        <v>616</v>
      </c>
    </row>
    <row r="1061" spans="1:3">
      <c r="A1061" s="3" t="s">
        <v>1520</v>
      </c>
      <c r="B1061" s="3" t="s">
        <v>437</v>
      </c>
    </row>
    <row r="1062" spans="1:3">
      <c r="A1062" s="3" t="s">
        <v>359</v>
      </c>
      <c r="B1062" s="3" t="s">
        <v>438</v>
      </c>
    </row>
    <row r="1063" spans="1:3">
      <c r="A1063" s="3" t="s">
        <v>3094</v>
      </c>
      <c r="B1063" s="3" t="s">
        <v>671</v>
      </c>
    </row>
    <row r="1064" spans="1:3">
      <c r="A1064" s="3" t="s">
        <v>4095</v>
      </c>
      <c r="C1064" s="3" t="s">
        <v>2791</v>
      </c>
    </row>
    <row r="1065" spans="1:3">
      <c r="A1065" s="3" t="s">
        <v>3238</v>
      </c>
      <c r="B1065" s="3" t="s">
        <v>3599</v>
      </c>
    </row>
    <row r="1067" spans="1:3">
      <c r="A1067" s="3" t="s">
        <v>4647</v>
      </c>
    </row>
    <row r="1068" spans="1:3">
      <c r="A1068" s="3" t="s">
        <v>224</v>
      </c>
    </row>
    <row r="1069" spans="1:3">
      <c r="A1069" s="3" t="s">
        <v>225</v>
      </c>
    </row>
    <row r="1070" spans="1:3">
      <c r="A1070" s="3" t="s">
        <v>2045</v>
      </c>
    </row>
    <row r="1071" spans="1:3">
      <c r="A1071" s="3" t="s">
        <v>1307</v>
      </c>
    </row>
    <row r="1072" spans="1:3">
      <c r="A1072" s="3" t="s">
        <v>3784</v>
      </c>
    </row>
    <row r="1073" spans="1:3">
      <c r="A1073" s="3" t="s">
        <v>3046</v>
      </c>
    </row>
    <row r="1075" spans="1:3">
      <c r="A1075" s="3" t="s">
        <v>3465</v>
      </c>
    </row>
    <row r="1076" spans="1:3">
      <c r="A1076" s="3" t="s">
        <v>1519</v>
      </c>
      <c r="B1076" s="3" t="s">
        <v>512</v>
      </c>
    </row>
    <row r="1077" spans="1:3">
      <c r="A1077" s="3" t="s">
        <v>3451</v>
      </c>
      <c r="B1077" s="3" t="s">
        <v>3268</v>
      </c>
    </row>
    <row r="1078" spans="1:3">
      <c r="A1078" s="3" t="s">
        <v>3095</v>
      </c>
      <c r="B1078" s="3" t="s">
        <v>3473</v>
      </c>
    </row>
    <row r="1079" spans="1:3">
      <c r="A1079" s="3" t="s">
        <v>4095</v>
      </c>
      <c r="C1079" s="3" t="s">
        <v>2791</v>
      </c>
    </row>
    <row r="1080" spans="1:3">
      <c r="A1080" s="3" t="s">
        <v>3238</v>
      </c>
      <c r="B1080" s="3" t="s">
        <v>3599</v>
      </c>
    </row>
    <row r="1082" spans="1:3">
      <c r="A1082" s="3" t="s">
        <v>3450</v>
      </c>
    </row>
    <row r="1083" spans="1:3">
      <c r="A1083" s="3" t="s">
        <v>2195</v>
      </c>
    </row>
    <row r="1084" spans="1:3">
      <c r="A1084" s="3" t="s">
        <v>3195</v>
      </c>
    </row>
    <row r="1085" spans="1:3">
      <c r="A1085" s="3" t="s">
        <v>2078</v>
      </c>
    </row>
    <row r="1086" spans="1:3">
      <c r="A1086" s="3" t="s">
        <v>131</v>
      </c>
    </row>
    <row r="1088" spans="1:3">
      <c r="A1088" s="3" t="s">
        <v>1533</v>
      </c>
    </row>
    <row r="1089" spans="1:3">
      <c r="A1089" s="3" t="s">
        <v>1994</v>
      </c>
      <c r="B1089" s="3" t="s">
        <v>1534</v>
      </c>
    </row>
    <row r="1090" spans="1:3">
      <c r="A1090" s="3" t="s">
        <v>3452</v>
      </c>
      <c r="B1090" s="3" t="s">
        <v>1535</v>
      </c>
    </row>
    <row r="1091" spans="1:3">
      <c r="A1091" s="3" t="s">
        <v>335</v>
      </c>
      <c r="B1091" s="3" t="s">
        <v>1536</v>
      </c>
    </row>
    <row r="1092" spans="1:3">
      <c r="A1092" s="3" t="s">
        <v>4095</v>
      </c>
      <c r="C1092" s="3" t="s">
        <v>2791</v>
      </c>
    </row>
    <row r="1093" spans="1:3">
      <c r="A1093" s="3" t="s">
        <v>3238</v>
      </c>
      <c r="B1093" s="3" t="s">
        <v>3599</v>
      </c>
    </row>
    <row r="1095" spans="1:3">
      <c r="A1095" s="3" t="s">
        <v>1254</v>
      </c>
    </row>
    <row r="1096" spans="1:3">
      <c r="A1096" s="3" t="s">
        <v>289</v>
      </c>
    </row>
    <row r="1097" spans="1:3">
      <c r="A1097" s="3" t="s">
        <v>1425</v>
      </c>
    </row>
    <row r="1098" spans="1:3">
      <c r="A1098" s="3" t="s">
        <v>2129</v>
      </c>
    </row>
    <row r="1100" spans="1:3">
      <c r="A1100" s="3" t="s">
        <v>748</v>
      </c>
    </row>
    <row r="1101" spans="1:3">
      <c r="A1101" s="3" t="s">
        <v>2505</v>
      </c>
      <c r="B1101" s="3" t="s">
        <v>3123</v>
      </c>
    </row>
    <row r="1102" spans="1:3">
      <c r="A1102" s="3" t="s">
        <v>360</v>
      </c>
      <c r="B1102" s="3" t="s">
        <v>764</v>
      </c>
    </row>
    <row r="1103" spans="1:3">
      <c r="A1103" s="3" t="s">
        <v>3853</v>
      </c>
      <c r="B1103" s="3" t="s">
        <v>4013</v>
      </c>
    </row>
    <row r="1104" spans="1:3">
      <c r="A1104" s="3" t="s">
        <v>4095</v>
      </c>
      <c r="C1104" s="3" t="s">
        <v>2791</v>
      </c>
    </row>
    <row r="1105" spans="1:2">
      <c r="A1105" s="3" t="s">
        <v>3238</v>
      </c>
      <c r="B1105" s="3" t="s">
        <v>3599</v>
      </c>
    </row>
    <row r="1107" spans="1:2">
      <c r="A1107" s="3" t="s">
        <v>3952</v>
      </c>
    </row>
    <row r="1108" spans="1:2">
      <c r="A1108" s="3" t="s">
        <v>2000</v>
      </c>
    </row>
    <row r="1109" spans="1:2">
      <c r="A1109" s="3" t="s">
        <v>3270</v>
      </c>
    </row>
    <row r="1110" spans="1:2">
      <c r="A1110" s="3" t="s">
        <v>21</v>
      </c>
    </row>
    <row r="1112" spans="1:2">
      <c r="A1112" s="3" t="s">
        <v>22</v>
      </c>
    </row>
    <row r="1114" spans="1:2">
      <c r="A1114" s="3" t="s">
        <v>23</v>
      </c>
      <c r="B1114" s="3" t="s">
        <v>24</v>
      </c>
    </row>
    <row r="1115" spans="1:2">
      <c r="A1115" s="3" t="s">
        <v>761</v>
      </c>
    </row>
    <row r="1116" spans="1:2">
      <c r="A1116" s="3" t="s">
        <v>3151</v>
      </c>
    </row>
    <row r="1117" spans="1:2">
      <c r="A1117" s="3" t="s">
        <v>3152</v>
      </c>
    </row>
    <row r="1119" spans="1:2">
      <c r="A1119" s="3" t="s">
        <v>121</v>
      </c>
    </row>
    <row r="1120" spans="1:2">
      <c r="A1120" s="3" t="s">
        <v>3147</v>
      </c>
    </row>
    <row r="1121" spans="1:3">
      <c r="A1121" s="3" t="s">
        <v>2076</v>
      </c>
    </row>
    <row r="1122" spans="1:3">
      <c r="A1122" s="3" t="s">
        <v>3788</v>
      </c>
    </row>
    <row r="1124" spans="1:3">
      <c r="A1124" s="3" t="s">
        <v>69</v>
      </c>
    </row>
    <row r="1125" spans="1:3">
      <c r="A1125" s="3" t="s">
        <v>477</v>
      </c>
      <c r="B1125" s="3" t="s">
        <v>414</v>
      </c>
    </row>
    <row r="1126" spans="1:3">
      <c r="A1126" s="3" t="s">
        <v>3696</v>
      </c>
      <c r="C1126" s="3" t="s">
        <v>2679</v>
      </c>
    </row>
    <row r="1127" spans="1:3">
      <c r="A1127" s="3" t="s">
        <v>3257</v>
      </c>
      <c r="B1127" s="3" t="s">
        <v>3256</v>
      </c>
    </row>
    <row r="1128" spans="1:3">
      <c r="A1128" s="3" t="s">
        <v>4095</v>
      </c>
      <c r="C1128" s="3" t="s">
        <v>2791</v>
      </c>
    </row>
    <row r="1130" spans="1:3">
      <c r="A1130" s="3" t="s">
        <v>2611</v>
      </c>
    </row>
    <row r="1131" spans="1:3">
      <c r="A1131" s="3" t="s">
        <v>3074</v>
      </c>
    </row>
    <row r="1132" spans="1:3">
      <c r="A1132" s="3" t="s">
        <v>189</v>
      </c>
    </row>
    <row r="1133" spans="1:3">
      <c r="A1133" s="3" t="s">
        <v>1014</v>
      </c>
    </row>
    <row r="1134" spans="1:3">
      <c r="A1134" s="3" t="s">
        <v>2582</v>
      </c>
    </row>
    <row r="1135" spans="1:3">
      <c r="A1135" s="3" t="s">
        <v>172</v>
      </c>
    </row>
    <row r="1136" spans="1:3">
      <c r="A1136" s="3" t="s">
        <v>1915</v>
      </c>
    </row>
    <row r="1137" spans="1:3">
      <c r="A1137" s="3" t="s">
        <v>1494</v>
      </c>
    </row>
    <row r="1138" spans="1:3">
      <c r="A1138" s="3" t="s">
        <v>3484</v>
      </c>
    </row>
    <row r="1140" spans="1:3">
      <c r="A1140" s="3" t="s">
        <v>3485</v>
      </c>
    </row>
    <row r="1142" spans="1:3">
      <c r="A1142" s="3" t="s">
        <v>2003</v>
      </c>
      <c r="B1142" s="3" t="s">
        <v>307</v>
      </c>
    </row>
    <row r="1143" spans="1:3">
      <c r="A1143" s="3" t="s">
        <v>3796</v>
      </c>
      <c r="B1143" s="3" t="s">
        <v>4162</v>
      </c>
    </row>
    <row r="1144" spans="1:3">
      <c r="A1144" s="3" t="s">
        <v>4163</v>
      </c>
      <c r="B1144" s="3" t="s">
        <v>2223</v>
      </c>
    </row>
    <row r="1145" spans="1:3">
      <c r="A1145" s="3" t="s">
        <v>2585</v>
      </c>
      <c r="C1145" s="3" t="s">
        <v>1436</v>
      </c>
    </row>
    <row r="1146" spans="1:3">
      <c r="A1146" s="3" t="s">
        <v>4362</v>
      </c>
      <c r="C1146" s="3" t="s">
        <v>1628</v>
      </c>
    </row>
    <row r="1147" spans="1:3">
      <c r="A1147" s="3" t="s">
        <v>913</v>
      </c>
      <c r="C1147" s="3" t="s">
        <v>1365</v>
      </c>
    </row>
    <row r="1148" spans="1:3">
      <c r="A1148" s="3" t="s">
        <v>914</v>
      </c>
      <c r="B1148" s="3" t="s">
        <v>4260</v>
      </c>
    </row>
    <row r="1149" spans="1:3">
      <c r="A1149" s="3" t="s">
        <v>4261</v>
      </c>
      <c r="B1149" s="3" t="s">
        <v>3023</v>
      </c>
    </row>
    <row r="1150" spans="1:3">
      <c r="A1150" s="3" t="s">
        <v>2741</v>
      </c>
    </row>
    <row r="1151" spans="1:3">
      <c r="A1151" s="3" t="s">
        <v>38</v>
      </c>
    </row>
    <row r="1152" spans="1:3">
      <c r="A1152" s="3" t="s">
        <v>1421</v>
      </c>
    </row>
    <row r="1153" spans="1:2">
      <c r="A1153" s="3" t="s">
        <v>1054</v>
      </c>
    </row>
    <row r="1154" spans="1:2">
      <c r="A1154" s="3" t="s">
        <v>1871</v>
      </c>
    </row>
    <row r="1155" spans="1:2">
      <c r="A1155" s="3" t="s">
        <v>3334</v>
      </c>
    </row>
    <row r="1156" spans="1:2">
      <c r="A1156" s="3" t="s">
        <v>2519</v>
      </c>
      <c r="B1156" s="3" t="s">
        <v>336</v>
      </c>
    </row>
    <row r="1157" spans="1:2">
      <c r="A1157" s="3" t="s">
        <v>2693</v>
      </c>
    </row>
    <row r="1158" spans="1:2">
      <c r="A1158" s="3" t="s">
        <v>1194</v>
      </c>
    </row>
    <row r="1159" spans="1:2">
      <c r="A1159" s="3" t="s">
        <v>1195</v>
      </c>
      <c r="B1159" s="3" t="s">
        <v>337</v>
      </c>
    </row>
    <row r="1161" spans="1:2">
      <c r="A1161" s="3" t="s">
        <v>1076</v>
      </c>
      <c r="B1161" s="3" t="s">
        <v>1000</v>
      </c>
    </row>
    <row r="1162" spans="1:2">
      <c r="A1162" s="3" t="s">
        <v>2283</v>
      </c>
    </row>
    <row r="1163" spans="1:2">
      <c r="A1163" s="3" t="s">
        <v>2284</v>
      </c>
      <c r="B1163" s="3" t="s">
        <v>2285</v>
      </c>
    </row>
    <row r="1164" spans="1:2">
      <c r="A1164" s="3" t="s">
        <v>1426</v>
      </c>
      <c r="B1164" s="3" t="s">
        <v>414</v>
      </c>
    </row>
    <row r="1165" spans="1:2">
      <c r="A1165" s="3" t="s">
        <v>3830</v>
      </c>
      <c r="B1165" s="3" t="s">
        <v>3031</v>
      </c>
    </row>
    <row r="1166" spans="1:2">
      <c r="A1166" s="3" t="s">
        <v>3032</v>
      </c>
      <c r="B1166" s="3" t="s">
        <v>3033</v>
      </c>
    </row>
    <row r="1167" spans="1:2">
      <c r="A1167" s="3" t="s">
        <v>4461</v>
      </c>
      <c r="B1167" s="3" t="s">
        <v>4462</v>
      </c>
    </row>
    <row r="1169" spans="1:3">
      <c r="A1169" s="3" t="s">
        <v>901</v>
      </c>
    </row>
    <row r="1170" spans="1:3">
      <c r="A1170" s="3" t="s">
        <v>200</v>
      </c>
    </row>
    <row r="1171" spans="1:3">
      <c r="A1171" s="3" t="s">
        <v>4406</v>
      </c>
    </row>
    <row r="1172" spans="1:3">
      <c r="A1172" s="3" t="s">
        <v>3535</v>
      </c>
    </row>
    <row r="1173" spans="1:3">
      <c r="A1173" s="3" t="s">
        <v>1943</v>
      </c>
    </row>
    <row r="1174" spans="1:3">
      <c r="A1174" s="3" t="s">
        <v>2007</v>
      </c>
    </row>
    <row r="1175" spans="1:3">
      <c r="A1175" s="3" t="s">
        <v>3221</v>
      </c>
    </row>
    <row r="1176" spans="1:3">
      <c r="A1176" s="3" t="s">
        <v>277</v>
      </c>
    </row>
    <row r="1177" spans="1:3">
      <c r="A1177" s="3" t="s">
        <v>4493</v>
      </c>
    </row>
    <row r="1178" spans="1:3">
      <c r="A1178" s="3" t="s">
        <v>4494</v>
      </c>
    </row>
    <row r="1179" spans="1:3">
      <c r="A1179" s="3" t="s">
        <v>4495</v>
      </c>
    </row>
    <row r="1180" spans="1:3">
      <c r="A1180" s="3" t="s">
        <v>4496</v>
      </c>
      <c r="B1180" s="3" t="s">
        <v>338</v>
      </c>
    </row>
    <row r="1181" spans="1:3">
      <c r="A1181" s="3" t="s">
        <v>4497</v>
      </c>
      <c r="B1181" s="3" t="s">
        <v>2922</v>
      </c>
    </row>
    <row r="1182" spans="1:3">
      <c r="A1182" s="3" t="s">
        <v>1268</v>
      </c>
      <c r="C1182" s="3" t="s">
        <v>2094</v>
      </c>
    </row>
    <row r="1183" spans="1:3">
      <c r="A1183" s="3" t="s">
        <v>2095</v>
      </c>
      <c r="B1183" s="3" t="s">
        <v>2670</v>
      </c>
    </row>
    <row r="1184" spans="1:3">
      <c r="A1184" s="3" t="s">
        <v>607</v>
      </c>
      <c r="C1184" s="3" t="s">
        <v>1843</v>
      </c>
    </row>
    <row r="1185" spans="1:2">
      <c r="A1185" s="3" t="s">
        <v>3463</v>
      </c>
      <c r="B1185" s="3" t="s">
        <v>4037</v>
      </c>
    </row>
    <row r="1187" spans="1:2">
      <c r="A1187" s="3" t="s">
        <v>4014</v>
      </c>
    </row>
    <row r="1188" spans="1:2">
      <c r="A1188" s="3" t="s">
        <v>4179</v>
      </c>
    </row>
    <row r="1189" spans="1:2">
      <c r="A1189" s="3" t="s">
        <v>2711</v>
      </c>
    </row>
    <row r="1190" spans="1:2">
      <c r="A1190" s="3" t="s">
        <v>1240</v>
      </c>
    </row>
    <row r="1192" spans="1:2">
      <c r="A1192" s="3" t="s">
        <v>1241</v>
      </c>
      <c r="B1192" s="3">
        <f xml:space="preserve"> 0.09*531:531</f>
        <v>0</v>
      </c>
    </row>
    <row r="1193" spans="1:2">
      <c r="A1193" s="3" t="s">
        <v>1242</v>
      </c>
      <c r="B1193" s="3" t="s">
        <v>865</v>
      </c>
    </row>
    <row r="1195" spans="1:2">
      <c r="A1195" s="3" t="s">
        <v>3820</v>
      </c>
    </row>
    <row r="1196" spans="1:2">
      <c r="A1196" s="3" t="s">
        <v>2034</v>
      </c>
    </row>
    <row r="1197" spans="1:2">
      <c r="A1197" s="3" t="s">
        <v>2035</v>
      </c>
    </row>
    <row r="1202" spans="1:3">
      <c r="A1202" s="3" t="s">
        <v>3995</v>
      </c>
    </row>
    <row r="1204" spans="1:3">
      <c r="A1204" s="3" t="s">
        <v>3996</v>
      </c>
      <c r="B1204" s="3" t="s">
        <v>655</v>
      </c>
    </row>
    <row r="1205" spans="1:3">
      <c r="A1205" s="3" t="s">
        <v>3997</v>
      </c>
      <c r="B1205" s="3" t="s">
        <v>2644</v>
      </c>
    </row>
    <row r="1206" spans="1:3">
      <c r="A1206" s="3" t="s">
        <v>2645</v>
      </c>
      <c r="B1206" s="3" t="s">
        <v>2124</v>
      </c>
    </row>
    <row r="1207" spans="1:3">
      <c r="A1207" s="3" t="s">
        <v>3957</v>
      </c>
      <c r="B1207" s="3" t="s">
        <v>3958</v>
      </c>
    </row>
    <row r="1208" spans="1:3">
      <c r="A1208" s="3" t="s">
        <v>4570</v>
      </c>
      <c r="C1208" s="3" t="s">
        <v>800</v>
      </c>
    </row>
    <row r="1210" spans="1:3">
      <c r="A1210" s="3" t="s">
        <v>3037</v>
      </c>
    </row>
    <row r="1211" spans="1:3">
      <c r="A1211" s="3" t="s">
        <v>2745</v>
      </c>
    </row>
    <row r="1212" spans="1:3">
      <c r="A1212" s="3" t="s">
        <v>25</v>
      </c>
    </row>
    <row r="1213" spans="1:3">
      <c r="A1213" s="3" t="s">
        <v>3929</v>
      </c>
    </row>
    <row r="1214" spans="1:3">
      <c r="A1214" s="3" t="s">
        <v>4577</v>
      </c>
    </row>
    <row r="1215" spans="1:3">
      <c r="A1215" s="3" t="s">
        <v>3713</v>
      </c>
    </row>
    <row r="1216" spans="1:3">
      <c r="A1216" s="3" t="s">
        <v>609</v>
      </c>
    </row>
    <row r="1218" spans="1:2">
      <c r="A1218" s="3" t="s">
        <v>2801</v>
      </c>
    </row>
    <row r="1220" spans="1:2">
      <c r="A1220" s="3" t="s">
        <v>697</v>
      </c>
    </row>
    <row r="1222" spans="1:2">
      <c r="A1222" s="3" t="s">
        <v>214</v>
      </c>
    </row>
    <row r="1224" spans="1:2">
      <c r="A1224" s="3" t="s">
        <v>215</v>
      </c>
      <c r="B1224" s="3" t="s">
        <v>4046</v>
      </c>
    </row>
    <row r="1225" spans="1:2">
      <c r="A1225" s="3" t="s">
        <v>3957</v>
      </c>
      <c r="B1225" s="3" t="s">
        <v>3958</v>
      </c>
    </row>
    <row r="1226" spans="1:2">
      <c r="A1226" s="3" t="s">
        <v>3997</v>
      </c>
      <c r="B1226" s="3" t="s">
        <v>2876</v>
      </c>
    </row>
    <row r="1227" spans="1:2">
      <c r="A1227" s="3" t="s">
        <v>2219</v>
      </c>
    </row>
    <row r="1228" spans="1:2">
      <c r="A1228" s="3" t="s">
        <v>3935</v>
      </c>
    </row>
    <row r="1229" spans="1:2">
      <c r="A1229" s="3" t="s">
        <v>409</v>
      </c>
    </row>
    <row r="1230" spans="1:2">
      <c r="A1230" s="3" t="s">
        <v>1179</v>
      </c>
    </row>
    <row r="1231" spans="1:2">
      <c r="A1231" s="3" t="s">
        <v>296</v>
      </c>
    </row>
    <row r="1232" spans="1:2">
      <c r="A1232" s="3" t="s">
        <v>4466</v>
      </c>
    </row>
    <row r="1233" spans="1:2">
      <c r="A1233" s="3" t="s">
        <v>4467</v>
      </c>
    </row>
    <row r="1234" spans="1:2">
      <c r="A1234" s="3" t="s">
        <v>3148</v>
      </c>
    </row>
    <row r="1235" spans="1:2">
      <c r="A1235" s="3" t="s">
        <v>1479</v>
      </c>
    </row>
    <row r="1236" spans="1:2">
      <c r="A1236" s="3" t="s">
        <v>628</v>
      </c>
    </row>
    <row r="1237" spans="1:2">
      <c r="A1237" s="3" t="s">
        <v>2753</v>
      </c>
    </row>
    <row r="1238" spans="1:2">
      <c r="A1238" s="3" t="s">
        <v>496</v>
      </c>
    </row>
    <row r="1240" spans="1:2">
      <c r="A1240" s="3" t="s">
        <v>497</v>
      </c>
      <c r="B1240" s="3" t="s">
        <v>2247</v>
      </c>
    </row>
    <row r="1241" spans="1:2">
      <c r="A1241" s="3" t="s">
        <v>3957</v>
      </c>
      <c r="B1241" s="3" t="s">
        <v>3958</v>
      </c>
    </row>
    <row r="1242" spans="1:2">
      <c r="A1242" s="3" t="s">
        <v>498</v>
      </c>
      <c r="B1242" s="3" t="s">
        <v>2020</v>
      </c>
    </row>
    <row r="1243" spans="1:2">
      <c r="A1243" s="3" t="s">
        <v>2021</v>
      </c>
      <c r="B1243" s="3" t="s">
        <v>2588</v>
      </c>
    </row>
    <row r="1244" spans="1:2">
      <c r="A1244" s="3" t="s">
        <v>2589</v>
      </c>
      <c r="B1244" s="3" t="s">
        <v>2755</v>
      </c>
    </row>
    <row r="1245" spans="1:2">
      <c r="A1245" s="3" t="s">
        <v>2219</v>
      </c>
    </row>
    <row r="1246" spans="1:2">
      <c r="A1246" s="3" t="s">
        <v>1971</v>
      </c>
    </row>
    <row r="1247" spans="1:2">
      <c r="A1247" s="3" t="s">
        <v>4472</v>
      </c>
    </row>
    <row r="1248" spans="1:2">
      <c r="A1248" s="3" t="s">
        <v>425</v>
      </c>
    </row>
    <row r="1249" spans="1:1">
      <c r="A1249" s="3" t="s">
        <v>4350</v>
      </c>
    </row>
    <row r="1250" spans="1:1">
      <c r="A1250" s="3" t="s">
        <v>4190</v>
      </c>
    </row>
    <row r="1251" spans="1:1">
      <c r="A1251" s="3" t="s">
        <v>3071</v>
      </c>
    </row>
    <row r="1252" spans="1:1">
      <c r="A1252" s="3" t="s">
        <v>1749</v>
      </c>
    </row>
    <row r="1253" spans="1:1">
      <c r="A1253" s="3" t="s">
        <v>723</v>
      </c>
    </row>
    <row r="1254" spans="1:1">
      <c r="A1254" s="3" t="s">
        <v>2261</v>
      </c>
    </row>
    <row r="1255" spans="1:1">
      <c r="A1255" s="3" t="s">
        <v>416</v>
      </c>
    </row>
    <row r="1256" spans="1:1">
      <c r="A1256" s="3" t="s">
        <v>459</v>
      </c>
    </row>
    <row r="1257" spans="1:1">
      <c r="A1257" s="3" t="s">
        <v>3488</v>
      </c>
    </row>
    <row r="1258" spans="1:1">
      <c r="A1258" s="3" t="s">
        <v>2497</v>
      </c>
    </row>
    <row r="1260" spans="1:1">
      <c r="A1260" s="3" t="s">
        <v>2498</v>
      </c>
    </row>
    <row r="1261" spans="1:1">
      <c r="A1261" s="3" t="s">
        <v>1032</v>
      </c>
    </row>
    <row r="1262" spans="1:1">
      <c r="A1262" s="3" t="s">
        <v>1033</v>
      </c>
    </row>
    <row r="1264" spans="1:1">
      <c r="A1264" s="3" t="s">
        <v>2352</v>
      </c>
    </row>
    <row r="1266" spans="1:6">
      <c r="A1266" s="3" t="s">
        <v>1034</v>
      </c>
      <c r="B1266" s="3" t="s">
        <v>2248</v>
      </c>
    </row>
    <row r="1267" spans="1:6">
      <c r="A1267" s="3" t="s">
        <v>3434</v>
      </c>
      <c r="B1267" s="3" t="s">
        <v>2591</v>
      </c>
    </row>
    <row r="1268" spans="1:6">
      <c r="A1268" s="3" t="s">
        <v>2592</v>
      </c>
      <c r="C1268" s="3" t="s">
        <v>1886</v>
      </c>
    </row>
    <row r="1269" spans="1:6">
      <c r="A1269" s="3" t="s">
        <v>1887</v>
      </c>
      <c r="C1269" s="3" t="s">
        <v>2223</v>
      </c>
    </row>
    <row r="1270" spans="1:6">
      <c r="A1270" s="3" t="s">
        <v>4054</v>
      </c>
      <c r="C1270" s="3" t="s">
        <v>328</v>
      </c>
    </row>
    <row r="1272" spans="1:6">
      <c r="A1272" s="3" t="s">
        <v>1665</v>
      </c>
    </row>
    <row r="1273" spans="1:6">
      <c r="A1273" s="3" t="s">
        <v>2812</v>
      </c>
    </row>
    <row r="1274" spans="1:6">
      <c r="A1274" s="3" t="s">
        <v>867</v>
      </c>
    </row>
    <row r="1275" spans="1:6">
      <c r="A1275" s="3" t="s">
        <v>3051</v>
      </c>
    </row>
    <row r="1276" spans="1:6">
      <c r="A1276" s="3" t="s">
        <v>3052</v>
      </c>
    </row>
    <row r="1278" spans="1:6">
      <c r="A1278" s="3" t="s">
        <v>3053</v>
      </c>
      <c r="B1278" s="3" t="s">
        <v>2384</v>
      </c>
      <c r="F1278" s="3" t="s">
        <v>2385</v>
      </c>
    </row>
    <row r="1279" spans="1:6">
      <c r="A1279" s="3" t="s">
        <v>2386</v>
      </c>
      <c r="B1279" s="3" t="s">
        <v>2238</v>
      </c>
    </row>
    <row r="1280" spans="1:6">
      <c r="A1280" s="3" t="s">
        <v>793</v>
      </c>
      <c r="B1280" s="3" t="s">
        <v>291</v>
      </c>
    </row>
    <row r="1281" spans="1:3">
      <c r="A1281" s="3" t="s">
        <v>292</v>
      </c>
      <c r="B1281" s="3" t="s">
        <v>3357</v>
      </c>
    </row>
    <row r="1282" spans="1:3">
      <c r="A1282" s="3" t="s">
        <v>3358</v>
      </c>
      <c r="C1282" s="3" t="s">
        <v>3926</v>
      </c>
    </row>
    <row r="1283" spans="1:3">
      <c r="A1283" s="3" t="s">
        <v>3927</v>
      </c>
      <c r="C1283" s="3" t="s">
        <v>3023</v>
      </c>
    </row>
    <row r="1284" spans="1:3">
      <c r="A1284" s="3" t="s">
        <v>3928</v>
      </c>
      <c r="C1284" s="3" t="s">
        <v>1395</v>
      </c>
    </row>
    <row r="1286" spans="1:3">
      <c r="A1286" s="3" t="s">
        <v>1518</v>
      </c>
    </row>
    <row r="1287" spans="1:3">
      <c r="A1287" s="3" t="s">
        <v>253</v>
      </c>
    </row>
    <row r="1288" spans="1:3">
      <c r="A1288" s="3" t="s">
        <v>2615</v>
      </c>
    </row>
    <row r="1289" spans="1:3">
      <c r="A1289" s="3" t="s">
        <v>208</v>
      </c>
    </row>
    <row r="1290" spans="1:3">
      <c r="A1290" s="3" t="s">
        <v>209</v>
      </c>
    </row>
    <row r="1292" spans="1:3">
      <c r="A1292" s="3" t="s">
        <v>210</v>
      </c>
      <c r="B1292" s="3" t="s">
        <v>3158</v>
      </c>
    </row>
    <row r="1293" spans="1:3">
      <c r="A1293" s="3" t="s">
        <v>4188</v>
      </c>
      <c r="B1293" s="3" t="s">
        <v>203</v>
      </c>
    </row>
    <row r="1294" spans="1:3">
      <c r="A1294" s="3" t="s">
        <v>2074</v>
      </c>
      <c r="C1294" s="3" t="s">
        <v>1888</v>
      </c>
    </row>
    <row r="1296" spans="1:3">
      <c r="A1296" s="3" t="s">
        <v>4661</v>
      </c>
    </row>
    <row r="1297" spans="1:3">
      <c r="A1297" s="3" t="s">
        <v>1709</v>
      </c>
    </row>
    <row r="1299" spans="1:3">
      <c r="A1299" s="3" t="s">
        <v>1933</v>
      </c>
    </row>
    <row r="1300" spans="1:3">
      <c r="A1300" s="3" t="s">
        <v>914</v>
      </c>
      <c r="C1300" s="3" t="s">
        <v>3926</v>
      </c>
    </row>
    <row r="1301" spans="1:3">
      <c r="A1301" s="3" t="s">
        <v>915</v>
      </c>
      <c r="C1301" s="3" t="s">
        <v>1395</v>
      </c>
    </row>
    <row r="1302" spans="1:3">
      <c r="A1302" s="3" t="s">
        <v>4414</v>
      </c>
      <c r="B1302" s="3" t="s">
        <v>1630</v>
      </c>
    </row>
    <row r="1304" spans="1:3">
      <c r="A1304" s="3" t="s">
        <v>4373</v>
      </c>
    </row>
    <row r="1305" spans="1:3">
      <c r="A1305" s="3" t="s">
        <v>3231</v>
      </c>
    </row>
    <row r="1306" spans="1:3">
      <c r="A1306" s="3" t="s">
        <v>2367</v>
      </c>
    </row>
    <row r="1307" spans="1:3">
      <c r="A1307" s="3" t="s">
        <v>3292</v>
      </c>
    </row>
    <row r="1308" spans="1:3">
      <c r="A1308" s="3" t="s">
        <v>410</v>
      </c>
    </row>
    <row r="1310" spans="1:3">
      <c r="A1310" s="3" t="s">
        <v>2533</v>
      </c>
    </row>
    <row r="1311" spans="1:3">
      <c r="A1311" s="3" t="s">
        <v>4362</v>
      </c>
      <c r="C1311" s="3" t="s">
        <v>2320</v>
      </c>
    </row>
    <row r="1312" spans="1:3">
      <c r="A1312" s="3" t="s">
        <v>2593</v>
      </c>
      <c r="C1312" s="3" t="s">
        <v>2321</v>
      </c>
    </row>
    <row r="1313" spans="1:2">
      <c r="A1313" s="3" t="s">
        <v>3796</v>
      </c>
      <c r="B1313" s="3" t="s">
        <v>3057</v>
      </c>
    </row>
    <row r="1315" spans="1:2">
      <c r="A1315" s="3" t="s">
        <v>2575</v>
      </c>
    </row>
    <row r="1316" spans="1:2">
      <c r="A1316" s="3" t="s">
        <v>1700</v>
      </c>
    </row>
    <row r="1317" spans="1:2">
      <c r="A1317" s="3" t="s">
        <v>3204</v>
      </c>
    </row>
    <row r="1318" spans="1:2">
      <c r="A1318" s="3" t="s">
        <v>3205</v>
      </c>
      <c r="B1318" s="3" t="s">
        <v>3058</v>
      </c>
    </row>
    <row r="1320" spans="1:2">
      <c r="A1320" s="3" t="s">
        <v>152</v>
      </c>
    </row>
    <row r="1321" spans="1:2">
      <c r="A1321" s="3" t="s">
        <v>2475</v>
      </c>
    </row>
    <row r="1322" spans="1:2">
      <c r="A1322" s="3" t="s">
        <v>1547</v>
      </c>
    </row>
    <row r="1323" spans="1:2">
      <c r="A1323" s="3" t="s">
        <v>845</v>
      </c>
    </row>
    <row r="1325" spans="1:2">
      <c r="A1325" s="3" t="s">
        <v>1511</v>
      </c>
      <c r="B1325" s="3" t="s">
        <v>1512</v>
      </c>
    </row>
    <row r="1327" spans="1:2">
      <c r="A1327" s="3" t="s">
        <v>3976</v>
      </c>
    </row>
    <row r="1328" spans="1:2">
      <c r="A1328" s="3" t="s">
        <v>237</v>
      </c>
    </row>
    <row r="1329" spans="1:2">
      <c r="A1329" s="3" t="s">
        <v>4035</v>
      </c>
    </row>
    <row r="1330" spans="1:2">
      <c r="A1330" s="3" t="s">
        <v>4550</v>
      </c>
    </row>
    <row r="1331" spans="1:2">
      <c r="A1331" s="3" t="s">
        <v>4579</v>
      </c>
    </row>
    <row r="1332" spans="1:2">
      <c r="A1332" s="3" t="s">
        <v>1330</v>
      </c>
    </row>
    <row r="1333" spans="1:2">
      <c r="A1333" s="3" t="s">
        <v>2598</v>
      </c>
    </row>
    <row r="1334" spans="1:2">
      <c r="A1334" s="3" t="s">
        <v>403</v>
      </c>
    </row>
    <row r="1335" spans="1:2">
      <c r="A1335" s="3" t="s">
        <v>2325</v>
      </c>
    </row>
    <row r="1337" spans="1:2">
      <c r="A1337" s="3" t="s">
        <v>2326</v>
      </c>
    </row>
    <row r="1339" spans="1:2">
      <c r="A1339" s="3" t="s">
        <v>2327</v>
      </c>
      <c r="B1339" s="3" t="s">
        <v>3059</v>
      </c>
    </row>
    <row r="1340" spans="1:2">
      <c r="A1340" s="3" t="s">
        <v>39</v>
      </c>
      <c r="B1340" s="3" t="s">
        <v>3401</v>
      </c>
    </row>
    <row r="1341" spans="1:2">
      <c r="A1341" s="3" t="s">
        <v>199</v>
      </c>
      <c r="B1341" s="3" t="s">
        <v>1067</v>
      </c>
    </row>
    <row r="1342" spans="1:2">
      <c r="A1342" s="3" t="s">
        <v>2219</v>
      </c>
    </row>
    <row r="1343" spans="1:2">
      <c r="A1343" s="3" t="s">
        <v>4205</v>
      </c>
    </row>
    <row r="1344" spans="1:2">
      <c r="A1344" s="3" t="s">
        <v>2778</v>
      </c>
    </row>
    <row r="1345" spans="1:3">
      <c r="A1345" s="3" t="s">
        <v>2376</v>
      </c>
    </row>
    <row r="1346" spans="1:3">
      <c r="A1346" s="3" t="s">
        <v>254</v>
      </c>
    </row>
    <row r="1347" spans="1:3">
      <c r="A1347" s="3" t="s">
        <v>2647</v>
      </c>
    </row>
    <row r="1348" spans="1:3">
      <c r="A1348" s="3" t="s">
        <v>1280</v>
      </c>
    </row>
    <row r="1349" spans="1:3">
      <c r="A1349" s="3" t="s">
        <v>743</v>
      </c>
    </row>
    <row r="1351" spans="1:3">
      <c r="A1351" s="3" t="s">
        <v>1685</v>
      </c>
      <c r="B1351" s="3" t="s">
        <v>1745</v>
      </c>
    </row>
    <row r="1352" spans="1:3">
      <c r="A1352" s="3" t="s">
        <v>1686</v>
      </c>
      <c r="B1352" s="3" t="s">
        <v>3833</v>
      </c>
    </row>
    <row r="1353" spans="1:3">
      <c r="A1353" s="3" t="s">
        <v>3834</v>
      </c>
      <c r="C1353" s="3" t="s">
        <v>3567</v>
      </c>
    </row>
    <row r="1354" spans="1:3">
      <c r="A1354" s="3" t="s">
        <v>3568</v>
      </c>
      <c r="C1354" s="3" t="s">
        <v>2410</v>
      </c>
    </row>
    <row r="1355" spans="1:3">
      <c r="A1355" s="3" t="s">
        <v>4497</v>
      </c>
      <c r="B1355" s="3" t="s">
        <v>2922</v>
      </c>
    </row>
    <row r="1356" spans="1:3">
      <c r="A1356" s="3" t="s">
        <v>2411</v>
      </c>
      <c r="B1356" s="3" t="s">
        <v>1188</v>
      </c>
    </row>
    <row r="1358" spans="1:3">
      <c r="A1358" s="3" t="s">
        <v>3215</v>
      </c>
    </row>
    <row r="1359" spans="1:3">
      <c r="A1359" s="3" t="s">
        <v>629</v>
      </c>
    </row>
    <row r="1360" spans="1:3">
      <c r="A1360" s="3" t="s">
        <v>3366</v>
      </c>
    </row>
    <row r="1361" spans="1:3">
      <c r="A1361" s="3" t="s">
        <v>3246</v>
      </c>
    </row>
    <row r="1363" spans="1:3">
      <c r="A1363" s="3" t="s">
        <v>2439</v>
      </c>
    </row>
    <row r="1365" spans="1:3">
      <c r="A1365" s="3" t="s">
        <v>3247</v>
      </c>
      <c r="B1365" s="3" t="s">
        <v>1746</v>
      </c>
    </row>
    <row r="1366" spans="1:3">
      <c r="A1366" s="3" t="s">
        <v>2440</v>
      </c>
      <c r="B1366" s="3" t="s">
        <v>2163</v>
      </c>
    </row>
    <row r="1367" spans="1:3">
      <c r="A1367" s="3" t="s">
        <v>4095</v>
      </c>
      <c r="C1367" s="3" t="s">
        <v>2164</v>
      </c>
    </row>
    <row r="1369" spans="1:3">
      <c r="A1369" s="3" t="s">
        <v>3224</v>
      </c>
    </row>
    <row r="1370" spans="1:3">
      <c r="A1370" s="3" t="s">
        <v>2641</v>
      </c>
    </row>
    <row r="1371" spans="1:3">
      <c r="A1371" s="3" t="s">
        <v>4470</v>
      </c>
    </row>
    <row r="1372" spans="1:3">
      <c r="A1372" s="3" t="s">
        <v>3409</v>
      </c>
    </row>
    <row r="1373" spans="1:3">
      <c r="A1373" s="3" t="s">
        <v>4504</v>
      </c>
    </row>
    <row r="1374" spans="1:3">
      <c r="A1374" s="3" t="s">
        <v>2419</v>
      </c>
    </row>
    <row r="1375" spans="1:3">
      <c r="A1375" s="3" t="s">
        <v>4038</v>
      </c>
    </row>
    <row r="1376" spans="1:3">
      <c r="A1376" s="3" t="s">
        <v>2258</v>
      </c>
    </row>
    <row r="1377" spans="1:2">
      <c r="A1377" s="3" t="s">
        <v>2259</v>
      </c>
      <c r="B1377" s="3" t="s">
        <v>1747</v>
      </c>
    </row>
    <row r="1379" spans="1:2">
      <c r="A1379" s="3" t="s">
        <v>524</v>
      </c>
    </row>
    <row r="1380" spans="1:2">
      <c r="A1380" s="3" t="s">
        <v>2466</v>
      </c>
    </row>
    <row r="1382" spans="1:2">
      <c r="A1382" s="3" t="s">
        <v>2121</v>
      </c>
    </row>
    <row r="1384" spans="1:2">
      <c r="A1384" s="3" t="s">
        <v>3934</v>
      </c>
      <c r="B1384" s="3" t="s">
        <v>1893</v>
      </c>
    </row>
    <row r="1386" spans="1:2">
      <c r="A1386" s="3" t="s">
        <v>3836</v>
      </c>
    </row>
    <row r="1387" spans="1:2">
      <c r="A1387" s="3" t="s">
        <v>3954</v>
      </c>
    </row>
    <row r="1388" spans="1:2">
      <c r="A1388" s="3" t="s">
        <v>1333</v>
      </c>
    </row>
    <row r="1389" spans="1:2">
      <c r="A1389" s="3" t="s">
        <v>3050</v>
      </c>
    </row>
    <row r="1390" spans="1:2">
      <c r="A1390" s="3" t="s">
        <v>2225</v>
      </c>
    </row>
    <row r="1392" spans="1:2">
      <c r="A1392" s="3" t="s">
        <v>2226</v>
      </c>
    </row>
    <row r="1394" spans="1:3">
      <c r="A1394" s="3" t="s">
        <v>3305</v>
      </c>
      <c r="B1394" s="130" t="s">
        <v>1894</v>
      </c>
    </row>
    <row r="1395" spans="1:3">
      <c r="A1395" s="3" t="s">
        <v>445</v>
      </c>
      <c r="C1395" s="3" t="s">
        <v>830</v>
      </c>
    </row>
    <row r="1397" spans="1:3">
      <c r="A1397" s="3" t="s">
        <v>3453</v>
      </c>
    </row>
    <row r="1398" spans="1:3">
      <c r="A1398" s="3" t="s">
        <v>3580</v>
      </c>
    </row>
    <row r="1399" spans="1:3">
      <c r="A1399" s="3" t="s">
        <v>2387</v>
      </c>
    </row>
    <row r="1400" spans="1:3">
      <c r="A1400" s="3" t="s">
        <v>2172</v>
      </c>
    </row>
    <row r="1401" spans="1:3">
      <c r="A1401" s="3" t="s">
        <v>4128</v>
      </c>
    </row>
    <row r="1402" spans="1:3">
      <c r="A1402" s="3" t="s">
        <v>4552</v>
      </c>
    </row>
    <row r="1403" spans="1:3">
      <c r="A1403" s="3" t="s">
        <v>4048</v>
      </c>
    </row>
    <row r="1405" spans="1:3">
      <c r="A1405" s="3" t="s">
        <v>1200</v>
      </c>
    </row>
    <row r="1407" spans="1:3">
      <c r="A1407" s="3" t="s">
        <v>4049</v>
      </c>
      <c r="B1407" s="3" t="s">
        <v>4520</v>
      </c>
    </row>
    <row r="1409" spans="1:2">
      <c r="A1409" s="3" t="s">
        <v>1004</v>
      </c>
    </row>
    <row r="1410" spans="1:2">
      <c r="A1410" s="3" t="s">
        <v>2542</v>
      </c>
    </row>
    <row r="1411" spans="1:2">
      <c r="A1411" s="3" t="s">
        <v>3627</v>
      </c>
    </row>
    <row r="1412" spans="1:2">
      <c r="A1412" s="3" t="s">
        <v>1099</v>
      </c>
    </row>
    <row r="1413" spans="1:2">
      <c r="A1413" s="3" t="s">
        <v>330</v>
      </c>
    </row>
    <row r="1414" spans="1:2">
      <c r="A1414" s="3" t="s">
        <v>1062</v>
      </c>
    </row>
    <row r="1415" spans="1:2">
      <c r="A1415" s="3" t="s">
        <v>3025</v>
      </c>
    </row>
    <row r="1416" spans="1:2">
      <c r="A1416" s="3" t="s">
        <v>3930</v>
      </c>
    </row>
    <row r="1417" spans="1:2">
      <c r="A1417" s="3" t="s">
        <v>3575</v>
      </c>
    </row>
    <row r="1418" spans="1:2">
      <c r="A1418" s="3" t="s">
        <v>1056</v>
      </c>
    </row>
    <row r="1420" spans="1:2">
      <c r="A1420" s="3" t="s">
        <v>1057</v>
      </c>
      <c r="B1420" s="3" t="s">
        <v>1310</v>
      </c>
    </row>
    <row r="1422" spans="1:2">
      <c r="A1422" s="3" t="s">
        <v>3396</v>
      </c>
    </row>
    <row r="1423" spans="1:2">
      <c r="A1423" s="3" t="s">
        <v>947</v>
      </c>
    </row>
    <row r="1425" spans="1:3">
      <c r="A1425" s="3" t="s">
        <v>2382</v>
      </c>
      <c r="B1425" s="3" t="s">
        <v>1311</v>
      </c>
    </row>
    <row r="1427" spans="1:3">
      <c r="A1427" s="3" t="s">
        <v>1568</v>
      </c>
    </row>
    <row r="1428" spans="1:3">
      <c r="A1428" s="3" t="s">
        <v>3040</v>
      </c>
    </row>
    <row r="1430" spans="1:3">
      <c r="A1430" s="3" t="s">
        <v>528</v>
      </c>
      <c r="B1430" s="3" t="s">
        <v>1312</v>
      </c>
    </row>
    <row r="1432" spans="1:3">
      <c r="A1432" s="3" t="s">
        <v>1198</v>
      </c>
    </row>
    <row r="1433" spans="1:3">
      <c r="A1433" s="3" t="s">
        <v>4351</v>
      </c>
    </row>
    <row r="1436" spans="1:3">
      <c r="A1436" s="3" t="s">
        <v>4352</v>
      </c>
      <c r="B1436" s="3" t="s">
        <v>1313</v>
      </c>
    </row>
    <row r="1437" spans="1:3">
      <c r="A1437" s="3" t="s">
        <v>445</v>
      </c>
      <c r="C1437" s="3" t="s">
        <v>3211</v>
      </c>
    </row>
    <row r="1439" spans="1:3">
      <c r="A1439" s="3" t="s">
        <v>3056</v>
      </c>
    </row>
    <row r="1440" spans="1:3">
      <c r="A1440" s="3" t="s">
        <v>3932</v>
      </c>
    </row>
    <row r="1441" spans="1:2">
      <c r="A1441" s="3" t="s">
        <v>1176</v>
      </c>
    </row>
    <row r="1443" spans="1:2">
      <c r="A1443" s="3" t="s">
        <v>1177</v>
      </c>
    </row>
    <row r="1444" spans="1:2">
      <c r="A1444" s="3" t="s">
        <v>1178</v>
      </c>
      <c r="B1444" s="3" t="s">
        <v>858</v>
      </c>
    </row>
    <row r="1446" spans="1:2">
      <c r="A1446" s="3" t="s">
        <v>3837</v>
      </c>
    </row>
    <row r="1447" spans="1:2">
      <c r="A1447" s="3" t="s">
        <v>2888</v>
      </c>
    </row>
    <row r="1448" spans="1:2">
      <c r="A1448" s="3" t="s">
        <v>2795</v>
      </c>
    </row>
    <row r="1449" spans="1:2">
      <c r="A1449" s="3" t="s">
        <v>2467</v>
      </c>
    </row>
    <row r="1451" spans="1:2">
      <c r="A1451" s="3" t="s">
        <v>1580</v>
      </c>
      <c r="B1451" s="3" t="s">
        <v>216</v>
      </c>
    </row>
    <row r="1452" spans="1:2">
      <c r="A1452" s="3" t="s">
        <v>3378</v>
      </c>
      <c r="B1452" s="3" t="s">
        <v>1581</v>
      </c>
    </row>
    <row r="1454" spans="1:2">
      <c r="A1454" s="3" t="s">
        <v>1004</v>
      </c>
    </row>
    <row r="1455" spans="1:2">
      <c r="A1455" s="3" t="s">
        <v>1582</v>
      </c>
    </row>
    <row r="1457" spans="1:3">
      <c r="A1457" s="3" t="s">
        <v>2667</v>
      </c>
    </row>
    <row r="1458" spans="1:3">
      <c r="A1458" s="3" t="s">
        <v>3493</v>
      </c>
      <c r="B1458" s="3" t="s">
        <v>14</v>
      </c>
    </row>
    <row r="1459" spans="1:3">
      <c r="A1459" s="3" t="s">
        <v>4095</v>
      </c>
      <c r="C1459" s="3" t="s">
        <v>2791</v>
      </c>
    </row>
    <row r="1461" spans="1:3">
      <c r="A1461" s="3" t="s">
        <v>293</v>
      </c>
    </row>
    <row r="1462" spans="1:3">
      <c r="A1462" s="3" t="s">
        <v>2504</v>
      </c>
    </row>
    <row r="1464" spans="1:3">
      <c r="A1464" s="3" t="s">
        <v>4562</v>
      </c>
    </row>
    <row r="1465" spans="1:3">
      <c r="A1465" s="3" t="s">
        <v>2063</v>
      </c>
      <c r="B1465" s="3" t="s">
        <v>1929</v>
      </c>
    </row>
    <row r="1466" spans="1:3">
      <c r="A1466" s="3" t="s">
        <v>4095</v>
      </c>
      <c r="C1466" s="3" t="s">
        <v>2791</v>
      </c>
    </row>
    <row r="1468" spans="1:3">
      <c r="A1468" s="3" t="s">
        <v>4085</v>
      </c>
    </row>
    <row r="1469" spans="1:3">
      <c r="A1469" s="3" t="s">
        <v>2086</v>
      </c>
    </row>
    <row r="1471" spans="1:3">
      <c r="A1471" s="3" t="s">
        <v>558</v>
      </c>
    </row>
    <row r="1472" spans="1:3">
      <c r="A1472" s="3" t="s">
        <v>559</v>
      </c>
      <c r="B1472" s="3" t="s">
        <v>3176</v>
      </c>
    </row>
    <row r="1473" spans="1:3">
      <c r="A1473" s="3" t="s">
        <v>3795</v>
      </c>
      <c r="C1473" s="3" t="s">
        <v>2410</v>
      </c>
    </row>
    <row r="1474" spans="1:3">
      <c r="A1474" s="3" t="s">
        <v>824</v>
      </c>
      <c r="B1474" s="3" t="s">
        <v>1188</v>
      </c>
    </row>
    <row r="1476" spans="1:3">
      <c r="A1476" s="3" t="s">
        <v>3177</v>
      </c>
    </row>
    <row r="1477" spans="1:3">
      <c r="A1477" s="3" t="s">
        <v>2564</v>
      </c>
    </row>
    <row r="1478" spans="1:3">
      <c r="A1478" s="3" t="s">
        <v>977</v>
      </c>
    </row>
    <row r="1479" spans="1:3">
      <c r="A1479" s="3" t="s">
        <v>874</v>
      </c>
    </row>
    <row r="1481" spans="1:3">
      <c r="A1481" s="3" t="s">
        <v>1995</v>
      </c>
    </row>
    <row r="1482" spans="1:3">
      <c r="A1482" s="3" t="s">
        <v>1996</v>
      </c>
      <c r="B1482" s="3" t="s">
        <v>2435</v>
      </c>
    </row>
    <row r="1484" spans="1:3">
      <c r="A1484" s="3" t="s">
        <v>4506</v>
      </c>
    </row>
    <row r="1485" spans="1:3">
      <c r="A1485" s="3" t="s">
        <v>4507</v>
      </c>
    </row>
    <row r="1487" spans="1:3">
      <c r="A1487" s="3" t="s">
        <v>4508</v>
      </c>
      <c r="B1487" s="130" t="s">
        <v>297</v>
      </c>
    </row>
    <row r="1488" spans="1:3">
      <c r="A1488" s="3" t="s">
        <v>4096</v>
      </c>
      <c r="C1488" s="3" t="s">
        <v>4509</v>
      </c>
    </row>
    <row r="1489" spans="1:2">
      <c r="A1489" s="3" t="s">
        <v>825</v>
      </c>
      <c r="B1489" s="3" t="s">
        <v>690</v>
      </c>
    </row>
    <row r="1491" spans="1:2">
      <c r="A1491" s="3" t="s">
        <v>4157</v>
      </c>
    </row>
    <row r="1492" spans="1:2">
      <c r="A1492" s="3" t="s">
        <v>4127</v>
      </c>
    </row>
    <row r="1493" spans="1:2">
      <c r="A1493" s="3" t="s">
        <v>300</v>
      </c>
    </row>
    <row r="1494" spans="1:2">
      <c r="A1494" s="3" t="s">
        <v>2581</v>
      </c>
    </row>
    <row r="1495" spans="1:2">
      <c r="A1495" s="3" t="s">
        <v>1484</v>
      </c>
    </row>
    <row r="1496" spans="1:2">
      <c r="A1496" s="3" t="s">
        <v>3631</v>
      </c>
    </row>
    <row r="1497" spans="1:2">
      <c r="A1497" s="3" t="s">
        <v>3632</v>
      </c>
    </row>
    <row r="1499" spans="1:2">
      <c r="A1499" s="3" t="s">
        <v>3633</v>
      </c>
      <c r="B1499" s="3">
        <f xml:space="preserve"> 0</f>
        <v>0</v>
      </c>
    </row>
    <row r="1501" spans="1:2">
      <c r="A1501" s="3" t="s">
        <v>4003</v>
      </c>
    </row>
    <row r="1502" spans="1:2">
      <c r="A1502" s="3" t="s">
        <v>2397</v>
      </c>
    </row>
    <row r="1504" spans="1:2">
      <c r="A1504" s="3" t="s">
        <v>2398</v>
      </c>
      <c r="B1504" s="3">
        <f xml:space="preserve"> 0</f>
        <v>0</v>
      </c>
    </row>
    <row r="1506" spans="1:2">
      <c r="A1506" s="3" t="s">
        <v>1598</v>
      </c>
    </row>
    <row r="1507" spans="1:2">
      <c r="A1507" s="3" t="s">
        <v>4122</v>
      </c>
    </row>
    <row r="1509" spans="1:2">
      <c r="A1509" s="3" t="s">
        <v>4123</v>
      </c>
      <c r="B1509" s="130" t="s">
        <v>3478</v>
      </c>
    </row>
    <row r="1511" spans="1:2">
      <c r="A1511" s="3" t="s">
        <v>2627</v>
      </c>
    </row>
    <row r="1512" spans="1:2">
      <c r="A1512" s="3" t="s">
        <v>722</v>
      </c>
    </row>
    <row r="1513" spans="1:2">
      <c r="A1513" s="3" t="s">
        <v>4103</v>
      </c>
    </row>
    <row r="1515" spans="1:2">
      <c r="A1515" s="3" t="s">
        <v>4104</v>
      </c>
      <c r="B1515" s="3" t="s">
        <v>3479</v>
      </c>
    </row>
    <row r="1516" spans="1:2">
      <c r="A1516" s="3" t="s">
        <v>879</v>
      </c>
      <c r="B1516" s="3" t="s">
        <v>117</v>
      </c>
    </row>
    <row r="1517" spans="1:2">
      <c r="A1517" s="3" t="s">
        <v>118</v>
      </c>
      <c r="B1517" s="3" t="s">
        <v>2791</v>
      </c>
    </row>
    <row r="1519" spans="1:2">
      <c r="A1519" s="3" t="s">
        <v>3258</v>
      </c>
    </row>
    <row r="1520" spans="1:2">
      <c r="A1520" s="3" t="s">
        <v>3259</v>
      </c>
    </row>
    <row r="1521" spans="1:3">
      <c r="A1521" s="3" t="s">
        <v>3991</v>
      </c>
    </row>
    <row r="1523" spans="1:3">
      <c r="A1523" s="3" t="s">
        <v>3992</v>
      </c>
    </row>
    <row r="1524" spans="1:3">
      <c r="A1524" s="3" t="s">
        <v>3496</v>
      </c>
      <c r="B1524" s="3" t="s">
        <v>2998</v>
      </c>
    </row>
    <row r="1525" spans="1:3">
      <c r="A1525" s="3" t="s">
        <v>4095</v>
      </c>
      <c r="C1525" s="3" t="s">
        <v>2791</v>
      </c>
    </row>
    <row r="1527" spans="1:3">
      <c r="A1527" s="3" t="s">
        <v>2071</v>
      </c>
    </row>
    <row r="1528" spans="1:3">
      <c r="A1528" s="3" t="s">
        <v>3306</v>
      </c>
    </row>
    <row r="1529" spans="1:3">
      <c r="A1529" s="3" t="s">
        <v>3307</v>
      </c>
    </row>
    <row r="1531" spans="1:3">
      <c r="A1531" s="3" t="s">
        <v>3308</v>
      </c>
    </row>
    <row r="1532" spans="1:3">
      <c r="A1532" s="3" t="s">
        <v>3497</v>
      </c>
      <c r="B1532" s="3" t="s">
        <v>1898</v>
      </c>
    </row>
    <row r="1533" spans="1:3">
      <c r="A1533" s="3" t="s">
        <v>4095</v>
      </c>
      <c r="C1533" s="3" t="s">
        <v>2791</v>
      </c>
    </row>
    <row r="1535" spans="1:3">
      <c r="A1535" s="3" t="s">
        <v>670</v>
      </c>
    </row>
    <row r="1536" spans="1:3">
      <c r="A1536" s="3" t="s">
        <v>4646</v>
      </c>
    </row>
    <row r="1537" spans="1:3">
      <c r="A1537" s="3" t="s">
        <v>4065</v>
      </c>
    </row>
    <row r="1539" spans="1:3">
      <c r="A1539" s="3" t="s">
        <v>4066</v>
      </c>
    </row>
    <row r="1541" spans="1:3">
      <c r="A1541" s="3" t="s">
        <v>4067</v>
      </c>
      <c r="B1541" s="3">
        <f xml:space="preserve"> 0*1533:1533</f>
        <v>0</v>
      </c>
    </row>
    <row r="1542" spans="1:3">
      <c r="A1542" s="3" t="s">
        <v>4095</v>
      </c>
      <c r="C1542" s="3" t="s">
        <v>2791</v>
      </c>
    </row>
    <row r="1544" spans="1:3">
      <c r="A1544" s="3" t="s">
        <v>3207</v>
      </c>
    </row>
    <row r="1545" spans="1:3">
      <c r="A1545" s="3" t="s">
        <v>525</v>
      </c>
    </row>
    <row r="1546" spans="1:3">
      <c r="A1546" s="3" t="s">
        <v>2451</v>
      </c>
    </row>
    <row r="1547" spans="1:3">
      <c r="A1547" s="3" t="s">
        <v>473</v>
      </c>
    </row>
    <row r="1549" spans="1:3">
      <c r="A1549" s="3" t="s">
        <v>474</v>
      </c>
    </row>
    <row r="1550" spans="1:3">
      <c r="A1550" s="3" t="s">
        <v>509</v>
      </c>
      <c r="B1550" s="3" t="s">
        <v>36</v>
      </c>
    </row>
    <row r="1551" spans="1:3">
      <c r="A1551" s="3" t="s">
        <v>4095</v>
      </c>
      <c r="C1551" s="3" t="s">
        <v>2791</v>
      </c>
    </row>
    <row r="1553" spans="1:2">
      <c r="A1553" s="3" t="s">
        <v>1789</v>
      </c>
    </row>
    <row r="1554" spans="1:2">
      <c r="A1554" s="3" t="s">
        <v>2915</v>
      </c>
    </row>
    <row r="1555" spans="1:2">
      <c r="A1555" s="3" t="s">
        <v>4404</v>
      </c>
    </row>
    <row r="1556" spans="1:2">
      <c r="A1556" s="3" t="s">
        <v>3079</v>
      </c>
    </row>
    <row r="1557" spans="1:2">
      <c r="A1557" s="3" t="s">
        <v>1</v>
      </c>
    </row>
    <row r="1559" spans="1:2">
      <c r="A1559" s="3" t="s">
        <v>2</v>
      </c>
      <c r="B1559" s="3">
        <f xml:space="preserve"> 0</f>
        <v>0</v>
      </c>
    </row>
    <row r="1561" spans="1:2">
      <c r="A1561" s="3" t="s">
        <v>3827</v>
      </c>
    </row>
    <row r="1562" spans="1:2">
      <c r="A1562" s="3" t="s">
        <v>1331</v>
      </c>
    </row>
    <row r="1563" spans="1:2">
      <c r="A1563" s="3" t="s">
        <v>2260</v>
      </c>
    </row>
    <row r="1565" spans="1:2">
      <c r="A1565" s="3" t="s">
        <v>1091</v>
      </c>
    </row>
    <row r="1567" spans="1:2">
      <c r="A1567" s="3" t="s">
        <v>880</v>
      </c>
    </row>
    <row r="1568" spans="1:2">
      <c r="A1568" s="5" t="s">
        <v>220</v>
      </c>
    </row>
    <row r="1569" spans="1:3">
      <c r="A1569" s="3" t="s">
        <v>4182</v>
      </c>
      <c r="B1569" s="3" t="s">
        <v>3769</v>
      </c>
    </row>
    <row r="1570" spans="1:3">
      <c r="A1570" s="3" t="s">
        <v>4183</v>
      </c>
      <c r="B1570" s="3" t="s">
        <v>3961</v>
      </c>
    </row>
    <row r="1571" spans="1:3">
      <c r="A1571" s="3" t="s">
        <v>4185</v>
      </c>
      <c r="C1571" s="3" t="s">
        <v>3262</v>
      </c>
    </row>
    <row r="1572" spans="1:3">
      <c r="A1572" s="3" t="s">
        <v>3792</v>
      </c>
      <c r="B1572" s="3" t="s">
        <v>4181</v>
      </c>
    </row>
    <row r="1573" spans="1:3">
      <c r="A1573" s="3" t="s">
        <v>3328</v>
      </c>
      <c r="B1573" s="3" t="s">
        <v>3711</v>
      </c>
    </row>
    <row r="1574" spans="1:3">
      <c r="A1574" s="3" t="s">
        <v>3380</v>
      </c>
      <c r="B1574" s="3" t="s">
        <v>3279</v>
      </c>
    </row>
    <row r="1575" spans="1:3">
      <c r="A1575" s="3" t="s">
        <v>3793</v>
      </c>
      <c r="B1575" s="3" t="s">
        <v>1644</v>
      </c>
    </row>
    <row r="1576" spans="1:3">
      <c r="A1576" s="3" t="s">
        <v>364</v>
      </c>
      <c r="B1576" s="3" t="s">
        <v>4308</v>
      </c>
    </row>
    <row r="1577" spans="1:3">
      <c r="A1577" s="3" t="s">
        <v>3378</v>
      </c>
      <c r="B1577" s="3" t="s">
        <v>3132</v>
      </c>
    </row>
    <row r="1578" spans="1:3">
      <c r="A1578" s="3" t="s">
        <v>3377</v>
      </c>
      <c r="B1578" s="3" t="s">
        <v>2646</v>
      </c>
    </row>
    <row r="1579" spans="1:3">
      <c r="A1579" s="3" t="s">
        <v>2606</v>
      </c>
      <c r="B1579" s="3" t="s">
        <v>3490</v>
      </c>
    </row>
    <row r="1580" spans="1:3">
      <c r="A1580" s="3" t="s">
        <v>168</v>
      </c>
      <c r="B1580" s="3" t="s">
        <v>2649</v>
      </c>
    </row>
    <row r="1582" spans="1:3">
      <c r="A1582" s="3" t="s">
        <v>2740</v>
      </c>
    </row>
    <row r="1583" spans="1:3">
      <c r="A1583" s="3" t="s">
        <v>2388</v>
      </c>
    </row>
    <row r="1584" spans="1:3">
      <c r="A1584" s="3" t="s">
        <v>4022</v>
      </c>
    </row>
    <row r="1585" spans="1:2">
      <c r="A1585" s="3" t="s">
        <v>1985</v>
      </c>
    </row>
    <row r="1586" spans="1:2">
      <c r="A1586" s="3" t="s">
        <v>519</v>
      </c>
    </row>
    <row r="1587" spans="1:2">
      <c r="A1587" s="3" t="s">
        <v>3425</v>
      </c>
    </row>
    <row r="1588" spans="1:2">
      <c r="A1588" s="3" t="s">
        <v>1324</v>
      </c>
    </row>
    <row r="1590" spans="1:2">
      <c r="A1590" s="3" t="s">
        <v>2134</v>
      </c>
    </row>
    <row r="1591" spans="1:2">
      <c r="A1591" s="3" t="s">
        <v>2587</v>
      </c>
      <c r="B1591" s="3" t="s">
        <v>2686</v>
      </c>
    </row>
    <row r="1592" spans="1:2">
      <c r="A1592" s="3" t="s">
        <v>2440</v>
      </c>
      <c r="B1592" s="3" t="s">
        <v>4370</v>
      </c>
    </row>
    <row r="1593" spans="1:2">
      <c r="A1593" s="3" t="s">
        <v>3499</v>
      </c>
      <c r="B1593" s="3" t="s">
        <v>4371</v>
      </c>
    </row>
    <row r="1594" spans="1:2">
      <c r="A1594" s="3" t="s">
        <v>510</v>
      </c>
      <c r="B1594" s="3" t="s">
        <v>4178</v>
      </c>
    </row>
    <row r="1595" spans="1:2">
      <c r="A1595" s="3" t="s">
        <v>509</v>
      </c>
      <c r="B1595" s="3" t="s">
        <v>3750</v>
      </c>
    </row>
    <row r="1597" spans="1:2">
      <c r="A1597" s="3" t="s">
        <v>3213</v>
      </c>
    </row>
    <row r="1598" spans="1:2">
      <c r="A1598" s="3" t="s">
        <v>1878</v>
      </c>
    </row>
    <row r="1599" spans="1:2">
      <c r="A1599" s="3" t="s">
        <v>257</v>
      </c>
    </row>
    <row r="1600" spans="1:2">
      <c r="A1600" s="3" t="s">
        <v>3312</v>
      </c>
    </row>
    <row r="1601" spans="1:2">
      <c r="A1601" s="3" t="s">
        <v>4492</v>
      </c>
    </row>
    <row r="1602" spans="1:2">
      <c r="A1602" s="3" t="s">
        <v>2347</v>
      </c>
    </row>
    <row r="1603" spans="1:2">
      <c r="A1603" s="3" t="s">
        <v>2660</v>
      </c>
    </row>
    <row r="1604" spans="1:2">
      <c r="A1604" s="3" t="s">
        <v>15</v>
      </c>
    </row>
    <row r="1605" spans="1:2">
      <c r="A1605" s="3" t="s">
        <v>1462</v>
      </c>
    </row>
    <row r="1606" spans="1:2">
      <c r="A1606" s="3" t="s">
        <v>4623</v>
      </c>
    </row>
    <row r="1608" spans="1:2">
      <c r="A1608" s="3" t="s">
        <v>1947</v>
      </c>
    </row>
    <row r="1610" spans="1:2">
      <c r="A1610" s="3" t="s">
        <v>1948</v>
      </c>
      <c r="B1610" s="3" t="s">
        <v>217</v>
      </c>
    </row>
    <row r="1611" spans="1:2">
      <c r="A1611" s="3" t="s">
        <v>3241</v>
      </c>
      <c r="B1611" s="3" t="s">
        <v>1813</v>
      </c>
    </row>
    <row r="1612" spans="1:2">
      <c r="A1612" s="3" t="s">
        <v>3579</v>
      </c>
      <c r="B1612" s="3" t="s">
        <v>303</v>
      </c>
    </row>
    <row r="1613" spans="1:2">
      <c r="A1613" s="3" t="s">
        <v>3499</v>
      </c>
      <c r="B1613" s="3" t="s">
        <v>4371</v>
      </c>
    </row>
    <row r="1614" spans="1:2">
      <c r="A1614" s="3" t="s">
        <v>509</v>
      </c>
      <c r="B1614" s="3" t="s">
        <v>2281</v>
      </c>
    </row>
    <row r="1616" spans="1:2">
      <c r="A1616" s="3" t="s">
        <v>2687</v>
      </c>
    </row>
    <row r="1617" spans="1:2">
      <c r="A1617" s="3" t="s">
        <v>2780</v>
      </c>
    </row>
    <row r="1618" spans="1:2">
      <c r="A1618" s="3" t="s">
        <v>4078</v>
      </c>
    </row>
    <row r="1619" spans="1:2">
      <c r="A1619" s="3" t="s">
        <v>1731</v>
      </c>
    </row>
    <row r="1620" spans="1:2">
      <c r="A1620" s="3" t="s">
        <v>1645</v>
      </c>
    </row>
    <row r="1622" spans="1:2">
      <c r="A1622" s="3" t="s">
        <v>1646</v>
      </c>
      <c r="B1622" s="3" t="s">
        <v>218</v>
      </c>
    </row>
    <row r="1623" spans="1:2">
      <c r="A1623" s="3" t="s">
        <v>2482</v>
      </c>
      <c r="B1623" s="3" t="s">
        <v>4012</v>
      </c>
    </row>
    <row r="1624" spans="1:2">
      <c r="A1624" s="3" t="s">
        <v>2483</v>
      </c>
      <c r="B1624" s="3" t="s">
        <v>1483</v>
      </c>
    </row>
    <row r="1626" spans="1:2">
      <c r="A1626" s="3" t="s">
        <v>4519</v>
      </c>
    </row>
    <row r="1627" spans="1:2">
      <c r="A1627" s="3" t="s">
        <v>614</v>
      </c>
    </row>
    <row r="1628" spans="1:2">
      <c r="A1628" s="3" t="s">
        <v>2669</v>
      </c>
    </row>
    <row r="1630" spans="1:2">
      <c r="A1630" s="3" t="s">
        <v>1055</v>
      </c>
    </row>
    <row r="1631" spans="1:2">
      <c r="A1631" s="3" t="s">
        <v>826</v>
      </c>
      <c r="B1631" s="3" t="s">
        <v>853</v>
      </c>
    </row>
    <row r="1632" spans="1:2">
      <c r="A1632" s="3" t="s">
        <v>510</v>
      </c>
      <c r="B1632" s="3" t="s">
        <v>4178</v>
      </c>
    </row>
    <row r="1633" spans="1:2">
      <c r="A1633" s="3" t="s">
        <v>2479</v>
      </c>
      <c r="B1633" s="3" t="s">
        <v>3924</v>
      </c>
    </row>
    <row r="1635" spans="1:2">
      <c r="A1635" s="3" t="s">
        <v>3760</v>
      </c>
    </row>
    <row r="1636" spans="1:2">
      <c r="A1636" s="3" t="s">
        <v>3274</v>
      </c>
    </row>
    <row r="1637" spans="1:2">
      <c r="A1637" s="3" t="s">
        <v>561</v>
      </c>
    </row>
    <row r="1638" spans="1:2">
      <c r="A1638" s="3" t="s">
        <v>3096</v>
      </c>
    </row>
    <row r="1639" spans="1:2">
      <c r="A1639" s="3" t="s">
        <v>763</v>
      </c>
    </row>
    <row r="1640" spans="1:2">
      <c r="A1640" s="3" t="s">
        <v>3236</v>
      </c>
    </row>
    <row r="1641" spans="1:2">
      <c r="A1641" s="3" t="s">
        <v>3237</v>
      </c>
    </row>
    <row r="1642" spans="1:2">
      <c r="A1642" s="3" t="s">
        <v>1514</v>
      </c>
    </row>
    <row r="1644" spans="1:2">
      <c r="A1644" s="3" t="s">
        <v>3402</v>
      </c>
      <c r="B1644" s="3" t="s">
        <v>4542</v>
      </c>
    </row>
    <row r="1645" spans="1:2">
      <c r="A1645" s="3" t="s">
        <v>541</v>
      </c>
      <c r="B1645" s="3" t="s">
        <v>3239</v>
      </c>
    </row>
    <row r="1647" spans="1:2">
      <c r="A1647" s="3" t="s">
        <v>2478</v>
      </c>
    </row>
    <row r="1648" spans="1:2">
      <c r="A1648" s="3" t="s">
        <v>2610</v>
      </c>
    </row>
    <row r="1649" spans="1:3">
      <c r="A1649" s="3" t="s">
        <v>3047</v>
      </c>
    </row>
    <row r="1650" spans="1:3">
      <c r="A1650" s="3" t="s">
        <v>3048</v>
      </c>
    </row>
    <row r="1652" spans="1:3">
      <c r="A1652" s="3" t="s">
        <v>2378</v>
      </c>
    </row>
    <row r="1654" spans="1:3">
      <c r="A1654" s="3" t="s">
        <v>2492</v>
      </c>
    </row>
    <row r="1656" spans="1:3">
      <c r="A1656" s="3" t="s">
        <v>2493</v>
      </c>
      <c r="B1656" s="3" t="s">
        <v>4543</v>
      </c>
    </row>
    <row r="1657" spans="1:3">
      <c r="A1657" s="3" t="s">
        <v>125</v>
      </c>
      <c r="B1657" s="3" t="s">
        <v>126</v>
      </c>
    </row>
    <row r="1658" spans="1:3">
      <c r="A1658" s="3" t="s">
        <v>127</v>
      </c>
      <c r="C1658" s="3" t="s">
        <v>935</v>
      </c>
    </row>
    <row r="1659" spans="1:3">
      <c r="A1659" s="3" t="s">
        <v>936</v>
      </c>
      <c r="C1659" s="3" t="s">
        <v>191</v>
      </c>
    </row>
    <row r="1661" spans="1:3">
      <c r="A1661" s="3" t="s">
        <v>2911</v>
      </c>
    </row>
    <row r="1662" spans="1:3">
      <c r="A1662" s="3" t="s">
        <v>236</v>
      </c>
    </row>
    <row r="1663" spans="1:3">
      <c r="A1663" s="3" t="s">
        <v>4554</v>
      </c>
    </row>
    <row r="1664" spans="1:3">
      <c r="A1664" s="3" t="s">
        <v>4192</v>
      </c>
    </row>
    <row r="1665" spans="1:3">
      <c r="A1665" s="3" t="s">
        <v>2228</v>
      </c>
    </row>
    <row r="1666" spans="1:3">
      <c r="A1666" s="3" t="s">
        <v>1416</v>
      </c>
    </row>
    <row r="1670" spans="1:3">
      <c r="A1670" s="3" t="s">
        <v>1417</v>
      </c>
      <c r="B1670" s="3" t="s">
        <v>692</v>
      </c>
    </row>
    <row r="1671" spans="1:3">
      <c r="A1671" s="3" t="s">
        <v>985</v>
      </c>
    </row>
    <row r="1672" spans="1:3">
      <c r="A1672" s="3" t="s">
        <v>2386</v>
      </c>
      <c r="B1672" s="3" t="s">
        <v>2238</v>
      </c>
    </row>
    <row r="1673" spans="1:3">
      <c r="A1673" s="3" t="s">
        <v>793</v>
      </c>
      <c r="B1673" s="3" t="s">
        <v>291</v>
      </c>
    </row>
    <row r="1674" spans="1:3">
      <c r="A1674" s="3" t="s">
        <v>292</v>
      </c>
      <c r="B1674" s="3" t="s">
        <v>3357</v>
      </c>
    </row>
    <row r="1675" spans="1:3">
      <c r="A1675" s="3" t="s">
        <v>986</v>
      </c>
      <c r="C1675" s="3" t="s">
        <v>2623</v>
      </c>
    </row>
    <row r="1676" spans="1:3">
      <c r="A1676" s="3" t="s">
        <v>2782</v>
      </c>
      <c r="C1676" s="3" t="s">
        <v>1477</v>
      </c>
    </row>
    <row r="1677" spans="1:3">
      <c r="A1677" s="3" t="s">
        <v>1478</v>
      </c>
      <c r="B1677" s="3" t="s">
        <v>2759</v>
      </c>
    </row>
    <row r="1678" spans="1:3">
      <c r="A1678" s="3" t="s">
        <v>3927</v>
      </c>
      <c r="C1678" s="3" t="s">
        <v>3023</v>
      </c>
    </row>
    <row r="1679" spans="1:3">
      <c r="A1679" s="3" t="s">
        <v>3928</v>
      </c>
      <c r="C1679" s="3" t="s">
        <v>1395</v>
      </c>
    </row>
    <row r="1681" spans="1:2">
      <c r="A1681" s="3" t="s">
        <v>765</v>
      </c>
    </row>
    <row r="1682" spans="1:2">
      <c r="A1682" s="3" t="s">
        <v>3117</v>
      </c>
    </row>
    <row r="1683" spans="1:2">
      <c r="A1683" s="3" t="s">
        <v>1413</v>
      </c>
    </row>
    <row r="1684" spans="1:2">
      <c r="A1684" s="3" t="s">
        <v>1414</v>
      </c>
    </row>
    <row r="1685" spans="1:2">
      <c r="A1685" s="3" t="s">
        <v>37</v>
      </c>
    </row>
    <row r="1686" spans="1:2">
      <c r="A1686" s="3" t="s">
        <v>2473</v>
      </c>
    </row>
    <row r="1687" spans="1:2">
      <c r="A1687" s="3" t="s">
        <v>1597</v>
      </c>
    </row>
    <row r="1688" spans="1:2">
      <c r="A1688" s="3" t="s">
        <v>636</v>
      </c>
    </row>
    <row r="1689" spans="1:2">
      <c r="A1689" s="3" t="s">
        <v>637</v>
      </c>
    </row>
    <row r="1691" spans="1:2">
      <c r="A1691" s="3" t="s">
        <v>2746</v>
      </c>
      <c r="B1691" s="3" t="s">
        <v>4544</v>
      </c>
    </row>
    <row r="1692" spans="1:2">
      <c r="A1692" s="3" t="s">
        <v>1945</v>
      </c>
      <c r="B1692" s="3" t="s">
        <v>3357</v>
      </c>
    </row>
    <row r="1693" spans="1:2">
      <c r="A1693" s="3" t="s">
        <v>3854</v>
      </c>
      <c r="B1693" s="3" t="s">
        <v>1383</v>
      </c>
    </row>
    <row r="1694" spans="1:2">
      <c r="A1694" s="3" t="s">
        <v>3855</v>
      </c>
      <c r="B1694" s="3" t="s">
        <v>1384</v>
      </c>
    </row>
    <row r="1696" spans="1:2">
      <c r="A1696" s="3" t="s">
        <v>1385</v>
      </c>
    </row>
    <row r="1697" spans="1:3">
      <c r="A1697" s="3" t="s">
        <v>1329</v>
      </c>
    </row>
    <row r="1698" spans="1:3">
      <c r="A1698" s="3" t="s">
        <v>3338</v>
      </c>
    </row>
    <row r="1699" spans="1:3">
      <c r="A1699" s="3" t="s">
        <v>156</v>
      </c>
    </row>
    <row r="1701" spans="1:3">
      <c r="A1701" s="3" t="s">
        <v>157</v>
      </c>
      <c r="B1701" s="3" t="s">
        <v>3852</v>
      </c>
    </row>
    <row r="1702" spans="1:3">
      <c r="A1702" s="3" t="s">
        <v>3796</v>
      </c>
      <c r="B1702" s="3" t="s">
        <v>2305</v>
      </c>
    </row>
    <row r="1703" spans="1:3">
      <c r="A1703" s="3" t="s">
        <v>2585</v>
      </c>
      <c r="C1703" s="3" t="s">
        <v>1436</v>
      </c>
    </row>
    <row r="1705" spans="1:3">
      <c r="A1705" s="3" t="s">
        <v>1706</v>
      </c>
    </row>
    <row r="1706" spans="1:3">
      <c r="A1706" s="3" t="s">
        <v>3978</v>
      </c>
    </row>
    <row r="1707" spans="1:3">
      <c r="A1707" s="3" t="s">
        <v>3690</v>
      </c>
    </row>
    <row r="1708" spans="1:3">
      <c r="A1708" s="3" t="s">
        <v>746</v>
      </c>
    </row>
    <row r="1709" spans="1:3">
      <c r="A1709" s="3" t="s">
        <v>2921</v>
      </c>
    </row>
    <row r="1711" spans="1:3">
      <c r="A1711" s="3" t="s">
        <v>3688</v>
      </c>
    </row>
    <row r="1713" spans="1:3">
      <c r="A1713" s="3" t="s">
        <v>1983</v>
      </c>
      <c r="B1713" s="3">
        <f xml:space="preserve"> 0</f>
        <v>0</v>
      </c>
    </row>
    <row r="1715" spans="1:3">
      <c r="A1715" s="3" t="s">
        <v>3564</v>
      </c>
    </row>
    <row r="1716" spans="1:3">
      <c r="A1716" s="3" t="s">
        <v>1270</v>
      </c>
    </row>
    <row r="1717" spans="1:3">
      <c r="A1717" s="3" t="s">
        <v>3406</v>
      </c>
    </row>
    <row r="1719" spans="1:3">
      <c r="A1719" s="3" t="s">
        <v>2854</v>
      </c>
      <c r="B1719" s="3" t="s">
        <v>2173</v>
      </c>
    </row>
    <row r="1720" spans="1:3">
      <c r="A1720" s="3" t="s">
        <v>3993</v>
      </c>
      <c r="B1720" s="3" t="s">
        <v>1957</v>
      </c>
    </row>
    <row r="1721" spans="1:3">
      <c r="A1721" s="3" t="s">
        <v>3705</v>
      </c>
      <c r="C1721" s="3" t="s">
        <v>2094</v>
      </c>
    </row>
    <row r="1722" spans="1:3">
      <c r="A1722" s="3" t="s">
        <v>2219</v>
      </c>
    </row>
    <row r="1723" spans="1:3">
      <c r="A1723" s="3" t="s">
        <v>2272</v>
      </c>
    </row>
    <row r="1724" spans="1:3">
      <c r="A1724" s="3" t="s">
        <v>2923</v>
      </c>
    </row>
    <row r="1725" spans="1:3">
      <c r="A1725" s="3" t="s">
        <v>1269</v>
      </c>
    </row>
    <row r="1726" spans="1:3">
      <c r="A1726" s="3" t="s">
        <v>1039</v>
      </c>
    </row>
    <row r="1729" spans="1:3">
      <c r="A1729" s="3" t="s">
        <v>1040</v>
      </c>
      <c r="B1729" s="3" t="s">
        <v>2174</v>
      </c>
    </row>
    <row r="1730" spans="1:3">
      <c r="A1730" s="3" t="s">
        <v>1041</v>
      </c>
      <c r="B1730" s="3" t="s">
        <v>1006</v>
      </c>
    </row>
    <row r="1731" spans="1:3">
      <c r="A1731" s="3" t="s">
        <v>1007</v>
      </c>
      <c r="B1731" s="3" t="s">
        <v>1008</v>
      </c>
    </row>
    <row r="1732" spans="1:3">
      <c r="A1732" s="3" t="s">
        <v>3126</v>
      </c>
      <c r="B1732" s="3" t="s">
        <v>4158</v>
      </c>
    </row>
    <row r="1734" spans="1:3">
      <c r="A1734" s="3" t="s">
        <v>4200</v>
      </c>
    </row>
    <row r="1735" spans="1:3">
      <c r="A1735" s="3" t="s">
        <v>1643</v>
      </c>
    </row>
    <row r="1736" spans="1:3">
      <c r="A1736" s="3" t="s">
        <v>1356</v>
      </c>
    </row>
    <row r="1737" spans="1:3">
      <c r="A1737" s="3" t="s">
        <v>3212</v>
      </c>
    </row>
    <row r="1738" spans="1:3">
      <c r="A1738" s="3" t="s">
        <v>762</v>
      </c>
    </row>
    <row r="1739" spans="1:3">
      <c r="A1739" s="3" t="s">
        <v>2449</v>
      </c>
    </row>
    <row r="1740" spans="1:3">
      <c r="A1740" s="3" t="s">
        <v>3298</v>
      </c>
    </row>
    <row r="1742" spans="1:3">
      <c r="A1742" s="3" t="s">
        <v>1660</v>
      </c>
      <c r="B1742" s="3" t="e">
        <f xml:space="preserve"> 0.3*452:452*914:914/100</f>
        <v>#VALUE!</v>
      </c>
    </row>
    <row r="1743" spans="1:3">
      <c r="A1743" s="3" t="s">
        <v>2480</v>
      </c>
      <c r="C1743" s="3" t="s">
        <v>3500</v>
      </c>
    </row>
    <row r="1744" spans="1:3">
      <c r="A1744" s="3" t="s">
        <v>2601</v>
      </c>
      <c r="C1744" s="3" t="s">
        <v>1316</v>
      </c>
    </row>
    <row r="1746" spans="1:2">
      <c r="A1746" s="3" t="s">
        <v>4469</v>
      </c>
    </row>
    <row r="1747" spans="1:2">
      <c r="A1747" s="3" t="s">
        <v>342</v>
      </c>
    </row>
    <row r="1748" spans="1:2">
      <c r="A1748" s="3" t="s">
        <v>3342</v>
      </c>
    </row>
    <row r="1749" spans="1:2">
      <c r="A1749" s="3" t="s">
        <v>1393</v>
      </c>
    </row>
    <row r="1750" spans="1:2">
      <c r="A1750" s="3" t="s">
        <v>717</v>
      </c>
    </row>
    <row r="1752" spans="1:2">
      <c r="A1752" s="3" t="s">
        <v>4357</v>
      </c>
      <c r="B1752" s="3" t="s">
        <v>2175</v>
      </c>
    </row>
    <row r="1753" spans="1:2">
      <c r="A1753" s="3" t="s">
        <v>2136</v>
      </c>
      <c r="B1753" s="3" t="s">
        <v>1456</v>
      </c>
    </row>
    <row r="1754" spans="1:2">
      <c r="A1754" s="3" t="s">
        <v>3464</v>
      </c>
    </row>
    <row r="1755" spans="1:2">
      <c r="A1755" s="3" t="s">
        <v>542</v>
      </c>
      <c r="B1755" s="3" t="s">
        <v>4036</v>
      </c>
    </row>
    <row r="1757" spans="1:2">
      <c r="A1757" s="3" t="s">
        <v>1320</v>
      </c>
    </row>
    <row r="1758" spans="1:2">
      <c r="A1758" s="3" t="s">
        <v>3507</v>
      </c>
    </row>
    <row r="1759" spans="1:2">
      <c r="A1759" s="3" t="s">
        <v>3936</v>
      </c>
    </row>
    <row r="1760" spans="1:2">
      <c r="A1760" s="3" t="s">
        <v>2207</v>
      </c>
    </row>
    <row r="1761" spans="1:3">
      <c r="A1761" s="3" t="s">
        <v>3249</v>
      </c>
    </row>
    <row r="1762" spans="1:3">
      <c r="A1762" s="3" t="s">
        <v>2663</v>
      </c>
    </row>
    <row r="1763" spans="1:3">
      <c r="A1763" s="3" t="s">
        <v>3449</v>
      </c>
    </row>
    <row r="1764" spans="1:3">
      <c r="A1764" s="3" t="s">
        <v>3436</v>
      </c>
    </row>
    <row r="1765" spans="1:3">
      <c r="A1765" s="3" t="s">
        <v>1753</v>
      </c>
    </row>
    <row r="1766" spans="1:3">
      <c r="A1766" s="3" t="s">
        <v>1754</v>
      </c>
    </row>
    <row r="1768" spans="1:3">
      <c r="A1768" s="3" t="s">
        <v>1755</v>
      </c>
    </row>
    <row r="1770" spans="1:3">
      <c r="A1770" s="3" t="s">
        <v>1756</v>
      </c>
      <c r="B1770" s="3" t="s">
        <v>4650</v>
      </c>
    </row>
    <row r="1771" spans="1:3">
      <c r="A1771" s="3" t="s">
        <v>1757</v>
      </c>
      <c r="B1771" s="3" t="s">
        <v>4044</v>
      </c>
    </row>
    <row r="1772" spans="1:3">
      <c r="A1772" s="3" t="s">
        <v>4045</v>
      </c>
      <c r="C1772" s="3" t="s">
        <v>2791</v>
      </c>
    </row>
    <row r="1773" spans="1:3">
      <c r="A1773" s="3" t="s">
        <v>3454</v>
      </c>
      <c r="B1773" s="3" t="s">
        <v>3599</v>
      </c>
    </row>
    <row r="1774" spans="1:3">
      <c r="A1774" s="3" t="s">
        <v>2219</v>
      </c>
    </row>
    <row r="1775" spans="1:3">
      <c r="A1775" s="3" t="s">
        <v>2485</v>
      </c>
    </row>
    <row r="1776" spans="1:3">
      <c r="A1776" s="3" t="s">
        <v>4534</v>
      </c>
    </row>
    <row r="1777" spans="1:3">
      <c r="A1777" s="3" t="s">
        <v>1543</v>
      </c>
    </row>
    <row r="1778" spans="1:3">
      <c r="A1778" s="3" t="s">
        <v>2267</v>
      </c>
    </row>
    <row r="1780" spans="1:3">
      <c r="A1780" s="3" t="s">
        <v>2268</v>
      </c>
      <c r="B1780" s="3" t="s">
        <v>3311</v>
      </c>
    </row>
    <row r="1781" spans="1:3">
      <c r="A1781" s="3" t="s">
        <v>116</v>
      </c>
      <c r="B1781" s="3" t="s">
        <v>2517</v>
      </c>
    </row>
    <row r="1782" spans="1:3">
      <c r="A1782" s="3" t="s">
        <v>1268</v>
      </c>
      <c r="C1782" s="3" t="s">
        <v>434</v>
      </c>
    </row>
    <row r="1784" spans="1:3">
      <c r="A1784" s="3" t="s">
        <v>4560</v>
      </c>
    </row>
    <row r="1785" spans="1:3">
      <c r="A1785" s="3" t="s">
        <v>641</v>
      </c>
    </row>
    <row r="1786" spans="1:3">
      <c r="A1786" s="3" t="s">
        <v>2614</v>
      </c>
    </row>
    <row r="1789" spans="1:3">
      <c r="A1789" s="3" t="s">
        <v>4455</v>
      </c>
    </row>
    <row r="1791" spans="1:3">
      <c r="A1791" s="3" t="s">
        <v>311</v>
      </c>
    </row>
    <row r="1792" spans="1:3">
      <c r="A1792" s="3" t="s">
        <v>4362</v>
      </c>
      <c r="B1792" s="3" t="s">
        <v>1628</v>
      </c>
    </row>
    <row r="1793" spans="1:2">
      <c r="A1793" s="3" t="s">
        <v>4095</v>
      </c>
      <c r="B1793" s="3" t="s">
        <v>2791</v>
      </c>
    </row>
    <row r="1795" spans="1:2">
      <c r="A1795" s="3" t="s">
        <v>3441</v>
      </c>
    </row>
    <row r="1796" spans="1:2">
      <c r="A1796" s="3" t="s">
        <v>2185</v>
      </c>
    </row>
    <row r="1797" spans="1:2">
      <c r="A1797" s="3" t="s">
        <v>1043</v>
      </c>
    </row>
    <row r="1798" spans="1:2">
      <c r="A1798" s="3" t="s">
        <v>2872</v>
      </c>
    </row>
    <row r="1799" spans="1:2">
      <c r="A1799" s="3" t="s">
        <v>49</v>
      </c>
    </row>
    <row r="1800" spans="1:2">
      <c r="A1800" s="3" t="s">
        <v>4612</v>
      </c>
    </row>
    <row r="1801" spans="1:2">
      <c r="A1801" s="3" t="s">
        <v>4613</v>
      </c>
    </row>
    <row r="1803" spans="1:2">
      <c r="A1803" s="3" t="s">
        <v>4614</v>
      </c>
      <c r="B1803" s="3">
        <f xml:space="preserve"> 0</f>
        <v>0</v>
      </c>
    </row>
    <row r="1805" spans="1:2">
      <c r="A1805" s="3" t="s">
        <v>632</v>
      </c>
    </row>
    <row r="1806" spans="1:2">
      <c r="A1806" s="3" t="s">
        <v>3291</v>
      </c>
    </row>
    <row r="1807" spans="1:2">
      <c r="A1807" s="3" t="s">
        <v>1482</v>
      </c>
    </row>
    <row r="1808" spans="1:2">
      <c r="A1808" s="3" t="s">
        <v>1181</v>
      </c>
    </row>
    <row r="1809" spans="1:3">
      <c r="A1809" s="3" t="s">
        <v>1030</v>
      </c>
    </row>
    <row r="1810" spans="1:3">
      <c r="A1810" s="3" t="s">
        <v>963</v>
      </c>
    </row>
    <row r="1812" spans="1:3">
      <c r="A1812" s="3" t="s">
        <v>3343</v>
      </c>
    </row>
    <row r="1814" spans="1:3">
      <c r="A1814" s="3" t="s">
        <v>2513</v>
      </c>
    </row>
    <row r="1815" spans="1:3">
      <c r="A1815" s="3" t="s">
        <v>2514</v>
      </c>
    </row>
    <row r="1816" spans="1:3">
      <c r="A1816" s="3" t="s">
        <v>913</v>
      </c>
      <c r="C1816" s="3" t="s">
        <v>1365</v>
      </c>
    </row>
    <row r="1817" spans="1:3">
      <c r="A1817" s="3" t="s">
        <v>914</v>
      </c>
      <c r="C1817" s="3" t="s">
        <v>3926</v>
      </c>
    </row>
    <row r="1818" spans="1:3">
      <c r="A1818" s="3" t="s">
        <v>916</v>
      </c>
      <c r="C1818" s="3" t="s">
        <v>3023</v>
      </c>
    </row>
    <row r="1819" spans="1:3">
      <c r="A1819" s="3" t="s">
        <v>915</v>
      </c>
      <c r="C1819" s="3" t="s">
        <v>1395</v>
      </c>
    </row>
    <row r="1820" spans="1:3">
      <c r="A1820" s="3" t="s">
        <v>918</v>
      </c>
      <c r="B1820" s="3" t="s">
        <v>2515</v>
      </c>
    </row>
    <row r="1821" spans="1:3">
      <c r="A1821" s="3" t="s">
        <v>919</v>
      </c>
      <c r="C1821" s="3" t="s">
        <v>2008</v>
      </c>
    </row>
    <row r="1822" spans="1:3">
      <c r="A1822" s="3" t="s">
        <v>920</v>
      </c>
      <c r="C1822" s="3" t="s">
        <v>2774</v>
      </c>
    </row>
    <row r="1823" spans="1:3">
      <c r="A1823" s="3" t="s">
        <v>2775</v>
      </c>
      <c r="C1823" s="3" t="s">
        <v>662</v>
      </c>
    </row>
    <row r="1824" spans="1:3">
      <c r="A1824" s="3" t="s">
        <v>3380</v>
      </c>
      <c r="B1824" s="3" t="s">
        <v>3279</v>
      </c>
    </row>
    <row r="1825" spans="1:2">
      <c r="A1825" s="3" t="s">
        <v>397</v>
      </c>
      <c r="B1825" s="3" t="s">
        <v>2110</v>
      </c>
    </row>
    <row r="1826" spans="1:2">
      <c r="A1826" s="3" t="s">
        <v>922</v>
      </c>
      <c r="B1826" s="3" t="s">
        <v>1851</v>
      </c>
    </row>
    <row r="1827" spans="1:2">
      <c r="A1827" s="3" t="s">
        <v>364</v>
      </c>
      <c r="B1827" s="3" t="s">
        <v>4308</v>
      </c>
    </row>
    <row r="1828" spans="1:2">
      <c r="A1828" s="3" t="s">
        <v>3377</v>
      </c>
      <c r="B1828" s="3" t="s">
        <v>3178</v>
      </c>
    </row>
    <row r="1829" spans="1:2">
      <c r="A1829" s="3" t="s">
        <v>2607</v>
      </c>
      <c r="B1829" s="3" t="s">
        <v>4662</v>
      </c>
    </row>
    <row r="1831" spans="1:2">
      <c r="A1831" s="3" t="s">
        <v>1249</v>
      </c>
    </row>
    <row r="1832" spans="1:2">
      <c r="A1832" s="3" t="s">
        <v>994</v>
      </c>
    </row>
    <row r="1833" spans="1:2">
      <c r="A1833" s="3" t="s">
        <v>3143</v>
      </c>
    </row>
    <row r="1834" spans="1:2">
      <c r="A1834" s="3" t="s">
        <v>4369</v>
      </c>
    </row>
    <row r="1835" spans="1:2">
      <c r="A1835" s="3" t="s">
        <v>1739</v>
      </c>
    </row>
    <row r="1836" spans="1:2">
      <c r="A1836" s="3" t="s">
        <v>98</v>
      </c>
    </row>
    <row r="1838" spans="1:2">
      <c r="A1838" s="3" t="s">
        <v>99</v>
      </c>
      <c r="B1838" s="3" t="s">
        <v>1817</v>
      </c>
    </row>
    <row r="1839" spans="1:2">
      <c r="A1839" s="3" t="s">
        <v>100</v>
      </c>
      <c r="B1839" s="3" t="s">
        <v>4330</v>
      </c>
    </row>
    <row r="1840" spans="1:2">
      <c r="A1840" s="3" t="s">
        <v>4331</v>
      </c>
      <c r="B1840" s="3" t="s">
        <v>4371</v>
      </c>
    </row>
    <row r="1841" spans="1:2">
      <c r="A1841" s="3" t="s">
        <v>4332</v>
      </c>
      <c r="B1841" s="3" t="s">
        <v>572</v>
      </c>
    </row>
    <row r="1842" spans="1:2">
      <c r="A1842" s="3" t="s">
        <v>573</v>
      </c>
      <c r="B1842" s="3" t="s">
        <v>4591</v>
      </c>
    </row>
    <row r="1844" spans="1:2">
      <c r="A1844" s="3" t="s">
        <v>3466</v>
      </c>
    </row>
    <row r="1845" spans="1:2">
      <c r="A1845" s="3" t="s">
        <v>3297</v>
      </c>
    </row>
    <row r="1846" spans="1:2">
      <c r="A1846" s="3" t="s">
        <v>2149</v>
      </c>
    </row>
    <row r="1847" spans="1:2">
      <c r="A1847" s="3" t="s">
        <v>341</v>
      </c>
    </row>
    <row r="1848" spans="1:2">
      <c r="A1848" s="3" t="s">
        <v>3301</v>
      </c>
    </row>
    <row r="1849" spans="1:2">
      <c r="A1849" s="3" t="s">
        <v>3931</v>
      </c>
    </row>
    <row r="1851" spans="1:2">
      <c r="A1851" s="3" t="s">
        <v>2049</v>
      </c>
    </row>
    <row r="1852" spans="1:2">
      <c r="A1852" s="3" t="s">
        <v>1680</v>
      </c>
      <c r="B1852" s="3" t="s">
        <v>1799</v>
      </c>
    </row>
    <row r="1853" spans="1:2">
      <c r="A1853" s="3" t="s">
        <v>1681</v>
      </c>
      <c r="B1853" s="3" t="s">
        <v>1100</v>
      </c>
    </row>
    <row r="1854" spans="1:2">
      <c r="A1854" s="3" t="s">
        <v>165</v>
      </c>
      <c r="B1854" s="3" t="s">
        <v>4016</v>
      </c>
    </row>
    <row r="1856" spans="1:2">
      <c r="A1856" s="3" t="s">
        <v>240</v>
      </c>
    </row>
    <row r="1857" spans="1:2">
      <c r="A1857" s="3" t="s">
        <v>2465</v>
      </c>
    </row>
    <row r="1858" spans="1:2">
      <c r="A1858" s="3" t="s">
        <v>3806</v>
      </c>
    </row>
    <row r="1859" spans="1:2">
      <c r="A1859" s="3" t="s">
        <v>989</v>
      </c>
    </row>
    <row r="1860" spans="1:2">
      <c r="A1860" s="3" t="s">
        <v>46</v>
      </c>
    </row>
    <row r="1861" spans="1:2">
      <c r="A1861" s="3" t="s">
        <v>1347</v>
      </c>
    </row>
    <row r="1862" spans="1:2">
      <c r="A1862" s="3" t="s">
        <v>1348</v>
      </c>
    </row>
    <row r="1864" spans="1:2">
      <c r="A1864" s="3" t="s">
        <v>1349</v>
      </c>
    </row>
    <row r="1866" spans="1:2">
      <c r="A1866" s="3" t="s">
        <v>1350</v>
      </c>
      <c r="B1866" s="3" t="s">
        <v>3352</v>
      </c>
    </row>
    <row r="1867" spans="1:2">
      <c r="A1867" s="3" t="s">
        <v>144</v>
      </c>
      <c r="B1867" s="3" t="s">
        <v>1174</v>
      </c>
    </row>
    <row r="1868" spans="1:2">
      <c r="A1868" s="3" t="s">
        <v>1683</v>
      </c>
      <c r="B1868" s="3" t="s">
        <v>1175</v>
      </c>
    </row>
    <row r="1870" spans="1:2">
      <c r="A1870" s="3" t="s">
        <v>2496</v>
      </c>
    </row>
    <row r="1871" spans="1:2">
      <c r="A1871" s="3" t="s">
        <v>3951</v>
      </c>
    </row>
    <row r="1872" spans="1:2">
      <c r="A1872" s="3" t="s">
        <v>815</v>
      </c>
    </row>
    <row r="1873" spans="1:2">
      <c r="A1873" s="3" t="s">
        <v>61</v>
      </c>
    </row>
    <row r="1875" spans="1:2">
      <c r="A1875" s="3" t="s">
        <v>62</v>
      </c>
      <c r="B1875" s="3" t="s">
        <v>3353</v>
      </c>
    </row>
    <row r="1876" spans="1:2">
      <c r="A1876" s="3" t="s">
        <v>63</v>
      </c>
      <c r="B1876" s="3" t="s">
        <v>3924</v>
      </c>
    </row>
    <row r="1877" spans="1:2">
      <c r="A1877" s="3" t="s">
        <v>3477</v>
      </c>
      <c r="B1877" s="3" t="s">
        <v>398</v>
      </c>
    </row>
    <row r="1879" spans="1:2">
      <c r="A1879" s="3" t="s">
        <v>4115</v>
      </c>
    </row>
    <row r="1880" spans="1:2">
      <c r="A1880" s="3" t="s">
        <v>4333</v>
      </c>
    </row>
    <row r="1881" spans="1:2">
      <c r="A1881" s="3" t="s">
        <v>2690</v>
      </c>
    </row>
    <row r="1882" spans="1:2">
      <c r="A1882" s="3" t="s">
        <v>3374</v>
      </c>
    </row>
    <row r="1883" spans="1:2">
      <c r="A1883" s="3" t="s">
        <v>574</v>
      </c>
    </row>
    <row r="1885" spans="1:2">
      <c r="A1885" s="3" t="s">
        <v>575</v>
      </c>
      <c r="B1885" s="3" t="s">
        <v>4499</v>
      </c>
    </row>
    <row r="1886" spans="1:2">
      <c r="A1886" s="3" t="s">
        <v>576</v>
      </c>
      <c r="B1886" s="3" t="s">
        <v>4158</v>
      </c>
    </row>
    <row r="1887" spans="1:2">
      <c r="A1887" s="3" t="s">
        <v>941</v>
      </c>
      <c r="B1887" s="3" t="s">
        <v>2309</v>
      </c>
    </row>
    <row r="1889" spans="1:3">
      <c r="A1889" s="3" t="s">
        <v>1415</v>
      </c>
    </row>
    <row r="1890" spans="1:3">
      <c r="A1890" s="3" t="s">
        <v>1401</v>
      </c>
    </row>
    <row r="1892" spans="1:3">
      <c r="A1892" s="3" t="s">
        <v>1402</v>
      </c>
      <c r="B1892" s="3" t="s">
        <v>1403</v>
      </c>
    </row>
    <row r="1893" spans="1:3">
      <c r="A1893" s="3" t="s">
        <v>4558</v>
      </c>
    </row>
    <row r="1894" spans="1:3">
      <c r="A1894" s="3" t="s">
        <v>4570</v>
      </c>
      <c r="C1894" s="3" t="s">
        <v>800</v>
      </c>
    </row>
    <row r="1895" spans="1:3">
      <c r="A1895" s="3" t="s">
        <v>3997</v>
      </c>
      <c r="B1895" s="3" t="s">
        <v>2644</v>
      </c>
    </row>
    <row r="1896" spans="1:3">
      <c r="A1896" s="3" t="s">
        <v>3260</v>
      </c>
      <c r="B1896" s="3" t="s">
        <v>3261</v>
      </c>
    </row>
    <row r="1897" spans="1:3">
      <c r="A1897" s="3" t="s">
        <v>2474</v>
      </c>
      <c r="B1897" s="3" t="s">
        <v>3386</v>
      </c>
    </row>
    <row r="1898" spans="1:3">
      <c r="A1898" s="3" t="s">
        <v>1268</v>
      </c>
      <c r="C1898" s="3" t="s">
        <v>4590</v>
      </c>
    </row>
    <row r="1900" spans="1:3">
      <c r="A1900" s="3" t="s">
        <v>1357</v>
      </c>
    </row>
    <row r="1901" spans="1:3">
      <c r="A1901" s="3" t="s">
        <v>4654</v>
      </c>
    </row>
    <row r="1902" spans="1:3">
      <c r="A1902" s="3" t="s">
        <v>3295</v>
      </c>
    </row>
    <row r="1906" spans="1:2">
      <c r="A1906" s="3" t="s">
        <v>1027</v>
      </c>
    </row>
    <row r="1908" spans="1:2">
      <c r="A1908" s="3" t="s">
        <v>1028</v>
      </c>
      <c r="B1908" s="3" t="s">
        <v>1867</v>
      </c>
    </row>
    <row r="1909" spans="1:2">
      <c r="A1909" s="3" t="s">
        <v>3811</v>
      </c>
    </row>
    <row r="1910" spans="1:2">
      <c r="A1910" s="3" t="s">
        <v>1958</v>
      </c>
      <c r="B1910" s="3" t="s">
        <v>3812</v>
      </c>
    </row>
    <row r="1911" spans="1:2">
      <c r="A1911" s="3" t="s">
        <v>1003</v>
      </c>
      <c r="B1911" s="3" t="s">
        <v>3573</v>
      </c>
    </row>
    <row r="1912" spans="1:2">
      <c r="A1912" s="3" t="s">
        <v>3582</v>
      </c>
      <c r="B1912" s="3" t="s">
        <v>3573</v>
      </c>
    </row>
    <row r="1913" spans="1:2">
      <c r="A1913" s="3" t="s">
        <v>1698</v>
      </c>
      <c r="B1913" s="3" t="s">
        <v>1196</v>
      </c>
    </row>
    <row r="1915" spans="1:2">
      <c r="A1915" s="3" t="s">
        <v>4026</v>
      </c>
    </row>
    <row r="1916" spans="1:2">
      <c r="A1916" s="3" t="s">
        <v>2274</v>
      </c>
    </row>
    <row r="1917" spans="1:2">
      <c r="A1917" s="3" t="s">
        <v>806</v>
      </c>
    </row>
    <row r="1918" spans="1:2">
      <c r="A1918" s="3" t="s">
        <v>646</v>
      </c>
    </row>
    <row r="1919" spans="1:2">
      <c r="A1919" s="3" t="s">
        <v>2194</v>
      </c>
    </row>
    <row r="1920" spans="1:2">
      <c r="A1920" s="3" t="s">
        <v>389</v>
      </c>
    </row>
    <row r="1921" spans="1:3">
      <c r="A1921" s="3" t="s">
        <v>1093</v>
      </c>
    </row>
    <row r="1922" spans="1:3">
      <c r="A1922" s="3" t="s">
        <v>451</v>
      </c>
    </row>
    <row r="1923" spans="1:3">
      <c r="A1923" s="3" t="s">
        <v>1955</v>
      </c>
    </row>
    <row r="1924" spans="1:3">
      <c r="A1924" s="3" t="s">
        <v>1085</v>
      </c>
    </row>
    <row r="1925" spans="1:3">
      <c r="A1925" s="3" t="s">
        <v>2706</v>
      </c>
    </row>
    <row r="1926" spans="1:3">
      <c r="A1926" s="3" t="s">
        <v>3251</v>
      </c>
    </row>
    <row r="1928" spans="1:3">
      <c r="A1928" s="3" t="s">
        <v>3252</v>
      </c>
      <c r="B1928" s="3" t="s">
        <v>4500</v>
      </c>
    </row>
    <row r="1929" spans="1:3">
      <c r="A1929" s="3" t="s">
        <v>445</v>
      </c>
      <c r="B1929" s="3" t="s">
        <v>1409</v>
      </c>
    </row>
    <row r="1931" spans="1:3">
      <c r="A1931" s="3" t="s">
        <v>1009</v>
      </c>
    </row>
    <row r="1932" spans="1:3">
      <c r="A1932" s="3" t="s">
        <v>1010</v>
      </c>
    </row>
    <row r="1934" spans="1:3">
      <c r="A1934" s="3" t="s">
        <v>1011</v>
      </c>
      <c r="B1934" s="3" t="s">
        <v>233</v>
      </c>
    </row>
    <row r="1935" spans="1:3">
      <c r="A1935" s="3" t="s">
        <v>353</v>
      </c>
      <c r="B1935" s="3" t="s">
        <v>1012</v>
      </c>
    </row>
    <row r="1936" spans="1:3">
      <c r="A1936" s="3" t="s">
        <v>2603</v>
      </c>
      <c r="C1936" s="3" t="s">
        <v>1013</v>
      </c>
    </row>
    <row r="1938" spans="1:3">
      <c r="A1938" s="3" t="s">
        <v>3786</v>
      </c>
    </row>
    <row r="1939" spans="1:3">
      <c r="A1939" s="3" t="s">
        <v>499</v>
      </c>
    </row>
    <row r="1940" spans="1:3">
      <c r="A1940" s="3" t="s">
        <v>1732</v>
      </c>
    </row>
    <row r="1942" spans="1:3">
      <c r="A1942" s="3" t="s">
        <v>1733</v>
      </c>
      <c r="B1942" s="3" t="s">
        <v>234</v>
      </c>
    </row>
    <row r="1943" spans="1:3">
      <c r="A1943" s="3" t="s">
        <v>1699</v>
      </c>
      <c r="B1943" s="3" t="s">
        <v>686</v>
      </c>
    </row>
    <row r="1944" spans="1:3">
      <c r="A1944" s="3" t="s">
        <v>2605</v>
      </c>
      <c r="C1944" s="3" t="s">
        <v>687</v>
      </c>
    </row>
    <row r="1946" spans="1:3">
      <c r="A1946" s="3" t="s">
        <v>2346</v>
      </c>
    </row>
    <row r="1947" spans="1:3">
      <c r="A1947" s="3" t="s">
        <v>4180</v>
      </c>
    </row>
    <row r="1948" spans="1:3">
      <c r="A1948" s="3" t="s">
        <v>840</v>
      </c>
    </row>
    <row r="1950" spans="1:3">
      <c r="A1950" s="3" t="s">
        <v>841</v>
      </c>
      <c r="B1950" s="3" t="s">
        <v>325</v>
      </c>
    </row>
    <row r="1951" spans="1:3">
      <c r="A1951" s="3" t="s">
        <v>326</v>
      </c>
    </row>
    <row r="1952" spans="1:3">
      <c r="A1952" s="3" t="s">
        <v>837</v>
      </c>
      <c r="B1952" s="3" t="s">
        <v>1293</v>
      </c>
    </row>
    <row r="1953" spans="1:3">
      <c r="A1953" s="3" t="s">
        <v>444</v>
      </c>
      <c r="C1953" s="3" t="s">
        <v>711</v>
      </c>
    </row>
    <row r="1954" spans="1:3">
      <c r="A1954" s="3" t="s">
        <v>1958</v>
      </c>
      <c r="B1954" s="3" t="s">
        <v>3812</v>
      </c>
    </row>
    <row r="1955" spans="1:3">
      <c r="A1955" s="3" t="s">
        <v>447</v>
      </c>
      <c r="C1955" s="3" t="s">
        <v>4175</v>
      </c>
    </row>
    <row r="1956" spans="1:3">
      <c r="A1956" s="3" t="s">
        <v>445</v>
      </c>
      <c r="C1956" s="3" t="s">
        <v>2413</v>
      </c>
    </row>
    <row r="1957" spans="1:3">
      <c r="A1957" s="3" t="s">
        <v>1699</v>
      </c>
      <c r="B1957" s="3" t="s">
        <v>4565</v>
      </c>
    </row>
    <row r="1958" spans="1:3">
      <c r="A1958" s="3" t="s">
        <v>3080</v>
      </c>
      <c r="B1958" s="3" t="s">
        <v>1409</v>
      </c>
    </row>
    <row r="1960" spans="1:3">
      <c r="A1960" s="3" t="s">
        <v>3809</v>
      </c>
    </row>
    <row r="1961" spans="1:3">
      <c r="A1961" s="3" t="s">
        <v>1406</v>
      </c>
    </row>
    <row r="1962" spans="1:3">
      <c r="A1962" s="3" t="s">
        <v>10</v>
      </c>
    </row>
    <row r="1963" spans="1:3">
      <c r="A1963" s="3" t="s">
        <v>4069</v>
      </c>
    </row>
    <row r="1964" spans="1:3">
      <c r="A1964" s="3" t="s">
        <v>129</v>
      </c>
    </row>
    <row r="1965" spans="1:3">
      <c r="A1965" s="3" t="s">
        <v>3163</v>
      </c>
    </row>
    <row r="1967" spans="1:3">
      <c r="A1967" s="3" t="s">
        <v>3164</v>
      </c>
      <c r="B1967" s="3" t="s">
        <v>235</v>
      </c>
    </row>
    <row r="1968" spans="1:3">
      <c r="A1968" s="3" t="s">
        <v>3165</v>
      </c>
      <c r="B1968" s="3" t="s">
        <v>1777</v>
      </c>
    </row>
    <row r="1969" spans="1:3">
      <c r="A1969" s="3" t="s">
        <v>2603</v>
      </c>
      <c r="C1969" s="3" t="s">
        <v>1013</v>
      </c>
    </row>
    <row r="1971" spans="1:3">
      <c r="A1971" s="3" t="s">
        <v>2408</v>
      </c>
    </row>
    <row r="1972" spans="1:3">
      <c r="A1972" s="3" t="s">
        <v>2054</v>
      </c>
    </row>
    <row r="1973" spans="1:3">
      <c r="A1973" s="3" t="s">
        <v>2404</v>
      </c>
    </row>
    <row r="1975" spans="1:3">
      <c r="A1975" s="3" t="s">
        <v>2324</v>
      </c>
    </row>
    <row r="1976" spans="1:3">
      <c r="A1976" s="3" t="s">
        <v>1203</v>
      </c>
    </row>
    <row r="1978" spans="1:3">
      <c r="A1978" s="3" t="s">
        <v>2920</v>
      </c>
    </row>
    <row r="1980" spans="1:3">
      <c r="A1980" s="3" t="s">
        <v>1469</v>
      </c>
      <c r="B1980" s="3" t="s">
        <v>24</v>
      </c>
    </row>
    <row r="1981" spans="1:3">
      <c r="A1981" s="3" t="s">
        <v>1509</v>
      </c>
    </row>
    <row r="1982" spans="1:3">
      <c r="A1982" s="3" t="s">
        <v>1510</v>
      </c>
    </row>
    <row r="1983" spans="1:3">
      <c r="A1983" s="3" t="s">
        <v>3796</v>
      </c>
      <c r="B1983" s="3" t="s">
        <v>4162</v>
      </c>
    </row>
    <row r="1984" spans="1:3">
      <c r="A1984" s="3" t="s">
        <v>2593</v>
      </c>
      <c r="C1984" s="3" t="s">
        <v>2223</v>
      </c>
    </row>
    <row r="1985" spans="1:3">
      <c r="A1985" s="3" t="s">
        <v>3705</v>
      </c>
      <c r="C1985" s="3" t="s">
        <v>2094</v>
      </c>
    </row>
    <row r="1986" spans="1:3">
      <c r="A1986" s="3" t="s">
        <v>4362</v>
      </c>
      <c r="C1986" s="3" t="s">
        <v>1628</v>
      </c>
    </row>
    <row r="1987" spans="1:3">
      <c r="A1987" s="3" t="s">
        <v>2585</v>
      </c>
      <c r="C1987" s="3" t="s">
        <v>1436</v>
      </c>
    </row>
    <row r="1988" spans="1:3">
      <c r="A1988" s="3" t="s">
        <v>3696</v>
      </c>
      <c r="C1988" s="3" t="s">
        <v>2679</v>
      </c>
    </row>
    <row r="1989" spans="1:3">
      <c r="A1989" s="3" t="s">
        <v>913</v>
      </c>
      <c r="C1989" s="3" t="s">
        <v>1365</v>
      </c>
    </row>
    <row r="1990" spans="1:3">
      <c r="A1990" s="3" t="s">
        <v>2787</v>
      </c>
      <c r="C1990" s="3" t="s">
        <v>935</v>
      </c>
    </row>
    <row r="1991" spans="1:3">
      <c r="A1991" s="3" t="s">
        <v>914</v>
      </c>
      <c r="C1991" s="3" t="s">
        <v>3926</v>
      </c>
    </row>
    <row r="1992" spans="1:3">
      <c r="A1992" s="3" t="s">
        <v>916</v>
      </c>
      <c r="C1992" s="3" t="s">
        <v>3023</v>
      </c>
    </row>
    <row r="1993" spans="1:3">
      <c r="A1993" s="3" t="s">
        <v>915</v>
      </c>
      <c r="C1993" s="3" t="s">
        <v>1395</v>
      </c>
    </row>
    <row r="1994" spans="1:3">
      <c r="A1994" s="3" t="s">
        <v>937</v>
      </c>
      <c r="C1994" s="3" t="s">
        <v>2623</v>
      </c>
    </row>
    <row r="1995" spans="1:3">
      <c r="A1995" s="3" t="s">
        <v>838</v>
      </c>
      <c r="B1995" s="3" t="s">
        <v>3558</v>
      </c>
    </row>
    <row r="1997" spans="1:3">
      <c r="A1997" s="3" t="s">
        <v>4105</v>
      </c>
    </row>
    <row r="1998" spans="1:3">
      <c r="A1998" s="3" t="s">
        <v>2552</v>
      </c>
    </row>
    <row r="1999" spans="1:3">
      <c r="A1999" s="3" t="s">
        <v>3841</v>
      </c>
    </row>
    <row r="2000" spans="1:3">
      <c r="A2000" s="3" t="s">
        <v>3511</v>
      </c>
    </row>
    <row r="2002" spans="1:3">
      <c r="A2002" s="3" t="s">
        <v>3512</v>
      </c>
      <c r="B2002" s="3" t="s">
        <v>1422</v>
      </c>
    </row>
    <row r="2003" spans="1:3">
      <c r="A2003" s="3" t="s">
        <v>2593</v>
      </c>
      <c r="C2003" s="3" t="s">
        <v>2223</v>
      </c>
    </row>
    <row r="2004" spans="1:3">
      <c r="A2004" s="3" t="s">
        <v>3854</v>
      </c>
      <c r="B2004" s="3" t="s">
        <v>1383</v>
      </c>
    </row>
    <row r="2005" spans="1:3">
      <c r="A2005" s="3" t="s">
        <v>3705</v>
      </c>
      <c r="C2005" s="3" t="s">
        <v>2094</v>
      </c>
    </row>
    <row r="2007" spans="1:3">
      <c r="A2007" s="3" t="s">
        <v>3201</v>
      </c>
    </row>
    <row r="2008" spans="1:3">
      <c r="A2008" s="3" t="s">
        <v>534</v>
      </c>
    </row>
    <row r="2009" spans="1:3">
      <c r="A2009" s="3" t="s">
        <v>2596</v>
      </c>
    </row>
    <row r="2011" spans="1:3">
      <c r="A2011" s="3" t="s">
        <v>4354</v>
      </c>
    </row>
    <row r="2012" spans="1:3">
      <c r="A2012" s="3" t="s">
        <v>3796</v>
      </c>
      <c r="B2012" s="3" t="s">
        <v>4162</v>
      </c>
    </row>
    <row r="2013" spans="1:3">
      <c r="A2013" s="3" t="s">
        <v>4355</v>
      </c>
      <c r="B2013" s="3" t="s">
        <v>136</v>
      </c>
    </row>
    <row r="2014" spans="1:3">
      <c r="A2014" s="3" t="s">
        <v>3705</v>
      </c>
      <c r="C2014" s="3" t="s">
        <v>2094</v>
      </c>
    </row>
    <row r="2016" spans="1:3">
      <c r="A2016" s="3" t="s">
        <v>2299</v>
      </c>
    </row>
    <row r="2017" spans="1:3">
      <c r="A2017" s="3" t="s">
        <v>2691</v>
      </c>
    </row>
    <row r="2018" spans="1:3">
      <c r="A2018" s="3" t="s">
        <v>260</v>
      </c>
    </row>
    <row r="2020" spans="1:3">
      <c r="A2020" s="3" t="s">
        <v>261</v>
      </c>
      <c r="B2020" s="3" t="s">
        <v>4372</v>
      </c>
    </row>
    <row r="2021" spans="1:3">
      <c r="A2021" s="3" t="s">
        <v>4362</v>
      </c>
      <c r="C2021" s="3" t="s">
        <v>1628</v>
      </c>
    </row>
    <row r="2022" spans="1:3">
      <c r="A2022" s="3" t="s">
        <v>2757</v>
      </c>
      <c r="B2022" s="3" t="s">
        <v>2285</v>
      </c>
    </row>
    <row r="2023" spans="1:3">
      <c r="A2023" s="3" t="s">
        <v>3696</v>
      </c>
      <c r="C2023" s="3" t="s">
        <v>2679</v>
      </c>
    </row>
    <row r="2025" spans="1:3">
      <c r="A2025" s="3" t="s">
        <v>4116</v>
      </c>
    </row>
    <row r="2026" spans="1:3">
      <c r="A2026" s="3" t="s">
        <v>463</v>
      </c>
    </row>
    <row r="2027" spans="1:3">
      <c r="A2027" s="3" t="s">
        <v>464</v>
      </c>
    </row>
    <row r="2029" spans="1:3">
      <c r="A2029" s="3" t="s">
        <v>465</v>
      </c>
      <c r="B2029" s="3" t="s">
        <v>3020</v>
      </c>
    </row>
    <row r="2030" spans="1:3">
      <c r="A2030" s="3" t="s">
        <v>2585</v>
      </c>
      <c r="C2030" s="3" t="s">
        <v>1436</v>
      </c>
    </row>
    <row r="2031" spans="1:3">
      <c r="A2031" s="3" t="s">
        <v>466</v>
      </c>
      <c r="B2031" s="3" t="s">
        <v>3130</v>
      </c>
    </row>
    <row r="2032" spans="1:3">
      <c r="A2032" s="3" t="s">
        <v>3696</v>
      </c>
      <c r="C2032" s="3" t="s">
        <v>2679</v>
      </c>
    </row>
    <row r="2034" spans="1:3">
      <c r="A2034" s="3" t="s">
        <v>4134</v>
      </c>
    </row>
    <row r="2035" spans="1:3">
      <c r="A2035" s="3" t="s">
        <v>2707</v>
      </c>
    </row>
    <row r="2036" spans="1:3">
      <c r="A2036" s="3" t="s">
        <v>464</v>
      </c>
    </row>
    <row r="2038" spans="1:3">
      <c r="A2038" s="3" t="s">
        <v>3678</v>
      </c>
      <c r="B2038" s="3" t="s">
        <v>137</v>
      </c>
    </row>
    <row r="2039" spans="1:3">
      <c r="A2039" s="3" t="s">
        <v>932</v>
      </c>
      <c r="B2039" s="3" t="s">
        <v>4344</v>
      </c>
    </row>
    <row r="2041" spans="1:3">
      <c r="A2041" s="3" t="s">
        <v>1564</v>
      </c>
    </row>
    <row r="2042" spans="1:3">
      <c r="A2042" s="3" t="s">
        <v>3979</v>
      </c>
    </row>
    <row r="2043" spans="1:3">
      <c r="A2043" s="3" t="s">
        <v>3980</v>
      </c>
    </row>
    <row r="2045" spans="1:3">
      <c r="A2045" s="3" t="s">
        <v>3981</v>
      </c>
      <c r="B2045" s="3" t="s">
        <v>3021</v>
      </c>
    </row>
    <row r="2046" spans="1:3">
      <c r="A2046" s="3" t="s">
        <v>913</v>
      </c>
      <c r="C2046" s="3" t="s">
        <v>1365</v>
      </c>
    </row>
    <row r="2047" spans="1:3">
      <c r="A2047" s="3" t="s">
        <v>476</v>
      </c>
      <c r="B2047" s="3" t="s">
        <v>126</v>
      </c>
    </row>
    <row r="2048" spans="1:3">
      <c r="A2048" s="3" t="s">
        <v>2787</v>
      </c>
      <c r="C2048" s="3" t="s">
        <v>935</v>
      </c>
    </row>
    <row r="2050" spans="1:3">
      <c r="A2050" s="3" t="s">
        <v>219</v>
      </c>
    </row>
    <row r="2051" spans="1:3">
      <c r="A2051" s="3" t="s">
        <v>1353</v>
      </c>
    </row>
    <row r="2053" spans="1:3">
      <c r="A2053" s="3" t="s">
        <v>1354</v>
      </c>
      <c r="B2053" s="3" t="s">
        <v>4480</v>
      </c>
    </row>
    <row r="2054" spans="1:3">
      <c r="A2054" s="3" t="s">
        <v>4616</v>
      </c>
    </row>
    <row r="2055" spans="1:3">
      <c r="A2055" s="3" t="s">
        <v>914</v>
      </c>
      <c r="C2055" s="3" t="s">
        <v>2628</v>
      </c>
    </row>
    <row r="2056" spans="1:3">
      <c r="A2056" s="3" t="s">
        <v>916</v>
      </c>
      <c r="C2056" s="3" t="s">
        <v>3023</v>
      </c>
    </row>
    <row r="2057" spans="1:3">
      <c r="A2057" s="3" t="s">
        <v>915</v>
      </c>
      <c r="C2057" s="3" t="s">
        <v>1395</v>
      </c>
    </row>
    <row r="2058" spans="1:3">
      <c r="A2058" s="3" t="s">
        <v>1944</v>
      </c>
      <c r="B2058" s="3" t="s">
        <v>2238</v>
      </c>
    </row>
    <row r="2059" spans="1:3">
      <c r="A2059" s="3" t="s">
        <v>1946</v>
      </c>
      <c r="B2059" s="3" t="s">
        <v>291</v>
      </c>
    </row>
    <row r="2060" spans="1:3">
      <c r="A2060" s="3" t="s">
        <v>1945</v>
      </c>
      <c r="B2060" s="3" t="s">
        <v>3357</v>
      </c>
    </row>
    <row r="2061" spans="1:3">
      <c r="A2061" s="3" t="s">
        <v>937</v>
      </c>
      <c r="C2061" s="3" t="s">
        <v>2623</v>
      </c>
    </row>
    <row r="2063" spans="1:3">
      <c r="A2063" s="3" t="s">
        <v>1942</v>
      </c>
    </row>
    <row r="2064" spans="1:3">
      <c r="A2064" s="3" t="s">
        <v>324</v>
      </c>
    </row>
    <row r="2065" spans="1:3">
      <c r="A2065" s="3" t="s">
        <v>1930</v>
      </c>
    </row>
    <row r="2067" spans="1:3">
      <c r="A2067" s="3" t="s">
        <v>2786</v>
      </c>
    </row>
    <row r="2069" spans="1:3">
      <c r="A2069" s="3" t="s">
        <v>1931</v>
      </c>
      <c r="B2069" s="3" t="s">
        <v>1932</v>
      </c>
    </row>
    <row r="2070" spans="1:3">
      <c r="A2070" s="3" t="s">
        <v>1529</v>
      </c>
    </row>
    <row r="2071" spans="1:3">
      <c r="A2071" s="3" t="s">
        <v>1435</v>
      </c>
      <c r="C2071" s="3" t="s">
        <v>3567</v>
      </c>
    </row>
    <row r="2072" spans="1:3">
      <c r="A2072" s="3" t="s">
        <v>2758</v>
      </c>
      <c r="B2072" s="3" t="s">
        <v>138</v>
      </c>
    </row>
    <row r="2073" spans="1:3">
      <c r="A2073" s="3" t="s">
        <v>444</v>
      </c>
      <c r="C2073" s="3" t="s">
        <v>2100</v>
      </c>
    </row>
    <row r="2074" spans="1:3">
      <c r="A2074" s="3" t="s">
        <v>1958</v>
      </c>
      <c r="B2074" s="3" t="s">
        <v>394</v>
      </c>
    </row>
    <row r="2075" spans="1:3">
      <c r="A2075" s="3" t="s">
        <v>937</v>
      </c>
      <c r="C2075" s="3" t="s">
        <v>2623</v>
      </c>
    </row>
    <row r="2076" spans="1:3">
      <c r="A2076" s="3" t="s">
        <v>4415</v>
      </c>
      <c r="C2076" s="3" t="s">
        <v>395</v>
      </c>
    </row>
    <row r="2077" spans="1:3">
      <c r="A2077" s="3" t="s">
        <v>1529</v>
      </c>
      <c r="C2077" s="3" t="s">
        <v>345</v>
      </c>
    </row>
    <row r="2079" spans="1:3">
      <c r="A2079" s="3" t="s">
        <v>2590</v>
      </c>
    </row>
    <row r="2080" spans="1:3">
      <c r="A2080" s="3" t="s">
        <v>1690</v>
      </c>
    </row>
    <row r="2081" spans="1:3">
      <c r="A2081" s="3" t="s">
        <v>798</v>
      </c>
    </row>
    <row r="2082" spans="1:3">
      <c r="A2082" s="3" t="s">
        <v>1424</v>
      </c>
    </row>
    <row r="2083" spans="1:3">
      <c r="A2083" s="3" t="s">
        <v>2624</v>
      </c>
    </row>
    <row r="2084" spans="1:3">
      <c r="A2084" s="3" t="s">
        <v>2625</v>
      </c>
    </row>
    <row r="2085" spans="1:3">
      <c r="A2085" s="3" t="s">
        <v>3367</v>
      </c>
    </row>
    <row r="2086" spans="1:3">
      <c r="A2086" s="3" t="s">
        <v>2245</v>
      </c>
    </row>
    <row r="2087" spans="1:3">
      <c r="A2087" s="3" t="s">
        <v>4652</v>
      </c>
    </row>
    <row r="2088" spans="1:3">
      <c r="A2088" s="3" t="s">
        <v>3199</v>
      </c>
    </row>
    <row r="2089" spans="1:3">
      <c r="A2089" s="3" t="s">
        <v>3982</v>
      </c>
    </row>
    <row r="2091" spans="1:3">
      <c r="A2091" s="3" t="s">
        <v>3983</v>
      </c>
      <c r="B2091" s="3" t="s">
        <v>3984</v>
      </c>
    </row>
    <row r="2092" spans="1:3">
      <c r="A2092" s="3" t="s">
        <v>3985</v>
      </c>
    </row>
    <row r="2093" spans="1:3">
      <c r="A2093" s="3" t="s">
        <v>1435</v>
      </c>
      <c r="C2093" s="3" t="s">
        <v>3567</v>
      </c>
    </row>
    <row r="2094" spans="1:3">
      <c r="A2094" s="3" t="s">
        <v>2758</v>
      </c>
      <c r="B2094" s="3" t="s">
        <v>2922</v>
      </c>
    </row>
    <row r="2095" spans="1:3">
      <c r="A2095" s="3" t="s">
        <v>444</v>
      </c>
      <c r="C2095" s="3" t="s">
        <v>2100</v>
      </c>
    </row>
    <row r="2096" spans="1:3">
      <c r="A2096" s="3" t="s">
        <v>1958</v>
      </c>
      <c r="B2096" s="3" t="s">
        <v>394</v>
      </c>
    </row>
    <row r="2097" spans="1:3">
      <c r="A2097" s="3" t="s">
        <v>937</v>
      </c>
      <c r="C2097" s="3" t="s">
        <v>2623</v>
      </c>
    </row>
    <row r="2098" spans="1:3">
      <c r="A2098" s="3" t="s">
        <v>4415</v>
      </c>
      <c r="C2098" s="3" t="s">
        <v>395</v>
      </c>
    </row>
    <row r="2099" spans="1:3">
      <c r="A2099" s="3" t="s">
        <v>1529</v>
      </c>
      <c r="C2099" s="3" t="s">
        <v>345</v>
      </c>
    </row>
    <row r="2101" spans="1:3">
      <c r="A2101" s="3" t="s">
        <v>2310</v>
      </c>
    </row>
    <row r="2103" spans="1:3">
      <c r="A2103" s="3" t="s">
        <v>2311</v>
      </c>
      <c r="B2103" s="3" t="s">
        <v>4568</v>
      </c>
    </row>
    <row r="2104" spans="1:3">
      <c r="A2104" s="3" t="s">
        <v>932</v>
      </c>
      <c r="B2104" s="3" t="s">
        <v>4344</v>
      </c>
    </row>
    <row r="2106" spans="1:3">
      <c r="A2106" s="3" t="s">
        <v>1692</v>
      </c>
    </row>
    <row r="2107" spans="1:3">
      <c r="A2107" s="3" t="s">
        <v>1650</v>
      </c>
    </row>
    <row r="2108" spans="1:3">
      <c r="A2108" s="3" t="s">
        <v>1651</v>
      </c>
    </row>
    <row r="2110" spans="1:3">
      <c r="A2110" s="3" t="s">
        <v>1652</v>
      </c>
      <c r="B2110" s="3" t="s">
        <v>4410</v>
      </c>
    </row>
    <row r="2111" spans="1:3">
      <c r="A2111" s="3" t="s">
        <v>4095</v>
      </c>
      <c r="C2111" s="3" t="s">
        <v>2791</v>
      </c>
    </row>
    <row r="2112" spans="1:3">
      <c r="A2112" s="3" t="s">
        <v>3238</v>
      </c>
      <c r="B2112" s="3" t="s">
        <v>3599</v>
      </c>
    </row>
    <row r="2114" spans="1:3">
      <c r="A2114" s="3" t="s">
        <v>602</v>
      </c>
    </row>
    <row r="2115" spans="1:3">
      <c r="A2115" s="3" t="s">
        <v>1552</v>
      </c>
    </row>
    <row r="2117" spans="1:3">
      <c r="A2117" s="3" t="s">
        <v>3808</v>
      </c>
    </row>
    <row r="2118" spans="1:3">
      <c r="A2118" s="3" t="s">
        <v>1435</v>
      </c>
      <c r="C2118" s="3" t="s">
        <v>3567</v>
      </c>
    </row>
    <row r="2119" spans="1:3">
      <c r="A2119" s="3" t="s">
        <v>2758</v>
      </c>
      <c r="B2119" s="3" t="s">
        <v>2922</v>
      </c>
    </row>
    <row r="2120" spans="1:3">
      <c r="A2120" s="3" t="s">
        <v>3694</v>
      </c>
      <c r="C2120" s="3" t="s">
        <v>3707</v>
      </c>
    </row>
    <row r="2122" spans="1:3">
      <c r="A2122" s="3" t="s">
        <v>2098</v>
      </c>
    </row>
    <row r="2123" spans="1:3">
      <c r="A2123" s="3" t="s">
        <v>3839</v>
      </c>
    </row>
    <row r="2124" spans="1:3">
      <c r="A2124" s="3" t="s">
        <v>633</v>
      </c>
    </row>
    <row r="2126" spans="1:3">
      <c r="A2126" s="3" t="s">
        <v>1693</v>
      </c>
    </row>
    <row r="2127" spans="1:3">
      <c r="A2127" s="3" t="s">
        <v>1435</v>
      </c>
      <c r="C2127" s="3" t="s">
        <v>3567</v>
      </c>
    </row>
    <row r="2128" spans="1:3">
      <c r="A2128" s="3" t="s">
        <v>2758</v>
      </c>
      <c r="B2128" s="3" t="s">
        <v>2922</v>
      </c>
    </row>
    <row r="2129" spans="1:3">
      <c r="A2129" s="3" t="s">
        <v>444</v>
      </c>
      <c r="C2129" s="3" t="s">
        <v>2100</v>
      </c>
    </row>
    <row r="2130" spans="1:3">
      <c r="A2130" s="3" t="s">
        <v>1958</v>
      </c>
      <c r="B2130" s="3" t="s">
        <v>394</v>
      </c>
    </row>
    <row r="2132" spans="1:3">
      <c r="A2132" s="3" t="s">
        <v>4000</v>
      </c>
    </row>
    <row r="2133" spans="1:3">
      <c r="A2133" s="3" t="s">
        <v>56</v>
      </c>
    </row>
    <row r="2134" spans="1:3">
      <c r="A2134" s="3" t="s">
        <v>1466</v>
      </c>
    </row>
    <row r="2136" spans="1:3">
      <c r="A2136" s="3" t="s">
        <v>1687</v>
      </c>
    </row>
    <row r="2137" spans="1:3">
      <c r="A2137" s="3" t="s">
        <v>3795</v>
      </c>
      <c r="C2137" s="3" t="s">
        <v>2410</v>
      </c>
    </row>
    <row r="2138" spans="1:3">
      <c r="A2138" s="3" t="s">
        <v>824</v>
      </c>
      <c r="B2138" s="3" t="s">
        <v>1188</v>
      </c>
    </row>
    <row r="2139" spans="1:3">
      <c r="A2139" s="3" t="s">
        <v>445</v>
      </c>
      <c r="C2139" s="3" t="s">
        <v>1688</v>
      </c>
    </row>
    <row r="2140" spans="1:3">
      <c r="A2140" s="3" t="s">
        <v>3080</v>
      </c>
      <c r="B2140" s="3" t="s">
        <v>3762</v>
      </c>
    </row>
    <row r="2142" spans="1:3">
      <c r="A2142" s="3" t="s">
        <v>4611</v>
      </c>
    </row>
    <row r="2143" spans="1:3">
      <c r="A2143" s="3" t="s">
        <v>744</v>
      </c>
    </row>
    <row r="2144" spans="1:3">
      <c r="A2144" s="3" t="s">
        <v>1257</v>
      </c>
    </row>
    <row r="2146" spans="1:3">
      <c r="A2146" s="3" t="s">
        <v>1258</v>
      </c>
    </row>
    <row r="2148" spans="1:3">
      <c r="A2148" s="3" t="s">
        <v>1059</v>
      </c>
      <c r="B2148" s="3" t="s">
        <v>4411</v>
      </c>
    </row>
    <row r="2149" spans="1:3">
      <c r="A2149" s="3" t="s">
        <v>1060</v>
      </c>
      <c r="B2149" s="3" t="s">
        <v>2287</v>
      </c>
    </row>
    <row r="2150" spans="1:3">
      <c r="A2150" s="3" t="s">
        <v>3705</v>
      </c>
      <c r="C2150" s="3" t="s">
        <v>2094</v>
      </c>
    </row>
    <row r="2152" spans="1:3">
      <c r="A2152" s="3" t="s">
        <v>255</v>
      </c>
    </row>
    <row r="2154" spans="1:3">
      <c r="A2154" s="3" t="s">
        <v>256</v>
      </c>
      <c r="B2154" s="3" t="s">
        <v>4412</v>
      </c>
    </row>
    <row r="2155" spans="1:3">
      <c r="A2155" s="3" t="s">
        <v>4395</v>
      </c>
      <c r="C2155" s="3" t="s">
        <v>4396</v>
      </c>
    </row>
    <row r="2156" spans="1:3">
      <c r="A2156" s="3" t="s">
        <v>3696</v>
      </c>
      <c r="C2156" s="3" t="s">
        <v>2679</v>
      </c>
    </row>
    <row r="2158" spans="1:3">
      <c r="A2158" s="3" t="s">
        <v>1562</v>
      </c>
    </row>
    <row r="2160" spans="1:3">
      <c r="A2160" s="3" t="s">
        <v>1563</v>
      </c>
      <c r="B2160" s="3" t="s">
        <v>3194</v>
      </c>
    </row>
    <row r="2161" spans="1:3">
      <c r="A2161" s="3" t="s">
        <v>656</v>
      </c>
      <c r="C2161" s="3" t="s">
        <v>2222</v>
      </c>
    </row>
    <row r="2162" spans="1:3">
      <c r="A2162" s="3" t="s">
        <v>2787</v>
      </c>
      <c r="C2162" s="3" t="s">
        <v>935</v>
      </c>
    </row>
    <row r="2164" spans="1:3">
      <c r="A2164" s="3" t="s">
        <v>2380</v>
      </c>
    </row>
    <row r="2165" spans="1:3">
      <c r="A2165" s="3" t="s">
        <v>2219</v>
      </c>
    </row>
    <row r="2166" spans="1:3">
      <c r="A2166" s="3" t="s">
        <v>3687</v>
      </c>
      <c r="B2166" s="3" t="s">
        <v>3789</v>
      </c>
    </row>
    <row r="2167" spans="1:3">
      <c r="A2167" s="3" t="s">
        <v>2202</v>
      </c>
      <c r="C2167" s="3" t="s">
        <v>4156</v>
      </c>
    </row>
    <row r="2168" spans="1:3">
      <c r="A2168" s="3" t="s">
        <v>937</v>
      </c>
      <c r="C2168" s="3" t="s">
        <v>2623</v>
      </c>
    </row>
    <row r="2170" spans="1:3">
      <c r="A2170" s="3" t="s">
        <v>4198</v>
      </c>
    </row>
    <row r="2172" spans="1:3">
      <c r="A2172" s="3" t="s">
        <v>4199</v>
      </c>
      <c r="B2172" s="3" t="s">
        <v>2642</v>
      </c>
    </row>
    <row r="2173" spans="1:3">
      <c r="A2173" s="3" t="s">
        <v>1766</v>
      </c>
      <c r="B2173" s="3" t="s">
        <v>1979</v>
      </c>
    </row>
    <row r="2174" spans="1:3">
      <c r="A2174" s="3" t="s">
        <v>3697</v>
      </c>
      <c r="B2174" s="3" t="s">
        <v>3101</v>
      </c>
    </row>
    <row r="2176" spans="1:3">
      <c r="A2176" s="3" t="s">
        <v>1387</v>
      </c>
    </row>
    <row r="2178" spans="1:3">
      <c r="A2178" s="3" t="s">
        <v>1861</v>
      </c>
    </row>
    <row r="2180" spans="1:3">
      <c r="A2180" s="3" t="s">
        <v>1862</v>
      </c>
      <c r="B2180" s="3" t="s">
        <v>3960</v>
      </c>
    </row>
    <row r="2181" spans="1:3">
      <c r="A2181" s="3" t="s">
        <v>4182</v>
      </c>
      <c r="B2181" s="3" t="s">
        <v>1863</v>
      </c>
    </row>
    <row r="2182" spans="1:3">
      <c r="A2182" s="3" t="s">
        <v>2788</v>
      </c>
      <c r="B2182" s="3" t="s">
        <v>2124</v>
      </c>
    </row>
    <row r="2183" spans="1:3">
      <c r="A2183" s="3" t="s">
        <v>3703</v>
      </c>
      <c r="B2183" s="3" t="s">
        <v>124</v>
      </c>
    </row>
    <row r="2185" spans="1:3">
      <c r="A2185" s="3" t="s">
        <v>3566</v>
      </c>
    </row>
    <row r="2186" spans="1:3">
      <c r="A2186" s="3" t="s">
        <v>3933</v>
      </c>
    </row>
    <row r="2187" spans="1:3">
      <c r="A2187" s="3" t="s">
        <v>2760</v>
      </c>
    </row>
    <row r="2189" spans="1:3">
      <c r="A2189" s="3" t="s">
        <v>3427</v>
      </c>
      <c r="B2189" s="3" t="s">
        <v>673</v>
      </c>
    </row>
    <row r="2190" spans="1:3">
      <c r="A2190" s="3" t="s">
        <v>4185</v>
      </c>
      <c r="C2190" s="3" t="s">
        <v>3262</v>
      </c>
    </row>
    <row r="2191" spans="1:3">
      <c r="A2191" s="3" t="s">
        <v>3375</v>
      </c>
      <c r="C2191" s="3" t="s">
        <v>2595</v>
      </c>
    </row>
    <row r="2192" spans="1:3">
      <c r="A2192" s="3" t="s">
        <v>2075</v>
      </c>
      <c r="B2192" s="3" t="s">
        <v>2591</v>
      </c>
    </row>
    <row r="2193" spans="1:3">
      <c r="A2193" s="3" t="s">
        <v>3796</v>
      </c>
      <c r="B2193" s="3" t="s">
        <v>2305</v>
      </c>
    </row>
    <row r="2194" spans="1:3">
      <c r="A2194" s="3" t="s">
        <v>2593</v>
      </c>
      <c r="C2194" s="3" t="s">
        <v>2223</v>
      </c>
    </row>
    <row r="2195" spans="1:3">
      <c r="A2195" s="3" t="s">
        <v>2585</v>
      </c>
      <c r="C2195" s="3" t="s">
        <v>1436</v>
      </c>
    </row>
    <row r="2196" spans="1:3">
      <c r="A2196" s="3" t="s">
        <v>4362</v>
      </c>
      <c r="C2196" s="3" t="s">
        <v>1628</v>
      </c>
    </row>
    <row r="2198" spans="1:3">
      <c r="A2198" s="3" t="s">
        <v>1816</v>
      </c>
    </row>
    <row r="2199" spans="1:3">
      <c r="A2199" s="3" t="s">
        <v>421</v>
      </c>
    </row>
    <row r="2200" spans="1:3">
      <c r="A2200" s="3" t="s">
        <v>1919</v>
      </c>
    </row>
    <row r="2201" spans="1:3">
      <c r="A2201" s="3" t="s">
        <v>1839</v>
      </c>
    </row>
    <row r="2202" spans="1:3">
      <c r="A2202" s="3" t="s">
        <v>2235</v>
      </c>
    </row>
    <row r="2204" spans="1:3">
      <c r="A2204" s="3" t="s">
        <v>2236</v>
      </c>
    </row>
    <row r="2206" spans="1:3">
      <c r="A2206" s="3" t="s">
        <v>3562</v>
      </c>
    </row>
    <row r="2207" spans="1:3">
      <c r="A2207" s="5" t="s">
        <v>4093</v>
      </c>
    </row>
    <row r="2208" spans="1:3">
      <c r="A2208" s="3" t="s">
        <v>913</v>
      </c>
      <c r="C2208" s="3" t="s">
        <v>1365</v>
      </c>
    </row>
    <row r="2209" spans="1:3">
      <c r="A2209" s="3" t="s">
        <v>3700</v>
      </c>
      <c r="C2209" s="3" t="s">
        <v>3206</v>
      </c>
    </row>
    <row r="2210" spans="1:3">
      <c r="A2210" s="3" t="s">
        <v>3796</v>
      </c>
      <c r="B2210" s="3" t="s">
        <v>4162</v>
      </c>
    </row>
    <row r="2211" spans="1:3">
      <c r="A2211" s="3" t="s">
        <v>2593</v>
      </c>
      <c r="C2211" s="3" t="s">
        <v>2223</v>
      </c>
    </row>
    <row r="2212" spans="1:3">
      <c r="A2212" s="3" t="s">
        <v>3706</v>
      </c>
      <c r="C2212" s="3" t="s">
        <v>1566</v>
      </c>
    </row>
    <row r="2213" spans="1:3">
      <c r="A2213" s="3" t="s">
        <v>2585</v>
      </c>
      <c r="C2213" s="3" t="s">
        <v>1436</v>
      </c>
    </row>
    <row r="2214" spans="1:3">
      <c r="A2214" s="3" t="s">
        <v>4362</v>
      </c>
      <c r="C2214" s="3" t="s">
        <v>1628</v>
      </c>
    </row>
    <row r="2215" spans="1:3">
      <c r="A2215" s="3" t="s">
        <v>3701</v>
      </c>
      <c r="C2215" s="3" t="s">
        <v>1567</v>
      </c>
    </row>
    <row r="2216" spans="1:3">
      <c r="A2216" s="3" t="s">
        <v>2219</v>
      </c>
    </row>
    <row r="2217" spans="1:3">
      <c r="A2217" s="3" t="s">
        <v>1394</v>
      </c>
    </row>
    <row r="2218" spans="1:3">
      <c r="A2218" s="3" t="s">
        <v>959</v>
      </c>
    </row>
    <row r="2219" spans="1:3">
      <c r="A2219" s="3" t="s">
        <v>70</v>
      </c>
    </row>
    <row r="2221" spans="1:3">
      <c r="A2221" s="3" t="s">
        <v>71</v>
      </c>
      <c r="B2221" s="3" t="s">
        <v>348</v>
      </c>
    </row>
    <row r="2222" spans="1:3">
      <c r="A2222" s="3" t="s">
        <v>4501</v>
      </c>
      <c r="C2222" s="3" t="s">
        <v>1477</v>
      </c>
    </row>
    <row r="2223" spans="1:3">
      <c r="A2223" s="3" t="s">
        <v>1621</v>
      </c>
      <c r="B2223" s="3" t="s">
        <v>2759</v>
      </c>
    </row>
    <row r="2225" spans="1:3">
      <c r="A2225" s="3" t="s">
        <v>923</v>
      </c>
    </row>
    <row r="2226" spans="1:3">
      <c r="A2226" s="3" t="s">
        <v>3293</v>
      </c>
    </row>
    <row r="2227" spans="1:3">
      <c r="A2227" s="3" t="s">
        <v>3294</v>
      </c>
    </row>
    <row r="2229" spans="1:3">
      <c r="A2229" s="3" t="s">
        <v>4640</v>
      </c>
    </row>
    <row r="2231" spans="1:3">
      <c r="A2231" s="3" t="s">
        <v>4641</v>
      </c>
      <c r="B2231" s="3" t="s">
        <v>1762</v>
      </c>
    </row>
    <row r="2232" spans="1:3">
      <c r="A2232" s="3" t="s">
        <v>1763</v>
      </c>
    </row>
    <row r="2233" spans="1:3">
      <c r="A2233" s="3" t="s">
        <v>1764</v>
      </c>
      <c r="B2233" s="3" t="s">
        <v>1979</v>
      </c>
    </row>
    <row r="2234" spans="1:3">
      <c r="A2234" s="3" t="s">
        <v>4521</v>
      </c>
      <c r="C2234" s="3" t="s">
        <v>4156</v>
      </c>
    </row>
    <row r="2235" spans="1:3">
      <c r="A2235" s="3" t="s">
        <v>4522</v>
      </c>
      <c r="B2235" s="3" t="s">
        <v>1653</v>
      </c>
    </row>
    <row r="2236" spans="1:3">
      <c r="A2236" s="3" t="s">
        <v>1654</v>
      </c>
      <c r="C2236" s="3" t="s">
        <v>866</v>
      </c>
    </row>
    <row r="2237" spans="1:3">
      <c r="A2237" s="3" t="s">
        <v>607</v>
      </c>
      <c r="C2237" s="3" t="s">
        <v>4526</v>
      </c>
    </row>
    <row r="2239" spans="1:3">
      <c r="A2239" s="3" t="s">
        <v>2355</v>
      </c>
    </row>
    <row r="2240" spans="1:3">
      <c r="A2240" s="3" t="s">
        <v>2715</v>
      </c>
    </row>
    <row r="2241" spans="1:3">
      <c r="A2241" s="3" t="s">
        <v>2521</v>
      </c>
    </row>
    <row r="2242" spans="1:3">
      <c r="A2242" s="3" t="s">
        <v>1279</v>
      </c>
    </row>
    <row r="2243" spans="1:3">
      <c r="A2243" s="3" t="s">
        <v>1522</v>
      </c>
    </row>
    <row r="2244" spans="1:3">
      <c r="A2244" s="3" t="s">
        <v>2534</v>
      </c>
    </row>
    <row r="2246" spans="1:3">
      <c r="A2246" s="3" t="s">
        <v>4658</v>
      </c>
      <c r="C2246" s="3" t="s">
        <v>349</v>
      </c>
    </row>
    <row r="2247" spans="1:3">
      <c r="A2247" s="3" t="s">
        <v>940</v>
      </c>
      <c r="C2247" s="3" t="s">
        <v>3573</v>
      </c>
    </row>
    <row r="2248" spans="1:3">
      <c r="A2248" s="3" t="s">
        <v>3694</v>
      </c>
      <c r="C2248" s="3" t="s">
        <v>4659</v>
      </c>
    </row>
    <row r="2250" spans="1:3">
      <c r="A2250" s="3" t="s">
        <v>4262</v>
      </c>
    </row>
    <row r="2251" spans="1:3">
      <c r="A2251" s="3" t="s">
        <v>4263</v>
      </c>
    </row>
    <row r="2253" spans="1:3">
      <c r="A2253" s="3" t="s">
        <v>4620</v>
      </c>
    </row>
    <row r="2254" spans="1:3">
      <c r="A2254" s="3" t="s">
        <v>64</v>
      </c>
    </row>
    <row r="2255" spans="1:3">
      <c r="A2255" s="3" t="s">
        <v>1997</v>
      </c>
    </row>
    <row r="2256" spans="1:3">
      <c r="A2256" s="3" t="s">
        <v>984</v>
      </c>
    </row>
    <row r="2257" spans="1:4">
      <c r="A2257" s="3" t="s">
        <v>698</v>
      </c>
    </row>
    <row r="2258" spans="1:4">
      <c r="A2258" s="3" t="s">
        <v>2528</v>
      </c>
    </row>
    <row r="2259" spans="1:4">
      <c r="A2259" s="3" t="s">
        <v>1318</v>
      </c>
    </row>
    <row r="2260" spans="1:4">
      <c r="A2260" s="3" t="s">
        <v>3220</v>
      </c>
    </row>
    <row r="2261" spans="1:4">
      <c r="A2261" s="3" t="s">
        <v>529</v>
      </c>
      <c r="D2261" s="3" t="s">
        <v>530</v>
      </c>
    </row>
    <row r="2262" spans="1:4">
      <c r="A2262" s="3" t="s">
        <v>2288</v>
      </c>
      <c r="C2262" s="3" t="s">
        <v>2289</v>
      </c>
    </row>
    <row r="2263" spans="1:4">
      <c r="A2263" s="3" t="s">
        <v>412</v>
      </c>
      <c r="B2263" s="3" t="s">
        <v>1841</v>
      </c>
    </row>
    <row r="2265" spans="1:4">
      <c r="A2265" s="3" t="s">
        <v>689</v>
      </c>
    </row>
    <row r="2266" spans="1:4">
      <c r="A2266" s="3" t="s">
        <v>452</v>
      </c>
    </row>
    <row r="2268" spans="1:4">
      <c r="A2268" s="3" t="s">
        <v>453</v>
      </c>
    </row>
    <row r="2270" spans="1:4">
      <c r="A2270" s="3" t="s">
        <v>3548</v>
      </c>
      <c r="B2270" s="3">
        <f xml:space="preserve"> 0</f>
        <v>0</v>
      </c>
    </row>
    <row r="2272" spans="1:4">
      <c r="A2272" s="3" t="s">
        <v>1064</v>
      </c>
    </row>
    <row r="2273" spans="1:3">
      <c r="A2273" s="3" t="s">
        <v>3964</v>
      </c>
    </row>
    <row r="2274" spans="1:3">
      <c r="A2274" s="3" t="s">
        <v>3781</v>
      </c>
    </row>
    <row r="2275" spans="1:3">
      <c r="A2275" s="3" t="s">
        <v>2673</v>
      </c>
    </row>
    <row r="2277" spans="1:3">
      <c r="A2277" s="3" t="s">
        <v>1066</v>
      </c>
      <c r="B2277" s="3">
        <f xml:space="preserve"> 0</f>
        <v>0</v>
      </c>
    </row>
    <row r="2279" spans="1:3">
      <c r="A2279" s="3" t="s">
        <v>1892</v>
      </c>
    </row>
    <row r="2280" spans="1:3">
      <c r="A2280" s="3" t="s">
        <v>2747</v>
      </c>
    </row>
    <row r="2281" spans="1:3">
      <c r="A2281" s="3" t="s">
        <v>3592</v>
      </c>
    </row>
    <row r="2282" spans="1:3">
      <c r="A2282" s="3" t="s">
        <v>2673</v>
      </c>
    </row>
    <row r="2284" spans="1:3">
      <c r="A2284" s="3" t="s">
        <v>3593</v>
      </c>
      <c r="B2284" s="3" t="s">
        <v>3216</v>
      </c>
    </row>
    <row r="2285" spans="1:3">
      <c r="A2285" s="3" t="s">
        <v>3126</v>
      </c>
      <c r="B2285" s="3" t="s">
        <v>4158</v>
      </c>
    </row>
    <row r="2286" spans="1:3">
      <c r="A2286" s="3" t="s">
        <v>4045</v>
      </c>
      <c r="C2286" s="3" t="s">
        <v>2791</v>
      </c>
    </row>
    <row r="2287" spans="1:3">
      <c r="A2287" s="3" t="s">
        <v>3454</v>
      </c>
      <c r="B2287" s="3" t="s">
        <v>3599</v>
      </c>
    </row>
    <row r="2288" spans="1:3">
      <c r="A2288" s="3" t="s">
        <v>2219</v>
      </c>
    </row>
    <row r="2289" spans="1:3">
      <c r="A2289" s="3" t="s">
        <v>433</v>
      </c>
    </row>
    <row r="2290" spans="1:3">
      <c r="A2290" s="3" t="s">
        <v>2562</v>
      </c>
    </row>
    <row r="2291" spans="1:3">
      <c r="A2291" s="3" t="s">
        <v>2544</v>
      </c>
    </row>
    <row r="2293" spans="1:3">
      <c r="A2293" s="3" t="s">
        <v>2545</v>
      </c>
      <c r="B2293" s="3" t="s">
        <v>350</v>
      </c>
    </row>
    <row r="2294" spans="1:3">
      <c r="A2294" s="3" t="s">
        <v>542</v>
      </c>
      <c r="B2294" s="3" t="s">
        <v>4036</v>
      </c>
    </row>
    <row r="2295" spans="1:3">
      <c r="A2295" s="3" t="s">
        <v>4362</v>
      </c>
      <c r="C2295" s="3" t="s">
        <v>1628</v>
      </c>
    </row>
    <row r="2297" spans="1:3">
      <c r="A2297" s="3" t="s">
        <v>2429</v>
      </c>
    </row>
    <row r="2298" spans="1:3">
      <c r="A2298" s="3" t="s">
        <v>101</v>
      </c>
    </row>
    <row r="2299" spans="1:3">
      <c r="A2299" s="3" t="s">
        <v>462</v>
      </c>
    </row>
    <row r="2301" spans="1:3">
      <c r="A2301" s="3" t="s">
        <v>3394</v>
      </c>
      <c r="B2301" s="3" t="s">
        <v>2486</v>
      </c>
    </row>
    <row r="2302" spans="1:3">
      <c r="A2302" s="3" t="s">
        <v>2136</v>
      </c>
      <c r="B2302" s="3" t="s">
        <v>1084</v>
      </c>
    </row>
    <row r="2303" spans="1:3">
      <c r="A2303" s="3" t="s">
        <v>1681</v>
      </c>
      <c r="B2303" s="3" t="s">
        <v>1100</v>
      </c>
    </row>
    <row r="2304" spans="1:3">
      <c r="A2304" s="3" t="s">
        <v>3499</v>
      </c>
      <c r="B2304" s="3" t="s">
        <v>4371</v>
      </c>
    </row>
    <row r="2305" spans="1:3">
      <c r="A2305" s="3" t="s">
        <v>2440</v>
      </c>
      <c r="B2305" s="3" t="s">
        <v>198</v>
      </c>
    </row>
    <row r="2306" spans="1:3">
      <c r="A2306" s="3" t="s">
        <v>509</v>
      </c>
      <c r="B2306" s="3" t="s">
        <v>36</v>
      </c>
    </row>
    <row r="2308" spans="1:3">
      <c r="A2308" s="3" t="s">
        <v>3267</v>
      </c>
    </row>
    <row r="2309" spans="1:3">
      <c r="A2309" s="3" t="s">
        <v>2317</v>
      </c>
    </row>
    <row r="2310" spans="1:3">
      <c r="A2310" s="3" t="s">
        <v>982</v>
      </c>
    </row>
    <row r="2311" spans="1:3">
      <c r="A2311" s="3" t="s">
        <v>3611</v>
      </c>
    </row>
    <row r="2312" spans="1:3">
      <c r="A2312" s="3" t="s">
        <v>221</v>
      </c>
    </row>
    <row r="2314" spans="1:3">
      <c r="A2314" s="3" t="s">
        <v>222</v>
      </c>
      <c r="B2314" s="3" t="s">
        <v>3421</v>
      </c>
    </row>
    <row r="2316" spans="1:3">
      <c r="A2316" s="3" t="s">
        <v>3790</v>
      </c>
      <c r="B2316" s="3" t="s">
        <v>135</v>
      </c>
    </row>
    <row r="2317" spans="1:3">
      <c r="A2317" s="3" t="s">
        <v>3791</v>
      </c>
      <c r="B2317" s="3" t="s">
        <v>4391</v>
      </c>
    </row>
    <row r="2318" spans="1:3">
      <c r="A2318" s="3" t="s">
        <v>2585</v>
      </c>
      <c r="C2318" s="3" t="s">
        <v>1436</v>
      </c>
    </row>
    <row r="2319" spans="1:3">
      <c r="A2319" s="3" t="s">
        <v>3796</v>
      </c>
      <c r="B2319" s="3" t="s">
        <v>2305</v>
      </c>
    </row>
    <row r="2320" spans="1:3">
      <c r="A2320" s="3" t="s">
        <v>916</v>
      </c>
      <c r="C2320" s="3" t="s">
        <v>3023</v>
      </c>
    </row>
    <row r="2321" spans="1:3">
      <c r="A2321" s="3" t="s">
        <v>2584</v>
      </c>
      <c r="C2321" s="3" t="s">
        <v>112</v>
      </c>
    </row>
    <row r="2323" spans="1:3">
      <c r="A2323" s="3" t="s">
        <v>1095</v>
      </c>
    </row>
    <row r="2324" spans="1:3">
      <c r="A2324" s="3" t="s">
        <v>873</v>
      </c>
    </row>
    <row r="2325" spans="1:3">
      <c r="A2325" s="3" t="s">
        <v>1405</v>
      </c>
    </row>
    <row r="2326" spans="1:3">
      <c r="A2326" s="3" t="s">
        <v>2379</v>
      </c>
    </row>
    <row r="2327" spans="1:3">
      <c r="A2327" s="3" t="s">
        <v>1726</v>
      </c>
    </row>
    <row r="2328" spans="1:3">
      <c r="A2328" s="3" t="s">
        <v>4091</v>
      </c>
    </row>
    <row r="2329" spans="1:3">
      <c r="A2329" s="3" t="s">
        <v>4642</v>
      </c>
    </row>
    <row r="2331" spans="1:3">
      <c r="A2331" s="3" t="s">
        <v>4643</v>
      </c>
      <c r="B2331" s="3" t="s">
        <v>3525</v>
      </c>
    </row>
    <row r="2332" spans="1:3">
      <c r="A2332" s="3" t="s">
        <v>1710</v>
      </c>
      <c r="B2332" s="3" t="s">
        <v>657</v>
      </c>
    </row>
    <row r="2333" spans="1:3">
      <c r="A2333" s="3" t="s">
        <v>1268</v>
      </c>
      <c r="C2333" s="3" t="s">
        <v>434</v>
      </c>
    </row>
    <row r="2335" spans="1:3">
      <c r="A2335" s="3" t="s">
        <v>1941</v>
      </c>
    </row>
    <row r="2336" spans="1:3">
      <c r="A2336" s="3" t="s">
        <v>4457</v>
      </c>
    </row>
    <row r="2337" spans="1:3">
      <c r="A2337" s="3" t="s">
        <v>4458</v>
      </c>
    </row>
    <row r="2338" spans="1:3">
      <c r="A2338" s="3" t="s">
        <v>3422</v>
      </c>
    </row>
    <row r="2339" spans="1:3">
      <c r="A2339" s="3" t="s">
        <v>1574</v>
      </c>
    </row>
    <row r="2341" spans="1:3">
      <c r="A2341" s="3" t="s">
        <v>3368</v>
      </c>
      <c r="B2341" s="3" t="s">
        <v>3526</v>
      </c>
    </row>
    <row r="2342" spans="1:3">
      <c r="A2342" s="3" t="s">
        <v>3369</v>
      </c>
      <c r="B2342" s="3" t="s">
        <v>354</v>
      </c>
    </row>
    <row r="2343" spans="1:3">
      <c r="A2343" s="3" t="s">
        <v>1268</v>
      </c>
      <c r="C2343" s="3" t="s">
        <v>2094</v>
      </c>
    </row>
    <row r="2345" spans="1:3">
      <c r="A2345" s="3" t="s">
        <v>2184</v>
      </c>
    </row>
    <row r="2346" spans="1:3">
      <c r="A2346" s="3" t="s">
        <v>2808</v>
      </c>
    </row>
    <row r="2347" spans="1:3">
      <c r="A2347" s="3" t="s">
        <v>2809</v>
      </c>
    </row>
    <row r="2348" spans="1:3">
      <c r="A2348" s="3" t="s">
        <v>2891</v>
      </c>
    </row>
    <row r="2350" spans="1:3">
      <c r="A2350" s="3" t="s">
        <v>2701</v>
      </c>
      <c r="B2350" s="3" t="s">
        <v>993</v>
      </c>
    </row>
    <row r="2351" spans="1:3">
      <c r="A2351" s="3" t="s">
        <v>3241</v>
      </c>
      <c r="B2351" s="3" t="s">
        <v>1813</v>
      </c>
    </row>
    <row r="2352" spans="1:3">
      <c r="A2352" s="3" t="s">
        <v>4095</v>
      </c>
      <c r="C2352" s="3" t="s">
        <v>2791</v>
      </c>
    </row>
    <row r="2353" spans="1:3">
      <c r="A2353" s="3" t="s">
        <v>3238</v>
      </c>
      <c r="B2353" s="3" t="s">
        <v>3599</v>
      </c>
    </row>
    <row r="2355" spans="1:3">
      <c r="A2355" s="3" t="s">
        <v>2393</v>
      </c>
    </row>
    <row r="2356" spans="1:3">
      <c r="A2356" s="3" t="s">
        <v>2431</v>
      </c>
    </row>
    <row r="2357" spans="1:3">
      <c r="A2357" s="3" t="s">
        <v>3445</v>
      </c>
    </row>
    <row r="2359" spans="1:3">
      <c r="A2359" s="3" t="s">
        <v>3446</v>
      </c>
      <c r="B2359" s="3" t="s">
        <v>2183</v>
      </c>
    </row>
    <row r="2360" spans="1:3">
      <c r="A2360" s="3" t="s">
        <v>2386</v>
      </c>
      <c r="B2360" s="3" t="s">
        <v>2238</v>
      </c>
    </row>
    <row r="2361" spans="1:3">
      <c r="A2361" s="3" t="s">
        <v>292</v>
      </c>
      <c r="B2361" s="3" t="s">
        <v>3357</v>
      </c>
    </row>
    <row r="2362" spans="1:3">
      <c r="A2362" s="3" t="s">
        <v>3358</v>
      </c>
      <c r="C2362" s="3" t="s">
        <v>3926</v>
      </c>
    </row>
    <row r="2363" spans="1:3">
      <c r="A2363" s="3" t="s">
        <v>3928</v>
      </c>
      <c r="C2363" s="3" t="s">
        <v>1395</v>
      </c>
    </row>
    <row r="2365" spans="1:3">
      <c r="A2365" s="3" t="s">
        <v>814</v>
      </c>
    </row>
    <row r="2367" spans="1:3">
      <c r="A2367" s="3" t="s">
        <v>309</v>
      </c>
    </row>
    <row r="2368" spans="1:3">
      <c r="A2368" s="3" t="s">
        <v>1435</v>
      </c>
      <c r="C2368" s="3" t="s">
        <v>3567</v>
      </c>
    </row>
    <row r="2369" spans="1:3">
      <c r="A2369" s="3" t="s">
        <v>3795</v>
      </c>
      <c r="C2369" s="3" t="s">
        <v>2410</v>
      </c>
    </row>
    <row r="2370" spans="1:3">
      <c r="A2370" s="3" t="s">
        <v>918</v>
      </c>
      <c r="B2370" s="3" t="s">
        <v>2515</v>
      </c>
    </row>
    <row r="2371" spans="1:3">
      <c r="A2371" s="3" t="s">
        <v>919</v>
      </c>
      <c r="C2371" s="3" t="s">
        <v>2008</v>
      </c>
    </row>
    <row r="2372" spans="1:3">
      <c r="A2372" s="3" t="s">
        <v>397</v>
      </c>
      <c r="B2372" s="3" t="s">
        <v>2110</v>
      </c>
    </row>
    <row r="2373" spans="1:3">
      <c r="A2373" s="3" t="s">
        <v>922</v>
      </c>
      <c r="B2373" s="3" t="s">
        <v>1851</v>
      </c>
    </row>
    <row r="2374" spans="1:3">
      <c r="A2374" s="3" t="s">
        <v>3793</v>
      </c>
      <c r="B2374" s="3" t="s">
        <v>1644</v>
      </c>
    </row>
    <row r="2375" spans="1:3">
      <c r="A2375" s="3" t="s">
        <v>3378</v>
      </c>
      <c r="B2375" s="3" t="s">
        <v>1581</v>
      </c>
    </row>
    <row r="2377" spans="1:3">
      <c r="A2377" s="3" t="s">
        <v>40</v>
      </c>
    </row>
    <row r="2378" spans="1:3">
      <c r="A2378" s="3" t="s">
        <v>2415</v>
      </c>
    </row>
    <row r="2379" spans="1:3">
      <c r="A2379" s="3" t="s">
        <v>2059</v>
      </c>
    </row>
    <row r="2380" spans="1:3">
      <c r="A2380" s="3" t="s">
        <v>4203</v>
      </c>
    </row>
    <row r="2381" spans="1:3">
      <c r="A2381" s="3" t="s">
        <v>4366</v>
      </c>
    </row>
    <row r="2383" spans="1:3">
      <c r="A2383" s="3" t="s">
        <v>343</v>
      </c>
    </row>
    <row r="2384" spans="1:3">
      <c r="A2384" s="3" t="s">
        <v>4185</v>
      </c>
    </row>
    <row r="2385" spans="1:3">
      <c r="A2385" s="3" t="s">
        <v>4361</v>
      </c>
      <c r="C2385" s="3" t="s">
        <v>2908</v>
      </c>
    </row>
    <row r="2386" spans="1:3">
      <c r="A2386" s="3" t="s">
        <v>1435</v>
      </c>
      <c r="C2386" s="3" t="s">
        <v>4491</v>
      </c>
    </row>
    <row r="2387" spans="1:3">
      <c r="A2387" s="3" t="s">
        <v>920</v>
      </c>
      <c r="C2387" s="3" t="s">
        <v>2774</v>
      </c>
    </row>
    <row r="2388" spans="1:3">
      <c r="A2388" s="3" t="s">
        <v>2775</v>
      </c>
      <c r="C2388" s="3" t="s">
        <v>662</v>
      </c>
    </row>
    <row r="2389" spans="1:3">
      <c r="A2389" s="3" t="s">
        <v>3380</v>
      </c>
      <c r="B2389" s="3" t="s">
        <v>3279</v>
      </c>
    </row>
    <row r="2390" spans="1:3">
      <c r="A2390" s="3" t="s">
        <v>3792</v>
      </c>
      <c r="B2390" s="3" t="s">
        <v>4181</v>
      </c>
    </row>
    <row r="2391" spans="1:3">
      <c r="A2391" s="3" t="s">
        <v>3328</v>
      </c>
      <c r="B2391" s="3" t="s">
        <v>4615</v>
      </c>
    </row>
    <row r="2392" spans="1:3">
      <c r="A2392" s="3" t="s">
        <v>3375</v>
      </c>
      <c r="B2392" s="3" t="s">
        <v>2595</v>
      </c>
    </row>
    <row r="2393" spans="1:3">
      <c r="A2393" s="3" t="s">
        <v>4185</v>
      </c>
      <c r="C2393" s="3" t="s">
        <v>3262</v>
      </c>
    </row>
    <row r="2395" spans="1:3">
      <c r="A2395" s="3" t="s">
        <v>1338</v>
      </c>
    </row>
    <row r="2396" spans="1:3">
      <c r="A2396" s="3" t="s">
        <v>3322</v>
      </c>
    </row>
    <row r="2397" spans="1:3">
      <c r="A2397" s="3" t="s">
        <v>4541</v>
      </c>
    </row>
    <row r="2398" spans="1:3">
      <c r="A2398" s="3" t="s">
        <v>1340</v>
      </c>
    </row>
    <row r="2399" spans="1:3">
      <c r="A2399" s="3" t="s">
        <v>1341</v>
      </c>
    </row>
    <row r="2401" spans="1:3">
      <c r="A2401" s="3" t="s">
        <v>1342</v>
      </c>
      <c r="B2401" s="3" t="s">
        <v>3677</v>
      </c>
    </row>
    <row r="2402" spans="1:3">
      <c r="A2402" s="3" t="s">
        <v>3028</v>
      </c>
    </row>
    <row r="2403" spans="1:3">
      <c r="A2403" s="3" t="s">
        <v>916</v>
      </c>
      <c r="C2403" s="3" t="s">
        <v>3023</v>
      </c>
    </row>
    <row r="2404" spans="1:3">
      <c r="A2404" s="3" t="s">
        <v>3790</v>
      </c>
      <c r="B2404" s="3" t="s">
        <v>135</v>
      </c>
    </row>
    <row r="2405" spans="1:3">
      <c r="A2405" s="3" t="s">
        <v>3791</v>
      </c>
      <c r="B2405" s="3" t="s">
        <v>4391</v>
      </c>
    </row>
    <row r="2406" spans="1:3">
      <c r="A2406" s="3" t="s">
        <v>2585</v>
      </c>
      <c r="C2406" s="3" t="s">
        <v>1436</v>
      </c>
    </row>
    <row r="2407" spans="1:3">
      <c r="A2407" s="3" t="s">
        <v>4416</v>
      </c>
      <c r="B2407" s="3" t="s">
        <v>4343</v>
      </c>
    </row>
    <row r="2408" spans="1:3">
      <c r="A2408" s="3" t="s">
        <v>2584</v>
      </c>
      <c r="C2408" s="3" t="s">
        <v>112</v>
      </c>
    </row>
    <row r="2409" spans="1:3">
      <c r="A2409" s="3" t="s">
        <v>3795</v>
      </c>
      <c r="C2409" s="3" t="s">
        <v>2410</v>
      </c>
    </row>
    <row r="2410" spans="1:3">
      <c r="A2410" s="3" t="s">
        <v>2593</v>
      </c>
      <c r="C2410" s="3" t="s">
        <v>2223</v>
      </c>
    </row>
    <row r="2411" spans="1:3">
      <c r="A2411" s="3" t="s">
        <v>4362</v>
      </c>
      <c r="C2411" s="3" t="s">
        <v>1628</v>
      </c>
    </row>
    <row r="2412" spans="1:3">
      <c r="A2412" s="3" t="s">
        <v>2585</v>
      </c>
      <c r="C2412" s="3" t="s">
        <v>1436</v>
      </c>
    </row>
    <row r="2413" spans="1:3">
      <c r="A2413" s="3" t="s">
        <v>913</v>
      </c>
      <c r="C2413" s="3" t="s">
        <v>1365</v>
      </c>
    </row>
    <row r="2414" spans="1:3">
      <c r="B2414" s="3" t="s">
        <v>2219</v>
      </c>
    </row>
    <row r="2415" spans="1:3">
      <c r="A2415" s="3" t="s">
        <v>1605</v>
      </c>
    </row>
    <row r="2416" spans="1:3">
      <c r="A2416" s="3" t="s">
        <v>1299</v>
      </c>
    </row>
    <row r="2417" spans="1:3">
      <c r="A2417" s="3" t="s">
        <v>1883</v>
      </c>
    </row>
    <row r="2418" spans="1:3">
      <c r="A2418" s="3" t="s">
        <v>3133</v>
      </c>
    </row>
    <row r="2419" spans="1:3">
      <c r="A2419" s="3" t="s">
        <v>3134</v>
      </c>
    </row>
    <row r="2421" spans="1:3">
      <c r="A2421" s="3" t="s">
        <v>1572</v>
      </c>
      <c r="B2421" s="3">
        <f>540:540 -2409:2409-2413:2413</f>
        <v>0</v>
      </c>
    </row>
    <row r="2422" spans="1:3">
      <c r="A2422" s="3" t="s">
        <v>515</v>
      </c>
      <c r="C2422" s="3" t="s">
        <v>1840</v>
      </c>
    </row>
    <row r="2423" spans="1:3">
      <c r="A2423" s="3" t="s">
        <v>3795</v>
      </c>
      <c r="C2423" s="3" t="s">
        <v>2410</v>
      </c>
    </row>
    <row r="2424" spans="1:3">
      <c r="A2424" s="3" t="s">
        <v>913</v>
      </c>
      <c r="C2424" s="3" t="s">
        <v>1365</v>
      </c>
    </row>
    <row r="2426" spans="1:3">
      <c r="A2426" s="3" t="s">
        <v>569</v>
      </c>
    </row>
    <row r="2427" spans="1:3">
      <c r="A2427" s="3" t="s">
        <v>844</v>
      </c>
    </row>
    <row r="2429" spans="1:3">
      <c r="A2429" s="3" t="s">
        <v>674</v>
      </c>
    </row>
    <row r="2430" spans="1:3">
      <c r="A2430" s="3" t="s">
        <v>515</v>
      </c>
      <c r="C2430" s="3" t="s">
        <v>1840</v>
      </c>
    </row>
    <row r="2431" spans="1:3">
      <c r="A2431" s="3" t="s">
        <v>675</v>
      </c>
      <c r="B2431" s="3" t="s">
        <v>281</v>
      </c>
    </row>
    <row r="2433" spans="1:3">
      <c r="A2433" s="3" t="s">
        <v>2484</v>
      </c>
    </row>
    <row r="2435" spans="1:3">
      <c r="A2435" s="3" t="s">
        <v>3994</v>
      </c>
      <c r="B2435" s="3" t="s">
        <v>2306</v>
      </c>
    </row>
    <row r="2436" spans="1:3">
      <c r="A2436" s="3" t="s">
        <v>2057</v>
      </c>
    </row>
    <row r="2437" spans="1:3">
      <c r="A2437" s="3" t="s">
        <v>675</v>
      </c>
      <c r="B2437" s="3" t="s">
        <v>1840</v>
      </c>
    </row>
    <row r="2438" spans="1:3">
      <c r="A2438" s="3" t="s">
        <v>517</v>
      </c>
      <c r="C2438" s="3" t="s">
        <v>2853</v>
      </c>
    </row>
    <row r="2439" spans="1:3">
      <c r="A2439" s="3" t="s">
        <v>824</v>
      </c>
      <c r="B2439" s="3" t="s">
        <v>1188</v>
      </c>
    </row>
    <row r="2440" spans="1:3">
      <c r="A2440" s="3" t="s">
        <v>3795</v>
      </c>
      <c r="C2440" s="3" t="s">
        <v>2410</v>
      </c>
    </row>
    <row r="2441" spans="1:3">
      <c r="A2441" s="3" t="s">
        <v>476</v>
      </c>
      <c r="B2441" s="3" t="s">
        <v>2917</v>
      </c>
    </row>
    <row r="2442" spans="1:3">
      <c r="A2442" s="3" t="s">
        <v>4359</v>
      </c>
      <c r="C2442" s="3" t="s">
        <v>4468</v>
      </c>
    </row>
    <row r="2443" spans="1:3">
      <c r="A2443" s="3" t="s">
        <v>932</v>
      </c>
      <c r="B2443" s="3" t="s">
        <v>4344</v>
      </c>
    </row>
    <row r="2444" spans="1:3">
      <c r="A2444" s="3" t="s">
        <v>1197</v>
      </c>
      <c r="B2444" s="3" t="s">
        <v>1452</v>
      </c>
    </row>
    <row r="2445" spans="1:3">
      <c r="A2445" s="3" t="s">
        <v>1453</v>
      </c>
    </row>
    <row r="2447" spans="1:3">
      <c r="A2447" s="3" t="s">
        <v>2484</v>
      </c>
    </row>
    <row r="2449" spans="1:1">
      <c r="A2449" s="8" t="s">
        <v>2800</v>
      </c>
    </row>
    <row r="2451" spans="1:1">
      <c r="A2451" s="3" t="s">
        <v>132</v>
      </c>
    </row>
    <row r="2453" spans="1:1">
      <c r="A2453" s="3" t="s">
        <v>4334</v>
      </c>
    </row>
    <row r="2454" spans="1:1">
      <c r="A2454" s="3" t="s">
        <v>523</v>
      </c>
    </row>
    <row r="2455" spans="1:1">
      <c r="A2455" s="3" t="s">
        <v>2469</v>
      </c>
    </row>
    <row r="2456" spans="1:1">
      <c r="A2456" s="3" t="s">
        <v>3356</v>
      </c>
    </row>
    <row r="2457" spans="1:1">
      <c r="A2457" s="3" t="s">
        <v>450</v>
      </c>
    </row>
    <row r="2458" spans="1:1">
      <c r="A2458" s="3" t="s">
        <v>2237</v>
      </c>
    </row>
    <row r="2459" spans="1:1">
      <c r="A2459" s="3" t="s">
        <v>1987</v>
      </c>
    </row>
    <row r="2461" spans="1:1">
      <c r="A2461" s="3" t="s">
        <v>4459</v>
      </c>
    </row>
    <row r="2462" spans="1:1">
      <c r="A2462" s="3" t="s">
        <v>1974</v>
      </c>
    </row>
    <row r="2464" spans="1:1">
      <c r="A2464" s="8" t="s">
        <v>1864</v>
      </c>
    </row>
    <row r="2466" spans="1:1">
      <c r="A2466" s="3" t="s">
        <v>1975</v>
      </c>
    </row>
    <row r="2467" spans="1:1">
      <c r="A2467" s="3" t="s">
        <v>2416</v>
      </c>
    </row>
    <row r="2468" spans="1:1">
      <c r="A2468" s="3" t="s">
        <v>1437</v>
      </c>
    </row>
    <row r="2469" spans="1:1">
      <c r="A2469" s="3" t="s">
        <v>1438</v>
      </c>
    </row>
    <row r="2470" spans="1:1">
      <c r="A2470" s="3" t="s">
        <v>1439</v>
      </c>
    </row>
    <row r="2471" spans="1:1">
      <c r="A2471" s="3" t="s">
        <v>2558</v>
      </c>
    </row>
    <row r="2472" spans="1:1">
      <c r="A2472" s="3" t="s">
        <v>2559</v>
      </c>
    </row>
    <row r="2473" spans="1:1">
      <c r="A2473" s="3" t="s">
        <v>3629</v>
      </c>
    </row>
    <row r="2474" spans="1:1">
      <c r="A2474" s="3" t="s">
        <v>1778</v>
      </c>
    </row>
    <row r="2475" spans="1:1">
      <c r="A2475" s="3" t="s">
        <v>415</v>
      </c>
    </row>
    <row r="2476" spans="1:1">
      <c r="A2476" s="3" t="s">
        <v>2563</v>
      </c>
    </row>
    <row r="2477" spans="1:1">
      <c r="A2477" s="3" t="s">
        <v>1659</v>
      </c>
    </row>
    <row r="2478" spans="1:1">
      <c r="A2478" s="3" t="s">
        <v>1741</v>
      </c>
    </row>
    <row r="2479" spans="1:1">
      <c r="A2479" s="3" t="s">
        <v>1742</v>
      </c>
    </row>
    <row r="2480" spans="1:1">
      <c r="A2480" s="3" t="s">
        <v>3748</v>
      </c>
    </row>
    <row r="2481" spans="1:1">
      <c r="A2481" s="3" t="s">
        <v>3537</v>
      </c>
    </row>
    <row r="2482" spans="1:1">
      <c r="A2482" s="3" t="s">
        <v>957</v>
      </c>
    </row>
    <row r="2483" spans="1:1">
      <c r="A2483" s="3" t="s">
        <v>3586</v>
      </c>
    </row>
    <row r="2485" spans="1:1">
      <c r="A2485" s="3" t="s">
        <v>3587</v>
      </c>
    </row>
    <row r="2486" spans="1:1">
      <c r="A2486" s="3" t="s">
        <v>4530</v>
      </c>
    </row>
    <row r="2487" spans="1:1">
      <c r="A2487" s="3" t="s">
        <v>2250</v>
      </c>
    </row>
    <row r="2488" spans="1:1">
      <c r="A2488" s="3" t="s">
        <v>2251</v>
      </c>
    </row>
    <row r="2489" spans="1:1">
      <c r="A2489" s="3" t="s">
        <v>195</v>
      </c>
    </row>
    <row r="2490" spans="1:1">
      <c r="A2490" s="3" t="s">
        <v>4092</v>
      </c>
    </row>
    <row r="2492" spans="1:1">
      <c r="A2492" s="3" t="s">
        <v>3520</v>
      </c>
    </row>
    <row r="2493" spans="1:1">
      <c r="A2493" s="3" t="s">
        <v>3521</v>
      </c>
    </row>
    <row r="2494" spans="1:1">
      <c r="A2494" s="3" t="s">
        <v>4310</v>
      </c>
    </row>
    <row r="2495" spans="1:1">
      <c r="A2495" s="3" t="s">
        <v>2738</v>
      </c>
    </row>
    <row r="2496" spans="1:1">
      <c r="A2496" s="3" t="s">
        <v>1759</v>
      </c>
    </row>
    <row r="2497" spans="1:1">
      <c r="A2497" s="3" t="s">
        <v>910</v>
      </c>
    </row>
    <row r="2498" spans="1:1">
      <c r="A2498" s="3" t="s">
        <v>2135</v>
      </c>
    </row>
    <row r="2499" spans="1:1">
      <c r="A2499" s="3" t="s">
        <v>3838</v>
      </c>
    </row>
    <row r="2501" spans="1:1">
      <c r="A2501" s="3" t="s">
        <v>1103</v>
      </c>
    </row>
    <row r="2502" spans="1:1">
      <c r="A2502" s="3" t="s">
        <v>1104</v>
      </c>
    </row>
    <row r="2503" spans="1:1">
      <c r="A2503" s="3" t="s">
        <v>2609</v>
      </c>
    </row>
    <row r="2504" spans="1:1">
      <c r="A2504" s="3" t="s">
        <v>805</v>
      </c>
    </row>
    <row r="2505" spans="1:1">
      <c r="A2505" s="3" t="s">
        <v>4135</v>
      </c>
    </row>
    <row r="2506" spans="1:1">
      <c r="A2506" s="3" t="s">
        <v>1267</v>
      </c>
    </row>
    <row r="2507" spans="1:1">
      <c r="A2507" s="3" t="s">
        <v>3083</v>
      </c>
    </row>
    <row r="2508" spans="1:1">
      <c r="A2508" s="3" t="s">
        <v>2635</v>
      </c>
    </row>
    <row r="2509" spans="1:1">
      <c r="A2509" s="3" t="s">
        <v>2636</v>
      </c>
    </row>
    <row r="2510" spans="1:1">
      <c r="A2510" s="3" t="s">
        <v>1661</v>
      </c>
    </row>
    <row r="2512" spans="1:1">
      <c r="A2512" s="3" t="s">
        <v>893</v>
      </c>
    </row>
    <row r="2514" spans="1:6">
      <c r="A2514" s="3" t="s">
        <v>894</v>
      </c>
    </row>
    <row r="2515" spans="1:6">
      <c r="A2515" s="3" t="s">
        <v>3602</v>
      </c>
      <c r="B2515" s="3">
        <v>2001</v>
      </c>
      <c r="C2515" s="3">
        <v>2002</v>
      </c>
      <c r="D2515" s="3">
        <v>2003</v>
      </c>
      <c r="E2515" s="3">
        <v>2004</v>
      </c>
      <c r="F2515" s="3">
        <v>2005</v>
      </c>
    </row>
    <row r="2516" spans="1:6">
      <c r="A2516" s="3" t="s">
        <v>3601</v>
      </c>
    </row>
    <row r="2517" spans="1:6">
      <c r="A2517" s="3" t="s">
        <v>895</v>
      </c>
      <c r="B2517" s="3">
        <v>-1</v>
      </c>
      <c r="C2517" s="3">
        <v>3.7</v>
      </c>
      <c r="D2517" s="3">
        <v>-1.5</v>
      </c>
      <c r="E2517" s="3">
        <v>-3.8</v>
      </c>
      <c r="F2517" s="3">
        <v>0.9</v>
      </c>
    </row>
    <row r="2518" spans="1:6">
      <c r="A2518" s="3" t="s">
        <v>4041</v>
      </c>
      <c r="B2518" s="3">
        <v>219.2</v>
      </c>
      <c r="C2518" s="3">
        <v>82.4</v>
      </c>
      <c r="D2518" s="3">
        <v>90.8</v>
      </c>
      <c r="E2518" s="3">
        <v>129</v>
      </c>
      <c r="F2518" s="3">
        <v>75.7</v>
      </c>
    </row>
    <row r="2519" spans="1:6">
      <c r="A2519" s="3" t="s">
        <v>4040</v>
      </c>
      <c r="B2519" s="3">
        <v>229.3</v>
      </c>
      <c r="C2519" s="3">
        <v>73</v>
      </c>
      <c r="D2519" s="3">
        <v>87.3</v>
      </c>
      <c r="E2519" s="3">
        <v>130</v>
      </c>
      <c r="F2519" s="3">
        <v>70</v>
      </c>
    </row>
    <row r="2520" spans="1:6">
      <c r="A2520" s="3" t="s">
        <v>4042</v>
      </c>
      <c r="B2520" s="3">
        <v>226.2</v>
      </c>
      <c r="C2520" s="3">
        <v>71.5</v>
      </c>
      <c r="D2520" s="3">
        <v>91.5</v>
      </c>
      <c r="E2520" s="3">
        <v>131.5</v>
      </c>
      <c r="F2520" s="3">
        <v>71.5</v>
      </c>
    </row>
    <row r="2521" spans="1:6">
      <c r="A2521" s="3" t="s">
        <v>3107</v>
      </c>
      <c r="B2521" s="3">
        <v>179.4</v>
      </c>
      <c r="C2521" s="3">
        <v>116.6</v>
      </c>
      <c r="D2521" s="3">
        <v>88.7</v>
      </c>
      <c r="E2521" s="3">
        <v>119.5</v>
      </c>
      <c r="F2521" s="3">
        <v>89</v>
      </c>
    </row>
    <row r="2522" spans="1:6">
      <c r="A2522" s="3" t="s">
        <v>3110</v>
      </c>
      <c r="B2522" s="3">
        <v>-7</v>
      </c>
      <c r="C2522" s="3">
        <v>9.4</v>
      </c>
      <c r="D2522" s="3">
        <v>-3.4</v>
      </c>
      <c r="E2522" s="3">
        <v>-9.9</v>
      </c>
      <c r="F2522" s="3">
        <v>-0.6</v>
      </c>
    </row>
    <row r="2523" spans="1:6">
      <c r="A2523" s="3" t="s">
        <v>3109</v>
      </c>
      <c r="B2523" s="3">
        <v>73</v>
      </c>
      <c r="C2523" s="3">
        <v>72</v>
      </c>
      <c r="D2523" s="3">
        <v>76</v>
      </c>
      <c r="E2523" s="3">
        <v>74</v>
      </c>
      <c r="F2523" s="3">
        <v>71</v>
      </c>
    </row>
    <row r="2524" spans="1:6">
      <c r="A2524" s="3" t="s">
        <v>3111</v>
      </c>
    </row>
    <row r="2525" spans="1:6">
      <c r="A2525" s="3" t="s">
        <v>3112</v>
      </c>
      <c r="B2525" s="3">
        <v>21.8</v>
      </c>
      <c r="C2525" s="3">
        <v>22.8</v>
      </c>
      <c r="D2525" s="3">
        <v>21.4</v>
      </c>
      <c r="E2525" s="3">
        <v>22.6</v>
      </c>
      <c r="F2525" s="3">
        <v>25</v>
      </c>
    </row>
    <row r="2526" spans="1:6">
      <c r="A2526" s="3" t="s">
        <v>3113</v>
      </c>
      <c r="B2526" s="15">
        <v>5000</v>
      </c>
      <c r="C2526" s="15">
        <v>8500</v>
      </c>
      <c r="D2526" s="15">
        <v>16150</v>
      </c>
      <c r="E2526" s="15">
        <v>37145</v>
      </c>
      <c r="F2526" s="15">
        <v>63147</v>
      </c>
    </row>
    <row r="2527" spans="1:6">
      <c r="A2527" s="3" t="s">
        <v>1532</v>
      </c>
      <c r="B2527" s="3">
        <v>0</v>
      </c>
      <c r="C2527" s="3">
        <v>0</v>
      </c>
      <c r="D2527" s="3">
        <v>0</v>
      </c>
      <c r="E2527" s="3">
        <v>0</v>
      </c>
      <c r="F2527" s="3">
        <v>0</v>
      </c>
    </row>
    <row r="2528" spans="1:6">
      <c r="A2528" s="3" t="s">
        <v>3325</v>
      </c>
    </row>
    <row r="2529" spans="1:6">
      <c r="A2529" s="3" t="s">
        <v>3114</v>
      </c>
      <c r="B2529" s="3" t="s">
        <v>1388</v>
      </c>
      <c r="C2529" s="3" t="s">
        <v>1389</v>
      </c>
      <c r="D2529" s="3" t="s">
        <v>1390</v>
      </c>
      <c r="E2529" s="3" t="s">
        <v>1391</v>
      </c>
      <c r="F2529" s="3" t="s">
        <v>1392</v>
      </c>
    </row>
    <row r="2530" spans="1:6">
      <c r="A2530" s="3" t="s">
        <v>3115</v>
      </c>
      <c r="B2530" s="3" t="s">
        <v>3417</v>
      </c>
      <c r="C2530" s="3" t="s">
        <v>3418</v>
      </c>
      <c r="D2530" s="3" t="s">
        <v>3419</v>
      </c>
      <c r="E2530" s="3" t="s">
        <v>967</v>
      </c>
      <c r="F2530" s="3" t="s">
        <v>968</v>
      </c>
    </row>
    <row r="2531" spans="1:6">
      <c r="A2531" s="3" t="s">
        <v>2009</v>
      </c>
      <c r="B2531" s="3" t="s">
        <v>969</v>
      </c>
      <c r="C2531" s="3" t="s">
        <v>970</v>
      </c>
      <c r="D2531" s="3" t="s">
        <v>971</v>
      </c>
      <c r="E2531" s="3" t="s">
        <v>749</v>
      </c>
      <c r="F2531" s="3" t="s">
        <v>750</v>
      </c>
    </row>
    <row r="2532" spans="1:6">
      <c r="A2532" s="3" t="s">
        <v>308</v>
      </c>
      <c r="B2532" s="3" t="s">
        <v>751</v>
      </c>
      <c r="C2532" s="3" t="s">
        <v>752</v>
      </c>
      <c r="D2532" s="3" t="s">
        <v>4336</v>
      </c>
      <c r="E2532" s="3" t="s">
        <v>4337</v>
      </c>
      <c r="F2532" s="3" t="s">
        <v>4338</v>
      </c>
    </row>
    <row r="2533" spans="1:6">
      <c r="A2533" s="3" t="s">
        <v>4583</v>
      </c>
      <c r="B2533" s="3">
        <v>12</v>
      </c>
      <c r="C2533" s="3">
        <v>13</v>
      </c>
      <c r="D2533" s="3">
        <v>2</v>
      </c>
      <c r="E2533" s="3">
        <v>1</v>
      </c>
      <c r="F2533" s="3">
        <v>3</v>
      </c>
    </row>
    <row r="2536" spans="1:6">
      <c r="A2536" s="8" t="s">
        <v>3316</v>
      </c>
    </row>
    <row r="2538" spans="1:6">
      <c r="A2538" s="3" t="s">
        <v>132</v>
      </c>
    </row>
    <row r="2539" spans="1:6">
      <c r="A2539" s="3" t="s">
        <v>1973</v>
      </c>
    </row>
    <row r="2540" spans="1:6">
      <c r="A2540" s="3" t="s">
        <v>650</v>
      </c>
    </row>
    <row r="2541" spans="1:6">
      <c r="A2541" s="3" t="s">
        <v>279</v>
      </c>
    </row>
    <row r="2542" spans="1:6">
      <c r="A2542" s="3" t="s">
        <v>685</v>
      </c>
    </row>
    <row r="2543" spans="1:6">
      <c r="A2543" s="3" t="s">
        <v>1495</v>
      </c>
    </row>
    <row r="2545" spans="1:1">
      <c r="A2545" s="3" t="s">
        <v>3310</v>
      </c>
    </row>
    <row r="2546" spans="1:1">
      <c r="A2546" s="3" t="s">
        <v>3300</v>
      </c>
    </row>
    <row r="2547" spans="1:1">
      <c r="A2547" s="3" t="s">
        <v>3329</v>
      </c>
    </row>
    <row r="2548" spans="1:1">
      <c r="A2548" s="3" t="s">
        <v>3120</v>
      </c>
    </row>
    <row r="2549" spans="1:1">
      <c r="A2549" s="3" t="s">
        <v>3121</v>
      </c>
    </row>
    <row r="2550" spans="1:1">
      <c r="A2550" s="3" t="s">
        <v>3122</v>
      </c>
    </row>
    <row r="2551" spans="1:1">
      <c r="A2551" s="3" t="s">
        <v>1925</v>
      </c>
    </row>
    <row r="2553" spans="1:1">
      <c r="A2553" s="3" t="s">
        <v>2807</v>
      </c>
    </row>
    <row r="2554" spans="1:1">
      <c r="A2554" s="3" t="s">
        <v>401</v>
      </c>
    </row>
    <row r="2555" spans="1:1">
      <c r="A2555" s="3" t="s">
        <v>3672</v>
      </c>
    </row>
    <row r="2556" spans="1:1">
      <c r="A2556" s="3" t="s">
        <v>3673</v>
      </c>
    </row>
    <row r="2557" spans="1:1">
      <c r="A2557" s="3" t="s">
        <v>2882</v>
      </c>
    </row>
    <row r="2558" spans="1:1">
      <c r="A2558" s="3" t="s">
        <v>2537</v>
      </c>
    </row>
    <row r="2559" spans="1:1">
      <c r="A2559" s="3" t="s">
        <v>1508</v>
      </c>
    </row>
    <row r="2560" spans="1:1">
      <c r="A2560" s="3" t="s">
        <v>3332</v>
      </c>
    </row>
    <row r="2561" spans="1:1">
      <c r="A2561" s="3" t="s">
        <v>3333</v>
      </c>
    </row>
    <row r="2562" spans="1:1">
      <c r="A2562" s="3" t="s">
        <v>1736</v>
      </c>
    </row>
    <row r="2563" spans="1:1">
      <c r="A2563" s="3" t="s">
        <v>1737</v>
      </c>
    </row>
    <row r="2564" spans="1:1">
      <c r="A2564" s="3" t="s">
        <v>3973</v>
      </c>
    </row>
    <row r="2565" spans="1:1">
      <c r="A2565" s="3" t="s">
        <v>3974</v>
      </c>
    </row>
    <row r="2566" spans="1:1">
      <c r="A2566" s="3" t="s">
        <v>3242</v>
      </c>
    </row>
    <row r="2567" spans="1:1">
      <c r="A2567" s="3" t="s">
        <v>4548</v>
      </c>
    </row>
    <row r="2568" spans="1:1">
      <c r="A2568" s="3" t="s">
        <v>3549</v>
      </c>
    </row>
    <row r="2569" spans="1:1">
      <c r="A2569" s="3" t="s">
        <v>931</v>
      </c>
    </row>
    <row r="2570" spans="1:1">
      <c r="A2570" s="3" t="s">
        <v>142</v>
      </c>
    </row>
    <row r="2571" spans="1:1">
      <c r="A2571" s="3" t="s">
        <v>1938</v>
      </c>
    </row>
    <row r="2572" spans="1:1">
      <c r="A2572" s="3" t="s">
        <v>249</v>
      </c>
    </row>
    <row r="2573" spans="1:1">
      <c r="A2573" s="3" t="s">
        <v>3062</v>
      </c>
    </row>
    <row r="2574" spans="1:1">
      <c r="A2574" s="3" t="s">
        <v>3767</v>
      </c>
    </row>
    <row r="2575" spans="1:1">
      <c r="A2575" s="3" t="s">
        <v>3768</v>
      </c>
    </row>
    <row r="2576" spans="1:1">
      <c r="A2576" s="3" t="s">
        <v>420</v>
      </c>
    </row>
    <row r="2577" spans="1:1">
      <c r="A2577" s="3" t="s">
        <v>3145</v>
      </c>
    </row>
    <row r="2578" spans="1:1">
      <c r="A2578" s="3" t="s">
        <v>3146</v>
      </c>
    </row>
    <row r="2580" spans="1:1">
      <c r="A2580" s="3" t="s">
        <v>2395</v>
      </c>
    </row>
    <row r="2581" spans="1:1">
      <c r="A2581" s="3" t="s">
        <v>2208</v>
      </c>
    </row>
    <row r="2582" spans="1:1">
      <c r="A2582" s="3" t="s">
        <v>2209</v>
      </c>
    </row>
    <row r="2583" spans="1:1">
      <c r="A2583" s="3" t="s">
        <v>2807</v>
      </c>
    </row>
    <row r="2584" spans="1:1">
      <c r="A2584" s="3" t="s">
        <v>4335</v>
      </c>
    </row>
    <row r="2585" spans="1:1">
      <c r="A2585" s="3" t="s">
        <v>1487</v>
      </c>
    </row>
    <row r="2586" spans="1:1">
      <c r="A2586" s="3" t="s">
        <v>2423</v>
      </c>
    </row>
    <row r="2587" spans="1:1">
      <c r="A2587" s="3" t="s">
        <v>3674</v>
      </c>
    </row>
    <row r="2589" spans="1:1">
      <c r="A2589" s="3" t="s">
        <v>3675</v>
      </c>
    </row>
    <row r="2590" spans="1:1">
      <c r="A2590" s="3" t="s">
        <v>960</v>
      </c>
    </row>
    <row r="2592" spans="1:1">
      <c r="A2592" s="3" t="s">
        <v>961</v>
      </c>
    </row>
    <row r="2593" spans="1:1">
      <c r="A2593" s="3" t="s">
        <v>962</v>
      </c>
    </row>
    <row r="2594" spans="1:1">
      <c r="A2594" s="3" t="s">
        <v>4137</v>
      </c>
    </row>
    <row r="2595" spans="1:1">
      <c r="A2595" s="3" t="s">
        <v>432</v>
      </c>
    </row>
    <row r="2596" spans="1:1">
      <c r="A2596" s="3" t="s">
        <v>1277</v>
      </c>
    </row>
    <row r="2597" spans="1:1">
      <c r="A2597" s="3" t="s">
        <v>1608</v>
      </c>
    </row>
    <row r="2598" spans="1:1">
      <c r="A2598" s="3" t="s">
        <v>110</v>
      </c>
    </row>
    <row r="2600" spans="1:1">
      <c r="A2600" s="3" t="s">
        <v>111</v>
      </c>
    </row>
    <row r="2601" spans="1:1">
      <c r="A2601" s="3" t="s">
        <v>1607</v>
      </c>
    </row>
    <row r="2603" spans="1:1">
      <c r="A2603" s="3" t="s">
        <v>2807</v>
      </c>
    </row>
    <row r="2604" spans="1:1">
      <c r="A2604" s="3" t="s">
        <v>3196</v>
      </c>
    </row>
    <row r="2605" spans="1:1">
      <c r="A2605" s="3" t="s">
        <v>3197</v>
      </c>
    </row>
    <row r="2606" spans="1:1">
      <c r="A2606" s="3" t="s">
        <v>251</v>
      </c>
    </row>
    <row r="2607" spans="1:1">
      <c r="A2607" s="3" t="s">
        <v>4129</v>
      </c>
    </row>
    <row r="2609" spans="1:2">
      <c r="A2609" s="3" t="s">
        <v>4130</v>
      </c>
    </row>
    <row r="2610" spans="1:2">
      <c r="A2610" s="3" t="s">
        <v>299</v>
      </c>
    </row>
    <row r="2611" spans="1:2">
      <c r="A2611" s="3" t="s">
        <v>3963</v>
      </c>
    </row>
    <row r="2612" spans="1:2">
      <c r="A2612" s="3" t="s">
        <v>603</v>
      </c>
    </row>
    <row r="2613" spans="1:2">
      <c r="A2613" s="3" t="s">
        <v>604</v>
      </c>
    </row>
    <row r="2615" spans="1:2">
      <c r="A2615" s="3" t="s">
        <v>605</v>
      </c>
      <c r="B2615" s="3" t="s">
        <v>606</v>
      </c>
    </row>
    <row r="2616" spans="1:2">
      <c r="A2616" s="3" t="s">
        <v>2661</v>
      </c>
      <c r="B2616" s="3" t="s">
        <v>2662</v>
      </c>
    </row>
    <row r="2618" spans="1:2">
      <c r="A2618" s="3" t="s">
        <v>1246</v>
      </c>
    </row>
    <row r="2619" spans="1:2">
      <c r="A2619" s="3" t="s">
        <v>1035</v>
      </c>
    </row>
    <row r="2620" spans="1:2">
      <c r="A2620" s="3" t="s">
        <v>1773</v>
      </c>
    </row>
    <row r="2621" spans="1:2">
      <c r="A2621" s="3" t="s">
        <v>4159</v>
      </c>
    </row>
    <row r="2623" spans="1:2">
      <c r="A2623" s="3" t="s">
        <v>3039</v>
      </c>
    </row>
    <row r="2624" spans="1:2">
      <c r="A2624" s="3" t="s">
        <v>4313</v>
      </c>
    </row>
    <row r="2625" spans="1:1">
      <c r="A2625" s="3" t="s">
        <v>4314</v>
      </c>
    </row>
    <row r="2626" spans="1:1">
      <c r="A2626" s="3" t="s">
        <v>1444</v>
      </c>
    </row>
    <row r="2627" spans="1:1">
      <c r="A2627" s="3" t="s">
        <v>1748</v>
      </c>
    </row>
    <row r="2628" spans="1:1">
      <c r="A2628" s="3" t="s">
        <v>422</v>
      </c>
    </row>
    <row r="2629" spans="1:1">
      <c r="A2629" s="3" t="s">
        <v>3385</v>
      </c>
    </row>
    <row r="2630" spans="1:1">
      <c r="A2630" s="3" t="s">
        <v>2889</v>
      </c>
    </row>
    <row r="2631" spans="1:1">
      <c r="A2631" s="3" t="s">
        <v>2890</v>
      </c>
    </row>
    <row r="2632" spans="1:1">
      <c r="A2632" s="3" t="s">
        <v>3770</v>
      </c>
    </row>
    <row r="2633" spans="1:1">
      <c r="A2633" s="3" t="s">
        <v>3771</v>
      </c>
    </row>
    <row r="2634" spans="1:1">
      <c r="A2634" s="3" t="s">
        <v>1935</v>
      </c>
    </row>
    <row r="2635" spans="1:1">
      <c r="A2635" s="3" t="s">
        <v>1936</v>
      </c>
    </row>
    <row r="2636" spans="1:1">
      <c r="A2636" s="3" t="s">
        <v>161</v>
      </c>
    </row>
    <row r="2637" spans="1:1">
      <c r="A2637" s="3" t="s">
        <v>2312</v>
      </c>
    </row>
    <row r="2638" spans="1:1">
      <c r="A2638" s="3" t="s">
        <v>3840</v>
      </c>
    </row>
    <row r="2639" spans="1:1">
      <c r="A2639" s="3" t="s">
        <v>3527</v>
      </c>
    </row>
    <row r="2641" spans="1:8">
      <c r="A2641" s="3" t="s">
        <v>3439</v>
      </c>
    </row>
    <row r="2642" spans="1:8">
      <c r="A2642" s="3" t="s">
        <v>1981</v>
      </c>
      <c r="B2642" s="3">
        <v>1999</v>
      </c>
      <c r="C2642" s="3">
        <v>2000</v>
      </c>
      <c r="D2642" s="3">
        <v>2001</v>
      </c>
      <c r="E2642" s="3">
        <v>2002</v>
      </c>
      <c r="F2642" s="3">
        <v>2003</v>
      </c>
      <c r="G2642" s="3">
        <v>2004</v>
      </c>
      <c r="H2642" s="3">
        <v>2005</v>
      </c>
    </row>
    <row r="2643" spans="1:8">
      <c r="A2643" s="3" t="s">
        <v>1982</v>
      </c>
    </row>
    <row r="2644" spans="1:8">
      <c r="A2644" s="3" t="s">
        <v>2131</v>
      </c>
      <c r="B2644" s="3">
        <v>-2.5</v>
      </c>
      <c r="C2644" s="3">
        <v>-4.5</v>
      </c>
      <c r="D2644" s="3">
        <v>0</v>
      </c>
      <c r="E2644" s="3">
        <v>4.9000000000000004</v>
      </c>
      <c r="F2644" s="3">
        <v>-0.1</v>
      </c>
      <c r="G2644" s="3">
        <v>-1.5</v>
      </c>
      <c r="H2644" s="3">
        <v>-4.2</v>
      </c>
    </row>
    <row r="2645" spans="1:8">
      <c r="A2645" s="3" t="s">
        <v>2132</v>
      </c>
      <c r="B2645" s="3">
        <v>964</v>
      </c>
      <c r="C2645" s="3">
        <v>949</v>
      </c>
      <c r="D2645" s="15">
        <v>1019</v>
      </c>
      <c r="E2645" s="15">
        <v>1038</v>
      </c>
      <c r="F2645" s="3">
        <v>962</v>
      </c>
      <c r="G2645" s="3">
        <v>909</v>
      </c>
      <c r="H2645" s="3">
        <v>835</v>
      </c>
    </row>
    <row r="2647" spans="1:8">
      <c r="A2647" s="3" t="s">
        <v>2133</v>
      </c>
      <c r="B2647" s="3">
        <v>117.3</v>
      </c>
      <c r="C2647" s="3">
        <v>112.2</v>
      </c>
      <c r="D2647" s="3">
        <v>106.7</v>
      </c>
      <c r="E2647" s="3">
        <v>104.4</v>
      </c>
      <c r="F2647" s="3">
        <v>107.6</v>
      </c>
      <c r="G2647" s="3">
        <v>106.7</v>
      </c>
      <c r="H2647" s="3">
        <v>102</v>
      </c>
    </row>
    <row r="2648" spans="1:8">
      <c r="A2648" s="3" t="s">
        <v>1480</v>
      </c>
      <c r="B2648" s="3">
        <v>83.4</v>
      </c>
      <c r="C2648" s="3">
        <v>84.5</v>
      </c>
      <c r="D2648" s="3">
        <v>79.8</v>
      </c>
      <c r="E2648" s="3">
        <v>78</v>
      </c>
      <c r="F2648" s="3">
        <v>80</v>
      </c>
      <c r="G2648" s="3">
        <v>79</v>
      </c>
      <c r="H2648" s="3">
        <v>73.8</v>
      </c>
    </row>
    <row r="2649" spans="1:8">
      <c r="A2649" s="3" t="s">
        <v>1481</v>
      </c>
      <c r="B2649" s="3">
        <v>51.1</v>
      </c>
      <c r="C2649" s="3">
        <v>50</v>
      </c>
      <c r="D2649" s="3">
        <v>51.8</v>
      </c>
      <c r="E2649" s="3">
        <v>53.7</v>
      </c>
      <c r="F2649" s="3">
        <v>55</v>
      </c>
      <c r="G2649" s="3">
        <v>54.8</v>
      </c>
      <c r="H2649" s="3">
        <v>48.1</v>
      </c>
    </row>
    <row r="2650" spans="1:8">
      <c r="A2650" s="3" t="s">
        <v>518</v>
      </c>
      <c r="B2650" s="3">
        <v>32.299999999999997</v>
      </c>
      <c r="C2650" s="3">
        <v>34.6</v>
      </c>
      <c r="D2650" s="3">
        <v>28.1</v>
      </c>
      <c r="E2650" s="3">
        <v>24.3</v>
      </c>
      <c r="F2650" s="3">
        <v>25.1</v>
      </c>
      <c r="G2650" s="3">
        <v>24.3</v>
      </c>
      <c r="H2650" s="3">
        <v>25.7</v>
      </c>
    </row>
    <row r="2651" spans="1:8">
      <c r="A2651" s="3" t="s">
        <v>1561</v>
      </c>
      <c r="B2651" s="3">
        <v>33.799999999999997</v>
      </c>
      <c r="C2651" s="3">
        <v>27.6</v>
      </c>
      <c r="D2651" s="3">
        <v>26.8</v>
      </c>
      <c r="E2651" s="3">
        <v>26.4</v>
      </c>
      <c r="F2651" s="3">
        <v>27.5</v>
      </c>
      <c r="G2651" s="3">
        <v>27.6</v>
      </c>
      <c r="H2651" s="3">
        <v>28.2</v>
      </c>
    </row>
    <row r="2652" spans="1:8">
      <c r="A2652" s="3" t="s">
        <v>4405</v>
      </c>
      <c r="B2652" s="3">
        <v>26</v>
      </c>
      <c r="C2652" s="3">
        <v>24.4</v>
      </c>
      <c r="D2652" s="3">
        <v>23.1</v>
      </c>
      <c r="E2652" s="3">
        <v>21.6</v>
      </c>
      <c r="F2652" s="3">
        <v>22.7</v>
      </c>
      <c r="G2652" s="3">
        <v>23.5</v>
      </c>
      <c r="H2652" s="3">
        <v>24.6</v>
      </c>
    </row>
    <row r="2653" spans="1:8">
      <c r="A2653" s="3" t="s">
        <v>3348</v>
      </c>
      <c r="B2653" s="3">
        <v>7.9</v>
      </c>
      <c r="C2653" s="3">
        <v>3.2</v>
      </c>
      <c r="D2653" s="3">
        <v>3.8</v>
      </c>
      <c r="E2653" s="3">
        <v>4.7</v>
      </c>
      <c r="F2653" s="3">
        <v>4.9000000000000004</v>
      </c>
      <c r="G2653" s="3">
        <v>4.0999999999999996</v>
      </c>
      <c r="H2653" s="3">
        <v>3.6</v>
      </c>
    </row>
    <row r="2655" spans="1:8">
      <c r="A2655" s="3" t="s">
        <v>2813</v>
      </c>
    </row>
    <row r="2656" spans="1:8">
      <c r="A2656" s="3" t="s">
        <v>2814</v>
      </c>
      <c r="B2656" s="3">
        <v>28.7</v>
      </c>
      <c r="C2656" s="3">
        <v>32.299999999999997</v>
      </c>
      <c r="D2656" s="3">
        <v>28.1</v>
      </c>
      <c r="E2656" s="3">
        <v>29.9</v>
      </c>
      <c r="F2656" s="3">
        <v>32.6</v>
      </c>
      <c r="G2656" s="3">
        <v>32.200000000000003</v>
      </c>
      <c r="H2656" s="3">
        <v>31.8</v>
      </c>
    </row>
    <row r="2657" spans="1:8">
      <c r="A2657" s="3" t="s">
        <v>2025</v>
      </c>
      <c r="B2657" s="3">
        <v>38.200000000000003</v>
      </c>
      <c r="C2657" s="3">
        <v>40.9</v>
      </c>
      <c r="D2657" s="3">
        <v>35.9</v>
      </c>
      <c r="E2657" s="3">
        <v>31.7</v>
      </c>
      <c r="F2657" s="3">
        <v>31.7</v>
      </c>
      <c r="G2657" s="3">
        <v>30.3</v>
      </c>
      <c r="H2657" s="3">
        <v>32.1</v>
      </c>
    </row>
    <row r="2658" spans="1:8">
      <c r="A2658" s="3" t="s">
        <v>2026</v>
      </c>
      <c r="B2658" s="3">
        <v>-9.6</v>
      </c>
      <c r="C2658" s="3">
        <v>-8.6999999999999993</v>
      </c>
      <c r="D2658" s="3">
        <v>-7.9</v>
      </c>
      <c r="E2658" s="3">
        <v>-1.8</v>
      </c>
      <c r="F2658" s="3">
        <v>0.9</v>
      </c>
      <c r="G2658" s="3">
        <v>1.8</v>
      </c>
      <c r="H2658" s="3">
        <v>-0.3</v>
      </c>
    </row>
    <row r="2659" spans="1:8">
      <c r="A2659" s="3" t="s">
        <v>896</v>
      </c>
      <c r="B2659" s="3">
        <v>-13.9</v>
      </c>
      <c r="C2659" s="3">
        <v>-4.8</v>
      </c>
      <c r="D2659" s="3">
        <v>-6.7</v>
      </c>
      <c r="E2659" s="3">
        <v>-1.1000000000000001</v>
      </c>
      <c r="F2659" s="3">
        <v>1.7</v>
      </c>
      <c r="G2659" s="3">
        <v>1.5</v>
      </c>
      <c r="H2659" s="3">
        <v>0.1</v>
      </c>
    </row>
    <row r="2661" spans="1:8">
      <c r="A2661" s="3" t="s">
        <v>2363</v>
      </c>
    </row>
    <row r="2662" spans="1:8">
      <c r="A2662" s="3" t="s">
        <v>1980</v>
      </c>
      <c r="B2662" s="3">
        <v>-103.6</v>
      </c>
      <c r="C2662" s="3">
        <v>-73.7</v>
      </c>
      <c r="D2662" s="3">
        <v>-42.9</v>
      </c>
      <c r="E2662" s="3">
        <v>-31</v>
      </c>
      <c r="F2662" s="3">
        <v>-53.3</v>
      </c>
      <c r="G2662" s="3">
        <v>-46.9</v>
      </c>
      <c r="H2662" s="3">
        <v>-13.8</v>
      </c>
    </row>
    <row r="2663" spans="1:8">
      <c r="A2663" s="3" t="s">
        <v>1305</v>
      </c>
      <c r="B2663" s="3">
        <v>-168</v>
      </c>
      <c r="C2663" s="3">
        <v>-147.80000000000001</v>
      </c>
      <c r="D2663" s="3">
        <v>-52.2</v>
      </c>
      <c r="E2663" s="3">
        <v>-41.1</v>
      </c>
      <c r="F2663" s="3">
        <v>-62.4</v>
      </c>
      <c r="G2663" s="3">
        <v>-55.8</v>
      </c>
      <c r="H2663" s="3">
        <v>-22.5</v>
      </c>
    </row>
    <row r="2664" spans="1:8">
      <c r="A2664" s="3" t="s">
        <v>52</v>
      </c>
      <c r="B2664" s="3">
        <v>89.3</v>
      </c>
      <c r="C2664" s="3">
        <v>16.100000000000001</v>
      </c>
      <c r="D2664" s="3">
        <v>101.2</v>
      </c>
      <c r="E2664" s="3">
        <v>108.9</v>
      </c>
      <c r="F2664" s="3">
        <v>51.7</v>
      </c>
      <c r="G2664" s="3">
        <v>40.1</v>
      </c>
      <c r="H2664" s="3">
        <v>40.4</v>
      </c>
    </row>
    <row r="2665" spans="1:8">
      <c r="A2665" s="3" t="s">
        <v>3828</v>
      </c>
      <c r="B2665" s="3">
        <v>-94.6</v>
      </c>
      <c r="C2665" s="3">
        <v>-21.1</v>
      </c>
      <c r="D2665" s="3">
        <v>48.9</v>
      </c>
      <c r="E2665" s="3">
        <v>67.8</v>
      </c>
      <c r="F2665" s="3">
        <v>-10.6</v>
      </c>
      <c r="G2665" s="3">
        <v>-15.7</v>
      </c>
      <c r="H2665" s="3">
        <v>17.899999999999999</v>
      </c>
    </row>
    <row r="2667" spans="1:8">
      <c r="A2667" s="3" t="s">
        <v>3783</v>
      </c>
    </row>
    <row r="2668" spans="1:8">
      <c r="A2668" s="3" t="s">
        <v>3118</v>
      </c>
      <c r="B2668" s="3">
        <v>230.4</v>
      </c>
      <c r="C2668" s="3">
        <v>181</v>
      </c>
      <c r="D2668" s="3">
        <v>241</v>
      </c>
      <c r="E2668" s="3">
        <v>301</v>
      </c>
      <c r="F2668" s="3">
        <v>301</v>
      </c>
      <c r="G2668" s="3">
        <v>301</v>
      </c>
      <c r="H2668" s="3">
        <v>301</v>
      </c>
    </row>
    <row r="2669" spans="1:8">
      <c r="A2669" s="3" t="s">
        <v>3119</v>
      </c>
      <c r="B2669" s="3">
        <v>101.2</v>
      </c>
      <c r="C2669" s="3">
        <v>194</v>
      </c>
      <c r="D2669" s="3">
        <v>172.1</v>
      </c>
      <c r="E2669" s="3">
        <v>171.4</v>
      </c>
      <c r="F2669" s="3">
        <v>170.7</v>
      </c>
      <c r="G2669" s="3">
        <v>170</v>
      </c>
      <c r="H2669" s="3">
        <v>169.2</v>
      </c>
    </row>
    <row r="2671" spans="1:8">
      <c r="A2671" s="3" t="s">
        <v>2395</v>
      </c>
    </row>
    <row r="2672" spans="1:8">
      <c r="A2672" s="3" t="s">
        <v>802</v>
      </c>
      <c r="B2672" s="3">
        <v>2.9</v>
      </c>
      <c r="C2672" s="3">
        <v>4.2</v>
      </c>
      <c r="D2672" s="3">
        <v>3.7</v>
      </c>
      <c r="E2672" s="3">
        <v>0.4</v>
      </c>
      <c r="F2672" s="3">
        <v>-3.2</v>
      </c>
      <c r="G2672" s="3">
        <v>-3.8</v>
      </c>
      <c r="H2672" s="3">
        <v>2.6</v>
      </c>
    </row>
    <row r="2673" spans="1:8">
      <c r="A2673" s="15" t="s">
        <v>822</v>
      </c>
      <c r="B2673" s="3">
        <v>98.2</v>
      </c>
      <c r="C2673" s="3">
        <v>60.2</v>
      </c>
      <c r="D2673" s="3">
        <v>52.3</v>
      </c>
      <c r="E2673" s="3">
        <v>5.2</v>
      </c>
      <c r="F2673" s="3">
        <v>2.5</v>
      </c>
      <c r="G2673" s="3">
        <v>2.1</v>
      </c>
      <c r="H2673" s="3">
        <v>2.4</v>
      </c>
    </row>
    <row r="2674" spans="1:8">
      <c r="A2674" s="15" t="s">
        <v>2869</v>
      </c>
      <c r="B2674" s="3">
        <v>-15.8</v>
      </c>
      <c r="C2674" s="3">
        <v>2.2999999999999998</v>
      </c>
      <c r="D2674" s="3">
        <v>5.6</v>
      </c>
      <c r="E2674" s="3">
        <v>2.6</v>
      </c>
      <c r="F2674" s="3">
        <v>0.7</v>
      </c>
      <c r="G2674" s="3">
        <v>0</v>
      </c>
      <c r="H2674" s="3">
        <v>-5.2</v>
      </c>
    </row>
    <row r="2675" spans="1:8">
      <c r="A2675" s="3" t="s">
        <v>1321</v>
      </c>
      <c r="B2675" s="3">
        <v>0.6</v>
      </c>
      <c r="C2675" s="3">
        <v>0.3</v>
      </c>
      <c r="D2675" s="3">
        <v>1.2</v>
      </c>
      <c r="E2675" s="3">
        <v>2.4</v>
      </c>
      <c r="F2675" s="3">
        <v>2.1</v>
      </c>
      <c r="G2675" s="3">
        <v>1.9</v>
      </c>
      <c r="H2675" s="3">
        <v>2.2000000000000002</v>
      </c>
    </row>
    <row r="2676" spans="1:8">
      <c r="A2676" s="3" t="s">
        <v>1322</v>
      </c>
      <c r="B2676" s="3">
        <v>35.1</v>
      </c>
      <c r="C2676" s="3">
        <v>14</v>
      </c>
      <c r="D2676" s="3">
        <v>62.9</v>
      </c>
      <c r="E2676" s="3">
        <v>130.69999999999999</v>
      </c>
      <c r="F2676" s="3">
        <v>120</v>
      </c>
      <c r="G2676" s="3">
        <v>104.4</v>
      </c>
      <c r="H2676" s="3">
        <v>122.3</v>
      </c>
    </row>
    <row r="2677" spans="1:8">
      <c r="A2677" s="3" t="s">
        <v>3135</v>
      </c>
      <c r="B2677" s="3">
        <v>23.8</v>
      </c>
      <c r="C2677" s="3">
        <v>22.7</v>
      </c>
      <c r="D2677" s="3">
        <v>9.6999999999999993</v>
      </c>
      <c r="E2677" s="3">
        <v>10.6</v>
      </c>
      <c r="F2677" s="3">
        <v>11.9</v>
      </c>
      <c r="G2677" s="3">
        <v>13.1</v>
      </c>
      <c r="H2677" s="3">
        <v>13.7</v>
      </c>
    </row>
    <row r="2678" spans="1:8">
      <c r="A2678" s="3" t="s">
        <v>1323</v>
      </c>
      <c r="B2678" s="3">
        <v>980</v>
      </c>
      <c r="C2678" s="15">
        <v>1540</v>
      </c>
      <c r="D2678" s="15">
        <v>2200</v>
      </c>
      <c r="E2678" s="15">
        <v>2200</v>
      </c>
      <c r="F2678" s="15">
        <v>2200</v>
      </c>
      <c r="G2678" s="15">
        <v>2200</v>
      </c>
      <c r="H2678" s="15">
        <v>2200</v>
      </c>
    </row>
    <row r="2680" spans="1:8">
      <c r="A2680" s="3" t="s">
        <v>3459</v>
      </c>
    </row>
    <row r="2681" spans="1:8">
      <c r="A2681" s="3" t="s">
        <v>149</v>
      </c>
      <c r="B2681" s="3">
        <v>82.8</v>
      </c>
      <c r="C2681" s="3">
        <v>80.900000000000006</v>
      </c>
      <c r="D2681" s="3">
        <v>78.2</v>
      </c>
      <c r="E2681" s="3">
        <v>77.7</v>
      </c>
      <c r="F2681" s="3">
        <v>79.7</v>
      </c>
      <c r="G2681" s="3">
        <v>79.099999999999994</v>
      </c>
      <c r="H2681" s="3">
        <v>77.8</v>
      </c>
    </row>
    <row r="2683" spans="1:8">
      <c r="A2683" s="3" t="s">
        <v>150</v>
      </c>
      <c r="B2683" s="3">
        <v>588</v>
      </c>
      <c r="C2683" s="3">
        <v>933.5</v>
      </c>
      <c r="D2683" s="131">
        <v>1416.7</v>
      </c>
      <c r="E2683" s="131">
        <v>1557.6</v>
      </c>
      <c r="F2683" s="131">
        <v>1550.1</v>
      </c>
      <c r="G2683" s="131">
        <v>1548.7</v>
      </c>
      <c r="H2683" s="131">
        <v>1503.8</v>
      </c>
    </row>
    <row r="2685" spans="1:8">
      <c r="A2685" s="3" t="s">
        <v>3528</v>
      </c>
    </row>
    <row r="2686" spans="1:8">
      <c r="A2686" s="3" t="s">
        <v>2553</v>
      </c>
    </row>
    <row r="2687" spans="1:8">
      <c r="A2687" s="3" t="s">
        <v>2861</v>
      </c>
    </row>
    <row r="2688" spans="1:8">
      <c r="A2688" s="3" t="s">
        <v>1546</v>
      </c>
    </row>
    <row r="2690" spans="1:1">
      <c r="A2690" s="3" t="s">
        <v>1182</v>
      </c>
    </row>
    <row r="2691" spans="1:1">
      <c r="A2691" s="3" t="s">
        <v>4294</v>
      </c>
    </row>
    <row r="2692" spans="1:1">
      <c r="A2692" s="3" t="s">
        <v>3513</v>
      </c>
    </row>
    <row r="2694" spans="1:1">
      <c r="A2694" s="3" t="s">
        <v>3514</v>
      </c>
    </row>
    <row r="2695" spans="1:1">
      <c r="A2695" s="3" t="s">
        <v>4193</v>
      </c>
    </row>
    <row r="2696" spans="1:1">
      <c r="A2696" s="3" t="s">
        <v>527</v>
      </c>
    </row>
    <row r="2697" spans="1:1">
      <c r="A2697" s="3" t="s">
        <v>2381</v>
      </c>
    </row>
    <row r="2698" spans="1:1">
      <c r="A2698" s="3" t="s">
        <v>760</v>
      </c>
    </row>
    <row r="2699" spans="1:1">
      <c r="A2699" s="3" t="s">
        <v>2027</v>
      </c>
    </row>
    <row r="2700" spans="1:1">
      <c r="A2700" s="3" t="s">
        <v>2036</v>
      </c>
    </row>
    <row r="2701" spans="1:1">
      <c r="A2701" s="3" t="s">
        <v>2254</v>
      </c>
    </row>
    <row r="2702" spans="1:1">
      <c r="A2702" s="3" t="s">
        <v>2255</v>
      </c>
    </row>
    <row r="2703" spans="1:1">
      <c r="A2703" s="3" t="s">
        <v>1924</v>
      </c>
    </row>
    <row r="2704" spans="1:1">
      <c r="A2704" s="3" t="s">
        <v>526</v>
      </c>
    </row>
    <row r="2705" spans="1:1">
      <c r="A2705" s="3" t="s">
        <v>1860</v>
      </c>
    </row>
    <row r="2706" spans="1:1">
      <c r="A2706" s="3" t="s">
        <v>2224</v>
      </c>
    </row>
    <row r="2707" spans="1:1">
      <c r="A2707" s="3" t="s">
        <v>1031</v>
      </c>
    </row>
    <row r="2708" spans="1:1">
      <c r="A2708" s="3" t="s">
        <v>4174</v>
      </c>
    </row>
    <row r="2709" spans="1:1">
      <c r="A2709" s="3" t="s">
        <v>3187</v>
      </c>
    </row>
    <row r="2710" spans="1:1">
      <c r="A2710" s="3" t="s">
        <v>3188</v>
      </c>
    </row>
    <row r="2711" spans="1:1">
      <c r="A2711" s="3" t="s">
        <v>3189</v>
      </c>
    </row>
    <row r="2712" spans="1:1">
      <c r="A2712" s="3" t="s">
        <v>454</v>
      </c>
    </row>
    <row r="2713" spans="1:1">
      <c r="A2713" s="3" t="s">
        <v>3430</v>
      </c>
    </row>
    <row r="2714" spans="1:1">
      <c r="A2714" s="3" t="s">
        <v>3077</v>
      </c>
    </row>
    <row r="2715" spans="1:1">
      <c r="A2715" s="3" t="s">
        <v>3078</v>
      </c>
    </row>
    <row r="2717" spans="1:1">
      <c r="A2717" s="3" t="s">
        <v>106</v>
      </c>
    </row>
    <row r="2718" spans="1:1">
      <c r="A2718" s="3" t="s">
        <v>511</v>
      </c>
    </row>
    <row r="2720" spans="1:1">
      <c r="A2720" s="3" t="s">
        <v>4555</v>
      </c>
    </row>
    <row r="2721" spans="1:12">
      <c r="A2721" s="3" t="s">
        <v>709</v>
      </c>
    </row>
    <row r="2722" spans="1:12">
      <c r="A2722" s="3" t="s">
        <v>710</v>
      </c>
    </row>
    <row r="2725" spans="1:12">
      <c r="A2725" s="3" t="s">
        <v>747</v>
      </c>
    </row>
    <row r="2726" spans="1:12">
      <c r="B2726" s="3" t="s">
        <v>955</v>
      </c>
      <c r="H2726" s="3" t="s">
        <v>2898</v>
      </c>
    </row>
    <row r="2727" spans="1:12">
      <c r="A2727" s="3" t="s">
        <v>3602</v>
      </c>
      <c r="B2727" s="3">
        <v>2001</v>
      </c>
      <c r="C2727" s="3">
        <v>2002</v>
      </c>
      <c r="D2727" s="3">
        <v>2003</v>
      </c>
      <c r="E2727" s="3">
        <v>2004</v>
      </c>
      <c r="F2727" s="3">
        <v>2005</v>
      </c>
      <c r="H2727" s="3">
        <v>2001</v>
      </c>
      <c r="I2727" s="3">
        <v>2002</v>
      </c>
      <c r="J2727" s="3">
        <v>2003</v>
      </c>
      <c r="K2727" s="3">
        <v>2004</v>
      </c>
      <c r="L2727" s="3">
        <v>2005</v>
      </c>
    </row>
    <row r="2728" spans="1:12">
      <c r="A2728" s="3" t="s">
        <v>3601</v>
      </c>
    </row>
    <row r="2729" spans="1:12">
      <c r="A2729" s="3" t="s">
        <v>3108</v>
      </c>
      <c r="B2729" s="3">
        <v>0</v>
      </c>
      <c r="C2729" s="3">
        <v>4.9000000000000004</v>
      </c>
      <c r="D2729" s="3">
        <v>-0.1</v>
      </c>
      <c r="E2729" s="3">
        <v>-1.5</v>
      </c>
      <c r="F2729" s="3">
        <v>-4.2</v>
      </c>
      <c r="H2729" s="3">
        <v>1</v>
      </c>
      <c r="I2729" s="3">
        <v>1.3</v>
      </c>
      <c r="J2729" s="3">
        <v>1.4</v>
      </c>
      <c r="K2729" s="3">
        <v>2.2999999999999998</v>
      </c>
      <c r="L2729" s="3">
        <v>-5.0999999999999996</v>
      </c>
    </row>
    <row r="2730" spans="1:12">
      <c r="A2730" s="3" t="s">
        <v>4041</v>
      </c>
      <c r="B2730" s="3">
        <v>52.3</v>
      </c>
      <c r="C2730" s="3">
        <v>5.2</v>
      </c>
      <c r="D2730" s="3">
        <v>2.5</v>
      </c>
      <c r="E2730" s="3">
        <v>2.1</v>
      </c>
      <c r="F2730" s="3">
        <v>2.4</v>
      </c>
      <c r="H2730" s="3">
        <v>-166.9</v>
      </c>
      <c r="I2730" s="3">
        <v>-77.2</v>
      </c>
      <c r="J2730" s="3">
        <v>-88.3</v>
      </c>
      <c r="K2730" s="3">
        <v>-126.9</v>
      </c>
      <c r="L2730" s="3">
        <v>-73.2</v>
      </c>
    </row>
    <row r="2731" spans="1:12">
      <c r="A2731" s="3" t="s">
        <v>4040</v>
      </c>
      <c r="B2731" s="3">
        <v>44.9</v>
      </c>
      <c r="C2731" s="3">
        <v>1.8</v>
      </c>
      <c r="D2731" s="3">
        <v>-1.4</v>
      </c>
      <c r="E2731" s="3">
        <v>0</v>
      </c>
      <c r="F2731" s="3">
        <v>0</v>
      </c>
      <c r="H2731" s="3">
        <v>-184.4</v>
      </c>
      <c r="I2731" s="3">
        <v>-71.3</v>
      </c>
      <c r="J2731" s="3">
        <v>-88.7</v>
      </c>
      <c r="K2731" s="3">
        <v>-130</v>
      </c>
      <c r="L2731" s="3">
        <v>-70</v>
      </c>
    </row>
    <row r="2732" spans="1:12">
      <c r="A2732" s="3" t="s">
        <v>4042</v>
      </c>
      <c r="B2732" s="3">
        <v>44.4</v>
      </c>
      <c r="C2732" s="3">
        <v>1.5</v>
      </c>
      <c r="D2732" s="3">
        <v>1.5</v>
      </c>
      <c r="E2732" s="3">
        <v>1.5</v>
      </c>
      <c r="F2732" s="3">
        <v>1.5</v>
      </c>
      <c r="H2732" s="3">
        <v>-181.8</v>
      </c>
      <c r="I2732" s="3">
        <v>-70</v>
      </c>
      <c r="J2732" s="3">
        <v>-90</v>
      </c>
      <c r="K2732" s="3">
        <v>-130</v>
      </c>
      <c r="L2732" s="3">
        <v>-70</v>
      </c>
    </row>
    <row r="2733" spans="1:12">
      <c r="A2733" s="3" t="s">
        <v>3107</v>
      </c>
      <c r="B2733" s="3">
        <v>54.2</v>
      </c>
      <c r="C2733" s="3">
        <v>16.899999999999999</v>
      </c>
      <c r="D2733" s="3">
        <v>3.2</v>
      </c>
      <c r="E2733" s="3">
        <v>2.2000000000000002</v>
      </c>
      <c r="F2733" s="3">
        <v>2.4</v>
      </c>
      <c r="H2733" s="3">
        <v>-125.2</v>
      </c>
      <c r="I2733" s="3">
        <v>-99.6</v>
      </c>
      <c r="J2733" s="3">
        <v>-85.5</v>
      </c>
      <c r="K2733" s="3">
        <v>-117.3</v>
      </c>
      <c r="L2733" s="3">
        <v>-86.6</v>
      </c>
    </row>
    <row r="2734" spans="1:12">
      <c r="A2734" s="3" t="s">
        <v>3110</v>
      </c>
      <c r="B2734" s="3">
        <v>6</v>
      </c>
      <c r="C2734" s="3">
        <v>3</v>
      </c>
      <c r="D2734" s="3">
        <v>1</v>
      </c>
      <c r="E2734" s="3">
        <v>0</v>
      </c>
      <c r="F2734" s="3">
        <v>-5</v>
      </c>
      <c r="H2734" s="3">
        <v>13</v>
      </c>
      <c r="I2734" s="3">
        <v>-7</v>
      </c>
      <c r="J2734" s="3">
        <v>4</v>
      </c>
      <c r="K2734" s="3">
        <v>10</v>
      </c>
      <c r="L2734" s="3">
        <v>-5</v>
      </c>
    </row>
    <row r="2735" spans="1:12">
      <c r="A2735" s="3" t="s">
        <v>3109</v>
      </c>
      <c r="B2735" s="3">
        <v>73</v>
      </c>
      <c r="C2735" s="3">
        <v>73</v>
      </c>
      <c r="D2735" s="3">
        <v>78</v>
      </c>
      <c r="E2735" s="3">
        <v>78</v>
      </c>
      <c r="F2735" s="3">
        <v>76</v>
      </c>
      <c r="H2735" s="3">
        <v>0</v>
      </c>
      <c r="I2735" s="3">
        <v>0.9</v>
      </c>
      <c r="J2735" s="3">
        <v>2</v>
      </c>
      <c r="K2735" s="3">
        <v>3.3</v>
      </c>
      <c r="L2735" s="3">
        <v>5.2</v>
      </c>
    </row>
    <row r="2736" spans="1:12">
      <c r="A2736" s="3" t="s">
        <v>3111</v>
      </c>
    </row>
    <row r="2737" spans="1:12">
      <c r="A2737" s="3" t="s">
        <v>3112</v>
      </c>
      <c r="B2737" s="3">
        <v>21.8</v>
      </c>
      <c r="C2737" s="3">
        <v>22.3</v>
      </c>
      <c r="D2737" s="3">
        <v>20.3</v>
      </c>
      <c r="E2737" s="3">
        <v>20.9</v>
      </c>
      <c r="F2737" s="3">
        <v>22.2</v>
      </c>
      <c r="H2737" s="3">
        <v>0</v>
      </c>
      <c r="I2737" s="3">
        <v>-0.5</v>
      </c>
      <c r="J2737" s="3">
        <v>-1.1000000000000001</v>
      </c>
      <c r="K2737" s="3">
        <v>-1.7</v>
      </c>
      <c r="L2737" s="3">
        <v>-2.8</v>
      </c>
    </row>
    <row r="2738" spans="1:12">
      <c r="A2738" s="3" t="s">
        <v>3113</v>
      </c>
      <c r="B2738" s="15">
        <v>2200</v>
      </c>
      <c r="C2738" s="15">
        <v>2200</v>
      </c>
      <c r="D2738" s="15">
        <v>2200</v>
      </c>
      <c r="E2738" s="15">
        <v>2200</v>
      </c>
      <c r="F2738" s="15">
        <v>2200</v>
      </c>
      <c r="H2738" s="15">
        <v>-2800</v>
      </c>
      <c r="I2738" s="15">
        <v>-6300</v>
      </c>
      <c r="J2738" s="15">
        <v>-13950</v>
      </c>
      <c r="K2738" s="15">
        <v>-34945</v>
      </c>
      <c r="L2738" s="15">
        <v>-60947</v>
      </c>
    </row>
    <row r="2739" spans="1:12">
      <c r="A2739" s="3" t="s">
        <v>1532</v>
      </c>
      <c r="B2739" s="3">
        <v>1</v>
      </c>
      <c r="C2739" s="3">
        <v>3</v>
      </c>
      <c r="D2739" s="3">
        <v>2</v>
      </c>
      <c r="E2739" s="3">
        <v>2</v>
      </c>
      <c r="F2739" s="3">
        <v>2</v>
      </c>
      <c r="H2739" s="3">
        <v>1.01</v>
      </c>
      <c r="I2739" s="3">
        <v>2.31</v>
      </c>
      <c r="J2739" s="3">
        <v>2.2799999999999998</v>
      </c>
      <c r="K2739" s="3">
        <v>1.99</v>
      </c>
      <c r="L2739" s="3">
        <v>2.37</v>
      </c>
    </row>
    <row r="2740" spans="1:12">
      <c r="A2740" s="3" t="s">
        <v>3325</v>
      </c>
    </row>
    <row r="2741" spans="1:12">
      <c r="A2741" s="3" t="s">
        <v>3114</v>
      </c>
      <c r="B2741" s="3">
        <v>504.9</v>
      </c>
      <c r="C2741" s="3">
        <v>540.29999999999995</v>
      </c>
      <c r="D2741" s="3">
        <v>460</v>
      </c>
      <c r="E2741" s="3">
        <v>438.8</v>
      </c>
      <c r="F2741" s="3">
        <v>-72.7</v>
      </c>
      <c r="H2741" s="3">
        <v>-751.2</v>
      </c>
      <c r="I2741" s="131">
        <v>-1714.3</v>
      </c>
      <c r="J2741" s="131">
        <v>-3379.3</v>
      </c>
      <c r="K2741" s="131">
        <v>-8144</v>
      </c>
      <c r="L2741" s="131">
        <v>-14700</v>
      </c>
    </row>
    <row r="2742" spans="1:12">
      <c r="A2742" s="3" t="s">
        <v>3115</v>
      </c>
      <c r="B2742" s="3">
        <v>-64.7</v>
      </c>
      <c r="C2742" s="3">
        <v>-143.4</v>
      </c>
      <c r="D2742" s="3">
        <v>-25.8</v>
      </c>
      <c r="E2742" s="3">
        <v>-23.6</v>
      </c>
      <c r="F2742" s="3">
        <v>-0.6</v>
      </c>
      <c r="H2742" s="3">
        <v>-455</v>
      </c>
      <c r="I2742" s="3">
        <v>-676.9</v>
      </c>
      <c r="J2742" s="3">
        <v>-887.5</v>
      </c>
      <c r="K2742" s="131">
        <v>-1709.6</v>
      </c>
      <c r="L2742" s="131">
        <v>-2060.1</v>
      </c>
    </row>
    <row r="2743" spans="1:12">
      <c r="A2743" s="3" t="s">
        <v>2009</v>
      </c>
      <c r="B2743" s="3">
        <v>237.3</v>
      </c>
      <c r="C2743" s="3">
        <v>243</v>
      </c>
      <c r="D2743" s="3">
        <v>193.7</v>
      </c>
      <c r="E2743" s="3">
        <v>135.6</v>
      </c>
      <c r="F2743" s="3">
        <v>174.4</v>
      </c>
      <c r="H2743" s="3">
        <v>-378.5</v>
      </c>
      <c r="I2743" s="3">
        <v>-957.5</v>
      </c>
      <c r="J2743" s="131">
        <v>-1785.8</v>
      </c>
      <c r="K2743" s="131">
        <v>-3519.1</v>
      </c>
      <c r="L2743" s="131">
        <v>-5713.1</v>
      </c>
    </row>
    <row r="2744" spans="1:12">
      <c r="A2744" s="3" t="s">
        <v>308</v>
      </c>
      <c r="B2744" s="3">
        <v>138.4</v>
      </c>
      <c r="C2744" s="3">
        <v>287.39999999999998</v>
      </c>
      <c r="D2744" s="3">
        <v>264.10000000000002</v>
      </c>
      <c r="E2744" s="3">
        <v>229.6</v>
      </c>
      <c r="F2744" s="3">
        <v>269</v>
      </c>
      <c r="H2744" s="3">
        <v>76.5</v>
      </c>
      <c r="I2744" s="3">
        <v>174.3</v>
      </c>
      <c r="J2744" s="3">
        <v>233.5</v>
      </c>
      <c r="K2744" s="3">
        <v>209.8</v>
      </c>
      <c r="L2744" s="3">
        <v>75.900000000000006</v>
      </c>
    </row>
    <row r="2745" spans="1:12">
      <c r="A2745" s="3" t="s">
        <v>4583</v>
      </c>
      <c r="B2745" s="3">
        <v>62.9</v>
      </c>
      <c r="C2745" s="3">
        <v>130.69999999999999</v>
      </c>
      <c r="D2745" s="3">
        <v>120</v>
      </c>
      <c r="E2745" s="3">
        <v>104.4</v>
      </c>
      <c r="F2745" s="3">
        <v>122.3</v>
      </c>
      <c r="H2745" s="3">
        <v>50.5</v>
      </c>
      <c r="I2745" s="3">
        <v>117.3</v>
      </c>
      <c r="J2745" s="3">
        <v>118.1</v>
      </c>
      <c r="K2745" s="3">
        <v>103.8</v>
      </c>
      <c r="L2745" s="3">
        <v>119.2</v>
      </c>
    </row>
    <row r="2748" spans="1:12">
      <c r="A2748" s="3" t="s">
        <v>2600</v>
      </c>
    </row>
    <row r="2749" spans="1:12">
      <c r="A2749" s="3" t="s">
        <v>4259</v>
      </c>
    </row>
    <row r="2750" spans="1:12">
      <c r="A2750" s="3" t="s">
        <v>119</v>
      </c>
    </row>
    <row r="2752" spans="1:12">
      <c r="A2752" s="3" t="s">
        <v>3</v>
      </c>
    </row>
    <row r="2753" spans="1:1">
      <c r="A2753" s="3" t="s">
        <v>4309</v>
      </c>
    </row>
    <row r="2754" spans="1:1">
      <c r="A2754" s="3" t="s">
        <v>3679</v>
      </c>
    </row>
    <row r="2755" spans="1:1">
      <c r="A2755" s="3" t="s">
        <v>1455</v>
      </c>
    </row>
    <row r="2756" spans="1:1">
      <c r="A2756" s="3" t="s">
        <v>3691</v>
      </c>
    </row>
    <row r="2757" spans="1:1">
      <c r="A2757" s="3" t="s">
        <v>3692</v>
      </c>
    </row>
    <row r="2758" spans="1:1">
      <c r="A2758" s="3" t="s">
        <v>4117</v>
      </c>
    </row>
    <row r="2759" spans="1:1">
      <c r="A2759" s="3" t="s">
        <v>2550</v>
      </c>
    </row>
    <row r="2760" spans="1:1">
      <c r="A2760" s="3" t="s">
        <v>2503</v>
      </c>
    </row>
    <row r="2761" spans="1:1">
      <c r="A2761" s="3" t="s">
        <v>1499</v>
      </c>
    </row>
    <row r="2762" spans="1:1">
      <c r="A2762" s="3" t="s">
        <v>192</v>
      </c>
    </row>
    <row r="2763" spans="1:1">
      <c r="A2763" s="3" t="s">
        <v>925</v>
      </c>
    </row>
    <row r="2764" spans="1:1">
      <c r="A2764" s="3" t="s">
        <v>851</v>
      </c>
    </row>
    <row r="2765" spans="1:1">
      <c r="A2765" s="3" t="s">
        <v>2012</v>
      </c>
    </row>
    <row r="2767" spans="1:1">
      <c r="A2767" s="3" t="s">
        <v>3428</v>
      </c>
    </row>
    <row r="2768" spans="1:1">
      <c r="A2768" s="3" t="s">
        <v>2652</v>
      </c>
    </row>
    <row r="2769" spans="1:1">
      <c r="A2769" s="3" t="s">
        <v>1922</v>
      </c>
    </row>
    <row r="2770" spans="1:1">
      <c r="A2770" s="3" t="s">
        <v>2203</v>
      </c>
    </row>
    <row r="2773" spans="1:1">
      <c r="A2773" s="3" t="s">
        <v>2119</v>
      </c>
    </row>
    <row r="2774" spans="1:1">
      <c r="A2774" s="3" t="s">
        <v>1632</v>
      </c>
    </row>
    <row r="2775" spans="1:1">
      <c r="A2775" s="3" t="s">
        <v>583</v>
      </c>
    </row>
    <row r="2776" spans="1:1">
      <c r="A2776" s="3" t="s">
        <v>283</v>
      </c>
    </row>
    <row r="2777" spans="1:1">
      <c r="A2777" s="3" t="s">
        <v>1433</v>
      </c>
    </row>
    <row r="2778" spans="1:1">
      <c r="A2778" s="3" t="s">
        <v>3387</v>
      </c>
    </row>
    <row r="2779" spans="1:1">
      <c r="A2779" s="3" t="s">
        <v>2293</v>
      </c>
    </row>
    <row r="2802" spans="1:1">
      <c r="A2802" s="8" t="s">
        <v>2294</v>
      </c>
    </row>
    <row r="2804" spans="1:1">
      <c r="A2804" s="3" t="s">
        <v>1090</v>
      </c>
    </row>
    <row r="2805" spans="1:1">
      <c r="A2805" s="3" t="s">
        <v>1897</v>
      </c>
    </row>
    <row r="2806" spans="1:1">
      <c r="A2806" s="3" t="s">
        <v>3842</v>
      </c>
    </row>
    <row r="2807" spans="1:1">
      <c r="A2807" s="3" t="s">
        <v>1968</v>
      </c>
    </row>
    <row r="2809" spans="1:1">
      <c r="A2809" s="3" t="s">
        <v>1917</v>
      </c>
    </row>
    <row r="2810" spans="1:1">
      <c r="A2810" s="3" t="s">
        <v>4524</v>
      </c>
    </row>
    <row r="2811" spans="1:1">
      <c r="A2811" s="3" t="s">
        <v>43</v>
      </c>
    </row>
    <row r="2812" spans="1:1">
      <c r="A2812" s="3" t="s">
        <v>44</v>
      </c>
    </row>
    <row r="2814" spans="1:1">
      <c r="A2814" s="3" t="s">
        <v>581</v>
      </c>
    </row>
    <row r="2815" spans="1:1">
      <c r="A2815" s="3" t="s">
        <v>3819</v>
      </c>
    </row>
    <row r="2816" spans="1:1">
      <c r="A2816" s="3" t="s">
        <v>1850</v>
      </c>
    </row>
    <row r="2817" spans="1:1">
      <c r="A2817" s="3" t="s">
        <v>2488</v>
      </c>
    </row>
    <row r="2818" spans="1:1">
      <c r="A2818" s="3" t="s">
        <v>4107</v>
      </c>
    </row>
    <row r="2820" spans="1:1">
      <c r="A2820" s="3" t="s">
        <v>4108</v>
      </c>
    </row>
    <row r="2822" spans="1:1">
      <c r="A2822" s="3" t="s">
        <v>1468</v>
      </c>
    </row>
    <row r="2824" spans="1:1">
      <c r="A2824" s="3" t="s">
        <v>1046</v>
      </c>
    </row>
    <row r="2825" spans="1:1">
      <c r="A2825" s="3" t="s">
        <v>1712</v>
      </c>
    </row>
    <row r="2826" spans="1:1">
      <c r="A2826" s="3" t="s">
        <v>3359</v>
      </c>
    </row>
    <row r="2827" spans="1:1">
      <c r="A2827" s="3" t="s">
        <v>543</v>
      </c>
    </row>
    <row r="2828" spans="1:1">
      <c r="A2828" s="3" t="s">
        <v>700</v>
      </c>
    </row>
    <row r="2830" spans="1:1">
      <c r="A2830" s="3" t="s">
        <v>701</v>
      </c>
    </row>
    <row r="2831" spans="1:1">
      <c r="A2831" s="3" t="s">
        <v>702</v>
      </c>
    </row>
    <row r="2832" spans="1:1">
      <c r="A2832" s="3" t="s">
        <v>703</v>
      </c>
    </row>
    <row r="2833" spans="1:1">
      <c r="A2833" s="3" t="s">
        <v>3941</v>
      </c>
    </row>
    <row r="2835" spans="1:1">
      <c r="A2835" s="3" t="s">
        <v>3942</v>
      </c>
    </row>
    <row r="2836" spans="1:1">
      <c r="A2836" s="3" t="s">
        <v>4076</v>
      </c>
    </row>
    <row r="2837" spans="1:1">
      <c r="A2837" s="3" t="s">
        <v>2150</v>
      </c>
    </row>
    <row r="2838" spans="1:1">
      <c r="A2838" s="3" t="s">
        <v>3166</v>
      </c>
    </row>
    <row r="2839" spans="1:1">
      <c r="A2839" s="3" t="s">
        <v>514</v>
      </c>
    </row>
    <row r="2841" spans="1:1">
      <c r="A2841" s="3" t="s">
        <v>42</v>
      </c>
    </row>
    <row r="2843" spans="1:1">
      <c r="A2843" s="3" t="s">
        <v>2239</v>
      </c>
    </row>
    <row r="2844" spans="1:1">
      <c r="A2844" s="3" t="s">
        <v>2240</v>
      </c>
    </row>
    <row r="2846" spans="1:1">
      <c r="A2846" s="3" t="s">
        <v>3594</v>
      </c>
    </row>
    <row r="2847" spans="1:1">
      <c r="A2847" s="3" t="s">
        <v>1473</v>
      </c>
    </row>
    <row r="2848" spans="1:1">
      <c r="A2848" s="3" t="s">
        <v>2234</v>
      </c>
    </row>
    <row r="2849" spans="1:1">
      <c r="A2849" s="3" t="s">
        <v>2291</v>
      </c>
    </row>
    <row r="2850" spans="1:1">
      <c r="A2850" s="3" t="s">
        <v>3278</v>
      </c>
    </row>
    <row r="2851" spans="1:1">
      <c r="A2851" s="3" t="s">
        <v>4004</v>
      </c>
    </row>
    <row r="2852" spans="1:1">
      <c r="A2852" s="3" t="s">
        <v>3006</v>
      </c>
    </row>
    <row r="2853" spans="1:1">
      <c r="A2853" s="3" t="s">
        <v>1884</v>
      </c>
    </row>
    <row r="2854" spans="1:1">
      <c r="A2854" s="3" t="s">
        <v>1885</v>
      </c>
    </row>
    <row r="2856" spans="1:1">
      <c r="A2856" s="3" t="s">
        <v>1565</v>
      </c>
    </row>
    <row r="2857" spans="1:1">
      <c r="A2857" s="3" t="s">
        <v>3856</v>
      </c>
    </row>
    <row r="2858" spans="1:1">
      <c r="A2858" s="3" t="s">
        <v>2427</v>
      </c>
    </row>
    <row r="2859" spans="1:1">
      <c r="A2859" s="3" t="s">
        <v>3557</v>
      </c>
    </row>
    <row r="2861" spans="1:1">
      <c r="A2861" s="3" t="s">
        <v>4649</v>
      </c>
    </row>
    <row r="2862" spans="1:1">
      <c r="A2862" s="3" t="s">
        <v>45</v>
      </c>
    </row>
    <row r="2863" spans="1:1">
      <c r="A2863" s="3" t="s">
        <v>4648</v>
      </c>
    </row>
    <row r="2864" spans="1:1">
      <c r="A2864" s="3" t="s">
        <v>3589</v>
      </c>
    </row>
    <row r="2865" spans="1:1">
      <c r="A2865" s="3" t="s">
        <v>1053</v>
      </c>
    </row>
    <row r="2866" spans="1:1">
      <c r="A2866" s="3" t="s">
        <v>3313</v>
      </c>
    </row>
    <row r="2867" spans="1:1">
      <c r="A2867" s="3" t="s">
        <v>3462</v>
      </c>
    </row>
    <row r="2868" spans="1:1">
      <c r="A2868" s="3" t="s">
        <v>1814</v>
      </c>
    </row>
    <row r="2869" spans="1:1">
      <c r="A2869" s="3" t="s">
        <v>3131</v>
      </c>
    </row>
    <row r="2870" spans="1:1">
      <c r="A2870" s="3" t="s">
        <v>1038</v>
      </c>
    </row>
    <row r="2871" spans="1:1">
      <c r="A2871" s="3" t="s">
        <v>1315</v>
      </c>
    </row>
    <row r="2872" spans="1:1">
      <c r="A2872" s="3" t="s">
        <v>3116</v>
      </c>
    </row>
    <row r="2873" spans="1:1">
      <c r="A2873" s="3" t="s">
        <v>3560</v>
      </c>
    </row>
    <row r="2874" spans="1:1">
      <c r="A2874" s="3" t="s">
        <v>1334</v>
      </c>
    </row>
    <row r="2875" spans="1:1">
      <c r="A2875" s="3" t="s">
        <v>1423</v>
      </c>
    </row>
    <row r="2876" spans="1:1">
      <c r="A2876" s="3" t="s">
        <v>2256</v>
      </c>
    </row>
    <row r="2877" spans="1:1">
      <c r="A2877" s="3" t="s">
        <v>4177</v>
      </c>
    </row>
    <row r="2878" spans="1:1">
      <c r="A2878" s="3" t="s">
        <v>2276</v>
      </c>
    </row>
    <row r="2879" spans="1:1">
      <c r="A2879" s="3" t="s">
        <v>2526</v>
      </c>
    </row>
    <row r="2880" spans="1:1">
      <c r="A2880" s="3" t="s">
        <v>3825</v>
      </c>
    </row>
    <row r="2881" spans="1:1">
      <c r="A2881" s="3" t="s">
        <v>2418</v>
      </c>
    </row>
    <row r="2883" spans="1:1">
      <c r="A2883" s="3" t="s">
        <v>756</v>
      </c>
    </row>
    <row r="2884" spans="1:1">
      <c r="A2884" s="3" t="s">
        <v>3608</v>
      </c>
    </row>
    <row r="2885" spans="1:1">
      <c r="A2885" s="3" t="s">
        <v>313</v>
      </c>
    </row>
    <row r="2886" spans="1:1">
      <c r="A2886" s="3" t="s">
        <v>1970</v>
      </c>
    </row>
    <row r="2887" spans="1:1">
      <c r="A2887" s="3" t="s">
        <v>4258</v>
      </c>
    </row>
    <row r="2888" spans="1:1">
      <c r="A2888" s="3" t="s">
        <v>2014</v>
      </c>
    </row>
    <row r="2889" spans="1:1">
      <c r="A2889" s="3" t="s">
        <v>295</v>
      </c>
    </row>
    <row r="2890" spans="1:1">
      <c r="A2890" s="3" t="s">
        <v>1689</v>
      </c>
    </row>
    <row r="2891" spans="1:1">
      <c r="A2891" s="3" t="s">
        <v>3351</v>
      </c>
    </row>
    <row r="2892" spans="1:1">
      <c r="A2892" s="3" t="s">
        <v>3007</v>
      </c>
    </row>
    <row r="2893" spans="1:1">
      <c r="A2893" s="3" t="s">
        <v>1744</v>
      </c>
    </row>
    <row r="2894" spans="1:1">
      <c r="A2894" s="3" t="s">
        <v>2566</v>
      </c>
    </row>
    <row r="2895" spans="1:1">
      <c r="A2895" s="3" t="s">
        <v>3335</v>
      </c>
    </row>
    <row r="2897" spans="1:1">
      <c r="A2897" s="3" t="s">
        <v>3336</v>
      </c>
    </row>
    <row r="2898" spans="1:1">
      <c r="A2898" s="3" t="s">
        <v>4341</v>
      </c>
    </row>
    <row r="2899" spans="1:1">
      <c r="A2899" s="3" t="s">
        <v>286</v>
      </c>
    </row>
    <row r="2900" spans="1:1">
      <c r="A2900" s="3" t="s">
        <v>1523</v>
      </c>
    </row>
    <row r="2901" spans="1:1">
      <c r="A2901" s="3" t="s">
        <v>872</v>
      </c>
    </row>
    <row r="2902" spans="1:1">
      <c r="A2902" s="3" t="s">
        <v>1047</v>
      </c>
    </row>
    <row r="2903" spans="1:1">
      <c r="A2903" s="3" t="s">
        <v>593</v>
      </c>
    </row>
    <row r="2904" spans="1:1">
      <c r="A2904" s="3" t="s">
        <v>3516</v>
      </c>
    </row>
    <row r="2905" spans="1:1">
      <c r="A2905" s="3" t="s">
        <v>3626</v>
      </c>
    </row>
    <row r="2906" spans="1:1">
      <c r="A2906" s="3" t="s">
        <v>3469</v>
      </c>
    </row>
    <row r="2907" spans="1:1">
      <c r="A2907" s="3" t="s">
        <v>688</v>
      </c>
    </row>
    <row r="2908" spans="1:1">
      <c r="A2908" s="3" t="s">
        <v>770</v>
      </c>
    </row>
    <row r="2909" spans="1:1">
      <c r="A2909" s="3" t="s">
        <v>3339</v>
      </c>
    </row>
    <row r="2911" spans="1:1">
      <c r="A2911" s="3" t="s">
        <v>3340</v>
      </c>
    </row>
    <row r="2912" spans="1:1">
      <c r="A2912" s="3" t="s">
        <v>2634</v>
      </c>
    </row>
    <row r="2913" spans="1:1">
      <c r="A2913" s="3" t="s">
        <v>1531</v>
      </c>
    </row>
    <row r="2914" spans="1:1">
      <c r="A2914" s="3" t="s">
        <v>1865</v>
      </c>
    </row>
    <row r="2915" spans="1:1">
      <c r="A2915" s="3" t="s">
        <v>2151</v>
      </c>
    </row>
    <row r="2916" spans="1:1">
      <c r="A2916" s="3" t="s">
        <v>2556</v>
      </c>
    </row>
    <row r="2917" spans="1:1">
      <c r="A2917" s="3" t="s">
        <v>2557</v>
      </c>
    </row>
    <row r="2919" spans="1:1">
      <c r="A2919" s="3" t="s">
        <v>278</v>
      </c>
    </row>
    <row r="2920" spans="1:1">
      <c r="A2920" s="3" t="s">
        <v>1211</v>
      </c>
    </row>
    <row r="2921" spans="1:1">
      <c r="A2921" s="3" t="s">
        <v>3518</v>
      </c>
    </row>
    <row r="2922" spans="1:1">
      <c r="A2922" s="3" t="s">
        <v>721</v>
      </c>
    </row>
    <row r="2923" spans="1:1">
      <c r="A2923" s="3" t="s">
        <v>3670</v>
      </c>
    </row>
    <row r="2924" spans="1:1">
      <c r="A2924" s="3" t="s">
        <v>413</v>
      </c>
    </row>
    <row r="2925" spans="1:1">
      <c r="A2925" s="3" t="s">
        <v>1001</v>
      </c>
    </row>
    <row r="2927" spans="1:1">
      <c r="A2927" s="3" t="s">
        <v>2885</v>
      </c>
    </row>
    <row r="2928" spans="1:1">
      <c r="A2928" s="3" t="s">
        <v>3149</v>
      </c>
    </row>
    <row r="2929" spans="1:1">
      <c r="A2929" s="3" t="s">
        <v>201</v>
      </c>
    </row>
    <row r="2930" spans="1:1">
      <c r="A2930" s="3" t="s">
        <v>202</v>
      </c>
    </row>
    <row r="2931" spans="1:1">
      <c r="A2931" s="3" t="s">
        <v>810</v>
      </c>
    </row>
    <row r="2932" spans="1:1">
      <c r="A2932" s="3" t="s">
        <v>2377</v>
      </c>
    </row>
    <row r="2933" spans="1:1">
      <c r="A2933" s="3" t="s">
        <v>974</v>
      </c>
    </row>
    <row r="2934" spans="1:1">
      <c r="A2934" s="3" t="s">
        <v>68</v>
      </c>
    </row>
    <row r="2935" spans="1:1">
      <c r="A2935" s="3" t="s">
        <v>1264</v>
      </c>
    </row>
    <row r="2936" spans="1:1">
      <c r="A2936" s="3" t="s">
        <v>2055</v>
      </c>
    </row>
    <row r="2937" spans="1:1">
      <c r="A2937" s="3" t="s">
        <v>2056</v>
      </c>
    </row>
    <row r="2939" spans="1:1">
      <c r="A2939" s="3" t="s">
        <v>4056</v>
      </c>
    </row>
    <row r="2940" spans="1:1">
      <c r="A2940" s="3" t="s">
        <v>3504</v>
      </c>
    </row>
    <row r="2941" spans="1:1">
      <c r="A2941" s="3" t="s">
        <v>3162</v>
      </c>
    </row>
    <row r="2942" spans="1:1">
      <c r="A2942" s="3" t="s">
        <v>1071</v>
      </c>
    </row>
    <row r="2943" spans="1:1">
      <c r="A2943" s="3" t="s">
        <v>3073</v>
      </c>
    </row>
    <row r="2944" spans="1:1">
      <c r="A2944" s="3" t="s">
        <v>3953</v>
      </c>
    </row>
    <row r="2945" spans="1:1">
      <c r="A2945" s="3" t="s">
        <v>352</v>
      </c>
    </row>
    <row r="2946" spans="1:1">
      <c r="A2946" s="3" t="s">
        <v>998</v>
      </c>
    </row>
    <row r="2947" spans="1:1">
      <c r="A2947" s="3" t="s">
        <v>3761</v>
      </c>
    </row>
    <row r="2949" spans="1:1">
      <c r="A2949" s="3" t="s">
        <v>2366</v>
      </c>
    </row>
    <row r="2951" spans="1:1">
      <c r="A2951" s="3" t="s">
        <v>1916</v>
      </c>
    </row>
    <row r="2952" spans="1:1">
      <c r="A2952" s="3" t="s">
        <v>3756</v>
      </c>
    </row>
    <row r="2953" spans="1:1">
      <c r="A2953" s="3" t="s">
        <v>229</v>
      </c>
    </row>
    <row r="2955" spans="1:1">
      <c r="A2955" s="3" t="s">
        <v>230</v>
      </c>
    </row>
    <row r="2956" spans="1:1">
      <c r="A2956" s="3" t="s">
        <v>1964</v>
      </c>
    </row>
    <row r="2957" spans="1:1">
      <c r="A2957" s="3" t="s">
        <v>634</v>
      </c>
    </row>
    <row r="2958" spans="1:1">
      <c r="A2958" s="3" t="s">
        <v>1669</v>
      </c>
    </row>
    <row r="2959" spans="1:1">
      <c r="A2959" s="3" t="s">
        <v>1606</v>
      </c>
    </row>
    <row r="2960" spans="1:1">
      <c r="A2960" s="3" t="s">
        <v>2265</v>
      </c>
    </row>
    <row r="2961" spans="1:1">
      <c r="A2961" s="3" t="s">
        <v>2612</v>
      </c>
    </row>
    <row r="2962" spans="1:1">
      <c r="A2962" s="3" t="s">
        <v>2613</v>
      </c>
    </row>
    <row r="2963" spans="1:1">
      <c r="A2963" s="3" t="s">
        <v>4460</v>
      </c>
    </row>
    <row r="2964" spans="1:1">
      <c r="A2964" s="3" t="s">
        <v>4030</v>
      </c>
    </row>
    <row r="2965" spans="1:1">
      <c r="A2965" s="3" t="s">
        <v>1765</v>
      </c>
    </row>
    <row r="2966" spans="1:1">
      <c r="A2966" s="3" t="s">
        <v>2295</v>
      </c>
    </row>
    <row r="2967" spans="1:1">
      <c r="A2967" s="3" t="s">
        <v>314</v>
      </c>
    </row>
    <row r="2984" spans="1:1">
      <c r="A2984" s="3" t="s">
        <v>1248</v>
      </c>
    </row>
    <row r="2985" spans="1:1">
      <c r="A2985" s="3" t="s">
        <v>1806</v>
      </c>
    </row>
    <row r="2986" spans="1:1">
      <c r="A2986" s="3" t="s">
        <v>2360</v>
      </c>
    </row>
    <row r="2987" spans="1:1">
      <c r="A2987" s="3" t="s">
        <v>4660</v>
      </c>
    </row>
    <row r="2988" spans="1:1">
      <c r="A2988" s="3" t="s">
        <v>4348</v>
      </c>
    </row>
    <row r="2989" spans="1:1">
      <c r="A2989" s="3" t="s">
        <v>4349</v>
      </c>
    </row>
    <row r="2991" spans="1:1">
      <c r="A2991" s="3" t="s">
        <v>4353</v>
      </c>
    </row>
    <row r="2993" spans="1:1">
      <c r="A2993" s="3" t="s">
        <v>1489</v>
      </c>
    </row>
    <row r="2994" spans="1:1">
      <c r="A2994" s="3" t="s">
        <v>4053</v>
      </c>
    </row>
    <row r="2995" spans="1:1">
      <c r="A2995" s="3" t="s">
        <v>327</v>
      </c>
    </row>
    <row r="2997" spans="1:1">
      <c r="A2997" s="3" t="s">
        <v>4511</v>
      </c>
    </row>
    <row r="2998" spans="1:1">
      <c r="A2998" s="3" t="s">
        <v>3816</v>
      </c>
    </row>
    <row r="2999" spans="1:1">
      <c r="A2999" s="3" t="s">
        <v>169</v>
      </c>
    </row>
    <row r="3000" spans="1:1">
      <c r="A3000" s="3" t="s">
        <v>684</v>
      </c>
    </row>
    <row r="3001" spans="1:1">
      <c r="A3001" s="3" t="s">
        <v>3975</v>
      </c>
    </row>
    <row r="3002" spans="1:1">
      <c r="A3002" s="3" t="s">
        <v>1740</v>
      </c>
    </row>
    <row r="3003" spans="1:1">
      <c r="A3003" s="3" t="s">
        <v>3184</v>
      </c>
    </row>
    <row r="3004" spans="1:1">
      <c r="A3004" s="3" t="s">
        <v>1339</v>
      </c>
    </row>
    <row r="3005" spans="1:1">
      <c r="A3005" s="3" t="s">
        <v>3815</v>
      </c>
    </row>
    <row r="3006" spans="1:1">
      <c r="A3006" s="3" t="s">
        <v>4569</v>
      </c>
    </row>
    <row r="3007" spans="1:1">
      <c r="A3007" s="3" t="s">
        <v>2516</v>
      </c>
    </row>
    <row r="3008" spans="1:1">
      <c r="A3008" s="3" t="s">
        <v>2594</v>
      </c>
    </row>
    <row r="3009" spans="1:1">
      <c r="A3009" s="3" t="s">
        <v>2779</v>
      </c>
    </row>
    <row r="3010" spans="1:1">
      <c r="A3010" s="3" t="s">
        <v>3442</v>
      </c>
    </row>
    <row r="3011" spans="1:1">
      <c r="A3011" s="3" t="s">
        <v>2191</v>
      </c>
    </row>
    <row r="3012" spans="1:1">
      <c r="A3012" s="3" t="s">
        <v>956</v>
      </c>
    </row>
    <row r="3013" spans="1:1">
      <c r="A3013" s="3" t="s">
        <v>2118</v>
      </c>
    </row>
    <row r="3014" spans="1:1">
      <c r="A3014" s="3" t="s">
        <v>2597</v>
      </c>
    </row>
    <row r="3015" spans="1:1">
      <c r="A3015" s="3" t="s">
        <v>1094</v>
      </c>
    </row>
    <row r="3016" spans="1:1">
      <c r="A3016" s="3" t="s">
        <v>185</v>
      </c>
    </row>
    <row r="3017" spans="1:1">
      <c r="A3017" s="3" t="s">
        <v>4572</v>
      </c>
    </row>
    <row r="3018" spans="1:1">
      <c r="A3018" s="3" t="s">
        <v>3266</v>
      </c>
    </row>
    <row r="3021" spans="1:1">
      <c r="A3021" s="3" t="s">
        <v>3955</v>
      </c>
    </row>
    <row r="3037" spans="1:1">
      <c r="A3037" s="3" t="s">
        <v>2114</v>
      </c>
    </row>
    <row r="3039" spans="1:1">
      <c r="A3039" s="3" t="s">
        <v>1752</v>
      </c>
    </row>
    <row r="3040" spans="1:1">
      <c r="A3040" s="3" t="s">
        <v>4490</v>
      </c>
    </row>
    <row r="3041" spans="1:1">
      <c r="A3041" s="3" t="s">
        <v>1959</v>
      </c>
    </row>
    <row r="3042" spans="1:1">
      <c r="A3042" s="3" t="s">
        <v>658</v>
      </c>
    </row>
    <row r="3043" spans="1:1">
      <c r="A3043" s="3" t="s">
        <v>1548</v>
      </c>
    </row>
    <row r="3044" spans="1:1">
      <c r="A3044" s="3" t="s">
        <v>1399</v>
      </c>
    </row>
    <row r="3045" spans="1:1">
      <c r="A3045" s="3" t="s">
        <v>388</v>
      </c>
    </row>
    <row r="3046" spans="1:1">
      <c r="A3046" s="3" t="s">
        <v>263</v>
      </c>
    </row>
    <row r="3047" spans="1:1">
      <c r="A3047" s="3" t="s">
        <v>264</v>
      </c>
    </row>
    <row r="3048" spans="1:1">
      <c r="A3048" s="3" t="s">
        <v>4080</v>
      </c>
    </row>
    <row r="3049" spans="1:1">
      <c r="A3049" s="3" t="s">
        <v>2909</v>
      </c>
    </row>
    <row r="3050" spans="1:1">
      <c r="A3050" s="3" t="s">
        <v>107</v>
      </c>
    </row>
    <row r="3051" spans="1:1">
      <c r="A3051" s="3" t="s">
        <v>2543</v>
      </c>
    </row>
    <row r="3052" spans="1:1">
      <c r="A3052" s="3" t="s">
        <v>4392</v>
      </c>
    </row>
    <row r="3053" spans="1:1">
      <c r="A3053" s="3" t="s">
        <v>505</v>
      </c>
    </row>
    <row r="3054" spans="1:1">
      <c r="A3054" s="3" t="s">
        <v>3444</v>
      </c>
    </row>
    <row r="3055" spans="1:1">
      <c r="A3055" s="3" t="s">
        <v>153</v>
      </c>
    </row>
    <row r="3056" spans="1:1">
      <c r="A3056" s="3" t="s">
        <v>506</v>
      </c>
    </row>
    <row r="3057" spans="1:1">
      <c r="A3057" s="3" t="s">
        <v>507</v>
      </c>
    </row>
    <row r="3058" spans="1:1">
      <c r="A3058" s="3" t="s">
        <v>2389</v>
      </c>
    </row>
    <row r="3059" spans="1:1">
      <c r="A3059" s="3" t="s">
        <v>2428</v>
      </c>
    </row>
    <row r="3060" spans="1:1">
      <c r="A3060" s="3" t="s">
        <v>4068</v>
      </c>
    </row>
    <row r="3061" spans="1:1">
      <c r="A3061" s="3" t="s">
        <v>3689</v>
      </c>
    </row>
    <row r="3062" spans="1:1">
      <c r="A3062" s="3" t="s">
        <v>2111</v>
      </c>
    </row>
    <row r="3063" spans="1:1">
      <c r="A3063" s="3" t="s">
        <v>975</v>
      </c>
    </row>
    <row r="3064" spans="1:1">
      <c r="A3064" s="3" t="s">
        <v>4502</v>
      </c>
    </row>
    <row r="3065" spans="1:1">
      <c r="A3065" s="3" t="s">
        <v>2792</v>
      </c>
    </row>
    <row r="3066" spans="1:1">
      <c r="A3066" s="3" t="s">
        <v>1949</v>
      </c>
    </row>
    <row r="3069" spans="1:1">
      <c r="A3069" s="3" t="s">
        <v>2391</v>
      </c>
    </row>
    <row r="3070" spans="1:1">
      <c r="A3070" s="3" t="s">
        <v>386</v>
      </c>
    </row>
    <row r="3071" spans="1:1">
      <c r="A3071" s="3" t="s">
        <v>2414</v>
      </c>
    </row>
    <row r="3072" spans="1:1">
      <c r="A3072" s="3" t="s">
        <v>4407</v>
      </c>
    </row>
    <row r="3073" spans="1:3">
      <c r="A3073" s="3">
        <v>1</v>
      </c>
    </row>
    <row r="3074" spans="1:3">
      <c r="A3074" s="3" t="s">
        <v>4408</v>
      </c>
    </row>
    <row r="3075" spans="1:3">
      <c r="A3075" s="3" t="s">
        <v>315</v>
      </c>
      <c r="C3075" s="3" t="s">
        <v>316</v>
      </c>
    </row>
  </sheetData>
  <phoneticPr fontId="104" type="noConversion"/>
  <hyperlinks>
    <hyperlink ref="J3" location="Model!B8" display="Model!B8"/>
    <hyperlink ref="L3" location="Model!P277" display="Model!P277"/>
    <hyperlink ref="A9" location="MANUAL!A39" display="MANUAL!A39"/>
    <hyperlink ref="A10" location="MANUAL!A99" display="MANUAL!A99"/>
    <hyperlink ref="A13" location="MANUAL!A189" display="MANUAL!A189"/>
    <hyperlink ref="A14" location="MANUAL!A270" display="MANUAL!A270"/>
    <hyperlink ref="A16" location="MANUAL!A547" display="MANUAL!A547"/>
    <hyperlink ref="A17" location="MANUAL!A650" display="MANUAL!A650"/>
    <hyperlink ref="A18" location="MANUAL!A859" display="MANUAL!A859"/>
    <hyperlink ref="A19" location="MANUAL!A2449" display="MANUAL!A2449"/>
    <hyperlink ref="A20" location="MANUAL!A2464" display="MANUAL!A2464"/>
    <hyperlink ref="A21" location="MANUAL!A2536" display="MANUAL!A2536"/>
    <hyperlink ref="A23" location="MANUAL!A2804" display="MANUAL!A2804"/>
    <hyperlink ref="A22" location="MANUAL!A2782" display="MANUAL!A2782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BE262"/>
  <sheetViews>
    <sheetView workbookViewId="0">
      <pane xSplit="4" ySplit="5" topLeftCell="AZ66" activePane="bottomRight" state="frozen"/>
      <selection pane="topRight" activeCell="E1" sqref="E1"/>
      <selection pane="bottomLeft" activeCell="A6" sqref="A6"/>
      <selection pane="bottomRight" activeCell="BE89" sqref="BE89"/>
    </sheetView>
  </sheetViews>
  <sheetFormatPr defaultRowHeight="12.75"/>
  <cols>
    <col min="1" max="16384" width="9.140625" style="289"/>
  </cols>
  <sheetData>
    <row r="1" spans="1:57">
      <c r="A1" s="289" t="s">
        <v>2218</v>
      </c>
      <c r="B1" s="289" t="s">
        <v>3395</v>
      </c>
      <c r="C1" s="289" t="s">
        <v>3563</v>
      </c>
      <c r="AY1" s="289" t="s">
        <v>1189</v>
      </c>
      <c r="BB1" s="289" t="s">
        <v>1190</v>
      </c>
      <c r="BE1" s="289" t="s">
        <v>1189</v>
      </c>
    </row>
    <row r="2" spans="1:57">
      <c r="A2" s="289" t="s">
        <v>585</v>
      </c>
      <c r="B2" s="289" t="s">
        <v>586</v>
      </c>
      <c r="C2" s="289" t="s">
        <v>587</v>
      </c>
      <c r="AX2" s="289" t="s">
        <v>588</v>
      </c>
      <c r="AY2" s="289" t="s">
        <v>589</v>
      </c>
      <c r="BB2" s="289" t="s">
        <v>590</v>
      </c>
      <c r="BD2" s="289" t="s">
        <v>588</v>
      </c>
      <c r="BE2" s="289" t="s">
        <v>589</v>
      </c>
    </row>
    <row r="3" spans="1:57">
      <c r="A3" s="289" t="s">
        <v>2395</v>
      </c>
      <c r="B3" s="289" t="s">
        <v>591</v>
      </c>
      <c r="C3" s="289" t="s">
        <v>592</v>
      </c>
      <c r="F3" s="294" t="s">
        <v>1328</v>
      </c>
      <c r="AY3" s="289" t="s">
        <v>2620</v>
      </c>
      <c r="BB3" s="289" t="s">
        <v>2621</v>
      </c>
      <c r="BE3" s="289" t="s">
        <v>2620</v>
      </c>
    </row>
    <row r="4" spans="1:57">
      <c r="A4" s="289" t="s">
        <v>3179</v>
      </c>
      <c r="B4" s="289" t="s">
        <v>1480</v>
      </c>
      <c r="C4" s="289" t="s">
        <v>2622</v>
      </c>
      <c r="AY4" s="289" t="s">
        <v>732</v>
      </c>
      <c r="BB4" s="289" t="s">
        <v>733</v>
      </c>
      <c r="BE4" s="289" t="s">
        <v>732</v>
      </c>
    </row>
    <row r="5" spans="1:57" s="262" customFormat="1">
      <c r="A5" s="262" t="s">
        <v>958</v>
      </c>
      <c r="B5" s="262" t="s">
        <v>1258</v>
      </c>
      <c r="C5" s="262" t="s">
        <v>734</v>
      </c>
      <c r="E5" s="262" t="s">
        <v>735</v>
      </c>
      <c r="F5" s="262">
        <v>1954</v>
      </c>
      <c r="G5" s="262">
        <v>1955</v>
      </c>
      <c r="H5" s="262">
        <v>1956</v>
      </c>
      <c r="I5" s="262">
        <v>1957</v>
      </c>
      <c r="J5" s="262">
        <v>1958</v>
      </c>
      <c r="K5" s="262">
        <v>1959</v>
      </c>
      <c r="L5" s="262">
        <v>1960</v>
      </c>
      <c r="M5" s="262">
        <v>1961</v>
      </c>
      <c r="N5" s="262">
        <v>1962</v>
      </c>
      <c r="O5" s="262">
        <v>1963</v>
      </c>
      <c r="P5" s="262">
        <v>1964</v>
      </c>
      <c r="Q5" s="262">
        <v>1965</v>
      </c>
      <c r="R5" s="262">
        <v>1966</v>
      </c>
      <c r="S5" s="262">
        <v>1967</v>
      </c>
      <c r="T5" s="262">
        <v>1968</v>
      </c>
      <c r="U5" s="262">
        <v>1969</v>
      </c>
      <c r="V5" s="262">
        <v>1970</v>
      </c>
      <c r="W5" s="262">
        <v>1971</v>
      </c>
      <c r="X5" s="262">
        <v>1972</v>
      </c>
      <c r="Y5" s="262">
        <v>1973</v>
      </c>
      <c r="Z5" s="262">
        <v>1974</v>
      </c>
      <c r="AA5" s="262">
        <v>1975</v>
      </c>
      <c r="AB5" s="262">
        <v>1976</v>
      </c>
      <c r="AC5" s="262">
        <v>1977</v>
      </c>
      <c r="AD5" s="262">
        <v>1978</v>
      </c>
      <c r="AE5" s="262">
        <v>1979</v>
      </c>
      <c r="AF5" s="262">
        <v>1980</v>
      </c>
      <c r="AG5" s="262">
        <v>1981</v>
      </c>
      <c r="AH5" s="262">
        <v>1982</v>
      </c>
      <c r="AI5" s="262">
        <v>1983</v>
      </c>
      <c r="AJ5" s="262">
        <v>1984</v>
      </c>
      <c r="AK5" s="262">
        <v>1985</v>
      </c>
      <c r="AL5" s="262">
        <v>1986</v>
      </c>
      <c r="AM5" s="262">
        <v>1987</v>
      </c>
      <c r="AN5" s="262">
        <v>1988</v>
      </c>
      <c r="AO5" s="262">
        <v>1989</v>
      </c>
      <c r="AP5" s="262">
        <v>1990</v>
      </c>
      <c r="AQ5" s="262">
        <v>1991</v>
      </c>
      <c r="AR5" s="262">
        <v>1992</v>
      </c>
      <c r="AS5" s="262">
        <v>1993</v>
      </c>
      <c r="AT5" s="262">
        <v>1994</v>
      </c>
      <c r="AU5" s="262">
        <v>1995</v>
      </c>
      <c r="AV5" s="262">
        <v>1996</v>
      </c>
      <c r="AW5" s="262">
        <v>1997</v>
      </c>
      <c r="AX5" s="262">
        <v>1998</v>
      </c>
      <c r="AY5" s="262">
        <v>1999</v>
      </c>
      <c r="AZ5" s="262">
        <v>2000</v>
      </c>
      <c r="BA5" s="262">
        <v>2001</v>
      </c>
      <c r="BB5" s="262">
        <v>2002</v>
      </c>
      <c r="BC5" s="262">
        <v>2003</v>
      </c>
      <c r="BD5" s="262">
        <v>2004</v>
      </c>
      <c r="BE5" s="262">
        <v>2005</v>
      </c>
    </row>
    <row r="6" spans="1:57">
      <c r="A6" s="289" t="s">
        <v>2219</v>
      </c>
    </row>
    <row r="7" spans="1:57">
      <c r="A7" s="289" t="s">
        <v>2219</v>
      </c>
    </row>
    <row r="10" spans="1:57">
      <c r="A10" s="289" t="s">
        <v>736</v>
      </c>
    </row>
    <row r="11" spans="1:57">
      <c r="A11" s="289" t="s">
        <v>904</v>
      </c>
      <c r="AP11" s="289" t="s">
        <v>2219</v>
      </c>
      <c r="AT11" s="289" t="s">
        <v>2219</v>
      </c>
      <c r="AU11" s="289" t="s">
        <v>2219</v>
      </c>
      <c r="AV11" s="289" t="s">
        <v>2219</v>
      </c>
      <c r="AW11" s="289" t="s">
        <v>2219</v>
      </c>
      <c r="AX11" s="289" t="s">
        <v>2219</v>
      </c>
      <c r="AY11" s="289" t="s">
        <v>2219</v>
      </c>
      <c r="AZ11" s="289" t="s">
        <v>2219</v>
      </c>
      <c r="BA11" s="289" t="s">
        <v>2219</v>
      </c>
      <c r="BB11" s="289" t="s">
        <v>2219</v>
      </c>
      <c r="BC11" s="289" t="s">
        <v>2219</v>
      </c>
      <c r="BD11" s="289" t="s">
        <v>2219</v>
      </c>
      <c r="BE11" s="289" t="s">
        <v>2219</v>
      </c>
    </row>
    <row r="12" spans="1:57">
      <c r="A12" s="289" t="s">
        <v>905</v>
      </c>
      <c r="AP12" s="289" t="s">
        <v>2219</v>
      </c>
    </row>
    <row r="13" spans="1:57">
      <c r="A13" s="289" t="s">
        <v>904</v>
      </c>
      <c r="AN13" s="289" t="s">
        <v>2219</v>
      </c>
      <c r="AO13" s="289" t="s">
        <v>2219</v>
      </c>
      <c r="AP13" s="289" t="s">
        <v>2219</v>
      </c>
      <c r="AQ13" s="289" t="s">
        <v>2219</v>
      </c>
      <c r="AR13" s="289" t="s">
        <v>2219</v>
      </c>
      <c r="AS13" s="289" t="s">
        <v>2219</v>
      </c>
      <c r="AT13" s="289" t="s">
        <v>2219</v>
      </c>
      <c r="AU13" s="289" t="s">
        <v>2219</v>
      </c>
      <c r="AV13" s="289" t="s">
        <v>2219</v>
      </c>
      <c r="AW13" s="289" t="s">
        <v>2219</v>
      </c>
      <c r="AX13" s="289" t="s">
        <v>2219</v>
      </c>
      <c r="AY13" s="289" t="s">
        <v>2219</v>
      </c>
      <c r="AZ13" s="289" t="s">
        <v>2219</v>
      </c>
      <c r="BA13" s="289" t="s">
        <v>2219</v>
      </c>
      <c r="BB13" s="289" t="s">
        <v>2219</v>
      </c>
      <c r="BC13" s="289" t="s">
        <v>2219</v>
      </c>
      <c r="BD13" s="289" t="s">
        <v>2219</v>
      </c>
      <c r="BE13" s="289" t="s">
        <v>2219</v>
      </c>
    </row>
    <row r="14" spans="1:57">
      <c r="A14" s="289" t="s">
        <v>2684</v>
      </c>
      <c r="C14" s="289" t="s">
        <v>2046</v>
      </c>
      <c r="D14" s="289" t="s">
        <v>4564</v>
      </c>
      <c r="E14" s="289" t="s">
        <v>3530</v>
      </c>
      <c r="F14" s="289">
        <v>0.10890000000000001</v>
      </c>
      <c r="G14" s="289">
        <v>0.11259999999999999</v>
      </c>
      <c r="H14" s="289">
        <v>0.12151309967041016</v>
      </c>
      <c r="I14" s="289">
        <v>0.13808164978027343</v>
      </c>
      <c r="J14" s="289">
        <v>0.14706317138671876</v>
      </c>
      <c r="K14" s="289">
        <v>0.16201873779296874</v>
      </c>
      <c r="L14" s="289">
        <v>0.17508694458007812</v>
      </c>
      <c r="M14" s="289">
        <v>0.17672322082519532</v>
      </c>
      <c r="N14" s="289">
        <v>0.18668693542480469</v>
      </c>
      <c r="O14" s="289">
        <v>0.20040840148925781</v>
      </c>
      <c r="P14" s="289">
        <v>0.21904617309570312</v>
      </c>
      <c r="Q14" s="289">
        <v>0.25320899963378907</v>
      </c>
      <c r="R14" s="289">
        <v>0.32270901489257814</v>
      </c>
      <c r="S14" s="289">
        <v>0.3790799865722656</v>
      </c>
      <c r="T14" s="289">
        <v>0.41746499633789064</v>
      </c>
      <c r="U14" s="289">
        <v>0.42966198730468752</v>
      </c>
      <c r="V14" s="289">
        <v>0.4453080139160156</v>
      </c>
      <c r="W14" s="289">
        <v>0.4883009948730469</v>
      </c>
      <c r="X14" s="289">
        <v>0.50700000000000001</v>
      </c>
      <c r="Y14" s="289">
        <v>0.5539000244140625</v>
      </c>
      <c r="Z14" s="289">
        <v>0.68070001220703125</v>
      </c>
      <c r="AA14" s="289">
        <v>0.81240002441406245</v>
      </c>
      <c r="AB14" s="289">
        <v>0.8696300048828125</v>
      </c>
      <c r="AC14" s="289">
        <v>1.1004599609375001</v>
      </c>
      <c r="AD14" s="289">
        <v>1.2600400390625</v>
      </c>
      <c r="AE14" s="289">
        <v>1.343760009765625</v>
      </c>
      <c r="AF14" s="289">
        <v>1.376489990234375</v>
      </c>
      <c r="AG14" s="289">
        <v>1.5221700439453125</v>
      </c>
      <c r="AH14" s="289">
        <v>1.5024999999999999</v>
      </c>
      <c r="AI14" s="289">
        <v>1.4129699707031249</v>
      </c>
      <c r="AJ14" s="289">
        <v>1.3707099609375</v>
      </c>
      <c r="AK14" s="289">
        <v>1.3574300537109374</v>
      </c>
      <c r="AL14" s="289">
        <v>1.3817600097656251</v>
      </c>
      <c r="AM14" s="289">
        <v>1.5015000000000001</v>
      </c>
      <c r="AN14" s="289">
        <v>1.814449951171875</v>
      </c>
      <c r="AO14" s="289">
        <v>2.1924999999999999</v>
      </c>
      <c r="AP14" s="289">
        <v>3.0186599999999997</v>
      </c>
      <c r="AQ14" s="289">
        <v>3.5215699999999996</v>
      </c>
      <c r="AR14" s="289">
        <v>4.6094999999999997</v>
      </c>
      <c r="AS14" s="289">
        <v>11.28565</v>
      </c>
      <c r="AT14" s="289">
        <v>44.913250000000005</v>
      </c>
      <c r="AU14" s="289">
        <v>218.98577000000003</v>
      </c>
      <c r="AV14" s="289">
        <v>278.39737000000002</v>
      </c>
      <c r="AW14" s="289">
        <v>337.80897000000004</v>
      </c>
      <c r="AX14" s="289">
        <v>397.22057000000001</v>
      </c>
      <c r="AY14" s="289">
        <v>687.39930000000004</v>
      </c>
      <c r="AZ14" s="289">
        <v>1005.4160000000001</v>
      </c>
      <c r="BA14" s="289">
        <v>1450.663</v>
      </c>
      <c r="BB14" s="289">
        <v>2204.143</v>
      </c>
      <c r="BC14" s="289">
        <v>2962.2629999999999</v>
      </c>
      <c r="BD14" s="289">
        <v>3653.15</v>
      </c>
      <c r="BE14" s="289">
        <v>3971.4985207239147</v>
      </c>
    </row>
    <row r="15" spans="1:57">
      <c r="A15" s="289" t="s">
        <v>2685</v>
      </c>
      <c r="C15" s="289" t="s">
        <v>2046</v>
      </c>
      <c r="D15" s="289" t="s">
        <v>4564</v>
      </c>
      <c r="E15" s="289" t="s">
        <v>4362</v>
      </c>
      <c r="F15" s="289">
        <v>2.3600000000000003E-2</v>
      </c>
      <c r="G15" s="289">
        <v>2.52E-2</v>
      </c>
      <c r="H15" s="289">
        <v>2.8200000762939454E-2</v>
      </c>
      <c r="I15" s="289">
        <v>3.8599998474121093E-2</v>
      </c>
      <c r="J15" s="289">
        <v>3.9700000762939454E-2</v>
      </c>
      <c r="K15" s="289">
        <v>4.1099998474121095E-2</v>
      </c>
      <c r="L15" s="289">
        <v>4.5599998474121092E-2</v>
      </c>
      <c r="M15" s="289">
        <v>4.9099998474121095E-2</v>
      </c>
      <c r="N15" s="289">
        <v>5.5700000762939454E-2</v>
      </c>
      <c r="O15" s="289">
        <v>6.3400001525878907E-2</v>
      </c>
      <c r="P15" s="289">
        <v>0.12059999847412109</v>
      </c>
      <c r="Q15" s="289">
        <v>0.12730000305175782</v>
      </c>
      <c r="R15" s="289">
        <v>9.6000000000000002E-2</v>
      </c>
      <c r="S15" s="289">
        <v>7.7699996948242187E-2</v>
      </c>
      <c r="T15" s="289">
        <v>8.190000152587891E-2</v>
      </c>
      <c r="U15" s="289">
        <v>6.9099998474121099E-2</v>
      </c>
      <c r="V15" s="289">
        <v>6.9099998474121099E-2</v>
      </c>
      <c r="W15" s="289">
        <v>7.6999999999999999E-2</v>
      </c>
      <c r="X15" s="289">
        <v>0.09</v>
      </c>
      <c r="Y15" s="289">
        <v>0.115</v>
      </c>
      <c r="Z15" s="289">
        <v>0.20200000000000001</v>
      </c>
      <c r="AA15" s="289">
        <v>0.27520001220703127</v>
      </c>
      <c r="AB15" s="289">
        <v>0.16089999389648438</v>
      </c>
      <c r="AC15" s="289">
        <v>0.23910000610351562</v>
      </c>
      <c r="AD15" s="289">
        <v>0.21889999389648437</v>
      </c>
      <c r="AE15" s="289">
        <v>0.19950000000000001</v>
      </c>
      <c r="AF15" s="289">
        <v>0.29208999633789062</v>
      </c>
      <c r="AG15" s="289">
        <v>0.37942999267578126</v>
      </c>
      <c r="AH15" s="289">
        <v>0.32235998535156252</v>
      </c>
      <c r="AI15" s="289">
        <v>0.15617999267578125</v>
      </c>
      <c r="AJ15" s="289">
        <v>0.11880999755859376</v>
      </c>
      <c r="AK15" s="289">
        <v>0.14599999999999999</v>
      </c>
      <c r="AL15" s="289">
        <v>0.17299999999999999</v>
      </c>
      <c r="AM15" s="289">
        <v>0.17299999999999999</v>
      </c>
      <c r="AN15" s="289">
        <v>0.22</v>
      </c>
      <c r="AO15" s="289">
        <v>0.22260000610351563</v>
      </c>
      <c r="AP15" s="289">
        <v>0.56641999999999992</v>
      </c>
      <c r="AQ15" s="289">
        <v>0.71115000000000006</v>
      </c>
      <c r="AR15" s="289">
        <v>1.0469300000000001</v>
      </c>
      <c r="AS15" s="289">
        <v>2.2277999999999998</v>
      </c>
      <c r="AT15" s="289">
        <v>20.53877</v>
      </c>
      <c r="AU15" s="289">
        <v>32.773789999999998</v>
      </c>
      <c r="AV15" s="289">
        <v>134.96355000000003</v>
      </c>
      <c r="AW15" s="289">
        <v>103.71688</v>
      </c>
      <c r="AX15" s="289">
        <v>45.365000000000002</v>
      </c>
      <c r="AY15" s="289">
        <v>83.716999999999999</v>
      </c>
      <c r="AZ15" s="289">
        <v>117.077</v>
      </c>
      <c r="BA15" s="289">
        <v>441.81900000000002</v>
      </c>
      <c r="BB15" s="289">
        <v>490.44200000000001</v>
      </c>
      <c r="BC15" s="289">
        <v>674.33699999999999</v>
      </c>
      <c r="BD15" s="289">
        <v>834.45255911434947</v>
      </c>
      <c r="BE15" s="289">
        <v>924.03552790245305</v>
      </c>
    </row>
    <row r="16" spans="1:57">
      <c r="A16" s="289" t="s">
        <v>4118</v>
      </c>
      <c r="C16" s="289" t="s">
        <v>2046</v>
      </c>
      <c r="D16" s="289" t="s">
        <v>4564</v>
      </c>
      <c r="E16" s="289" t="s">
        <v>1435</v>
      </c>
      <c r="F16" s="289">
        <v>4.1500000000000002E-2</v>
      </c>
      <c r="G16" s="289">
        <v>4.3400000000000001E-2</v>
      </c>
      <c r="H16" s="289">
        <v>4.6439998626708986E-2</v>
      </c>
      <c r="I16" s="289">
        <v>5.241699981689453E-2</v>
      </c>
      <c r="J16" s="289">
        <v>5.6544998168945315E-2</v>
      </c>
      <c r="K16" s="289">
        <v>6.2349998474121093E-2</v>
      </c>
      <c r="L16" s="289">
        <v>6.665000152587891E-2</v>
      </c>
      <c r="M16" s="289">
        <v>6.7080001831054684E-2</v>
      </c>
      <c r="N16" s="289">
        <v>7.1165000915527341E-2</v>
      </c>
      <c r="O16" s="289">
        <v>7.6110000610351558E-2</v>
      </c>
      <c r="P16" s="289">
        <v>8.243099975585938E-2</v>
      </c>
      <c r="Q16" s="289">
        <v>8.608599853515625E-2</v>
      </c>
      <c r="R16" s="289">
        <v>9.8396003723144526E-2</v>
      </c>
      <c r="S16" s="289">
        <v>0.10769999694824219</v>
      </c>
      <c r="T16" s="289">
        <v>0.12057599639892579</v>
      </c>
      <c r="U16" s="289">
        <v>0.13096800231933595</v>
      </c>
      <c r="V16" s="289">
        <v>0.1467790069580078</v>
      </c>
      <c r="W16" s="289">
        <v>0.15624000549316405</v>
      </c>
      <c r="X16" s="289">
        <v>0.17239999389648439</v>
      </c>
      <c r="Y16" s="289">
        <v>0.192</v>
      </c>
      <c r="Z16" s="289">
        <v>0.2175</v>
      </c>
      <c r="AA16" s="289">
        <v>0.27389999389648439</v>
      </c>
      <c r="AB16" s="289">
        <v>0.32139999389648438</v>
      </c>
      <c r="AC16" s="289">
        <v>0.4126000061035156</v>
      </c>
      <c r="AD16" s="289">
        <v>0.49049999999999999</v>
      </c>
      <c r="AE16" s="289">
        <v>0.50420001220703126</v>
      </c>
      <c r="AF16" s="289">
        <v>0.60074401855468751</v>
      </c>
      <c r="AG16" s="289">
        <v>0.6944051513671875</v>
      </c>
      <c r="AH16" s="289">
        <v>0.77085192871093755</v>
      </c>
      <c r="AI16" s="289">
        <v>0.81893273925781251</v>
      </c>
      <c r="AJ16" s="289">
        <v>0.84596643066406252</v>
      </c>
      <c r="AK16" s="289">
        <v>0.8725950927734375</v>
      </c>
      <c r="AL16" s="289">
        <v>0.80781958007812504</v>
      </c>
      <c r="AM16" s="289">
        <v>0.71</v>
      </c>
      <c r="AN16" s="289">
        <v>0.747</v>
      </c>
      <c r="AO16" s="289">
        <v>0.80829998779296874</v>
      </c>
      <c r="AP16" s="289">
        <v>0.90961999999999998</v>
      </c>
      <c r="AQ16" s="289">
        <v>1.0680000000000001</v>
      </c>
      <c r="AR16" s="289">
        <v>1.3939999999999999</v>
      </c>
      <c r="AS16" s="289">
        <v>2.4820000000000002</v>
      </c>
      <c r="AT16" s="289">
        <v>15.302</v>
      </c>
      <c r="AU16" s="289">
        <v>65.677000000000007</v>
      </c>
      <c r="AV16" s="289">
        <v>100.84399999999999</v>
      </c>
      <c r="AW16" s="289">
        <v>133.77799999999999</v>
      </c>
      <c r="AX16" s="289">
        <v>159.37317000000002</v>
      </c>
      <c r="AY16" s="289">
        <v>286.04847999999998</v>
      </c>
      <c r="AZ16" s="289">
        <v>389.363</v>
      </c>
      <c r="BA16" s="289">
        <v>634.14369999999997</v>
      </c>
      <c r="BB16" s="289">
        <v>762.428</v>
      </c>
      <c r="BC16" s="289">
        <v>720.43700000000001</v>
      </c>
      <c r="BD16" s="289">
        <v>974.46601507267667</v>
      </c>
      <c r="BE16" s="289">
        <v>1143.809742759132</v>
      </c>
    </row>
    <row r="17" spans="1:57">
      <c r="A17" s="289" t="s">
        <v>457</v>
      </c>
      <c r="C17" s="289" t="s">
        <v>2046</v>
      </c>
      <c r="D17" s="289" t="s">
        <v>4564</v>
      </c>
      <c r="E17" s="289" t="s">
        <v>2681</v>
      </c>
      <c r="F17" s="289">
        <v>8.0999999999999996E-3</v>
      </c>
      <c r="G17" s="289">
        <v>9.4000000000000004E-3</v>
      </c>
      <c r="H17" s="289">
        <v>1.0800000190734863E-2</v>
      </c>
      <c r="I17" s="289">
        <v>1.2500000000000001E-2</v>
      </c>
      <c r="J17" s="289">
        <v>1.2899999618530273E-2</v>
      </c>
      <c r="K17" s="289">
        <v>1.4E-2</v>
      </c>
      <c r="L17" s="289">
        <v>1.4999999999999999E-2</v>
      </c>
      <c r="M17" s="289">
        <v>0.02</v>
      </c>
      <c r="N17" s="289">
        <v>2.0500000000000001E-2</v>
      </c>
      <c r="O17" s="289">
        <v>2.1700000762939452E-2</v>
      </c>
      <c r="P17" s="289">
        <v>2.4100000381469727E-2</v>
      </c>
      <c r="Q17" s="289">
        <v>2.7899999618530274E-2</v>
      </c>
      <c r="R17" s="289">
        <v>3.4236259460449218E-2</v>
      </c>
      <c r="S17" s="289">
        <v>4.0149082183837892E-2</v>
      </c>
      <c r="T17" s="289">
        <v>4.3782920837402345E-2</v>
      </c>
      <c r="U17" s="289">
        <v>4.7741664886474612E-2</v>
      </c>
      <c r="V17" s="289">
        <v>5.110216522216797E-2</v>
      </c>
      <c r="W17" s="289">
        <v>5.5593360900878908E-2</v>
      </c>
      <c r="X17" s="289">
        <v>5.9400001525878904E-2</v>
      </c>
      <c r="Y17" s="289">
        <v>6.9000000000000006E-2</v>
      </c>
      <c r="Z17" s="289">
        <v>8.5000000000000006E-2</v>
      </c>
      <c r="AA17" s="289">
        <v>9.0959999084472651E-2</v>
      </c>
      <c r="AB17" s="289">
        <v>0.11237000274658203</v>
      </c>
      <c r="AC17" s="289">
        <v>0.13410000610351563</v>
      </c>
      <c r="AD17" s="289">
        <v>0.14561999511718751</v>
      </c>
      <c r="AE17" s="289">
        <v>0.16836000061035156</v>
      </c>
      <c r="AF17" s="289">
        <v>0.17158000183105468</v>
      </c>
      <c r="AG17" s="289">
        <v>0.18639999389648437</v>
      </c>
      <c r="AH17" s="289">
        <v>0.18233000183105469</v>
      </c>
      <c r="AI17" s="289">
        <v>0.18247000122070312</v>
      </c>
      <c r="AJ17" s="289">
        <v>0.17297000122070313</v>
      </c>
      <c r="AK17" s="289">
        <v>0.1745500030517578</v>
      </c>
      <c r="AL17" s="289">
        <v>0.18074999999999999</v>
      </c>
      <c r="AM17" s="289">
        <v>0.188</v>
      </c>
      <c r="AN17" s="289">
        <v>0.186</v>
      </c>
      <c r="AO17" s="289">
        <v>0.28720001220703123</v>
      </c>
      <c r="AP17" s="289">
        <v>0.34073000000000003</v>
      </c>
      <c r="AQ17" s="289">
        <v>0.46747000000000005</v>
      </c>
      <c r="AR17" s="289">
        <v>0.63603999999999994</v>
      </c>
      <c r="AS17" s="289">
        <v>1.4209499999999999</v>
      </c>
      <c r="AT17" s="289">
        <v>6.97905</v>
      </c>
      <c r="AU17" s="289">
        <v>22.00149</v>
      </c>
      <c r="AV17" s="289">
        <v>76.643240000000006</v>
      </c>
      <c r="AW17" s="289">
        <v>85.684420000000003</v>
      </c>
      <c r="AX17" s="289">
        <v>100.68707000000001</v>
      </c>
      <c r="AY17" s="289">
        <v>170.74192000000002</v>
      </c>
      <c r="AZ17" s="289">
        <v>261.09005999999999</v>
      </c>
      <c r="BA17" s="289">
        <v>387.32612842106619</v>
      </c>
      <c r="BB17" s="289">
        <v>400.06162765655665</v>
      </c>
      <c r="BC17" s="289">
        <v>488.63715711766685</v>
      </c>
      <c r="BD17" s="289">
        <v>624.44922427330391</v>
      </c>
      <c r="BE17" s="289">
        <v>716.33152177888144</v>
      </c>
    </row>
    <row r="18" spans="1:57">
      <c r="A18" s="289" t="s">
        <v>904</v>
      </c>
      <c r="C18" s="289" t="s">
        <v>2219</v>
      </c>
      <c r="F18" s="289" t="s">
        <v>2219</v>
      </c>
      <c r="G18" s="289" t="s">
        <v>2219</v>
      </c>
      <c r="H18" s="289" t="s">
        <v>2219</v>
      </c>
      <c r="I18" s="289" t="s">
        <v>2219</v>
      </c>
      <c r="J18" s="289" t="s">
        <v>2219</v>
      </c>
      <c r="K18" s="289" t="s">
        <v>2219</v>
      </c>
      <c r="L18" s="289" t="s">
        <v>2219</v>
      </c>
      <c r="M18" s="289" t="s">
        <v>2219</v>
      </c>
      <c r="N18" s="289" t="s">
        <v>2219</v>
      </c>
      <c r="O18" s="289" t="s">
        <v>2219</v>
      </c>
      <c r="P18" s="289" t="s">
        <v>2219</v>
      </c>
      <c r="Q18" s="289" t="s">
        <v>2219</v>
      </c>
      <c r="R18" s="289" t="s">
        <v>2219</v>
      </c>
      <c r="S18" s="289" t="s">
        <v>2219</v>
      </c>
      <c r="T18" s="289" t="s">
        <v>2219</v>
      </c>
      <c r="U18" s="289" t="s">
        <v>2219</v>
      </c>
      <c r="V18" s="289" t="s">
        <v>2219</v>
      </c>
      <c r="W18" s="289" t="s">
        <v>2219</v>
      </c>
      <c r="X18" s="289" t="s">
        <v>2219</v>
      </c>
      <c r="Y18" s="289" t="s">
        <v>2219</v>
      </c>
      <c r="Z18" s="289" t="s">
        <v>2219</v>
      </c>
      <c r="AA18" s="289" t="s">
        <v>2219</v>
      </c>
      <c r="AB18" s="289" t="s">
        <v>2219</v>
      </c>
      <c r="AC18" s="289" t="s">
        <v>2219</v>
      </c>
      <c r="AD18" s="289" t="s">
        <v>2219</v>
      </c>
      <c r="AE18" s="289" t="s">
        <v>2219</v>
      </c>
      <c r="AF18" s="289" t="s">
        <v>2219</v>
      </c>
      <c r="AG18" s="289" t="s">
        <v>2219</v>
      </c>
      <c r="AH18" s="289" t="s">
        <v>2219</v>
      </c>
      <c r="AI18" s="289" t="s">
        <v>2219</v>
      </c>
      <c r="AJ18" s="289" t="s">
        <v>2219</v>
      </c>
      <c r="AK18" s="289" t="s">
        <v>2219</v>
      </c>
      <c r="AL18" s="289" t="s">
        <v>2219</v>
      </c>
      <c r="AM18" s="289" t="s">
        <v>2219</v>
      </c>
      <c r="AN18" s="289" t="s">
        <v>2219</v>
      </c>
      <c r="AO18" s="289" t="s">
        <v>2219</v>
      </c>
      <c r="AP18" s="289" t="s">
        <v>2219</v>
      </c>
      <c r="AQ18" s="289" t="s">
        <v>2219</v>
      </c>
      <c r="AR18" s="289" t="s">
        <v>2219</v>
      </c>
      <c r="AS18" s="289" t="s">
        <v>2219</v>
      </c>
      <c r="AT18" s="289" t="s">
        <v>2219</v>
      </c>
      <c r="AU18" s="289" t="s">
        <v>2219</v>
      </c>
      <c r="AV18" s="289" t="s">
        <v>2219</v>
      </c>
      <c r="AW18" s="289" t="s">
        <v>2219</v>
      </c>
      <c r="AX18" s="289" t="s">
        <v>2219</v>
      </c>
      <c r="AY18" s="289" t="s">
        <v>2219</v>
      </c>
      <c r="AZ18" s="289" t="s">
        <v>2219</v>
      </c>
      <c r="BA18" s="289" t="s">
        <v>2219</v>
      </c>
      <c r="BB18" s="289" t="s">
        <v>2219</v>
      </c>
      <c r="BC18" s="289" t="s">
        <v>2219</v>
      </c>
      <c r="BD18" s="289" t="s">
        <v>2219</v>
      </c>
      <c r="BE18" s="289" t="s">
        <v>2219</v>
      </c>
    </row>
    <row r="19" spans="1:57">
      <c r="A19" s="289" t="s">
        <v>458</v>
      </c>
      <c r="C19" s="289" t="s">
        <v>2219</v>
      </c>
    </row>
    <row r="20" spans="1:57">
      <c r="A20" s="289" t="s">
        <v>904</v>
      </c>
      <c r="C20" s="289" t="s">
        <v>2219</v>
      </c>
      <c r="F20" s="289" t="s">
        <v>2219</v>
      </c>
      <c r="G20" s="289" t="s">
        <v>2219</v>
      </c>
      <c r="H20" s="289" t="s">
        <v>2219</v>
      </c>
      <c r="I20" s="289" t="s">
        <v>2219</v>
      </c>
      <c r="J20" s="289" t="s">
        <v>2219</v>
      </c>
      <c r="K20" s="289" t="s">
        <v>2219</v>
      </c>
      <c r="L20" s="289" t="s">
        <v>2219</v>
      </c>
      <c r="M20" s="289" t="s">
        <v>2219</v>
      </c>
      <c r="N20" s="289" t="s">
        <v>2219</v>
      </c>
      <c r="O20" s="289" t="s">
        <v>2219</v>
      </c>
      <c r="P20" s="289" t="s">
        <v>2219</v>
      </c>
      <c r="Q20" s="289" t="s">
        <v>2219</v>
      </c>
      <c r="R20" s="289" t="s">
        <v>2219</v>
      </c>
      <c r="S20" s="289" t="s">
        <v>2219</v>
      </c>
      <c r="T20" s="289" t="s">
        <v>2219</v>
      </c>
      <c r="U20" s="289" t="s">
        <v>2219</v>
      </c>
      <c r="V20" s="289" t="s">
        <v>2219</v>
      </c>
      <c r="W20" s="289" t="s">
        <v>2219</v>
      </c>
      <c r="X20" s="289" t="s">
        <v>2219</v>
      </c>
      <c r="Y20" s="289" t="s">
        <v>2219</v>
      </c>
      <c r="Z20" s="289" t="s">
        <v>2219</v>
      </c>
      <c r="AA20" s="289" t="s">
        <v>2219</v>
      </c>
      <c r="AB20" s="289" t="s">
        <v>2219</v>
      </c>
      <c r="AC20" s="289" t="s">
        <v>2219</v>
      </c>
      <c r="AD20" s="289" t="s">
        <v>2219</v>
      </c>
      <c r="AE20" s="289" t="s">
        <v>2219</v>
      </c>
      <c r="AF20" s="289" t="s">
        <v>2219</v>
      </c>
      <c r="AG20" s="289" t="s">
        <v>2219</v>
      </c>
      <c r="AH20" s="289" t="s">
        <v>2219</v>
      </c>
      <c r="AI20" s="289" t="s">
        <v>2219</v>
      </c>
      <c r="AJ20" s="289" t="s">
        <v>2219</v>
      </c>
      <c r="AK20" s="289" t="s">
        <v>2219</v>
      </c>
      <c r="AL20" s="289" t="s">
        <v>2219</v>
      </c>
      <c r="AM20" s="289" t="s">
        <v>2219</v>
      </c>
      <c r="AN20" s="289" t="s">
        <v>2219</v>
      </c>
      <c r="AO20" s="289" t="s">
        <v>2219</v>
      </c>
      <c r="AP20" s="289" t="s">
        <v>2219</v>
      </c>
      <c r="AQ20" s="289" t="s">
        <v>2219</v>
      </c>
      <c r="AR20" s="289" t="s">
        <v>2219</v>
      </c>
      <c r="AS20" s="289" t="s">
        <v>2219</v>
      </c>
      <c r="AT20" s="289" t="s">
        <v>2219</v>
      </c>
      <c r="AU20" s="289" t="s">
        <v>2219</v>
      </c>
      <c r="AV20" s="289" t="s">
        <v>2219</v>
      </c>
      <c r="AW20" s="289" t="s">
        <v>2219</v>
      </c>
      <c r="AX20" s="289" t="s">
        <v>2219</v>
      </c>
      <c r="AY20" s="289" t="s">
        <v>2219</v>
      </c>
      <c r="AZ20" s="289" t="s">
        <v>2219</v>
      </c>
      <c r="BA20" s="289" t="s">
        <v>2219</v>
      </c>
      <c r="BB20" s="289" t="s">
        <v>2219</v>
      </c>
      <c r="BC20" s="289" t="s">
        <v>2219</v>
      </c>
      <c r="BD20" s="289" t="s">
        <v>2219</v>
      </c>
      <c r="BE20" s="289" t="s">
        <v>2219</v>
      </c>
    </row>
    <row r="21" spans="1:57">
      <c r="A21" s="289" t="s">
        <v>3987</v>
      </c>
      <c r="C21" s="289" t="s">
        <v>2219</v>
      </c>
    </row>
    <row r="22" spans="1:57">
      <c r="A22" s="289" t="s">
        <v>3438</v>
      </c>
      <c r="C22" s="289" t="s">
        <v>2046</v>
      </c>
      <c r="D22" s="289" t="s">
        <v>4564</v>
      </c>
      <c r="E22" s="289" t="s">
        <v>913</v>
      </c>
      <c r="F22" s="289">
        <v>6.2299999999999994E-2</v>
      </c>
      <c r="G22" s="289">
        <v>5.7500000000000002E-2</v>
      </c>
      <c r="H22" s="289">
        <v>6.9500000000000006E-2</v>
      </c>
      <c r="I22" s="289">
        <v>7.8E-2</v>
      </c>
      <c r="J22" s="289">
        <v>7.3099998474121089E-2</v>
      </c>
      <c r="K22" s="289">
        <v>0.09</v>
      </c>
      <c r="L22" s="289">
        <v>9.8099998474121097E-2</v>
      </c>
      <c r="M22" s="289">
        <v>9.4400001525878907E-2</v>
      </c>
      <c r="N22" s="289">
        <v>9.5300003051757814E-2</v>
      </c>
      <c r="O22" s="289">
        <v>0.1045</v>
      </c>
      <c r="P22" s="289">
        <v>0.10880000305175781</v>
      </c>
      <c r="Q22" s="289">
        <v>0.13219999694824219</v>
      </c>
      <c r="R22" s="289">
        <v>0.19550000000000001</v>
      </c>
      <c r="S22" s="289">
        <v>0.22380000305175782</v>
      </c>
      <c r="T22" s="289">
        <v>0.24519999694824218</v>
      </c>
      <c r="U22" s="289">
        <v>0.27970001220703122</v>
      </c>
      <c r="V22" s="289">
        <v>0.29360000610351561</v>
      </c>
      <c r="W22" s="289">
        <v>0.34010000610351565</v>
      </c>
      <c r="X22" s="289">
        <v>0.36420001220703124</v>
      </c>
      <c r="Y22" s="289">
        <v>0.36049999999999999</v>
      </c>
      <c r="Z22" s="289">
        <v>0.54340002441406254</v>
      </c>
      <c r="AA22" s="289">
        <v>0.57770001220703127</v>
      </c>
      <c r="AB22" s="289">
        <v>0.61790002441406255</v>
      </c>
      <c r="AC22" s="289">
        <v>0.70720001220703121</v>
      </c>
      <c r="AD22" s="289">
        <v>0.81359997558593755</v>
      </c>
      <c r="AE22" s="289">
        <v>0.91670001220703123</v>
      </c>
      <c r="AF22" s="289">
        <v>1.094199951171875</v>
      </c>
      <c r="AG22" s="289">
        <v>1.0097999877929686</v>
      </c>
      <c r="AH22" s="289">
        <v>0.90949999999999998</v>
      </c>
      <c r="AI22" s="289">
        <v>0.77429998779296871</v>
      </c>
      <c r="AJ22" s="289">
        <v>0.7605999755859375</v>
      </c>
      <c r="AK22" s="289">
        <v>0.67140002441406255</v>
      </c>
      <c r="AL22" s="289">
        <v>0.63870001220703121</v>
      </c>
      <c r="AM22" s="289">
        <v>0.6932000122070312</v>
      </c>
      <c r="AN22" s="289">
        <v>0.77120001220703127</v>
      </c>
      <c r="AO22" s="289">
        <v>1.0049999999999999</v>
      </c>
      <c r="AP22" s="289">
        <v>0.86860000000000004</v>
      </c>
      <c r="AQ22" s="289">
        <v>0.6573</v>
      </c>
      <c r="AR22" s="289">
        <v>0.64910000000000001</v>
      </c>
      <c r="AS22" s="289">
        <v>14.860100000000001</v>
      </c>
      <c r="AT22" s="289">
        <v>75.662499999999994</v>
      </c>
      <c r="AU22" s="289">
        <v>229.46979999999999</v>
      </c>
      <c r="AV22" s="289">
        <v>193.32489999999999</v>
      </c>
      <c r="AW22" s="289">
        <v>195.34870000000001</v>
      </c>
      <c r="AX22" s="289">
        <v>167.04259999999999</v>
      </c>
      <c r="AY22" s="289">
        <v>364.19880000000001</v>
      </c>
      <c r="AZ22" s="289">
        <v>641.01930000000004</v>
      </c>
      <c r="BA22" s="289">
        <v>1073.796</v>
      </c>
      <c r="BB22" s="289">
        <v>940.54</v>
      </c>
      <c r="BC22" s="289">
        <v>1437.434</v>
      </c>
      <c r="BD22" s="289">
        <v>2134.1759999999999</v>
      </c>
      <c r="BE22" s="289">
        <v>2315.3592615430603</v>
      </c>
    </row>
    <row r="23" spans="1:57">
      <c r="A23" s="289" t="s">
        <v>3225</v>
      </c>
      <c r="C23" s="289" t="s">
        <v>2046</v>
      </c>
      <c r="D23" s="289" t="s">
        <v>503</v>
      </c>
      <c r="E23" s="289" t="s">
        <v>918</v>
      </c>
      <c r="F23" s="289">
        <v>2E-3</v>
      </c>
      <c r="G23" s="289">
        <v>2.2000000000000001E-3</v>
      </c>
      <c r="H23" s="289">
        <v>2.5000000000000001E-3</v>
      </c>
      <c r="I23" s="289">
        <v>2.5999999046325685E-3</v>
      </c>
      <c r="J23" s="289">
        <v>3.0000000000000001E-3</v>
      </c>
      <c r="K23" s="289">
        <v>2.5999999046325685E-3</v>
      </c>
      <c r="L23" s="289">
        <v>3.4000000953674316E-3</v>
      </c>
      <c r="M23" s="289">
        <v>3.5999999046325685E-3</v>
      </c>
      <c r="N23" s="289">
        <v>3.0999999046325685E-3</v>
      </c>
      <c r="O23" s="289">
        <v>3.2000000476837156E-3</v>
      </c>
      <c r="P23" s="289">
        <v>3.5999999046325685E-3</v>
      </c>
      <c r="Q23" s="289">
        <v>4.4000000953674312E-3</v>
      </c>
      <c r="R23" s="289">
        <v>5.0999999046325685E-3</v>
      </c>
      <c r="S23" s="289">
        <v>8.6000003814697273E-3</v>
      </c>
      <c r="T23" s="289">
        <v>7.3000001907348629E-3</v>
      </c>
      <c r="U23" s="289">
        <v>7.4999999999999997E-3</v>
      </c>
      <c r="V23" s="289">
        <v>4.3000001907348637E-3</v>
      </c>
      <c r="W23" s="289">
        <v>4.0000000000000001E-3</v>
      </c>
      <c r="X23" s="289">
        <v>4.9000000953674317E-3</v>
      </c>
      <c r="Y23" s="289">
        <v>6.199999809265137E-3</v>
      </c>
      <c r="Z23" s="289">
        <v>5.3000001907348637E-3</v>
      </c>
      <c r="AA23" s="289">
        <v>2.7000000476837156E-3</v>
      </c>
      <c r="AB23" s="289">
        <v>4.5999999046325681E-3</v>
      </c>
      <c r="AC23" s="289">
        <v>1E-3</v>
      </c>
      <c r="AD23" s="289">
        <v>1.2999999523162842E-3</v>
      </c>
      <c r="AE23" s="289">
        <v>1.2999999523162842E-3</v>
      </c>
      <c r="AF23" s="289">
        <v>1.2000000476837158E-3</v>
      </c>
      <c r="AG23" s="289">
        <v>1.899999976158142E-3</v>
      </c>
      <c r="AH23" s="289">
        <v>6.9999998807907101E-4</v>
      </c>
      <c r="AI23" s="289">
        <v>1.399999976158142E-3</v>
      </c>
      <c r="AJ23" s="289">
        <v>1.2000000476837158E-3</v>
      </c>
      <c r="AK23" s="289">
        <v>1E-3</v>
      </c>
      <c r="AL23" s="289">
        <v>1.0000000149011611E-4</v>
      </c>
      <c r="AM23" s="289">
        <v>1.0000000149011611E-4</v>
      </c>
      <c r="AN23" s="289">
        <v>1.0000000149011611E-4</v>
      </c>
      <c r="AO23" s="289">
        <v>0</v>
      </c>
      <c r="AP23" s="289">
        <v>0</v>
      </c>
      <c r="AQ23" s="289">
        <v>0</v>
      </c>
      <c r="AR23" s="289">
        <v>1E-4</v>
      </c>
      <c r="AS23" s="289">
        <v>2.0000000000000001E-4</v>
      </c>
      <c r="AT23" s="289">
        <v>0</v>
      </c>
      <c r="AU23" s="289">
        <v>0</v>
      </c>
      <c r="AV23" s="289">
        <v>0</v>
      </c>
      <c r="AW23" s="289">
        <v>0</v>
      </c>
      <c r="AX23" s="289">
        <v>0</v>
      </c>
      <c r="AY23" s="289">
        <v>2.0895000000000001</v>
      </c>
      <c r="AZ23" s="289">
        <v>0</v>
      </c>
      <c r="BA23" s="289">
        <v>2.1999999999999999E-2</v>
      </c>
      <c r="BB23" s="289">
        <v>3.7519999999999998</v>
      </c>
      <c r="BC23" s="289">
        <v>6.3079999999999998</v>
      </c>
      <c r="BD23" s="289">
        <v>5.5039999999999996</v>
      </c>
      <c r="BE23" s="289">
        <v>0</v>
      </c>
    </row>
    <row r="24" spans="1:57">
      <c r="A24" s="289" t="s">
        <v>3198</v>
      </c>
      <c r="C24" s="289" t="s">
        <v>2046</v>
      </c>
      <c r="D24" s="289" t="s">
        <v>503</v>
      </c>
      <c r="E24" s="289" t="s">
        <v>920</v>
      </c>
      <c r="F24" s="289">
        <v>4.0000000000000002E-4</v>
      </c>
      <c r="G24" s="289">
        <v>2.9999999999999997E-4</v>
      </c>
      <c r="H24" s="289">
        <v>3.0000001192092895E-4</v>
      </c>
      <c r="I24" s="289">
        <v>6.9999998807907101E-4</v>
      </c>
      <c r="J24" s="289">
        <v>4.0000000596046445E-4</v>
      </c>
      <c r="K24" s="289">
        <v>6.0000002384185791E-4</v>
      </c>
      <c r="L24" s="289">
        <v>5.0000000000000001E-4</v>
      </c>
      <c r="M24" s="289">
        <v>3.0000001192092895E-4</v>
      </c>
      <c r="N24" s="289">
        <v>3.0000001192092895E-4</v>
      </c>
      <c r="O24" s="289">
        <v>4.0000000596046445E-4</v>
      </c>
      <c r="P24" s="289">
        <v>1E-3</v>
      </c>
      <c r="Q24" s="289">
        <v>1.5E-3</v>
      </c>
      <c r="R24" s="289">
        <v>1.7999999523162843E-3</v>
      </c>
      <c r="S24" s="289">
        <v>2.0999999046325685E-3</v>
      </c>
      <c r="T24" s="289">
        <v>6.0000002384185791E-4</v>
      </c>
      <c r="U24" s="289">
        <v>1.7999999523162843E-3</v>
      </c>
      <c r="V24" s="289">
        <v>5.199999809265137E-3</v>
      </c>
      <c r="W24" s="289">
        <v>4.4999999999999997E-3</v>
      </c>
      <c r="X24" s="289">
        <v>5.199999809265137E-3</v>
      </c>
      <c r="Y24" s="289">
        <v>5.0999999046325685E-3</v>
      </c>
      <c r="Z24" s="289">
        <v>1.2600000381469727E-2</v>
      </c>
      <c r="AA24" s="289">
        <v>1.8100000381469725E-2</v>
      </c>
      <c r="AB24" s="289">
        <v>1.7200000762939455E-2</v>
      </c>
      <c r="AC24" s="289">
        <v>1.1899999618530274E-2</v>
      </c>
      <c r="AD24" s="289">
        <v>1.3600000381469727E-2</v>
      </c>
      <c r="AE24" s="289">
        <v>2.3899999618530274E-2</v>
      </c>
      <c r="AF24" s="289">
        <v>4.4499999999999998E-2</v>
      </c>
      <c r="AG24" s="289">
        <v>6.2799999237060547E-2</v>
      </c>
      <c r="AH24" s="289">
        <v>6.3200000762939454E-2</v>
      </c>
      <c r="AI24" s="289">
        <v>2.8100000381469727E-2</v>
      </c>
      <c r="AJ24" s="289">
        <v>7.6999998092651366E-3</v>
      </c>
      <c r="AK24" s="289">
        <v>3.9000000953674317E-3</v>
      </c>
      <c r="AL24" s="289">
        <v>2.7999999523162841E-3</v>
      </c>
      <c r="AM24" s="289">
        <v>2.0999999046325685E-3</v>
      </c>
      <c r="AN24" s="289">
        <v>2.299999952316284E-3</v>
      </c>
      <c r="AO24" s="289">
        <v>1.7000000476837158E-3</v>
      </c>
      <c r="AP24" s="289">
        <v>4.0000000000000001E-3</v>
      </c>
      <c r="AQ24" s="289">
        <v>2.5000000000000001E-3</v>
      </c>
      <c r="AR24" s="289">
        <v>1.1999999999999999E-3</v>
      </c>
      <c r="AS24" s="289">
        <v>1.34E-2</v>
      </c>
      <c r="AT24" s="289">
        <v>0.2661</v>
      </c>
      <c r="AU24" s="289">
        <v>1.222</v>
      </c>
      <c r="AV24" s="289">
        <v>2.7805999999999997</v>
      </c>
      <c r="AW24" s="289">
        <v>2.8186999999999998</v>
      </c>
      <c r="AX24" s="289">
        <v>2.5804999999999998</v>
      </c>
      <c r="AY24" s="289">
        <v>5.7709999999999999</v>
      </c>
      <c r="AZ24" s="289">
        <v>22.161999999999999</v>
      </c>
      <c r="BA24" s="289">
        <v>11.426</v>
      </c>
      <c r="BB24" s="289">
        <v>12.788</v>
      </c>
      <c r="BC24" s="289">
        <v>23.917999999999999</v>
      </c>
      <c r="BD24" s="289">
        <v>37.427</v>
      </c>
      <c r="BE24" s="289">
        <v>27.169460789181354</v>
      </c>
    </row>
    <row r="25" spans="1:57">
      <c r="A25" s="289" t="s">
        <v>4008</v>
      </c>
      <c r="C25" s="289" t="s">
        <v>2046</v>
      </c>
      <c r="D25" s="289" t="s">
        <v>503</v>
      </c>
      <c r="E25" s="289" t="s">
        <v>397</v>
      </c>
      <c r="F25" s="289">
        <v>0</v>
      </c>
      <c r="G25" s="289">
        <v>0</v>
      </c>
      <c r="H25" s="289">
        <v>0</v>
      </c>
      <c r="I25" s="289">
        <v>0</v>
      </c>
      <c r="J25" s="289">
        <v>0</v>
      </c>
      <c r="K25" s="289">
        <v>0</v>
      </c>
      <c r="L25" s="289">
        <v>0</v>
      </c>
      <c r="M25" s="289">
        <v>0</v>
      </c>
      <c r="N25" s="289">
        <v>0</v>
      </c>
      <c r="O25" s="289">
        <v>0</v>
      </c>
      <c r="P25" s="289">
        <v>0</v>
      </c>
      <c r="Q25" s="289">
        <v>0</v>
      </c>
      <c r="R25" s="289">
        <v>0</v>
      </c>
      <c r="S25" s="289">
        <v>0</v>
      </c>
      <c r="T25" s="289">
        <v>0</v>
      </c>
      <c r="U25" s="289">
        <v>0</v>
      </c>
      <c r="V25" s="289">
        <v>0</v>
      </c>
      <c r="W25" s="289">
        <v>0</v>
      </c>
      <c r="X25" s="289">
        <v>6.5999999046325681E-3</v>
      </c>
      <c r="Y25" s="289">
        <v>6.5999999046325681E-3</v>
      </c>
      <c r="Z25" s="289">
        <v>5.6999998092651365E-3</v>
      </c>
      <c r="AA25" s="289">
        <v>1.1600000381469727E-2</v>
      </c>
      <c r="AB25" s="289">
        <v>1.2100000381469727E-2</v>
      </c>
      <c r="AC25" s="289">
        <v>1.9200000762939453E-2</v>
      </c>
      <c r="AD25" s="289">
        <v>2.2899999618530273E-2</v>
      </c>
      <c r="AE25" s="289">
        <v>2.8299999237060548E-2</v>
      </c>
      <c r="AF25" s="289">
        <v>3.4299999237060549E-2</v>
      </c>
      <c r="AG25" s="289">
        <v>2.6799999237060546E-2</v>
      </c>
      <c r="AH25" s="289">
        <v>2.0600000381469728E-2</v>
      </c>
      <c r="AI25" s="289">
        <v>1.7500000000000002E-2</v>
      </c>
      <c r="AJ25" s="289">
        <v>3.2375000000000001E-2</v>
      </c>
      <c r="AK25" s="289">
        <v>9.3999000549316411E-2</v>
      </c>
      <c r="AL25" s="289">
        <v>0.24912200927734374</v>
      </c>
      <c r="AM25" s="289">
        <v>0.65440002441406253</v>
      </c>
      <c r="AN25" s="289">
        <v>0.95065002441406254</v>
      </c>
      <c r="AO25" s="289">
        <v>1.1973800048828125</v>
      </c>
      <c r="AP25" s="289">
        <v>1.9586000000000001</v>
      </c>
      <c r="AQ25" s="289">
        <v>3.2352000000000003</v>
      </c>
      <c r="AR25" s="289">
        <v>4.7766999999999999</v>
      </c>
      <c r="AS25" s="289">
        <v>8.327399999999999</v>
      </c>
      <c r="AT25" s="289">
        <v>27.6556</v>
      </c>
      <c r="AU25" s="289">
        <v>60.190527499999995</v>
      </c>
      <c r="AV25" s="289">
        <v>54.7883475</v>
      </c>
      <c r="AW25" s="289">
        <v>26.579799999999999</v>
      </c>
      <c r="AX25" s="289">
        <v>0.56000000000000005</v>
      </c>
      <c r="AY25" s="289">
        <v>1.7909999999999999</v>
      </c>
      <c r="AZ25" s="289">
        <v>1.4630000000000001</v>
      </c>
      <c r="BA25" s="289">
        <v>4.71</v>
      </c>
      <c r="BB25" s="289">
        <v>30.527000000000001</v>
      </c>
      <c r="BC25" s="289">
        <v>114.858</v>
      </c>
      <c r="BD25" s="289">
        <v>208.602</v>
      </c>
      <c r="BE25" s="289">
        <v>208.602</v>
      </c>
    </row>
    <row r="26" spans="1:57">
      <c r="A26" s="289" t="s">
        <v>582</v>
      </c>
      <c r="C26" s="289" t="s">
        <v>2219</v>
      </c>
    </row>
    <row r="27" spans="1:57">
      <c r="A27" s="289" t="s">
        <v>718</v>
      </c>
      <c r="C27" s="289" t="s">
        <v>2219</v>
      </c>
    </row>
    <row r="28" spans="1:57">
      <c r="A28" s="289" t="s">
        <v>648</v>
      </c>
      <c r="C28" s="289" t="s">
        <v>2046</v>
      </c>
      <c r="D28" s="289" t="s">
        <v>4564</v>
      </c>
      <c r="E28" s="289" t="s">
        <v>914</v>
      </c>
      <c r="F28" s="289">
        <v>5.5500000000000001E-2</v>
      </c>
      <c r="G28" s="289">
        <v>5.4899999999999997E-2</v>
      </c>
      <c r="H28" s="289">
        <v>6.7099998474121098E-2</v>
      </c>
      <c r="I28" s="289">
        <v>7.8099998474121093E-2</v>
      </c>
      <c r="J28" s="289">
        <v>7.5499999999999998E-2</v>
      </c>
      <c r="K28" s="289">
        <v>9.3699996948242187E-2</v>
      </c>
      <c r="L28" s="289">
        <v>0.10940000152587891</v>
      </c>
      <c r="M28" s="289">
        <v>0.10980000305175781</v>
      </c>
      <c r="N28" s="289">
        <v>0.11180000305175782</v>
      </c>
      <c r="O28" s="289">
        <v>0.1214000015258789</v>
      </c>
      <c r="P28" s="289">
        <v>0.16660000610351564</v>
      </c>
      <c r="Q28" s="289">
        <v>0.19189999389648438</v>
      </c>
      <c r="R28" s="289">
        <v>0.18930000305175781</v>
      </c>
      <c r="S28" s="289">
        <v>0.21199999999999999</v>
      </c>
      <c r="T28" s="289">
        <v>0.20860000610351562</v>
      </c>
      <c r="U28" s="289">
        <v>0.2291999969482422</v>
      </c>
      <c r="V28" s="289">
        <v>0.24260000610351562</v>
      </c>
      <c r="W28" s="289">
        <v>0.26739999389648439</v>
      </c>
      <c r="X28" s="289">
        <v>0.28970001220703123</v>
      </c>
      <c r="Y28" s="289">
        <v>0.31520001220703125</v>
      </c>
      <c r="Z28" s="289">
        <v>0.48160000610351561</v>
      </c>
      <c r="AA28" s="289">
        <v>0.54509997558593748</v>
      </c>
      <c r="AB28" s="289">
        <v>0.59340002441406248</v>
      </c>
      <c r="AC28" s="289">
        <v>0.79959997558593754</v>
      </c>
      <c r="AD28" s="289">
        <v>0.83409997558593751</v>
      </c>
      <c r="AE28" s="289">
        <v>0.85140002441406248</v>
      </c>
      <c r="AF28" s="289">
        <v>1.1174999999999999</v>
      </c>
      <c r="AG28" s="289">
        <v>1.1805999755859375</v>
      </c>
      <c r="AH28" s="289">
        <v>1.113699951171875</v>
      </c>
      <c r="AI28" s="289">
        <v>0.9297999877929688</v>
      </c>
      <c r="AJ28" s="289">
        <v>0.86120001220703124</v>
      </c>
      <c r="AK28" s="289">
        <v>0.75120001220703125</v>
      </c>
      <c r="AL28" s="289">
        <v>0.83850000000000002</v>
      </c>
      <c r="AM28" s="289">
        <v>1.119</v>
      </c>
      <c r="AN28" s="289">
        <v>1.3959999999999999</v>
      </c>
      <c r="AO28" s="289">
        <v>2.1004999999999998</v>
      </c>
      <c r="AP28" s="289">
        <v>2.7515999999999998</v>
      </c>
      <c r="AQ28" s="289">
        <v>3.9668999999999999</v>
      </c>
      <c r="AR28" s="289">
        <v>5.3887999999999998</v>
      </c>
      <c r="AS28" s="289">
        <v>19.431399999999996</v>
      </c>
      <c r="AT28" s="289">
        <v>87.653400000000005</v>
      </c>
      <c r="AU28" s="289">
        <v>251.89292749999998</v>
      </c>
      <c r="AV28" s="289">
        <v>266.1356475</v>
      </c>
      <c r="AW28" s="289">
        <v>234.43700000000001</v>
      </c>
      <c r="AX28" s="289">
        <v>213.9316</v>
      </c>
      <c r="AY28" s="289">
        <v>384.66740000000004</v>
      </c>
      <c r="AZ28" s="289">
        <v>577.52700000000004</v>
      </c>
      <c r="BA28" s="289">
        <v>1032.6479999999999</v>
      </c>
      <c r="BB28" s="289">
        <v>1138.171</v>
      </c>
      <c r="BC28" s="289">
        <v>1715.248</v>
      </c>
      <c r="BD28" s="289">
        <v>2377.1779999999999</v>
      </c>
      <c r="BE28" s="289">
        <v>2648.4772328223098</v>
      </c>
    </row>
    <row r="29" spans="1:57">
      <c r="A29" s="289" t="s">
        <v>649</v>
      </c>
      <c r="C29" s="289" t="s">
        <v>2046</v>
      </c>
      <c r="D29" s="289" t="s">
        <v>503</v>
      </c>
      <c r="E29" s="289" t="s">
        <v>916</v>
      </c>
      <c r="F29" s="289">
        <v>4.0000000000000002E-4</v>
      </c>
      <c r="G29" s="289">
        <v>4.0000000000000002E-4</v>
      </c>
      <c r="H29" s="289">
        <v>1E-3</v>
      </c>
      <c r="I29" s="289">
        <v>1.1000000238418578E-3</v>
      </c>
      <c r="J29" s="289">
        <v>1E-3</v>
      </c>
      <c r="K29" s="289">
        <v>1E-3</v>
      </c>
      <c r="L29" s="289">
        <v>1.5E-3</v>
      </c>
      <c r="M29" s="289">
        <v>1.7000000476837158E-3</v>
      </c>
      <c r="N29" s="289">
        <v>1.7999999523162843E-3</v>
      </c>
      <c r="O29" s="289">
        <v>2E-3</v>
      </c>
      <c r="P29" s="289">
        <v>1.5E-3</v>
      </c>
      <c r="Q29" s="289">
        <v>1.399999976158142E-3</v>
      </c>
      <c r="R29" s="289">
        <v>1.7999999523162843E-3</v>
      </c>
      <c r="S29" s="289">
        <v>2.5000000000000001E-3</v>
      </c>
      <c r="T29" s="289">
        <v>3.2000000476837156E-3</v>
      </c>
      <c r="U29" s="289">
        <v>4.1999998092651369E-3</v>
      </c>
      <c r="V29" s="289">
        <v>3.7000000476837156E-3</v>
      </c>
      <c r="W29" s="289">
        <v>4.0999999046325685E-3</v>
      </c>
      <c r="X29" s="289">
        <v>5.3000001907348637E-3</v>
      </c>
      <c r="Y29" s="289">
        <v>4.5999999046325681E-3</v>
      </c>
      <c r="Z29" s="289">
        <v>5.4000000953674313E-3</v>
      </c>
      <c r="AA29" s="289">
        <v>1.0699999809265138E-2</v>
      </c>
      <c r="AB29" s="289">
        <v>1.7600000381469725E-2</v>
      </c>
      <c r="AC29" s="289">
        <v>2.8100000381469727E-2</v>
      </c>
      <c r="AD29" s="289">
        <v>1.5600000381469727E-2</v>
      </c>
      <c r="AE29" s="289">
        <v>1.8600000381469726E-2</v>
      </c>
      <c r="AF29" s="289">
        <v>2.6799999237060546E-2</v>
      </c>
      <c r="AG29" s="289">
        <v>2.3100000381469726E-2</v>
      </c>
      <c r="AH29" s="289">
        <v>2.7200000762939453E-2</v>
      </c>
      <c r="AI29" s="289">
        <v>2.3600000381469727E-2</v>
      </c>
      <c r="AJ29" s="289">
        <v>1.5899999618530274E-2</v>
      </c>
      <c r="AK29" s="289">
        <v>1.8299999237060546E-2</v>
      </c>
      <c r="AL29" s="289">
        <v>1.6299999237060547E-2</v>
      </c>
      <c r="AM29" s="289">
        <v>1.9299999237060547E-2</v>
      </c>
      <c r="AN29" s="289">
        <v>1.9E-2</v>
      </c>
      <c r="AO29" s="289">
        <v>2.5700000762939452E-2</v>
      </c>
      <c r="AP29" s="289">
        <v>2.5899999999999999E-2</v>
      </c>
      <c r="AQ29" s="289">
        <v>2.7E-2</v>
      </c>
      <c r="AR29" s="289">
        <v>2.23E-2</v>
      </c>
      <c r="AS29" s="289">
        <v>0.30119999999999997</v>
      </c>
      <c r="AT29" s="289">
        <v>3.1394000000000002</v>
      </c>
      <c r="AU29" s="289">
        <v>6.9737</v>
      </c>
      <c r="AV29" s="289">
        <v>10.239100000000001</v>
      </c>
      <c r="AW29" s="289">
        <v>7.7415000000000003</v>
      </c>
      <c r="AX29" s="289">
        <v>9.0118999999999989</v>
      </c>
      <c r="AY29" s="289">
        <v>15.0245</v>
      </c>
      <c r="AZ29" s="289">
        <v>43.485999999999997</v>
      </c>
      <c r="BA29" s="289">
        <v>22.739000000000001</v>
      </c>
      <c r="BB29" s="289">
        <v>32.150475</v>
      </c>
      <c r="BC29" s="289">
        <v>33.392361368405233</v>
      </c>
      <c r="BD29" s="289">
        <v>40.097109711005444</v>
      </c>
      <c r="BE29" s="289">
        <v>43.055953026424852</v>
      </c>
    </row>
    <row r="30" spans="1:57">
      <c r="A30" s="289" t="s">
        <v>4517</v>
      </c>
      <c r="C30" s="289" t="s">
        <v>2046</v>
      </c>
      <c r="D30" s="289" t="s">
        <v>503</v>
      </c>
      <c r="E30" s="289" t="s">
        <v>915</v>
      </c>
      <c r="F30" s="289">
        <v>8.9999999999999998E-4</v>
      </c>
      <c r="G30" s="289">
        <v>1.1000000000000001E-3</v>
      </c>
      <c r="H30" s="289">
        <v>1.5E-3</v>
      </c>
      <c r="I30" s="289">
        <v>1.7999999523162843E-3</v>
      </c>
      <c r="J30" s="289">
        <v>2.9000000953674316E-3</v>
      </c>
      <c r="K30" s="289">
        <v>2.5000000000000001E-3</v>
      </c>
      <c r="L30" s="289">
        <v>2.9000000953674316E-3</v>
      </c>
      <c r="M30" s="289">
        <v>3.2000000476837156E-3</v>
      </c>
      <c r="N30" s="289">
        <v>4.1999998092651369E-3</v>
      </c>
      <c r="O30" s="289">
        <v>4.1999998092651369E-3</v>
      </c>
      <c r="P30" s="289">
        <v>4.9000000953674317E-3</v>
      </c>
      <c r="Q30" s="289">
        <v>5.5999999046325681E-3</v>
      </c>
      <c r="R30" s="289">
        <v>6.6999998092651366E-3</v>
      </c>
      <c r="S30" s="289">
        <v>7.4000000953674313E-3</v>
      </c>
      <c r="T30" s="289">
        <v>8.6999998092651375E-3</v>
      </c>
      <c r="U30" s="289">
        <v>1.0999999999999999E-2</v>
      </c>
      <c r="V30" s="289">
        <v>1.6100000381469727E-2</v>
      </c>
      <c r="W30" s="289">
        <v>1.7399999618530275E-2</v>
      </c>
      <c r="X30" s="289">
        <v>2.1799999237060545E-2</v>
      </c>
      <c r="Y30" s="289">
        <v>2.9200000762939451E-2</v>
      </c>
      <c r="Z30" s="289">
        <v>4.8599998474121095E-2</v>
      </c>
      <c r="AA30" s="289">
        <v>6.1099998474121092E-2</v>
      </c>
      <c r="AB30" s="289">
        <v>2.9000000000000001E-2</v>
      </c>
      <c r="AC30" s="289">
        <v>3.4000000000000002E-2</v>
      </c>
      <c r="AD30" s="289">
        <v>4.1000000000000002E-2</v>
      </c>
      <c r="AE30" s="289">
        <v>5.6900001525878909E-2</v>
      </c>
      <c r="AF30" s="289">
        <v>5.9900001525878904E-2</v>
      </c>
      <c r="AG30" s="289">
        <v>5.1499999999999997E-2</v>
      </c>
      <c r="AH30" s="289">
        <v>6.3400001525878907E-2</v>
      </c>
      <c r="AI30" s="289">
        <v>6.1599998474121093E-2</v>
      </c>
      <c r="AJ30" s="289">
        <v>2.9700000762939452E-2</v>
      </c>
      <c r="AK30" s="289">
        <v>2.4E-2</v>
      </c>
      <c r="AL30" s="289">
        <v>2.1100000381469728E-2</v>
      </c>
      <c r="AM30" s="289">
        <v>1.4699999809265136E-2</v>
      </c>
      <c r="AN30" s="289">
        <v>1.7000000000000001E-2</v>
      </c>
      <c r="AO30" s="289">
        <v>1.7899999618530272E-2</v>
      </c>
      <c r="AP30" s="289">
        <v>2.1899999999999999E-2</v>
      </c>
      <c r="AQ30" s="289">
        <v>2.9000000000000001E-2</v>
      </c>
      <c r="AR30" s="289">
        <v>2.0500000000000001E-2</v>
      </c>
      <c r="AS30" s="289">
        <v>0.11550000000000001</v>
      </c>
      <c r="AT30" s="289">
        <v>0.62960000000000005</v>
      </c>
      <c r="AU30" s="289">
        <v>1.5205</v>
      </c>
      <c r="AV30" s="289">
        <v>3.0402</v>
      </c>
      <c r="AW30" s="289">
        <v>4.4066999999999998</v>
      </c>
      <c r="AX30" s="289">
        <v>4.2876000000000003</v>
      </c>
      <c r="AY30" s="289">
        <v>12.8355</v>
      </c>
      <c r="AZ30" s="289">
        <v>29.247</v>
      </c>
      <c r="BA30" s="289">
        <v>50.152999999999999</v>
      </c>
      <c r="BB30" s="289">
        <v>23.232825000000002</v>
      </c>
      <c r="BC30" s="289">
        <v>52.555160401418867</v>
      </c>
      <c r="BD30" s="289">
        <v>44.862084447359415</v>
      </c>
      <c r="BE30" s="289">
        <v>54.13971910584506</v>
      </c>
    </row>
    <row r="31" spans="1:57">
      <c r="A31" s="289" t="s">
        <v>4518</v>
      </c>
      <c r="C31" s="289" t="s">
        <v>2046</v>
      </c>
      <c r="D31" s="289" t="s">
        <v>503</v>
      </c>
      <c r="E31" s="289" t="s">
        <v>919</v>
      </c>
      <c r="F31" s="289">
        <v>2.0000000000000001E-4</v>
      </c>
      <c r="G31" s="289">
        <v>2.0000000000000001E-4</v>
      </c>
      <c r="H31" s="289">
        <v>4.0000000596046445E-4</v>
      </c>
      <c r="I31" s="289">
        <v>5.0000000000000001E-4</v>
      </c>
      <c r="J31" s="289">
        <v>8.9999997615814213E-4</v>
      </c>
      <c r="K31" s="289">
        <v>1.2000000476837158E-3</v>
      </c>
      <c r="L31" s="289">
        <v>1.7999999523162843E-3</v>
      </c>
      <c r="M31" s="289">
        <v>2.0999999046325685E-3</v>
      </c>
      <c r="N31" s="289">
        <v>3.0000000000000001E-3</v>
      </c>
      <c r="O31" s="289">
        <v>4.4999999999999997E-3</v>
      </c>
      <c r="P31" s="289">
        <v>4.4999999999999997E-3</v>
      </c>
      <c r="Q31" s="289">
        <v>6.199999809265137E-3</v>
      </c>
      <c r="R31" s="289">
        <v>6.0000000000000001E-3</v>
      </c>
      <c r="S31" s="289">
        <v>6.0000000000000001E-3</v>
      </c>
      <c r="T31" s="289">
        <v>6.0999999046325686E-3</v>
      </c>
      <c r="U31" s="289">
        <v>5.8000001907348633E-3</v>
      </c>
      <c r="V31" s="289">
        <v>2.9000000953674316E-3</v>
      </c>
      <c r="W31" s="289">
        <v>3.2000000476837156E-3</v>
      </c>
      <c r="X31" s="289">
        <v>4.0000000000000001E-3</v>
      </c>
      <c r="Y31" s="289">
        <v>5.3000001907348637E-3</v>
      </c>
      <c r="Z31" s="289">
        <v>6.8000001907348633E-3</v>
      </c>
      <c r="AA31" s="289">
        <v>7.0000000000000001E-3</v>
      </c>
      <c r="AB31" s="289">
        <v>7.0999999046325686E-3</v>
      </c>
      <c r="AC31" s="289">
        <v>6.3000001907348637E-3</v>
      </c>
      <c r="AD31" s="289">
        <v>6.6999998092651366E-3</v>
      </c>
      <c r="AE31" s="289">
        <v>8.199999809265137E-3</v>
      </c>
      <c r="AF31" s="289">
        <v>7.4999999999999997E-3</v>
      </c>
      <c r="AG31" s="289">
        <v>6.5999999046325681E-3</v>
      </c>
      <c r="AH31" s="289">
        <v>5.4000000953674313E-3</v>
      </c>
      <c r="AI31" s="289">
        <v>2.7999999523162841E-3</v>
      </c>
      <c r="AJ31" s="289">
        <v>2.2000000476837156E-3</v>
      </c>
      <c r="AK31" s="289">
        <v>1.7000000476837158E-3</v>
      </c>
      <c r="AL31" s="289">
        <v>1.399999976158142E-3</v>
      </c>
      <c r="AM31" s="289">
        <v>1.899999976158142E-3</v>
      </c>
      <c r="AN31" s="289">
        <v>3.0000000000000001E-3</v>
      </c>
      <c r="AO31" s="289">
        <v>1.5E-3</v>
      </c>
      <c r="AP31" s="289">
        <v>2.2000000000000001E-3</v>
      </c>
      <c r="AQ31" s="289">
        <v>3.0999999999999999E-3</v>
      </c>
      <c r="AR31" s="289">
        <v>2.8999999999999998E-3</v>
      </c>
      <c r="AS31" s="289">
        <v>8.3900000000000002E-2</v>
      </c>
      <c r="AT31" s="289">
        <v>0.2102</v>
      </c>
      <c r="AU31" s="289">
        <v>0.49810000000000004</v>
      </c>
      <c r="AV31" s="289">
        <v>0.53389999999999993</v>
      </c>
      <c r="AW31" s="289">
        <v>0.47639999999999999</v>
      </c>
      <c r="AX31" s="289">
        <v>0.31760000000000005</v>
      </c>
      <c r="AY31" s="289">
        <v>0.995</v>
      </c>
      <c r="AZ31" s="289">
        <v>1.5409999999999999</v>
      </c>
      <c r="BA31" s="289">
        <v>2.4980000000000002</v>
      </c>
      <c r="BB31" s="289">
        <v>2.6440000000000001</v>
      </c>
      <c r="BC31" s="289">
        <v>12.879</v>
      </c>
      <c r="BD31" s="289">
        <v>14.586</v>
      </c>
      <c r="BE31" s="289">
        <v>15.570891804787621</v>
      </c>
    </row>
    <row r="32" spans="1:57">
      <c r="A32" s="289" t="s">
        <v>911</v>
      </c>
      <c r="C32" s="289" t="s">
        <v>2046</v>
      </c>
      <c r="D32" s="289" t="s">
        <v>503</v>
      </c>
      <c r="E32" s="289" t="s">
        <v>2775</v>
      </c>
      <c r="F32" s="289">
        <v>7.7999999999999996E-3</v>
      </c>
      <c r="G32" s="289">
        <v>4.0999999999999995E-3</v>
      </c>
      <c r="H32" s="289">
        <v>1.072898006439209E-2</v>
      </c>
      <c r="I32" s="289">
        <v>1.1048999786376953E-2</v>
      </c>
      <c r="J32" s="289">
        <v>8.9983396530151361E-3</v>
      </c>
      <c r="K32" s="289">
        <v>2.226300048828125E-2</v>
      </c>
      <c r="L32" s="289">
        <v>2.7204460144042968E-2</v>
      </c>
      <c r="M32" s="289">
        <v>2.5658399581909179E-2</v>
      </c>
      <c r="N32" s="289">
        <v>2.5698879241943359E-2</v>
      </c>
      <c r="O32" s="289">
        <v>2.7847240447998047E-2</v>
      </c>
      <c r="P32" s="289">
        <v>2.9030500411987306E-2</v>
      </c>
      <c r="Q32" s="289">
        <v>2.9634000778198243E-2</v>
      </c>
      <c r="R32" s="289">
        <v>3.24119987487793E-2</v>
      </c>
      <c r="S32" s="289">
        <v>4.1234001159667966E-2</v>
      </c>
      <c r="T32" s="289">
        <v>7.1874999999999994E-2</v>
      </c>
      <c r="U32" s="289">
        <v>8.1740997314453126E-2</v>
      </c>
      <c r="V32" s="289">
        <v>7.831099700927735E-2</v>
      </c>
      <c r="W32" s="289">
        <v>8.7449996948242181E-2</v>
      </c>
      <c r="X32" s="289">
        <v>7.9900001525878908E-2</v>
      </c>
      <c r="Y32" s="289">
        <v>6.9000000000000006E-2</v>
      </c>
      <c r="Z32" s="289">
        <v>6.4099998474121095E-2</v>
      </c>
      <c r="AA32" s="289">
        <v>5.8400001525878903E-2</v>
      </c>
      <c r="AB32" s="289">
        <v>7.9199996948242188E-2</v>
      </c>
      <c r="AC32" s="289">
        <v>6.7699996948242191E-2</v>
      </c>
      <c r="AD32" s="289">
        <v>6.1299999237060546E-2</v>
      </c>
      <c r="AE32" s="289">
        <v>8.69000015258789E-2</v>
      </c>
      <c r="AF32" s="289">
        <v>6.6099998474121097E-2</v>
      </c>
      <c r="AG32" s="289">
        <v>3.2200000762939454E-2</v>
      </c>
      <c r="AH32" s="289">
        <v>4.4499999999999998E-2</v>
      </c>
      <c r="AI32" s="289">
        <v>4.5599998474121092E-2</v>
      </c>
      <c r="AJ32" s="289">
        <v>2.9000000953674316E-3</v>
      </c>
      <c r="AK32" s="289">
        <v>3.2999999523162841E-3</v>
      </c>
      <c r="AL32" s="289">
        <v>5.0000000000000001E-3</v>
      </c>
      <c r="AM32" s="289">
        <v>8.6000003814697273E-3</v>
      </c>
      <c r="AN32" s="289">
        <v>1.4800000190734863E-2</v>
      </c>
      <c r="AO32" s="289">
        <v>1.1300000190734863E-2</v>
      </c>
      <c r="AP32" s="289">
        <v>1.7000000000000001E-2</v>
      </c>
      <c r="AQ32" s="289">
        <v>1.9399999999999997E-2</v>
      </c>
      <c r="AR32" s="289">
        <v>1.1699999999999999E-2</v>
      </c>
      <c r="AS32" s="289">
        <v>0.18390000000000001</v>
      </c>
      <c r="AT32" s="289">
        <v>0.79349999999999998</v>
      </c>
      <c r="AU32" s="289">
        <v>1.9869000000000001</v>
      </c>
      <c r="AV32" s="289">
        <v>1.2207999999999999</v>
      </c>
      <c r="AW32" s="289">
        <v>3.4935999999999998</v>
      </c>
      <c r="AX32" s="289">
        <v>2.4763999999999999</v>
      </c>
      <c r="AY32" s="289">
        <v>6.5670000000000002</v>
      </c>
      <c r="AZ32" s="289">
        <v>83.96</v>
      </c>
      <c r="BA32" s="289">
        <v>241.15299999999999</v>
      </c>
      <c r="BB32" s="289">
        <v>115.75700000000001</v>
      </c>
      <c r="BC32" s="289">
        <v>145.34700000000001</v>
      </c>
      <c r="BD32" s="289">
        <v>201.446</v>
      </c>
      <c r="BE32" s="289">
        <v>162.50265746716246</v>
      </c>
    </row>
    <row r="33" spans="1:57">
      <c r="A33" s="289" t="s">
        <v>912</v>
      </c>
      <c r="C33" s="289" t="s">
        <v>2046</v>
      </c>
      <c r="D33" s="289" t="s">
        <v>503</v>
      </c>
      <c r="E33" s="289" t="s">
        <v>922</v>
      </c>
      <c r="F33" s="289">
        <v>5.0000000000000001E-4</v>
      </c>
      <c r="G33" s="289">
        <v>5.0000000000000001E-4</v>
      </c>
      <c r="H33" s="289">
        <v>1.7223854064941405E-3</v>
      </c>
      <c r="I33" s="289">
        <v>2.0706267356872558E-3</v>
      </c>
      <c r="J33" s="289">
        <v>2.1953413486480713E-3</v>
      </c>
      <c r="K33" s="289">
        <v>2.4671094417572023E-3</v>
      </c>
      <c r="L33" s="289">
        <v>2.7579457759857179E-3</v>
      </c>
      <c r="M33" s="289">
        <v>3.7937061786651612E-3</v>
      </c>
      <c r="N33" s="289">
        <v>4.1579456329345699E-3</v>
      </c>
      <c r="O33" s="289">
        <v>2.9842956066131591E-3</v>
      </c>
      <c r="P33" s="289">
        <v>3.0955884456634521E-3</v>
      </c>
      <c r="Q33" s="289">
        <v>2.2449998855590819E-3</v>
      </c>
      <c r="R33" s="289">
        <v>2.1449999809265135E-3</v>
      </c>
      <c r="S33" s="289">
        <v>2.299999952316284E-3</v>
      </c>
      <c r="T33" s="289">
        <v>2.1250000000000002E-3</v>
      </c>
      <c r="U33" s="289">
        <v>2.3099999427795411E-3</v>
      </c>
      <c r="V33" s="289">
        <v>2.4400000572204592E-3</v>
      </c>
      <c r="W33" s="289">
        <v>2.805000066757202E-3</v>
      </c>
      <c r="X33" s="289">
        <v>1.0899999618530273E-2</v>
      </c>
      <c r="Y33" s="289">
        <v>1.0199999809265137E-2</v>
      </c>
      <c r="Z33" s="289">
        <v>1.15E-2</v>
      </c>
      <c r="AA33" s="289">
        <v>1.4800000190734863E-2</v>
      </c>
      <c r="AB33" s="289">
        <v>9.100000381469726E-3</v>
      </c>
      <c r="AC33" s="289">
        <v>1.35E-2</v>
      </c>
      <c r="AD33" s="289">
        <v>6.6999998092651366E-3</v>
      </c>
      <c r="AE33" s="289">
        <v>1.4899999618530273E-2</v>
      </c>
      <c r="AF33" s="289">
        <v>2.0600000381469728E-2</v>
      </c>
      <c r="AG33" s="289">
        <v>1.8200000762939452E-2</v>
      </c>
      <c r="AH33" s="289">
        <v>2.3299999237060547E-2</v>
      </c>
      <c r="AI33" s="289">
        <v>2.9799999237060545E-2</v>
      </c>
      <c r="AJ33" s="289">
        <v>2.2799999237060546E-2</v>
      </c>
      <c r="AK33" s="289">
        <v>1.3699999809265137E-2</v>
      </c>
      <c r="AL33" s="289">
        <v>1.0600000381469727E-2</v>
      </c>
      <c r="AM33" s="289">
        <v>1.0399999618530274E-2</v>
      </c>
      <c r="AN33" s="289">
        <v>1.2800000190734863E-2</v>
      </c>
      <c r="AO33" s="289">
        <v>1.3100000381469726E-2</v>
      </c>
      <c r="AP33" s="289">
        <v>1.5900000000000001E-2</v>
      </c>
      <c r="AQ33" s="289">
        <v>1.9300000000000001E-2</v>
      </c>
      <c r="AR33" s="289">
        <v>2.5700000000000001E-2</v>
      </c>
      <c r="AS33" s="289">
        <v>0.19889999999999999</v>
      </c>
      <c r="AT33" s="289">
        <v>0.45789999999999997</v>
      </c>
      <c r="AU33" s="289">
        <v>1.0139</v>
      </c>
      <c r="AV33" s="289">
        <v>0.98020000000000007</v>
      </c>
      <c r="AW33" s="289">
        <v>1.1910000000000001</v>
      </c>
      <c r="AX33" s="289">
        <v>1.4292</v>
      </c>
      <c r="AY33" s="289">
        <v>3.2835000000000001</v>
      </c>
      <c r="AZ33" s="289">
        <v>4.0590000000000002</v>
      </c>
      <c r="BA33" s="289">
        <v>6.4390000000000001</v>
      </c>
      <c r="BB33" s="289">
        <v>51.155000000000001</v>
      </c>
      <c r="BC33" s="289">
        <v>129.84</v>
      </c>
      <c r="BD33" s="289">
        <v>173.376</v>
      </c>
      <c r="BE33" s="289">
        <v>185.08288341881658</v>
      </c>
    </row>
    <row r="34" spans="1:57">
      <c r="A34" s="289" t="s">
        <v>1259</v>
      </c>
      <c r="C34" s="289" t="s">
        <v>2219</v>
      </c>
    </row>
    <row r="35" spans="1:57">
      <c r="A35" s="289" t="s">
        <v>904</v>
      </c>
      <c r="C35" s="289" t="s">
        <v>2219</v>
      </c>
      <c r="F35" s="289" t="s">
        <v>2219</v>
      </c>
      <c r="G35" s="289" t="s">
        <v>2219</v>
      </c>
      <c r="H35" s="289" t="s">
        <v>2219</v>
      </c>
      <c r="I35" s="289" t="s">
        <v>2219</v>
      </c>
      <c r="J35" s="289" t="s">
        <v>2219</v>
      </c>
      <c r="K35" s="289" t="s">
        <v>2219</v>
      </c>
      <c r="L35" s="289" t="s">
        <v>2219</v>
      </c>
      <c r="M35" s="289" t="s">
        <v>2219</v>
      </c>
      <c r="N35" s="289" t="s">
        <v>2219</v>
      </c>
      <c r="O35" s="289" t="s">
        <v>2219</v>
      </c>
      <c r="P35" s="289" t="s">
        <v>2219</v>
      </c>
      <c r="Q35" s="289" t="s">
        <v>2219</v>
      </c>
      <c r="R35" s="289" t="s">
        <v>2219</v>
      </c>
      <c r="S35" s="289" t="s">
        <v>2219</v>
      </c>
      <c r="T35" s="289" t="s">
        <v>2219</v>
      </c>
      <c r="U35" s="289" t="s">
        <v>2219</v>
      </c>
      <c r="V35" s="289" t="s">
        <v>2219</v>
      </c>
      <c r="W35" s="289" t="s">
        <v>2219</v>
      </c>
      <c r="X35" s="289" t="s">
        <v>2219</v>
      </c>
      <c r="Y35" s="289" t="s">
        <v>2219</v>
      </c>
      <c r="Z35" s="289" t="s">
        <v>2219</v>
      </c>
      <c r="AA35" s="289" t="s">
        <v>2219</v>
      </c>
      <c r="AB35" s="289" t="s">
        <v>2219</v>
      </c>
      <c r="AC35" s="289" t="s">
        <v>2219</v>
      </c>
      <c r="AD35" s="289" t="s">
        <v>2219</v>
      </c>
      <c r="AE35" s="289" t="s">
        <v>2219</v>
      </c>
      <c r="AF35" s="289" t="s">
        <v>2219</v>
      </c>
      <c r="AG35" s="289" t="s">
        <v>2219</v>
      </c>
      <c r="AH35" s="289" t="s">
        <v>2219</v>
      </c>
      <c r="AI35" s="289" t="s">
        <v>2219</v>
      </c>
      <c r="AJ35" s="289" t="s">
        <v>2219</v>
      </c>
      <c r="AK35" s="289" t="s">
        <v>2219</v>
      </c>
      <c r="AL35" s="289" t="s">
        <v>2219</v>
      </c>
      <c r="AM35" s="289" t="s">
        <v>2219</v>
      </c>
      <c r="AN35" s="289" t="s">
        <v>2219</v>
      </c>
      <c r="AO35" s="289" t="s">
        <v>2219</v>
      </c>
      <c r="AP35" s="289" t="s">
        <v>2219</v>
      </c>
      <c r="AQ35" s="289" t="s">
        <v>2219</v>
      </c>
      <c r="AR35" s="289" t="s">
        <v>2219</v>
      </c>
      <c r="AS35" s="289" t="s">
        <v>2219</v>
      </c>
      <c r="AT35" s="289" t="s">
        <v>2219</v>
      </c>
      <c r="AU35" s="289" t="s">
        <v>2219</v>
      </c>
      <c r="AV35" s="289" t="s">
        <v>2219</v>
      </c>
      <c r="AW35" s="289" t="s">
        <v>2219</v>
      </c>
      <c r="AX35" s="289" t="s">
        <v>2219</v>
      </c>
      <c r="AY35" s="289" t="s">
        <v>2219</v>
      </c>
      <c r="AZ35" s="289" t="s">
        <v>2219</v>
      </c>
      <c r="BA35" s="289" t="s">
        <v>2219</v>
      </c>
      <c r="BB35" s="289" t="s">
        <v>2219</v>
      </c>
      <c r="BC35" s="289" t="s">
        <v>2219</v>
      </c>
      <c r="BD35" s="289" t="s">
        <v>2219</v>
      </c>
      <c r="BE35" s="289" t="s">
        <v>2219</v>
      </c>
    </row>
    <row r="36" spans="1:57">
      <c r="A36" s="289" t="s">
        <v>1260</v>
      </c>
      <c r="C36" s="289" t="s">
        <v>2219</v>
      </c>
    </row>
    <row r="37" spans="1:57">
      <c r="A37" s="289" t="s">
        <v>904</v>
      </c>
      <c r="C37" s="289" t="s">
        <v>2219</v>
      </c>
      <c r="F37" s="289" t="s">
        <v>2219</v>
      </c>
      <c r="G37" s="289" t="s">
        <v>2219</v>
      </c>
      <c r="H37" s="289" t="s">
        <v>2219</v>
      </c>
      <c r="I37" s="289" t="s">
        <v>2219</v>
      </c>
      <c r="J37" s="289" t="s">
        <v>2219</v>
      </c>
      <c r="K37" s="289" t="s">
        <v>2219</v>
      </c>
      <c r="L37" s="289" t="s">
        <v>2219</v>
      </c>
      <c r="M37" s="289" t="s">
        <v>2219</v>
      </c>
      <c r="N37" s="289" t="s">
        <v>2219</v>
      </c>
      <c r="O37" s="289" t="s">
        <v>2219</v>
      </c>
      <c r="P37" s="289" t="s">
        <v>2219</v>
      </c>
      <c r="Q37" s="289" t="s">
        <v>2219</v>
      </c>
      <c r="R37" s="289" t="s">
        <v>2219</v>
      </c>
      <c r="S37" s="289" t="s">
        <v>2219</v>
      </c>
      <c r="T37" s="289" t="s">
        <v>2219</v>
      </c>
      <c r="U37" s="289" t="s">
        <v>2219</v>
      </c>
      <c r="V37" s="289" t="s">
        <v>2219</v>
      </c>
      <c r="W37" s="289" t="s">
        <v>2219</v>
      </c>
      <c r="X37" s="289" t="s">
        <v>2219</v>
      </c>
      <c r="Y37" s="289" t="s">
        <v>2219</v>
      </c>
      <c r="Z37" s="289" t="s">
        <v>2219</v>
      </c>
      <c r="AA37" s="289" t="s">
        <v>2219</v>
      </c>
      <c r="AB37" s="289" t="s">
        <v>2219</v>
      </c>
      <c r="AC37" s="289" t="s">
        <v>2219</v>
      </c>
      <c r="AD37" s="289" t="s">
        <v>2219</v>
      </c>
      <c r="AE37" s="289" t="s">
        <v>2219</v>
      </c>
      <c r="AF37" s="289" t="s">
        <v>2219</v>
      </c>
      <c r="AG37" s="289" t="s">
        <v>2219</v>
      </c>
      <c r="AH37" s="289" t="s">
        <v>2219</v>
      </c>
      <c r="AI37" s="289" t="s">
        <v>2219</v>
      </c>
      <c r="AJ37" s="289" t="s">
        <v>2219</v>
      </c>
      <c r="AK37" s="289" t="s">
        <v>2219</v>
      </c>
      <c r="AL37" s="289" t="s">
        <v>2219</v>
      </c>
      <c r="AM37" s="289" t="s">
        <v>2219</v>
      </c>
      <c r="AN37" s="289" t="s">
        <v>2219</v>
      </c>
      <c r="AO37" s="289" t="s">
        <v>2219</v>
      </c>
      <c r="AP37" s="289" t="s">
        <v>2219</v>
      </c>
      <c r="AQ37" s="289" t="s">
        <v>2219</v>
      </c>
      <c r="AR37" s="289" t="s">
        <v>2219</v>
      </c>
      <c r="AS37" s="289" t="s">
        <v>2219</v>
      </c>
      <c r="AT37" s="289" t="s">
        <v>2219</v>
      </c>
      <c r="AU37" s="289" t="s">
        <v>2219</v>
      </c>
      <c r="AV37" s="289" t="s">
        <v>2219</v>
      </c>
      <c r="AW37" s="289" t="s">
        <v>2219</v>
      </c>
      <c r="AX37" s="289" t="s">
        <v>2219</v>
      </c>
      <c r="AY37" s="289" t="s">
        <v>2219</v>
      </c>
      <c r="AZ37" s="289" t="s">
        <v>2219</v>
      </c>
      <c r="BA37" s="289" t="s">
        <v>2219</v>
      </c>
      <c r="BB37" s="289" t="s">
        <v>2219</v>
      </c>
      <c r="BC37" s="289" t="s">
        <v>2219</v>
      </c>
      <c r="BD37" s="289" t="s">
        <v>2219</v>
      </c>
      <c r="BE37" s="289" t="s">
        <v>2219</v>
      </c>
    </row>
    <row r="38" spans="1:57">
      <c r="A38" s="289" t="s">
        <v>3987</v>
      </c>
      <c r="C38" s="289" t="s">
        <v>2219</v>
      </c>
    </row>
    <row r="39" spans="1:57">
      <c r="A39" s="289" t="s">
        <v>1261</v>
      </c>
      <c r="C39" s="289" t="s">
        <v>2046</v>
      </c>
      <c r="D39" s="289" t="s">
        <v>1262</v>
      </c>
      <c r="E39" s="289" t="s">
        <v>3790</v>
      </c>
      <c r="F39" s="289">
        <v>4.3E-3</v>
      </c>
      <c r="G39" s="289">
        <v>4.5999999999999999E-3</v>
      </c>
      <c r="H39" s="289">
        <v>4.4079999923706051E-3</v>
      </c>
      <c r="I39" s="289">
        <v>4.484000205993652E-3</v>
      </c>
      <c r="J39" s="289">
        <v>5.320000171661377E-3</v>
      </c>
      <c r="K39" s="289">
        <v>5.7760000228881834E-3</v>
      </c>
      <c r="L39" s="289">
        <v>7.0679998397827149E-3</v>
      </c>
      <c r="M39" s="289">
        <v>7.5999999046325682E-3</v>
      </c>
      <c r="N39" s="289">
        <v>7.7519998550415036E-3</v>
      </c>
      <c r="O39" s="289">
        <v>7.8280000686645514E-3</v>
      </c>
      <c r="P39" s="289">
        <v>8.8159999847412102E-3</v>
      </c>
      <c r="Q39" s="289">
        <v>9.2720003128051766E-3</v>
      </c>
      <c r="R39" s="289">
        <v>1.0031999588012696E-2</v>
      </c>
      <c r="S39" s="289">
        <v>1.0564000129699706E-2</v>
      </c>
      <c r="T39" s="289">
        <v>1.0184000015258789E-2</v>
      </c>
      <c r="U39" s="289">
        <v>9.4239997863769537E-3</v>
      </c>
      <c r="V39" s="289">
        <v>9.8800001144409184E-3</v>
      </c>
      <c r="W39" s="289">
        <v>9.4999999999999998E-3</v>
      </c>
      <c r="X39" s="289">
        <v>6.9000000953674317E-3</v>
      </c>
      <c r="Y39" s="289">
        <v>6.199999809265137E-3</v>
      </c>
      <c r="Z39" s="289">
        <v>6.5999999046325681E-3</v>
      </c>
      <c r="AA39" s="289">
        <v>3.9000000953674317E-3</v>
      </c>
      <c r="AB39" s="289">
        <v>3.5999999046325685E-3</v>
      </c>
      <c r="AC39" s="289">
        <v>3.9000000953674317E-3</v>
      </c>
      <c r="AD39" s="289">
        <v>4.3000001907348637E-3</v>
      </c>
      <c r="AE39" s="289">
        <v>3.7999999523162841E-3</v>
      </c>
      <c r="AF39" s="289">
        <v>7.7922000885009765E-3</v>
      </c>
      <c r="AG39" s="289">
        <v>7.3260002136230472E-3</v>
      </c>
      <c r="AH39" s="289">
        <v>6.8597998619079588E-3</v>
      </c>
      <c r="AI39" s="289">
        <v>6.3935999870300296E-3</v>
      </c>
      <c r="AJ39" s="289">
        <v>9.9233999252319339E-3</v>
      </c>
      <c r="AK39" s="289">
        <v>1.3519800186157227E-2</v>
      </c>
      <c r="AL39" s="289">
        <v>1.0722599983215331E-2</v>
      </c>
      <c r="AM39" s="289">
        <v>1.3600000381469727E-2</v>
      </c>
      <c r="AN39" s="289">
        <v>1.4899999618530273E-2</v>
      </c>
      <c r="AO39" s="289">
        <v>1.3899999618530274E-2</v>
      </c>
      <c r="AP39" s="289">
        <v>0</v>
      </c>
      <c r="AQ39" s="289">
        <v>0</v>
      </c>
      <c r="AR39" s="289">
        <v>0</v>
      </c>
      <c r="AS39" s="289">
        <v>0</v>
      </c>
      <c r="AT39" s="289">
        <v>0</v>
      </c>
      <c r="AU39" s="289">
        <v>0</v>
      </c>
      <c r="AV39" s="289">
        <v>0</v>
      </c>
      <c r="AW39" s="289">
        <v>0</v>
      </c>
      <c r="AX39" s="289">
        <v>0</v>
      </c>
      <c r="AY39" s="289">
        <v>0</v>
      </c>
      <c r="AZ39" s="289">
        <v>0</v>
      </c>
      <c r="BA39" s="289">
        <v>0</v>
      </c>
      <c r="BB39" s="289">
        <v>0</v>
      </c>
      <c r="BC39" s="289">
        <v>0</v>
      </c>
      <c r="BD39" s="289">
        <v>0</v>
      </c>
      <c r="BE39" s="289">
        <v>0</v>
      </c>
    </row>
    <row r="40" spans="1:57">
      <c r="A40" s="289" t="s">
        <v>1274</v>
      </c>
      <c r="C40" s="289" t="s">
        <v>2046</v>
      </c>
      <c r="D40" s="289" t="s">
        <v>1262</v>
      </c>
      <c r="E40" s="289" t="s">
        <v>3791</v>
      </c>
      <c r="F40" s="289">
        <v>1.2999999999999999E-3</v>
      </c>
      <c r="G40" s="289">
        <v>1.4E-3</v>
      </c>
      <c r="H40" s="289">
        <v>1.3919999599456786E-3</v>
      </c>
      <c r="I40" s="289">
        <v>1.4160000085830689E-3</v>
      </c>
      <c r="J40" s="289">
        <v>1.6799999475479127E-3</v>
      </c>
      <c r="K40" s="289">
        <v>1.8240000009536743E-3</v>
      </c>
      <c r="L40" s="289">
        <v>2.2320001125335693E-3</v>
      </c>
      <c r="M40" s="289">
        <v>2.4000000953674316E-3</v>
      </c>
      <c r="N40" s="289">
        <v>2.447999954223633E-3</v>
      </c>
      <c r="O40" s="289">
        <v>2.4719998836517333E-3</v>
      </c>
      <c r="P40" s="289">
        <v>2.7839999198913572E-3</v>
      </c>
      <c r="Q40" s="289">
        <v>2.9279999732971193E-3</v>
      </c>
      <c r="R40" s="289">
        <v>3.1679999828338624E-3</v>
      </c>
      <c r="S40" s="289">
        <v>3.3359999656677247E-3</v>
      </c>
      <c r="T40" s="289">
        <v>3.2160000801086425E-3</v>
      </c>
      <c r="U40" s="289">
        <v>2.9760000705718994E-3</v>
      </c>
      <c r="V40" s="289">
        <v>3.1199998855590818E-3</v>
      </c>
      <c r="W40" s="289">
        <v>3.0000000000000001E-3</v>
      </c>
      <c r="X40" s="289">
        <v>2.3399999141693116E-3</v>
      </c>
      <c r="Y40" s="289">
        <v>1.399999976158142E-3</v>
      </c>
      <c r="Z40" s="289">
        <v>1.7000000476837158E-3</v>
      </c>
      <c r="AA40" s="289">
        <v>1.5E-3</v>
      </c>
      <c r="AB40" s="289">
        <v>1.6000000238418578E-3</v>
      </c>
      <c r="AC40" s="289">
        <v>2.2000000476837156E-3</v>
      </c>
      <c r="AD40" s="289">
        <v>3.5999999046325685E-3</v>
      </c>
      <c r="AE40" s="289">
        <v>3.4000000953674316E-3</v>
      </c>
      <c r="AF40" s="289">
        <v>3.8961000442504883E-3</v>
      </c>
      <c r="AG40" s="289">
        <v>3.6630001068115236E-3</v>
      </c>
      <c r="AH40" s="289">
        <v>3.4298999309539794E-3</v>
      </c>
      <c r="AI40" s="289">
        <v>3.1967999935150148E-3</v>
      </c>
      <c r="AJ40" s="289">
        <v>4.9616999626159669E-3</v>
      </c>
      <c r="AK40" s="289">
        <v>6.7599000930786135E-3</v>
      </c>
      <c r="AL40" s="289">
        <v>5.3612999916076657E-3</v>
      </c>
      <c r="AM40" s="289">
        <v>6.8000001907348633E-3</v>
      </c>
      <c r="AN40" s="289">
        <v>7.4000000953674313E-3</v>
      </c>
      <c r="AO40" s="289">
        <v>6.9000000953674317E-3</v>
      </c>
      <c r="AP40" s="289">
        <v>1.2E-2</v>
      </c>
      <c r="AQ40" s="289">
        <v>1.4999999999999999E-2</v>
      </c>
      <c r="AR40" s="289">
        <v>6.0000000000000001E-3</v>
      </c>
      <c r="AS40" s="289">
        <v>1.0999999999999999E-2</v>
      </c>
      <c r="AT40" s="289">
        <v>0.11700000000000001</v>
      </c>
      <c r="AU40" s="289">
        <v>1.0589999999999999</v>
      </c>
      <c r="AV40" s="289">
        <v>1.0505280000000001</v>
      </c>
      <c r="AW40" s="289">
        <v>1.1261660160000002</v>
      </c>
      <c r="AX40" s="289">
        <v>1.3367590609920004</v>
      </c>
      <c r="AY40" s="289">
        <v>2.6621414491244941</v>
      </c>
      <c r="AZ40" s="289">
        <v>4.2378106401661286</v>
      </c>
      <c r="BA40" s="289">
        <v>5.8760515319350484</v>
      </c>
      <c r="BB40" s="289">
        <v>6.7861853606955593</v>
      </c>
      <c r="BC40" s="289">
        <v>8.3349340996899706</v>
      </c>
      <c r="BD40" s="289">
        <v>9.0974090406139361</v>
      </c>
      <c r="BE40" s="289">
        <v>9.0974090406139361</v>
      </c>
    </row>
    <row r="41" spans="1:57">
      <c r="A41" s="289" t="s">
        <v>1275</v>
      </c>
      <c r="C41" s="289" t="s">
        <v>2046</v>
      </c>
      <c r="D41" s="289" t="s">
        <v>1262</v>
      </c>
      <c r="E41" s="289" t="s">
        <v>3792</v>
      </c>
      <c r="F41" s="289">
        <v>1.4E-3</v>
      </c>
      <c r="G41" s="289">
        <v>2E-3</v>
      </c>
      <c r="H41" s="289">
        <v>1.6019999980926513E-3</v>
      </c>
      <c r="I41" s="289">
        <v>1.9579999446868897E-3</v>
      </c>
      <c r="J41" s="289">
        <v>7.9210000038146978E-3</v>
      </c>
      <c r="K41" s="289">
        <v>8.633000373840332E-3</v>
      </c>
      <c r="L41" s="289">
        <v>1.1569999694824218E-2</v>
      </c>
      <c r="M41" s="289">
        <v>6.2300000190734861E-3</v>
      </c>
      <c r="N41" s="289">
        <v>1.4506999969482421E-2</v>
      </c>
      <c r="O41" s="289">
        <v>6.6750001907348632E-3</v>
      </c>
      <c r="P41" s="289">
        <v>1.3260999679565429E-2</v>
      </c>
      <c r="Q41" s="289">
        <v>3.7379999160766604E-3</v>
      </c>
      <c r="R41" s="289">
        <v>3.9159998893737794E-3</v>
      </c>
      <c r="S41" s="289">
        <v>6.3189997673034669E-3</v>
      </c>
      <c r="T41" s="289">
        <v>7.0310001373291011E-3</v>
      </c>
      <c r="U41" s="289">
        <v>7.6539998054504397E-3</v>
      </c>
      <c r="V41" s="289">
        <v>8.277000427246094E-3</v>
      </c>
      <c r="W41" s="289">
        <v>1.1836999893188477E-2</v>
      </c>
      <c r="X41" s="289">
        <v>2.2200000762939452E-2</v>
      </c>
      <c r="Y41" s="289">
        <v>2.4299999237060547E-2</v>
      </c>
      <c r="Z41" s="289">
        <v>1.3199999809265136E-2</v>
      </c>
      <c r="AA41" s="289">
        <v>1.9200000762939453E-2</v>
      </c>
      <c r="AB41" s="289">
        <v>2.4799999237060548E-2</v>
      </c>
      <c r="AC41" s="289">
        <v>1.5300000190734863E-2</v>
      </c>
      <c r="AD41" s="289">
        <v>1.7799999237060545E-2</v>
      </c>
      <c r="AE41" s="289">
        <v>2.2899999618530273E-2</v>
      </c>
      <c r="AF41" s="289">
        <v>2.8399999618530274E-2</v>
      </c>
      <c r="AG41" s="289">
        <v>0.03</v>
      </c>
      <c r="AH41" s="289">
        <v>6.619999694824219E-2</v>
      </c>
      <c r="AI41" s="289">
        <v>5.3400001525878905E-2</v>
      </c>
      <c r="AJ41" s="289">
        <v>3.85E-2</v>
      </c>
      <c r="AK41" s="289">
        <v>3.8700000762939453E-2</v>
      </c>
      <c r="AL41" s="289">
        <v>4.8099998474121095E-2</v>
      </c>
      <c r="AM41" s="289">
        <v>6.8900001525878912E-2</v>
      </c>
      <c r="AN41" s="289">
        <v>7.4999999999999997E-2</v>
      </c>
      <c r="AO41" s="289">
        <v>0.10119999694824219</v>
      </c>
      <c r="AP41" s="289">
        <v>0.13589999389648438</v>
      </c>
      <c r="AQ41" s="289">
        <v>0.1169000015258789</v>
      </c>
      <c r="AR41" s="289">
        <v>0.153</v>
      </c>
      <c r="AS41" s="289">
        <v>0.15</v>
      </c>
      <c r="AT41" s="289">
        <v>0</v>
      </c>
      <c r="AU41" s="289">
        <v>0</v>
      </c>
      <c r="AV41" s="289">
        <v>6.5884719999999994</v>
      </c>
      <c r="AW41" s="289">
        <v>9.4878339840000017</v>
      </c>
      <c r="AX41" s="289">
        <v>20.399999999999999</v>
      </c>
      <c r="AY41" s="289">
        <v>9.6999999999999993</v>
      </c>
      <c r="AZ41" s="289">
        <v>25.8</v>
      </c>
      <c r="BA41" s="289">
        <v>64.308999999999997</v>
      </c>
      <c r="BB41" s="289">
        <v>85.287999999999997</v>
      </c>
      <c r="BC41" s="289">
        <v>163.9588</v>
      </c>
      <c r="BD41" s="289">
        <v>212.083</v>
      </c>
      <c r="BE41" s="289">
        <v>241.98998786437832</v>
      </c>
    </row>
    <row r="42" spans="1:57">
      <c r="A42" s="289" t="s">
        <v>2906</v>
      </c>
      <c r="C42" s="289" t="s">
        <v>2046</v>
      </c>
      <c r="D42" s="289" t="s">
        <v>1262</v>
      </c>
      <c r="E42" s="289" t="s">
        <v>4185</v>
      </c>
      <c r="F42" s="289">
        <v>1.55E-2</v>
      </c>
      <c r="G42" s="289">
        <v>1.52E-2</v>
      </c>
      <c r="H42" s="289">
        <v>1.6899999618530274E-2</v>
      </c>
      <c r="I42" s="289">
        <v>2.0200000762939454E-2</v>
      </c>
      <c r="J42" s="289">
        <v>2.0500000000000001E-2</v>
      </c>
      <c r="K42" s="289">
        <v>2.2299999237060546E-2</v>
      </c>
      <c r="L42" s="289">
        <v>2.6700000762939453E-2</v>
      </c>
      <c r="M42" s="289">
        <v>2.6899999618530273E-2</v>
      </c>
      <c r="N42" s="289">
        <v>2.7799999237060547E-2</v>
      </c>
      <c r="O42" s="289">
        <v>2.9700000762939452E-2</v>
      </c>
      <c r="P42" s="289">
        <v>3.3500000000000002E-2</v>
      </c>
      <c r="Q42" s="289">
        <v>3.7599998474121092E-2</v>
      </c>
      <c r="R42" s="289">
        <v>4.1299999237060549E-2</v>
      </c>
      <c r="S42" s="289">
        <v>4.5499999999999999E-2</v>
      </c>
      <c r="T42" s="289">
        <v>4.8900001525878908E-2</v>
      </c>
      <c r="U42" s="289">
        <v>5.4099998474121093E-2</v>
      </c>
      <c r="V42" s="289">
        <v>5.909999847412109E-2</v>
      </c>
      <c r="W42" s="289">
        <v>6.4000000000000001E-2</v>
      </c>
      <c r="X42" s="289">
        <v>6.9400001525878913E-2</v>
      </c>
      <c r="Y42" s="289">
        <v>0.08</v>
      </c>
      <c r="Z42" s="289">
        <v>0.11319999694824219</v>
      </c>
      <c r="AA42" s="289">
        <v>0.224</v>
      </c>
      <c r="AB42" s="289">
        <v>0.19260000610351563</v>
      </c>
      <c r="AC42" s="289">
        <v>0.21660000610351562</v>
      </c>
      <c r="AD42" s="289">
        <v>0.26489999389648439</v>
      </c>
      <c r="AE42" s="289">
        <v>0.25119999694824219</v>
      </c>
      <c r="AF42" s="289">
        <v>0.27379998779296877</v>
      </c>
      <c r="AG42" s="289">
        <v>0.29870001220703124</v>
      </c>
      <c r="AH42" s="289">
        <v>0.2778999938964844</v>
      </c>
      <c r="AI42" s="289">
        <v>0.25920001220703126</v>
      </c>
      <c r="AJ42" s="289">
        <v>0.24519999694824218</v>
      </c>
      <c r="AK42" s="289">
        <v>0.20399999999999999</v>
      </c>
      <c r="AL42" s="289">
        <v>0.17799999999999999</v>
      </c>
      <c r="AM42" s="289">
        <v>0.15630000305175781</v>
      </c>
      <c r="AN42" s="289">
        <v>0.19880000305175782</v>
      </c>
      <c r="AO42" s="289">
        <v>0.23</v>
      </c>
      <c r="AP42" s="289">
        <v>0.31851000000000002</v>
      </c>
      <c r="AQ42" s="289">
        <v>0.36616000000000004</v>
      </c>
      <c r="AR42" s="289">
        <v>0.43654000000000004</v>
      </c>
      <c r="AS42" s="289">
        <v>0.39879999999999999</v>
      </c>
      <c r="AT42" s="289">
        <v>4.0976999999999997</v>
      </c>
      <c r="AU42" s="289">
        <v>24.86618</v>
      </c>
      <c r="AV42" s="289">
        <v>40.82837</v>
      </c>
      <c r="AW42" s="289">
        <v>31.105049999999999</v>
      </c>
      <c r="AX42" s="289">
        <v>55.4</v>
      </c>
      <c r="AY42" s="289">
        <v>91.7</v>
      </c>
      <c r="AZ42" s="289">
        <v>123.9</v>
      </c>
      <c r="BA42" s="289">
        <v>267.3</v>
      </c>
      <c r="BB42" s="289">
        <v>313.89999999999998</v>
      </c>
      <c r="BC42" s="289">
        <v>413.89509999999996</v>
      </c>
      <c r="BD42" s="289">
        <v>446.8</v>
      </c>
      <c r="BE42" s="289">
        <v>497.15423481755124</v>
      </c>
    </row>
    <row r="43" spans="1:57">
      <c r="A43" s="289" t="s">
        <v>2907</v>
      </c>
      <c r="C43" s="289" t="s">
        <v>2046</v>
      </c>
      <c r="D43" s="289" t="s">
        <v>1262</v>
      </c>
      <c r="E43" s="289" t="s">
        <v>4186</v>
      </c>
      <c r="F43" s="289">
        <v>9.1000000000000004E-3</v>
      </c>
      <c r="G43" s="289">
        <v>9.1999999999999998E-3</v>
      </c>
      <c r="H43" s="289">
        <v>1.0100000381469727E-2</v>
      </c>
      <c r="I43" s="289">
        <v>1.3600000381469727E-2</v>
      </c>
      <c r="J43" s="289">
        <v>1.3899999618530274E-2</v>
      </c>
      <c r="K43" s="289">
        <v>1.4999999999999999E-2</v>
      </c>
      <c r="L43" s="289">
        <v>1.8799999237060546E-2</v>
      </c>
      <c r="M43" s="289">
        <v>1.9200000762939453E-2</v>
      </c>
      <c r="N43" s="289">
        <v>1.9600000381469727E-2</v>
      </c>
      <c r="O43" s="289">
        <v>2.1299999237060548E-2</v>
      </c>
      <c r="P43" s="289">
        <v>2.4399999618530274E-2</v>
      </c>
      <c r="Q43" s="289">
        <v>2.8000000000000001E-2</v>
      </c>
      <c r="R43" s="289">
        <v>3.0799999237060546E-2</v>
      </c>
      <c r="S43" s="289">
        <v>3.4599998474121096E-2</v>
      </c>
      <c r="T43" s="289">
        <v>3.6599998474121091E-2</v>
      </c>
      <c r="U43" s="289">
        <v>4.0900001525878908E-2</v>
      </c>
      <c r="V43" s="289">
        <v>4.4900001525878905E-2</v>
      </c>
      <c r="W43" s="289">
        <v>4.7900001525878907E-2</v>
      </c>
      <c r="X43" s="289">
        <v>5.1499999999999997E-2</v>
      </c>
      <c r="Y43" s="289">
        <v>5.6599998474121095E-2</v>
      </c>
      <c r="Z43" s="289">
        <v>7.09000015258789E-2</v>
      </c>
      <c r="AA43" s="289">
        <v>7.2900001525878902E-2</v>
      </c>
      <c r="AB43" s="289">
        <v>9.4900001525878908E-2</v>
      </c>
      <c r="AC43" s="289">
        <v>0.12209999847412109</v>
      </c>
      <c r="AD43" s="289">
        <v>0.13110000610351563</v>
      </c>
      <c r="AE43" s="289">
        <v>0.13200000000000001</v>
      </c>
      <c r="AF43" s="289">
        <v>0.14389999389648436</v>
      </c>
      <c r="AG43" s="289">
        <v>0.16500000000000001</v>
      </c>
      <c r="AH43" s="289">
        <v>0.16800000000000001</v>
      </c>
      <c r="AI43" s="289">
        <v>0.14699999999999999</v>
      </c>
      <c r="AJ43" s="289">
        <v>0.14899999999999999</v>
      </c>
      <c r="AK43" s="289">
        <v>0.127</v>
      </c>
      <c r="AL43" s="289">
        <v>0.128</v>
      </c>
      <c r="AM43" s="289">
        <v>0.113</v>
      </c>
      <c r="AN43" s="289">
        <v>0.14489999389648436</v>
      </c>
      <c r="AO43" s="289">
        <v>0.16939999389648439</v>
      </c>
      <c r="AP43" s="289">
        <v>0.15131999999999998</v>
      </c>
      <c r="AQ43" s="289">
        <v>0.16974</v>
      </c>
      <c r="AR43" s="289">
        <v>0.20746999999999999</v>
      </c>
      <c r="AS43" s="289">
        <v>0.14771000000000001</v>
      </c>
      <c r="AT43" s="289">
        <v>2.8434400000000002</v>
      </c>
      <c r="AU43" s="289">
        <v>12.58165</v>
      </c>
      <c r="AV43" s="289">
        <v>21.518999999999998</v>
      </c>
      <c r="AW43" s="289">
        <v>18.91</v>
      </c>
      <c r="AX43" s="289">
        <v>21.623849999999997</v>
      </c>
      <c r="AY43" s="289">
        <v>34.027459999999998</v>
      </c>
      <c r="AZ43" s="289">
        <v>33.941000000000003</v>
      </c>
      <c r="BA43" s="289">
        <v>91.058000000000007</v>
      </c>
      <c r="BB43" s="289">
        <v>102.654</v>
      </c>
      <c r="BC43" s="289">
        <v>118.724</v>
      </c>
      <c r="BD43" s="289">
        <v>146.37899999999999</v>
      </c>
      <c r="BE43" s="289">
        <v>163.23576732763317</v>
      </c>
    </row>
    <row r="44" spans="1:57">
      <c r="A44" s="289" t="s">
        <v>1847</v>
      </c>
      <c r="C44" s="289" t="s">
        <v>2046</v>
      </c>
      <c r="D44" s="289" t="s">
        <v>1262</v>
      </c>
      <c r="E44" s="289" t="s">
        <v>4183</v>
      </c>
      <c r="F44" s="289">
        <v>7.4000000000000003E-3</v>
      </c>
      <c r="G44" s="289">
        <v>8.0999999999999996E-3</v>
      </c>
      <c r="H44" s="289">
        <v>9.1739997863769535E-3</v>
      </c>
      <c r="I44" s="289">
        <v>1.0692000389099121E-2</v>
      </c>
      <c r="J44" s="289">
        <v>1.1088000297546387E-2</v>
      </c>
      <c r="K44" s="289">
        <v>1.1748000144958496E-2</v>
      </c>
      <c r="L44" s="289">
        <v>1.1748000144958496E-2</v>
      </c>
      <c r="M44" s="289">
        <v>1.1484000205993652E-2</v>
      </c>
      <c r="N44" s="289">
        <v>1.2737999916076661E-2</v>
      </c>
      <c r="O44" s="289">
        <v>1.2539999961853027E-2</v>
      </c>
      <c r="P44" s="289">
        <v>1.4123999595642089E-2</v>
      </c>
      <c r="Q44" s="289">
        <v>1.6631999969482423E-2</v>
      </c>
      <c r="R44" s="289">
        <v>2.6465999603271485E-2</v>
      </c>
      <c r="S44" s="289">
        <v>2.950200080871582E-2</v>
      </c>
      <c r="T44" s="289">
        <v>2.7587999343872072E-2</v>
      </c>
      <c r="U44" s="289">
        <v>3.207600021362305E-2</v>
      </c>
      <c r="V44" s="289">
        <v>3.4386001586914065E-2</v>
      </c>
      <c r="W44" s="289">
        <v>3.9402000427246092E-2</v>
      </c>
      <c r="X44" s="289">
        <v>5.0599998474121097E-2</v>
      </c>
      <c r="Y44" s="289">
        <v>4.2700000762939457E-2</v>
      </c>
      <c r="Z44" s="289">
        <v>4.1700000762939456E-2</v>
      </c>
      <c r="AA44" s="289">
        <v>2.8799999237060548E-2</v>
      </c>
      <c r="AB44" s="289">
        <v>4.4599998474121091E-2</v>
      </c>
      <c r="AC44" s="289">
        <v>5.9400001525878904E-2</v>
      </c>
      <c r="AD44" s="289">
        <v>7.409999847412109E-2</v>
      </c>
      <c r="AE44" s="289">
        <v>7.0499999999999993E-2</v>
      </c>
      <c r="AF44" s="289">
        <v>6.7783332824707027E-2</v>
      </c>
      <c r="AG44" s="289">
        <v>6.506666564941406E-2</v>
      </c>
      <c r="AH44" s="289">
        <v>6.2349998474121093E-2</v>
      </c>
      <c r="AI44" s="289">
        <v>5.9633335113525393E-2</v>
      </c>
      <c r="AJ44" s="289">
        <v>5.6916667938232419E-2</v>
      </c>
      <c r="AK44" s="289">
        <v>5.4200000762939453E-2</v>
      </c>
      <c r="AL44" s="289">
        <v>3.4599998474121096E-2</v>
      </c>
      <c r="AM44" s="289">
        <v>4.6599998474121093E-2</v>
      </c>
      <c r="AN44" s="289">
        <v>9.6300003051757815E-2</v>
      </c>
      <c r="AO44" s="289">
        <v>0.11780000305175781</v>
      </c>
      <c r="AP44" s="289">
        <v>0.191</v>
      </c>
      <c r="AQ44" s="289">
        <v>0.17699999999999999</v>
      </c>
      <c r="AR44" s="289">
        <v>0.127</v>
      </c>
      <c r="AS44" s="289">
        <v>0.17749999999999999</v>
      </c>
      <c r="AT44" s="289">
        <v>4.1551</v>
      </c>
      <c r="AU44" s="289">
        <v>25.084</v>
      </c>
      <c r="AV44" s="289">
        <v>38.569000000000003</v>
      </c>
      <c r="AW44" s="289">
        <v>37.213999999999999</v>
      </c>
      <c r="AX44" s="289">
        <v>15.17</v>
      </c>
      <c r="AY44" s="289">
        <v>16.382000000000001</v>
      </c>
      <c r="AZ44" s="289">
        <v>57.691000000000003</v>
      </c>
      <c r="BA44" s="289">
        <v>155.30000000000001</v>
      </c>
      <c r="BB44" s="289">
        <v>111</v>
      </c>
      <c r="BC44" s="289">
        <v>123.9</v>
      </c>
      <c r="BD44" s="289">
        <v>231.72900000000001</v>
      </c>
      <c r="BE44" s="289">
        <v>237.64755555359753</v>
      </c>
    </row>
    <row r="45" spans="1:57">
      <c r="A45" s="289" t="s">
        <v>1848</v>
      </c>
      <c r="C45" s="289" t="s">
        <v>2046</v>
      </c>
      <c r="D45" s="289" t="s">
        <v>1262</v>
      </c>
      <c r="E45" s="289" t="s">
        <v>4182</v>
      </c>
      <c r="F45" s="289">
        <v>3.8E-3</v>
      </c>
      <c r="G45" s="289">
        <v>4.0999999999999995E-3</v>
      </c>
      <c r="H45" s="289">
        <v>4.72599983215332E-3</v>
      </c>
      <c r="I45" s="289">
        <v>5.5079998970031735E-3</v>
      </c>
      <c r="J45" s="289">
        <v>5.7119998931884769E-3</v>
      </c>
      <c r="K45" s="289">
        <v>6.0520000457763672E-3</v>
      </c>
      <c r="L45" s="289">
        <v>6.0520000457763672E-3</v>
      </c>
      <c r="M45" s="289">
        <v>5.9159998893737794E-3</v>
      </c>
      <c r="N45" s="289">
        <v>6.5619997978210451E-3</v>
      </c>
      <c r="O45" s="289">
        <v>6.460000038146973E-3</v>
      </c>
      <c r="P45" s="289">
        <v>7.2760000228881839E-3</v>
      </c>
      <c r="Q45" s="289">
        <v>8.5679998397827153E-3</v>
      </c>
      <c r="R45" s="289">
        <v>1.3633999824523926E-2</v>
      </c>
      <c r="S45" s="289">
        <v>1.5197999954223633E-2</v>
      </c>
      <c r="T45" s="289">
        <v>1.4211999893188476E-2</v>
      </c>
      <c r="U45" s="289">
        <v>1.6524000167846678E-2</v>
      </c>
      <c r="V45" s="289">
        <v>1.7714000701904296E-2</v>
      </c>
      <c r="W45" s="289">
        <v>2.0298000335693359E-2</v>
      </c>
      <c r="X45" s="289">
        <v>1.3399999618530273E-2</v>
      </c>
      <c r="Y45" s="289">
        <v>1.3399999618530273E-2</v>
      </c>
      <c r="Z45" s="289">
        <v>1.4399999618530274E-2</v>
      </c>
      <c r="AA45" s="289">
        <v>1.9600000381469727E-2</v>
      </c>
      <c r="AB45" s="289">
        <v>2.3799999237060547E-2</v>
      </c>
      <c r="AC45" s="289">
        <v>2.8000000000000001E-2</v>
      </c>
      <c r="AD45" s="289">
        <v>4.320000076293945E-2</v>
      </c>
      <c r="AE45" s="289">
        <v>5.2499999999999998E-2</v>
      </c>
      <c r="AF45" s="289">
        <v>7.3616668701171881E-2</v>
      </c>
      <c r="AG45" s="289">
        <v>7.0333335876464842E-2</v>
      </c>
      <c r="AH45" s="289">
        <v>8.9150001525878902E-2</v>
      </c>
      <c r="AI45" s="289">
        <v>8.886666870117188E-2</v>
      </c>
      <c r="AJ45" s="289">
        <v>0.13158332824707031</v>
      </c>
      <c r="AK45" s="289">
        <v>0.14319999694824218</v>
      </c>
      <c r="AL45" s="289">
        <v>0.15380000305175781</v>
      </c>
      <c r="AM45" s="289">
        <v>0.14810000610351562</v>
      </c>
      <c r="AN45" s="289">
        <v>0.16430000305175782</v>
      </c>
      <c r="AO45" s="289">
        <v>0.19910000610351564</v>
      </c>
      <c r="AP45" s="289">
        <v>0.19839999389648438</v>
      </c>
      <c r="AQ45" s="289">
        <v>0.27860000610351565</v>
      </c>
      <c r="AR45" s="289">
        <v>0.29185659790039065</v>
      </c>
      <c r="AS45" s="289">
        <v>0.47599999999999998</v>
      </c>
      <c r="AT45" s="289">
        <v>1.4330000000000001</v>
      </c>
      <c r="AU45" s="289">
        <v>9.6690000000000005</v>
      </c>
      <c r="AV45" s="289">
        <v>7.1829999999999998</v>
      </c>
      <c r="AW45" s="289">
        <v>13.731</v>
      </c>
      <c r="AX45" s="289">
        <v>31.8</v>
      </c>
      <c r="AY45" s="289">
        <v>33.799999999999997</v>
      </c>
      <c r="AZ45" s="289">
        <v>53.7</v>
      </c>
      <c r="BA45" s="289">
        <v>61.2</v>
      </c>
      <c r="BB45" s="289">
        <v>116.4</v>
      </c>
      <c r="BC45" s="289">
        <v>171.6</v>
      </c>
      <c r="BD45" s="289">
        <v>168.137</v>
      </c>
      <c r="BE45" s="289">
        <v>183.45848220392426</v>
      </c>
    </row>
    <row r="46" spans="1:57">
      <c r="A46" s="289" t="s">
        <v>1849</v>
      </c>
      <c r="C46" s="289" t="s">
        <v>2046</v>
      </c>
      <c r="D46" s="289" t="s">
        <v>1262</v>
      </c>
      <c r="E46" s="289" t="s">
        <v>3793</v>
      </c>
      <c r="F46" s="289">
        <v>2.0000000000000001E-4</v>
      </c>
      <c r="G46" s="289">
        <v>2.9999999999999997E-4</v>
      </c>
      <c r="H46" s="289">
        <v>1.979999989271164E-4</v>
      </c>
      <c r="I46" s="289">
        <v>2.4199999868869781E-4</v>
      </c>
      <c r="J46" s="289">
        <v>9.7899997234344484E-4</v>
      </c>
      <c r="K46" s="289">
        <v>1.0670000314712525E-3</v>
      </c>
      <c r="L46" s="289">
        <v>1.4299999475479127E-3</v>
      </c>
      <c r="M46" s="289">
        <v>7.6999998092651368E-4</v>
      </c>
      <c r="N46" s="289">
        <v>1.7929999828338622E-3</v>
      </c>
      <c r="O46" s="289">
        <v>8.2499998807907102E-4</v>
      </c>
      <c r="P46" s="289">
        <v>1.6390000581741333E-3</v>
      </c>
      <c r="Q46" s="289">
        <v>4.6200001239776609E-4</v>
      </c>
      <c r="R46" s="289">
        <v>4.8399999737739561E-4</v>
      </c>
      <c r="S46" s="289">
        <v>7.8100001811981198E-4</v>
      </c>
      <c r="T46" s="289">
        <v>8.6900001764297484E-4</v>
      </c>
      <c r="U46" s="289">
        <v>9.4599997997283931E-4</v>
      </c>
      <c r="V46" s="289">
        <v>1.0230000019073487E-3</v>
      </c>
      <c r="W46" s="289">
        <v>1.4630000591278076E-3</v>
      </c>
      <c r="X46" s="289">
        <v>2E-3</v>
      </c>
      <c r="Y46" s="289">
        <v>2.2000000476837156E-3</v>
      </c>
      <c r="Z46" s="289">
        <v>2.9000000953674316E-3</v>
      </c>
      <c r="AA46" s="289">
        <v>2.0999999046325685E-3</v>
      </c>
      <c r="AB46" s="289">
        <v>2.7999999523162841E-3</v>
      </c>
      <c r="AC46" s="289">
        <v>2.2000000476837156E-3</v>
      </c>
      <c r="AD46" s="289">
        <v>2.4000000953674316E-3</v>
      </c>
      <c r="AE46" s="289">
        <v>3.0999999046325685E-3</v>
      </c>
      <c r="AF46" s="289">
        <v>6.0000000000000001E-3</v>
      </c>
      <c r="AG46" s="289">
        <v>1.0999999999999999E-2</v>
      </c>
      <c r="AH46" s="289">
        <v>1.6E-2</v>
      </c>
      <c r="AI46" s="289">
        <v>2.0200000762939454E-2</v>
      </c>
      <c r="AJ46" s="289">
        <v>2.8399999618530274E-2</v>
      </c>
      <c r="AK46" s="289">
        <v>1.8299999237060546E-2</v>
      </c>
      <c r="AL46" s="289">
        <v>0.02</v>
      </c>
      <c r="AM46" s="289">
        <v>2.6600000381469726E-2</v>
      </c>
      <c r="AN46" s="289">
        <v>2.3600000381469727E-2</v>
      </c>
      <c r="AO46" s="289">
        <v>2.1700000762939452E-2</v>
      </c>
      <c r="AP46" s="289">
        <v>4.7E-2</v>
      </c>
      <c r="AQ46" s="289">
        <v>5.2999999999999999E-2</v>
      </c>
      <c r="AR46" s="289">
        <v>7.0000000000000007E-2</v>
      </c>
      <c r="AS46" s="289">
        <v>0.28299999999999997</v>
      </c>
      <c r="AT46" s="289">
        <v>1.296</v>
      </c>
      <c r="AU46" s="289">
        <v>9.6460000000000008</v>
      </c>
      <c r="AV46" s="289">
        <v>7.9089999999999998</v>
      </c>
      <c r="AW46" s="289">
        <v>1.401</v>
      </c>
      <c r="AX46" s="289">
        <v>3.53</v>
      </c>
      <c r="AY46" s="289">
        <v>8.718</v>
      </c>
      <c r="AZ46" s="289">
        <v>36.509</v>
      </c>
      <c r="BA46" s="289">
        <v>72.5</v>
      </c>
      <c r="BB46" s="289">
        <v>5</v>
      </c>
      <c r="BC46" s="289">
        <v>6.4700000000011637E-2</v>
      </c>
      <c r="BD46" s="289">
        <v>-26.666</v>
      </c>
      <c r="BE46" s="289">
        <v>19.341109956786315</v>
      </c>
    </row>
    <row r="47" spans="1:57">
      <c r="A47" s="289" t="s">
        <v>173</v>
      </c>
      <c r="C47" s="289" t="s">
        <v>2046</v>
      </c>
      <c r="D47" s="289" t="s">
        <v>1262</v>
      </c>
      <c r="E47" s="289" t="s">
        <v>364</v>
      </c>
      <c r="F47" s="289">
        <v>0</v>
      </c>
      <c r="G47" s="289">
        <v>0</v>
      </c>
      <c r="H47" s="289">
        <v>0</v>
      </c>
      <c r="I47" s="289">
        <v>0</v>
      </c>
      <c r="J47" s="289">
        <v>0</v>
      </c>
      <c r="K47" s="289">
        <v>0</v>
      </c>
      <c r="L47" s="289">
        <v>0</v>
      </c>
      <c r="M47" s="289">
        <v>0</v>
      </c>
      <c r="N47" s="289">
        <v>0</v>
      </c>
      <c r="O47" s="289">
        <v>0</v>
      </c>
      <c r="P47" s="289">
        <v>0</v>
      </c>
      <c r="Q47" s="289">
        <v>0</v>
      </c>
      <c r="R47" s="289">
        <v>0</v>
      </c>
      <c r="S47" s="289">
        <v>0</v>
      </c>
      <c r="T47" s="289">
        <v>0</v>
      </c>
      <c r="U47" s="289">
        <v>0</v>
      </c>
      <c r="V47" s="289">
        <v>0</v>
      </c>
      <c r="W47" s="289">
        <v>0</v>
      </c>
      <c r="X47" s="289">
        <v>0</v>
      </c>
      <c r="Y47" s="289">
        <v>0</v>
      </c>
      <c r="Z47" s="289">
        <v>0</v>
      </c>
      <c r="AA47" s="289">
        <v>0</v>
      </c>
      <c r="AB47" s="289">
        <v>0</v>
      </c>
      <c r="AC47" s="289">
        <v>0</v>
      </c>
      <c r="AD47" s="289">
        <v>0</v>
      </c>
      <c r="AE47" s="289">
        <v>0</v>
      </c>
      <c r="AF47" s="289">
        <v>0</v>
      </c>
      <c r="AG47" s="289">
        <v>0</v>
      </c>
      <c r="AH47" s="289">
        <v>0</v>
      </c>
      <c r="AI47" s="289">
        <v>0</v>
      </c>
      <c r="AJ47" s="289">
        <v>0</v>
      </c>
      <c r="AK47" s="289">
        <v>0</v>
      </c>
      <c r="AL47" s="289">
        <v>0</v>
      </c>
      <c r="AM47" s="289">
        <v>0</v>
      </c>
      <c r="AN47" s="289">
        <v>0</v>
      </c>
      <c r="AO47" s="289">
        <v>0</v>
      </c>
      <c r="AP47" s="289">
        <v>0</v>
      </c>
      <c r="AQ47" s="289">
        <v>0</v>
      </c>
      <c r="AR47" s="289">
        <v>0</v>
      </c>
      <c r="AS47" s="289">
        <v>0</v>
      </c>
      <c r="AT47" s="289">
        <v>0</v>
      </c>
      <c r="AU47" s="289">
        <v>0</v>
      </c>
      <c r="AV47" s="289">
        <v>0</v>
      </c>
      <c r="AW47" s="289">
        <v>0</v>
      </c>
      <c r="AX47" s="289">
        <v>0</v>
      </c>
      <c r="AY47" s="289">
        <v>0</v>
      </c>
      <c r="AZ47" s="289">
        <v>0</v>
      </c>
      <c r="BA47" s="289">
        <v>0</v>
      </c>
      <c r="BB47" s="289">
        <v>0</v>
      </c>
      <c r="BC47" s="289">
        <v>0</v>
      </c>
      <c r="BD47" s="289">
        <v>0</v>
      </c>
      <c r="BE47" s="289">
        <v>0</v>
      </c>
    </row>
    <row r="48" spans="1:57">
      <c r="A48" s="289" t="s">
        <v>174</v>
      </c>
      <c r="C48" s="289" t="s">
        <v>2219</v>
      </c>
      <c r="D48" s="289" t="s">
        <v>2219</v>
      </c>
      <c r="F48" s="289" t="s">
        <v>2219</v>
      </c>
    </row>
    <row r="49" spans="1:57">
      <c r="A49" s="289" t="s">
        <v>175</v>
      </c>
      <c r="C49" s="289" t="s">
        <v>2046</v>
      </c>
      <c r="D49" s="289" t="s">
        <v>1262</v>
      </c>
      <c r="E49" s="289" t="s">
        <v>808</v>
      </c>
      <c r="F49" s="289">
        <v>0</v>
      </c>
      <c r="G49" s="289">
        <v>0</v>
      </c>
      <c r="H49" s="289">
        <v>0</v>
      </c>
      <c r="I49" s="289">
        <v>0</v>
      </c>
      <c r="J49" s="289">
        <v>0</v>
      </c>
      <c r="K49" s="289">
        <v>0</v>
      </c>
      <c r="L49" s="289">
        <v>0</v>
      </c>
      <c r="M49" s="289">
        <v>0</v>
      </c>
      <c r="N49" s="289">
        <v>0</v>
      </c>
      <c r="O49" s="289">
        <v>0</v>
      </c>
      <c r="P49" s="289">
        <v>0</v>
      </c>
      <c r="Q49" s="289">
        <v>0</v>
      </c>
      <c r="R49" s="289">
        <v>0</v>
      </c>
      <c r="S49" s="289">
        <v>0</v>
      </c>
      <c r="T49" s="289">
        <v>0</v>
      </c>
      <c r="U49" s="289">
        <v>0</v>
      </c>
      <c r="V49" s="289">
        <v>0</v>
      </c>
      <c r="W49" s="289">
        <v>0</v>
      </c>
      <c r="X49" s="289">
        <v>0</v>
      </c>
      <c r="Y49" s="289">
        <v>0</v>
      </c>
      <c r="Z49" s="289">
        <v>0</v>
      </c>
      <c r="AA49" s="289">
        <v>0</v>
      </c>
      <c r="AB49" s="289">
        <v>0</v>
      </c>
      <c r="AC49" s="289">
        <v>0</v>
      </c>
      <c r="AD49" s="289">
        <v>0</v>
      </c>
      <c r="AE49" s="289">
        <v>0</v>
      </c>
      <c r="AF49" s="289">
        <v>0</v>
      </c>
      <c r="AG49" s="289">
        <v>0</v>
      </c>
      <c r="AH49" s="289">
        <v>0</v>
      </c>
      <c r="AI49" s="289">
        <v>0</v>
      </c>
      <c r="AJ49" s="289">
        <v>0</v>
      </c>
      <c r="AK49" s="289">
        <v>0</v>
      </c>
      <c r="AL49" s="289">
        <v>0</v>
      </c>
      <c r="AM49" s="289">
        <v>0</v>
      </c>
      <c r="AN49" s="289">
        <v>0</v>
      </c>
      <c r="AO49" s="289">
        <v>0</v>
      </c>
      <c r="AP49" s="289">
        <v>0</v>
      </c>
      <c r="AQ49" s="289">
        <v>0</v>
      </c>
      <c r="AR49" s="289">
        <v>0</v>
      </c>
      <c r="AS49" s="289">
        <v>0</v>
      </c>
      <c r="AT49" s="289">
        <v>7.0000000000000007E-5</v>
      </c>
      <c r="AU49" s="289">
        <v>0</v>
      </c>
      <c r="AV49" s="289">
        <v>0</v>
      </c>
      <c r="AW49" s="289">
        <v>0</v>
      </c>
      <c r="AX49" s="289">
        <v>0</v>
      </c>
      <c r="AY49" s="289">
        <v>0</v>
      </c>
      <c r="AZ49" s="289">
        <v>0</v>
      </c>
      <c r="BA49" s="289">
        <v>0</v>
      </c>
      <c r="BB49" s="289">
        <v>0</v>
      </c>
      <c r="BC49" s="289">
        <v>0</v>
      </c>
      <c r="BD49" s="289">
        <v>0</v>
      </c>
      <c r="BE49" s="289">
        <v>0</v>
      </c>
    </row>
    <row r="50" spans="1:57">
      <c r="A50" s="289" t="s">
        <v>176</v>
      </c>
      <c r="C50" s="289" t="s">
        <v>2046</v>
      </c>
      <c r="D50" s="289" t="s">
        <v>1262</v>
      </c>
      <c r="E50" s="289" t="s">
        <v>2440</v>
      </c>
      <c r="F50" s="289">
        <v>2E-3</v>
      </c>
      <c r="G50" s="289">
        <v>1.6000000000000001E-3</v>
      </c>
      <c r="H50" s="289">
        <v>4.9000000953674317E-3</v>
      </c>
      <c r="I50" s="289">
        <v>6.8000001907348633E-3</v>
      </c>
      <c r="J50" s="289">
        <v>4.6999998092651365E-3</v>
      </c>
      <c r="K50" s="289">
        <v>5.4999999999999997E-3</v>
      </c>
      <c r="L50" s="289">
        <v>6.3000001907348637E-3</v>
      </c>
      <c r="M50" s="289">
        <v>8.3000001907348638E-3</v>
      </c>
      <c r="N50" s="289">
        <v>7.3000001907348629E-3</v>
      </c>
      <c r="O50" s="289">
        <v>1.2999999999999999E-2</v>
      </c>
      <c r="P50" s="289">
        <v>6.0999999046325686E-3</v>
      </c>
      <c r="Q50" s="289">
        <v>6.0000000000000001E-3</v>
      </c>
      <c r="R50" s="289">
        <v>1.2500000000000001E-2</v>
      </c>
      <c r="S50" s="289">
        <v>1.2999999999999999E-2</v>
      </c>
      <c r="T50" s="289">
        <v>1.2399999618530274E-2</v>
      </c>
      <c r="U50" s="289">
        <v>2.0399999618530274E-2</v>
      </c>
      <c r="V50" s="289">
        <v>2.3899999618530274E-2</v>
      </c>
      <c r="W50" s="289">
        <v>2.4200000762939454E-2</v>
      </c>
      <c r="X50" s="289">
        <v>2.2899999618530273E-2</v>
      </c>
      <c r="Y50" s="289">
        <v>2.4299999237060547E-2</v>
      </c>
      <c r="Z50" s="289">
        <v>4.0700000762939455E-2</v>
      </c>
      <c r="AA50" s="289">
        <v>5.6000000000000001E-2</v>
      </c>
      <c r="AB50" s="289">
        <v>0.15919999694824219</v>
      </c>
      <c r="AC50" s="289">
        <v>0.13839999389648439</v>
      </c>
      <c r="AD50" s="289">
        <v>9.8900001525878911E-2</v>
      </c>
      <c r="AE50" s="289">
        <v>0.14399999999999999</v>
      </c>
      <c r="AF50" s="289">
        <v>0.13155450439453126</v>
      </c>
      <c r="AG50" s="289">
        <v>0.16903950500488282</v>
      </c>
      <c r="AH50" s="289">
        <v>0.1729665069580078</v>
      </c>
      <c r="AI50" s="289">
        <v>4.4625000953674313E-3</v>
      </c>
      <c r="AJ50" s="289">
        <v>3.5999999046325685E-3</v>
      </c>
      <c r="AK50" s="289">
        <v>4.0000000000000001E-3</v>
      </c>
      <c r="AL50" s="289">
        <v>2E-3</v>
      </c>
      <c r="AM50" s="289">
        <v>8.199999809265137E-3</v>
      </c>
      <c r="AN50" s="289">
        <v>1.9E-2</v>
      </c>
      <c r="AO50" s="289">
        <v>4.2999999999999997E-2</v>
      </c>
      <c r="AP50" s="289">
        <v>6.1399999999999996E-2</v>
      </c>
      <c r="AQ50" s="289">
        <v>3.44E-2</v>
      </c>
      <c r="AR50" s="289">
        <v>5.96E-2</v>
      </c>
      <c r="AS50" s="289">
        <v>0.42699999999999999</v>
      </c>
      <c r="AT50" s="289">
        <v>1.4037999999999999</v>
      </c>
      <c r="AU50" s="289">
        <v>9.3406000000000002</v>
      </c>
      <c r="AV50" s="289">
        <v>43.279000000000003</v>
      </c>
      <c r="AW50" s="289">
        <v>28.643000000000001</v>
      </c>
      <c r="AX50" s="289">
        <v>26.466000000000001</v>
      </c>
      <c r="AY50" s="289">
        <v>20.3</v>
      </c>
      <c r="AZ50" s="289">
        <v>22.5</v>
      </c>
      <c r="BA50" s="289">
        <v>22.5</v>
      </c>
      <c r="BB50" s="289">
        <v>29.998000000000001</v>
      </c>
      <c r="BC50" s="289">
        <v>11.341100000000001</v>
      </c>
      <c r="BD50" s="289">
        <v>55.545000000000002</v>
      </c>
      <c r="BE50" s="289">
        <v>55.545000000000002</v>
      </c>
    </row>
    <row r="51" spans="1:57">
      <c r="A51" s="289" t="s">
        <v>177</v>
      </c>
      <c r="C51" s="289" t="s">
        <v>2219</v>
      </c>
      <c r="D51" s="289" t="s">
        <v>2219</v>
      </c>
      <c r="F51" s="289" t="s">
        <v>552</v>
      </c>
      <c r="G51" s="289" t="s">
        <v>552</v>
      </c>
      <c r="H51" s="289" t="s">
        <v>552</v>
      </c>
      <c r="I51" s="289" t="s">
        <v>552</v>
      </c>
      <c r="J51" s="289" t="s">
        <v>552</v>
      </c>
      <c r="K51" s="289" t="s">
        <v>552</v>
      </c>
      <c r="L51" s="289" t="s">
        <v>552</v>
      </c>
      <c r="M51" s="289" t="s">
        <v>552</v>
      </c>
      <c r="N51" s="289" t="s">
        <v>552</v>
      </c>
      <c r="O51" s="289" t="s">
        <v>552</v>
      </c>
      <c r="P51" s="289" t="s">
        <v>552</v>
      </c>
      <c r="Q51" s="289" t="s">
        <v>552</v>
      </c>
      <c r="R51" s="289" t="s">
        <v>552</v>
      </c>
      <c r="S51" s="289" t="s">
        <v>552</v>
      </c>
      <c r="T51" s="289" t="s">
        <v>552</v>
      </c>
      <c r="U51" s="289" t="s">
        <v>552</v>
      </c>
      <c r="V51" s="289" t="s">
        <v>552</v>
      </c>
      <c r="W51" s="289" t="s">
        <v>552</v>
      </c>
      <c r="X51" s="289" t="s">
        <v>552</v>
      </c>
      <c r="Y51" s="289" t="s">
        <v>552</v>
      </c>
      <c r="Z51" s="289" t="s">
        <v>552</v>
      </c>
      <c r="AA51" s="289" t="s">
        <v>552</v>
      </c>
      <c r="AB51" s="289" t="s">
        <v>552</v>
      </c>
      <c r="AC51" s="289" t="s">
        <v>552</v>
      </c>
      <c r="AD51" s="289" t="s">
        <v>552</v>
      </c>
      <c r="AE51" s="289" t="s">
        <v>552</v>
      </c>
      <c r="AF51" s="289" t="s">
        <v>552</v>
      </c>
      <c r="AG51" s="289" t="s">
        <v>552</v>
      </c>
      <c r="AH51" s="289" t="s">
        <v>552</v>
      </c>
      <c r="AI51" s="289" t="s">
        <v>552</v>
      </c>
      <c r="AJ51" s="289" t="s">
        <v>552</v>
      </c>
      <c r="AK51" s="289" t="s">
        <v>552</v>
      </c>
      <c r="AL51" s="289" t="s">
        <v>552</v>
      </c>
      <c r="AM51" s="289" t="s">
        <v>552</v>
      </c>
      <c r="AN51" s="289" t="s">
        <v>552</v>
      </c>
      <c r="AO51" s="289" t="s">
        <v>552</v>
      </c>
      <c r="AP51" s="289" t="s">
        <v>552</v>
      </c>
      <c r="AQ51" s="289" t="s">
        <v>552</v>
      </c>
      <c r="AR51" s="289" t="s">
        <v>552</v>
      </c>
      <c r="AS51" s="289" t="s">
        <v>552</v>
      </c>
      <c r="AT51" s="289" t="s">
        <v>552</v>
      </c>
      <c r="AU51" s="289" t="s">
        <v>552</v>
      </c>
      <c r="AV51" s="289" t="s">
        <v>552</v>
      </c>
      <c r="AW51" s="289" t="s">
        <v>552</v>
      </c>
      <c r="AX51" s="289" t="s">
        <v>552</v>
      </c>
      <c r="AY51" s="289" t="s">
        <v>552</v>
      </c>
    </row>
    <row r="52" spans="1:57">
      <c r="A52" s="289" t="s">
        <v>553</v>
      </c>
      <c r="C52" s="289" t="s">
        <v>2046</v>
      </c>
      <c r="D52" s="289" t="s">
        <v>1262</v>
      </c>
      <c r="E52" s="289" t="s">
        <v>4416</v>
      </c>
      <c r="F52" s="289">
        <v>2.18E-2</v>
      </c>
      <c r="G52" s="289">
        <v>2.5499999999999998E-2</v>
      </c>
      <c r="H52" s="289">
        <v>2.4739931106567383E-2</v>
      </c>
      <c r="I52" s="289">
        <v>2.820513343811035E-2</v>
      </c>
      <c r="J52" s="289">
        <v>3.4732604980468748E-2</v>
      </c>
      <c r="K52" s="289">
        <v>3.6183155059814454E-2</v>
      </c>
      <c r="L52" s="289">
        <v>4.7304035186767575E-2</v>
      </c>
      <c r="M52" s="289">
        <v>4.4886451721191406E-2</v>
      </c>
      <c r="N52" s="289">
        <v>4.7384620666503903E-2</v>
      </c>
      <c r="O52" s="289">
        <v>4.5208793640136719E-2</v>
      </c>
      <c r="P52" s="289">
        <v>4.5934070587158204E-2</v>
      </c>
      <c r="Q52" s="289">
        <v>4.7299999237060547E-2</v>
      </c>
      <c r="R52" s="289">
        <v>5.3799999237060546E-2</v>
      </c>
      <c r="S52" s="289">
        <v>6.5599998474121096E-2</v>
      </c>
      <c r="T52" s="289">
        <v>6.5800003051757816E-2</v>
      </c>
      <c r="U52" s="289">
        <v>6.4599998474121095E-2</v>
      </c>
      <c r="V52" s="289">
        <v>6.6500000000000004E-2</v>
      </c>
      <c r="W52" s="289">
        <v>8.1599998474121097E-2</v>
      </c>
      <c r="X52" s="289">
        <v>6.7800003051757818E-2</v>
      </c>
      <c r="Y52" s="289">
        <v>7.1999999999999995E-2</v>
      </c>
      <c r="Z52" s="289">
        <v>9.719999694824219E-2</v>
      </c>
      <c r="AA52" s="289">
        <v>0.1351999969482422</v>
      </c>
      <c r="AB52" s="289">
        <v>0.18930000305175781</v>
      </c>
      <c r="AC52" s="289">
        <v>0.26660000610351564</v>
      </c>
      <c r="AD52" s="289">
        <v>0.26689999389648439</v>
      </c>
      <c r="AE52" s="289">
        <v>0.2331999969482422</v>
      </c>
      <c r="AF52" s="289">
        <v>0.24994999694824219</v>
      </c>
      <c r="AG52" s="289">
        <v>0.36280999755859378</v>
      </c>
      <c r="AH52" s="289">
        <v>0.37211999511718752</v>
      </c>
      <c r="AI52" s="289">
        <v>0.32922000122070311</v>
      </c>
      <c r="AJ52" s="289">
        <v>0.27852999877929685</v>
      </c>
      <c r="AK52" s="289">
        <v>0.31507000732421875</v>
      </c>
      <c r="AL52" s="289">
        <v>0.36029998779296873</v>
      </c>
      <c r="AM52" s="289">
        <v>0.313</v>
      </c>
      <c r="AN52" s="289">
        <v>0.34499999999999997</v>
      </c>
      <c r="AO52" s="289">
        <v>0.29799999999999999</v>
      </c>
      <c r="AP52" s="289">
        <v>0.32988999999999996</v>
      </c>
      <c r="AQ52" s="289">
        <v>0.51302999999999999</v>
      </c>
      <c r="AR52" s="289">
        <v>0.49628</v>
      </c>
      <c r="AS52" s="289">
        <v>0.86281000000000008</v>
      </c>
      <c r="AT52" s="289">
        <v>7.5251599999999987</v>
      </c>
      <c r="AU52" s="289">
        <v>112.10211</v>
      </c>
      <c r="AV52" s="289">
        <v>71.557497999999995</v>
      </c>
      <c r="AW52" s="289">
        <v>79.304506016000005</v>
      </c>
      <c r="AX52" s="289">
        <v>114.91785906099199</v>
      </c>
      <c r="AY52" s="289">
        <v>135.0326414491245</v>
      </c>
      <c r="AZ52" s="289">
        <v>267.37568564016618</v>
      </c>
      <c r="BA52" s="289">
        <v>340.03405153193506</v>
      </c>
      <c r="BB52" s="289">
        <v>394.36171036069561</v>
      </c>
      <c r="BC52" s="289">
        <v>410.88145909968995</v>
      </c>
      <c r="BD52" s="289">
        <v>492.46999831730528</v>
      </c>
      <c r="BE52" s="289">
        <v>528.1389970293435</v>
      </c>
    </row>
    <row r="53" spans="1:57">
      <c r="A53" s="289" t="s">
        <v>554</v>
      </c>
      <c r="C53" s="289" t="s">
        <v>2046</v>
      </c>
      <c r="D53" s="289" t="s">
        <v>1262</v>
      </c>
      <c r="E53" s="289" t="s">
        <v>2585</v>
      </c>
      <c r="F53" s="289">
        <v>3.0000000000000001E-3</v>
      </c>
      <c r="G53" s="289">
        <v>2.8E-3</v>
      </c>
      <c r="H53" s="289">
        <v>6.5999999046325681E-3</v>
      </c>
      <c r="I53" s="289">
        <v>8.8000001907348625E-3</v>
      </c>
      <c r="J53" s="289">
        <v>9.6999998092651366E-3</v>
      </c>
      <c r="K53" s="289">
        <v>1.3600000381469727E-2</v>
      </c>
      <c r="L53" s="289">
        <v>2.0299999237060547E-2</v>
      </c>
      <c r="M53" s="289">
        <v>1.7799999237060545E-2</v>
      </c>
      <c r="N53" s="289">
        <v>1.4999999999999999E-2</v>
      </c>
      <c r="O53" s="289">
        <v>1.3899999618530274E-2</v>
      </c>
      <c r="P53" s="289">
        <v>1.4E-2</v>
      </c>
      <c r="Q53" s="289">
        <v>1.6100000381469727E-2</v>
      </c>
      <c r="R53" s="289">
        <v>2.1799999237060545E-2</v>
      </c>
      <c r="S53" s="289">
        <v>2.4500000000000001E-2</v>
      </c>
      <c r="T53" s="289">
        <v>1.8799999237060546E-2</v>
      </c>
      <c r="U53" s="289">
        <v>2.4299999237060547E-2</v>
      </c>
      <c r="V53" s="289">
        <v>3.15E-2</v>
      </c>
      <c r="W53" s="289">
        <v>2.8399999618530274E-2</v>
      </c>
      <c r="X53" s="289">
        <v>4.0900001525878908E-2</v>
      </c>
      <c r="Y53" s="289">
        <v>4.1400001525878909E-2</v>
      </c>
      <c r="Z53" s="289">
        <v>4.3299999237060544E-2</v>
      </c>
      <c r="AA53" s="289">
        <v>7.3410003662109369E-2</v>
      </c>
      <c r="AB53" s="289">
        <v>0.12026000213623046</v>
      </c>
      <c r="AC53" s="289">
        <v>0.13771000671386718</v>
      </c>
      <c r="AD53" s="289">
        <v>0.13914999389648439</v>
      </c>
      <c r="AE53" s="289">
        <v>0.13571000671386718</v>
      </c>
      <c r="AF53" s="289">
        <v>0.12849000549316406</v>
      </c>
      <c r="AG53" s="289">
        <v>0.17553999328613282</v>
      </c>
      <c r="AH53" s="289">
        <v>0.18494000244140624</v>
      </c>
      <c r="AI53" s="289">
        <v>0.11944999694824218</v>
      </c>
      <c r="AJ53" s="289">
        <v>8.50999984741211E-2</v>
      </c>
      <c r="AK53" s="289">
        <v>5.5889999389648434E-2</v>
      </c>
      <c r="AL53" s="289">
        <v>4.0840000152587888E-2</v>
      </c>
      <c r="AM53" s="289">
        <v>4.2999999999999997E-2</v>
      </c>
      <c r="AN53" s="289">
        <v>2.7E-2</v>
      </c>
      <c r="AO53" s="289">
        <v>0.08</v>
      </c>
      <c r="AP53" s="289">
        <v>9.3859999999999999E-2</v>
      </c>
      <c r="AQ53" s="289">
        <v>0.11756</v>
      </c>
      <c r="AR53" s="289">
        <v>0.11655</v>
      </c>
      <c r="AS53" s="289">
        <v>0.39944000000000002</v>
      </c>
      <c r="AT53" s="289">
        <v>7.1788599999999994</v>
      </c>
      <c r="AU53" s="289">
        <v>85.748589999999993</v>
      </c>
      <c r="AV53" s="289">
        <v>48.477849999999997</v>
      </c>
      <c r="AW53" s="289">
        <v>53.651620000000001</v>
      </c>
      <c r="AX53" s="289">
        <v>49.128999999999998</v>
      </c>
      <c r="AY53" s="289">
        <v>43.383000000000003</v>
      </c>
      <c r="AZ53" s="289">
        <v>27.5</v>
      </c>
      <c r="BA53" s="289">
        <v>39.198</v>
      </c>
      <c r="BB53" s="289">
        <v>67.953000000000003</v>
      </c>
      <c r="BC53" s="289">
        <v>47.667000000000002</v>
      </c>
      <c r="BD53" s="289">
        <v>99.07979704486587</v>
      </c>
      <c r="BE53" s="289">
        <v>103.53414788341668</v>
      </c>
    </row>
    <row r="54" spans="1:57">
      <c r="A54" s="289" t="s">
        <v>555</v>
      </c>
      <c r="C54" s="289" t="s">
        <v>2219</v>
      </c>
      <c r="D54" s="289" t="s">
        <v>2219</v>
      </c>
      <c r="F54" s="289" t="s">
        <v>2219</v>
      </c>
      <c r="G54" s="289" t="s">
        <v>2219</v>
      </c>
      <c r="H54" s="289" t="s">
        <v>2219</v>
      </c>
      <c r="I54" s="289" t="s">
        <v>2219</v>
      </c>
      <c r="J54" s="289" t="s">
        <v>2219</v>
      </c>
      <c r="K54" s="289" t="s">
        <v>2219</v>
      </c>
      <c r="L54" s="289" t="s">
        <v>2219</v>
      </c>
      <c r="M54" s="289" t="s">
        <v>2219</v>
      </c>
      <c r="N54" s="289" t="s">
        <v>2219</v>
      </c>
      <c r="O54" s="289" t="s">
        <v>2219</v>
      </c>
      <c r="P54" s="289" t="s">
        <v>2219</v>
      </c>
      <c r="Q54" s="289" t="s">
        <v>2219</v>
      </c>
      <c r="R54" s="289" t="s">
        <v>2219</v>
      </c>
      <c r="S54" s="289" t="s">
        <v>2219</v>
      </c>
      <c r="T54" s="289" t="s">
        <v>2219</v>
      </c>
      <c r="U54" s="289" t="s">
        <v>2219</v>
      </c>
      <c r="V54" s="289" t="s">
        <v>2219</v>
      </c>
      <c r="W54" s="289" t="s">
        <v>2219</v>
      </c>
      <c r="X54" s="289" t="s">
        <v>2219</v>
      </c>
      <c r="Y54" s="289" t="s">
        <v>2219</v>
      </c>
      <c r="Z54" s="289" t="s">
        <v>2219</v>
      </c>
      <c r="AA54" s="289" t="s">
        <v>2219</v>
      </c>
      <c r="AB54" s="289" t="s">
        <v>2219</v>
      </c>
      <c r="AC54" s="289" t="s">
        <v>2219</v>
      </c>
      <c r="AD54" s="289" t="s">
        <v>2219</v>
      </c>
      <c r="AE54" s="289" t="s">
        <v>2219</v>
      </c>
      <c r="AF54" s="289" t="s">
        <v>2219</v>
      </c>
      <c r="AG54" s="289" t="s">
        <v>2219</v>
      </c>
      <c r="AH54" s="289" t="s">
        <v>2219</v>
      </c>
      <c r="AI54" s="289" t="s">
        <v>2219</v>
      </c>
      <c r="AJ54" s="289" t="s">
        <v>2219</v>
      </c>
      <c r="AK54" s="289" t="s">
        <v>2219</v>
      </c>
      <c r="AL54" s="289" t="s">
        <v>2219</v>
      </c>
      <c r="AM54" s="289" t="s">
        <v>2219</v>
      </c>
      <c r="AN54" s="289" t="s">
        <v>2219</v>
      </c>
      <c r="AO54" s="289" t="s">
        <v>2219</v>
      </c>
      <c r="AP54" s="289" t="s">
        <v>2219</v>
      </c>
      <c r="AQ54" s="289" t="s">
        <v>2219</v>
      </c>
      <c r="AR54" s="289" t="s">
        <v>2219</v>
      </c>
      <c r="AS54" s="289" t="s">
        <v>2219</v>
      </c>
      <c r="AT54" s="289" t="s">
        <v>2219</v>
      </c>
      <c r="AU54" s="289" t="s">
        <v>2219</v>
      </c>
      <c r="AV54" s="289" t="s">
        <v>2219</v>
      </c>
      <c r="AW54" s="289" t="s">
        <v>2219</v>
      </c>
      <c r="AX54" s="289" t="s">
        <v>2219</v>
      </c>
      <c r="AY54" s="289" t="s">
        <v>2219</v>
      </c>
      <c r="AZ54" s="289" t="s">
        <v>2219</v>
      </c>
      <c r="BA54" s="289" t="s">
        <v>2219</v>
      </c>
      <c r="BB54" s="289" t="s">
        <v>2219</v>
      </c>
    </row>
    <row r="55" spans="1:57">
      <c r="A55" s="289" t="s">
        <v>556</v>
      </c>
      <c r="C55" s="289" t="s">
        <v>2046</v>
      </c>
      <c r="D55" s="289" t="s">
        <v>1262</v>
      </c>
      <c r="E55" s="289" t="s">
        <v>2584</v>
      </c>
      <c r="F55" s="289">
        <v>0</v>
      </c>
      <c r="G55" s="289">
        <v>0</v>
      </c>
      <c r="H55" s="289">
        <v>0</v>
      </c>
      <c r="I55" s="289">
        <v>0</v>
      </c>
      <c r="J55" s="289">
        <v>0</v>
      </c>
      <c r="K55" s="289">
        <v>0</v>
      </c>
      <c r="L55" s="289">
        <v>0</v>
      </c>
      <c r="M55" s="289">
        <v>0</v>
      </c>
      <c r="N55" s="289">
        <v>0</v>
      </c>
      <c r="O55" s="289">
        <v>0</v>
      </c>
      <c r="P55" s="289">
        <v>0</v>
      </c>
      <c r="Q55" s="289">
        <v>0</v>
      </c>
      <c r="R55" s="289">
        <v>0</v>
      </c>
      <c r="S55" s="289">
        <v>0</v>
      </c>
      <c r="T55" s="289">
        <v>0</v>
      </c>
      <c r="U55" s="289">
        <v>0</v>
      </c>
      <c r="V55" s="289">
        <v>0</v>
      </c>
      <c r="W55" s="289">
        <v>0</v>
      </c>
      <c r="X55" s="289">
        <v>0</v>
      </c>
      <c r="Y55" s="289">
        <v>0</v>
      </c>
      <c r="Z55" s="289">
        <v>0</v>
      </c>
      <c r="AA55" s="289">
        <v>0</v>
      </c>
      <c r="AB55" s="289">
        <v>0</v>
      </c>
      <c r="AC55" s="289">
        <v>0</v>
      </c>
      <c r="AD55" s="289">
        <v>0</v>
      </c>
      <c r="AE55" s="289">
        <v>0</v>
      </c>
      <c r="AF55" s="289">
        <v>0</v>
      </c>
      <c r="AG55" s="289">
        <v>0</v>
      </c>
      <c r="AH55" s="289">
        <v>0</v>
      </c>
      <c r="AI55" s="289">
        <v>0</v>
      </c>
      <c r="AJ55" s="289">
        <v>0</v>
      </c>
      <c r="AK55" s="289">
        <v>0</v>
      </c>
      <c r="AL55" s="289">
        <v>0</v>
      </c>
      <c r="AM55" s="289">
        <v>0</v>
      </c>
      <c r="AN55" s="289">
        <v>0</v>
      </c>
      <c r="AO55" s="289">
        <v>0</v>
      </c>
      <c r="AP55" s="289">
        <v>0</v>
      </c>
      <c r="AQ55" s="289">
        <v>0</v>
      </c>
      <c r="AR55" s="289">
        <v>0</v>
      </c>
      <c r="AS55" s="289">
        <v>0</v>
      </c>
      <c r="AT55" s="289">
        <v>0</v>
      </c>
      <c r="AU55" s="289">
        <v>0</v>
      </c>
      <c r="AV55" s="289">
        <v>0</v>
      </c>
      <c r="AW55" s="289">
        <v>0</v>
      </c>
      <c r="AX55" s="289">
        <v>0</v>
      </c>
      <c r="AY55" s="289">
        <v>0</v>
      </c>
      <c r="AZ55" s="289">
        <v>0</v>
      </c>
      <c r="BA55" s="289">
        <v>0</v>
      </c>
      <c r="BB55" s="289">
        <v>0</v>
      </c>
      <c r="BC55" s="289">
        <v>0</v>
      </c>
      <c r="BD55" s="289">
        <v>0</v>
      </c>
      <c r="BE55" s="289">
        <v>0</v>
      </c>
    </row>
    <row r="56" spans="1:57">
      <c r="A56" s="289" t="s">
        <v>1296</v>
      </c>
      <c r="C56" s="289" t="s">
        <v>2046</v>
      </c>
      <c r="D56" s="289" t="s">
        <v>1262</v>
      </c>
      <c r="E56" s="289" t="s">
        <v>3795</v>
      </c>
      <c r="F56" s="289">
        <v>9.8000000000000014E-3</v>
      </c>
      <c r="G56" s="289">
        <v>1.1300000000000001E-2</v>
      </c>
      <c r="H56" s="289">
        <v>1.2494999885559082E-2</v>
      </c>
      <c r="I56" s="289">
        <v>1.6659999847412111E-2</v>
      </c>
      <c r="J56" s="289">
        <v>1.7409700393676758E-2</v>
      </c>
      <c r="K56" s="289">
        <v>1.9408899307250975E-2</v>
      </c>
      <c r="L56" s="289">
        <v>2.1824600219726563E-2</v>
      </c>
      <c r="M56" s="289">
        <v>2.9071699142456053E-2</v>
      </c>
      <c r="N56" s="289">
        <v>2.9904699325561522E-2</v>
      </c>
      <c r="O56" s="289">
        <v>3.0737699508666991E-2</v>
      </c>
      <c r="P56" s="289">
        <v>3.5152599334716796E-2</v>
      </c>
      <c r="Q56" s="289">
        <v>3.7984798431396481E-2</v>
      </c>
      <c r="R56" s="289">
        <v>4.514860153198242E-2</v>
      </c>
      <c r="S56" s="289">
        <v>4.7730899810791018E-2</v>
      </c>
      <c r="T56" s="289">
        <v>5.0146598815917966E-2</v>
      </c>
      <c r="U56" s="289">
        <v>5.8726501464843747E-2</v>
      </c>
      <c r="V56" s="289">
        <v>6.8889099121093755E-2</v>
      </c>
      <c r="W56" s="289">
        <v>7.0221900939941406E-2</v>
      </c>
      <c r="X56" s="289">
        <v>8.088430023193359E-2</v>
      </c>
      <c r="Y56" s="289">
        <v>8.2883499145507813E-2</v>
      </c>
      <c r="Z56" s="289">
        <v>9.4128997802734371E-2</v>
      </c>
      <c r="AA56" s="289">
        <v>0.11834999847412109</v>
      </c>
      <c r="AB56" s="289">
        <v>0.14183000183105468</v>
      </c>
      <c r="AC56" s="289">
        <v>0.18225999450683594</v>
      </c>
      <c r="AD56" s="289">
        <v>0.21094000244140626</v>
      </c>
      <c r="AE56" s="289">
        <v>0.22155999755859376</v>
      </c>
      <c r="AF56" s="289">
        <v>0.22585000610351563</v>
      </c>
      <c r="AG56" s="289">
        <v>0.27608999633789061</v>
      </c>
      <c r="AH56" s="289">
        <v>0.34627999877929688</v>
      </c>
      <c r="AI56" s="289">
        <v>0.37388000488281248</v>
      </c>
      <c r="AJ56" s="289">
        <v>0.37407000732421875</v>
      </c>
      <c r="AK56" s="289">
        <v>0.38382998657226564</v>
      </c>
      <c r="AL56" s="289">
        <v>0.40870001220703123</v>
      </c>
      <c r="AM56" s="289">
        <v>0.47</v>
      </c>
      <c r="AN56" s="289">
        <v>0.52300000000000002</v>
      </c>
      <c r="AO56" s="289">
        <v>0.56299999999999994</v>
      </c>
      <c r="AP56" s="289">
        <v>0.52709000000000006</v>
      </c>
      <c r="AQ56" s="289">
        <v>0.67749000000000004</v>
      </c>
      <c r="AR56" s="289">
        <v>0.84326999999999996</v>
      </c>
      <c r="AS56" s="289">
        <v>0.99841999999999997</v>
      </c>
      <c r="AT56" s="289">
        <v>3.4202399999999997</v>
      </c>
      <c r="AU56" s="289">
        <v>13.131590000000001</v>
      </c>
      <c r="AV56" s="289">
        <v>25.609569999999998</v>
      </c>
      <c r="AW56" s="289">
        <v>31.287939999999999</v>
      </c>
      <c r="AX56" s="289">
        <v>73.376999999999995</v>
      </c>
      <c r="AY56" s="289">
        <v>101.501</v>
      </c>
      <c r="AZ56" s="289">
        <v>162.21700000000001</v>
      </c>
      <c r="BA56" s="289">
        <v>212.87799999999999</v>
      </c>
      <c r="BB56" s="289">
        <v>377.678</v>
      </c>
      <c r="BC56" s="289">
        <v>426.983</v>
      </c>
      <c r="BD56" s="289">
        <v>454.16699999999997</v>
      </c>
      <c r="BE56" s="289">
        <v>507.19129125896728</v>
      </c>
    </row>
    <row r="57" spans="1:57">
      <c r="A57" s="289" t="s">
        <v>1787</v>
      </c>
      <c r="C57" s="289" t="s">
        <v>2046</v>
      </c>
      <c r="D57" s="289" t="s">
        <v>1262</v>
      </c>
      <c r="E57" s="289" t="s">
        <v>3328</v>
      </c>
      <c r="F57" s="289">
        <v>0</v>
      </c>
      <c r="G57" s="289">
        <v>0</v>
      </c>
      <c r="H57" s="289">
        <v>0</v>
      </c>
      <c r="I57" s="289">
        <v>0</v>
      </c>
      <c r="J57" s="289">
        <v>0</v>
      </c>
      <c r="K57" s="289">
        <v>0</v>
      </c>
      <c r="L57" s="289">
        <v>1.0000000149011611E-4</v>
      </c>
      <c r="M57" s="289">
        <v>1.0000000149011611E-4</v>
      </c>
      <c r="N57" s="289">
        <v>1.0000000149011611E-4</v>
      </c>
      <c r="O57" s="289">
        <v>1.0000000149011611E-4</v>
      </c>
      <c r="P57" s="289">
        <v>1.0000000149011611E-4</v>
      </c>
      <c r="Q57" s="289">
        <v>2.3399999737739563E-4</v>
      </c>
      <c r="R57" s="289">
        <v>3.1200000643730164E-4</v>
      </c>
      <c r="S57" s="289">
        <v>2.3399999737739563E-4</v>
      </c>
      <c r="T57" s="289">
        <v>9.7500002384185791E-4</v>
      </c>
      <c r="U57" s="289">
        <v>7.4099999666213986E-4</v>
      </c>
      <c r="V57" s="289">
        <v>1.9110000133514403E-3</v>
      </c>
      <c r="W57" s="289">
        <v>1.9500000476837158E-3</v>
      </c>
      <c r="X57" s="289">
        <v>6.0000002384185791E-4</v>
      </c>
      <c r="Y57" s="289">
        <v>6.9999998807907101E-4</v>
      </c>
      <c r="Z57" s="289">
        <v>6.9999998807907101E-4</v>
      </c>
      <c r="AA57" s="289">
        <v>5.0000000000000001E-4</v>
      </c>
      <c r="AB57" s="289">
        <v>1E-3</v>
      </c>
      <c r="AC57" s="289">
        <v>1.1000000238418578E-3</v>
      </c>
      <c r="AD57" s="289">
        <v>8.9999997615814213E-4</v>
      </c>
      <c r="AE57" s="289">
        <v>8.9999997615814213E-4</v>
      </c>
      <c r="AF57" s="289">
        <v>2.7999999523162841E-3</v>
      </c>
      <c r="AG57" s="289">
        <v>6.3000001907348637E-3</v>
      </c>
      <c r="AH57" s="289">
        <v>4.9000000953674317E-3</v>
      </c>
      <c r="AI57" s="289">
        <v>1.4E-2</v>
      </c>
      <c r="AJ57" s="289">
        <v>2.3E-2</v>
      </c>
      <c r="AK57" s="289">
        <v>3.9599998474121094E-2</v>
      </c>
      <c r="AL57" s="289">
        <v>5.8400001525878903E-2</v>
      </c>
      <c r="AM57" s="289">
        <v>8.4000000000000005E-2</v>
      </c>
      <c r="AN57" s="289">
        <v>0.106</v>
      </c>
      <c r="AO57" s="289">
        <v>0.13100000000000001</v>
      </c>
      <c r="AP57" s="289">
        <v>0.13027000427246094</v>
      </c>
      <c r="AQ57" s="289">
        <v>0.16189300537109375</v>
      </c>
      <c r="AR57" s="289">
        <v>0.18407449340820312</v>
      </c>
      <c r="AS57" s="289">
        <v>0.219</v>
      </c>
      <c r="AT57" s="289">
        <v>1.319</v>
      </c>
      <c r="AU57" s="289">
        <v>1.968</v>
      </c>
      <c r="AV57" s="289">
        <v>2.4180000000000001</v>
      </c>
      <c r="AW57" s="289">
        <v>1.6519999999999999</v>
      </c>
      <c r="AX57" s="289">
        <v>2.3913092000000002</v>
      </c>
      <c r="AY57" s="289">
        <v>-0.22170592799999941</v>
      </c>
      <c r="AZ57" s="289">
        <v>4.2907368859999995</v>
      </c>
      <c r="BA57" s="289">
        <v>28.442708875000001</v>
      </c>
      <c r="BB57" s="289">
        <v>48.735186445500005</v>
      </c>
      <c r="BC57" s="289">
        <v>64.573599999999999</v>
      </c>
      <c r="BD57" s="289">
        <v>68.198999999999998</v>
      </c>
      <c r="BE57" s="289">
        <v>50.302833787499999</v>
      </c>
    </row>
    <row r="58" spans="1:57">
      <c r="A58" s="289" t="s">
        <v>2769</v>
      </c>
      <c r="C58" s="289" t="s">
        <v>2046</v>
      </c>
      <c r="D58" s="289" t="s">
        <v>1262</v>
      </c>
      <c r="E58" s="289" t="s">
        <v>3380</v>
      </c>
      <c r="F58" s="289">
        <v>0</v>
      </c>
      <c r="G58" s="289">
        <v>0</v>
      </c>
      <c r="H58" s="289">
        <v>0</v>
      </c>
      <c r="I58" s="289">
        <v>0</v>
      </c>
      <c r="J58" s="289">
        <v>0</v>
      </c>
      <c r="K58" s="289">
        <v>1.0000000149011611E-4</v>
      </c>
      <c r="L58" s="289">
        <v>1.0000000149011611E-4</v>
      </c>
      <c r="M58" s="289">
        <v>2.0000000298023223E-4</v>
      </c>
      <c r="N58" s="289">
        <v>3.0000001192092895E-4</v>
      </c>
      <c r="O58" s="289">
        <v>4.0000000596046445E-4</v>
      </c>
      <c r="P58" s="289">
        <v>4.0000000596046445E-4</v>
      </c>
      <c r="Q58" s="289">
        <v>3.6599999666213991E-4</v>
      </c>
      <c r="R58" s="289">
        <v>4.8800000548362732E-4</v>
      </c>
      <c r="S58" s="289">
        <v>3.6599999666213991E-4</v>
      </c>
      <c r="T58" s="289">
        <v>1.5249999761581421E-3</v>
      </c>
      <c r="U58" s="289">
        <v>1.1590000391006471E-3</v>
      </c>
      <c r="V58" s="289">
        <v>2.9890000820159911E-3</v>
      </c>
      <c r="W58" s="289">
        <v>3.0499999523162843E-3</v>
      </c>
      <c r="X58" s="289">
        <v>6.0000002384185791E-4</v>
      </c>
      <c r="Y58" s="289">
        <v>6.9999998807907101E-4</v>
      </c>
      <c r="Z58" s="289">
        <v>8.0000001192092891E-4</v>
      </c>
      <c r="AA58" s="289">
        <v>6.0000002384185791E-4</v>
      </c>
      <c r="AB58" s="289">
        <v>1.1000000238418578E-3</v>
      </c>
      <c r="AC58" s="289">
        <v>2.0000000298023223E-4</v>
      </c>
      <c r="AD58" s="289">
        <v>2.0999999046325685E-3</v>
      </c>
      <c r="AE58" s="289">
        <v>3.7999999523162841E-3</v>
      </c>
      <c r="AF58" s="289">
        <v>2.7999999523162841E-3</v>
      </c>
      <c r="AG58" s="289">
        <v>2.9000000953674316E-3</v>
      </c>
      <c r="AH58" s="289">
        <v>1.7000000476837158E-3</v>
      </c>
      <c r="AI58" s="289">
        <v>1.2000000476837158E-3</v>
      </c>
      <c r="AJ58" s="289">
        <v>1.2999999523162842E-3</v>
      </c>
      <c r="AK58" s="289">
        <v>8.0000001192092891E-4</v>
      </c>
      <c r="AL58" s="289">
        <v>1.7000000476837158E-3</v>
      </c>
      <c r="AM58" s="289">
        <v>2E-3</v>
      </c>
      <c r="AN58" s="289">
        <v>2.7000000476837156E-3</v>
      </c>
      <c r="AO58" s="289">
        <v>3.7999999523162841E-3</v>
      </c>
      <c r="AP58" s="289">
        <v>4.0289998054504391E-3</v>
      </c>
      <c r="AQ58" s="289">
        <v>1E-3</v>
      </c>
      <c r="AR58" s="289">
        <v>0</v>
      </c>
      <c r="AS58" s="289">
        <v>0</v>
      </c>
      <c r="AT58" s="289">
        <v>0</v>
      </c>
      <c r="AU58" s="289">
        <v>0</v>
      </c>
      <c r="AV58" s="289">
        <v>1.1641469279999999</v>
      </c>
      <c r="AW58" s="289">
        <v>1.2222210126116397</v>
      </c>
      <c r="AX58" s="289">
        <v>1.3516907999999999</v>
      </c>
      <c r="AY58" s="289">
        <v>3.7257059279999996</v>
      </c>
      <c r="AZ58" s="289">
        <v>4.6722631140000006</v>
      </c>
      <c r="BA58" s="289">
        <v>8.8212911250000001</v>
      </c>
      <c r="BB58" s="289">
        <v>9.0688135544999984</v>
      </c>
      <c r="BC58" s="289">
        <v>0</v>
      </c>
      <c r="BD58" s="289">
        <v>0</v>
      </c>
      <c r="BE58" s="289">
        <v>29.74256777696538</v>
      </c>
    </row>
    <row r="59" spans="1:57">
      <c r="A59" s="289" t="s">
        <v>2770</v>
      </c>
      <c r="C59" s="289" t="s">
        <v>2046</v>
      </c>
      <c r="D59" s="289" t="s">
        <v>1262</v>
      </c>
      <c r="E59" s="289" t="s">
        <v>3375</v>
      </c>
      <c r="F59" s="289">
        <v>3.2000000000000002E-3</v>
      </c>
      <c r="G59" s="289">
        <v>3.7000000000000002E-3</v>
      </c>
      <c r="H59" s="289">
        <v>3.6355149745941162E-3</v>
      </c>
      <c r="I59" s="289">
        <v>4.1447238922119141E-3</v>
      </c>
      <c r="J59" s="289">
        <v>5.1039314270019528E-3</v>
      </c>
      <c r="K59" s="289">
        <v>5.3170886039733889E-3</v>
      </c>
      <c r="L59" s="289">
        <v>6.9512939453125E-3</v>
      </c>
      <c r="M59" s="289">
        <v>6.5960316658020017E-3</v>
      </c>
      <c r="N59" s="289">
        <v>6.9631357192993168E-3</v>
      </c>
      <c r="O59" s="289">
        <v>6.6433997154235836E-3</v>
      </c>
      <c r="P59" s="289">
        <v>6.7499785423278807E-3</v>
      </c>
      <c r="Q59" s="289">
        <v>7.9910001754760745E-3</v>
      </c>
      <c r="R59" s="289">
        <v>7.9910001754760745E-3</v>
      </c>
      <c r="S59" s="289">
        <v>7.3200001716613771E-3</v>
      </c>
      <c r="T59" s="289">
        <v>8.2349996566772454E-3</v>
      </c>
      <c r="U59" s="289">
        <v>9.6379995346069329E-3</v>
      </c>
      <c r="V59" s="289">
        <v>1.0491999626159668E-2</v>
      </c>
      <c r="W59" s="289">
        <v>9.6990003585815422E-3</v>
      </c>
      <c r="X59" s="289">
        <v>1.3899999618530274E-2</v>
      </c>
      <c r="Y59" s="289">
        <v>1.7100000381469728E-2</v>
      </c>
      <c r="Z59" s="289">
        <v>2.2499999999999999E-2</v>
      </c>
      <c r="AA59" s="289">
        <v>2.8200000762939454E-2</v>
      </c>
      <c r="AB59" s="289">
        <v>3.4000000000000002E-2</v>
      </c>
      <c r="AC59" s="289">
        <v>3.5999999999999997E-2</v>
      </c>
      <c r="AD59" s="289">
        <v>0.03</v>
      </c>
      <c r="AE59" s="289">
        <v>2.4899999618530275E-2</v>
      </c>
      <c r="AF59" s="289">
        <v>2.6100000381469726E-2</v>
      </c>
      <c r="AG59" s="289">
        <v>2.9100000381469728E-2</v>
      </c>
      <c r="AH59" s="289">
        <v>3.2799999237060548E-2</v>
      </c>
      <c r="AI59" s="289">
        <v>3.2799999237060548E-2</v>
      </c>
      <c r="AJ59" s="289">
        <v>3.1100000381469727E-2</v>
      </c>
      <c r="AK59" s="289">
        <v>2.1000000000000001E-2</v>
      </c>
      <c r="AL59" s="289">
        <v>3.15E-2</v>
      </c>
      <c r="AM59" s="289">
        <v>2.5000000000000001E-2</v>
      </c>
      <c r="AN59" s="289">
        <v>2.3E-2</v>
      </c>
      <c r="AO59" s="289">
        <v>3.2000000000000001E-2</v>
      </c>
      <c r="AP59" s="289">
        <v>3.3259999999999998E-2</v>
      </c>
      <c r="AQ59" s="289">
        <v>3.3059999999999999E-2</v>
      </c>
      <c r="AR59" s="289">
        <v>3.9079999999999997E-2</v>
      </c>
      <c r="AS59" s="289">
        <v>0.15209999999999999</v>
      </c>
      <c r="AT59" s="289">
        <v>0.4995</v>
      </c>
      <c r="AU59" s="289">
        <v>0.79089999999999994</v>
      </c>
      <c r="AV59" s="289">
        <v>4.9847399999999995</v>
      </c>
      <c r="AW59" s="289">
        <v>5.7395100000000001</v>
      </c>
      <c r="AX59" s="289">
        <v>1</v>
      </c>
      <c r="AY59" s="289">
        <v>3.5</v>
      </c>
      <c r="AZ59" s="289">
        <v>10.5</v>
      </c>
      <c r="BA59" s="289">
        <v>16.3</v>
      </c>
      <c r="BB59" s="289">
        <v>5.6</v>
      </c>
      <c r="BC59" s="289">
        <v>3.7</v>
      </c>
      <c r="BD59" s="289">
        <v>4.343</v>
      </c>
      <c r="BE59" s="289">
        <v>4.6362527840526964</v>
      </c>
    </row>
    <row r="60" spans="1:57">
      <c r="A60" s="289" t="s">
        <v>2771</v>
      </c>
      <c r="C60" s="289" t="s">
        <v>2046</v>
      </c>
      <c r="D60" s="289" t="s">
        <v>1262</v>
      </c>
      <c r="E60" s="289" t="s">
        <v>3378</v>
      </c>
      <c r="F60" s="289">
        <v>3.8E-3</v>
      </c>
      <c r="G60" s="289">
        <v>4.4000000000000003E-3</v>
      </c>
      <c r="H60" s="289">
        <v>4.531274795532227E-3</v>
      </c>
      <c r="I60" s="289">
        <v>5.6500849723815916E-3</v>
      </c>
      <c r="J60" s="289">
        <v>6.335004806518555E-3</v>
      </c>
      <c r="K60" s="289">
        <v>6.8546090126037594E-3</v>
      </c>
      <c r="L60" s="289">
        <v>8.2497425079345703E-3</v>
      </c>
      <c r="M60" s="289">
        <v>9.5046358108520513E-3</v>
      </c>
      <c r="N60" s="289">
        <v>9.8762426376342773E-3</v>
      </c>
      <c r="O60" s="289">
        <v>9.8650360107421873E-3</v>
      </c>
      <c r="P60" s="289">
        <v>1.0809538841247558E-2</v>
      </c>
      <c r="Q60" s="289">
        <v>1.2069199562072754E-2</v>
      </c>
      <c r="R60" s="289">
        <v>1.3505399703979492E-2</v>
      </c>
      <c r="S60" s="289">
        <v>1.3649100303649903E-2</v>
      </c>
      <c r="T60" s="289">
        <v>1.4643400192260743E-2</v>
      </c>
      <c r="U60" s="289">
        <v>1.7145500183105469E-2</v>
      </c>
      <c r="V60" s="289">
        <v>1.9658899307250975E-2</v>
      </c>
      <c r="W60" s="289">
        <v>1.9484100341796876E-2</v>
      </c>
      <c r="X60" s="289">
        <v>2.4215700149536133E-2</v>
      </c>
      <c r="Y60" s="289">
        <v>2.3916500091552734E-2</v>
      </c>
      <c r="Z60" s="289">
        <v>2.8270999908447267E-2</v>
      </c>
      <c r="AA60" s="289">
        <v>1.9700000762939453E-2</v>
      </c>
      <c r="AB60" s="289">
        <v>8.1000003814697269E-3</v>
      </c>
      <c r="AC60" s="289">
        <v>2.4399999618530274E-2</v>
      </c>
      <c r="AD60" s="289">
        <v>3.1200000762939453E-2</v>
      </c>
      <c r="AE60" s="289">
        <v>3.2000000000000001E-2</v>
      </c>
      <c r="AF60" s="289">
        <v>3.3000000000000002E-2</v>
      </c>
      <c r="AG60" s="289">
        <v>3.3900001525878909E-2</v>
      </c>
      <c r="AH60" s="289">
        <v>0.03</v>
      </c>
      <c r="AI60" s="289">
        <v>3.3799999237060549E-2</v>
      </c>
      <c r="AJ60" s="289">
        <v>4.8200000762939454E-2</v>
      </c>
      <c r="AK60" s="289">
        <v>4.7400001525878907E-2</v>
      </c>
      <c r="AL60" s="289">
        <v>2.6299999237060546E-2</v>
      </c>
      <c r="AM60" s="289">
        <v>2.4899999618530275E-2</v>
      </c>
      <c r="AN60" s="289">
        <v>5.7299999237060549E-2</v>
      </c>
      <c r="AO60" s="289">
        <v>5.040000152587891E-2</v>
      </c>
      <c r="AP60" s="289">
        <v>0.11</v>
      </c>
      <c r="AQ60" s="289">
        <v>0.20599999999999999</v>
      </c>
      <c r="AR60" s="289">
        <v>0.20599999999999999</v>
      </c>
      <c r="AS60" s="289">
        <v>0.33</v>
      </c>
      <c r="AT60" s="289">
        <v>2.2730000000000001</v>
      </c>
      <c r="AU60" s="289">
        <v>11.994062111801242</v>
      </c>
      <c r="AV60" s="289">
        <v>15.35726</v>
      </c>
      <c r="AW60" s="289">
        <v>10.82249</v>
      </c>
      <c r="AX60" s="289">
        <v>20.556999999999999</v>
      </c>
      <c r="AY60" s="289">
        <v>20.725999999999999</v>
      </c>
      <c r="AZ60" s="289">
        <v>41.378999999999998</v>
      </c>
      <c r="BA60" s="289">
        <v>116.916</v>
      </c>
      <c r="BB60" s="289">
        <v>129.059</v>
      </c>
      <c r="BC60" s="289">
        <v>135.66129999999998</v>
      </c>
      <c r="BD60" s="289">
        <v>189.285</v>
      </c>
      <c r="BE60" s="289">
        <v>208.84080059145913</v>
      </c>
    </row>
    <row r="61" spans="1:57">
      <c r="A61" s="289" t="s">
        <v>2772</v>
      </c>
      <c r="C61" s="289" t="s">
        <v>2046</v>
      </c>
      <c r="D61" s="289" t="s">
        <v>1262</v>
      </c>
      <c r="E61" s="289" t="s">
        <v>3377</v>
      </c>
      <c r="F61" s="289">
        <v>2.9999999999999997E-4</v>
      </c>
      <c r="G61" s="289">
        <v>2.9999999999999997E-4</v>
      </c>
      <c r="H61" s="289">
        <v>2.9797226190567019E-4</v>
      </c>
      <c r="I61" s="289">
        <v>3.3970779180526731E-4</v>
      </c>
      <c r="J61" s="289">
        <v>4.1832587122917175E-4</v>
      </c>
      <c r="K61" s="289">
        <v>4.3579655885696414E-4</v>
      </c>
      <c r="L61" s="289">
        <v>5.69738507270813E-4</v>
      </c>
      <c r="M61" s="289">
        <v>5.406206846237183E-4</v>
      </c>
      <c r="N61" s="289">
        <v>5.7070904970169065E-4</v>
      </c>
      <c r="O61" s="289">
        <v>5.4450303316116338E-4</v>
      </c>
      <c r="P61" s="289">
        <v>5.5323833227157598E-4</v>
      </c>
      <c r="Q61" s="289">
        <v>6.5499997138977045E-4</v>
      </c>
      <c r="R61" s="289">
        <v>6.5499997138977045E-4</v>
      </c>
      <c r="S61" s="289">
        <v>6.0000002384185791E-4</v>
      </c>
      <c r="T61" s="289">
        <v>6.7500001192092891E-4</v>
      </c>
      <c r="U61" s="289">
        <v>7.9000002145767213E-4</v>
      </c>
      <c r="V61" s="289">
        <v>8.600000143051148E-4</v>
      </c>
      <c r="W61" s="289">
        <v>7.9500001668930057E-4</v>
      </c>
      <c r="X61" s="289">
        <v>1.0000000149011611E-4</v>
      </c>
      <c r="Y61" s="289">
        <v>1.0000000149011611E-4</v>
      </c>
      <c r="Z61" s="289">
        <v>5.0000000000000001E-4</v>
      </c>
      <c r="AA61" s="289">
        <v>1.399999976158142E-3</v>
      </c>
      <c r="AB61" s="289">
        <v>1.899999976158142E-3</v>
      </c>
      <c r="AC61" s="289">
        <v>1.899999976158142E-3</v>
      </c>
      <c r="AD61" s="289">
        <v>9.1999998092651362E-3</v>
      </c>
      <c r="AE61" s="289">
        <v>8.9999997615814213E-4</v>
      </c>
      <c r="AF61" s="289">
        <v>2E-3</v>
      </c>
      <c r="AG61" s="289">
        <v>2E-3</v>
      </c>
      <c r="AH61" s="289">
        <v>2E-3</v>
      </c>
      <c r="AI61" s="289">
        <v>2E-3</v>
      </c>
      <c r="AJ61" s="289">
        <v>2E-3</v>
      </c>
      <c r="AK61" s="289">
        <v>2E-3</v>
      </c>
      <c r="AL61" s="289">
        <v>2E-3</v>
      </c>
      <c r="AM61" s="289">
        <v>2E-3</v>
      </c>
      <c r="AN61" s="289">
        <v>2E-3</v>
      </c>
      <c r="AO61" s="289">
        <v>2E-3</v>
      </c>
      <c r="AP61" s="289">
        <v>0</v>
      </c>
      <c r="AQ61" s="289">
        <v>0</v>
      </c>
      <c r="AR61" s="289">
        <v>0</v>
      </c>
      <c r="AS61" s="289">
        <v>0</v>
      </c>
      <c r="AT61" s="289">
        <v>0</v>
      </c>
      <c r="AU61" s="289">
        <v>0</v>
      </c>
      <c r="AV61" s="289">
        <v>0</v>
      </c>
      <c r="AW61" s="289">
        <v>0</v>
      </c>
      <c r="AX61" s="289">
        <v>0</v>
      </c>
      <c r="AY61" s="289">
        <v>0</v>
      </c>
      <c r="AZ61" s="289">
        <v>0</v>
      </c>
      <c r="BA61" s="289">
        <v>0</v>
      </c>
      <c r="BB61" s="289">
        <v>0</v>
      </c>
      <c r="BC61" s="289">
        <v>0</v>
      </c>
      <c r="BD61" s="289">
        <v>0</v>
      </c>
      <c r="BE61" s="289">
        <v>0</v>
      </c>
    </row>
    <row r="62" spans="1:57">
      <c r="A62" s="289" t="s">
        <v>904</v>
      </c>
      <c r="AT62" s="289" t="s">
        <v>2219</v>
      </c>
      <c r="AU62" s="289" t="s">
        <v>2219</v>
      </c>
      <c r="AV62" s="289" t="s">
        <v>2219</v>
      </c>
      <c r="AW62" s="289" t="s">
        <v>2219</v>
      </c>
      <c r="AX62" s="289" t="s">
        <v>2219</v>
      </c>
      <c r="AY62" s="289" t="s">
        <v>2219</v>
      </c>
      <c r="AZ62" s="289" t="s">
        <v>2219</v>
      </c>
      <c r="BA62" s="289" t="s">
        <v>2219</v>
      </c>
      <c r="BB62" s="289" t="s">
        <v>2219</v>
      </c>
      <c r="BC62" s="289" t="s">
        <v>2219</v>
      </c>
      <c r="BD62" s="289" t="s">
        <v>2219</v>
      </c>
      <c r="BE62" s="289" t="s">
        <v>2219</v>
      </c>
    </row>
    <row r="63" spans="1:57">
      <c r="A63" s="289" t="s">
        <v>4481</v>
      </c>
    </row>
    <row r="64" spans="1:57">
      <c r="A64" s="289" t="s">
        <v>2927</v>
      </c>
      <c r="AT64" s="289" t="s">
        <v>2219</v>
      </c>
      <c r="AU64" s="289" t="s">
        <v>2219</v>
      </c>
      <c r="AV64" s="289" t="s">
        <v>2219</v>
      </c>
      <c r="AW64" s="289" t="s">
        <v>2219</v>
      </c>
      <c r="AX64" s="289" t="s">
        <v>2219</v>
      </c>
      <c r="AY64" s="289" t="s">
        <v>2219</v>
      </c>
      <c r="AZ64" s="289" t="s">
        <v>2219</v>
      </c>
      <c r="BA64" s="289" t="s">
        <v>2219</v>
      </c>
      <c r="BB64" s="289" t="s">
        <v>2219</v>
      </c>
      <c r="BC64" s="289" t="s">
        <v>2219</v>
      </c>
      <c r="BD64" s="289" t="s">
        <v>2219</v>
      </c>
      <c r="BE64" s="289" t="s">
        <v>2219</v>
      </c>
    </row>
    <row r="65" spans="1:57">
      <c r="A65" s="289" t="s">
        <v>2928</v>
      </c>
    </row>
    <row r="66" spans="1:57">
      <c r="A66" s="289" t="s">
        <v>904</v>
      </c>
      <c r="AT66" s="289" t="s">
        <v>2219</v>
      </c>
      <c r="AU66" s="289" t="s">
        <v>2219</v>
      </c>
      <c r="AV66" s="289" t="s">
        <v>2219</v>
      </c>
      <c r="AW66" s="289" t="s">
        <v>2219</v>
      </c>
      <c r="AX66" s="289" t="s">
        <v>2219</v>
      </c>
      <c r="AY66" s="289" t="s">
        <v>2219</v>
      </c>
      <c r="AZ66" s="289" t="s">
        <v>2219</v>
      </c>
      <c r="BA66" s="289" t="s">
        <v>2219</v>
      </c>
      <c r="BB66" s="289" t="s">
        <v>2219</v>
      </c>
      <c r="BC66" s="289" t="s">
        <v>2219</v>
      </c>
      <c r="BD66" s="289" t="s">
        <v>2219</v>
      </c>
      <c r="BE66" s="289" t="s">
        <v>2219</v>
      </c>
    </row>
    <row r="67" spans="1:57">
      <c r="A67" s="289" t="s">
        <v>2694</v>
      </c>
    </row>
    <row r="68" spans="1:57">
      <c r="A68" s="289" t="s">
        <v>904</v>
      </c>
      <c r="AT68" s="289" t="s">
        <v>2219</v>
      </c>
      <c r="AU68" s="289" t="s">
        <v>2219</v>
      </c>
      <c r="AV68" s="289" t="s">
        <v>2219</v>
      </c>
      <c r="AW68" s="289" t="s">
        <v>2219</v>
      </c>
      <c r="AX68" s="289" t="s">
        <v>2219</v>
      </c>
      <c r="AY68" s="289" t="s">
        <v>2219</v>
      </c>
      <c r="AZ68" s="289" t="s">
        <v>2219</v>
      </c>
      <c r="BA68" s="289" t="s">
        <v>2219</v>
      </c>
      <c r="BB68" s="289" t="s">
        <v>2219</v>
      </c>
      <c r="BC68" s="289" t="s">
        <v>2219</v>
      </c>
    </row>
    <row r="69" spans="1:57">
      <c r="A69" s="289" t="s">
        <v>2695</v>
      </c>
      <c r="AT69" s="289" t="s">
        <v>2219</v>
      </c>
      <c r="AU69" s="289" t="s">
        <v>2219</v>
      </c>
      <c r="AV69" s="289" t="s">
        <v>2219</v>
      </c>
      <c r="AW69" s="289" t="s">
        <v>2219</v>
      </c>
      <c r="AX69" s="289" t="s">
        <v>2219</v>
      </c>
      <c r="AY69" s="289" t="s">
        <v>2219</v>
      </c>
      <c r="AZ69" s="289" t="s">
        <v>2219</v>
      </c>
      <c r="BA69" s="289" t="s">
        <v>2219</v>
      </c>
      <c r="BB69" s="289" t="s">
        <v>2219</v>
      </c>
      <c r="BC69" s="289" t="s">
        <v>2219</v>
      </c>
    </row>
    <row r="70" spans="1:57">
      <c r="A70" s="289" t="s">
        <v>3503</v>
      </c>
      <c r="C70" s="289" t="s">
        <v>2046</v>
      </c>
      <c r="D70" s="289" t="s">
        <v>503</v>
      </c>
      <c r="E70" s="289" t="s">
        <v>1681</v>
      </c>
      <c r="F70" s="289">
        <v>2.8999999999999998E-3</v>
      </c>
      <c r="G70" s="289">
        <v>2.8999999999999998E-3</v>
      </c>
      <c r="H70" s="289">
        <v>8.8000001907348625E-3</v>
      </c>
      <c r="I70" s="289">
        <v>1.4300000190734864E-2</v>
      </c>
      <c r="J70" s="289">
        <v>1.4500000000000001E-2</v>
      </c>
      <c r="K70" s="289">
        <v>3.5099998474121097E-2</v>
      </c>
      <c r="L70" s="289">
        <v>3.2299999237060548E-2</v>
      </c>
      <c r="M70" s="289">
        <v>4.1599998474121096E-2</v>
      </c>
      <c r="N70" s="289">
        <v>5.0500000000000003E-2</v>
      </c>
      <c r="O70" s="289">
        <v>5.8500000000000003E-2</v>
      </c>
      <c r="P70" s="289">
        <v>9.1199996948242185E-2</v>
      </c>
      <c r="Q70" s="289">
        <v>9.0999999999999998E-2</v>
      </c>
      <c r="R70" s="289">
        <v>3.1100000381469727E-2</v>
      </c>
      <c r="S70" s="289">
        <v>2.3700000762939454E-2</v>
      </c>
      <c r="T70" s="289">
        <v>4.2000000000000003E-2</v>
      </c>
      <c r="U70" s="289">
        <v>3.2900001525878908E-2</v>
      </c>
      <c r="V70" s="289">
        <v>4.0099998474121094E-2</v>
      </c>
      <c r="W70" s="289">
        <v>1.4899999618530273E-2</v>
      </c>
      <c r="X70" s="289">
        <v>3.9E-2</v>
      </c>
      <c r="Y70" s="289">
        <v>7.3300003051757809E-2</v>
      </c>
      <c r="Z70" s="289">
        <v>6.0599998474121092E-2</v>
      </c>
      <c r="AA70" s="289">
        <v>0.16350000000000001</v>
      </c>
      <c r="AB70" s="289">
        <v>0.10309999847412109</v>
      </c>
      <c r="AC70" s="289">
        <v>0.11290000152587891</v>
      </c>
      <c r="AD70" s="289">
        <v>0.1275999984741211</v>
      </c>
      <c r="AE70" s="289">
        <v>0.11269999694824219</v>
      </c>
      <c r="AF70" s="289">
        <v>0.1605</v>
      </c>
      <c r="AG70" s="289">
        <v>0.24069999694824218</v>
      </c>
      <c r="AH70" s="289">
        <v>0.20699999999999999</v>
      </c>
      <c r="AI70" s="289">
        <v>6.590000152587891E-2</v>
      </c>
      <c r="AJ70" s="289">
        <v>5.4000000953674313E-3</v>
      </c>
      <c r="AK70" s="289">
        <v>3.9799999237060547E-2</v>
      </c>
      <c r="AL70" s="289">
        <v>-5.7599998474121096E-2</v>
      </c>
      <c r="AM70" s="289">
        <v>-0.11190000152587891</v>
      </c>
      <c r="AN70" s="289">
        <v>-0.13830000305175782</v>
      </c>
      <c r="AO70" s="289">
        <v>-0.26500000000000001</v>
      </c>
      <c r="AP70" s="289">
        <v>1.55E-2</v>
      </c>
      <c r="AQ70" s="289">
        <v>9.290000000000001E-2</v>
      </c>
      <c r="AR70" s="289">
        <v>3.8899999999999997E-2</v>
      </c>
      <c r="AS70" s="289">
        <v>-1.6172</v>
      </c>
      <c r="AT70" s="289">
        <v>-1.4397</v>
      </c>
      <c r="AU70" s="289">
        <v>7.0614999999999997</v>
      </c>
      <c r="AV70" s="289">
        <v>27.740400000000001</v>
      </c>
      <c r="AW70" s="289">
        <v>16.5946</v>
      </c>
      <c r="AX70" s="289">
        <v>13.152799999999999</v>
      </c>
      <c r="AY70" s="289">
        <v>16.42409</v>
      </c>
      <c r="AZ70" s="289">
        <v>-95.228340000000003</v>
      </c>
      <c r="BA70" s="289">
        <v>228.30680000000001</v>
      </c>
      <c r="BB70" s="289">
        <v>-88.003124999999997</v>
      </c>
      <c r="BC70" s="289">
        <v>-59.989750000000001</v>
      </c>
      <c r="BD70" s="289">
        <v>-36.254250000000006</v>
      </c>
      <c r="BE70" s="289">
        <v>-32.449899400769326</v>
      </c>
    </row>
    <row r="71" spans="1:57">
      <c r="A71" s="289" t="s">
        <v>3302</v>
      </c>
      <c r="C71" s="289" t="s">
        <v>2046</v>
      </c>
      <c r="D71" s="289" t="s">
        <v>503</v>
      </c>
      <c r="E71" s="289" t="s">
        <v>165</v>
      </c>
      <c r="F71" s="289">
        <v>0</v>
      </c>
      <c r="G71" s="289">
        <v>0</v>
      </c>
      <c r="H71" s="289">
        <v>0</v>
      </c>
      <c r="I71" s="289">
        <v>0</v>
      </c>
      <c r="J71" s="289">
        <v>0</v>
      </c>
      <c r="K71" s="289">
        <v>0</v>
      </c>
      <c r="L71" s="289">
        <v>0</v>
      </c>
      <c r="M71" s="289">
        <v>-2.6645352591003758E-18</v>
      </c>
      <c r="N71" s="289">
        <v>-1.3322676295501879E-18</v>
      </c>
      <c r="O71" s="289">
        <v>2.6645352591003758E-18</v>
      </c>
      <c r="P71" s="289">
        <v>3.552713678800501E-18</v>
      </c>
      <c r="Q71" s="289">
        <v>2.6645352591003758E-18</v>
      </c>
      <c r="R71" s="289">
        <v>8.8817841970012525E-19</v>
      </c>
      <c r="S71" s="289">
        <v>-1.3322676295501879E-18</v>
      </c>
      <c r="T71" s="289">
        <v>0</v>
      </c>
      <c r="U71" s="289">
        <v>-1.7763568394002505E-18</v>
      </c>
      <c r="V71" s="289">
        <v>1.7763568394002505E-18</v>
      </c>
      <c r="W71" s="289">
        <v>-6.6613381477509394E-19</v>
      </c>
      <c r="X71" s="289">
        <v>0</v>
      </c>
      <c r="Y71" s="289">
        <v>-3.552713678800501E-18</v>
      </c>
      <c r="Z71" s="289">
        <v>3.552713678800501E-18</v>
      </c>
      <c r="AA71" s="289">
        <v>-1.4210854715202004E-17</v>
      </c>
      <c r="AB71" s="289">
        <v>2.0000000298023223E-4</v>
      </c>
      <c r="AC71" s="289">
        <v>-6.9999998807907101E-4</v>
      </c>
      <c r="AD71" s="289">
        <v>-2.0700000762939454E-2</v>
      </c>
      <c r="AE71" s="289">
        <v>-7.5999999046325682E-3</v>
      </c>
      <c r="AF71" s="289">
        <v>4.9000000953674317E-3</v>
      </c>
      <c r="AG71" s="289">
        <v>-6.6999998092651366E-3</v>
      </c>
      <c r="AH71" s="289">
        <v>1.1600000381469727E-2</v>
      </c>
      <c r="AI71" s="289">
        <v>-5.6799999237060549E-2</v>
      </c>
      <c r="AJ71" s="289">
        <v>5.0999999046325685E-3</v>
      </c>
      <c r="AK71" s="289">
        <v>-9.6000003814697265E-3</v>
      </c>
      <c r="AL71" s="289">
        <v>-4.7799999237060548E-2</v>
      </c>
      <c r="AM71" s="289">
        <v>-1.6799999237060548E-2</v>
      </c>
      <c r="AN71" s="289">
        <v>-3.2000000000000001E-2</v>
      </c>
      <c r="AO71" s="289">
        <v>-1.6E-2</v>
      </c>
      <c r="AP71" s="289">
        <v>-2E-3</v>
      </c>
      <c r="AQ71" s="289">
        <v>-1.6999999999999999E-3</v>
      </c>
      <c r="AR71" s="289">
        <v>-2.7000000000000001E-3</v>
      </c>
      <c r="AS71" s="289">
        <v>1.4734</v>
      </c>
      <c r="AT71" s="289">
        <v>4.3628</v>
      </c>
      <c r="AU71" s="289">
        <v>10.9621</v>
      </c>
      <c r="AV71" s="289">
        <v>6.5015000000000001</v>
      </c>
      <c r="AW71" s="289">
        <v>-4.8281851598026511E-2</v>
      </c>
      <c r="AX71" s="289">
        <v>0</v>
      </c>
      <c r="AY71" s="289">
        <v>80.309788778054866</v>
      </c>
      <c r="AZ71" s="289">
        <v>62.219571578090452</v>
      </c>
      <c r="BA71" s="289">
        <v>146.06077026313807</v>
      </c>
      <c r="BB71" s="289">
        <v>37.169927473031912</v>
      </c>
      <c r="BC71" s="289">
        <v>66.691275167785136</v>
      </c>
      <c r="BD71" s="289">
        <v>45.89599348221995</v>
      </c>
      <c r="BE71" s="289">
        <v>0</v>
      </c>
    </row>
    <row r="72" spans="1:57">
      <c r="A72" s="289" t="s">
        <v>3303</v>
      </c>
      <c r="C72" s="289" t="s">
        <v>2219</v>
      </c>
      <c r="I72" s="289" t="s">
        <v>2219</v>
      </c>
      <c r="J72" s="289" t="s">
        <v>2219</v>
      </c>
      <c r="K72" s="289" t="s">
        <v>2219</v>
      </c>
      <c r="L72" s="289" t="s">
        <v>2219</v>
      </c>
      <c r="M72" s="289" t="s">
        <v>2219</v>
      </c>
      <c r="N72" s="289" t="s">
        <v>2219</v>
      </c>
      <c r="O72" s="289" t="s">
        <v>2219</v>
      </c>
      <c r="P72" s="289" t="s">
        <v>2219</v>
      </c>
      <c r="Q72" s="289" t="s">
        <v>2219</v>
      </c>
      <c r="R72" s="289" t="s">
        <v>2219</v>
      </c>
      <c r="S72" s="289" t="s">
        <v>2219</v>
      </c>
      <c r="T72" s="289" t="s">
        <v>2219</v>
      </c>
      <c r="U72" s="289" t="s">
        <v>2219</v>
      </c>
      <c r="V72" s="289" t="s">
        <v>2219</v>
      </c>
      <c r="W72" s="289" t="s">
        <v>2219</v>
      </c>
      <c r="X72" s="289" t="s">
        <v>2219</v>
      </c>
      <c r="Y72" s="289" t="s">
        <v>2219</v>
      </c>
      <c r="Z72" s="289" t="s">
        <v>2219</v>
      </c>
      <c r="AA72" s="289" t="s">
        <v>2219</v>
      </c>
      <c r="AB72" s="289" t="s">
        <v>2219</v>
      </c>
      <c r="AC72" s="289" t="s">
        <v>2219</v>
      </c>
      <c r="AD72" s="289" t="s">
        <v>2219</v>
      </c>
      <c r="AE72" s="289" t="s">
        <v>2219</v>
      </c>
      <c r="AF72" s="289" t="s">
        <v>2219</v>
      </c>
      <c r="AG72" s="289" t="s">
        <v>2219</v>
      </c>
      <c r="AH72" s="289" t="s">
        <v>2219</v>
      </c>
      <c r="AI72" s="289" t="s">
        <v>2219</v>
      </c>
      <c r="AJ72" s="289" t="s">
        <v>2219</v>
      </c>
      <c r="AK72" s="289" t="s">
        <v>2219</v>
      </c>
      <c r="AL72" s="289" t="s">
        <v>2219</v>
      </c>
      <c r="AM72" s="289" t="s">
        <v>2219</v>
      </c>
      <c r="AN72" s="289" t="s">
        <v>2219</v>
      </c>
      <c r="AO72" s="289" t="s">
        <v>2219</v>
      </c>
      <c r="AP72" s="289" t="s">
        <v>2219</v>
      </c>
      <c r="AQ72" s="289" t="s">
        <v>2219</v>
      </c>
      <c r="AR72" s="289" t="s">
        <v>2219</v>
      </c>
      <c r="AS72" s="289" t="s">
        <v>2219</v>
      </c>
      <c r="AT72" s="289" t="s">
        <v>2219</v>
      </c>
      <c r="AU72" s="289" t="s">
        <v>2219</v>
      </c>
      <c r="AV72" s="289" t="s">
        <v>2219</v>
      </c>
      <c r="AW72" s="289" t="s">
        <v>2219</v>
      </c>
      <c r="AX72" s="289" t="s">
        <v>2219</v>
      </c>
      <c r="AY72" s="289" t="s">
        <v>2219</v>
      </c>
      <c r="AZ72" s="289" t="s">
        <v>2219</v>
      </c>
      <c r="BA72" s="289" t="s">
        <v>2219</v>
      </c>
      <c r="BB72" s="289" t="s">
        <v>2219</v>
      </c>
      <c r="BC72" s="289" t="s">
        <v>2219</v>
      </c>
      <c r="BD72" s="289" t="s">
        <v>2219</v>
      </c>
      <c r="BE72" s="289" t="s">
        <v>2219</v>
      </c>
    </row>
    <row r="73" spans="1:57">
      <c r="A73" s="289" t="s">
        <v>3304</v>
      </c>
      <c r="C73" s="289" t="s">
        <v>2219</v>
      </c>
      <c r="I73" s="289" t="s">
        <v>2219</v>
      </c>
      <c r="J73" s="289" t="s">
        <v>2219</v>
      </c>
      <c r="K73" s="289" t="s">
        <v>2219</v>
      </c>
      <c r="L73" s="289" t="s">
        <v>2219</v>
      </c>
      <c r="M73" s="289" t="s">
        <v>2219</v>
      </c>
      <c r="N73" s="289" t="s">
        <v>2219</v>
      </c>
      <c r="O73" s="289" t="s">
        <v>2219</v>
      </c>
      <c r="P73" s="289" t="s">
        <v>2219</v>
      </c>
      <c r="Q73" s="289" t="s">
        <v>2219</v>
      </c>
      <c r="R73" s="289" t="s">
        <v>2219</v>
      </c>
      <c r="S73" s="289" t="s">
        <v>2219</v>
      </c>
      <c r="T73" s="289" t="s">
        <v>2219</v>
      </c>
      <c r="U73" s="289" t="s">
        <v>2219</v>
      </c>
      <c r="V73" s="289" t="s">
        <v>2219</v>
      </c>
      <c r="W73" s="289" t="s">
        <v>2219</v>
      </c>
      <c r="X73" s="289" t="s">
        <v>2219</v>
      </c>
      <c r="Y73" s="289" t="s">
        <v>2219</v>
      </c>
      <c r="Z73" s="289" t="s">
        <v>2219</v>
      </c>
      <c r="AA73" s="289" t="s">
        <v>2219</v>
      </c>
      <c r="AB73" s="289" t="s">
        <v>2219</v>
      </c>
      <c r="AC73" s="289" t="s">
        <v>2219</v>
      </c>
      <c r="AD73" s="289" t="s">
        <v>2219</v>
      </c>
      <c r="AE73" s="289" t="s">
        <v>2219</v>
      </c>
      <c r="AF73" s="289" t="s">
        <v>2219</v>
      </c>
      <c r="AG73" s="289" t="s">
        <v>2219</v>
      </c>
      <c r="AH73" s="289" t="s">
        <v>2219</v>
      </c>
      <c r="AI73" s="289" t="s">
        <v>2219</v>
      </c>
      <c r="AJ73" s="289" t="s">
        <v>2219</v>
      </c>
      <c r="AK73" s="289" t="s">
        <v>2219</v>
      </c>
      <c r="AL73" s="289" t="s">
        <v>2219</v>
      </c>
      <c r="AM73" s="289" t="s">
        <v>2219</v>
      </c>
      <c r="AN73" s="289" t="s">
        <v>2219</v>
      </c>
      <c r="AO73" s="289" t="s">
        <v>2219</v>
      </c>
      <c r="AP73" s="289" t="s">
        <v>2219</v>
      </c>
      <c r="AQ73" s="289" t="s">
        <v>2219</v>
      </c>
      <c r="AR73" s="289" t="s">
        <v>2219</v>
      </c>
      <c r="AS73" s="289" t="s">
        <v>2219</v>
      </c>
      <c r="AT73" s="289" t="s">
        <v>2219</v>
      </c>
      <c r="AU73" s="289" t="s">
        <v>2219</v>
      </c>
      <c r="AV73" s="289" t="s">
        <v>2219</v>
      </c>
      <c r="AW73" s="289" t="s">
        <v>2219</v>
      </c>
      <c r="AX73" s="289" t="s">
        <v>2219</v>
      </c>
      <c r="AY73" s="289" t="s">
        <v>2219</v>
      </c>
      <c r="AZ73" s="289" t="s">
        <v>2219</v>
      </c>
      <c r="BA73" s="289" t="s">
        <v>2219</v>
      </c>
      <c r="BB73" s="289" t="s">
        <v>2219</v>
      </c>
      <c r="BC73" s="289" t="s">
        <v>2219</v>
      </c>
    </row>
    <row r="74" spans="1:57">
      <c r="A74" s="289" t="s">
        <v>578</v>
      </c>
      <c r="C74" s="289" t="s">
        <v>2046</v>
      </c>
      <c r="D74" s="289" t="s">
        <v>579</v>
      </c>
      <c r="E74" s="289" t="s">
        <v>3499</v>
      </c>
      <c r="F74" s="289">
        <v>2E-3</v>
      </c>
      <c r="G74" s="289">
        <v>1.6000000000000001E-3</v>
      </c>
      <c r="H74" s="289">
        <v>2.299999952316284E-3</v>
      </c>
      <c r="I74" s="289">
        <v>3.5999999046325685E-3</v>
      </c>
      <c r="J74" s="289">
        <v>4.6999998092651365E-3</v>
      </c>
      <c r="K74" s="289">
        <v>4.6999998092651365E-3</v>
      </c>
      <c r="L74" s="289">
        <v>6.4000000953674313E-3</v>
      </c>
      <c r="M74" s="289">
        <v>8.199999809265137E-3</v>
      </c>
      <c r="N74" s="289">
        <v>7.4000000953674313E-3</v>
      </c>
      <c r="O74" s="289">
        <v>1.1800000190734863E-2</v>
      </c>
      <c r="P74" s="289">
        <v>1.5399999618530273E-2</v>
      </c>
      <c r="Q74" s="289">
        <v>1.6600000381469728E-2</v>
      </c>
      <c r="R74" s="289">
        <v>6.0000000000000001E-3</v>
      </c>
      <c r="S74" s="289">
        <v>4.4000000953674312E-3</v>
      </c>
      <c r="T74" s="289">
        <v>6.8000001907348633E-3</v>
      </c>
      <c r="U74" s="289">
        <v>6.9000000953674317E-3</v>
      </c>
      <c r="V74" s="289">
        <v>1.5399999618530273E-2</v>
      </c>
      <c r="W74" s="289">
        <v>7.199999809265137E-3</v>
      </c>
      <c r="X74" s="289">
        <v>3.2900001525878908E-2</v>
      </c>
      <c r="Y74" s="289">
        <v>1.2300000190734864E-2</v>
      </c>
      <c r="Z74" s="289">
        <v>1.8100000381469725E-2</v>
      </c>
      <c r="AA74" s="289">
        <v>1.7100000381469728E-2</v>
      </c>
      <c r="AB74" s="289">
        <v>0</v>
      </c>
      <c r="AC74" s="289">
        <v>0</v>
      </c>
      <c r="AD74" s="289">
        <v>0.04</v>
      </c>
      <c r="AE74" s="289">
        <v>0</v>
      </c>
      <c r="AF74" s="289">
        <v>0</v>
      </c>
      <c r="AG74" s="289">
        <v>0</v>
      </c>
      <c r="AH74" s="289">
        <v>0</v>
      </c>
      <c r="AI74" s="289">
        <v>0</v>
      </c>
      <c r="AJ74" s="289">
        <v>0</v>
      </c>
      <c r="AK74" s="289">
        <v>0</v>
      </c>
      <c r="AL74" s="289">
        <v>0</v>
      </c>
      <c r="AM74" s="289">
        <v>8.199999809265137E-3</v>
      </c>
      <c r="AN74" s="289">
        <v>1.9E-2</v>
      </c>
      <c r="AO74" s="289">
        <v>4.2999999999999997E-2</v>
      </c>
      <c r="AP74" s="289">
        <v>0</v>
      </c>
      <c r="AQ74" s="289">
        <v>0</v>
      </c>
      <c r="AR74" s="289">
        <v>0</v>
      </c>
      <c r="AS74" s="289">
        <v>0</v>
      </c>
      <c r="AT74" s="289">
        <v>0</v>
      </c>
      <c r="AU74" s="289">
        <v>0</v>
      </c>
      <c r="AV74" s="289">
        <v>0</v>
      </c>
      <c r="AW74" s="289">
        <v>0</v>
      </c>
      <c r="AX74" s="289">
        <v>10.385899999999999</v>
      </c>
      <c r="AY74" s="289">
        <v>16.854040000000005</v>
      </c>
      <c r="AZ74" s="289">
        <v>-13.395629999999999</v>
      </c>
      <c r="BA74" s="289">
        <v>113.71770000000001</v>
      </c>
      <c r="BB74" s="289">
        <v>-58.434075</v>
      </c>
      <c r="BC74" s="289">
        <v>-38.6021</v>
      </c>
      <c r="BD74" s="289">
        <v>1.6604999999999941</v>
      </c>
      <c r="BE74" s="289">
        <v>5.5350000000000001</v>
      </c>
    </row>
    <row r="75" spans="1:57">
      <c r="A75" s="289" t="s">
        <v>883</v>
      </c>
      <c r="C75" s="289" t="s">
        <v>2046</v>
      </c>
      <c r="D75" s="289" t="s">
        <v>579</v>
      </c>
      <c r="E75" s="289" t="s">
        <v>884</v>
      </c>
      <c r="F75" s="289">
        <v>0</v>
      </c>
      <c r="G75" s="289">
        <v>0</v>
      </c>
      <c r="H75" s="289">
        <v>4.0000000596046445E-4</v>
      </c>
      <c r="I75" s="289">
        <v>5.0000000000000001E-4</v>
      </c>
      <c r="J75" s="289">
        <v>-1.0000000149011611E-4</v>
      </c>
      <c r="K75" s="289">
        <v>4.4000000953674312E-3</v>
      </c>
      <c r="L75" s="289">
        <v>1.399999976158142E-3</v>
      </c>
      <c r="M75" s="289">
        <v>2.299999952316284E-3</v>
      </c>
      <c r="N75" s="289">
        <v>1.5E-3</v>
      </c>
      <c r="O75" s="289">
        <v>8.0000001192092891E-4</v>
      </c>
      <c r="P75" s="289">
        <v>1.399999976158142E-3</v>
      </c>
      <c r="Q75" s="289">
        <v>-1.0000000149011611E-4</v>
      </c>
      <c r="R75" s="289">
        <v>3.0000001192092895E-4</v>
      </c>
      <c r="S75" s="289">
        <v>6.0000000000000001E-3</v>
      </c>
      <c r="T75" s="289">
        <v>5.3000001907348637E-3</v>
      </c>
      <c r="U75" s="289">
        <v>1.0500000000000001E-2</v>
      </c>
      <c r="V75" s="289">
        <v>7.8000001907348633E-3</v>
      </c>
      <c r="W75" s="289">
        <v>4.3000001907348637E-3</v>
      </c>
      <c r="X75" s="289">
        <v>-1.0999999999999999E-2</v>
      </c>
      <c r="Y75" s="289">
        <v>-2.5999999046325685E-3</v>
      </c>
      <c r="Z75" s="289">
        <v>-3.0000000000000001E-3</v>
      </c>
      <c r="AA75" s="289">
        <v>5.199999809265137E-3</v>
      </c>
      <c r="AB75" s="289">
        <v>-5.3000001907348637E-3</v>
      </c>
      <c r="AC75" s="289">
        <v>-5.0000000000000001E-4</v>
      </c>
      <c r="AD75" s="289">
        <v>-7.0999999046325686E-3</v>
      </c>
      <c r="AE75" s="289">
        <v>2.2204460492503131E-19</v>
      </c>
      <c r="AF75" s="289">
        <v>-3.5999999046325685E-3</v>
      </c>
      <c r="AG75" s="289">
        <v>-2.0000000298023223E-4</v>
      </c>
      <c r="AH75" s="289">
        <v>-4.5999999046325681E-3</v>
      </c>
      <c r="AI75" s="289">
        <v>-8.6000003814697273E-3</v>
      </c>
      <c r="AJ75" s="289">
        <v>-1.5E-3</v>
      </c>
      <c r="AK75" s="289">
        <v>-2.0999999046325685E-3</v>
      </c>
      <c r="AL75" s="289">
        <v>-2.0999999046325685E-3</v>
      </c>
      <c r="AM75" s="289">
        <v>-2.3299999237060547E-2</v>
      </c>
      <c r="AN75" s="289">
        <v>1.1800000190734863E-2</v>
      </c>
      <c r="AO75" s="289">
        <v>-5.8000001907348633E-3</v>
      </c>
      <c r="AP75" s="289">
        <v>-3.2000000000000002E-3</v>
      </c>
      <c r="AQ75" s="289">
        <v>1.01E-2</v>
      </c>
      <c r="AR75" s="289">
        <v>1.6199999999999999E-2</v>
      </c>
      <c r="AS75" s="289">
        <v>0.20649999999999999</v>
      </c>
      <c r="AT75" s="289">
        <v>0.74709999999999999</v>
      </c>
      <c r="AU75" s="289">
        <v>-2.86</v>
      </c>
      <c r="AV75" s="289">
        <v>-0.71460000000000001</v>
      </c>
      <c r="AW75" s="289">
        <v>7.9003000000000005</v>
      </c>
      <c r="AX75" s="289">
        <v>14.6</v>
      </c>
      <c r="AY75" s="289">
        <v>2.7</v>
      </c>
      <c r="AZ75" s="289">
        <v>41.7</v>
      </c>
      <c r="BA75" s="289">
        <v>31.3</v>
      </c>
      <c r="BB75" s="289">
        <v>11.3</v>
      </c>
      <c r="BC75" s="289">
        <v>15.7</v>
      </c>
      <c r="BD75" s="289">
        <v>16.65858334132081</v>
      </c>
      <c r="BE75" s="289">
        <v>16.65858334132081</v>
      </c>
    </row>
    <row r="76" spans="1:57">
      <c r="A76" s="289" t="s">
        <v>885</v>
      </c>
      <c r="C76" s="289" t="s">
        <v>2046</v>
      </c>
      <c r="D76" s="289" t="s">
        <v>2219</v>
      </c>
      <c r="E76" s="289" t="s">
        <v>510</v>
      </c>
      <c r="F76" s="289">
        <v>0</v>
      </c>
      <c r="G76" s="289">
        <v>0</v>
      </c>
      <c r="H76" s="289">
        <v>0</v>
      </c>
      <c r="I76" s="289">
        <v>0</v>
      </c>
      <c r="J76" s="289">
        <v>-4.0000000596046445E-4</v>
      </c>
      <c r="K76" s="289">
        <v>1E-3</v>
      </c>
      <c r="L76" s="289">
        <v>1.399999976158142E-3</v>
      </c>
      <c r="M76" s="289">
        <v>2.299999952316284E-3</v>
      </c>
      <c r="N76" s="289">
        <v>1.5E-3</v>
      </c>
      <c r="O76" s="289">
        <v>-1.0000000149011611E-4</v>
      </c>
      <c r="P76" s="289">
        <v>-1.0000000149011611E-4</v>
      </c>
      <c r="Q76" s="289">
        <v>-1.0000000149011611E-4</v>
      </c>
      <c r="R76" s="289">
        <v>1.5E-3</v>
      </c>
      <c r="S76" s="289">
        <v>4.0000000596046445E-4</v>
      </c>
      <c r="T76" s="289">
        <v>2.0999999046325685E-3</v>
      </c>
      <c r="U76" s="289">
        <v>4.0000000596046445E-4</v>
      </c>
      <c r="V76" s="289">
        <v>-1E-3</v>
      </c>
      <c r="W76" s="289">
        <v>3.2000000476837156E-3</v>
      </c>
      <c r="X76" s="289">
        <v>3.0999999046325685E-3</v>
      </c>
      <c r="Y76" s="289">
        <v>1.7999999523162843E-3</v>
      </c>
      <c r="Z76" s="289">
        <v>4.0000000596046445E-4</v>
      </c>
      <c r="AA76" s="289">
        <v>1.399999976158142E-3</v>
      </c>
      <c r="AB76" s="289">
        <v>-2.0000000298023223E-4</v>
      </c>
      <c r="AC76" s="289">
        <v>4.0000000000000001E-3</v>
      </c>
      <c r="AD76" s="289">
        <v>-3.7999999523162841E-3</v>
      </c>
      <c r="AE76" s="289">
        <v>8.0000001192092891E-4</v>
      </c>
      <c r="AF76" s="289">
        <v>4.0000000596046445E-4</v>
      </c>
      <c r="AG76" s="289">
        <v>-5.0000000000000001E-4</v>
      </c>
      <c r="AH76" s="289">
        <v>-5.0000000000000001E-3</v>
      </c>
      <c r="AI76" s="289">
        <v>-7.199999809265137E-3</v>
      </c>
      <c r="AJ76" s="289">
        <v>1.0000000149011611E-4</v>
      </c>
      <c r="AK76" s="289">
        <v>-1.0300000190734864E-2</v>
      </c>
      <c r="AL76" s="289">
        <v>-2.5000000000000001E-3</v>
      </c>
      <c r="AM76" s="289">
        <v>-2.5000000000000001E-2</v>
      </c>
      <c r="AN76" s="289">
        <v>3.0000000000000001E-3</v>
      </c>
      <c r="AO76" s="289">
        <v>2.4000000953674316E-3</v>
      </c>
      <c r="AP76" s="289">
        <v>0.46260000610351565</v>
      </c>
      <c r="AQ76" s="289">
        <v>-1.2E-2</v>
      </c>
      <c r="AR76" s="289">
        <v>8.0000000000000002E-3</v>
      </c>
      <c r="AS76" s="289">
        <v>0.20699999999999999</v>
      </c>
      <c r="AT76" s="289">
        <v>0.47499999999999998</v>
      </c>
      <c r="AU76" s="289">
        <v>-2.86</v>
      </c>
      <c r="AV76" s="289">
        <v>-0.71460000000000001</v>
      </c>
      <c r="AW76" s="289">
        <v>7.9003000000000005</v>
      </c>
      <c r="AX76" s="289">
        <v>14.6</v>
      </c>
      <c r="AY76" s="289">
        <v>2.7</v>
      </c>
      <c r="AZ76" s="289">
        <v>41.7</v>
      </c>
      <c r="BA76" s="289">
        <v>31.3</v>
      </c>
      <c r="BB76" s="289">
        <v>11.3</v>
      </c>
      <c r="BC76" s="289">
        <v>12.559166932992436</v>
      </c>
      <c r="BD76" s="289">
        <v>13.325982742090126</v>
      </c>
      <c r="BE76" s="289">
        <v>13.325982742090126</v>
      </c>
    </row>
    <row r="77" spans="1:57">
      <c r="A77" s="289" t="s">
        <v>886</v>
      </c>
      <c r="C77" s="289" t="s">
        <v>2046</v>
      </c>
      <c r="D77" s="289" t="s">
        <v>579</v>
      </c>
      <c r="E77" s="289" t="s">
        <v>3579</v>
      </c>
      <c r="F77" s="289">
        <v>0</v>
      </c>
      <c r="G77" s="289">
        <v>0</v>
      </c>
      <c r="H77" s="289">
        <v>0</v>
      </c>
      <c r="I77" s="289">
        <v>0</v>
      </c>
      <c r="J77" s="289">
        <v>0</v>
      </c>
      <c r="K77" s="289">
        <v>0</v>
      </c>
      <c r="L77" s="289">
        <v>0</v>
      </c>
      <c r="M77" s="289">
        <v>0</v>
      </c>
      <c r="N77" s="289">
        <v>0</v>
      </c>
      <c r="O77" s="289">
        <v>0</v>
      </c>
      <c r="P77" s="289">
        <v>0</v>
      </c>
      <c r="Q77" s="289">
        <v>0</v>
      </c>
      <c r="R77" s="289">
        <v>0</v>
      </c>
      <c r="S77" s="289">
        <v>0</v>
      </c>
      <c r="T77" s="289">
        <v>0</v>
      </c>
      <c r="U77" s="289">
        <v>0</v>
      </c>
      <c r="V77" s="289">
        <v>0</v>
      </c>
      <c r="W77" s="289">
        <v>0</v>
      </c>
      <c r="X77" s="289">
        <v>0</v>
      </c>
      <c r="Y77" s="289">
        <v>0</v>
      </c>
      <c r="Z77" s="289">
        <v>0</v>
      </c>
      <c r="AA77" s="289">
        <v>0</v>
      </c>
      <c r="AB77" s="289">
        <v>0</v>
      </c>
      <c r="AC77" s="289">
        <v>0</v>
      </c>
      <c r="AD77" s="289">
        <v>0</v>
      </c>
      <c r="AE77" s="289">
        <v>0</v>
      </c>
      <c r="AF77" s="289">
        <v>0</v>
      </c>
      <c r="AG77" s="289">
        <v>0</v>
      </c>
      <c r="AH77" s="289">
        <v>0</v>
      </c>
      <c r="AI77" s="289">
        <v>0</v>
      </c>
      <c r="AJ77" s="289">
        <v>0</v>
      </c>
      <c r="AK77" s="289">
        <v>0</v>
      </c>
      <c r="AL77" s="289">
        <v>0</v>
      </c>
      <c r="AM77" s="289">
        <v>0</v>
      </c>
      <c r="AN77" s="289">
        <v>0</v>
      </c>
      <c r="AO77" s="289">
        <v>0</v>
      </c>
      <c r="AP77" s="289">
        <v>0</v>
      </c>
      <c r="AQ77" s="289">
        <v>1.3319786520565225E-2</v>
      </c>
      <c r="AR77" s="289">
        <v>8.0285724779764811E-2</v>
      </c>
      <c r="AS77" s="289">
        <v>0.27786165878969937</v>
      </c>
      <c r="AT77" s="289">
        <v>0.43971427194492241</v>
      </c>
      <c r="AU77" s="289">
        <v>0.22075645924964554</v>
      </c>
      <c r="AV77" s="289">
        <v>-11.822739121716459</v>
      </c>
      <c r="AW77" s="289">
        <v>3.0246919068562454</v>
      </c>
      <c r="AX77" s="289">
        <v>17.505221760453068</v>
      </c>
      <c r="AY77" s="289">
        <v>106.49266288594831</v>
      </c>
      <c r="AZ77" s="289">
        <v>122.33806749450549</v>
      </c>
      <c r="BA77" s="289">
        <v>40.573298094862231</v>
      </c>
      <c r="BB77" s="289">
        <v>118.14898694946497</v>
      </c>
      <c r="BC77" s="289">
        <v>73.227844999999874</v>
      </c>
      <c r="BD77" s="289">
        <v>43.07234750000007</v>
      </c>
      <c r="BE77" s="289">
        <v>0</v>
      </c>
    </row>
    <row r="78" spans="1:57">
      <c r="A78" s="289" t="s">
        <v>887</v>
      </c>
      <c r="C78" s="289" t="s">
        <v>2219</v>
      </c>
    </row>
    <row r="79" spans="1:57">
      <c r="A79" s="289" t="s">
        <v>888</v>
      </c>
      <c r="C79" s="289" t="s">
        <v>2046</v>
      </c>
      <c r="D79" s="289" t="s">
        <v>503</v>
      </c>
      <c r="E79" s="289" t="s">
        <v>1683</v>
      </c>
      <c r="F79" s="289">
        <v>-1.6999999999999999E-3</v>
      </c>
      <c r="G79" s="289">
        <v>-2.0000000000000001E-4</v>
      </c>
      <c r="H79" s="289">
        <v>4.5999999046325681E-3</v>
      </c>
      <c r="I79" s="289">
        <v>2.299999952316284E-3</v>
      </c>
      <c r="J79" s="289">
        <v>3.0000001192092895E-4</v>
      </c>
      <c r="K79" s="289">
        <v>7.4999999999999997E-3</v>
      </c>
      <c r="L79" s="289">
        <v>4.0999999046325685E-3</v>
      </c>
      <c r="M79" s="289">
        <v>2.4000000953674316E-3</v>
      </c>
      <c r="N79" s="289">
        <v>1.5E-3</v>
      </c>
      <c r="O79" s="289">
        <v>1.1800000190734863E-2</v>
      </c>
      <c r="P79" s="289">
        <v>4.5999999046325681E-3</v>
      </c>
      <c r="Q79" s="289">
        <v>1.1699999809265137E-2</v>
      </c>
      <c r="R79" s="289">
        <v>1.0199999809265137E-2</v>
      </c>
      <c r="S79" s="289">
        <v>7.9000000953674317E-3</v>
      </c>
      <c r="T79" s="289">
        <v>1.4300000190734864E-2</v>
      </c>
      <c r="U79" s="289">
        <v>1.1199999809265136E-2</v>
      </c>
      <c r="V79" s="289">
        <v>1.2899999618530273E-2</v>
      </c>
      <c r="W79" s="289">
        <v>8.1000003814697269E-3</v>
      </c>
      <c r="X79" s="289">
        <v>4.8000001907348632E-3</v>
      </c>
      <c r="Y79" s="289">
        <v>3.2099998474121094E-2</v>
      </c>
      <c r="Z79" s="289">
        <v>8.1000003814697269E-3</v>
      </c>
      <c r="AA79" s="289">
        <v>3.3200000762939455E-2</v>
      </c>
      <c r="AB79" s="289">
        <v>3.5999999999999997E-2</v>
      </c>
      <c r="AC79" s="289">
        <v>2.5799999237060545E-2</v>
      </c>
      <c r="AD79" s="289">
        <v>3.0399999618530273E-2</v>
      </c>
      <c r="AE79" s="289">
        <v>2.9499999999999998E-2</v>
      </c>
      <c r="AF79" s="289">
        <v>3.1700000762939454E-2</v>
      </c>
      <c r="AG79" s="289">
        <v>8.2300003051757817E-2</v>
      </c>
      <c r="AH79" s="289">
        <v>5.3799999237060546E-2</v>
      </c>
      <c r="AI79" s="289">
        <v>7.5499999999999998E-2</v>
      </c>
      <c r="AJ79" s="289">
        <v>0.113</v>
      </c>
      <c r="AK79" s="289">
        <v>0.28679998779296872</v>
      </c>
      <c r="AL79" s="289">
        <v>0.39479998779296877</v>
      </c>
      <c r="AM79" s="289">
        <v>0.30989999389648437</v>
      </c>
      <c r="AN79" s="289">
        <v>0.37439999389648437</v>
      </c>
      <c r="AO79" s="289">
        <v>0.23300000000000001</v>
      </c>
      <c r="AP79" s="289">
        <v>0.14980000305175781</v>
      </c>
      <c r="AQ79" s="289">
        <v>0.75490002441406245</v>
      </c>
      <c r="AR79" s="289">
        <v>0.4</v>
      </c>
      <c r="AS79" s="289">
        <v>3.0790000000000002</v>
      </c>
      <c r="AT79" s="289">
        <v>16.650200000000002</v>
      </c>
      <c r="AU79" s="289">
        <v>38.128999999999998</v>
      </c>
      <c r="AV79" s="289">
        <v>16.654799999999994</v>
      </c>
      <c r="AW79" s="289">
        <v>12.158700000000012</v>
      </c>
      <c r="AX79" s="289">
        <v>0.97989999999999422</v>
      </c>
      <c r="AY79" s="289">
        <v>44.429000000000002</v>
      </c>
      <c r="AZ79" s="289">
        <v>133.39500000000001</v>
      </c>
      <c r="BA79" s="289">
        <v>112.795</v>
      </c>
      <c r="BB79" s="289">
        <v>123.581</v>
      </c>
      <c r="BC79" s="289">
        <v>-7.6000000000000227</v>
      </c>
      <c r="BD79" s="289">
        <v>123.3</v>
      </c>
      <c r="BE79" s="289">
        <v>404.31015285762749</v>
      </c>
    </row>
    <row r="80" spans="1:57">
      <c r="A80" s="289" t="s">
        <v>889</v>
      </c>
      <c r="C80" s="289" t="s">
        <v>2046</v>
      </c>
      <c r="D80" s="289" t="s">
        <v>2219</v>
      </c>
      <c r="E80" s="289" t="s">
        <v>2219</v>
      </c>
      <c r="F80" s="289">
        <v>3.8999999999999998E-3</v>
      </c>
      <c r="G80" s="289">
        <v>3.2000000000000002E-3</v>
      </c>
      <c r="H80" s="289">
        <v>7.1999999999999998E-3</v>
      </c>
      <c r="I80" s="289">
        <v>1.04E-2</v>
      </c>
      <c r="J80" s="289">
        <v>9.4000000000000004E-3</v>
      </c>
      <c r="K80" s="289">
        <v>1.0199999999999999E-2</v>
      </c>
      <c r="L80" s="289">
        <v>1.2699999999999999E-2</v>
      </c>
      <c r="M80" s="289">
        <v>1.6500000000000001E-2</v>
      </c>
      <c r="N80" s="289">
        <v>1.47E-2</v>
      </c>
      <c r="O80" s="289">
        <v>2.4799999999999999E-2</v>
      </c>
      <c r="P80" s="289">
        <v>2.1499999999999998E-2</v>
      </c>
      <c r="Q80" s="289">
        <v>2.2600000000000002E-2</v>
      </c>
      <c r="R80" s="289">
        <v>1.8499999999999999E-2</v>
      </c>
      <c r="S80" s="289">
        <v>1.7399999999999999E-2</v>
      </c>
      <c r="T80" s="289">
        <v>1.9199999999999998E-2</v>
      </c>
      <c r="U80" s="289">
        <v>2.7300000000000001E-2</v>
      </c>
      <c r="V80" s="289">
        <v>3.9299999999999995E-2</v>
      </c>
      <c r="W80" s="289">
        <v>3.1399999999999997E-2</v>
      </c>
      <c r="X80" s="289">
        <v>5.5799999999999995E-2</v>
      </c>
      <c r="Y80" s="289">
        <v>3.56E-2</v>
      </c>
      <c r="Z80" s="289">
        <v>5.8900000000000001E-2</v>
      </c>
      <c r="AA80" s="289">
        <v>5.8960053380782911E-2</v>
      </c>
      <c r="AB80" s="289">
        <v>0.17837172359015091</v>
      </c>
      <c r="AC80" s="289">
        <v>0.13396773010634397</v>
      </c>
      <c r="AD80" s="289">
        <v>0.10992649750415971</v>
      </c>
      <c r="AE80" s="289">
        <v>0.15892016949152543</v>
      </c>
      <c r="AF80" s="289">
        <v>0.13474007092198578</v>
      </c>
      <c r="AG80" s="289">
        <v>0.16590656460403974</v>
      </c>
      <c r="AH80" s="289">
        <v>0.17368353494120287</v>
      </c>
      <c r="AI80" s="289">
        <v>6.1046862408465014E-3</v>
      </c>
      <c r="AJ80" s="289">
        <v>0</v>
      </c>
      <c r="AK80" s="289">
        <v>0</v>
      </c>
      <c r="AL80" s="289">
        <v>0</v>
      </c>
      <c r="AM80" s="289">
        <v>0</v>
      </c>
      <c r="AN80" s="289">
        <v>5.6444347159603243E-3</v>
      </c>
      <c r="AO80" s="289">
        <v>6.9413582937710439E-2</v>
      </c>
      <c r="AP80" s="289">
        <v>6.5042103892156866E-2</v>
      </c>
      <c r="AQ80" s="289">
        <v>3.2903243950381682E-2</v>
      </c>
      <c r="AR80" s="289">
        <v>9.3876714013358023E-2</v>
      </c>
      <c r="AS80" s="289">
        <v>0.11221667840331243</v>
      </c>
      <c r="AT80" s="289">
        <v>5.7067957828542184</v>
      </c>
      <c r="AU80" s="289">
        <v>24.493854313800412</v>
      </c>
      <c r="AV80" s="289">
        <v>35.711643831984645</v>
      </c>
      <c r="AW80" s="289">
        <v>23.849104507533088</v>
      </c>
      <c r="AX80" s="289">
        <v>13.381357868070687</v>
      </c>
      <c r="AY80" s="289">
        <v>17.541807651546957</v>
      </c>
      <c r="AZ80" s="289">
        <v>18.983658325200526</v>
      </c>
      <c r="BA80" s="289">
        <v>27.449099999999998</v>
      </c>
      <c r="BB80" s="289">
        <v>29.099700000000002</v>
      </c>
      <c r="BC80" s="289">
        <v>50.860875</v>
      </c>
      <c r="BD80" s="289">
        <v>249.09993756117129</v>
      </c>
      <c r="BE80" s="289">
        <v>249.09993756117129</v>
      </c>
    </row>
    <row r="81" spans="1:57">
      <c r="A81" s="289" t="s">
        <v>2219</v>
      </c>
    </row>
    <row r="82" spans="1:57">
      <c r="A82" s="289" t="s">
        <v>890</v>
      </c>
      <c r="AP82" s="289" t="s">
        <v>2219</v>
      </c>
      <c r="AQ82" s="289" t="s">
        <v>2219</v>
      </c>
      <c r="AR82" s="289" t="s">
        <v>2219</v>
      </c>
      <c r="AS82" s="289" t="s">
        <v>2219</v>
      </c>
      <c r="AT82" s="289" t="s">
        <v>2219</v>
      </c>
      <c r="AU82" s="289" t="s">
        <v>2219</v>
      </c>
      <c r="AV82" s="289" t="s">
        <v>2219</v>
      </c>
      <c r="BA82" s="289" t="s">
        <v>2219</v>
      </c>
      <c r="BB82" s="289" t="s">
        <v>2219</v>
      </c>
      <c r="BC82" s="289" t="s">
        <v>2219</v>
      </c>
      <c r="BD82" s="289" t="s">
        <v>2219</v>
      </c>
      <c r="BE82" s="289" t="s">
        <v>2219</v>
      </c>
    </row>
    <row r="83" spans="1:57">
      <c r="A83" s="289" t="s">
        <v>431</v>
      </c>
      <c r="C83" s="289" t="s">
        <v>2462</v>
      </c>
      <c r="D83" s="289" t="s">
        <v>4564</v>
      </c>
      <c r="E83" s="289" t="s">
        <v>3705</v>
      </c>
      <c r="F83" s="289">
        <v>2</v>
      </c>
      <c r="G83" s="289">
        <v>1</v>
      </c>
      <c r="H83" s="289">
        <v>1.9801980257034302</v>
      </c>
      <c r="I83" s="289">
        <v>8.7378644943237305</v>
      </c>
      <c r="J83" s="289">
        <v>0</v>
      </c>
      <c r="K83" s="289">
        <v>0</v>
      </c>
      <c r="L83" s="289">
        <v>2.6785714626312256</v>
      </c>
      <c r="M83" s="289">
        <v>1.7391303777694702</v>
      </c>
      <c r="N83" s="289">
        <v>0.85470086336135864</v>
      </c>
      <c r="O83" s="289">
        <v>0.8474576473236084</v>
      </c>
      <c r="P83" s="289">
        <v>0.8403361439704895</v>
      </c>
      <c r="Q83" s="289">
        <v>1.6666666269302368</v>
      </c>
      <c r="R83" s="289">
        <v>1.6393442153930664</v>
      </c>
      <c r="S83" s="289">
        <v>7.2580647468566895</v>
      </c>
      <c r="T83" s="289">
        <v>0</v>
      </c>
      <c r="U83" s="289">
        <v>3.0075187683105469</v>
      </c>
      <c r="V83" s="289">
        <v>1.7561022043228149</v>
      </c>
      <c r="W83" s="289">
        <v>-0.59355843067169189</v>
      </c>
      <c r="X83" s="289">
        <v>2.4373531341552734</v>
      </c>
      <c r="Y83" s="289">
        <v>12.087912559509277</v>
      </c>
      <c r="Z83" s="289">
        <v>15.959079742431641</v>
      </c>
      <c r="AA83" s="289">
        <v>7.4915452003479004</v>
      </c>
      <c r="AB83" s="289">
        <v>9.3085289001464844</v>
      </c>
      <c r="AC83" s="289">
        <v>8.8286819458007812</v>
      </c>
      <c r="AD83" s="289">
        <v>7.9859714508056641</v>
      </c>
      <c r="AE83" s="289">
        <v>13.954850196838379</v>
      </c>
      <c r="AF83" s="289">
        <v>13.208428382873535</v>
      </c>
      <c r="AG83" s="289">
        <v>8.7082128524780273</v>
      </c>
      <c r="AH83" s="289">
        <v>7.2892937660217285</v>
      </c>
      <c r="AI83" s="289">
        <v>4.3878273963928223</v>
      </c>
      <c r="AJ83" s="289">
        <v>4.1999998092651367</v>
      </c>
      <c r="AK83" s="289">
        <v>16.299999237060547</v>
      </c>
      <c r="AL83" s="289">
        <v>30.700000762939453</v>
      </c>
      <c r="AM83" s="289">
        <v>88.800003051757813</v>
      </c>
      <c r="AN83" s="289">
        <v>15</v>
      </c>
      <c r="AO83" s="289">
        <v>19.700000762939453</v>
      </c>
      <c r="AP83" s="289">
        <v>21.746293245469506</v>
      </c>
      <c r="AQ83" s="289">
        <v>25.968753844261293</v>
      </c>
      <c r="AR83" s="289">
        <v>43.662109374999993</v>
      </c>
      <c r="AS83" s="289">
        <v>143.51845557745909</v>
      </c>
      <c r="AT83" s="289">
        <v>368.47923179991062</v>
      </c>
      <c r="AU83" s="289">
        <v>235.55783301951999</v>
      </c>
      <c r="AV83" s="289">
        <v>-0.8</v>
      </c>
      <c r="AW83" s="289">
        <v>7.2</v>
      </c>
      <c r="AX83" s="289">
        <v>18.7</v>
      </c>
      <c r="AY83" s="289">
        <v>99.148936170212764</v>
      </c>
      <c r="AZ83" s="289">
        <v>59.188034188034202</v>
      </c>
      <c r="BA83" s="289">
        <v>38.657718120805363</v>
      </c>
      <c r="BB83" s="289">
        <v>15.48886737657309</v>
      </c>
      <c r="BC83" s="289">
        <v>22.822081282431551</v>
      </c>
      <c r="BD83" s="289">
        <v>9.1479420449446458</v>
      </c>
      <c r="BE83" s="289">
        <v>6.7523090963089345</v>
      </c>
    </row>
    <row r="84" spans="1:57">
      <c r="A84" s="289" t="s">
        <v>891</v>
      </c>
      <c r="C84" s="289" t="s">
        <v>2462</v>
      </c>
      <c r="D84" s="289" t="s">
        <v>892</v>
      </c>
      <c r="E84" s="289" t="s">
        <v>2787</v>
      </c>
      <c r="F84" s="289">
        <v>6</v>
      </c>
      <c r="G84" s="289">
        <v>-3.1</v>
      </c>
      <c r="H84" s="289">
        <v>-0.33315089344978333</v>
      </c>
      <c r="I84" s="289">
        <v>15.395469665527344</v>
      </c>
      <c r="J84" s="289">
        <v>8.9151115417480469</v>
      </c>
      <c r="K84" s="289">
        <v>2.8660340309143066</v>
      </c>
      <c r="L84" s="289">
        <v>-2.3736550807952881</v>
      </c>
      <c r="M84" s="289">
        <v>0.38395720720291138</v>
      </c>
      <c r="N84" s="289">
        <v>2.0476639270782471</v>
      </c>
      <c r="O84" s="289">
        <v>-2.0203309059143066</v>
      </c>
      <c r="P84" s="289">
        <v>-2.1691229343414307</v>
      </c>
      <c r="Q84" s="289">
        <v>1.4651679992675781</v>
      </c>
      <c r="R84" s="289">
        <v>11.19773006439209</v>
      </c>
      <c r="S84" s="289">
        <v>3.3849248886108398</v>
      </c>
      <c r="T84" s="289">
        <v>2.6411700248718262</v>
      </c>
      <c r="U84" s="289">
        <v>4.4026660919189453</v>
      </c>
      <c r="V84" s="289">
        <v>6.7484469413757324</v>
      </c>
      <c r="W84" s="289">
        <v>2.8925549983978271</v>
      </c>
      <c r="X84" s="289">
        <v>0.80675822496414185</v>
      </c>
      <c r="Y84" s="289">
        <v>0.67330348491668701</v>
      </c>
      <c r="Z84" s="289">
        <v>44.09906005859375</v>
      </c>
      <c r="AA84" s="289">
        <v>15.848649978637695</v>
      </c>
      <c r="AB84" s="289">
        <v>10.148870468139648</v>
      </c>
      <c r="AC84" s="289">
        <v>11.784150123596191</v>
      </c>
      <c r="AD84" s="289">
        <v>5.7871599197387695</v>
      </c>
      <c r="AE84" s="289">
        <v>7.347567081451416</v>
      </c>
      <c r="AF84" s="289">
        <v>18.65839958190918</v>
      </c>
      <c r="AG84" s="289">
        <v>8.6790685653686523</v>
      </c>
      <c r="AH84" s="289">
        <v>-10.144929885864258</v>
      </c>
      <c r="AI84" s="289">
        <v>-8.703028678894043</v>
      </c>
      <c r="AJ84" s="289">
        <v>4.8706731796264648</v>
      </c>
      <c r="AK84" s="289">
        <v>-21.025569915771484</v>
      </c>
      <c r="AL84" s="289">
        <v>2.4661169052124023</v>
      </c>
      <c r="AM84" s="289">
        <v>2.4000000953674316</v>
      </c>
      <c r="AN84" s="289">
        <v>22.799999237060547</v>
      </c>
      <c r="AO84" s="289">
        <v>39.799999237060547</v>
      </c>
      <c r="AP84" s="289">
        <v>-9.4499999999999993</v>
      </c>
      <c r="AQ84" s="289">
        <v>-19.281134765627648</v>
      </c>
      <c r="AR84" s="289">
        <v>-13.481171844855556</v>
      </c>
      <c r="AS84" s="289">
        <v>2347.7215053474038</v>
      </c>
      <c r="AT84" s="289">
        <v>422.45525759029238</v>
      </c>
      <c r="AU84" s="289">
        <v>170.16081642928847</v>
      </c>
      <c r="AV84" s="289">
        <v>-19.013512360323581</v>
      </c>
      <c r="AW84" s="289">
        <v>-1.6529385085585324</v>
      </c>
      <c r="AX84" s="289">
        <v>-16.223356953351175</v>
      </c>
      <c r="AY84" s="289">
        <v>115.22597746117293</v>
      </c>
      <c r="AZ84" s="289">
        <v>80.744783000388878</v>
      </c>
      <c r="BA84" s="289">
        <v>63.555018933481946</v>
      </c>
      <c r="BB84" s="289">
        <v>-24.245698249351587</v>
      </c>
      <c r="BC84" s="289">
        <v>23.025032465507312</v>
      </c>
      <c r="BD84" s="289">
        <v>20.42248547201444</v>
      </c>
      <c r="BE84" s="289">
        <v>2.8382226631171514</v>
      </c>
    </row>
    <row r="85" spans="1:57">
      <c r="A85" s="289" t="s">
        <v>1418</v>
      </c>
      <c r="C85" s="289" t="s">
        <v>2462</v>
      </c>
      <c r="E85" s="289" t="s">
        <v>937</v>
      </c>
      <c r="F85" s="289">
        <v>1.8</v>
      </c>
      <c r="G85" s="289">
        <v>0.5</v>
      </c>
      <c r="H85" s="289">
        <v>3.0221829414367676</v>
      </c>
      <c r="I85" s="289">
        <v>2.2277793884277344</v>
      </c>
      <c r="J85" s="289">
        <v>-1.626257061958313</v>
      </c>
      <c r="K85" s="289">
        <v>-0.89552080631256104</v>
      </c>
      <c r="L85" s="289">
        <v>0.76559323072433472</v>
      </c>
      <c r="M85" s="289">
        <v>1.8154700994491577</v>
      </c>
      <c r="N85" s="289">
        <v>0.49572989344596863</v>
      </c>
      <c r="O85" s="289">
        <v>0.31003996729850769</v>
      </c>
      <c r="P85" s="289">
        <v>2.2613492012023926</v>
      </c>
      <c r="Q85" s="289">
        <v>1.6288275718688965</v>
      </c>
      <c r="R85" s="289">
        <v>1.1620020866394043</v>
      </c>
      <c r="S85" s="289">
        <v>1.3401436805725098</v>
      </c>
      <c r="T85" s="289">
        <v>0.38416191935539246</v>
      </c>
      <c r="U85" s="289">
        <v>2.3576428890228271</v>
      </c>
      <c r="V85" s="289">
        <v>4.3976931571960449</v>
      </c>
      <c r="W85" s="289">
        <v>6.8055276870727539</v>
      </c>
      <c r="X85" s="289">
        <v>1.0620815753936768</v>
      </c>
      <c r="Y85" s="289">
        <v>23.262006759643555</v>
      </c>
      <c r="Z85" s="289">
        <v>51.418785095214844</v>
      </c>
      <c r="AA85" s="289">
        <v>9.6750164031982422</v>
      </c>
      <c r="AB85" s="289">
        <v>2.2336657047271729</v>
      </c>
      <c r="AC85" s="289">
        <v>8.1954889297485352</v>
      </c>
      <c r="AD85" s="289">
        <v>8.4418277740478516</v>
      </c>
      <c r="AE85" s="289">
        <v>21.756065368652344</v>
      </c>
      <c r="AF85" s="289">
        <v>29.74290657043457</v>
      </c>
      <c r="AG85" s="289">
        <v>5.1207904815673828</v>
      </c>
      <c r="AH85" s="289">
        <v>-1.4226530790328979</v>
      </c>
      <c r="AI85" s="289">
        <v>-5.799159049987793</v>
      </c>
      <c r="AJ85" s="289">
        <v>-1.4299999475479126</v>
      </c>
      <c r="AK85" s="289">
        <v>4.3000001907348633</v>
      </c>
      <c r="AL85" s="289">
        <v>2.3299999237060547</v>
      </c>
      <c r="AM85" s="289">
        <v>66.589996337890625</v>
      </c>
      <c r="AN85" s="289">
        <v>12.100000381469727</v>
      </c>
      <c r="AO85" s="289">
        <v>21</v>
      </c>
      <c r="AP85" s="289">
        <v>47</v>
      </c>
      <c r="AQ85" s="289">
        <v>38.306300283925985</v>
      </c>
      <c r="AR85" s="289">
        <v>30.387615455445705</v>
      </c>
      <c r="AS85" s="289">
        <v>449.54631502796258</v>
      </c>
      <c r="AT85" s="289">
        <v>426.50594858796609</v>
      </c>
      <c r="AU85" s="289">
        <v>113.05936131309264</v>
      </c>
      <c r="AV85" s="289">
        <v>-6.4529559691432929</v>
      </c>
      <c r="AW85" s="289">
        <v>2.2298922185533643</v>
      </c>
      <c r="AX85" s="289">
        <v>1.4999999999999902</v>
      </c>
      <c r="AY85" s="289">
        <v>119.15655860349128</v>
      </c>
      <c r="AZ85" s="289">
        <v>59.482986393766701</v>
      </c>
      <c r="BA85" s="289">
        <v>68.853049837894886</v>
      </c>
      <c r="BB85" s="289">
        <v>9.4467753041083355</v>
      </c>
      <c r="BC85" s="289">
        <v>13.699360818152728</v>
      </c>
      <c r="BD85" s="289">
        <v>12.896386466021292</v>
      </c>
      <c r="BE85" s="289">
        <v>3</v>
      </c>
    </row>
    <row r="86" spans="1:57">
      <c r="A86" s="289" t="s">
        <v>102</v>
      </c>
      <c r="C86" s="289" t="s">
        <v>2462</v>
      </c>
      <c r="E86" s="289" t="s">
        <v>3696</v>
      </c>
      <c r="F86" s="289">
        <v>2</v>
      </c>
      <c r="G86" s="289">
        <v>1</v>
      </c>
      <c r="H86" s="289">
        <v>2</v>
      </c>
      <c r="I86" s="289">
        <v>0.62393432855606079</v>
      </c>
      <c r="J86" s="289">
        <v>1.2711864709854126</v>
      </c>
      <c r="K86" s="289">
        <v>-6.6945605278015137</v>
      </c>
      <c r="L86" s="289">
        <v>21.07623291015625</v>
      </c>
      <c r="M86" s="289">
        <v>-5.9259257316589355</v>
      </c>
      <c r="N86" s="289">
        <v>9.4488191604614258</v>
      </c>
      <c r="O86" s="289">
        <v>-6.5951180458068848</v>
      </c>
      <c r="P86" s="289">
        <v>-7.3968186378479004</v>
      </c>
      <c r="Q86" s="289">
        <v>8.2182636260986328</v>
      </c>
      <c r="R86" s="289">
        <v>6.1108083724975586</v>
      </c>
      <c r="S86" s="289">
        <v>12.132053375244141</v>
      </c>
      <c r="T86" s="289">
        <v>21.12646484375</v>
      </c>
      <c r="U86" s="289">
        <v>12.155237197875977</v>
      </c>
      <c r="V86" s="289">
        <v>17.866277694702148</v>
      </c>
      <c r="W86" s="289">
        <v>-4.9536499977111816</v>
      </c>
      <c r="X86" s="289">
        <v>-4.3030695915222168</v>
      </c>
      <c r="Y86" s="289">
        <v>28.502105712890625</v>
      </c>
      <c r="Z86" s="289">
        <v>15.074921607971191</v>
      </c>
      <c r="AA86" s="289">
        <v>25.617427825927734</v>
      </c>
      <c r="AB86" s="289">
        <v>12</v>
      </c>
      <c r="AC86" s="289">
        <v>24.107143402099609</v>
      </c>
      <c r="AD86" s="289">
        <v>9.3525180816650391</v>
      </c>
      <c r="AE86" s="289">
        <v>8.5526313781738281</v>
      </c>
      <c r="AF86" s="289">
        <v>1.8181818723678589</v>
      </c>
      <c r="AG86" s="289">
        <v>0</v>
      </c>
      <c r="AH86" s="289">
        <v>5.3571429252624512</v>
      </c>
      <c r="AI86" s="289">
        <v>-0.50847458839416504</v>
      </c>
      <c r="AJ86" s="289">
        <v>-5.9625210762023926</v>
      </c>
      <c r="AK86" s="289">
        <v>0</v>
      </c>
      <c r="AL86" s="289">
        <v>32.78985595703125</v>
      </c>
      <c r="AM86" s="289">
        <v>29.513410568237305</v>
      </c>
      <c r="AN86" s="289">
        <v>15</v>
      </c>
      <c r="AO86" s="289">
        <v>19.700000762939453</v>
      </c>
      <c r="AP86" s="289">
        <v>21.746293245469506</v>
      </c>
      <c r="AQ86" s="289">
        <v>25.968753844261293</v>
      </c>
      <c r="AR86" s="289">
        <v>43.662109374999993</v>
      </c>
      <c r="AS86" s="289">
        <v>143.51845557745909</v>
      </c>
      <c r="AT86" s="289">
        <v>368.47923179991062</v>
      </c>
      <c r="AU86" s="289">
        <v>235.55783301951999</v>
      </c>
      <c r="AV86" s="289">
        <v>4.7538150511285941</v>
      </c>
      <c r="AW86" s="289">
        <v>15.03068395004575</v>
      </c>
      <c r="AX86" s="289">
        <v>28.480460617672083</v>
      </c>
      <c r="AY86" s="289">
        <v>111.85443496609747</v>
      </c>
      <c r="AZ86" s="289">
        <v>48.228952216213315</v>
      </c>
      <c r="BA86" s="289">
        <v>38.121474103473723</v>
      </c>
      <c r="BB86" s="289">
        <v>-3.012242253007976</v>
      </c>
      <c r="BC86" s="289">
        <v>9.607662726373011</v>
      </c>
      <c r="BD86" s="289">
        <v>16.190165974116482</v>
      </c>
      <c r="BE86" s="289">
        <v>5.7334070506497055</v>
      </c>
    </row>
    <row r="87" spans="1:57">
      <c r="A87" s="289" t="s">
        <v>103</v>
      </c>
      <c r="AQ87" s="289">
        <v>-6.2505433363148066</v>
      </c>
      <c r="AR87" s="289">
        <v>14.139863357625115</v>
      </c>
      <c r="AS87" s="289">
        <v>-6.4706062399103708</v>
      </c>
      <c r="AT87" s="289">
        <v>-2.5437152729590129</v>
      </c>
      <c r="AU87" s="289">
        <v>12.259341437409677</v>
      </c>
      <c r="AV87" s="289">
        <v>4.0278668038602694</v>
      </c>
      <c r="AW87" s="289">
        <v>2.7451529663351959</v>
      </c>
      <c r="AX87" s="289">
        <v>2.0689769031533745</v>
      </c>
      <c r="AY87" s="289">
        <v>1.3016643015126839</v>
      </c>
      <c r="AZ87" s="289">
        <v>-2.6206605317248166</v>
      </c>
      <c r="BA87" s="289">
        <v>2.4204785271460194</v>
      </c>
      <c r="BB87" s="289">
        <v>15.624053045715701</v>
      </c>
      <c r="BC87" s="289">
        <v>12.507013403194446</v>
      </c>
      <c r="BD87" s="289">
        <v>25.17259606893272</v>
      </c>
      <c r="BE87" s="289">
        <v>5.4954171499945081</v>
      </c>
    </row>
    <row r="88" spans="1:57">
      <c r="A88" s="289" t="s">
        <v>1874</v>
      </c>
      <c r="C88" s="289" t="s">
        <v>2462</v>
      </c>
      <c r="AV88" s="289">
        <v>2.9</v>
      </c>
      <c r="AW88" s="289">
        <v>2.2999999999999998</v>
      </c>
      <c r="AX88" s="289">
        <v>1.5</v>
      </c>
      <c r="AY88" s="289">
        <v>2.2000000000000002</v>
      </c>
      <c r="AZ88" s="289">
        <v>3.4</v>
      </c>
      <c r="BA88" s="289">
        <v>2.8</v>
      </c>
      <c r="BB88" s="289">
        <v>1.6</v>
      </c>
      <c r="BC88" s="289">
        <v>2.2999999999999998</v>
      </c>
      <c r="BD88" s="289">
        <v>6.4</v>
      </c>
      <c r="BE88" s="289">
        <v>3</v>
      </c>
    </row>
    <row r="89" spans="1:57">
      <c r="A89" s="289" t="s">
        <v>1875</v>
      </c>
      <c r="C89" s="289" t="s">
        <v>2462</v>
      </c>
      <c r="AN89" s="289">
        <v>4.2</v>
      </c>
      <c r="AO89" s="289">
        <v>4.9000000000000004</v>
      </c>
      <c r="AP89" s="289">
        <v>5</v>
      </c>
      <c r="AQ89" s="289">
        <v>4</v>
      </c>
      <c r="AR89" s="289">
        <v>3</v>
      </c>
      <c r="AS89" s="289">
        <v>3</v>
      </c>
      <c r="AT89" s="289">
        <v>2.6</v>
      </c>
      <c r="AU89" s="289">
        <v>2.8</v>
      </c>
      <c r="AV89" s="289">
        <v>2.9</v>
      </c>
      <c r="AW89" s="289">
        <v>2.2999999999999998</v>
      </c>
      <c r="AX89" s="289">
        <v>1.5</v>
      </c>
      <c r="AY89" s="289">
        <v>2.2000000000000002</v>
      </c>
      <c r="AZ89" s="289">
        <v>3.4</v>
      </c>
      <c r="BA89" s="289">
        <v>2.8</v>
      </c>
      <c r="BB89" s="289">
        <v>1.6</v>
      </c>
      <c r="BC89" s="289">
        <v>2.2999999999999998</v>
      </c>
      <c r="BD89" s="289">
        <v>2.7</v>
      </c>
      <c r="BE89" s="289">
        <v>3</v>
      </c>
    </row>
    <row r="90" spans="1:57">
      <c r="A90" s="289" t="s">
        <v>2602</v>
      </c>
      <c r="F90" s="289" t="s">
        <v>2219</v>
      </c>
      <c r="AV90" s="289" t="s">
        <v>2219</v>
      </c>
      <c r="AW90" s="289" t="s">
        <v>2219</v>
      </c>
      <c r="AX90" s="289" t="s">
        <v>2219</v>
      </c>
      <c r="AY90" s="289" t="s">
        <v>2219</v>
      </c>
      <c r="AZ90" s="289" t="s">
        <v>2219</v>
      </c>
      <c r="BA90" s="289" t="s">
        <v>2219</v>
      </c>
      <c r="BB90" s="289" t="s">
        <v>2219</v>
      </c>
      <c r="BC90" s="289" t="s">
        <v>2219</v>
      </c>
      <c r="BD90" s="289" t="s">
        <v>2219</v>
      </c>
      <c r="BE90" s="289" t="s">
        <v>2219</v>
      </c>
    </row>
    <row r="91" spans="1:57">
      <c r="A91" s="289" t="s">
        <v>3533</v>
      </c>
      <c r="C91" s="289" t="s">
        <v>818</v>
      </c>
      <c r="D91" s="289" t="s">
        <v>4564</v>
      </c>
      <c r="E91" s="289" t="s">
        <v>444</v>
      </c>
      <c r="F91" s="289">
        <v>48.2</v>
      </c>
      <c r="G91" s="289">
        <v>49.8</v>
      </c>
      <c r="H91" s="289">
        <v>64.740486145019531</v>
      </c>
      <c r="I91" s="289">
        <v>67.589065551757813</v>
      </c>
      <c r="J91" s="289">
        <v>71.374046325683594</v>
      </c>
      <c r="K91" s="289">
        <v>75.534286499023438</v>
      </c>
      <c r="L91" s="289">
        <v>80.084541320800781</v>
      </c>
      <c r="M91" s="289">
        <v>80.96209716796875</v>
      </c>
      <c r="N91" s="289">
        <v>81.579635620117188</v>
      </c>
      <c r="O91" s="289">
        <v>82.099655151367188</v>
      </c>
      <c r="P91" s="289">
        <v>82.635292053222656</v>
      </c>
      <c r="Q91" s="289">
        <v>83.680549621582031</v>
      </c>
      <c r="R91" s="289">
        <v>84.075767517089844</v>
      </c>
      <c r="S91" s="289">
        <v>84.600982666015625</v>
      </c>
      <c r="T91" s="289">
        <v>85.646247863769531</v>
      </c>
      <c r="U91" s="289">
        <v>85.976463317871094</v>
      </c>
      <c r="V91" s="289">
        <v>87.866767883300781</v>
      </c>
      <c r="W91" s="289">
        <v>83.126693725585938</v>
      </c>
      <c r="X91" s="289">
        <v>82.247848510742187</v>
      </c>
      <c r="Y91" s="289">
        <v>79.889511108398437</v>
      </c>
      <c r="Z91" s="289">
        <v>78.849456787109375</v>
      </c>
      <c r="AA91" s="289">
        <v>83.4647216796875</v>
      </c>
      <c r="AB91" s="289">
        <v>81.644615173339844</v>
      </c>
      <c r="AC91" s="289">
        <v>82.814674377441406</v>
      </c>
      <c r="AD91" s="289">
        <v>83.074684143066406</v>
      </c>
      <c r="AE91" s="289">
        <v>81.25457763671875</v>
      </c>
      <c r="AF91" s="289">
        <v>82.099632263183594</v>
      </c>
      <c r="AG91" s="289">
        <v>81.839622497558594</v>
      </c>
      <c r="AH91" s="289">
        <v>81.748611450195313</v>
      </c>
      <c r="AI91" s="289">
        <v>79.954513549804688</v>
      </c>
      <c r="AJ91" s="289">
        <v>76.925338745117188</v>
      </c>
      <c r="AK91" s="289">
        <v>74.128883361816406</v>
      </c>
      <c r="AL91" s="289">
        <v>69.358917236328125</v>
      </c>
      <c r="AM91" s="289">
        <v>65.164642333984375</v>
      </c>
      <c r="AN91" s="289">
        <v>60.876659393310547</v>
      </c>
      <c r="AO91" s="289">
        <v>55.818065643310547</v>
      </c>
      <c r="AP91" s="289">
        <v>53.200000762939453</v>
      </c>
      <c r="AQ91" s="289">
        <v>54.065437558463735</v>
      </c>
      <c r="AR91" s="289">
        <v>54.596764706386153</v>
      </c>
      <c r="AS91" s="289">
        <v>51.791635790062131</v>
      </c>
      <c r="AT91" s="289">
        <v>47.320599047501005</v>
      </c>
      <c r="AU91" s="289">
        <v>44.121035130535873</v>
      </c>
      <c r="AV91" s="289">
        <v>45.718737182349727</v>
      </c>
      <c r="AW91" s="289">
        <v>45.232367637856647</v>
      </c>
      <c r="AX91" s="289">
        <v>45.224754897160231</v>
      </c>
      <c r="AY91" s="289">
        <v>43.610008009443192</v>
      </c>
      <c r="AZ91" s="289">
        <v>43.55841054472306</v>
      </c>
      <c r="BA91" s="289">
        <v>43.043281757599082</v>
      </c>
      <c r="BB91" s="289">
        <v>43.463402520095613</v>
      </c>
      <c r="BC91" s="289">
        <v>44.647379214404019</v>
      </c>
      <c r="BD91" s="289">
        <v>49.303353032470525</v>
      </c>
      <c r="BE91" s="289">
        <v>52.452283494917722</v>
      </c>
    </row>
    <row r="92" spans="1:57">
      <c r="A92" s="289" t="s">
        <v>1050</v>
      </c>
      <c r="C92" s="289" t="s">
        <v>818</v>
      </c>
      <c r="D92" s="289" t="s">
        <v>4564</v>
      </c>
      <c r="E92" s="289" t="s">
        <v>445</v>
      </c>
      <c r="F92" s="289">
        <v>6.6</v>
      </c>
      <c r="G92" s="289">
        <v>7.6</v>
      </c>
      <c r="H92" s="289">
        <v>8.3500003814697266</v>
      </c>
      <c r="I92" s="289">
        <v>9.5</v>
      </c>
      <c r="J92" s="289">
        <v>9.555999755859375</v>
      </c>
      <c r="K92" s="289">
        <v>10.487000465393066</v>
      </c>
      <c r="L92" s="289">
        <v>11.295999526977539</v>
      </c>
      <c r="M92" s="289">
        <v>11.963000297546387</v>
      </c>
      <c r="N92" s="289">
        <v>12.97599983215332</v>
      </c>
      <c r="O92" s="289">
        <v>13.972000122070312</v>
      </c>
      <c r="P92" s="289">
        <v>14.777999877929687</v>
      </c>
      <c r="Q92" s="289">
        <v>15.529999732971191</v>
      </c>
      <c r="R92" s="289">
        <v>16.233999252319336</v>
      </c>
      <c r="S92" s="289">
        <v>18.055999755859375</v>
      </c>
      <c r="T92" s="289">
        <v>18.5</v>
      </c>
      <c r="U92" s="289">
        <v>20.700000762939453</v>
      </c>
      <c r="V92" s="289">
        <v>24.100000381469727</v>
      </c>
      <c r="W92" s="289">
        <v>24.200000762939453</v>
      </c>
      <c r="X92" s="289">
        <v>23.700000762939453</v>
      </c>
      <c r="Y92" s="289">
        <v>25.399999618530273</v>
      </c>
      <c r="Z92" s="289">
        <v>28.399999618530273</v>
      </c>
      <c r="AA92" s="289">
        <v>29.399999618530273</v>
      </c>
      <c r="AB92" s="289">
        <v>32.700000762939453</v>
      </c>
      <c r="AC92" s="289">
        <v>35.900001525878906</v>
      </c>
      <c r="AD92" s="289">
        <v>39</v>
      </c>
      <c r="AE92" s="289">
        <v>39.599998474121094</v>
      </c>
      <c r="AF92" s="289">
        <v>35.200000762939453</v>
      </c>
      <c r="AG92" s="289">
        <v>35.400001525878906</v>
      </c>
      <c r="AH92" s="289">
        <v>35.299999237060547</v>
      </c>
      <c r="AI92" s="289">
        <v>37</v>
      </c>
      <c r="AJ92" s="289">
        <v>37</v>
      </c>
      <c r="AK92" s="289">
        <v>38</v>
      </c>
      <c r="AL92" s="289">
        <v>38.5</v>
      </c>
      <c r="AM92" s="289">
        <v>41.337207794189453</v>
      </c>
      <c r="AN92" s="289">
        <v>43.953487396240234</v>
      </c>
      <c r="AO92" s="289">
        <v>44.47674560546875</v>
      </c>
      <c r="AP92" s="289">
        <v>43.445</v>
      </c>
      <c r="AQ92" s="289">
        <v>42.816000000000003</v>
      </c>
      <c r="AR92" s="289">
        <v>42.697000000000003</v>
      </c>
      <c r="AS92" s="289">
        <v>40.652000000000001</v>
      </c>
      <c r="AT92" s="289">
        <v>38.552</v>
      </c>
      <c r="AU92" s="289">
        <v>37.159999999999997</v>
      </c>
      <c r="AV92" s="289">
        <v>36.662999999999997</v>
      </c>
      <c r="AW92" s="289">
        <v>36.691029816513755</v>
      </c>
      <c r="AX92" s="289">
        <v>37.726999999999997</v>
      </c>
      <c r="AY92" s="289">
        <v>37.889000000000003</v>
      </c>
      <c r="AZ92" s="289">
        <v>38.475000000000001</v>
      </c>
      <c r="BA92" s="289">
        <v>39.226999999999997</v>
      </c>
      <c r="BB92" s="289">
        <v>39.676000000000002</v>
      </c>
      <c r="BC92" s="289">
        <v>40.128999999999998</v>
      </c>
      <c r="BD92" s="289">
        <v>41.456000000000003</v>
      </c>
      <c r="BE92" s="289">
        <v>41.960867529644865</v>
      </c>
    </row>
    <row r="93" spans="1:57">
      <c r="A93" s="289" t="s">
        <v>1600</v>
      </c>
      <c r="C93" s="289" t="s">
        <v>2462</v>
      </c>
      <c r="D93" s="289" t="s">
        <v>4564</v>
      </c>
      <c r="E93" s="289" t="s">
        <v>448</v>
      </c>
      <c r="F93" s="289">
        <v>6.8</v>
      </c>
      <c r="G93" s="289">
        <v>5</v>
      </c>
      <c r="H93" s="289">
        <v>2.2332546710968018</v>
      </c>
      <c r="I93" s="289">
        <v>1.8155162334442139</v>
      </c>
      <c r="J93" s="289">
        <v>3.1251304149627686</v>
      </c>
      <c r="K93" s="289">
        <v>2.8608658313751221</v>
      </c>
      <c r="L93" s="289">
        <v>2.0745680332183838</v>
      </c>
      <c r="M93" s="289">
        <v>3.02626633644104</v>
      </c>
      <c r="N93" s="289">
        <v>3.9044175148010254</v>
      </c>
      <c r="O93" s="289">
        <v>4.7262697219848633</v>
      </c>
      <c r="P93" s="289">
        <v>5.5056672096252441</v>
      </c>
      <c r="Q93" s="289">
        <v>4.5107326507568359</v>
      </c>
      <c r="R93" s="289">
        <v>4.2866334915161133</v>
      </c>
      <c r="S93" s="289">
        <v>4.1740665435791016</v>
      </c>
      <c r="T93" s="289">
        <v>4.2769827842712402</v>
      </c>
      <c r="U93" s="289">
        <v>5.0960192680358887</v>
      </c>
      <c r="V93" s="289">
        <v>4.4430961608886719</v>
      </c>
      <c r="W93" s="289">
        <v>6.0136995315551758</v>
      </c>
      <c r="X93" s="289">
        <v>7.3302769660949707</v>
      </c>
      <c r="Y93" s="289">
        <v>9.13018798828125</v>
      </c>
      <c r="Z93" s="289">
        <v>9.9718894958496094</v>
      </c>
      <c r="AA93" s="289">
        <v>7.9798069000244141</v>
      </c>
      <c r="AB93" s="289">
        <v>6.6932039260864258</v>
      </c>
      <c r="AC93" s="289">
        <v>5.5827469825744629</v>
      </c>
      <c r="AD93" s="289">
        <v>4.6354036331176758</v>
      </c>
      <c r="AE93" s="289">
        <v>6.7064113616943359</v>
      </c>
      <c r="AF93" s="289">
        <v>9.093388557434082</v>
      </c>
      <c r="AG93" s="289">
        <v>9.2074041366577148</v>
      </c>
      <c r="AH93" s="289">
        <v>9.3345565795898437</v>
      </c>
      <c r="AI93" s="289">
        <v>11.461581230163574</v>
      </c>
      <c r="AJ93" s="289">
        <v>13.025559425354004</v>
      </c>
      <c r="AK93" s="289">
        <v>13.790704727172852</v>
      </c>
      <c r="AL93" s="289">
        <v>15.991020202636719</v>
      </c>
      <c r="AM93" s="289">
        <v>17.700000762939453</v>
      </c>
      <c r="AN93" s="289">
        <v>19.899999618530273</v>
      </c>
      <c r="AO93" s="289">
        <v>17.200000762939453</v>
      </c>
      <c r="AP93" s="289">
        <v>15.5</v>
      </c>
      <c r="AQ93" s="289">
        <v>15.5</v>
      </c>
      <c r="AR93" s="289">
        <v>18.084440231323242</v>
      </c>
      <c r="AS93" s="289">
        <v>15</v>
      </c>
      <c r="AT93" s="289">
        <v>12</v>
      </c>
      <c r="AU93" s="289">
        <v>8</v>
      </c>
      <c r="AV93" s="289">
        <v>11</v>
      </c>
      <c r="AW93" s="289">
        <v>14.386470216066495</v>
      </c>
      <c r="AX93" s="289">
        <v>14.771996005877812</v>
      </c>
      <c r="AY93" s="289">
        <v>16.70868121216871</v>
      </c>
      <c r="AZ93" s="289">
        <v>17.094758277287223</v>
      </c>
      <c r="BA93" s="289">
        <v>17.985667263125389</v>
      </c>
      <c r="BB93" s="289">
        <v>17.959614526298466</v>
      </c>
      <c r="BC93" s="289">
        <v>17.332976628931945</v>
      </c>
      <c r="BD93" s="289">
        <v>13.032424340553742</v>
      </c>
      <c r="BE93" s="289">
        <v>10.843036781740901</v>
      </c>
    </row>
    <row r="94" spans="1:57">
      <c r="A94" s="289" t="s">
        <v>1876</v>
      </c>
      <c r="C94" s="289" t="s">
        <v>1877</v>
      </c>
      <c r="E94" s="289" t="s">
        <v>2604</v>
      </c>
      <c r="F94" s="289">
        <v>41.8</v>
      </c>
      <c r="G94" s="289">
        <v>42.6</v>
      </c>
      <c r="H94" s="289">
        <v>43.079360961914063</v>
      </c>
      <c r="I94" s="289">
        <v>44.311740875244141</v>
      </c>
      <c r="J94" s="289">
        <v>45.461948394775391</v>
      </c>
      <c r="K94" s="289">
        <v>46.137088775634766</v>
      </c>
      <c r="L94" s="289">
        <v>47.364089965820313</v>
      </c>
      <c r="M94" s="289">
        <v>48.577590942382813</v>
      </c>
      <c r="N94" s="289">
        <v>49.796638488769531</v>
      </c>
      <c r="O94" s="289">
        <v>51.119228363037109</v>
      </c>
      <c r="P94" s="289">
        <v>67.25250244140625</v>
      </c>
      <c r="Q94" s="289">
        <v>70.553558349609375</v>
      </c>
      <c r="R94" s="289">
        <v>75.458526611328125</v>
      </c>
      <c r="S94" s="289">
        <v>79.640312194824219</v>
      </c>
      <c r="T94" s="289">
        <v>84.039787292480469</v>
      </c>
      <c r="U94" s="289">
        <v>88.573600769042969</v>
      </c>
      <c r="V94" s="289">
        <v>93.07366943359375</v>
      </c>
      <c r="W94" s="289">
        <v>96.194236755371094</v>
      </c>
      <c r="X94" s="289">
        <v>98.315361022949219</v>
      </c>
      <c r="Y94" s="289">
        <v>99.998207092285156</v>
      </c>
      <c r="Z94" s="289">
        <v>105.15991399973568</v>
      </c>
      <c r="AA94" s="289">
        <v>113.56990241013307</v>
      </c>
      <c r="AB94" s="289">
        <v>122.56242255527765</v>
      </c>
      <c r="AC94" s="289">
        <v>125.87197015915341</v>
      </c>
      <c r="AD94" s="289">
        <v>129.95194625078295</v>
      </c>
      <c r="AE94" s="289">
        <v>133.43533177089361</v>
      </c>
      <c r="AF94" s="289">
        <v>135.51614454736961</v>
      </c>
      <c r="AG94" s="289">
        <v>138.91071965533715</v>
      </c>
      <c r="AH94" s="289">
        <v>144.81897298123539</v>
      </c>
      <c r="AI94" s="289">
        <v>147.97724514847354</v>
      </c>
      <c r="AJ94" s="289">
        <v>147.06619422079845</v>
      </c>
      <c r="AK94" s="289">
        <v>142.98586458297606</v>
      </c>
      <c r="AL94" s="289">
        <v>140.70347106846552</v>
      </c>
      <c r="AM94" s="289">
        <v>131.86540699194961</v>
      </c>
      <c r="AN94" s="289">
        <v>119.86884521827221</v>
      </c>
      <c r="AO94" s="289">
        <v>112.33736873758437</v>
      </c>
      <c r="AP94" s="289">
        <v>107.45331238721387</v>
      </c>
      <c r="AQ94" s="289">
        <v>112.2590482171444</v>
      </c>
      <c r="AR94" s="289">
        <v>124.22632687064342</v>
      </c>
      <c r="AS94" s="289">
        <v>138.68844522107889</v>
      </c>
      <c r="AT94" s="289">
        <v>148.44531212180411</v>
      </c>
      <c r="AU94" s="289">
        <v>157.00427916504941</v>
      </c>
      <c r="AV94" s="289">
        <v>147.0622980758115</v>
      </c>
      <c r="AW94" s="289">
        <v>143.99155530696629</v>
      </c>
      <c r="AX94" s="289">
        <v>148.15061759458172</v>
      </c>
      <c r="AY94" s="289">
        <v>158.63251872347416</v>
      </c>
      <c r="AZ94" s="289">
        <v>167.58237455387533</v>
      </c>
      <c r="BA94" s="289">
        <v>176.11659053906945</v>
      </c>
      <c r="BB94" s="289">
        <v>176.89751283581265</v>
      </c>
      <c r="BC94" s="289">
        <v>195.08125192455236</v>
      </c>
      <c r="BD94" s="289">
        <v>214.86870895441399</v>
      </c>
      <c r="BE94" s="289">
        <v>239.6459412508116</v>
      </c>
    </row>
    <row r="95" spans="1:57">
      <c r="A95" s="289" t="s">
        <v>1868</v>
      </c>
      <c r="C95" s="289" t="s">
        <v>818</v>
      </c>
      <c r="D95" s="289" t="s">
        <v>4564</v>
      </c>
      <c r="E95" s="289" t="s">
        <v>446</v>
      </c>
      <c r="F95" s="289">
        <v>233</v>
      </c>
      <c r="G95" s="289">
        <v>241</v>
      </c>
      <c r="H95" s="289">
        <v>245.33001708984375</v>
      </c>
      <c r="I95" s="289">
        <v>255.14321899414062</v>
      </c>
      <c r="J95" s="289">
        <v>264.9564208984375</v>
      </c>
      <c r="K95" s="289">
        <v>274.76962280273437</v>
      </c>
      <c r="L95" s="289">
        <v>284.58282470703125</v>
      </c>
      <c r="M95" s="289">
        <v>294.39602661132812</v>
      </c>
      <c r="N95" s="289">
        <v>304.209228515625</v>
      </c>
      <c r="O95" s="289">
        <v>314.02243041992187</v>
      </c>
      <c r="P95" s="289">
        <v>324.81692504882812</v>
      </c>
      <c r="Q95" s="289">
        <v>330.70486450195312</v>
      </c>
      <c r="R95" s="289">
        <v>340.51806640625</v>
      </c>
      <c r="S95" s="289">
        <v>350.33126831054687</v>
      </c>
      <c r="T95" s="289">
        <v>358.18182373046875</v>
      </c>
      <c r="U95" s="289">
        <v>367.01370239257812</v>
      </c>
      <c r="V95" s="289">
        <v>368.97634887695312</v>
      </c>
      <c r="W95" s="289">
        <v>370.93896484375</v>
      </c>
      <c r="X95" s="289">
        <v>374.8642578125</v>
      </c>
      <c r="Y95" s="289">
        <v>376.826904296875</v>
      </c>
      <c r="Z95" s="289">
        <v>373.8829345703125</v>
      </c>
      <c r="AA95" s="289">
        <v>358.18182373046875</v>
      </c>
      <c r="AB95" s="289">
        <v>348.36862182617187</v>
      </c>
      <c r="AC95" s="289">
        <v>355.33599853515625</v>
      </c>
      <c r="AD95" s="289">
        <v>360.4388427734375</v>
      </c>
      <c r="AE95" s="289">
        <v>358.18182373046875</v>
      </c>
      <c r="AF95" s="289">
        <v>349.84060668945312</v>
      </c>
      <c r="AG95" s="289">
        <v>348.66299438476562</v>
      </c>
      <c r="AH95" s="289">
        <v>356.21917724609375</v>
      </c>
      <c r="AI95" s="289">
        <v>363.87347412109375</v>
      </c>
      <c r="AJ95" s="289">
        <v>371.33151245117187</v>
      </c>
      <c r="AK95" s="289">
        <v>380.35964965820313</v>
      </c>
      <c r="AL95" s="289">
        <v>389.38778686523437</v>
      </c>
      <c r="AM95" s="289">
        <v>394</v>
      </c>
      <c r="AN95" s="289">
        <v>397</v>
      </c>
      <c r="AO95" s="289">
        <v>401</v>
      </c>
      <c r="AP95" s="289">
        <v>401.66699999999997</v>
      </c>
      <c r="AQ95" s="289">
        <v>402.19600000000003</v>
      </c>
      <c r="AR95" s="289">
        <v>403.30700000000002</v>
      </c>
      <c r="AS95" s="289">
        <v>403.82100000000003</v>
      </c>
      <c r="AT95" s="289">
        <v>405.01299999999998</v>
      </c>
      <c r="AU95" s="289">
        <v>408.86599999999999</v>
      </c>
      <c r="AV95" s="289">
        <v>413.428</v>
      </c>
      <c r="AW95" s="289">
        <v>447.5721323011964</v>
      </c>
      <c r="AX95" s="289">
        <v>454.28571428571433</v>
      </c>
      <c r="AY95" s="289">
        <v>461.1</v>
      </c>
      <c r="AZ95" s="289">
        <v>466.6</v>
      </c>
      <c r="BA95" s="289">
        <v>473.5</v>
      </c>
      <c r="BB95" s="289">
        <v>479.2</v>
      </c>
      <c r="BC95" s="289">
        <v>486.3</v>
      </c>
      <c r="BD95" s="289">
        <v>486.98750000000001</v>
      </c>
      <c r="BE95" s="289">
        <v>492.91822597676884</v>
      </c>
    </row>
    <row r="96" spans="1:57">
      <c r="A96" s="289" t="s">
        <v>1599</v>
      </c>
      <c r="C96" s="289" t="s">
        <v>818</v>
      </c>
      <c r="D96" s="289" t="s">
        <v>4564</v>
      </c>
      <c r="E96" s="289" t="s">
        <v>447</v>
      </c>
      <c r="F96" s="289">
        <v>114</v>
      </c>
      <c r="G96" s="289">
        <v>116</v>
      </c>
      <c r="H96" s="289">
        <v>112.28481292724609</v>
      </c>
      <c r="I96" s="289">
        <v>114.18795013427734</v>
      </c>
      <c r="J96" s="289">
        <v>118.94577789306641</v>
      </c>
      <c r="K96" s="289">
        <v>122.56173706054687</v>
      </c>
      <c r="L96" s="289">
        <v>126.93892669677734</v>
      </c>
      <c r="M96" s="289">
        <v>134.17083740234375</v>
      </c>
      <c r="N96" s="289">
        <v>138.64320373535156</v>
      </c>
      <c r="O96" s="289">
        <v>143.68650817871094</v>
      </c>
      <c r="P96" s="289">
        <v>144.96159362792969</v>
      </c>
      <c r="Q96" s="289">
        <v>147.51179504394531</v>
      </c>
      <c r="R96" s="289">
        <v>148.58706665039062</v>
      </c>
      <c r="S96" s="289">
        <v>152.44090270996094</v>
      </c>
      <c r="T96" s="289">
        <v>152.25059509277344</v>
      </c>
      <c r="U96" s="289">
        <v>156.58973693847656</v>
      </c>
      <c r="V96" s="289">
        <v>156.72296142578125</v>
      </c>
      <c r="W96" s="289">
        <v>161.86141967773437</v>
      </c>
      <c r="X96" s="289">
        <v>164.271728515625</v>
      </c>
      <c r="Y96" s="289">
        <v>168.01329040527344</v>
      </c>
      <c r="Z96" s="289">
        <v>171.25813293457031</v>
      </c>
      <c r="AA96" s="289">
        <v>169.10092163085937</v>
      </c>
      <c r="AB96" s="289">
        <v>156.43939208984375</v>
      </c>
      <c r="AC96" s="289">
        <v>165.28704833984375</v>
      </c>
      <c r="AD96" s="289">
        <v>172.70927429199219</v>
      </c>
      <c r="AE96" s="289">
        <v>177.46710205078125</v>
      </c>
      <c r="AF96" s="289">
        <v>175.183349609375</v>
      </c>
      <c r="AG96" s="289">
        <v>178.32350158691406</v>
      </c>
      <c r="AH96" s="289">
        <v>184.79415893554687</v>
      </c>
      <c r="AI96" s="289">
        <v>191.45512390136719</v>
      </c>
      <c r="AJ96" s="289">
        <v>198.02093505859375</v>
      </c>
      <c r="AK96" s="289">
        <v>201.63687133789063</v>
      </c>
      <c r="AL96" s="289">
        <v>205.15768432617187</v>
      </c>
      <c r="AM96" s="289">
        <v>206.2908935546875</v>
      </c>
      <c r="AN96" s="289">
        <v>221.80000305175781</v>
      </c>
      <c r="AO96" s="289">
        <v>226.35981750488281</v>
      </c>
      <c r="AP96" s="289">
        <v>232</v>
      </c>
      <c r="AQ96" s="289">
        <v>215</v>
      </c>
      <c r="AR96" s="289">
        <v>217.418701171875</v>
      </c>
      <c r="AS96" s="289">
        <v>217.69579334335316</v>
      </c>
      <c r="AT96" s="289">
        <v>218.33838841806516</v>
      </c>
      <c r="AU96" s="289">
        <v>220.41550152449585</v>
      </c>
      <c r="AV96" s="289">
        <v>222.87482931882153</v>
      </c>
      <c r="AW96" s="289">
        <v>241.28158372072079</v>
      </c>
      <c r="AX96" s="289">
        <v>244.90080747653158</v>
      </c>
      <c r="AY96" s="289">
        <v>248.57431958867954</v>
      </c>
      <c r="AZ96" s="289">
        <v>251.53931364146146</v>
      </c>
      <c r="BA96" s="289">
        <v>255.2590334531333</v>
      </c>
      <c r="BB96" s="289">
        <v>258.3318454714709</v>
      </c>
      <c r="BC96" s="289">
        <v>262.15938324869848</v>
      </c>
      <c r="BD96" s="289">
        <v>262.53000750529623</v>
      </c>
      <c r="BE96" s="289">
        <v>265.7272015507142</v>
      </c>
    </row>
    <row r="97" spans="1:57">
      <c r="A97" s="289" t="s">
        <v>1015</v>
      </c>
      <c r="C97" s="289" t="s">
        <v>2462</v>
      </c>
      <c r="D97" s="289" t="s">
        <v>4564</v>
      </c>
      <c r="E97" s="289" t="s">
        <v>2605</v>
      </c>
      <c r="F97" s="289">
        <v>1</v>
      </c>
      <c r="G97" s="289">
        <v>1.8</v>
      </c>
      <c r="H97" s="289">
        <v>1.7241379022598267</v>
      </c>
      <c r="I97" s="289">
        <v>1.6949152946472168</v>
      </c>
      <c r="J97" s="289">
        <v>4.1666665077209473</v>
      </c>
      <c r="K97" s="289">
        <v>3.0399999618530273</v>
      </c>
      <c r="L97" s="289">
        <v>3.5714285373687744</v>
      </c>
      <c r="M97" s="289">
        <v>5.6971516609191895</v>
      </c>
      <c r="N97" s="289">
        <v>3.3333332538604736</v>
      </c>
      <c r="O97" s="289">
        <v>3.6376116275787354</v>
      </c>
      <c r="P97" s="289">
        <v>0.88741719722747803</v>
      </c>
      <c r="Q97" s="289">
        <v>1.7592227458953857</v>
      </c>
      <c r="R97" s="289">
        <v>0.72893822193145752</v>
      </c>
      <c r="S97" s="289">
        <v>2.5936598777770996</v>
      </c>
      <c r="T97" s="289">
        <v>-0.12484394758939743</v>
      </c>
      <c r="U97" s="289">
        <v>2.8499999046325684</v>
      </c>
      <c r="V97" s="289">
        <v>8.5075356066226959E-2</v>
      </c>
      <c r="W97" s="289">
        <v>3.2786884307861328</v>
      </c>
      <c r="X97" s="289">
        <v>1.489124059677124</v>
      </c>
      <c r="Y97" s="289">
        <v>2.2776641845703125</v>
      </c>
      <c r="Z97" s="289">
        <v>1.9313000440597534</v>
      </c>
      <c r="AA97" s="289">
        <v>-1.2596193552017212</v>
      </c>
      <c r="AB97" s="289">
        <v>-7.4875640869140625</v>
      </c>
      <c r="AC97" s="289">
        <v>5.6556491851806641</v>
      </c>
      <c r="AD97" s="289">
        <v>4.4905009269714355</v>
      </c>
      <c r="AE97" s="289">
        <v>2.7548208236694336</v>
      </c>
      <c r="AF97" s="289">
        <v>-1.2868633270263672</v>
      </c>
      <c r="AG97" s="289">
        <v>1.7925040721893311</v>
      </c>
      <c r="AH97" s="289">
        <v>3.6286020278930664</v>
      </c>
      <c r="AI97" s="289">
        <v>3.6045315265655518</v>
      </c>
      <c r="AJ97" s="289">
        <v>3.4294235706329346</v>
      </c>
      <c r="AK97" s="289">
        <v>1.8260451555252075</v>
      </c>
      <c r="AL97" s="289">
        <v>1.7461066246032715</v>
      </c>
      <c r="AM97" s="289">
        <v>0.55658626556396484</v>
      </c>
      <c r="AN97" s="289">
        <v>2.2999999523162842</v>
      </c>
      <c r="AO97" s="289">
        <v>2.2999999523162842</v>
      </c>
      <c r="AP97" s="289">
        <v>1.7209476309226865</v>
      </c>
      <c r="AQ97" s="289">
        <v>1.6232351674397083</v>
      </c>
      <c r="AR97" s="289">
        <v>1.6245810500353035</v>
      </c>
      <c r="AS97" s="289">
        <v>2.0111230402646152</v>
      </c>
      <c r="AT97" s="289">
        <v>0.92516238630481074</v>
      </c>
      <c r="AU97" s="289">
        <v>0.70442183337325193</v>
      </c>
      <c r="AV97" s="289">
        <v>2.8442081268679744</v>
      </c>
      <c r="AW97" s="289">
        <v>8.5974177610603064</v>
      </c>
      <c r="AX97" s="289">
        <v>2.0809119496855311</v>
      </c>
      <c r="AY97" s="289">
        <v>1.9842767295597423</v>
      </c>
      <c r="AZ97" s="289">
        <v>1.756668835393624</v>
      </c>
      <c r="BA97" s="289">
        <v>2.0360051435919369</v>
      </c>
      <c r="BB97" s="289">
        <v>1.7106652587117188</v>
      </c>
      <c r="BC97" s="289">
        <v>1.7106652587117188</v>
      </c>
      <c r="BD97" s="289">
        <v>1.7106652587117188</v>
      </c>
      <c r="BE97" s="289">
        <v>1.7106652587117188</v>
      </c>
    </row>
    <row r="98" spans="1:57">
      <c r="A98" s="289" t="s">
        <v>1016</v>
      </c>
      <c r="C98" s="289" t="s">
        <v>818</v>
      </c>
      <c r="D98" s="289" t="s">
        <v>4564</v>
      </c>
      <c r="E98" s="289" t="s">
        <v>2603</v>
      </c>
      <c r="F98" s="289">
        <v>0</v>
      </c>
      <c r="G98" s="289">
        <v>0</v>
      </c>
      <c r="H98" s="289">
        <v>0.30000001192092896</v>
      </c>
      <c r="I98" s="289">
        <v>0.30000001192092896</v>
      </c>
      <c r="J98" s="289">
        <v>0.30000001192092896</v>
      </c>
      <c r="K98" s="289">
        <v>0.30000001192092896</v>
      </c>
      <c r="L98" s="289">
        <v>0.30000001192092896</v>
      </c>
      <c r="M98" s="289">
        <v>1.2999999523162842</v>
      </c>
      <c r="N98" s="289">
        <v>1.2999999523162842</v>
      </c>
      <c r="O98" s="289">
        <v>1.2999999523162842</v>
      </c>
      <c r="P98" s="289">
        <v>1.2999999523162842</v>
      </c>
      <c r="Q98" s="289">
        <v>1.2999999523162842</v>
      </c>
      <c r="R98" s="289">
        <v>1.0800000429153442</v>
      </c>
      <c r="S98" s="289">
        <v>1.6399999856948853</v>
      </c>
      <c r="T98" s="289">
        <v>2.8299999237060547</v>
      </c>
      <c r="U98" s="289">
        <v>4.5199999809265137</v>
      </c>
      <c r="V98" s="289">
        <v>6.4800000190734863</v>
      </c>
      <c r="W98" s="289">
        <v>7.1999998092651367</v>
      </c>
      <c r="X98" s="289">
        <v>5.875</v>
      </c>
      <c r="Y98" s="289">
        <v>8.6560001373291016</v>
      </c>
      <c r="Z98" s="289">
        <v>14.836000442504883</v>
      </c>
      <c r="AA98" s="289">
        <v>35.740001678466797</v>
      </c>
      <c r="AB98" s="289">
        <v>0.41200000047683716</v>
      </c>
      <c r="AC98" s="289">
        <v>1.3559999465942383</v>
      </c>
      <c r="AD98" s="289">
        <v>4.7069997787475586</v>
      </c>
      <c r="AE98" s="289">
        <v>15.789999961853027</v>
      </c>
      <c r="AF98" s="289">
        <v>16.705999374389648</v>
      </c>
      <c r="AG98" s="289">
        <v>1.093999981880188</v>
      </c>
      <c r="AH98" s="289">
        <v>-0.27500000596046448</v>
      </c>
      <c r="AI98" s="289">
        <v>2.4200000762939453</v>
      </c>
      <c r="AJ98" s="289">
        <v>9.4999998807907104E-2</v>
      </c>
      <c r="AK98" s="289">
        <v>-0.89999997615814209</v>
      </c>
      <c r="AL98" s="289">
        <v>-1.1000000238418579</v>
      </c>
      <c r="AM98" s="289">
        <v>4.8889999389648437</v>
      </c>
      <c r="AN98" s="289">
        <v>2.3919999599456787</v>
      </c>
      <c r="AO98" s="289">
        <v>0</v>
      </c>
      <c r="AP98" s="289">
        <v>6.234</v>
      </c>
      <c r="AQ98" s="289">
        <v>5.9909999999999997</v>
      </c>
      <c r="AR98" s="289">
        <v>5.423</v>
      </c>
      <c r="AS98" s="289">
        <v>7.5970000000000004</v>
      </c>
      <c r="AT98" s="289">
        <v>2.544</v>
      </c>
      <c r="AU98" s="289">
        <v>-1</v>
      </c>
      <c r="AV98" s="289">
        <v>7.0670000000000002</v>
      </c>
      <c r="AW98" s="289">
        <v>1.4</v>
      </c>
      <c r="AX98" s="289">
        <v>2.6</v>
      </c>
      <c r="AY98" s="289">
        <v>2.2000000000000002</v>
      </c>
      <c r="AZ98" s="289">
        <v>2.6</v>
      </c>
      <c r="BA98" s="289">
        <v>2.6</v>
      </c>
      <c r="BB98" s="289">
        <v>2.4</v>
      </c>
      <c r="BC98" s="289">
        <v>2.4</v>
      </c>
      <c r="BD98" s="289">
        <v>2.4</v>
      </c>
      <c r="BE98" s="289">
        <v>2.4</v>
      </c>
    </row>
    <row r="99" spans="1:57">
      <c r="A99" s="289" t="s">
        <v>1017</v>
      </c>
      <c r="F99" s="289" t="s">
        <v>2219</v>
      </c>
      <c r="G99" s="289" t="s">
        <v>2219</v>
      </c>
      <c r="H99" s="289" t="s">
        <v>2219</v>
      </c>
      <c r="I99" s="289" t="s">
        <v>2219</v>
      </c>
      <c r="J99" s="289" t="s">
        <v>2219</v>
      </c>
      <c r="K99" s="289" t="s">
        <v>2219</v>
      </c>
      <c r="L99" s="289" t="s">
        <v>2219</v>
      </c>
      <c r="M99" s="289" t="s">
        <v>2219</v>
      </c>
      <c r="N99" s="289" t="s">
        <v>2219</v>
      </c>
      <c r="O99" s="289" t="s">
        <v>2219</v>
      </c>
      <c r="P99" s="289" t="s">
        <v>2219</v>
      </c>
      <c r="Q99" s="289" t="s">
        <v>2219</v>
      </c>
      <c r="R99" s="289" t="s">
        <v>2219</v>
      </c>
      <c r="S99" s="289" t="s">
        <v>2219</v>
      </c>
      <c r="T99" s="289" t="s">
        <v>2219</v>
      </c>
      <c r="U99" s="289" t="s">
        <v>2219</v>
      </c>
      <c r="V99" s="289" t="s">
        <v>2219</v>
      </c>
      <c r="W99" s="289" t="s">
        <v>2219</v>
      </c>
      <c r="X99" s="289" t="s">
        <v>2219</v>
      </c>
      <c r="Y99" s="289" t="s">
        <v>2219</v>
      </c>
      <c r="Z99" s="289" t="s">
        <v>2219</v>
      </c>
      <c r="AA99" s="289" t="s">
        <v>2219</v>
      </c>
      <c r="AB99" s="289" t="s">
        <v>2219</v>
      </c>
      <c r="AC99" s="289" t="s">
        <v>2219</v>
      </c>
      <c r="AD99" s="289" t="s">
        <v>2219</v>
      </c>
      <c r="AE99" s="289" t="s">
        <v>2219</v>
      </c>
      <c r="AF99" s="289" t="s">
        <v>2219</v>
      </c>
      <c r="AG99" s="289" t="s">
        <v>2219</v>
      </c>
      <c r="AH99" s="289" t="s">
        <v>2219</v>
      </c>
      <c r="AI99" s="289" t="s">
        <v>2219</v>
      </c>
      <c r="AJ99" s="289" t="s">
        <v>2219</v>
      </c>
      <c r="AK99" s="289" t="s">
        <v>2219</v>
      </c>
      <c r="AL99" s="289" t="s">
        <v>2219</v>
      </c>
      <c r="AM99" s="289" t="s">
        <v>2219</v>
      </c>
      <c r="AN99" s="289" t="s">
        <v>2219</v>
      </c>
      <c r="AO99" s="289" t="s">
        <v>2219</v>
      </c>
      <c r="AP99" s="289" t="s">
        <v>2219</v>
      </c>
      <c r="AQ99" s="289" t="s">
        <v>2219</v>
      </c>
      <c r="AR99" s="289" t="s">
        <v>2219</v>
      </c>
      <c r="AS99" s="289" t="s">
        <v>2219</v>
      </c>
      <c r="AT99" s="289" t="s">
        <v>2219</v>
      </c>
      <c r="AU99" s="289" t="s">
        <v>2219</v>
      </c>
      <c r="AV99" s="289" t="s">
        <v>2219</v>
      </c>
      <c r="AW99" s="289" t="s">
        <v>2219</v>
      </c>
      <c r="AX99" s="289" t="s">
        <v>2219</v>
      </c>
      <c r="AY99" s="289" t="s">
        <v>2219</v>
      </c>
    </row>
    <row r="100" spans="1:57">
      <c r="A100" s="289" t="s">
        <v>333</v>
      </c>
      <c r="C100" s="289" t="s">
        <v>1018</v>
      </c>
      <c r="D100" s="289" t="s">
        <v>503</v>
      </c>
      <c r="F100" s="289">
        <v>1.885E-3</v>
      </c>
      <c r="G100" s="289">
        <v>1.885E-3</v>
      </c>
      <c r="H100" s="289">
        <v>1.885E-3</v>
      </c>
      <c r="I100" s="289">
        <v>1.885E-3</v>
      </c>
      <c r="J100" s="289">
        <v>1.885E-3</v>
      </c>
      <c r="K100" s="289">
        <v>1.885E-3</v>
      </c>
      <c r="L100" s="289">
        <v>1.885E-3</v>
      </c>
      <c r="M100" s="289">
        <v>1.885E-3</v>
      </c>
      <c r="N100" s="289">
        <v>1.885E-3</v>
      </c>
      <c r="O100" s="289">
        <v>1.885E-3</v>
      </c>
      <c r="P100" s="289">
        <v>1.885E-3</v>
      </c>
      <c r="Q100" s="289">
        <v>1.885E-3</v>
      </c>
      <c r="R100" s="289">
        <v>1.885E-3</v>
      </c>
      <c r="S100" s="289">
        <v>1.885E-3</v>
      </c>
      <c r="T100" s="289">
        <v>1.885E-3</v>
      </c>
      <c r="U100" s="289">
        <v>1.885E-3</v>
      </c>
      <c r="V100" s="289">
        <v>1.885E-3</v>
      </c>
      <c r="W100" s="289">
        <v>1.885E-3</v>
      </c>
      <c r="X100" s="289">
        <v>1.7849999999999999E-3</v>
      </c>
      <c r="Y100" s="289">
        <v>1.7849999999999999E-3</v>
      </c>
      <c r="Z100" s="289">
        <v>1.7849999999999999E-3</v>
      </c>
      <c r="AA100" s="289">
        <v>1.7849999999999999E-3</v>
      </c>
      <c r="AB100" s="289">
        <v>1.7849999999999999E-3</v>
      </c>
      <c r="AC100" s="289">
        <v>1.7849999999999999E-3</v>
      </c>
      <c r="AD100" s="289">
        <v>1.7849999999999999E-3</v>
      </c>
      <c r="AE100" s="289">
        <v>1.7849999999999999E-3</v>
      </c>
      <c r="AF100" s="289">
        <v>1.7849999999999999E-3</v>
      </c>
      <c r="AG100" s="289">
        <v>1.7849999999999999E-3</v>
      </c>
      <c r="AH100" s="289">
        <v>1.7849999999999999E-3</v>
      </c>
      <c r="AI100" s="289">
        <v>1.7849999999999999E-3</v>
      </c>
      <c r="AJ100" s="289">
        <v>1.7849999999999999E-3</v>
      </c>
      <c r="AK100" s="289">
        <v>1.7849999999999999E-3</v>
      </c>
      <c r="AL100" s="289">
        <v>1.7849999999999999E-3</v>
      </c>
      <c r="AM100" s="289">
        <v>1.7849999999999999E-3</v>
      </c>
      <c r="AN100" s="289">
        <v>1.7849999999999999E-3</v>
      </c>
      <c r="AO100" s="289">
        <v>1.7849999999999999E-3</v>
      </c>
      <c r="AP100" s="289">
        <v>1.7849999999999999E-3</v>
      </c>
      <c r="AQ100" s="289">
        <v>1.7849999999999999E-3</v>
      </c>
      <c r="AR100" s="289">
        <v>1.7849999999999999E-3</v>
      </c>
      <c r="AS100" s="289">
        <v>1.7849999999999999E-3</v>
      </c>
      <c r="AT100" s="289">
        <v>0.1346175</v>
      </c>
      <c r="AU100" s="289">
        <v>0.44139499999999998</v>
      </c>
      <c r="AV100" s="289">
        <v>0.40127499999999999</v>
      </c>
      <c r="AW100" s="289">
        <v>0.40100000000000002</v>
      </c>
      <c r="AX100" s="289">
        <v>0.40100000000000002</v>
      </c>
      <c r="AY100" s="289">
        <v>0.85990000000000011</v>
      </c>
      <c r="AZ100" s="289">
        <v>1.3263</v>
      </c>
      <c r="BA100" s="289">
        <v>2.1785000000000001</v>
      </c>
      <c r="BB100" s="289">
        <v>2.3467500000000001</v>
      </c>
      <c r="BC100" s="289">
        <v>2.60825</v>
      </c>
      <c r="BD100" s="289">
        <v>2.7675000000000001</v>
      </c>
      <c r="BE100" s="289">
        <v>2.7675000000000001</v>
      </c>
    </row>
    <row r="101" spans="1:57">
      <c r="A101" s="289" t="s">
        <v>1263</v>
      </c>
      <c r="C101" s="289" t="s">
        <v>1018</v>
      </c>
      <c r="D101" s="289" t="s">
        <v>503</v>
      </c>
      <c r="F101" s="289">
        <v>0</v>
      </c>
      <c r="G101" s="289">
        <v>0</v>
      </c>
      <c r="H101" s="289">
        <v>0</v>
      </c>
      <c r="I101" s="289">
        <v>0</v>
      </c>
      <c r="J101" s="289">
        <v>0</v>
      </c>
      <c r="K101" s="289">
        <v>0</v>
      </c>
      <c r="L101" s="289">
        <v>0</v>
      </c>
      <c r="M101" s="289">
        <v>0</v>
      </c>
      <c r="N101" s="289">
        <v>0</v>
      </c>
      <c r="O101" s="289">
        <v>0</v>
      </c>
      <c r="P101" s="289">
        <v>0</v>
      </c>
      <c r="Q101" s="289">
        <v>0</v>
      </c>
      <c r="R101" s="289">
        <v>0</v>
      </c>
      <c r="S101" s="289">
        <v>0</v>
      </c>
      <c r="T101" s="289">
        <v>0</v>
      </c>
      <c r="U101" s="289">
        <v>0</v>
      </c>
      <c r="V101" s="289">
        <v>0</v>
      </c>
      <c r="W101" s="289">
        <v>0</v>
      </c>
      <c r="X101" s="289">
        <v>0</v>
      </c>
      <c r="Y101" s="289">
        <v>0</v>
      </c>
      <c r="Z101" s="289">
        <v>0</v>
      </c>
      <c r="AA101" s="289">
        <v>0</v>
      </c>
      <c r="AB101" s="289">
        <v>0</v>
      </c>
      <c r="AC101" s="289">
        <v>0</v>
      </c>
      <c r="AD101" s="289">
        <v>0</v>
      </c>
      <c r="AE101" s="289">
        <v>0</v>
      </c>
      <c r="AF101" s="289">
        <v>0</v>
      </c>
      <c r="AG101" s="289">
        <v>0</v>
      </c>
      <c r="AH101" s="289">
        <v>0</v>
      </c>
      <c r="AI101" s="289">
        <v>0</v>
      </c>
      <c r="AJ101" s="289">
        <v>0</v>
      </c>
      <c r="AK101" s="289">
        <v>0</v>
      </c>
      <c r="AL101" s="289">
        <v>0</v>
      </c>
      <c r="AM101" s="289">
        <v>1.0150000000000001E-2</v>
      </c>
      <c r="AN101" s="289">
        <v>9.9000000000000008E-3</v>
      </c>
      <c r="AO101" s="289">
        <v>1.4839999999999999E-2</v>
      </c>
      <c r="AP101" s="289">
        <v>1.6840000000000001E-2</v>
      </c>
      <c r="AQ101" s="289">
        <v>1.7999999999999999E-2</v>
      </c>
      <c r="AR101" s="289">
        <v>2.4039999999999999E-2</v>
      </c>
      <c r="AS101" s="289">
        <v>6.225E-2</v>
      </c>
      <c r="AT101" s="289">
        <v>0.23516999999999999</v>
      </c>
      <c r="AU101" s="289">
        <v>0.49869999999999998</v>
      </c>
      <c r="AV101" s="289">
        <v>0.41494999999999999</v>
      </c>
      <c r="AW101" s="289">
        <v>0.43564999999999998</v>
      </c>
      <c r="AX101" s="289">
        <v>0.55545</v>
      </c>
      <c r="AY101" s="289">
        <v>1.25125</v>
      </c>
      <c r="AZ101" s="289">
        <v>1.9415</v>
      </c>
      <c r="BA101" s="289">
        <v>2.2449749999999997</v>
      </c>
      <c r="BB101" s="289">
        <v>2.6960000000000002</v>
      </c>
      <c r="BC101" s="289">
        <v>2.9765000000000001</v>
      </c>
      <c r="BD101" s="289">
        <v>2.75</v>
      </c>
      <c r="BE101" s="289">
        <v>2.75</v>
      </c>
    </row>
    <row r="102" spans="1:57">
      <c r="A102" s="289" t="s">
        <v>3410</v>
      </c>
      <c r="C102" s="289" t="s">
        <v>2462</v>
      </c>
      <c r="D102" s="289" t="s">
        <v>503</v>
      </c>
      <c r="E102" s="289" t="s">
        <v>2601</v>
      </c>
      <c r="F102" s="289">
        <v>0.9</v>
      </c>
      <c r="G102" s="289">
        <v>1.7</v>
      </c>
      <c r="H102" s="289">
        <v>2.6600000858306885</v>
      </c>
      <c r="I102" s="289">
        <v>3.2599999904632568</v>
      </c>
      <c r="J102" s="289">
        <v>1.8400000333786011</v>
      </c>
      <c r="K102" s="289">
        <v>3.4200000762939453</v>
      </c>
      <c r="L102" s="289">
        <v>2.940000057220459</v>
      </c>
      <c r="M102" s="289">
        <v>2.380000114440918</v>
      </c>
      <c r="N102" s="289">
        <v>2.7799999713897705</v>
      </c>
      <c r="O102" s="289">
        <v>3.1600000858306885</v>
      </c>
      <c r="P102" s="289">
        <v>3.5499999523162842</v>
      </c>
      <c r="Q102" s="289">
        <v>3.9500000476837158</v>
      </c>
      <c r="R102" s="289">
        <v>4.880000114440918</v>
      </c>
      <c r="S102" s="289">
        <v>4.3299999237060547</v>
      </c>
      <c r="T102" s="289">
        <v>5.3499999046325684</v>
      </c>
      <c r="U102" s="289">
        <v>6.690000057220459</v>
      </c>
      <c r="V102" s="289">
        <v>6.440000057220459</v>
      </c>
      <c r="W102" s="289">
        <v>4.3400001525878906</v>
      </c>
      <c r="X102" s="289">
        <v>4.070000171661377</v>
      </c>
      <c r="Y102" s="289">
        <v>7.0300002098083496</v>
      </c>
      <c r="Z102" s="289">
        <v>7.869999885559082</v>
      </c>
      <c r="AA102" s="289">
        <v>5.820000171661377</v>
      </c>
      <c r="AB102" s="289">
        <v>4.9899997711181641</v>
      </c>
      <c r="AC102" s="289">
        <v>5.2699999809265137</v>
      </c>
      <c r="AD102" s="289">
        <v>7.2199997901916504</v>
      </c>
      <c r="AE102" s="289">
        <v>10.039999961853027</v>
      </c>
      <c r="AF102" s="289">
        <v>11.619999885559082</v>
      </c>
      <c r="AG102" s="289">
        <v>11.619999885559082</v>
      </c>
      <c r="AH102" s="289">
        <v>10.720000267028809</v>
      </c>
      <c r="AI102" s="289">
        <v>8.619999885559082</v>
      </c>
      <c r="AJ102" s="289">
        <v>9.5699996948242187</v>
      </c>
      <c r="AK102" s="289">
        <v>7.4899997711181641</v>
      </c>
      <c r="AL102" s="289">
        <v>5.9699997901916504</v>
      </c>
      <c r="AM102" s="289">
        <v>5.8299999237060547</v>
      </c>
      <c r="AN102" s="289">
        <v>6.6999998092651367</v>
      </c>
      <c r="AO102" s="289">
        <v>8.1000003814697266</v>
      </c>
      <c r="AP102" s="289">
        <v>7.5</v>
      </c>
      <c r="AQ102" s="289">
        <v>7.9</v>
      </c>
      <c r="AR102" s="289">
        <v>7</v>
      </c>
      <c r="AS102" s="289">
        <v>5.9</v>
      </c>
      <c r="AT102" s="289">
        <v>7.1</v>
      </c>
      <c r="AU102" s="289">
        <v>6.6</v>
      </c>
      <c r="AV102" s="289">
        <v>6.4</v>
      </c>
      <c r="AW102" s="289">
        <v>6.4</v>
      </c>
      <c r="AX102" s="289">
        <v>5.3</v>
      </c>
      <c r="AY102" s="289">
        <v>5.6</v>
      </c>
      <c r="AZ102" s="289">
        <v>6</v>
      </c>
      <c r="BA102" s="289">
        <v>5</v>
      </c>
      <c r="BB102" s="289">
        <v>4.5999999999999996</v>
      </c>
      <c r="BC102" s="289">
        <v>4</v>
      </c>
      <c r="BD102" s="289">
        <v>4.3</v>
      </c>
      <c r="BE102" s="289">
        <v>4.5</v>
      </c>
    </row>
    <row r="103" spans="1:57">
      <c r="A103" s="289" t="s">
        <v>1730</v>
      </c>
      <c r="C103" s="289" t="s">
        <v>2462</v>
      </c>
      <c r="D103" s="289" t="s">
        <v>503</v>
      </c>
      <c r="E103" s="289" t="s">
        <v>4096</v>
      </c>
      <c r="F103" s="289">
        <v>4</v>
      </c>
      <c r="G103" s="289">
        <v>4</v>
      </c>
      <c r="H103" s="289">
        <v>5</v>
      </c>
      <c r="I103" s="289">
        <v>6</v>
      </c>
      <c r="J103" s="289">
        <v>7</v>
      </c>
      <c r="K103" s="289">
        <v>7</v>
      </c>
      <c r="L103" s="289">
        <v>7</v>
      </c>
      <c r="M103" s="289">
        <v>7</v>
      </c>
      <c r="N103" s="289">
        <v>8</v>
      </c>
      <c r="O103" s="289">
        <v>8</v>
      </c>
      <c r="P103" s="289">
        <v>8</v>
      </c>
      <c r="Q103" s="289">
        <v>8</v>
      </c>
      <c r="R103" s="289">
        <v>8</v>
      </c>
      <c r="S103" s="289">
        <v>8</v>
      </c>
      <c r="T103" s="289">
        <v>8</v>
      </c>
      <c r="U103" s="289">
        <v>8</v>
      </c>
      <c r="V103" s="289">
        <v>8</v>
      </c>
      <c r="W103" s="289">
        <v>8</v>
      </c>
      <c r="X103" s="289">
        <v>8</v>
      </c>
      <c r="Y103" s="289">
        <v>8.5</v>
      </c>
      <c r="Z103" s="289">
        <v>9</v>
      </c>
      <c r="AA103" s="289">
        <v>9</v>
      </c>
      <c r="AB103" s="289">
        <v>9</v>
      </c>
      <c r="AC103" s="289">
        <v>9</v>
      </c>
      <c r="AD103" s="289">
        <v>9.1999998092651367</v>
      </c>
      <c r="AE103" s="289">
        <v>9.3999996185302734</v>
      </c>
      <c r="AF103" s="289">
        <v>9.3000001907348633</v>
      </c>
      <c r="AG103" s="289">
        <v>9.3999996185302734</v>
      </c>
      <c r="AH103" s="289">
        <v>9.6000003814697266</v>
      </c>
      <c r="AI103" s="289">
        <v>9.3999996185302734</v>
      </c>
      <c r="AJ103" s="289">
        <v>9.3999996185302734</v>
      </c>
      <c r="AK103" s="289">
        <v>9.3000001907348633</v>
      </c>
      <c r="AL103" s="289">
        <v>9.3000001907348633</v>
      </c>
      <c r="AM103" s="289">
        <v>9.5</v>
      </c>
      <c r="AN103" s="289">
        <v>8.551666259765625</v>
      </c>
      <c r="AO103" s="289">
        <v>8.7614336013793945</v>
      </c>
      <c r="AP103" s="289">
        <v>8.8000001907348633</v>
      </c>
      <c r="AQ103" s="289">
        <v>9.1999998092651367</v>
      </c>
      <c r="AR103" s="289">
        <v>9</v>
      </c>
      <c r="AS103" s="289">
        <v>9.6999999999999993</v>
      </c>
      <c r="AT103" s="289">
        <v>32.200000000000003</v>
      </c>
      <c r="AU103" s="289">
        <v>39.6</v>
      </c>
      <c r="AV103" s="289">
        <v>34.9</v>
      </c>
      <c r="AW103" s="289">
        <v>28.824999999999999</v>
      </c>
      <c r="AX103" s="289">
        <v>21.5425</v>
      </c>
      <c r="AY103" s="289">
        <v>22.4</v>
      </c>
      <c r="AZ103" s="289">
        <v>22.3125</v>
      </c>
      <c r="BA103" s="289">
        <v>21.297499999999999</v>
      </c>
      <c r="BB103" s="289">
        <v>19.71</v>
      </c>
      <c r="BC103" s="289">
        <v>19.6525</v>
      </c>
      <c r="BD103" s="289">
        <v>19.6525</v>
      </c>
      <c r="BE103" s="289">
        <v>19.6525</v>
      </c>
    </row>
    <row r="104" spans="1:57">
      <c r="A104" s="289" t="s">
        <v>1019</v>
      </c>
      <c r="C104" s="289" t="s">
        <v>2046</v>
      </c>
      <c r="D104" s="289" t="s">
        <v>503</v>
      </c>
      <c r="E104" s="289" t="s">
        <v>2219</v>
      </c>
      <c r="F104" s="289">
        <v>0</v>
      </c>
      <c r="G104" s="289">
        <v>0</v>
      </c>
      <c r="H104" s="289">
        <v>0</v>
      </c>
      <c r="I104" s="289">
        <v>0</v>
      </c>
      <c r="J104" s="289">
        <v>0</v>
      </c>
      <c r="K104" s="289">
        <v>0</v>
      </c>
      <c r="L104" s="289">
        <v>0</v>
      </c>
      <c r="M104" s="289">
        <v>0</v>
      </c>
      <c r="N104" s="289">
        <v>0</v>
      </c>
      <c r="O104" s="289">
        <v>0</v>
      </c>
      <c r="P104" s="289">
        <v>0</v>
      </c>
      <c r="Q104" s="289">
        <v>0</v>
      </c>
      <c r="R104" s="289">
        <v>0</v>
      </c>
      <c r="S104" s="289">
        <v>0</v>
      </c>
      <c r="T104" s="289">
        <v>0</v>
      </c>
      <c r="U104" s="289">
        <v>0</v>
      </c>
      <c r="V104" s="289">
        <v>0</v>
      </c>
      <c r="W104" s="289">
        <v>0</v>
      </c>
      <c r="X104" s="289">
        <v>0</v>
      </c>
      <c r="Y104" s="289">
        <v>0</v>
      </c>
      <c r="Z104" s="289">
        <v>0</v>
      </c>
      <c r="AA104" s="289">
        <v>0</v>
      </c>
      <c r="AB104" s="289">
        <v>0</v>
      </c>
      <c r="AC104" s="289">
        <v>0</v>
      </c>
      <c r="AD104" s="289">
        <v>0</v>
      </c>
      <c r="AE104" s="289">
        <v>0</v>
      </c>
      <c r="AF104" s="289">
        <v>0</v>
      </c>
      <c r="AG104" s="289">
        <v>0</v>
      </c>
      <c r="AH104" s="289">
        <v>0</v>
      </c>
      <c r="AI104" s="289">
        <v>0</v>
      </c>
      <c r="AJ104" s="289">
        <v>0</v>
      </c>
      <c r="AK104" s="289">
        <v>0</v>
      </c>
      <c r="AL104" s="289">
        <v>0</v>
      </c>
      <c r="AM104" s="289">
        <v>0</v>
      </c>
      <c r="AN104" s="289">
        <v>0</v>
      </c>
      <c r="AO104" s="289">
        <v>0</v>
      </c>
      <c r="AP104" s="289">
        <v>1.9550000000000001</v>
      </c>
      <c r="AQ104" s="289">
        <v>3.2290000000000001</v>
      </c>
      <c r="AR104" s="289">
        <v>4.7640000000000002</v>
      </c>
      <c r="AS104" s="289">
        <v>8.2289999999999992</v>
      </c>
      <c r="AT104" s="289">
        <v>27.521999999999998</v>
      </c>
      <c r="AU104" s="289">
        <v>59.367627499999998</v>
      </c>
      <c r="AV104" s="289">
        <v>53.329447500000001</v>
      </c>
      <c r="AW104" s="289">
        <v>24.982299999999999</v>
      </c>
      <c r="AX104" s="289">
        <v>0</v>
      </c>
      <c r="AY104" s="289">
        <v>0</v>
      </c>
      <c r="AZ104" s="289">
        <v>0</v>
      </c>
      <c r="BA104" s="289">
        <v>0</v>
      </c>
      <c r="BB104" s="289">
        <v>0</v>
      </c>
      <c r="BC104" s="289">
        <v>0</v>
      </c>
      <c r="BD104" s="289">
        <v>0</v>
      </c>
      <c r="BE104" s="289">
        <v>0</v>
      </c>
    </row>
    <row r="105" spans="1:57">
      <c r="A105" s="289" t="s">
        <v>2015</v>
      </c>
    </row>
    <row r="106" spans="1:57">
      <c r="A106" s="289" t="s">
        <v>2016</v>
      </c>
      <c r="C106" s="289" t="s">
        <v>2046</v>
      </c>
      <c r="AQ106" s="289">
        <v>0.78468295227504514</v>
      </c>
      <c r="AR106" s="289">
        <v>0.72866888767507876</v>
      </c>
      <c r="AS106" s="289">
        <v>0.64282752331309612</v>
      </c>
      <c r="AT106" s="289">
        <v>2.0568148891642002</v>
      </c>
      <c r="AU106" s="289">
        <v>66.940133039785948</v>
      </c>
      <c r="AV106" s="289">
        <v>210.11857593433183</v>
      </c>
      <c r="AW106" s="289">
        <v>195.3240904564386</v>
      </c>
      <c r="AX106" s="289">
        <v>200.68901541258609</v>
      </c>
      <c r="AY106" s="289">
        <v>211.28208308600856</v>
      </c>
      <c r="AZ106" s="289">
        <v>393.20070531729857</v>
      </c>
      <c r="BA106" s="289">
        <v>618.60847138723875</v>
      </c>
      <c r="BB106" s="289">
        <v>1046.1370865730883</v>
      </c>
      <c r="BC106" s="289">
        <v>1207.3901375282601</v>
      </c>
      <c r="BD106" s="289">
        <v>1859.3038642371616</v>
      </c>
      <c r="BE106" s="289">
        <v>2362.0634107853452</v>
      </c>
    </row>
    <row r="107" spans="1:57">
      <c r="A107" s="289" t="s">
        <v>2017</v>
      </c>
      <c r="C107" s="289" t="s">
        <v>2046</v>
      </c>
      <c r="E107" s="289" t="s">
        <v>4359</v>
      </c>
      <c r="F107" s="289">
        <v>5.3600000000000002E-2</v>
      </c>
      <c r="G107" s="289">
        <v>4.8899999999999999E-2</v>
      </c>
      <c r="H107" s="289">
        <v>5.6778358459472655E-2</v>
      </c>
      <c r="I107" s="289">
        <v>6.3629821777343748E-2</v>
      </c>
      <c r="J107" s="289">
        <v>5.9105331420898438E-2</v>
      </c>
      <c r="K107" s="289">
        <v>7.3186058044433594E-2</v>
      </c>
      <c r="L107" s="289">
        <v>7.9779846191406253E-2</v>
      </c>
      <c r="M107" s="289">
        <v>7.7931343078613283E-2</v>
      </c>
      <c r="N107" s="289">
        <v>8.1039573669433596E-2</v>
      </c>
      <c r="O107" s="289">
        <v>8.7579048156738282E-2</v>
      </c>
      <c r="P107" s="289">
        <v>9.1805053710937501E-2</v>
      </c>
      <c r="Q107" s="289">
        <v>0.113345703125</v>
      </c>
      <c r="R107" s="289">
        <v>0.17635470581054688</v>
      </c>
      <c r="S107" s="289">
        <v>0.20586509704589845</v>
      </c>
      <c r="T107" s="289">
        <v>0.22964639282226562</v>
      </c>
      <c r="U107" s="289">
        <v>0.25896191406250002</v>
      </c>
      <c r="V107" s="289">
        <v>0.26666729736328126</v>
      </c>
      <c r="W107" s="289">
        <v>0.30868090820312499</v>
      </c>
      <c r="X107" s="289">
        <v>0.32530419921874998</v>
      </c>
      <c r="Y107" s="289">
        <v>0.341393310546875</v>
      </c>
      <c r="Z107" s="289">
        <v>0.47309979248046874</v>
      </c>
      <c r="AA107" s="289">
        <v>0.4662499084472656</v>
      </c>
      <c r="AB107" s="289">
        <v>0.53354431152343751</v>
      </c>
      <c r="AC107" s="289">
        <v>0.61745019531250001</v>
      </c>
      <c r="AD107" s="289">
        <v>0.69743988037109372</v>
      </c>
      <c r="AE107" s="289">
        <v>0.78891967773437499</v>
      </c>
      <c r="AF107" s="289">
        <v>0.93680621337890624</v>
      </c>
      <c r="AG107" s="289">
        <v>0.87070501708984371</v>
      </c>
      <c r="AH107" s="289">
        <v>0.79048852539062497</v>
      </c>
      <c r="AI107" s="289">
        <v>0.65241802978515628</v>
      </c>
      <c r="AJ107" s="289">
        <v>0.65884271240234371</v>
      </c>
      <c r="AK107" s="289">
        <v>0.58781738281249996</v>
      </c>
      <c r="AL107" s="289">
        <v>0.59243737792968754</v>
      </c>
      <c r="AM107" s="289">
        <v>0.54100000000000004</v>
      </c>
      <c r="AN107" s="289">
        <v>0.71699999999999997</v>
      </c>
      <c r="AO107" s="289">
        <v>0.96099999999999997</v>
      </c>
      <c r="AP107" s="289">
        <v>0.83700000000000008</v>
      </c>
      <c r="AQ107" s="289">
        <v>0.63839999999999997</v>
      </c>
      <c r="AR107" s="289">
        <v>0.68730000000000013</v>
      </c>
      <c r="AS107" s="289">
        <v>2.1105</v>
      </c>
      <c r="AT107" s="289">
        <v>59.629899999999999</v>
      </c>
      <c r="AU107" s="289">
        <v>201.9829709</v>
      </c>
      <c r="AV107" s="289">
        <v>190.10540625740001</v>
      </c>
      <c r="AW107" s="289">
        <v>196.62097289659999</v>
      </c>
      <c r="AX107" s="289">
        <v>208.56723780682603</v>
      </c>
      <c r="AY107" s="289">
        <v>403.78247322718573</v>
      </c>
      <c r="AZ107" s="289">
        <v>603.98904621723648</v>
      </c>
      <c r="BA107" s="289">
        <v>904.77462000009996</v>
      </c>
      <c r="BB107" s="289">
        <v>1073.1687750000999</v>
      </c>
      <c r="BC107" s="289">
        <v>1485.3921086794753</v>
      </c>
      <c r="BD107" s="289">
        <v>2239.0199257915992</v>
      </c>
      <c r="BE107" s="289">
        <v>2429.1040298274529</v>
      </c>
    </row>
    <row r="108" spans="1:57">
      <c r="A108" s="289" t="s">
        <v>4545</v>
      </c>
      <c r="C108" s="289" t="s">
        <v>2046</v>
      </c>
      <c r="E108" s="289" t="s">
        <v>4360</v>
      </c>
      <c r="F108" s="289">
        <v>8.8999999999999999E-3</v>
      </c>
      <c r="G108" s="289">
        <v>9.5999999999999992E-3</v>
      </c>
      <c r="H108" s="289">
        <v>1.3255629539489746E-2</v>
      </c>
      <c r="I108" s="289">
        <v>1.387522029876709E-2</v>
      </c>
      <c r="J108" s="289">
        <v>1.4054699897766114E-2</v>
      </c>
      <c r="K108" s="289">
        <v>1.126278018951416E-2</v>
      </c>
      <c r="L108" s="289">
        <v>1.9390970230102538E-2</v>
      </c>
      <c r="M108" s="289">
        <v>2.444445037841797E-2</v>
      </c>
      <c r="N108" s="289">
        <v>3.3010528564453127E-2</v>
      </c>
      <c r="O108" s="289">
        <v>4.3689720153808592E-2</v>
      </c>
      <c r="P108" s="289">
        <v>9.935812377929687E-2</v>
      </c>
      <c r="Q108" s="289">
        <v>9.5074951171875005E-2</v>
      </c>
      <c r="R108" s="289">
        <v>4.6474178314208983E-2</v>
      </c>
      <c r="S108" s="289">
        <v>4.9172359466552733E-2</v>
      </c>
      <c r="T108" s="289">
        <v>4.4927589416503905E-2</v>
      </c>
      <c r="U108" s="289">
        <v>3.2774318695068361E-2</v>
      </c>
      <c r="V108" s="289">
        <v>4.6332359313964844E-2</v>
      </c>
      <c r="W108" s="289">
        <v>4.1842300415039065E-2</v>
      </c>
      <c r="X108" s="289">
        <v>3.9868370056152347E-2</v>
      </c>
      <c r="Y108" s="289">
        <v>6.6984413146972663E-2</v>
      </c>
      <c r="Z108" s="289">
        <v>5.8245449066162108E-2</v>
      </c>
      <c r="AA108" s="289">
        <v>6.7654846191406257E-2</v>
      </c>
      <c r="AB108" s="289">
        <v>6.5942253112792976E-2</v>
      </c>
      <c r="AC108" s="289">
        <v>8.6200843811035155E-2</v>
      </c>
      <c r="AD108" s="289">
        <v>0.13015190124511719</v>
      </c>
      <c r="AE108" s="289">
        <v>0.12555909729003906</v>
      </c>
      <c r="AF108" s="289">
        <v>0.14775999450683594</v>
      </c>
      <c r="AG108" s="289">
        <v>9.8431991577148437E-2</v>
      </c>
      <c r="AH108" s="289">
        <v>0.12597019958496095</v>
      </c>
      <c r="AI108" s="289">
        <v>8.1103126525878907E-2</v>
      </c>
      <c r="AJ108" s="289">
        <v>8.4688919067382809E-2</v>
      </c>
      <c r="AK108" s="289">
        <v>5.7039211273193356E-2</v>
      </c>
      <c r="AL108" s="289">
        <v>3.7095169067382812E-2</v>
      </c>
      <c r="AM108" s="289">
        <v>1.371047019958496E-2</v>
      </c>
      <c r="AN108" s="289">
        <v>5.1514320373535157E-2</v>
      </c>
      <c r="AO108" s="289">
        <v>0.14262535095214843</v>
      </c>
      <c r="AP108" s="289">
        <v>0.183</v>
      </c>
      <c r="AQ108" s="289">
        <v>9.7000000000000003E-2</v>
      </c>
      <c r="AR108" s="289">
        <v>0.10299999999999999</v>
      </c>
      <c r="AS108" s="289">
        <v>0.56799999999999995</v>
      </c>
      <c r="AT108" s="289">
        <v>9.9559999999999995</v>
      </c>
      <c r="AU108" s="289">
        <v>38.023000000000003</v>
      </c>
      <c r="AV108" s="289">
        <v>39.830543096890629</v>
      </c>
      <c r="AW108" s="289">
        <v>45.817346145371019</v>
      </c>
      <c r="AX108" s="289">
        <v>58.866337370365912</v>
      </c>
      <c r="AY108" s="289">
        <v>124.71094642122539</v>
      </c>
      <c r="AZ108" s="289">
        <v>184.85772917910558</v>
      </c>
      <c r="BA108" s="289">
        <v>255.3282205363879</v>
      </c>
      <c r="BB108" s="289">
        <v>247.63711599353744</v>
      </c>
      <c r="BC108" s="289">
        <v>271.42925488351364</v>
      </c>
      <c r="BD108" s="289">
        <v>315.37410175146215</v>
      </c>
      <c r="BE108" s="289">
        <v>333.45578273720366</v>
      </c>
    </row>
    <row r="109" spans="1:57">
      <c r="A109" s="289" t="s">
        <v>4546</v>
      </c>
      <c r="C109" s="289" t="s">
        <v>2046</v>
      </c>
      <c r="E109" s="289" t="s">
        <v>2075</v>
      </c>
      <c r="F109" s="289">
        <v>3.0000000000000001E-3</v>
      </c>
      <c r="G109" s="289">
        <v>2.8E-3</v>
      </c>
      <c r="H109" s="289">
        <v>3.0999999046325685E-3</v>
      </c>
      <c r="I109" s="289">
        <v>3.0999999046325685E-3</v>
      </c>
      <c r="J109" s="289">
        <v>2.5999999046325685E-3</v>
      </c>
      <c r="K109" s="289">
        <v>3.0999999046325685E-3</v>
      </c>
      <c r="L109" s="289">
        <v>3.2000000476837156E-3</v>
      </c>
      <c r="M109" s="289">
        <v>2.9000000953674316E-3</v>
      </c>
      <c r="N109" s="289">
        <v>2.7999999523162841E-3</v>
      </c>
      <c r="O109" s="289">
        <v>2.9000000953674316E-3</v>
      </c>
      <c r="P109" s="289">
        <v>3.2000000476837156E-3</v>
      </c>
      <c r="Q109" s="289">
        <v>3.4000000953674316E-3</v>
      </c>
      <c r="R109" s="289">
        <v>3.9000000953674317E-3</v>
      </c>
      <c r="S109" s="289">
        <v>3.7999999523162841E-3</v>
      </c>
      <c r="T109" s="289">
        <v>3.7000000476837156E-3</v>
      </c>
      <c r="U109" s="289">
        <v>3.7000000476837156E-3</v>
      </c>
      <c r="V109" s="289">
        <v>3.7999999523162841E-3</v>
      </c>
      <c r="W109" s="289">
        <v>4.0000000000000001E-3</v>
      </c>
      <c r="X109" s="289">
        <v>4.0999999046325685E-3</v>
      </c>
      <c r="Y109" s="289">
        <v>4.3000001907348637E-3</v>
      </c>
      <c r="Z109" s="289">
        <v>4.3000001907348637E-3</v>
      </c>
      <c r="AA109" s="289">
        <v>3.0999999046325685E-3</v>
      </c>
      <c r="AB109" s="289">
        <v>2.5999999046325685E-3</v>
      </c>
      <c r="AC109" s="289">
        <v>2.9000000953674316E-3</v>
      </c>
      <c r="AD109" s="289">
        <v>3.0999999046325685E-3</v>
      </c>
      <c r="AE109" s="289">
        <v>2.7000000476837156E-3</v>
      </c>
      <c r="AF109" s="289">
        <v>2.7999999523162841E-3</v>
      </c>
      <c r="AG109" s="289">
        <v>2.299999952316284E-3</v>
      </c>
      <c r="AH109" s="289">
        <v>2.0999999046325685E-3</v>
      </c>
      <c r="AI109" s="289">
        <v>2.0999999046325685E-3</v>
      </c>
      <c r="AJ109" s="289">
        <v>2.5999999046325685E-3</v>
      </c>
      <c r="AK109" s="289">
        <v>2.9000000953674316E-3</v>
      </c>
      <c r="AL109" s="289">
        <v>3.0000000000000001E-3</v>
      </c>
      <c r="AM109" s="289">
        <v>2E-3</v>
      </c>
      <c r="AN109" s="289">
        <v>1.7999999523162843E-3</v>
      </c>
      <c r="AO109" s="289">
        <v>1.5E-3</v>
      </c>
      <c r="AP109" s="289">
        <v>1.6799999999999999E-3</v>
      </c>
      <c r="AQ109" s="289">
        <v>1.83E-3</v>
      </c>
      <c r="AR109" s="289">
        <v>1.6000000000000001E-3</v>
      </c>
      <c r="AS109" s="289">
        <v>4.4599999999999996E-3</v>
      </c>
      <c r="AT109" s="289">
        <v>2.8289999999999999E-2</v>
      </c>
      <c r="AU109" s="289">
        <v>0.5</v>
      </c>
      <c r="AV109" s="289">
        <v>0</v>
      </c>
      <c r="AW109" s="289">
        <v>0</v>
      </c>
      <c r="AX109" s="289">
        <v>0</v>
      </c>
      <c r="AY109" s="289">
        <v>0</v>
      </c>
      <c r="AZ109" s="289">
        <v>0</v>
      </c>
      <c r="BA109" s="289">
        <v>0</v>
      </c>
      <c r="BB109" s="289">
        <v>0</v>
      </c>
      <c r="BC109" s="289">
        <v>0</v>
      </c>
      <c r="BD109" s="289">
        <v>0</v>
      </c>
      <c r="BE109" s="289">
        <v>0</v>
      </c>
    </row>
    <row r="110" spans="1:57">
      <c r="A110" s="289" t="s">
        <v>3010</v>
      </c>
      <c r="C110" s="289" t="s">
        <v>2046</v>
      </c>
      <c r="D110" s="289" t="s">
        <v>892</v>
      </c>
      <c r="E110" s="289" t="s">
        <v>3011</v>
      </c>
      <c r="F110" s="289">
        <v>0</v>
      </c>
      <c r="G110" s="289">
        <v>0</v>
      </c>
      <c r="H110" s="289">
        <v>0</v>
      </c>
      <c r="I110" s="289">
        <v>0</v>
      </c>
      <c r="J110" s="289">
        <v>0</v>
      </c>
      <c r="K110" s="289">
        <v>0</v>
      </c>
      <c r="L110" s="289">
        <v>0</v>
      </c>
      <c r="M110" s="289">
        <v>0</v>
      </c>
      <c r="N110" s="289">
        <v>0</v>
      </c>
      <c r="O110" s="289">
        <v>0</v>
      </c>
      <c r="P110" s="289">
        <v>0</v>
      </c>
      <c r="Q110" s="289">
        <v>6.1999999999999998E-3</v>
      </c>
      <c r="R110" s="289">
        <v>3.6799999999999999E-2</v>
      </c>
      <c r="S110" s="289">
        <v>7.1900000000000006E-2</v>
      </c>
      <c r="T110" s="289">
        <v>7.6499999999999999E-2</v>
      </c>
      <c r="U110" s="289">
        <v>9.4099999999999989E-2</v>
      </c>
      <c r="V110" s="289">
        <v>0.10629999999999999</v>
      </c>
      <c r="W110" s="289">
        <v>0.13830000000000001</v>
      </c>
      <c r="X110" s="289">
        <v>0.14780000000000001</v>
      </c>
      <c r="Y110" s="289">
        <v>0.14360000000000001</v>
      </c>
      <c r="Z110" s="289">
        <v>0.1794</v>
      </c>
      <c r="AA110" s="289">
        <v>0.22600000000000001</v>
      </c>
      <c r="AB110" s="289">
        <v>0.24990000000000001</v>
      </c>
      <c r="AC110" s="289">
        <v>0.27129999999999999</v>
      </c>
      <c r="AD110" s="289">
        <v>0.31410000000000005</v>
      </c>
      <c r="AE110" s="289">
        <v>0.3584</v>
      </c>
      <c r="AF110" s="289">
        <v>0.49880000000000002</v>
      </c>
      <c r="AG110" s="289">
        <v>0.47240024999999991</v>
      </c>
      <c r="AH110" s="289">
        <v>0.41440559999999999</v>
      </c>
      <c r="AI110" s="289">
        <v>0.38730000000000003</v>
      </c>
      <c r="AJ110" s="289">
        <v>0.35470000000000002</v>
      </c>
      <c r="AK110" s="289">
        <v>0.30989999999999995</v>
      </c>
      <c r="AL110" s="289">
        <v>0.314</v>
      </c>
      <c r="AM110" s="289">
        <v>0.34470000000000001</v>
      </c>
      <c r="AN110" s="289">
        <v>0.5171</v>
      </c>
      <c r="AO110" s="289">
        <v>0.78049999999999997</v>
      </c>
      <c r="AP110" s="289">
        <v>0.62409999999999999</v>
      </c>
      <c r="AQ110" s="289">
        <v>0.45239999999999997</v>
      </c>
      <c r="AR110" s="289">
        <v>0.43219999999999997</v>
      </c>
      <c r="AS110" s="289">
        <v>1.7018</v>
      </c>
      <c r="AT110" s="289">
        <v>42.370100000000001</v>
      </c>
      <c r="AU110" s="289">
        <v>136.83244999999999</v>
      </c>
      <c r="AV110" s="289">
        <v>121.92833664</v>
      </c>
      <c r="AW110" s="289">
        <v>128.44985940000001</v>
      </c>
      <c r="AX110" s="289">
        <v>146.06743200000003</v>
      </c>
      <c r="AY110" s="289">
        <v>290.97023200000012</v>
      </c>
      <c r="AZ110" s="289">
        <v>453.46196999999995</v>
      </c>
      <c r="BA110" s="289">
        <v>719.55855000000008</v>
      </c>
      <c r="BB110" s="289">
        <v>680.32282499999997</v>
      </c>
      <c r="BC110" s="289">
        <v>875.85034999999993</v>
      </c>
      <c r="BD110" s="289">
        <v>1143.8077499999999</v>
      </c>
      <c r="BE110" s="289">
        <v>1279.9349933333331</v>
      </c>
    </row>
    <row r="111" spans="1:57">
      <c r="A111" s="289" t="s">
        <v>3486</v>
      </c>
      <c r="C111" s="289" t="s">
        <v>3487</v>
      </c>
      <c r="D111" s="289" t="s">
        <v>892</v>
      </c>
      <c r="E111" s="289" t="s">
        <v>92</v>
      </c>
      <c r="F111" s="289">
        <v>0</v>
      </c>
      <c r="G111" s="289">
        <v>0</v>
      </c>
      <c r="H111" s="289">
        <v>0</v>
      </c>
      <c r="I111" s="289">
        <v>0</v>
      </c>
      <c r="J111" s="289">
        <v>0</v>
      </c>
      <c r="K111" s="289">
        <v>0</v>
      </c>
      <c r="L111" s="289">
        <v>0</v>
      </c>
      <c r="M111" s="289">
        <v>0</v>
      </c>
      <c r="N111" s="289">
        <v>0</v>
      </c>
      <c r="O111" s="289">
        <v>0</v>
      </c>
      <c r="P111" s="289">
        <v>0</v>
      </c>
      <c r="Q111" s="289">
        <v>59</v>
      </c>
      <c r="R111" s="289">
        <v>347</v>
      </c>
      <c r="S111" s="289">
        <v>684</v>
      </c>
      <c r="T111" s="289">
        <v>702</v>
      </c>
      <c r="U111" s="289">
        <v>856</v>
      </c>
      <c r="V111" s="289">
        <v>893</v>
      </c>
      <c r="W111" s="289">
        <v>1149</v>
      </c>
      <c r="X111" s="289">
        <v>1279</v>
      </c>
      <c r="Y111" s="289">
        <v>1209</v>
      </c>
      <c r="Z111" s="289">
        <v>1077</v>
      </c>
      <c r="AA111" s="289">
        <v>1087</v>
      </c>
      <c r="AB111" s="289">
        <v>1071</v>
      </c>
      <c r="AC111" s="289">
        <v>1059</v>
      </c>
      <c r="AD111" s="289">
        <v>1125</v>
      </c>
      <c r="AE111" s="289">
        <v>1185</v>
      </c>
      <c r="AF111" s="289">
        <v>1329</v>
      </c>
      <c r="AG111" s="289">
        <v>1165</v>
      </c>
      <c r="AH111" s="289">
        <v>1055</v>
      </c>
      <c r="AI111" s="289">
        <v>1143</v>
      </c>
      <c r="AJ111" s="289">
        <v>1097</v>
      </c>
      <c r="AK111" s="289">
        <v>1265</v>
      </c>
      <c r="AL111" s="289">
        <v>1343</v>
      </c>
      <c r="AM111" s="289">
        <v>1342.1</v>
      </c>
      <c r="AN111" s="289">
        <v>1630</v>
      </c>
      <c r="AO111" s="289">
        <v>1553</v>
      </c>
      <c r="AP111" s="289">
        <v>1448.2</v>
      </c>
      <c r="AQ111" s="289">
        <v>1393.4</v>
      </c>
      <c r="AR111" s="289">
        <v>1513.6</v>
      </c>
      <c r="AS111" s="289">
        <v>1426.1</v>
      </c>
      <c r="AT111" s="289">
        <v>1385</v>
      </c>
      <c r="AU111" s="289">
        <v>1586</v>
      </c>
      <c r="AV111" s="289">
        <v>1608</v>
      </c>
      <c r="AW111" s="289">
        <v>1647</v>
      </c>
      <c r="AX111" s="289">
        <v>1740</v>
      </c>
      <c r="AY111" s="289">
        <v>1858</v>
      </c>
      <c r="AZ111" s="289">
        <v>1869.3</v>
      </c>
      <c r="BA111" s="289">
        <v>1909</v>
      </c>
      <c r="BB111" s="289">
        <v>1886</v>
      </c>
      <c r="BC111" s="289">
        <v>2014</v>
      </c>
      <c r="BD111" s="289">
        <v>2025</v>
      </c>
      <c r="BE111" s="289">
        <v>2200</v>
      </c>
    </row>
    <row r="112" spans="1:57">
      <c r="A112" s="289" t="s">
        <v>4297</v>
      </c>
      <c r="C112" s="289" t="s">
        <v>2046</v>
      </c>
      <c r="D112" s="289" t="s">
        <v>892</v>
      </c>
      <c r="E112" s="289" t="s">
        <v>4298</v>
      </c>
      <c r="F112" s="289">
        <v>0</v>
      </c>
      <c r="G112" s="289">
        <v>0</v>
      </c>
      <c r="H112" s="289">
        <v>0</v>
      </c>
      <c r="I112" s="289">
        <v>0</v>
      </c>
      <c r="J112" s="289">
        <v>0</v>
      </c>
      <c r="K112" s="289">
        <v>0</v>
      </c>
      <c r="L112" s="289">
        <v>0</v>
      </c>
      <c r="M112" s="289">
        <v>0</v>
      </c>
      <c r="N112" s="289">
        <v>0</v>
      </c>
      <c r="O112" s="289">
        <v>0</v>
      </c>
      <c r="P112" s="289">
        <v>0</v>
      </c>
      <c r="Q112" s="289">
        <v>8.9999999999999998E-4</v>
      </c>
      <c r="R112" s="289">
        <v>1.9199999999999998E-2</v>
      </c>
      <c r="S112" s="289">
        <v>2.3800000000000002E-2</v>
      </c>
      <c r="T112" s="289">
        <v>3.4200000000000001E-2</v>
      </c>
      <c r="U112" s="289">
        <v>4.8100000000000004E-2</v>
      </c>
      <c r="V112" s="289">
        <v>4.8600000000000004E-2</v>
      </c>
      <c r="W112" s="289">
        <v>4.5200000000000004E-2</v>
      </c>
      <c r="X112" s="289">
        <v>4.7600000000000003E-2</v>
      </c>
      <c r="Y112" s="289">
        <v>4.4499999999999998E-2</v>
      </c>
      <c r="Z112" s="289">
        <v>6.7900000000000002E-2</v>
      </c>
      <c r="AA112" s="289">
        <v>3.9200000000000006E-2</v>
      </c>
      <c r="AB112" s="289">
        <v>6.9400000000000003E-2</v>
      </c>
      <c r="AC112" s="289">
        <v>0.106</v>
      </c>
      <c r="AD112" s="289">
        <v>0.1085</v>
      </c>
      <c r="AE112" s="289">
        <v>0.1336</v>
      </c>
      <c r="AF112" s="289">
        <v>0.11059999999999999</v>
      </c>
      <c r="AG112" s="289">
        <v>8.7393599999999988E-2</v>
      </c>
      <c r="AH112" s="289">
        <v>0.1243074</v>
      </c>
      <c r="AI112" s="289">
        <v>6.1799999999999994E-2</v>
      </c>
      <c r="AJ112" s="289">
        <v>7.5499999999999998E-2</v>
      </c>
      <c r="AK112" s="289">
        <v>5.4299999999999994E-2</v>
      </c>
      <c r="AL112" s="289">
        <v>6.1899999999999997E-2</v>
      </c>
      <c r="AM112" s="289">
        <v>6.3E-3</v>
      </c>
      <c r="AN112" s="289">
        <v>2.6199999999999998E-2</v>
      </c>
      <c r="AO112" s="289">
        <v>9.1700000000000004E-2</v>
      </c>
      <c r="AP112" s="289">
        <v>6.9099999999999995E-2</v>
      </c>
      <c r="AQ112" s="289">
        <v>5.7299999999999997E-2</v>
      </c>
      <c r="AR112" s="289">
        <v>7.4400000000000008E-2</v>
      </c>
      <c r="AS112" s="289">
        <v>0.25880000000000003</v>
      </c>
      <c r="AT112" s="289">
        <v>5.2782</v>
      </c>
      <c r="AU112" s="289">
        <v>20.127612000000003</v>
      </c>
      <c r="AV112" s="289">
        <v>16.552819800000002</v>
      </c>
      <c r="AW112" s="289">
        <v>18.655000000000001</v>
      </c>
      <c r="AX112" s="289">
        <v>18.521956880000001</v>
      </c>
      <c r="AY112" s="289">
        <v>8.1340117599999981</v>
      </c>
      <c r="AZ112" s="289">
        <v>9.9999999999999991E-11</v>
      </c>
      <c r="BA112" s="289">
        <v>9.9999999999999991E-11</v>
      </c>
      <c r="BB112" s="289">
        <v>9.9999999999999991E-11</v>
      </c>
      <c r="BC112" s="289">
        <v>9.9999999999999991E-11</v>
      </c>
      <c r="BD112" s="289">
        <v>9.9999999999999991E-11</v>
      </c>
      <c r="BE112" s="289">
        <v>-9.9999999999999991E-11</v>
      </c>
    </row>
    <row r="113" spans="1:57">
      <c r="A113" s="289" t="s">
        <v>3801</v>
      </c>
      <c r="C113" s="289" t="s">
        <v>3487</v>
      </c>
      <c r="D113" s="289" t="s">
        <v>892</v>
      </c>
      <c r="E113" s="289" t="s">
        <v>93</v>
      </c>
      <c r="F113" s="289">
        <v>0</v>
      </c>
      <c r="G113" s="289">
        <v>0</v>
      </c>
      <c r="H113" s="289">
        <v>0</v>
      </c>
      <c r="I113" s="289">
        <v>0</v>
      </c>
      <c r="J113" s="289">
        <v>0</v>
      </c>
      <c r="K113" s="289">
        <v>0</v>
      </c>
      <c r="L113" s="289">
        <v>0</v>
      </c>
      <c r="M113" s="289">
        <v>0</v>
      </c>
      <c r="N113" s="289">
        <v>0</v>
      </c>
      <c r="O113" s="289">
        <v>0</v>
      </c>
      <c r="P113" s="289">
        <v>0</v>
      </c>
      <c r="Q113" s="289">
        <v>1.3</v>
      </c>
      <c r="R113" s="289">
        <v>25.5</v>
      </c>
      <c r="S113" s="289">
        <v>30.4</v>
      </c>
      <c r="T113" s="289">
        <v>43.2</v>
      </c>
      <c r="U113" s="289">
        <v>53.1</v>
      </c>
      <c r="V113" s="289">
        <v>52.8</v>
      </c>
      <c r="W113" s="289">
        <v>47.4</v>
      </c>
      <c r="X113" s="289">
        <v>42.6</v>
      </c>
      <c r="Y113" s="289">
        <v>54.2</v>
      </c>
      <c r="Z113" s="289">
        <v>54.1</v>
      </c>
      <c r="AA113" s="289">
        <v>26.4</v>
      </c>
      <c r="AB113" s="289">
        <v>46.3</v>
      </c>
      <c r="AC113" s="289">
        <v>57.7</v>
      </c>
      <c r="AD113" s="289">
        <v>55</v>
      </c>
      <c r="AE113" s="289">
        <v>63.5</v>
      </c>
      <c r="AF113" s="289">
        <v>43.8</v>
      </c>
      <c r="AG113" s="289">
        <v>31.58</v>
      </c>
      <c r="AH113" s="289">
        <v>60.3</v>
      </c>
      <c r="AI113" s="289">
        <v>28.65</v>
      </c>
      <c r="AJ113" s="289">
        <v>29.44</v>
      </c>
      <c r="AK113" s="289">
        <v>28.1</v>
      </c>
      <c r="AL113" s="289">
        <v>29.5</v>
      </c>
      <c r="AM113" s="289">
        <v>3.2</v>
      </c>
      <c r="AN113" s="289">
        <v>8</v>
      </c>
      <c r="AO113" s="289">
        <v>26.1</v>
      </c>
      <c r="AP113" s="289">
        <v>27.4</v>
      </c>
      <c r="AQ113" s="289">
        <v>20.9</v>
      </c>
      <c r="AR113" s="289">
        <v>34.5</v>
      </c>
      <c r="AS113" s="289">
        <v>28.7</v>
      </c>
      <c r="AT113" s="289">
        <v>25</v>
      </c>
      <c r="AU113" s="289">
        <v>26.3</v>
      </c>
      <c r="AV113" s="289">
        <v>27</v>
      </c>
      <c r="AW113" s="289">
        <v>28</v>
      </c>
      <c r="AX113" s="289">
        <v>24.8</v>
      </c>
      <c r="AY113" s="289">
        <v>6.8</v>
      </c>
      <c r="AZ113" s="289">
        <v>9.9999999999999995E-8</v>
      </c>
      <c r="BA113" s="289">
        <v>9.9999999999999995E-8</v>
      </c>
      <c r="BB113" s="289">
        <v>9.9999999999999995E-8</v>
      </c>
      <c r="BC113" s="289">
        <v>9.9999999999999995E-8</v>
      </c>
      <c r="BD113" s="289">
        <v>9.9999999999999995E-8</v>
      </c>
      <c r="BE113" s="289">
        <v>9.9999999999999995E-8</v>
      </c>
    </row>
    <row r="114" spans="1:57">
      <c r="A114" s="289" t="s">
        <v>3802</v>
      </c>
      <c r="C114" s="289" t="s">
        <v>2046</v>
      </c>
      <c r="D114" s="289" t="s">
        <v>892</v>
      </c>
      <c r="E114" s="289" t="s">
        <v>3803</v>
      </c>
      <c r="F114" s="289">
        <v>1.8640000000000002E-3</v>
      </c>
      <c r="G114" s="289">
        <v>2.7949999999999997E-3</v>
      </c>
      <c r="H114" s="289">
        <v>3.4269999999999999E-3</v>
      </c>
      <c r="I114" s="289">
        <v>0</v>
      </c>
      <c r="J114" s="289">
        <v>2.428E-3</v>
      </c>
      <c r="K114" s="289">
        <v>2.6880000000000003E-3</v>
      </c>
      <c r="L114" s="289">
        <v>3.7360000000000002E-3</v>
      </c>
      <c r="M114" s="289">
        <v>3.4590000000000003E-3</v>
      </c>
      <c r="N114" s="289">
        <v>4.8939999999999999E-3</v>
      </c>
      <c r="O114" s="289">
        <v>5.1240000000000001E-3</v>
      </c>
      <c r="P114" s="289">
        <v>3.3219999999999999E-3</v>
      </c>
      <c r="Q114" s="289">
        <v>4.8600000000000006E-3</v>
      </c>
      <c r="R114" s="289">
        <v>0</v>
      </c>
      <c r="S114" s="289">
        <v>7.1420000000000008E-3</v>
      </c>
      <c r="T114" s="289">
        <v>9.8969999999999995E-3</v>
      </c>
      <c r="U114" s="289">
        <v>7.757E-3</v>
      </c>
      <c r="V114" s="289">
        <v>5.3170000000000005E-3</v>
      </c>
      <c r="W114" s="289">
        <v>0.01</v>
      </c>
      <c r="X114" s="289">
        <v>8.6E-3</v>
      </c>
      <c r="Y114" s="289">
        <v>2.06E-2</v>
      </c>
      <c r="Z114" s="289">
        <v>3.2799999999999996E-2</v>
      </c>
      <c r="AA114" s="289">
        <v>3.2899999999999999E-2</v>
      </c>
      <c r="AB114" s="289">
        <v>2.7399999999999997E-2</v>
      </c>
      <c r="AC114" s="289">
        <v>3.0600000000000002E-2</v>
      </c>
      <c r="AD114" s="289">
        <v>4.1799999999999997E-2</v>
      </c>
      <c r="AE114" s="289">
        <v>6.7799999999999999E-2</v>
      </c>
      <c r="AF114" s="289">
        <v>7.5299999999999992E-2</v>
      </c>
      <c r="AG114" s="289">
        <v>6.3492449999999992E-2</v>
      </c>
      <c r="AH114" s="289">
        <v>7.0293300000000003E-2</v>
      </c>
      <c r="AI114" s="289">
        <v>6.6099999999999992E-2</v>
      </c>
      <c r="AJ114" s="289">
        <v>6.1600000000000002E-2</v>
      </c>
      <c r="AK114" s="289">
        <v>8.2799999999999999E-2</v>
      </c>
      <c r="AL114" s="289">
        <v>6.3799999999999996E-2</v>
      </c>
      <c r="AM114" s="289">
        <v>6.720000000000001E-2</v>
      </c>
      <c r="AN114" s="289">
        <v>7.0999999999999994E-2</v>
      </c>
      <c r="AO114" s="289">
        <v>0.03</v>
      </c>
      <c r="AP114" s="289">
        <v>4.5399999999999996E-2</v>
      </c>
      <c r="AQ114" s="289">
        <v>3.9200000000000006E-2</v>
      </c>
      <c r="AR114" s="289">
        <v>5.7099999999999998E-2</v>
      </c>
      <c r="AS114" s="289">
        <v>4.8799999999999996E-2</v>
      </c>
      <c r="AT114" s="289">
        <v>3.4023000000000003</v>
      </c>
      <c r="AU114" s="289">
        <v>16.296303399999999</v>
      </c>
      <c r="AV114" s="289">
        <v>13.26595644</v>
      </c>
      <c r="AW114" s="289">
        <v>10.12699098</v>
      </c>
      <c r="AX114" s="289">
        <v>8.1829755000000031</v>
      </c>
      <c r="AY114" s="289">
        <v>11.233913460000002</v>
      </c>
      <c r="AZ114" s="289">
        <v>14.854559999999998</v>
      </c>
      <c r="BA114" s="289">
        <v>23.9635</v>
      </c>
      <c r="BB114" s="289">
        <v>33.32385</v>
      </c>
      <c r="BC114" s="289">
        <v>23.735075000000002</v>
      </c>
      <c r="BD114" s="289">
        <v>26.510830368749996</v>
      </c>
      <c r="BE114" s="289">
        <v>27.988809161807811</v>
      </c>
    </row>
    <row r="115" spans="1:57">
      <c r="A115" s="289" t="s">
        <v>3804</v>
      </c>
      <c r="C115" s="289" t="s">
        <v>3487</v>
      </c>
      <c r="D115" s="289" t="s">
        <v>892</v>
      </c>
      <c r="E115" s="289" t="s">
        <v>2638</v>
      </c>
      <c r="F115" s="289">
        <v>6.4169999999999998</v>
      </c>
      <c r="G115" s="289">
        <v>11.891</v>
      </c>
      <c r="H115" s="289">
        <v>14.673999999999999</v>
      </c>
      <c r="I115" s="289">
        <v>0</v>
      </c>
      <c r="J115" s="289">
        <v>10.241</v>
      </c>
      <c r="K115" s="289">
        <v>11.831</v>
      </c>
      <c r="L115" s="289">
        <v>17.937000000000001</v>
      </c>
      <c r="M115" s="289">
        <v>19.260000000000002</v>
      </c>
      <c r="N115" s="289">
        <v>20.677</v>
      </c>
      <c r="O115" s="289">
        <v>21.733000000000001</v>
      </c>
      <c r="P115" s="289">
        <v>14.4</v>
      </c>
      <c r="Q115" s="289">
        <v>21.050999999999998</v>
      </c>
      <c r="R115" s="420">
        <f>+(Q115+S115)/2</f>
        <v>22.826499999999999</v>
      </c>
      <c r="S115" s="289">
        <v>24.602</v>
      </c>
      <c r="T115" s="289">
        <v>31.858000000000001</v>
      </c>
      <c r="U115" s="289">
        <v>32.808999999999997</v>
      </c>
      <c r="V115" s="289">
        <v>16.119</v>
      </c>
      <c r="W115" s="289">
        <v>32.054000000000002</v>
      </c>
      <c r="X115" s="289">
        <v>30.706</v>
      </c>
      <c r="Y115" s="289">
        <v>44.478999999999999</v>
      </c>
      <c r="Z115" s="289">
        <v>46.253</v>
      </c>
      <c r="AA115" s="289">
        <v>58.8</v>
      </c>
      <c r="AB115" s="289">
        <v>57.5</v>
      </c>
      <c r="AC115" s="289">
        <v>54.7</v>
      </c>
      <c r="AD115" s="289">
        <v>74.7</v>
      </c>
      <c r="AE115" s="289">
        <v>103</v>
      </c>
      <c r="AF115" s="289">
        <v>110.7</v>
      </c>
      <c r="AG115" s="289">
        <v>93.2</v>
      </c>
      <c r="AH115" s="289">
        <v>130.80000000000001</v>
      </c>
      <c r="AI115" s="289">
        <v>127.41</v>
      </c>
      <c r="AJ115" s="289">
        <v>94.7</v>
      </c>
      <c r="AK115" s="289">
        <v>137.69999999999999</v>
      </c>
      <c r="AL115" s="289">
        <v>108.1</v>
      </c>
      <c r="AM115" s="289">
        <v>112.6</v>
      </c>
      <c r="AN115" s="289">
        <v>77.7</v>
      </c>
      <c r="AO115" s="289">
        <v>85.1</v>
      </c>
      <c r="AP115" s="289">
        <v>64.900000000000006</v>
      </c>
      <c r="AQ115" s="289">
        <v>52.7</v>
      </c>
      <c r="AR115" s="289">
        <v>78.099999999999994</v>
      </c>
      <c r="AS115" s="289">
        <v>74.8</v>
      </c>
      <c r="AT115" s="289">
        <v>80.599999999999994</v>
      </c>
      <c r="AU115" s="289">
        <v>87.7</v>
      </c>
      <c r="AV115" s="289">
        <v>82.9</v>
      </c>
      <c r="AW115" s="289">
        <v>72.900000000000006</v>
      </c>
      <c r="AX115" s="289">
        <v>53.1</v>
      </c>
      <c r="AY115" s="289">
        <v>36.299999999999997</v>
      </c>
      <c r="AZ115" s="289">
        <v>47.8</v>
      </c>
      <c r="BA115" s="289">
        <v>52.5</v>
      </c>
      <c r="BB115" s="289">
        <v>71.8</v>
      </c>
      <c r="BC115" s="289">
        <v>41.9</v>
      </c>
      <c r="BD115" s="289">
        <v>42.947499999999998</v>
      </c>
      <c r="BE115" s="289">
        <v>44.021187499999996</v>
      </c>
    </row>
    <row r="116" spans="1:57">
      <c r="A116" s="289" t="s">
        <v>3805</v>
      </c>
      <c r="C116" s="289" t="s">
        <v>2046</v>
      </c>
      <c r="D116" s="289" t="s">
        <v>892</v>
      </c>
      <c r="E116" s="289" t="s">
        <v>951</v>
      </c>
      <c r="F116" s="289">
        <v>0</v>
      </c>
      <c r="G116" s="289">
        <v>0</v>
      </c>
      <c r="H116" s="289">
        <v>0</v>
      </c>
      <c r="I116" s="289">
        <v>0</v>
      </c>
      <c r="J116" s="289">
        <v>0</v>
      </c>
      <c r="K116" s="289">
        <v>0</v>
      </c>
      <c r="L116" s="289">
        <v>0</v>
      </c>
      <c r="M116" s="289">
        <v>0</v>
      </c>
      <c r="N116" s="289">
        <v>1.54E-4</v>
      </c>
      <c r="O116" s="289">
        <v>2.1799999999999999E-4</v>
      </c>
      <c r="P116" s="289">
        <v>2.23E-4</v>
      </c>
      <c r="Q116" s="289">
        <v>1.073E-3</v>
      </c>
      <c r="R116" s="289">
        <v>0</v>
      </c>
      <c r="S116" s="289">
        <v>2.601E-3</v>
      </c>
      <c r="T116" s="289">
        <v>4.6210000000000001E-3</v>
      </c>
      <c r="U116" s="289">
        <v>4.078E-3</v>
      </c>
      <c r="V116" s="289">
        <v>3.0839999999999999E-3</v>
      </c>
      <c r="W116" s="289">
        <v>4.705E-3</v>
      </c>
      <c r="X116" s="289">
        <v>4.5999999999999999E-3</v>
      </c>
      <c r="Y116" s="289">
        <v>3.8E-3</v>
      </c>
      <c r="Z116" s="289">
        <v>4.0000000000000001E-3</v>
      </c>
      <c r="AA116" s="289">
        <v>6.0999999999999995E-3</v>
      </c>
      <c r="AB116" s="289">
        <v>7.4000000000000003E-3</v>
      </c>
      <c r="AC116" s="289">
        <v>5.9000000000000007E-3</v>
      </c>
      <c r="AD116" s="289">
        <v>7.0000000000000001E-3</v>
      </c>
      <c r="AE116" s="289">
        <v>7.4000000000000003E-3</v>
      </c>
      <c r="AF116" s="289">
        <v>1.0500000000000001E-2</v>
      </c>
      <c r="AG116" s="289">
        <v>1.2994799999999999E-2</v>
      </c>
      <c r="AH116" s="289">
        <v>1.3191149999999999E-2</v>
      </c>
      <c r="AI116" s="289">
        <v>1.32E-2</v>
      </c>
      <c r="AJ116" s="289">
        <v>1.6E-2</v>
      </c>
      <c r="AK116" s="289">
        <v>1.83E-2</v>
      </c>
      <c r="AL116" s="289">
        <v>1.9899999999999998E-2</v>
      </c>
      <c r="AM116" s="289">
        <v>1.6899999999999998E-2</v>
      </c>
      <c r="AN116" s="289">
        <v>3.6200000000000003E-2</v>
      </c>
      <c r="AO116" s="289">
        <v>1.04E-2</v>
      </c>
      <c r="AP116" s="289">
        <v>1.84E-2</v>
      </c>
      <c r="AQ116" s="289">
        <v>1.6300000000000002E-2</v>
      </c>
      <c r="AR116" s="289">
        <v>2.3899999999999998E-2</v>
      </c>
      <c r="AS116" s="289">
        <v>1.46E-2</v>
      </c>
      <c r="AT116" s="289">
        <v>1.2743</v>
      </c>
      <c r="AU116" s="289">
        <v>4.173</v>
      </c>
      <c r="AV116" s="289">
        <v>4.8311829719999988</v>
      </c>
      <c r="AW116" s="289">
        <v>5.5350233700000002</v>
      </c>
      <c r="AX116" s="289">
        <v>5.3410274399999995</v>
      </c>
      <c r="AY116" s="289">
        <v>18.424080360000001</v>
      </c>
      <c r="AZ116" s="289">
        <v>18.714092999999998</v>
      </c>
      <c r="BA116" s="289">
        <v>23.527800000000003</v>
      </c>
      <c r="BB116" s="289">
        <v>2.5814250000000003</v>
      </c>
      <c r="BC116" s="289">
        <v>3.0084403181249999</v>
      </c>
      <c r="BD116" s="289">
        <v>3.360269598824531</v>
      </c>
      <c r="BE116" s="289">
        <v>3.5476046289589989</v>
      </c>
    </row>
    <row r="117" spans="1:57">
      <c r="A117" s="289" t="s">
        <v>3804</v>
      </c>
      <c r="C117" s="289" t="s">
        <v>3487</v>
      </c>
      <c r="D117" s="289" t="s">
        <v>892</v>
      </c>
      <c r="E117" s="289" t="s">
        <v>95</v>
      </c>
      <c r="F117" s="289">
        <v>1.4E-2</v>
      </c>
      <c r="G117" s="289">
        <v>0.22500000000000001</v>
      </c>
      <c r="H117" s="289">
        <v>0.19800000000000001</v>
      </c>
      <c r="I117" s="289">
        <v>0</v>
      </c>
      <c r="J117" s="289">
        <v>9.0999999999999998E-2</v>
      </c>
      <c r="K117" s="289">
        <v>0.10100000000000001</v>
      </c>
      <c r="L117" s="289">
        <v>0.50800000000000001</v>
      </c>
      <c r="M117" s="289">
        <v>1.069</v>
      </c>
      <c r="N117" s="289">
        <v>1.7129999999999999</v>
      </c>
      <c r="O117" s="289">
        <v>2.3240000000000003</v>
      </c>
      <c r="P117" s="289">
        <v>1.9789999999999999</v>
      </c>
      <c r="Q117" s="289">
        <v>10.657</v>
      </c>
      <c r="R117" s="420">
        <f>+(Q117+S117)/2</f>
        <v>15.516500000000001</v>
      </c>
      <c r="S117" s="289">
        <v>20.376000000000001</v>
      </c>
      <c r="T117" s="289">
        <v>36.494</v>
      </c>
      <c r="U117" s="289">
        <v>32.129000000000005</v>
      </c>
      <c r="V117" s="289">
        <v>25.091000000000001</v>
      </c>
      <c r="W117" s="289">
        <v>38.106000000000002</v>
      </c>
      <c r="X117" s="289">
        <v>39.668999999999997</v>
      </c>
      <c r="Y117" s="289">
        <v>30.052</v>
      </c>
      <c r="Z117" s="289">
        <v>34.601999999999997</v>
      </c>
      <c r="AA117" s="289">
        <v>38.265000000000001</v>
      </c>
      <c r="AB117" s="289">
        <v>37</v>
      </c>
      <c r="AC117" s="289">
        <v>27.3</v>
      </c>
      <c r="AD117" s="289">
        <v>29</v>
      </c>
      <c r="AE117" s="289">
        <v>27.3</v>
      </c>
      <c r="AF117" s="289">
        <v>34</v>
      </c>
      <c r="AG117" s="289">
        <v>36.5</v>
      </c>
      <c r="AH117" s="289">
        <v>37.5</v>
      </c>
      <c r="AI117" s="289">
        <v>32.159999999999997</v>
      </c>
      <c r="AJ117" s="289">
        <v>34.9</v>
      </c>
      <c r="AK117" s="289">
        <v>37.299999999999997</v>
      </c>
      <c r="AL117" s="289">
        <v>36</v>
      </c>
      <c r="AM117" s="289">
        <v>32.4</v>
      </c>
      <c r="AN117" s="289">
        <v>35.6</v>
      </c>
      <c r="AO117" s="289">
        <v>28.8</v>
      </c>
      <c r="AP117" s="289">
        <v>28.3</v>
      </c>
      <c r="AQ117" s="289">
        <v>28.2</v>
      </c>
      <c r="AR117" s="289">
        <v>29.9</v>
      </c>
      <c r="AS117" s="289">
        <v>28.2</v>
      </c>
      <c r="AT117" s="289">
        <v>33.299999999999997</v>
      </c>
      <c r="AU117" s="289">
        <v>34</v>
      </c>
      <c r="AV117" s="289">
        <v>26.9</v>
      </c>
      <c r="AW117" s="289">
        <v>28.9</v>
      </c>
      <c r="AX117" s="289">
        <v>23.2</v>
      </c>
      <c r="AY117" s="289">
        <v>39.9</v>
      </c>
      <c r="AZ117" s="289">
        <v>35.799999999999997</v>
      </c>
      <c r="BA117" s="289">
        <v>29.1</v>
      </c>
      <c r="BB117" s="289">
        <v>5</v>
      </c>
      <c r="BC117" s="289">
        <v>5.125</v>
      </c>
      <c r="BD117" s="289">
        <v>5.2531249999999998</v>
      </c>
      <c r="BE117" s="289">
        <v>5.3844531250000003</v>
      </c>
    </row>
    <row r="118" spans="1:57">
      <c r="A118" s="289" t="s">
        <v>1809</v>
      </c>
      <c r="C118" s="289" t="s">
        <v>2046</v>
      </c>
      <c r="D118" s="289" t="s">
        <v>892</v>
      </c>
      <c r="E118" s="289" t="s">
        <v>1810</v>
      </c>
      <c r="F118" s="289">
        <v>1.2E-5</v>
      </c>
      <c r="G118" s="289">
        <v>2.5999999999999998E-5</v>
      </c>
      <c r="H118" s="289">
        <v>1.36E-4</v>
      </c>
      <c r="I118" s="289">
        <v>0</v>
      </c>
      <c r="J118" s="289">
        <v>1.54E-4</v>
      </c>
      <c r="K118" s="289">
        <v>5.0799999999999999E-4</v>
      </c>
      <c r="L118" s="289">
        <v>5.0199999999999995E-4</v>
      </c>
      <c r="M118" s="289">
        <v>4.35E-4</v>
      </c>
      <c r="N118" s="289">
        <v>1.176E-3</v>
      </c>
      <c r="O118" s="289">
        <v>1.6040000000000002E-3</v>
      </c>
      <c r="P118" s="289">
        <v>1.6699999999999998E-3</v>
      </c>
      <c r="Q118" s="289">
        <v>2.385E-3</v>
      </c>
      <c r="R118" s="289">
        <v>0</v>
      </c>
      <c r="S118" s="289">
        <v>1.8580000000000001E-3</v>
      </c>
      <c r="T118" s="289">
        <v>1.0529999999999999E-3</v>
      </c>
      <c r="U118" s="289">
        <v>9.8700000000000003E-4</v>
      </c>
      <c r="V118" s="289">
        <v>1.1000000000000001E-3</v>
      </c>
      <c r="W118" s="289">
        <v>1E-3</v>
      </c>
      <c r="X118" s="289">
        <v>1E-3</v>
      </c>
      <c r="Y118" s="289">
        <v>1.6999999999999999E-3</v>
      </c>
      <c r="Z118" s="289">
        <v>1.6199999999999999E-2</v>
      </c>
      <c r="AA118" s="289">
        <v>2.3699999999999999E-2</v>
      </c>
      <c r="AB118" s="289">
        <v>4.7399999999999998E-2</v>
      </c>
      <c r="AC118" s="289">
        <v>5.16E-2</v>
      </c>
      <c r="AD118" s="289">
        <v>5.3200000000000004E-2</v>
      </c>
      <c r="AE118" s="289">
        <v>4.7799999999999995E-2</v>
      </c>
      <c r="AF118" s="289">
        <v>5.5799999999999995E-2</v>
      </c>
      <c r="AG118" s="289">
        <v>7.2203249999999997E-2</v>
      </c>
      <c r="AH118" s="289">
        <v>7.4898599999999996E-2</v>
      </c>
      <c r="AI118" s="289">
        <v>6.0404400000000004E-2</v>
      </c>
      <c r="AJ118" s="289">
        <v>6.4200000000000007E-2</v>
      </c>
      <c r="AK118" s="289">
        <v>4.3799999999999999E-2</v>
      </c>
      <c r="AL118" s="289">
        <v>6.8599999999999994E-2</v>
      </c>
      <c r="AM118" s="289">
        <v>7.4299999999999991E-2</v>
      </c>
      <c r="AN118" s="289">
        <v>5.5E-2</v>
      </c>
      <c r="AO118" s="289">
        <v>4.4700000000000004E-2</v>
      </c>
      <c r="AP118" s="289">
        <v>6.3700000000000007E-2</v>
      </c>
      <c r="AQ118" s="289">
        <v>5.74E-2</v>
      </c>
      <c r="AR118" s="289">
        <v>7.8599999999999989E-2</v>
      </c>
      <c r="AS118" s="289">
        <v>6.2799999999999995E-2</v>
      </c>
      <c r="AT118" s="289">
        <v>5.2573999999999996</v>
      </c>
      <c r="AU118" s="289">
        <v>14.521895499999999</v>
      </c>
      <c r="AV118" s="289">
        <v>19.324800241559998</v>
      </c>
      <c r="AW118" s="289">
        <v>16.973999508000002</v>
      </c>
      <c r="AX118" s="289">
        <v>14.405999979126003</v>
      </c>
      <c r="AY118" s="289">
        <v>31.164001545185606</v>
      </c>
      <c r="AZ118" s="289">
        <v>69.211623217136392</v>
      </c>
      <c r="BA118" s="289">
        <v>74.286850000000001</v>
      </c>
      <c r="BB118" s="289">
        <v>81.197550000000007</v>
      </c>
      <c r="BC118" s="289">
        <v>94.629122733749995</v>
      </c>
      <c r="BD118" s="289">
        <v>105.69575283575341</v>
      </c>
      <c r="BE118" s="289">
        <v>111.58829105634668</v>
      </c>
    </row>
    <row r="119" spans="1:57">
      <c r="A119" s="289" t="s">
        <v>4619</v>
      </c>
      <c r="C119" s="289" t="s">
        <v>1622</v>
      </c>
      <c r="D119" s="289" t="s">
        <v>892</v>
      </c>
      <c r="E119" s="289" t="s">
        <v>96</v>
      </c>
      <c r="F119" s="289">
        <v>14.466666666666667</v>
      </c>
      <c r="G119" s="289">
        <v>24.8</v>
      </c>
      <c r="H119" s="289">
        <v>97.13333333333334</v>
      </c>
      <c r="I119" s="289">
        <v>0</v>
      </c>
      <c r="J119" s="289">
        <v>121.93333333333334</v>
      </c>
      <c r="K119" s="289">
        <v>289.33333333333331</v>
      </c>
      <c r="L119" s="289">
        <v>407.13333333333338</v>
      </c>
      <c r="M119" s="289">
        <v>446.4</v>
      </c>
      <c r="N119" s="289">
        <v>1004.4</v>
      </c>
      <c r="O119" s="289">
        <v>1299.9333333333334</v>
      </c>
      <c r="P119" s="289">
        <v>1605.8</v>
      </c>
      <c r="Q119" s="289">
        <v>2083.1999999999998</v>
      </c>
      <c r="R119" s="420">
        <f>+(Q119+S119)/2</f>
        <v>2229.9333333333334</v>
      </c>
      <c r="S119" s="289">
        <v>2376.6666666666665</v>
      </c>
      <c r="T119" s="289">
        <v>3221.9333333333338</v>
      </c>
      <c r="U119" s="289">
        <v>2949.1333333333332</v>
      </c>
      <c r="V119" s="289">
        <v>3081</v>
      </c>
      <c r="W119" s="289">
        <v>2629</v>
      </c>
      <c r="X119" s="289">
        <v>2975</v>
      </c>
      <c r="Y119" s="289">
        <v>3253</v>
      </c>
      <c r="Z119" s="289">
        <v>2631</v>
      </c>
      <c r="AA119" s="289">
        <v>3448</v>
      </c>
      <c r="AB119" s="289">
        <v>3615</v>
      </c>
      <c r="AC119" s="289">
        <v>3824</v>
      </c>
      <c r="AD119" s="289">
        <v>3723</v>
      </c>
      <c r="AE119" s="289">
        <v>3295</v>
      </c>
      <c r="AF119" s="289">
        <v>3050</v>
      </c>
      <c r="AG119" s="289">
        <v>3800</v>
      </c>
      <c r="AH119" s="289">
        <v>3300</v>
      </c>
      <c r="AI119" s="289">
        <v>3400</v>
      </c>
      <c r="AJ119" s="289">
        <v>3300</v>
      </c>
      <c r="AK119" s="289">
        <v>2200</v>
      </c>
      <c r="AL119" s="289">
        <v>2700</v>
      </c>
      <c r="AM119" s="289">
        <v>3100</v>
      </c>
      <c r="AN119" s="289">
        <v>2300</v>
      </c>
      <c r="AO119" s="289">
        <v>2000</v>
      </c>
      <c r="AP119" s="289">
        <v>3312.9</v>
      </c>
      <c r="AQ119" s="289">
        <v>3065.4</v>
      </c>
      <c r="AR119" s="289">
        <v>2341</v>
      </c>
      <c r="AS119" s="289">
        <v>2065</v>
      </c>
      <c r="AT119" s="289">
        <v>2391</v>
      </c>
      <c r="AU119" s="289">
        <v>2600</v>
      </c>
      <c r="AV119" s="289">
        <v>2745</v>
      </c>
      <c r="AW119" s="289">
        <v>2692</v>
      </c>
      <c r="AX119" s="289">
        <v>3162</v>
      </c>
      <c r="AY119" s="289">
        <v>3356</v>
      </c>
      <c r="AZ119" s="289">
        <v>4743</v>
      </c>
      <c r="BA119" s="289">
        <v>5571.8737864077666</v>
      </c>
      <c r="BB119" s="289">
        <v>5034.6407766990296</v>
      </c>
      <c r="BC119" s="289">
        <v>5160.506796116505</v>
      </c>
      <c r="BD119" s="289">
        <v>5289.5194660194175</v>
      </c>
      <c r="BE119" s="289">
        <v>5421.7574526699027</v>
      </c>
    </row>
    <row r="120" spans="1:57">
      <c r="A120" s="289" t="s">
        <v>2781</v>
      </c>
      <c r="C120" s="289" t="s">
        <v>2046</v>
      </c>
      <c r="D120" s="289" t="s">
        <v>892</v>
      </c>
      <c r="E120" s="289" t="s">
        <v>1623</v>
      </c>
      <c r="F120" s="289">
        <v>0</v>
      </c>
      <c r="G120" s="289">
        <v>0</v>
      </c>
      <c r="H120" s="289">
        <v>0</v>
      </c>
      <c r="I120" s="289">
        <v>0</v>
      </c>
      <c r="J120" s="289">
        <v>0</v>
      </c>
      <c r="K120" s="289">
        <v>0</v>
      </c>
      <c r="L120" s="289">
        <v>0</v>
      </c>
      <c r="M120" s="289">
        <v>0</v>
      </c>
      <c r="N120" s="289">
        <v>0</v>
      </c>
      <c r="O120" s="289">
        <v>0</v>
      </c>
      <c r="P120" s="289">
        <v>0</v>
      </c>
      <c r="Q120" s="289">
        <v>0</v>
      </c>
      <c r="R120" s="289">
        <v>0</v>
      </c>
      <c r="S120" s="289">
        <v>0</v>
      </c>
      <c r="T120" s="289">
        <v>0</v>
      </c>
      <c r="U120" s="289">
        <v>0</v>
      </c>
      <c r="V120" s="289">
        <v>0</v>
      </c>
      <c r="W120" s="289">
        <v>0</v>
      </c>
      <c r="X120" s="289">
        <v>0</v>
      </c>
      <c r="Y120" s="289">
        <v>0</v>
      </c>
      <c r="Z120" s="289">
        <v>0</v>
      </c>
      <c r="AA120" s="289">
        <v>0</v>
      </c>
      <c r="AB120" s="289">
        <v>0</v>
      </c>
      <c r="AC120" s="289">
        <v>0</v>
      </c>
      <c r="AD120" s="289">
        <v>0</v>
      </c>
      <c r="AE120" s="289">
        <v>0</v>
      </c>
      <c r="AF120" s="289">
        <v>0</v>
      </c>
      <c r="AG120" s="289">
        <v>0</v>
      </c>
      <c r="AH120" s="289">
        <v>0</v>
      </c>
      <c r="AI120" s="289">
        <v>0</v>
      </c>
      <c r="AJ120" s="289">
        <v>0</v>
      </c>
      <c r="AK120" s="289">
        <v>0</v>
      </c>
      <c r="AL120" s="289">
        <v>0</v>
      </c>
      <c r="AM120" s="289">
        <v>0</v>
      </c>
      <c r="AN120" s="289">
        <v>0</v>
      </c>
      <c r="AO120" s="289">
        <v>0</v>
      </c>
      <c r="AP120" s="289">
        <v>1.1999999999999999E-3</v>
      </c>
      <c r="AQ120" s="289">
        <v>1.1999999999999999E-3</v>
      </c>
      <c r="AR120" s="289">
        <v>2.8E-3</v>
      </c>
      <c r="AS120" s="289">
        <v>3.5000000000000001E-3</v>
      </c>
      <c r="AT120" s="289">
        <v>0.26119999999999999</v>
      </c>
      <c r="AU120" s="289">
        <v>2.6483699999999999</v>
      </c>
      <c r="AV120" s="289">
        <v>2.5185172319999998</v>
      </c>
      <c r="AW120" s="289">
        <v>3.5179754799999996</v>
      </c>
      <c r="AX120" s="289">
        <v>3.8889815300000001</v>
      </c>
      <c r="AY120" s="289">
        <v>6.7914078400000015</v>
      </c>
      <c r="AZ120" s="289">
        <v>4.3767899999999997</v>
      </c>
      <c r="BA120" s="289">
        <v>7.6683199999999996</v>
      </c>
      <c r="BB120" s="289">
        <v>12.672450000000001</v>
      </c>
      <c r="BC120" s="289">
        <v>14.768707016249998</v>
      </c>
      <c r="BD120" s="289">
        <v>16.495868939684062</v>
      </c>
      <c r="BE120" s="289">
        <v>17.415513633071448</v>
      </c>
    </row>
    <row r="121" spans="1:57">
      <c r="A121" s="289" t="s">
        <v>1624</v>
      </c>
      <c r="C121" s="289" t="s">
        <v>1625</v>
      </c>
      <c r="D121" s="289" t="s">
        <v>892</v>
      </c>
      <c r="E121" s="289" t="s">
        <v>97</v>
      </c>
      <c r="F121" s="289">
        <v>0</v>
      </c>
      <c r="G121" s="289">
        <v>0</v>
      </c>
      <c r="H121" s="289">
        <v>0</v>
      </c>
      <c r="I121" s="289">
        <v>0</v>
      </c>
      <c r="J121" s="289">
        <v>0</v>
      </c>
      <c r="K121" s="289">
        <v>0</v>
      </c>
      <c r="L121" s="289">
        <v>0</v>
      </c>
      <c r="M121" s="289">
        <v>0</v>
      </c>
      <c r="N121" s="289">
        <v>0</v>
      </c>
      <c r="O121" s="289">
        <v>0</v>
      </c>
      <c r="P121" s="289">
        <v>0</v>
      </c>
      <c r="Q121" s="289">
        <v>0</v>
      </c>
      <c r="R121" s="289">
        <v>0</v>
      </c>
      <c r="S121" s="289">
        <v>0</v>
      </c>
      <c r="T121" s="289">
        <v>0</v>
      </c>
      <c r="U121" s="289">
        <v>0</v>
      </c>
      <c r="V121" s="289">
        <v>0</v>
      </c>
      <c r="W121" s="289">
        <v>0</v>
      </c>
      <c r="X121" s="289">
        <v>0</v>
      </c>
      <c r="Y121" s="289">
        <v>0</v>
      </c>
      <c r="Z121" s="289">
        <v>0</v>
      </c>
      <c r="AA121" s="289">
        <v>0</v>
      </c>
      <c r="AB121" s="289">
        <v>0</v>
      </c>
      <c r="AC121" s="289">
        <v>0</v>
      </c>
      <c r="AD121" s="289">
        <v>0</v>
      </c>
      <c r="AE121" s="289">
        <v>0</v>
      </c>
      <c r="AF121" s="289">
        <v>0</v>
      </c>
      <c r="AG121" s="289">
        <v>0</v>
      </c>
      <c r="AH121" s="289">
        <v>0</v>
      </c>
      <c r="AI121" s="289">
        <v>0</v>
      </c>
      <c r="AJ121" s="289">
        <v>0</v>
      </c>
      <c r="AK121" s="289">
        <v>0</v>
      </c>
      <c r="AL121" s="289">
        <v>0</v>
      </c>
      <c r="AM121" s="289">
        <v>0</v>
      </c>
      <c r="AN121" s="289">
        <v>0</v>
      </c>
      <c r="AO121" s="289">
        <v>0</v>
      </c>
      <c r="AP121" s="289">
        <v>2.2000000000000002</v>
      </c>
      <c r="AQ121" s="289">
        <v>2.2000000000000002</v>
      </c>
      <c r="AR121" s="289">
        <v>6.1</v>
      </c>
      <c r="AS121" s="289">
        <v>6</v>
      </c>
      <c r="AT121" s="289">
        <v>13</v>
      </c>
      <c r="AU121" s="289">
        <v>12</v>
      </c>
      <c r="AV121" s="289">
        <v>36</v>
      </c>
      <c r="AW121" s="289">
        <v>42.4</v>
      </c>
      <c r="AX121" s="289">
        <v>30.2</v>
      </c>
      <c r="AY121" s="289">
        <v>23.5</v>
      </c>
      <c r="AZ121" s="289">
        <v>18.21</v>
      </c>
      <c r="BA121" s="289">
        <v>16.55</v>
      </c>
      <c r="BB121" s="289">
        <v>34.4</v>
      </c>
      <c r="BC121" s="289">
        <v>35.26</v>
      </c>
      <c r="BD121" s="289">
        <v>36.141499999999994</v>
      </c>
      <c r="BE121" s="289">
        <v>37.045037499999992</v>
      </c>
    </row>
    <row r="122" spans="1:57">
      <c r="A122" s="289" t="s">
        <v>1825</v>
      </c>
      <c r="C122" s="289" t="s">
        <v>2046</v>
      </c>
      <c r="D122" s="289" t="s">
        <v>892</v>
      </c>
      <c r="E122" s="289" t="s">
        <v>1626</v>
      </c>
      <c r="F122" s="289">
        <v>0</v>
      </c>
      <c r="G122" s="289">
        <v>0</v>
      </c>
      <c r="H122" s="289">
        <v>0</v>
      </c>
      <c r="I122" s="289">
        <v>0</v>
      </c>
      <c r="J122" s="289">
        <v>0</v>
      </c>
      <c r="K122" s="289">
        <v>0</v>
      </c>
      <c r="L122" s="289">
        <v>0</v>
      </c>
      <c r="M122" s="289">
        <v>0</v>
      </c>
      <c r="N122" s="289">
        <v>0</v>
      </c>
      <c r="O122" s="289">
        <v>0</v>
      </c>
      <c r="P122" s="289">
        <v>0</v>
      </c>
      <c r="Q122" s="289">
        <v>0</v>
      </c>
      <c r="R122" s="289">
        <v>0</v>
      </c>
      <c r="S122" s="289">
        <v>0</v>
      </c>
      <c r="T122" s="289">
        <v>0</v>
      </c>
      <c r="U122" s="289">
        <v>0</v>
      </c>
      <c r="V122" s="289">
        <v>0</v>
      </c>
      <c r="W122" s="289">
        <v>0</v>
      </c>
      <c r="X122" s="289">
        <v>0</v>
      </c>
      <c r="Y122" s="289">
        <v>0</v>
      </c>
      <c r="Z122" s="289">
        <v>0</v>
      </c>
      <c r="AA122" s="289">
        <v>0</v>
      </c>
      <c r="AB122" s="289">
        <v>0</v>
      </c>
      <c r="AC122" s="289">
        <v>0</v>
      </c>
      <c r="AD122" s="289">
        <v>0</v>
      </c>
      <c r="AE122" s="289">
        <v>0</v>
      </c>
      <c r="AF122" s="289">
        <v>0</v>
      </c>
      <c r="AG122" s="289">
        <v>0</v>
      </c>
      <c r="AH122" s="289">
        <v>0</v>
      </c>
      <c r="AI122" s="289">
        <v>0</v>
      </c>
      <c r="AJ122" s="289">
        <v>0</v>
      </c>
      <c r="AK122" s="289">
        <v>0</v>
      </c>
      <c r="AL122" s="289">
        <v>0</v>
      </c>
      <c r="AM122" s="289">
        <v>0</v>
      </c>
      <c r="AN122" s="289">
        <v>0</v>
      </c>
      <c r="AO122" s="289">
        <v>0</v>
      </c>
      <c r="AP122" s="289">
        <v>3.0999999999999999E-3</v>
      </c>
      <c r="AQ122" s="289">
        <v>1.1999999999999999E-3</v>
      </c>
      <c r="AR122" s="289">
        <v>5.9000000000000007E-3</v>
      </c>
      <c r="AS122" s="289">
        <v>6.0999999999999995E-3</v>
      </c>
      <c r="AT122" s="289">
        <v>0.50019999999999998</v>
      </c>
      <c r="AU122" s="289">
        <v>1.3683244999999999</v>
      </c>
      <c r="AV122" s="289">
        <v>1.3860043718399999</v>
      </c>
      <c r="AW122" s="289">
        <v>1.8039989586000005</v>
      </c>
      <c r="AX122" s="289">
        <v>2.1559944777000002</v>
      </c>
      <c r="AY122" s="289">
        <v>5.3899822620000011</v>
      </c>
      <c r="AZ122" s="289">
        <v>5.8357200000000002</v>
      </c>
      <c r="BA122" s="289">
        <v>11.98175</v>
      </c>
      <c r="BB122" s="289">
        <v>12.907125000000001</v>
      </c>
      <c r="BC122" s="289">
        <v>15.042201590624996</v>
      </c>
      <c r="BD122" s="289">
        <v>16.801347994122651</v>
      </c>
      <c r="BE122" s="289">
        <v>17.738023144794987</v>
      </c>
    </row>
    <row r="123" spans="1:57">
      <c r="A123" s="289" t="s">
        <v>4619</v>
      </c>
      <c r="C123" s="289" t="s">
        <v>1622</v>
      </c>
      <c r="D123" s="289" t="s">
        <v>892</v>
      </c>
      <c r="E123" s="289" t="s">
        <v>3066</v>
      </c>
      <c r="F123" s="289">
        <v>0</v>
      </c>
      <c r="G123" s="289">
        <v>0</v>
      </c>
      <c r="H123" s="289">
        <v>0</v>
      </c>
      <c r="I123" s="289">
        <v>0</v>
      </c>
      <c r="J123" s="289">
        <v>0</v>
      </c>
      <c r="K123" s="289">
        <v>0</v>
      </c>
      <c r="L123" s="289">
        <v>0</v>
      </c>
      <c r="M123" s="289">
        <v>0</v>
      </c>
      <c r="N123" s="289">
        <v>0</v>
      </c>
      <c r="O123" s="289">
        <v>0</v>
      </c>
      <c r="P123" s="289">
        <v>0</v>
      </c>
      <c r="Q123" s="289">
        <v>0</v>
      </c>
      <c r="R123" s="289">
        <v>0</v>
      </c>
      <c r="S123" s="289">
        <v>0</v>
      </c>
      <c r="T123" s="289">
        <v>0</v>
      </c>
      <c r="U123" s="289">
        <v>0</v>
      </c>
      <c r="V123" s="289">
        <v>0</v>
      </c>
      <c r="W123" s="289">
        <v>0</v>
      </c>
      <c r="X123" s="289">
        <v>0</v>
      </c>
      <c r="Y123" s="289">
        <v>0</v>
      </c>
      <c r="Z123" s="289">
        <v>0</v>
      </c>
      <c r="AA123" s="289">
        <v>0</v>
      </c>
      <c r="AB123" s="289">
        <v>0</v>
      </c>
      <c r="AC123" s="289">
        <v>0</v>
      </c>
      <c r="AD123" s="289">
        <v>0</v>
      </c>
      <c r="AE123" s="289">
        <v>0</v>
      </c>
      <c r="AF123" s="289">
        <v>0</v>
      </c>
      <c r="AG123" s="289">
        <v>0</v>
      </c>
      <c r="AH123" s="289">
        <v>0</v>
      </c>
      <c r="AI123" s="289">
        <v>0</v>
      </c>
      <c r="AJ123" s="289">
        <v>0</v>
      </c>
      <c r="AK123" s="289">
        <v>0</v>
      </c>
      <c r="AL123" s="289">
        <v>0</v>
      </c>
      <c r="AM123" s="289">
        <v>0</v>
      </c>
      <c r="AN123" s="289">
        <v>0</v>
      </c>
      <c r="AO123" s="289">
        <v>0</v>
      </c>
      <c r="AP123" s="289">
        <v>1013.3</v>
      </c>
      <c r="AQ123" s="289">
        <v>692.1</v>
      </c>
      <c r="AR123" s="289">
        <v>3100</v>
      </c>
      <c r="AS123" s="289">
        <v>4900</v>
      </c>
      <c r="AT123" s="289">
        <v>4700</v>
      </c>
      <c r="AU123" s="289">
        <v>4600</v>
      </c>
      <c r="AV123" s="289">
        <v>4112</v>
      </c>
      <c r="AW123" s="289">
        <v>6953</v>
      </c>
      <c r="AX123" s="289">
        <v>7573</v>
      </c>
      <c r="AY123" s="289">
        <v>8063</v>
      </c>
      <c r="AZ123" s="289">
        <v>4710</v>
      </c>
      <c r="BA123" s="289">
        <v>6799</v>
      </c>
      <c r="BB123" s="289">
        <v>5698</v>
      </c>
      <c r="BC123" s="289">
        <v>5840.45</v>
      </c>
      <c r="BD123" s="289">
        <v>5986.4612499999994</v>
      </c>
      <c r="BE123" s="289">
        <v>6136.1227812499992</v>
      </c>
    </row>
    <row r="124" spans="1:57">
      <c r="A124" s="289" t="s">
        <v>1627</v>
      </c>
      <c r="C124" s="289" t="s">
        <v>2046</v>
      </c>
      <c r="D124" s="289" t="s">
        <v>892</v>
      </c>
      <c r="E124" s="289" t="s">
        <v>2079</v>
      </c>
      <c r="F124" s="289">
        <v>0</v>
      </c>
      <c r="G124" s="289">
        <v>0</v>
      </c>
      <c r="H124" s="289">
        <v>0</v>
      </c>
      <c r="I124" s="289">
        <v>0</v>
      </c>
      <c r="J124" s="289">
        <v>0</v>
      </c>
      <c r="K124" s="289">
        <v>0</v>
      </c>
      <c r="L124" s="289">
        <v>0</v>
      </c>
      <c r="M124" s="289">
        <v>0</v>
      </c>
      <c r="N124" s="289">
        <v>0</v>
      </c>
      <c r="O124" s="289">
        <v>0</v>
      </c>
      <c r="P124" s="289">
        <v>0</v>
      </c>
      <c r="Q124" s="289">
        <v>0</v>
      </c>
      <c r="R124" s="289">
        <v>0</v>
      </c>
      <c r="S124" s="289">
        <v>0</v>
      </c>
      <c r="T124" s="289">
        <v>0</v>
      </c>
      <c r="U124" s="289">
        <v>0</v>
      </c>
      <c r="V124" s="289">
        <v>0</v>
      </c>
      <c r="W124" s="289">
        <v>0</v>
      </c>
      <c r="X124" s="289">
        <v>0</v>
      </c>
      <c r="Y124" s="289">
        <v>0</v>
      </c>
      <c r="Z124" s="289">
        <v>0</v>
      </c>
      <c r="AA124" s="289">
        <v>0</v>
      </c>
      <c r="AB124" s="289">
        <v>0</v>
      </c>
      <c r="AC124" s="289">
        <v>0</v>
      </c>
      <c r="AD124" s="289">
        <v>0</v>
      </c>
      <c r="AE124" s="289">
        <v>0</v>
      </c>
      <c r="AF124" s="289">
        <v>0</v>
      </c>
      <c r="AG124" s="289">
        <v>0</v>
      </c>
      <c r="AH124" s="289">
        <v>0</v>
      </c>
      <c r="AI124" s="289">
        <v>0</v>
      </c>
      <c r="AJ124" s="289">
        <v>0</v>
      </c>
      <c r="AK124" s="289">
        <v>0</v>
      </c>
      <c r="AL124" s="289">
        <v>0</v>
      </c>
      <c r="AM124" s="289">
        <v>0</v>
      </c>
      <c r="AN124" s="289">
        <v>0</v>
      </c>
      <c r="AO124" s="289">
        <v>0</v>
      </c>
      <c r="AP124" s="289">
        <v>1.0500000000000001E-2</v>
      </c>
      <c r="AQ124" s="289">
        <v>1.0999999999999999E-2</v>
      </c>
      <c r="AR124" s="289">
        <v>1.06E-2</v>
      </c>
      <c r="AS124" s="289">
        <v>1.04E-2</v>
      </c>
      <c r="AT124" s="289">
        <v>1.0768</v>
      </c>
      <c r="AU124" s="289">
        <v>5.6939954999999998</v>
      </c>
      <c r="AV124" s="289">
        <v>9.97676856</v>
      </c>
      <c r="AW124" s="289">
        <v>11.3175252</v>
      </c>
      <c r="AX124" s="289">
        <v>9.7622700000000009</v>
      </c>
      <c r="AY124" s="289">
        <v>31.158903999999996</v>
      </c>
      <c r="AZ124" s="289">
        <v>36.738509999999998</v>
      </c>
      <c r="BA124" s="289">
        <v>42.262899999999995</v>
      </c>
      <c r="BB124" s="289">
        <v>84.248324999999994</v>
      </c>
      <c r="BC124" s="289">
        <v>90.506275000000002</v>
      </c>
      <c r="BD124" s="289">
        <v>127.37610937500001</v>
      </c>
      <c r="BE124" s="289">
        <v>127.37610937500001</v>
      </c>
    </row>
    <row r="125" spans="1:57">
      <c r="A125" s="289" t="s">
        <v>2080</v>
      </c>
      <c r="C125" s="289" t="s">
        <v>2081</v>
      </c>
      <c r="D125" s="289" t="s">
        <v>892</v>
      </c>
      <c r="E125" s="289" t="s">
        <v>94</v>
      </c>
      <c r="F125" s="289">
        <v>0</v>
      </c>
      <c r="G125" s="289">
        <v>0</v>
      </c>
      <c r="H125" s="289">
        <v>0</v>
      </c>
      <c r="I125" s="289">
        <v>0</v>
      </c>
      <c r="J125" s="289">
        <v>0</v>
      </c>
      <c r="K125" s="289">
        <v>0</v>
      </c>
      <c r="L125" s="289">
        <v>0</v>
      </c>
      <c r="M125" s="289">
        <v>0</v>
      </c>
      <c r="N125" s="289">
        <v>0</v>
      </c>
      <c r="O125" s="289">
        <v>0</v>
      </c>
      <c r="P125" s="289">
        <v>0</v>
      </c>
      <c r="Q125" s="289">
        <v>0</v>
      </c>
      <c r="R125" s="289">
        <v>0</v>
      </c>
      <c r="S125" s="289">
        <v>0</v>
      </c>
      <c r="T125" s="289">
        <v>0</v>
      </c>
      <c r="U125" s="289">
        <v>0</v>
      </c>
      <c r="V125" s="289">
        <v>0</v>
      </c>
      <c r="W125" s="289">
        <v>0</v>
      </c>
      <c r="X125" s="289">
        <v>0</v>
      </c>
      <c r="Y125" s="289">
        <v>0</v>
      </c>
      <c r="Z125" s="289">
        <v>0</v>
      </c>
      <c r="AA125" s="289">
        <v>0</v>
      </c>
      <c r="AB125" s="289">
        <v>0</v>
      </c>
      <c r="AC125" s="289">
        <v>0</v>
      </c>
      <c r="AD125" s="289">
        <v>0</v>
      </c>
      <c r="AE125" s="289">
        <v>0</v>
      </c>
      <c r="AF125" s="289">
        <v>0</v>
      </c>
      <c r="AG125" s="289">
        <v>0</v>
      </c>
      <c r="AH125" s="289">
        <v>0</v>
      </c>
      <c r="AI125" s="289">
        <v>0</v>
      </c>
      <c r="AJ125" s="289">
        <v>0</v>
      </c>
      <c r="AK125" s="289">
        <v>0</v>
      </c>
      <c r="AL125" s="289">
        <v>0</v>
      </c>
      <c r="AM125" s="289">
        <v>0</v>
      </c>
      <c r="AN125" s="289">
        <v>0</v>
      </c>
      <c r="AO125" s="289">
        <v>0</v>
      </c>
      <c r="AP125" s="289">
        <v>366.02201257861634</v>
      </c>
      <c r="AQ125" s="289">
        <v>408.82012578616354</v>
      </c>
      <c r="AR125" s="289">
        <v>470.28050314465412</v>
      </c>
      <c r="AS125" s="289">
        <v>483.49937106918236</v>
      </c>
      <c r="AT125" s="289">
        <v>957.79559748427675</v>
      </c>
      <c r="AU125" s="289">
        <v>1074.7045785881808</v>
      </c>
      <c r="AV125" s="289">
        <v>1382</v>
      </c>
      <c r="AW125" s="289">
        <v>1647</v>
      </c>
      <c r="AX125" s="289">
        <v>1740</v>
      </c>
      <c r="AY125" s="289">
        <v>2602</v>
      </c>
      <c r="AZ125" s="289">
        <v>1350</v>
      </c>
      <c r="BA125" s="289">
        <v>1076.8</v>
      </c>
      <c r="BB125" s="289">
        <v>1793.1</v>
      </c>
      <c r="BC125" s="289">
        <v>1436.5</v>
      </c>
      <c r="BD125" s="289">
        <v>1436.5</v>
      </c>
      <c r="BE125" s="289">
        <v>1436.5</v>
      </c>
    </row>
    <row r="126" spans="1:57">
      <c r="A126" s="289" t="s">
        <v>2082</v>
      </c>
      <c r="C126" s="289" t="s">
        <v>2046</v>
      </c>
      <c r="D126" s="289">
        <v>0</v>
      </c>
      <c r="E126" s="289">
        <v>0</v>
      </c>
      <c r="F126" s="289">
        <v>0</v>
      </c>
      <c r="G126" s="289">
        <v>0</v>
      </c>
      <c r="H126" s="289">
        <v>0</v>
      </c>
      <c r="I126" s="289">
        <v>0</v>
      </c>
      <c r="J126" s="289">
        <v>0</v>
      </c>
      <c r="K126" s="289">
        <v>0</v>
      </c>
      <c r="L126" s="289">
        <v>0</v>
      </c>
      <c r="M126" s="289">
        <v>0</v>
      </c>
      <c r="N126" s="289">
        <v>0</v>
      </c>
      <c r="O126" s="289">
        <v>0</v>
      </c>
      <c r="P126" s="289">
        <v>0</v>
      </c>
      <c r="Q126" s="289">
        <v>0</v>
      </c>
      <c r="R126" s="289">
        <v>0</v>
      </c>
      <c r="S126" s="289">
        <v>0</v>
      </c>
      <c r="T126" s="289">
        <v>0</v>
      </c>
      <c r="U126" s="289">
        <v>0</v>
      </c>
      <c r="V126" s="289">
        <v>0</v>
      </c>
      <c r="W126" s="289">
        <v>0</v>
      </c>
      <c r="X126" s="289">
        <v>0</v>
      </c>
      <c r="Y126" s="289">
        <v>0</v>
      </c>
      <c r="Z126" s="289">
        <v>0</v>
      </c>
      <c r="AA126" s="289">
        <v>0</v>
      </c>
      <c r="AB126" s="289">
        <v>0</v>
      </c>
      <c r="AC126" s="289">
        <v>0</v>
      </c>
      <c r="AD126" s="289">
        <v>0</v>
      </c>
      <c r="AE126" s="289">
        <v>0</v>
      </c>
      <c r="AF126" s="289">
        <v>0</v>
      </c>
      <c r="AG126" s="289">
        <v>0</v>
      </c>
      <c r="AH126" s="289">
        <v>0</v>
      </c>
      <c r="AI126" s="289">
        <v>0</v>
      </c>
      <c r="AJ126" s="289">
        <v>0</v>
      </c>
      <c r="AK126" s="289">
        <v>0</v>
      </c>
      <c r="AL126" s="289">
        <v>0</v>
      </c>
      <c r="AM126" s="289">
        <v>0</v>
      </c>
      <c r="AN126" s="289">
        <v>0</v>
      </c>
      <c r="AO126" s="289">
        <v>0</v>
      </c>
      <c r="AP126" s="289">
        <v>1.5E-3</v>
      </c>
      <c r="AQ126" s="289">
        <v>2.3999999999999998E-3</v>
      </c>
      <c r="AR126" s="289">
        <v>1.8E-3</v>
      </c>
      <c r="AS126" s="289">
        <v>3.7000000000000002E-3</v>
      </c>
      <c r="AT126" s="289">
        <v>0.2094</v>
      </c>
      <c r="AU126" s="289">
        <v>0.32101999999999997</v>
      </c>
      <c r="AV126" s="289">
        <v>0.32101999999999997</v>
      </c>
      <c r="AW126" s="289">
        <v>0.24059999999999998</v>
      </c>
      <c r="AX126" s="289">
        <v>0.24059999999999998</v>
      </c>
      <c r="AY126" s="289">
        <v>0.51594000000000007</v>
      </c>
      <c r="AZ126" s="289">
        <v>0.79577999999999993</v>
      </c>
      <c r="BA126" s="289">
        <v>1.5249499999999998</v>
      </c>
      <c r="BB126" s="289">
        <v>1.642725</v>
      </c>
      <c r="BC126" s="289">
        <v>1.9144620206249996</v>
      </c>
      <c r="BD126" s="289">
        <v>2.1383533810701554</v>
      </c>
      <c r="BE126" s="289">
        <v>2.2575665820648161</v>
      </c>
    </row>
    <row r="127" spans="1:57">
      <c r="A127" s="289" t="s">
        <v>4619</v>
      </c>
      <c r="C127" s="289" t="s">
        <v>1622</v>
      </c>
      <c r="D127" s="289">
        <v>0</v>
      </c>
      <c r="E127" s="289">
        <v>0</v>
      </c>
      <c r="F127" s="289">
        <v>0</v>
      </c>
      <c r="G127" s="289">
        <v>0</v>
      </c>
      <c r="H127" s="289">
        <v>0</v>
      </c>
      <c r="I127" s="289">
        <v>0</v>
      </c>
      <c r="J127" s="289">
        <v>0</v>
      </c>
      <c r="K127" s="289">
        <v>0</v>
      </c>
      <c r="L127" s="289">
        <v>0</v>
      </c>
      <c r="M127" s="289">
        <v>0</v>
      </c>
      <c r="N127" s="289">
        <v>0</v>
      </c>
      <c r="O127" s="289">
        <v>0</v>
      </c>
      <c r="P127" s="289">
        <v>0</v>
      </c>
      <c r="Q127" s="289">
        <v>0</v>
      </c>
      <c r="R127" s="289">
        <v>0</v>
      </c>
      <c r="S127" s="289">
        <v>0</v>
      </c>
      <c r="T127" s="289">
        <v>0</v>
      </c>
      <c r="U127" s="289">
        <v>0</v>
      </c>
      <c r="V127" s="289">
        <v>0</v>
      </c>
      <c r="W127" s="289">
        <v>0</v>
      </c>
      <c r="X127" s="289">
        <v>0</v>
      </c>
      <c r="Y127" s="289">
        <v>0</v>
      </c>
      <c r="Z127" s="289">
        <v>0</v>
      </c>
      <c r="AA127" s="289">
        <v>0</v>
      </c>
      <c r="AB127" s="289">
        <v>0</v>
      </c>
      <c r="AC127" s="289">
        <v>0</v>
      </c>
      <c r="AD127" s="289">
        <v>0</v>
      </c>
      <c r="AE127" s="289">
        <v>0</v>
      </c>
      <c r="AF127" s="289">
        <v>0</v>
      </c>
      <c r="AG127" s="289">
        <v>0</v>
      </c>
      <c r="AH127" s="289">
        <v>0</v>
      </c>
      <c r="AI127" s="289">
        <v>0</v>
      </c>
      <c r="AJ127" s="289">
        <v>0</v>
      </c>
      <c r="AK127" s="289">
        <v>0</v>
      </c>
      <c r="AL127" s="289">
        <v>0</v>
      </c>
      <c r="AM127" s="289">
        <v>0</v>
      </c>
      <c r="AN127" s="289">
        <v>0</v>
      </c>
      <c r="AO127" s="289">
        <v>0</v>
      </c>
      <c r="AP127" s="289">
        <v>2181.1999999999998</v>
      </c>
      <c r="AQ127" s="289">
        <v>3351</v>
      </c>
      <c r="AR127" s="289">
        <v>2917.6</v>
      </c>
      <c r="AS127" s="289">
        <v>6776.9</v>
      </c>
      <c r="AT127" s="289">
        <v>3754.8</v>
      </c>
      <c r="AU127" s="289">
        <v>3754.8</v>
      </c>
      <c r="AV127" s="289">
        <v>2300</v>
      </c>
      <c r="AW127" s="289">
        <v>1900</v>
      </c>
      <c r="AX127" s="289">
        <v>2200</v>
      </c>
      <c r="AY127" s="289">
        <v>2200</v>
      </c>
      <c r="AZ127" s="289">
        <v>2200</v>
      </c>
      <c r="BA127" s="289">
        <v>2700</v>
      </c>
      <c r="BB127" s="289">
        <v>2400</v>
      </c>
      <c r="BC127" s="289">
        <v>2460</v>
      </c>
      <c r="BD127" s="289">
        <v>2521.5</v>
      </c>
      <c r="BE127" s="289">
        <v>2584.5374999999999</v>
      </c>
    </row>
    <row r="128" spans="1:57">
      <c r="A128" s="289" t="s">
        <v>2083</v>
      </c>
      <c r="C128" s="289" t="s">
        <v>2046</v>
      </c>
      <c r="AY128" s="289">
        <v>51.594000000000008</v>
      </c>
      <c r="AZ128" s="289">
        <v>79.578000000000003</v>
      </c>
      <c r="BA128" s="289">
        <v>76.247500000000002</v>
      </c>
      <c r="BB128" s="289">
        <v>164.27250000000001</v>
      </c>
      <c r="BC128" s="289">
        <v>365.93747500000006</v>
      </c>
      <c r="BD128" s="289">
        <v>796.83364329829487</v>
      </c>
      <c r="BE128" s="289">
        <v>841.25711891217475</v>
      </c>
    </row>
    <row r="129" spans="1:57">
      <c r="A129" s="289" t="s">
        <v>2084</v>
      </c>
      <c r="C129" s="289" t="s">
        <v>1622</v>
      </c>
      <c r="BA129" s="289">
        <v>3.6148000000000002</v>
      </c>
      <c r="BB129" s="289">
        <v>6.3336000000000006</v>
      </c>
      <c r="BC129" s="289">
        <v>10.8024</v>
      </c>
      <c r="BD129" s="289">
        <v>21.585999999999999</v>
      </c>
      <c r="BE129" s="289">
        <v>22.125649999999997</v>
      </c>
    </row>
    <row r="130" spans="1:57">
      <c r="A130" s="289" t="s">
        <v>2085</v>
      </c>
      <c r="E130" s="289" t="s">
        <v>2219</v>
      </c>
    </row>
    <row r="131" spans="1:57">
      <c r="A131" s="289" t="s">
        <v>839</v>
      </c>
      <c r="C131" s="289" t="s">
        <v>2046</v>
      </c>
      <c r="E131" s="289" t="s">
        <v>3796</v>
      </c>
      <c r="F131" s="289">
        <v>1.3600000000000001E-2</v>
      </c>
      <c r="G131" s="289">
        <v>1.7100000000000001E-2</v>
      </c>
      <c r="H131" s="289">
        <v>1.333993124961853E-2</v>
      </c>
      <c r="I131" s="289">
        <v>1.4605133056640627E-2</v>
      </c>
      <c r="J131" s="289">
        <v>1.903260505199432E-2</v>
      </c>
      <c r="K131" s="289">
        <v>1.5983154654502875E-2</v>
      </c>
      <c r="L131" s="289">
        <v>1.9204035997390744E-2</v>
      </c>
      <c r="M131" s="289">
        <v>1.8786452531814584E-2</v>
      </c>
      <c r="N131" s="289">
        <v>2.3984620809555053E-2</v>
      </c>
      <c r="O131" s="289">
        <v>2.300879406929017E-2</v>
      </c>
      <c r="P131" s="289">
        <v>2.1834070682525637E-2</v>
      </c>
      <c r="Q131" s="289">
        <v>2.0399998545646669E-2</v>
      </c>
      <c r="R131" s="289">
        <v>2.0600000381469731E-2</v>
      </c>
      <c r="S131" s="289">
        <v>2.9699998378753666E-2</v>
      </c>
      <c r="T131" s="289">
        <v>3.6800003767013548E-2</v>
      </c>
      <c r="U131" s="289">
        <v>3.2099999189376831E-2</v>
      </c>
      <c r="V131" s="289">
        <v>2.5700000047683719E-2</v>
      </c>
      <c r="W131" s="289">
        <v>4.4799998760223392E-2</v>
      </c>
      <c r="X131" s="289">
        <v>2.2960001707077037E-2</v>
      </c>
      <c r="Y131" s="289">
        <v>2.7599998593330378E-2</v>
      </c>
      <c r="Z131" s="289">
        <v>5.0999997854232787E-2</v>
      </c>
      <c r="AA131" s="289">
        <v>6.7089993000030546E-2</v>
      </c>
      <c r="AB131" s="289">
        <v>8.1440001368522655E-2</v>
      </c>
      <c r="AC131" s="289">
        <v>0.15088999962806698</v>
      </c>
      <c r="AD131" s="289">
        <v>0.13545000028610235</v>
      </c>
      <c r="AE131" s="289">
        <v>0.10888999056816104</v>
      </c>
      <c r="AF131" s="289">
        <v>0.1365716905593872</v>
      </c>
      <c r="AG131" s="289">
        <v>0.19938100433349612</v>
      </c>
      <c r="AH131" s="289">
        <v>0.20409029364585879</v>
      </c>
      <c r="AI131" s="289">
        <v>0.22377960467338562</v>
      </c>
      <c r="AJ131" s="289">
        <v>0.19444490003585813</v>
      </c>
      <c r="AK131" s="289">
        <v>0.25720030689239504</v>
      </c>
      <c r="AL131" s="289">
        <v>0.31967608690261839</v>
      </c>
      <c r="AM131" s="289">
        <v>0.26889999866485598</v>
      </c>
      <c r="AN131" s="289">
        <v>0.31470000028610223</v>
      </c>
      <c r="AO131" s="289">
        <v>0.22290000104904167</v>
      </c>
      <c r="AP131" s="289">
        <v>0.24992999999999993</v>
      </c>
      <c r="AQ131" s="289">
        <v>0.40747</v>
      </c>
      <c r="AR131" s="289">
        <v>0.39603000000000005</v>
      </c>
      <c r="AS131" s="289">
        <v>0.75357000000000007</v>
      </c>
      <c r="AT131" s="289">
        <v>3.3686999999999978</v>
      </c>
      <c r="AU131" s="289">
        <v>32.268219999999999</v>
      </c>
      <c r="AV131" s="289">
        <v>32.268219999999992</v>
      </c>
      <c r="AW131" s="289">
        <v>32.268220000000007</v>
      </c>
      <c r="AX131" s="289">
        <v>73.463999999999999</v>
      </c>
      <c r="AY131" s="289">
        <v>104.01199999999997</v>
      </c>
      <c r="AZ131" s="289">
        <v>279.12387500000006</v>
      </c>
      <c r="BA131" s="289">
        <v>317.69900000000001</v>
      </c>
      <c r="BB131" s="289">
        <v>351.77300000000002</v>
      </c>
      <c r="BC131" s="289">
        <v>388.27188636840526</v>
      </c>
      <c r="BD131" s="289">
        <v>424.38990194283093</v>
      </c>
      <c r="BE131" s="289">
        <v>458.56339313173777</v>
      </c>
    </row>
    <row r="132" spans="1:57">
      <c r="A132" s="289" t="s">
        <v>3127</v>
      </c>
      <c r="C132" s="289" t="s">
        <v>2046</v>
      </c>
      <c r="E132" s="289" t="s">
        <v>2593</v>
      </c>
      <c r="F132" s="289">
        <v>6.320000000000002E-2</v>
      </c>
      <c r="G132" s="289">
        <v>6.6399999999999987E-2</v>
      </c>
      <c r="H132" s="289">
        <v>7.347316622734068E-2</v>
      </c>
      <c r="I132" s="289">
        <v>7.9076516509056075E-2</v>
      </c>
      <c r="J132" s="289">
        <v>8.4930567383766198E-2</v>
      </c>
      <c r="K132" s="289">
        <v>9.8535581231117247E-2</v>
      </c>
      <c r="L132" s="289">
        <v>0.105682914018631</v>
      </c>
      <c r="M132" s="289">
        <v>0.11133677220344543</v>
      </c>
      <c r="N132" s="289">
        <v>0.11450231361389154</v>
      </c>
      <c r="O132" s="289">
        <v>0.12319960761070245</v>
      </c>
      <c r="P132" s="289">
        <v>0.12681210708618162</v>
      </c>
      <c r="Q132" s="289">
        <v>0.15610899448394774</v>
      </c>
      <c r="R132" s="289">
        <v>0.1866090180873872</v>
      </c>
      <c r="S132" s="289">
        <v>0.24527998828887934</v>
      </c>
      <c r="T132" s="289">
        <v>0.25526500082015996</v>
      </c>
      <c r="U132" s="289">
        <v>0.26886197495460518</v>
      </c>
      <c r="V132" s="289">
        <v>0.28780801582336429</v>
      </c>
      <c r="W132" s="289">
        <v>0.28690098381042478</v>
      </c>
      <c r="X132" s="289">
        <v>0.30573999619483949</v>
      </c>
      <c r="Y132" s="289">
        <v>0.35840003716945645</v>
      </c>
      <c r="Z132" s="289">
        <v>0.37659999537467959</v>
      </c>
      <c r="AA132" s="289">
        <v>0.43589997720718393</v>
      </c>
      <c r="AB132" s="289">
        <v>0.52913000786304454</v>
      </c>
      <c r="AC132" s="289">
        <v>0.72725991225242637</v>
      </c>
      <c r="AD132" s="289">
        <v>0.8436400513648985</v>
      </c>
      <c r="AE132" s="289">
        <v>0.90986002659797649</v>
      </c>
      <c r="AF132" s="289">
        <v>0.92933834743499744</v>
      </c>
      <c r="AG132" s="289">
        <v>1.0132190418243407</v>
      </c>
      <c r="AH132" s="289">
        <v>1.0859096720218657</v>
      </c>
      <c r="AI132" s="289">
        <v>1.1542603752613061</v>
      </c>
      <c r="AJ132" s="289">
        <v>1.1185551018714905</v>
      </c>
      <c r="AK132" s="289">
        <v>1.0204397344589233</v>
      </c>
      <c r="AL132" s="289">
        <v>1.0854439101219182</v>
      </c>
      <c r="AM132" s="289">
        <v>1.4763999881744381</v>
      </c>
      <c r="AN132" s="289">
        <v>1.9135499386787413</v>
      </c>
      <c r="AO132" s="289">
        <v>2.8060999932289112</v>
      </c>
      <c r="AP132" s="289">
        <v>4.0392499999999991</v>
      </c>
      <c r="AQ132" s="289">
        <v>5.6509899999999993</v>
      </c>
      <c r="AR132" s="289">
        <v>7.8324900000000008</v>
      </c>
      <c r="AS132" s="289">
        <v>12.892839999999998</v>
      </c>
      <c r="AT132" s="289">
        <v>29.586820000000017</v>
      </c>
      <c r="AU132" s="289">
        <v>99.112497500000089</v>
      </c>
      <c r="AV132" s="289">
        <v>148.77779750000002</v>
      </c>
      <c r="AW132" s="289">
        <v>199.40875</v>
      </c>
      <c r="AX132" s="289">
        <v>289.45107000000007</v>
      </c>
      <c r="AY132" s="289">
        <v>504.6158999999999</v>
      </c>
      <c r="AZ132" s="289">
        <v>590.95582500000023</v>
      </c>
      <c r="BA132" s="289">
        <v>683.69099999999935</v>
      </c>
      <c r="BB132" s="289">
        <v>1546.9893000000002</v>
      </c>
      <c r="BC132" s="289">
        <v>2215.74863540142</v>
      </c>
      <c r="BD132" s="289">
        <v>2623.1889360563191</v>
      </c>
      <c r="BE132" s="289">
        <v>2915.679095217828</v>
      </c>
    </row>
    <row r="133" spans="1:57">
      <c r="A133" s="289" t="s">
        <v>3128</v>
      </c>
      <c r="BB133" s="289">
        <v>2.5</v>
      </c>
      <c r="BC133" s="289">
        <v>2.5</v>
      </c>
      <c r="BD133" s="289">
        <v>2.5</v>
      </c>
      <c r="BE133" s="289">
        <v>2.5</v>
      </c>
    </row>
    <row r="134" spans="1:57">
      <c r="A134" s="289" t="s">
        <v>1807</v>
      </c>
      <c r="AU134" s="289" t="s">
        <v>2219</v>
      </c>
      <c r="BE134" s="289" t="s">
        <v>2219</v>
      </c>
    </row>
    <row r="135" spans="1:57">
      <c r="A135" s="289" t="s">
        <v>1808</v>
      </c>
    </row>
    <row r="136" spans="1:57">
      <c r="A136" s="289" t="s">
        <v>4547</v>
      </c>
      <c r="C136" s="289" t="s">
        <v>1877</v>
      </c>
      <c r="E136" s="289" t="s">
        <v>3706</v>
      </c>
      <c r="F136" s="289">
        <v>74.980188307797533</v>
      </c>
      <c r="G136" s="289">
        <v>76.47979207395349</v>
      </c>
      <c r="H136" s="289">
        <v>77.24458999469303</v>
      </c>
      <c r="I136" s="289">
        <v>78.774185840730652</v>
      </c>
      <c r="J136" s="289">
        <v>85.657367456000443</v>
      </c>
      <c r="K136" s="289">
        <v>85.657367456000443</v>
      </c>
      <c r="L136" s="289">
        <v>85.657367456000443</v>
      </c>
      <c r="M136" s="289">
        <v>87.951761256318036</v>
      </c>
      <c r="N136" s="289">
        <v>89.481357054109949</v>
      </c>
      <c r="O136" s="289">
        <v>90.246154985398903</v>
      </c>
      <c r="P136" s="289">
        <v>91.010952927238179</v>
      </c>
      <c r="Q136" s="289">
        <v>91.775750859657734</v>
      </c>
      <c r="R136" s="289">
        <v>93.305346670850298</v>
      </c>
      <c r="S136" s="289">
        <v>94.834942474151333</v>
      </c>
      <c r="T136" s="289">
        <v>101.71812400156952</v>
      </c>
      <c r="U136" s="289">
        <v>101.71812400156952</v>
      </c>
      <c r="V136" s="289">
        <v>104.77731567169013</v>
      </c>
      <c r="W136" s="289">
        <v>106.61731242183095</v>
      </c>
      <c r="X136" s="289">
        <v>105.98447637539559</v>
      </c>
      <c r="Y136" s="289">
        <v>108.56769233204935</v>
      </c>
      <c r="Z136" s="289">
        <v>121.69126004902452</v>
      </c>
      <c r="AA136" s="289">
        <v>141.11206527981821</v>
      </c>
      <c r="AB136" s="289">
        <v>151.68353943340023</v>
      </c>
      <c r="AC136" s="289">
        <v>165.80304553832337</v>
      </c>
      <c r="AD136" s="289">
        <v>180.44126908535318</v>
      </c>
      <c r="AE136" s="289">
        <v>194.8512573199809</v>
      </c>
      <c r="AF136" s="289">
        <v>222.04245838564032</v>
      </c>
      <c r="AG136" s="289">
        <v>251.37077748107936</v>
      </c>
      <c r="AH136" s="289">
        <v>273.26067983306064</v>
      </c>
      <c r="AI136" s="289">
        <v>293.17945353312052</v>
      </c>
      <c r="AJ136" s="289">
        <v>306.0436619158416</v>
      </c>
      <c r="AK136" s="289">
        <v>318.89749513257499</v>
      </c>
      <c r="AL136" s="289">
        <v>370.8777844061899</v>
      </c>
      <c r="AM136" s="289">
        <v>484.7372670484632</v>
      </c>
      <c r="AN136" s="289">
        <v>915.18397498050592</v>
      </c>
      <c r="AO136" s="289">
        <v>1052.4615712275818</v>
      </c>
      <c r="AP136" s="289">
        <v>1259.79650878906</v>
      </c>
      <c r="AQ136" s="289">
        <v>1586.9499630950886</v>
      </c>
      <c r="AR136" s="289">
        <v>2279.8457917081882</v>
      </c>
      <c r="AS136" s="289">
        <v>5551.8452615154756</v>
      </c>
      <c r="AT136" s="289">
        <v>26009.242031867438</v>
      </c>
      <c r="AU136" s="289">
        <v>87276.048946936542</v>
      </c>
      <c r="AV136" s="289">
        <v>86577.84055536105</v>
      </c>
      <c r="AW136" s="289">
        <v>92811.445075347045</v>
      </c>
      <c r="AX136" s="289">
        <v>110167.18530443695</v>
      </c>
      <c r="AY136" s="289">
        <v>219396.77754245314</v>
      </c>
      <c r="AZ136" s="289">
        <v>349253.41724172566</v>
      </c>
      <c r="BA136" s="289">
        <v>484266.81880631222</v>
      </c>
      <c r="BB136" s="289">
        <v>559274.26411997143</v>
      </c>
      <c r="BC136" s="289">
        <v>686912.29126915219</v>
      </c>
      <c r="BD136" s="289">
        <v>749750.62957405555</v>
      </c>
      <c r="BE136" s="289">
        <v>800376.10953441798</v>
      </c>
    </row>
    <row r="137" spans="1:57">
      <c r="A137" s="289" t="s">
        <v>19</v>
      </c>
      <c r="C137" s="289" t="s">
        <v>1877</v>
      </c>
      <c r="E137" s="289" t="s">
        <v>3700</v>
      </c>
      <c r="F137" s="289">
        <v>48.402857184031397</v>
      </c>
      <c r="G137" s="289">
        <v>51.307028615073285</v>
      </c>
      <c r="H137" s="289">
        <v>49.716510728006014</v>
      </c>
      <c r="I137" s="289">
        <v>49.550879728323601</v>
      </c>
      <c r="J137" s="289">
        <v>57.179470385899599</v>
      </c>
      <c r="K137" s="289">
        <v>62.277083949783339</v>
      </c>
      <c r="L137" s="289">
        <v>64.061966369245198</v>
      </c>
      <c r="M137" s="289">
        <v>62.541356249664233</v>
      </c>
      <c r="N137" s="289">
        <v>62.781488294467259</v>
      </c>
      <c r="O137" s="289">
        <v>64.06704218315592</v>
      </c>
      <c r="P137" s="289">
        <v>62.772675929424466</v>
      </c>
      <c r="Q137" s="289">
        <v>61.411059419339502</v>
      </c>
      <c r="R137" s="289">
        <v>62.310834609962853</v>
      </c>
      <c r="S137" s="289">
        <v>69.288233670456293</v>
      </c>
      <c r="T137" s="289">
        <v>71.633588336846401</v>
      </c>
      <c r="U137" s="289">
        <v>73.525553199739278</v>
      </c>
      <c r="V137" s="289">
        <v>76.762637799360022</v>
      </c>
      <c r="W137" s="289">
        <v>81.942923682050264</v>
      </c>
      <c r="X137" s="289">
        <v>84.313167816848718</v>
      </c>
      <c r="Y137" s="289">
        <v>84.993371232938969</v>
      </c>
      <c r="Z137" s="289">
        <v>85.565634563398518</v>
      </c>
      <c r="AA137" s="289">
        <v>123.29927513902848</v>
      </c>
      <c r="AB137" s="289">
        <v>142.84054568201057</v>
      </c>
      <c r="AC137" s="289">
        <v>157.33724763926168</v>
      </c>
      <c r="AD137" s="289">
        <v>175.87810510140659</v>
      </c>
      <c r="AE137" s="289">
        <v>186.05645230743121</v>
      </c>
      <c r="AF137" s="289">
        <v>199.72707495008837</v>
      </c>
      <c r="AG137" s="289">
        <v>236.9929506675351</v>
      </c>
      <c r="AH137" s="289">
        <v>257.56173135106076</v>
      </c>
      <c r="AI137" s="289">
        <v>231.43227429267756</v>
      </c>
      <c r="AJ137" s="289">
        <v>211.29065708876911</v>
      </c>
      <c r="AK137" s="289">
        <v>221.58193445464829</v>
      </c>
      <c r="AL137" s="289">
        <v>174.99306990516729</v>
      </c>
      <c r="AM137" s="289">
        <v>179.30860358504879</v>
      </c>
      <c r="AN137" s="289">
        <v>183.61201024209197</v>
      </c>
      <c r="AO137" s="289">
        <v>225.47554717644047</v>
      </c>
      <c r="AP137" s="289">
        <v>315.21481323242187</v>
      </c>
      <c r="AQ137" s="289">
        <v>254.43782029185712</v>
      </c>
      <c r="AR137" s="289">
        <v>220.1366205000071</v>
      </c>
      <c r="AS137" s="289">
        <v>5388.3314011236753</v>
      </c>
      <c r="AT137" s="289">
        <v>28151.620701559306</v>
      </c>
      <c r="AU137" s="289">
        <v>76054.648325409202</v>
      </c>
      <c r="AV137" s="289">
        <v>61593.988365456891</v>
      </c>
      <c r="AW137" s="289">
        <v>60575.877612807191</v>
      </c>
      <c r="AX137" s="289">
        <v>50748.436760056335</v>
      </c>
      <c r="AY137" s="289">
        <v>109223.81906309645</v>
      </c>
      <c r="AZ137" s="289">
        <v>197416.35475033105</v>
      </c>
      <c r="BA137" s="289">
        <v>322884.35638969386</v>
      </c>
      <c r="BB137" s="289">
        <v>244598.7896450877</v>
      </c>
      <c r="BC137" s="289">
        <v>300917.74037110707</v>
      </c>
      <c r="BD137" s="289">
        <v>362372.62218111055</v>
      </c>
      <c r="BE137" s="289">
        <v>372657.56406878674</v>
      </c>
    </row>
    <row r="138" spans="1:57">
      <c r="A138" s="289" t="s">
        <v>20</v>
      </c>
      <c r="C138" s="289" t="s">
        <v>1877</v>
      </c>
      <c r="E138" s="289" t="s">
        <v>938</v>
      </c>
      <c r="F138" s="289">
        <v>76.87888443801252</v>
      </c>
      <c r="G138" s="289">
        <v>78.262704357896752</v>
      </c>
      <c r="H138" s="289">
        <v>78.654017879686222</v>
      </c>
      <c r="I138" s="289">
        <v>81.031086190800721</v>
      </c>
      <c r="J138" s="289">
        <v>82.836280027178489</v>
      </c>
      <c r="K138" s="289">
        <v>81.489149173372937</v>
      </c>
      <c r="L138" s="289">
        <v>80.759396887638303</v>
      </c>
      <c r="M138" s="289">
        <v>81.377685363383861</v>
      </c>
      <c r="N138" s="289">
        <v>82.855072908779903</v>
      </c>
      <c r="O138" s="289">
        <v>83.265810273425174</v>
      </c>
      <c r="P138" s="289">
        <v>83.523967564367737</v>
      </c>
      <c r="Q138" s="289">
        <v>85.412736137697124</v>
      </c>
      <c r="R138" s="289">
        <v>86.803962333795567</v>
      </c>
      <c r="S138" s="289">
        <v>87.812626187399957</v>
      </c>
      <c r="T138" s="289">
        <v>88.989441547995156</v>
      </c>
      <c r="U138" s="289">
        <v>89.331305094669588</v>
      </c>
      <c r="V138" s="289">
        <v>91.437418256905346</v>
      </c>
      <c r="W138" s="289">
        <v>95.458555342706006</v>
      </c>
      <c r="X138" s="289">
        <v>101.95501375623353</v>
      </c>
      <c r="Y138" s="289">
        <v>103.03785917252857</v>
      </c>
      <c r="Z138" s="289">
        <v>127.00653293823419</v>
      </c>
      <c r="AA138" s="289">
        <v>192.31174916662809</v>
      </c>
      <c r="AB138" s="289">
        <v>210.91794244377681</v>
      </c>
      <c r="AC138" s="289">
        <v>215.62914418925968</v>
      </c>
      <c r="AD138" s="289">
        <v>233.30100683060195</v>
      </c>
      <c r="AE138" s="289">
        <v>252.99587602236099</v>
      </c>
      <c r="AF138" s="289">
        <v>308.03782418978045</v>
      </c>
      <c r="AG138" s="289">
        <v>399.65722644014636</v>
      </c>
      <c r="AH138" s="289">
        <v>420.12283565058954</v>
      </c>
      <c r="AI138" s="289">
        <v>414.14594519348611</v>
      </c>
      <c r="AJ138" s="289">
        <v>390.12896313264059</v>
      </c>
      <c r="AK138" s="289">
        <v>384.55011916447461</v>
      </c>
      <c r="AL138" s="289">
        <v>401.08577502201814</v>
      </c>
      <c r="AM138" s="289">
        <v>410.43107327402703</v>
      </c>
      <c r="AN138" s="289">
        <v>683.73710993676684</v>
      </c>
      <c r="AO138" s="289">
        <v>766.46930284736573</v>
      </c>
      <c r="AP138" s="289">
        <v>927.4278564453125</v>
      </c>
      <c r="AQ138" s="289">
        <v>1282.6911560520318</v>
      </c>
      <c r="AR138" s="289">
        <v>1672.4704120341341</v>
      </c>
      <c r="AS138" s="289">
        <v>9190.9995192665665</v>
      </c>
      <c r="AT138" s="289">
        <v>48391.159203629839</v>
      </c>
      <c r="AU138" s="289">
        <v>103101.8947312556</v>
      </c>
      <c r="AV138" s="289">
        <v>96448.77486089521</v>
      </c>
      <c r="AW138" s="289">
        <v>98599.478586408368</v>
      </c>
      <c r="AX138" s="289">
        <v>100078.47076520449</v>
      </c>
      <c r="AY138" s="289">
        <v>219328.53243202326</v>
      </c>
      <c r="AZ138" s="289">
        <v>349791.69353621185</v>
      </c>
      <c r="BA138" s="289">
        <v>590633.94261551637</v>
      </c>
      <c r="BB138" s="289">
        <v>646429.80404420034</v>
      </c>
      <c r="BC138" s="289">
        <v>734986.55533629295</v>
      </c>
      <c r="BD138" s="289">
        <v>829773.26198575879</v>
      </c>
      <c r="BE138" s="289">
        <v>854666.45984533161</v>
      </c>
    </row>
    <row r="139" spans="1:57">
      <c r="A139" s="289" t="s">
        <v>3105</v>
      </c>
      <c r="C139" s="289" t="s">
        <v>1877</v>
      </c>
      <c r="E139" s="289" t="s">
        <v>3701</v>
      </c>
      <c r="F139" s="289">
        <v>46.912020237702606</v>
      </c>
      <c r="G139" s="289">
        <v>47.850260642456661</v>
      </c>
      <c r="H139" s="289">
        <v>48.328763248881231</v>
      </c>
      <c r="I139" s="289">
        <v>49.295338513858859</v>
      </c>
      <c r="J139" s="289">
        <v>49.602909053224735</v>
      </c>
      <c r="K139" s="289">
        <v>50.233454522324521</v>
      </c>
      <c r="L139" s="289">
        <v>46.870545504121864</v>
      </c>
      <c r="M139" s="289">
        <v>56.749090840831357</v>
      </c>
      <c r="N139" s="289">
        <v>53.386181864212027</v>
      </c>
      <c r="O139" s="289">
        <v>58.430545645236478</v>
      </c>
      <c r="P139" s="289">
        <v>54.576982185124059</v>
      </c>
      <c r="Q139" s="289">
        <v>50.540021794879877</v>
      </c>
      <c r="R139" s="289">
        <v>54.693534022670811</v>
      </c>
      <c r="S139" s="289">
        <v>58.03575107894298</v>
      </c>
      <c r="T139" s="289">
        <v>65.076679376564172</v>
      </c>
      <c r="U139" s="289">
        <v>78.825081166533906</v>
      </c>
      <c r="V139" s="289">
        <v>88.406456753744351</v>
      </c>
      <c r="W139" s="289">
        <v>104.20139981741508</v>
      </c>
      <c r="X139" s="289">
        <v>99.039627177744677</v>
      </c>
      <c r="Y139" s="289">
        <v>94.777883097102176</v>
      </c>
      <c r="Z139" s="289">
        <v>121.79157552987813</v>
      </c>
      <c r="AA139" s="289">
        <v>140.15156006612028</v>
      </c>
      <c r="AB139" s="289">
        <v>176.05478481297038</v>
      </c>
      <c r="AC139" s="289">
        <v>197.18135899052686</v>
      </c>
      <c r="AD139" s="289">
        <v>244.716151964582</v>
      </c>
      <c r="AE139" s="289">
        <v>267.60327432582443</v>
      </c>
      <c r="AF139" s="289">
        <v>290.49039593483548</v>
      </c>
      <c r="AG139" s="289">
        <v>295.77203965469226</v>
      </c>
      <c r="AH139" s="289">
        <v>295.77203965469226</v>
      </c>
      <c r="AI139" s="289">
        <v>311.6169705519581</v>
      </c>
      <c r="AJ139" s="289">
        <v>310.03247744357765</v>
      </c>
      <c r="AK139" s="289">
        <v>291.5467256329319</v>
      </c>
      <c r="AL139" s="289">
        <v>291.5467256329319</v>
      </c>
      <c r="AM139" s="289">
        <v>387.14447701541138</v>
      </c>
      <c r="AN139" s="289">
        <v>501.40401600922485</v>
      </c>
      <c r="AO139" s="289">
        <v>576.6146184106085</v>
      </c>
      <c r="AP139" s="289">
        <v>690.20770263671875</v>
      </c>
      <c r="AQ139" s="289">
        <v>869.44604194857925</v>
      </c>
      <c r="AR139" s="289">
        <v>1249.0645237407762</v>
      </c>
      <c r="AS139" s="289">
        <v>3041.7026373794833</v>
      </c>
      <c r="AT139" s="289">
        <v>14249.745149233024</v>
      </c>
      <c r="AU139" s="289">
        <v>47816.136033570503</v>
      </c>
      <c r="AV139" s="289">
        <v>50089.226705202498</v>
      </c>
      <c r="AW139" s="289">
        <v>57617.980064283394</v>
      </c>
      <c r="AX139" s="289">
        <v>74027.846185189788</v>
      </c>
      <c r="AY139" s="289">
        <v>156831.27525320559</v>
      </c>
      <c r="AZ139" s="289">
        <v>232469.35605515211</v>
      </c>
      <c r="BA139" s="289">
        <v>321090.10142222908</v>
      </c>
      <c r="BB139" s="289">
        <v>311418.08971696254</v>
      </c>
      <c r="BC139" s="289">
        <v>341338.08944588201</v>
      </c>
      <c r="BD139" s="289">
        <v>396601.29266004852</v>
      </c>
      <c r="BE139" s="289">
        <v>419340.0591363876</v>
      </c>
    </row>
    <row r="140" spans="1:57">
      <c r="A140" s="289" t="s">
        <v>3776</v>
      </c>
      <c r="C140" s="289" t="s">
        <v>1877</v>
      </c>
      <c r="E140" s="289" t="s">
        <v>3702</v>
      </c>
      <c r="F140" s="289" t="s">
        <v>2219</v>
      </c>
      <c r="G140" s="289">
        <v>69.438079810703272</v>
      </c>
      <c r="H140" s="289">
        <v>69.602862533189409</v>
      </c>
      <c r="I140" s="289">
        <v>69.06864527982043</v>
      </c>
      <c r="J140" s="289">
        <v>77.890432645245468</v>
      </c>
      <c r="K140" s="289">
        <v>83.38123471613892</v>
      </c>
      <c r="L140" s="289">
        <v>83.177798066436509</v>
      </c>
      <c r="M140" s="289">
        <v>88.050858821804638</v>
      </c>
      <c r="N140" s="289">
        <v>86.010296728199336</v>
      </c>
      <c r="O140" s="289">
        <v>90.553630274181288</v>
      </c>
      <c r="P140" s="289">
        <v>87.263521810851429</v>
      </c>
      <c r="Q140" s="289">
        <v>80.6687541689098</v>
      </c>
      <c r="R140" s="289">
        <v>76.665375468321997</v>
      </c>
      <c r="S140" s="289">
        <v>75.171663653255607</v>
      </c>
      <c r="T140" s="289">
        <v>76.958546794012236</v>
      </c>
      <c r="U140" s="289">
        <v>82.805046089151816</v>
      </c>
      <c r="V140" s="289">
        <v>92.804645661843509</v>
      </c>
      <c r="W140" s="289">
        <v>107.13033531650454</v>
      </c>
      <c r="X140" s="289">
        <v>100.63172355270841</v>
      </c>
      <c r="Y140" s="289">
        <v>107.26643294567302</v>
      </c>
      <c r="Z140" s="289">
        <v>111.94649594137746</v>
      </c>
      <c r="AA140" s="289">
        <v>116.04633224314256</v>
      </c>
      <c r="AB140" s="289">
        <v>145.93689757813789</v>
      </c>
      <c r="AC140" s="289">
        <v>186.8478568384354</v>
      </c>
      <c r="AD140" s="289">
        <v>220.32939997689516</v>
      </c>
      <c r="AE140" s="289">
        <v>243.89227027109803</v>
      </c>
      <c r="AF140" s="289">
        <v>243.84728800916616</v>
      </c>
      <c r="AG140" s="289">
        <v>289.49295533655533</v>
      </c>
      <c r="AH140" s="289">
        <v>327.71217559936781</v>
      </c>
      <c r="AI140" s="289">
        <v>375.58494119693773</v>
      </c>
      <c r="AJ140" s="289">
        <v>438.31213848578619</v>
      </c>
      <c r="AK140" s="289">
        <v>498.94628763814728</v>
      </c>
      <c r="AL140" s="289">
        <v>507.57339087268872</v>
      </c>
      <c r="AM140" s="289">
        <v>635.63648711975304</v>
      </c>
      <c r="AN140" s="289">
        <v>717.39930801213097</v>
      </c>
      <c r="AO140" s="289">
        <v>754.04495564819945</v>
      </c>
      <c r="AP140" s="289">
        <v>855.65728759765625</v>
      </c>
      <c r="AQ140" s="289">
        <v>899.10662707254949</v>
      </c>
      <c r="AR140" s="289">
        <v>1323.7205807110799</v>
      </c>
      <c r="AS140" s="289">
        <v>2953.7012469015881</v>
      </c>
      <c r="AT140" s="289">
        <v>20410.063895040279</v>
      </c>
      <c r="AU140" s="289">
        <v>105768.36651123319</v>
      </c>
      <c r="AV140" s="289">
        <v>119483.60761696093</v>
      </c>
      <c r="AW140" s="289">
        <v>142186.91022048146</v>
      </c>
      <c r="AX140" s="289">
        <v>161276.13085507811</v>
      </c>
      <c r="AY140" s="289">
        <v>331748.23661154677</v>
      </c>
      <c r="AZ140" s="289">
        <v>525194.44915577013</v>
      </c>
      <c r="BA140" s="289">
        <v>802045.60561023199</v>
      </c>
      <c r="BB140" s="289">
        <v>590020.96065927972</v>
      </c>
      <c r="BC140" s="289">
        <v>520021.0721373281</v>
      </c>
      <c r="BD140" s="289">
        <v>653789.60272566648</v>
      </c>
      <c r="BE140" s="289">
        <v>753935.42712712416</v>
      </c>
    </row>
    <row r="141" spans="1:57">
      <c r="A141" s="289" t="s">
        <v>2219</v>
      </c>
    </row>
    <row r="142" spans="1:57">
      <c r="A142" s="289" t="s">
        <v>3777</v>
      </c>
    </row>
    <row r="143" spans="1:57">
      <c r="A143" s="289" t="s">
        <v>2461</v>
      </c>
      <c r="C143" s="289" t="s">
        <v>2046</v>
      </c>
      <c r="AP143" s="289" t="s">
        <v>2219</v>
      </c>
      <c r="AQ143" s="289" t="s">
        <v>2219</v>
      </c>
      <c r="AR143" s="289" t="s">
        <v>2219</v>
      </c>
      <c r="AS143" s="289" t="s">
        <v>2219</v>
      </c>
      <c r="AT143" s="289" t="s">
        <v>2219</v>
      </c>
      <c r="AU143" s="289" t="s">
        <v>2219</v>
      </c>
      <c r="AV143" s="289" t="s">
        <v>2219</v>
      </c>
      <c r="AW143" s="289" t="s">
        <v>2219</v>
      </c>
      <c r="AX143" s="289" t="s">
        <v>2219</v>
      </c>
      <c r="AY143" s="289" t="s">
        <v>2219</v>
      </c>
      <c r="AZ143" s="289">
        <v>27.5</v>
      </c>
      <c r="BA143" s="289">
        <v>216.8</v>
      </c>
      <c r="BB143" s="289">
        <v>254.6</v>
      </c>
      <c r="BC143" s="289">
        <v>264.2</v>
      </c>
      <c r="BD143" s="289">
        <v>359.8</v>
      </c>
      <c r="BE143" s="289">
        <v>467.38315910878038</v>
      </c>
    </row>
    <row r="144" spans="1:57">
      <c r="A144" s="289" t="s">
        <v>3502</v>
      </c>
      <c r="C144" s="289" t="s">
        <v>2046</v>
      </c>
      <c r="D144" s="289" t="s">
        <v>503</v>
      </c>
      <c r="E144" s="289" t="s">
        <v>1684</v>
      </c>
      <c r="F144" s="289">
        <v>0.30430901372581703</v>
      </c>
      <c r="G144" s="289">
        <v>0.30740901372581703</v>
      </c>
      <c r="H144" s="289">
        <v>0.30990901372581703</v>
      </c>
      <c r="I144" s="289">
        <v>0.31057800764590487</v>
      </c>
      <c r="J144" s="289">
        <v>0.31396871728450043</v>
      </c>
      <c r="K144" s="289">
        <v>0.31608870191127048</v>
      </c>
      <c r="L144" s="289">
        <v>0.32416149938851579</v>
      </c>
      <c r="M144" s="289">
        <v>0.31622677398473009</v>
      </c>
      <c r="N144" s="289">
        <v>0.31420899195224034</v>
      </c>
      <c r="O144" s="289">
        <v>0.31748082191497073</v>
      </c>
      <c r="P144" s="289">
        <v>0.32467808321863401</v>
      </c>
      <c r="Q144" s="289">
        <v>0.32330081484466777</v>
      </c>
      <c r="R144" s="289">
        <v>0.31832181749492872</v>
      </c>
      <c r="S144" s="289">
        <v>0.31626481614261853</v>
      </c>
      <c r="T144" s="289">
        <v>0.30593081901222458</v>
      </c>
      <c r="U144" s="289">
        <v>0.30323081032186733</v>
      </c>
      <c r="V144" s="289">
        <v>0.29397982976585613</v>
      </c>
      <c r="W144" s="289">
        <v>0.29442883072048404</v>
      </c>
      <c r="X144" s="289">
        <v>0.27917384604364615</v>
      </c>
      <c r="Y144" s="289">
        <v>0.29847384490072709</v>
      </c>
      <c r="Z144" s="289">
        <v>0.3269738345071671</v>
      </c>
      <c r="AA144" s="289">
        <v>0.34857385443896038</v>
      </c>
      <c r="AB144" s="289">
        <v>0.44127389203757028</v>
      </c>
      <c r="AC144" s="289">
        <v>0.47197389430552716</v>
      </c>
      <c r="AD144" s="289">
        <v>0.38967393530160183</v>
      </c>
      <c r="AE144" s="289">
        <v>0.39847393334656955</v>
      </c>
      <c r="AF144" s="289">
        <v>0.45267391372472049</v>
      </c>
      <c r="AG144" s="289">
        <v>0.51647386503964665</v>
      </c>
      <c r="AH144" s="289">
        <v>0.55977387178689242</v>
      </c>
      <c r="AI144" s="289">
        <v>0.52017391974478955</v>
      </c>
      <c r="AJ144" s="289">
        <v>0.28917392510920764</v>
      </c>
      <c r="AK144" s="289">
        <v>0.19164888782054185</v>
      </c>
      <c r="AL144" s="289">
        <v>0.19564790029078721</v>
      </c>
      <c r="AM144" s="289">
        <v>0.10066992442309856</v>
      </c>
      <c r="AN144" s="289">
        <v>0.16026996078342198</v>
      </c>
      <c r="AO144" s="289">
        <v>0.26641999411582945</v>
      </c>
      <c r="AP144" s="289">
        <v>3.4599998474121096E-2</v>
      </c>
      <c r="AQ144" s="289">
        <v>-4.5900001525878906E-2</v>
      </c>
      <c r="AR144" s="289">
        <v>-5.16E-2</v>
      </c>
      <c r="AS144" s="289">
        <v>2.2983000000000002</v>
      </c>
      <c r="AT144" s="289">
        <v>24.573900000000002</v>
      </c>
      <c r="AU144" s="289">
        <v>73.843199999999996</v>
      </c>
      <c r="AV144" s="289">
        <v>70.451999999999998</v>
      </c>
      <c r="AW144" s="289">
        <v>72.0715</v>
      </c>
      <c r="AX144" s="289">
        <v>70.177000000000007</v>
      </c>
      <c r="AY144" s="289">
        <v>114.714</v>
      </c>
      <c r="AZ144" s="289">
        <v>227.31800000000001</v>
      </c>
      <c r="BA144" s="289">
        <v>481.27600000000001</v>
      </c>
      <c r="BB144" s="289">
        <v>598.5</v>
      </c>
      <c r="BC144" s="289">
        <v>751.7</v>
      </c>
      <c r="BD144" s="289">
        <v>999.4</v>
      </c>
      <c r="BE144" s="289">
        <v>1298.2288193810871</v>
      </c>
    </row>
    <row r="145" spans="1:57">
      <c r="A145" s="289" t="s">
        <v>4656</v>
      </c>
      <c r="C145" s="289" t="s">
        <v>2046</v>
      </c>
      <c r="D145" s="289" t="s">
        <v>503</v>
      </c>
      <c r="E145" s="289" t="s">
        <v>1682</v>
      </c>
      <c r="F145" s="289">
        <v>5.3400001657009089E-2</v>
      </c>
      <c r="G145" s="289">
        <v>5.1700001657009088E-2</v>
      </c>
      <c r="H145" s="289">
        <v>5.150000165700909E-2</v>
      </c>
      <c r="I145" s="289">
        <v>5.610000156164166E-2</v>
      </c>
      <c r="J145" s="289">
        <v>5.8400001513957946E-2</v>
      </c>
      <c r="K145" s="289">
        <v>5.8700001525878877E-2</v>
      </c>
      <c r="L145" s="289">
        <v>6.6200001525878877E-2</v>
      </c>
      <c r="M145" s="289">
        <v>7.0300001430511447E-2</v>
      </c>
      <c r="N145" s="289">
        <v>7.2700001525878882E-2</v>
      </c>
      <c r="O145" s="289">
        <v>7.4200001525878884E-2</v>
      </c>
      <c r="P145" s="289">
        <v>8.6000001716613747E-2</v>
      </c>
      <c r="Q145" s="289">
        <v>9.0600001621246318E-2</v>
      </c>
      <c r="R145" s="289">
        <v>0.10230000143051145</v>
      </c>
      <c r="S145" s="289">
        <v>0.11250000123977659</v>
      </c>
      <c r="T145" s="289">
        <v>0.12040000133514402</v>
      </c>
      <c r="U145" s="289">
        <v>0.13470000152587888</v>
      </c>
      <c r="V145" s="289">
        <v>0.14590000133514403</v>
      </c>
      <c r="W145" s="289">
        <v>0.1588000009536743</v>
      </c>
      <c r="X145" s="289">
        <v>0.16690000133514402</v>
      </c>
      <c r="Y145" s="289">
        <v>0.17170000152587889</v>
      </c>
      <c r="Z145" s="289">
        <v>0.20379999999999998</v>
      </c>
      <c r="AA145" s="289">
        <v>0.21190000038146972</v>
      </c>
      <c r="AB145" s="289">
        <v>0.24510000114440919</v>
      </c>
      <c r="AC145" s="289">
        <v>0.2811000011444092</v>
      </c>
      <c r="AD145" s="289">
        <v>0.30690000038146975</v>
      </c>
      <c r="AE145" s="289">
        <v>0.33730000000000004</v>
      </c>
      <c r="AF145" s="289">
        <v>0.36680000000000001</v>
      </c>
      <c r="AG145" s="289">
        <v>0.53959999999999997</v>
      </c>
      <c r="AH145" s="289">
        <v>0.80120000000000002</v>
      </c>
      <c r="AI145" s="289">
        <v>0.84650000000000003</v>
      </c>
      <c r="AJ145" s="289">
        <v>1.0449000000000002</v>
      </c>
      <c r="AK145" s="289">
        <v>1.425</v>
      </c>
      <c r="AL145" s="289">
        <v>1.8463000000000001</v>
      </c>
      <c r="AM145" s="289">
        <v>2.1394000000000002</v>
      </c>
      <c r="AN145" s="289">
        <v>2.3875000000000002</v>
      </c>
      <c r="AO145" s="289">
        <v>1.6391</v>
      </c>
      <c r="AP145" s="289">
        <v>2.4173</v>
      </c>
      <c r="AQ145" s="289">
        <v>3.1721999999999997</v>
      </c>
      <c r="AR145" s="289">
        <v>3.5365000000000002</v>
      </c>
      <c r="AS145" s="289">
        <v>6.6513999999999998</v>
      </c>
      <c r="AT145" s="289">
        <v>23.300799999999999</v>
      </c>
      <c r="AU145" s="289">
        <v>61.806599999999996</v>
      </c>
      <c r="AV145" s="289">
        <v>78.461399999999998</v>
      </c>
      <c r="AW145" s="289">
        <v>90.620100000000008</v>
      </c>
      <c r="AX145" s="289">
        <v>91.6</v>
      </c>
      <c r="AY145" s="289">
        <v>136.029</v>
      </c>
      <c r="AZ145" s="289">
        <v>269.42399999999998</v>
      </c>
      <c r="BA145" s="289">
        <v>382.21899999999999</v>
      </c>
      <c r="BB145" s="289">
        <v>505.8</v>
      </c>
      <c r="BC145" s="289">
        <v>498.2</v>
      </c>
      <c r="BD145" s="289">
        <v>621.5</v>
      </c>
      <c r="BE145" s="289">
        <v>1025.8101528576276</v>
      </c>
    </row>
    <row r="146" spans="1:57">
      <c r="A146" s="289" t="s">
        <v>4657</v>
      </c>
      <c r="C146" s="289" t="s">
        <v>2046</v>
      </c>
      <c r="D146" s="289" t="s">
        <v>3685</v>
      </c>
      <c r="E146" s="289" t="s">
        <v>2481</v>
      </c>
      <c r="AO146" s="289">
        <v>2.8063999063968659</v>
      </c>
      <c r="AP146" s="289">
        <v>3.1438999023437502</v>
      </c>
      <c r="AQ146" s="289">
        <v>3.7893999023437499</v>
      </c>
      <c r="AR146" s="289">
        <v>4.2008000000000001</v>
      </c>
      <c r="AS146" s="289">
        <v>5.9749999999999996</v>
      </c>
      <c r="AT146" s="289">
        <v>5.9420000000000002</v>
      </c>
      <c r="AU146" s="289">
        <v>5.1470000000000002</v>
      </c>
      <c r="AV146" s="289">
        <v>5.9366000000000003</v>
      </c>
      <c r="AW146" s="289">
        <v>11.197090740607553</v>
      </c>
      <c r="AX146" s="289">
        <v>24.619</v>
      </c>
      <c r="AY146" s="289">
        <v>97.587000000000003</v>
      </c>
      <c r="AZ146" s="289">
        <v>237.61</v>
      </c>
      <c r="BA146" s="289">
        <v>126.11</v>
      </c>
      <c r="BB146" s="289">
        <v>356.35599999999999</v>
      </c>
      <c r="BC146" s="289">
        <v>408.69099999999997</v>
      </c>
      <c r="BD146" s="289">
        <v>511.923</v>
      </c>
      <c r="BE146" s="289">
        <v>630.73031621863061</v>
      </c>
    </row>
    <row r="147" spans="1:57">
      <c r="A147" s="289" t="s">
        <v>1486</v>
      </c>
      <c r="C147" s="289" t="s">
        <v>2046</v>
      </c>
      <c r="D147" s="289" t="s">
        <v>3685</v>
      </c>
      <c r="E147" s="289" t="s">
        <v>2480</v>
      </c>
      <c r="AO147" s="289">
        <v>0.15680000638961794</v>
      </c>
      <c r="AP147" s="289">
        <v>0.19160000610351563</v>
      </c>
      <c r="AQ147" s="289">
        <v>0.19160000610351563</v>
      </c>
      <c r="AR147" s="289">
        <v>0.19160000610351563</v>
      </c>
      <c r="AS147" s="289">
        <v>0.15369999999999998</v>
      </c>
      <c r="AT147" s="289">
        <v>0.158</v>
      </c>
      <c r="AU147" s="289">
        <v>70.400000000000006</v>
      </c>
      <c r="AV147" s="289">
        <v>60.632652499999999</v>
      </c>
      <c r="AW147" s="289">
        <v>63.65734440685624</v>
      </c>
      <c r="AX147" s="289">
        <v>85.012</v>
      </c>
      <c r="AY147" s="289">
        <v>221.76820999999998</v>
      </c>
      <c r="AZ147" s="289">
        <v>259.57017300000001</v>
      </c>
      <c r="BA147" s="289">
        <v>588.08607499999994</v>
      </c>
      <c r="BB147" s="289">
        <v>657.16040249999992</v>
      </c>
      <c r="BC147" s="289">
        <v>705.4533775000001</v>
      </c>
      <c r="BD147" s="289">
        <v>652.07835</v>
      </c>
      <c r="BE147" s="289">
        <v>660.94595059923063</v>
      </c>
    </row>
    <row r="148" spans="1:57">
      <c r="A148" s="289" t="s">
        <v>1061</v>
      </c>
      <c r="C148" s="289" t="s">
        <v>2046</v>
      </c>
      <c r="E148" s="289" t="s">
        <v>3693</v>
      </c>
      <c r="F148" s="289">
        <v>0.27098869152069088</v>
      </c>
      <c r="G148" s="289">
        <v>0.2864886915206909</v>
      </c>
      <c r="H148" s="289">
        <v>0.30228869152069093</v>
      </c>
      <c r="I148" s="289">
        <v>0.31968869209289552</v>
      </c>
      <c r="J148" s="289">
        <v>0.34578869056701661</v>
      </c>
      <c r="K148" s="289">
        <v>0.37258869171142578</v>
      </c>
      <c r="L148" s="289">
        <v>0.39968869018554687</v>
      </c>
      <c r="M148" s="289">
        <v>0.43028868865966796</v>
      </c>
      <c r="N148" s="289">
        <v>0.45938868713378905</v>
      </c>
      <c r="O148" s="289">
        <v>0.4945886878967285</v>
      </c>
      <c r="P148" s="289">
        <v>0.53628868865966794</v>
      </c>
      <c r="Q148" s="289">
        <v>0.63278868675231936</v>
      </c>
      <c r="R148" s="289">
        <v>0.73218869018554689</v>
      </c>
      <c r="S148" s="289">
        <v>0.79395243072509769</v>
      </c>
      <c r="T148" s="289">
        <v>0.831503345489502</v>
      </c>
      <c r="U148" s="289">
        <v>0.86962042617797852</v>
      </c>
      <c r="V148" s="289">
        <v>0.89097875976562502</v>
      </c>
      <c r="W148" s="289">
        <v>0.90897659301757816</v>
      </c>
      <c r="X148" s="289">
        <v>0.93038323211669927</v>
      </c>
      <c r="Y148" s="289">
        <v>0.96098323059082036</v>
      </c>
      <c r="Z148" s="289">
        <v>1.0069832305908204</v>
      </c>
      <c r="AA148" s="289">
        <v>1.1239832305908204</v>
      </c>
      <c r="AB148" s="289">
        <v>1.3082232437133789</v>
      </c>
      <c r="AC148" s="289">
        <v>1.3567532348632811</v>
      </c>
      <c r="AD148" s="289">
        <v>1.4617532348632813</v>
      </c>
      <c r="AE148" s="289">
        <v>1.535033233642578</v>
      </c>
      <c r="AF148" s="289">
        <v>1.5661732330322267</v>
      </c>
      <c r="AG148" s="289">
        <v>1.6866832275390624</v>
      </c>
      <c r="AH148" s="289">
        <v>1.8797132263183594</v>
      </c>
      <c r="AI148" s="289">
        <v>2.0197432098388672</v>
      </c>
      <c r="AJ148" s="289">
        <v>1.9934532012939452</v>
      </c>
      <c r="AK148" s="289">
        <v>1.9392931976318359</v>
      </c>
      <c r="AL148" s="289">
        <v>1.9107431945800781</v>
      </c>
      <c r="AM148" s="289">
        <v>1.9029931945800782</v>
      </c>
      <c r="AN148" s="289">
        <v>1.8879931945800781</v>
      </c>
      <c r="AO148" s="289">
        <v>1.9219931945800781</v>
      </c>
      <c r="AP148" s="289">
        <v>1.8573931884765624</v>
      </c>
      <c r="AQ148" s="289">
        <v>2.583415053512117</v>
      </c>
      <c r="AR148" s="289">
        <v>4.1222785597867926</v>
      </c>
      <c r="AS148" s="289">
        <v>10.845359083393523</v>
      </c>
      <c r="AT148" s="289">
        <v>64.367974919823808</v>
      </c>
      <c r="AU148" s="289">
        <v>226.76408179950889</v>
      </c>
      <c r="AV148" s="289">
        <v>295.86433685064753</v>
      </c>
      <c r="AW148" s="289">
        <v>358.36723024356712</v>
      </c>
      <c r="AX148" s="289">
        <v>405.10979811972851</v>
      </c>
      <c r="AY148" s="289">
        <v>771.21815379884902</v>
      </c>
      <c r="AZ148" s="289">
        <v>999.15552867725842</v>
      </c>
      <c r="BA148" s="289">
        <v>1434.5412163743192</v>
      </c>
      <c r="BB148" s="289">
        <v>1481.7097320613207</v>
      </c>
      <c r="BC148" s="289">
        <v>1809.7672485839507</v>
      </c>
      <c r="BD148" s="289">
        <v>2312.7749047159396</v>
      </c>
      <c r="BE148" s="289">
        <v>2653.079710292152</v>
      </c>
    </row>
    <row r="149" spans="1:57">
      <c r="A149" s="289" t="s">
        <v>1837</v>
      </c>
      <c r="C149" s="289" t="s">
        <v>2046</v>
      </c>
      <c r="E149" s="289" t="s">
        <v>166</v>
      </c>
      <c r="F149" s="289">
        <v>0.60372302999496419</v>
      </c>
      <c r="G149" s="289">
        <v>0.6026230299949642</v>
      </c>
      <c r="H149" s="289">
        <v>0.60232302999496423</v>
      </c>
      <c r="I149" s="289">
        <v>0.60352303013205488</v>
      </c>
      <c r="J149" s="289">
        <v>0.60692303022742233</v>
      </c>
      <c r="K149" s="289">
        <v>0.61172303060442168</v>
      </c>
      <c r="L149" s="289">
        <v>0.63322302917391016</v>
      </c>
      <c r="M149" s="289">
        <v>0.65282302812486837</v>
      </c>
      <c r="N149" s="289">
        <v>0.67792302659898951</v>
      </c>
      <c r="O149" s="289">
        <v>0.7137230263128872</v>
      </c>
      <c r="P149" s="289">
        <v>0.74652302610874133</v>
      </c>
      <c r="Q149" s="289">
        <v>0.81472302355617243</v>
      </c>
      <c r="R149" s="289">
        <v>0.8831230231747027</v>
      </c>
      <c r="S149" s="289">
        <v>0.89692302354425146</v>
      </c>
      <c r="T149" s="289">
        <v>0.89762302421778395</v>
      </c>
      <c r="U149" s="289">
        <v>0.91722302412241652</v>
      </c>
      <c r="V149" s="289">
        <v>0.91272302594035815</v>
      </c>
      <c r="W149" s="289">
        <v>0.90472302498668378</v>
      </c>
      <c r="X149" s="289">
        <v>0.88712302388995834</v>
      </c>
      <c r="Y149" s="289">
        <v>0.88442302265018169</v>
      </c>
      <c r="Z149" s="289">
        <v>0.92552302613109294</v>
      </c>
      <c r="AA149" s="289">
        <v>0.93072302346676528</v>
      </c>
      <c r="AB149" s="289">
        <v>1.0173230232521886</v>
      </c>
      <c r="AC149" s="289">
        <v>0.96632302496582212</v>
      </c>
      <c r="AD149" s="289">
        <v>0.94532303259521666</v>
      </c>
      <c r="AE149" s="289">
        <v>0.93732302949577517</v>
      </c>
      <c r="AF149" s="289">
        <v>0.90682302645593826</v>
      </c>
      <c r="AG149" s="289">
        <v>0.939768521972</v>
      </c>
      <c r="AH149" s="289">
        <v>1.0111290139183395</v>
      </c>
      <c r="AI149" s="289">
        <v>1.0447625068649642</v>
      </c>
      <c r="AJ149" s="289">
        <v>1.1076000088676803</v>
      </c>
      <c r="AK149" s="289">
        <v>1.1110000090599053</v>
      </c>
      <c r="AL149" s="289">
        <v>1.1386000080108636</v>
      </c>
      <c r="AM149" s="289">
        <v>1.078600009441375</v>
      </c>
      <c r="AN149" s="289">
        <v>0.94860000753402629</v>
      </c>
      <c r="AO149" s="289">
        <v>0.76350000429153364</v>
      </c>
      <c r="AP149" s="289">
        <v>0.42070000457763596</v>
      </c>
      <c r="AQ149" s="289">
        <v>0.457100004577636</v>
      </c>
      <c r="AR149" s="289">
        <v>0.42820000457763602</v>
      </c>
      <c r="AS149" s="289">
        <v>-1.6154999954223639</v>
      </c>
      <c r="AT149" s="289">
        <v>-4.7310999954223636</v>
      </c>
      <c r="AU149" s="289">
        <v>-7.0101999954223633</v>
      </c>
      <c r="AV149" s="289">
        <v>74.832146993837938</v>
      </c>
      <c r="AW149" s="289">
        <v>74.855928845435955</v>
      </c>
      <c r="AX149" s="289">
        <v>97.380728845435939</v>
      </c>
      <c r="AY149" s="289">
        <v>73.976500067381096</v>
      </c>
      <c r="AZ149" s="289">
        <v>190.43225848929058</v>
      </c>
      <c r="BA149" s="289">
        <v>427.78778822615243</v>
      </c>
      <c r="BB149" s="289">
        <v>911.78123575312065</v>
      </c>
      <c r="BC149" s="289">
        <v>1529.1536492881523</v>
      </c>
      <c r="BD149" s="289">
        <v>904.88362429197537</v>
      </c>
      <c r="BE149" s="289">
        <v>808.02112429197541</v>
      </c>
    </row>
    <row r="150" spans="1:57">
      <c r="A150" s="289" t="s">
        <v>128</v>
      </c>
      <c r="C150" s="289" t="s">
        <v>818</v>
      </c>
      <c r="E150" s="289" t="s">
        <v>2297</v>
      </c>
      <c r="F150" s="289">
        <v>-0.44899755716323853</v>
      </c>
      <c r="G150" s="289">
        <v>-0.44899755716323853</v>
      </c>
      <c r="H150" s="289">
        <v>-0.44899755716323853</v>
      </c>
      <c r="I150" s="289">
        <v>-0.14899754524230957</v>
      </c>
      <c r="J150" s="289">
        <v>0.15100246667861938</v>
      </c>
      <c r="K150" s="289">
        <v>0.45100247859954834</v>
      </c>
      <c r="L150" s="289">
        <v>0.75100249052047729</v>
      </c>
      <c r="M150" s="289">
        <v>1.0510025024414063</v>
      </c>
      <c r="N150" s="289">
        <v>2.3510024547576904</v>
      </c>
      <c r="O150" s="289">
        <v>3.6510024070739746</v>
      </c>
      <c r="P150" s="289">
        <v>4.9510023593902588</v>
      </c>
      <c r="Q150" s="289">
        <v>6.251002311706543</v>
      </c>
      <c r="R150" s="289">
        <v>7.5510022640228271</v>
      </c>
      <c r="S150" s="289">
        <v>8.6310023069381714</v>
      </c>
      <c r="T150" s="289">
        <v>10.271002292633057</v>
      </c>
      <c r="U150" s="289">
        <v>13.101002216339111</v>
      </c>
      <c r="V150" s="289">
        <v>17.621002197265625</v>
      </c>
      <c r="W150" s="289">
        <v>24.101002216339111</v>
      </c>
      <c r="X150" s="289">
        <v>31.301002025604248</v>
      </c>
      <c r="Y150" s="289">
        <v>37.176002025604248</v>
      </c>
      <c r="Z150" s="289">
        <v>45.83200216293335</v>
      </c>
      <c r="AA150" s="289">
        <v>60.668002605438232</v>
      </c>
      <c r="AB150" s="289">
        <v>96.408004283905029</v>
      </c>
      <c r="AC150" s="289">
        <v>96.820004284381866</v>
      </c>
      <c r="AD150" s="289">
        <v>98.176004230976105</v>
      </c>
      <c r="AE150" s="289">
        <v>102.88300400972366</v>
      </c>
      <c r="AF150" s="289">
        <v>118.67300397157669</v>
      </c>
      <c r="AG150" s="289">
        <v>135.37900334596634</v>
      </c>
      <c r="AH150" s="289">
        <v>136.47300332784653</v>
      </c>
      <c r="AI150" s="289">
        <v>136.19800332188606</v>
      </c>
      <c r="AJ150" s="289">
        <v>138.61800339818001</v>
      </c>
      <c r="AK150" s="289">
        <v>138.71300339698792</v>
      </c>
      <c r="AL150" s="289">
        <v>137.81300342082977</v>
      </c>
      <c r="AM150" s="289">
        <v>136.71300339698792</v>
      </c>
      <c r="AN150" s="289">
        <v>141.60200333595276</v>
      </c>
      <c r="AO150" s="289">
        <v>143.99400329589844</v>
      </c>
      <c r="AP150" s="289">
        <v>143.99400329589844</v>
      </c>
      <c r="AQ150" s="289">
        <v>149.98500329589842</v>
      </c>
      <c r="AR150" s="289">
        <v>155.40800329589842</v>
      </c>
      <c r="AS150" s="289">
        <v>163.00500329589843</v>
      </c>
      <c r="AT150" s="289">
        <v>165.54900329589844</v>
      </c>
      <c r="AU150" s="289">
        <v>164.54900329589844</v>
      </c>
      <c r="AV150" s="289">
        <v>171.61600329589845</v>
      </c>
      <c r="AW150" s="289">
        <v>173.01600329589846</v>
      </c>
      <c r="AX150" s="289">
        <v>175.61600329589845</v>
      </c>
      <c r="AY150" s="289">
        <v>177.81600329589844</v>
      </c>
      <c r="AZ150" s="289">
        <v>180.41600329589843</v>
      </c>
      <c r="BA150" s="289">
        <v>183.01600329589843</v>
      </c>
      <c r="BB150" s="289">
        <v>185.41600329589843</v>
      </c>
      <c r="BC150" s="289">
        <v>187.81600329589844</v>
      </c>
      <c r="BD150" s="289">
        <v>190.21600329589845</v>
      </c>
      <c r="BE150" s="289">
        <v>192.61600329589845</v>
      </c>
    </row>
    <row r="152" spans="1:57">
      <c r="A152" s="289" t="s">
        <v>1838</v>
      </c>
      <c r="E152" s="289" t="s">
        <v>2219</v>
      </c>
    </row>
    <row r="153" spans="1:57">
      <c r="A153" s="289" t="s">
        <v>238</v>
      </c>
      <c r="C153" s="289" t="s">
        <v>2462</v>
      </c>
      <c r="E153" s="289" t="s">
        <v>939</v>
      </c>
      <c r="F153" s="289" t="s">
        <v>2219</v>
      </c>
      <c r="G153" s="289">
        <v>-0.70949950259820982</v>
      </c>
      <c r="H153" s="289">
        <v>14.027008312947252</v>
      </c>
      <c r="I153" s="289">
        <v>13.409588416260011</v>
      </c>
      <c r="J153" s="289">
        <v>-4.15141177906394</v>
      </c>
      <c r="K153" s="289">
        <v>11.523841817687419</v>
      </c>
      <c r="L153" s="289">
        <v>14.484567613104904</v>
      </c>
      <c r="M153" s="289">
        <v>-5.1237020470681234</v>
      </c>
      <c r="N153" s="289">
        <v>4.6430904019467256</v>
      </c>
      <c r="O153" s="289">
        <v>3.5593302170729091</v>
      </c>
      <c r="P153" s="289">
        <v>21.468602028438234</v>
      </c>
      <c r="Q153" s="289">
        <v>18.43054650364282</v>
      </c>
      <c r="R153" s="289">
        <v>10.022498546413106</v>
      </c>
      <c r="S153" s="289">
        <v>9.7019332721821172</v>
      </c>
      <c r="T153" s="289">
        <v>-1.5952534561772369</v>
      </c>
      <c r="U153" s="289">
        <v>1.7046066256215298</v>
      </c>
      <c r="V153" s="289">
        <v>0.57684932435826397</v>
      </c>
      <c r="W153" s="289">
        <v>3.4299153583436937</v>
      </c>
      <c r="X153" s="289">
        <v>5.0196962510239418</v>
      </c>
      <c r="Y153" s="289">
        <v>9.4613896567867108</v>
      </c>
      <c r="Z153" s="289">
        <v>18.671433660945347</v>
      </c>
      <c r="AA153" s="289">
        <v>-6.4120308245307562</v>
      </c>
      <c r="AB153" s="289">
        <v>-2.2866147702018891</v>
      </c>
      <c r="AC153" s="289">
        <v>20.516389864028572</v>
      </c>
      <c r="AD153" s="289">
        <v>-1.2256352434420803</v>
      </c>
      <c r="AE153" s="289">
        <v>-2.027300852688374</v>
      </c>
      <c r="AF153" s="289">
        <v>-0.36927362613047299</v>
      </c>
      <c r="AG153" s="289">
        <v>-3.8296582603876694</v>
      </c>
      <c r="AH153" s="289">
        <v>-6.9136435262254547</v>
      </c>
      <c r="AI153" s="289">
        <v>-8.7245753649170528</v>
      </c>
      <c r="AJ153" s="289">
        <v>-6.1740668576882873</v>
      </c>
      <c r="AK153" s="289">
        <v>-8.8974122507801567</v>
      </c>
      <c r="AL153" s="289">
        <v>2.1374244050207158</v>
      </c>
      <c r="AM153" s="289">
        <v>-3.0768424427138008</v>
      </c>
      <c r="AN153" s="289">
        <v>-17.099168575612644</v>
      </c>
      <c r="AO153" s="289">
        <v>12.416177079374989</v>
      </c>
      <c r="AP153" s="289">
        <v>-3.0895295813747614</v>
      </c>
      <c r="AQ153" s="289">
        <v>5.7255284970643361</v>
      </c>
      <c r="AR153" s="289">
        <v>-0.65625180002730765</v>
      </c>
      <c r="AS153" s="289">
        <v>-22.005365222474925</v>
      </c>
      <c r="AT153" s="289">
        <v>-10.194659658159622</v>
      </c>
      <c r="AU153" s="289">
        <v>30.868069404135625</v>
      </c>
      <c r="AV153" s="289">
        <v>18.594070681062846</v>
      </c>
      <c r="AW153" s="289">
        <v>-1.4740941393725615</v>
      </c>
      <c r="AX153" s="289">
        <v>-1.3726601870826083</v>
      </c>
      <c r="AY153" s="289">
        <v>-15.076027238417666</v>
      </c>
      <c r="AZ153" s="289">
        <v>-9.3051113514824983</v>
      </c>
      <c r="BA153" s="289">
        <v>2.3980682769317863</v>
      </c>
      <c r="BB153" s="289">
        <v>37.523927663973325</v>
      </c>
      <c r="BC153" s="289">
        <v>15.919870597871345</v>
      </c>
      <c r="BD153" s="289">
        <v>13.87534374931516</v>
      </c>
      <c r="BE153" s="289">
        <v>4.3727948154094198</v>
      </c>
    </row>
    <row r="154" spans="1:57">
      <c r="A154" s="289" t="s">
        <v>238</v>
      </c>
      <c r="C154" s="289" t="s">
        <v>818</v>
      </c>
      <c r="E154" s="289" t="s">
        <v>940</v>
      </c>
      <c r="F154" s="289">
        <v>16.583815253299996</v>
      </c>
      <c r="G154" s="289">
        <v>16.466153166566027</v>
      </c>
      <c r="H154" s="289">
        <v>18.77586184006287</v>
      </c>
      <c r="I154" s="289">
        <v>21.293627634420925</v>
      </c>
      <c r="J154" s="289">
        <v>20.409641468615561</v>
      </c>
      <c r="K154" s="289">
        <v>22.761616267015953</v>
      </c>
      <c r="L154" s="289">
        <v>26.058537965047364</v>
      </c>
      <c r="M154" s="289">
        <v>24.723376121896209</v>
      </c>
      <c r="N154" s="289">
        <v>25.871304825649162</v>
      </c>
      <c r="O154" s="289">
        <v>26.792149995859532</v>
      </c>
      <c r="P154" s="289">
        <v>32.544050053332846</v>
      </c>
      <c r="Q154" s="289">
        <v>38.542096332581153</v>
      </c>
      <c r="R154" s="289">
        <v>42.404977377271237</v>
      </c>
      <c r="S154" s="289">
        <v>46.519079986498014</v>
      </c>
      <c r="T154" s="289">
        <v>45.77698275523155</v>
      </c>
      <c r="U154" s="289">
        <v>46.557300236286849</v>
      </c>
      <c r="V154" s="289">
        <v>46.825865708139318</v>
      </c>
      <c r="W154" s="289">
        <v>48.431953267740184</v>
      </c>
      <c r="X154" s="289">
        <v>50.863090210218608</v>
      </c>
      <c r="Y154" s="289">
        <v>55.675445366490329</v>
      </c>
      <c r="Z154" s="289">
        <v>66.070849213530437</v>
      </c>
      <c r="AA154" s="289">
        <v>61.83436599592963</v>
      </c>
      <c r="AB154" s="289">
        <v>60.420452250006008</v>
      </c>
      <c r="AC154" s="289">
        <v>72.816547791226469</v>
      </c>
      <c r="AD154" s="289">
        <v>71.924082518439349</v>
      </c>
      <c r="AE154" s="289">
        <v>70.465964980254739</v>
      </c>
      <c r="AF154" s="289">
        <v>70.205752756184324</v>
      </c>
      <c r="AG154" s="289">
        <v>67.517112346489768</v>
      </c>
      <c r="AH154" s="289">
        <v>62.84921987965231</v>
      </c>
      <c r="AI154" s="289">
        <v>57.365892324989616</v>
      </c>
      <c r="AJ154" s="289">
        <v>53.824083779335282</v>
      </c>
      <c r="AK154" s="289">
        <v>49.03513315528253</v>
      </c>
      <c r="AL154" s="289">
        <v>50.083222058377942</v>
      </c>
      <c r="AM154" s="289">
        <v>48.54224022540717</v>
      </c>
      <c r="AN154" s="289">
        <v>40.241920738885945</v>
      </c>
      <c r="AO154" s="289">
        <v>45.238428877967756</v>
      </c>
      <c r="AP154" s="289">
        <v>43.840774235633759</v>
      </c>
      <c r="AQ154" s="289">
        <v>46.35089025782861</v>
      </c>
      <c r="AR154" s="289">
        <v>46.046711706182926</v>
      </c>
      <c r="AS154" s="289">
        <v>35.913964622297257</v>
      </c>
      <c r="AT154" s="289">
        <v>32.2526581593022</v>
      </c>
      <c r="AU154" s="289">
        <v>42.208431064594215</v>
      </c>
      <c r="AV154" s="289">
        <v>50.05669657011255</v>
      </c>
      <c r="AW154" s="289">
        <v>49.318813739609013</v>
      </c>
      <c r="AX154" s="289">
        <v>48.641834018663971</v>
      </c>
      <c r="AY154" s="289">
        <v>41.30857787274428</v>
      </c>
      <c r="AZ154" s="289">
        <v>37.464768703971565</v>
      </c>
      <c r="BA154" s="289">
        <v>38.363199437287378</v>
      </c>
      <c r="BB154" s="289">
        <v>52.758578643720917</v>
      </c>
      <c r="BC154" s="289">
        <v>61.157676093077477</v>
      </c>
      <c r="BD154" s="289">
        <v>69.643513880084711</v>
      </c>
      <c r="BE154" s="289">
        <v>72.688881844302017</v>
      </c>
    </row>
    <row r="155" spans="1:57">
      <c r="A155" s="289" t="s">
        <v>239</v>
      </c>
      <c r="C155" s="289" t="s">
        <v>2046</v>
      </c>
      <c r="E155" s="289" t="s">
        <v>4501</v>
      </c>
      <c r="F155" s="289">
        <v>0.12401588370380297</v>
      </c>
      <c r="G155" s="289">
        <v>0.12397198865402592</v>
      </c>
      <c r="H155" s="289">
        <v>0.14018126417308757</v>
      </c>
      <c r="I155" s="289">
        <v>0.16162302981166238</v>
      </c>
      <c r="J155" s="289">
        <v>0.15606134881474759</v>
      </c>
      <c r="K155" s="289">
        <v>0.17181195897921481</v>
      </c>
      <c r="L155" s="289">
        <v>0.19629721760113036</v>
      </c>
      <c r="M155" s="289">
        <v>0.18590469982596175</v>
      </c>
      <c r="N155" s="289">
        <v>0.19832694306153881</v>
      </c>
      <c r="O155" s="289">
        <v>0.20607692213417722</v>
      </c>
      <c r="P155" s="289">
        <v>0.27240271684552209</v>
      </c>
      <c r="Q155" s="289">
        <v>0.3201212845986367</v>
      </c>
      <c r="R155" s="289">
        <v>0.32640779831627997</v>
      </c>
      <c r="S155" s="289">
        <v>0.34451169884685379</v>
      </c>
      <c r="T155" s="289">
        <v>0.33854045394216647</v>
      </c>
      <c r="U155" s="289">
        <v>0.33421460624852511</v>
      </c>
      <c r="V155" s="289">
        <v>0.33343995672107962</v>
      </c>
      <c r="W155" s="289">
        <v>0.34356505289406464</v>
      </c>
      <c r="X155" s="289">
        <v>0.36317012727848264</v>
      </c>
      <c r="Y155" s="289">
        <v>0.40363096280441219</v>
      </c>
      <c r="Z155" s="289">
        <v>0.48358278573995939</v>
      </c>
      <c r="AA155" s="289">
        <v>0.46191759921609732</v>
      </c>
      <c r="AB155" s="289">
        <v>0.42579422866879568</v>
      </c>
      <c r="AC155" s="289">
        <v>0.5176731056127386</v>
      </c>
      <c r="AD155" s="289">
        <v>0.50566655896180346</v>
      </c>
      <c r="AE155" s="289">
        <v>0.49274445135448897</v>
      </c>
      <c r="AF155" s="289">
        <v>0.49678245676680421</v>
      </c>
      <c r="AG155" s="289">
        <v>0.48436637728241799</v>
      </c>
      <c r="AH155" s="289">
        <v>0.4482526018920383</v>
      </c>
      <c r="AI155" s="289">
        <v>0.39920818250587115</v>
      </c>
      <c r="AJ155" s="289">
        <v>0.37296215103308594</v>
      </c>
      <c r="AK155" s="289">
        <v>0.34381868326918263</v>
      </c>
      <c r="AL155" s="289">
        <v>0.35274040762382941</v>
      </c>
      <c r="AM155" s="289">
        <v>0.33938306520159578</v>
      </c>
      <c r="AN155" s="289">
        <v>0.28211015124714278</v>
      </c>
      <c r="AO155" s="289">
        <v>0.31461061964698167</v>
      </c>
      <c r="AP155" s="289">
        <v>0.31801553847116215</v>
      </c>
      <c r="AQ155" s="289">
        <v>0.33555441052353591</v>
      </c>
      <c r="AR155" s="289">
        <v>0.33403693886962549</v>
      </c>
      <c r="AS155" s="289">
        <v>0.2609653254733682</v>
      </c>
      <c r="AT155" s="289">
        <v>0.24806448589227226</v>
      </c>
      <c r="AU155" s="289">
        <v>0.28330822640712228</v>
      </c>
      <c r="AV155" s="289">
        <v>0.394878994901388</v>
      </c>
      <c r="AW155" s="289">
        <v>0.36892562062468548</v>
      </c>
      <c r="AX155" s="289">
        <v>0.33821610184346884</v>
      </c>
      <c r="AY155" s="289">
        <v>0.2902509859955229</v>
      </c>
      <c r="AZ155" s="289">
        <v>0.26385099990988614</v>
      </c>
      <c r="BA155" s="289">
        <v>0.29098218211998961</v>
      </c>
      <c r="BB155" s="289">
        <v>0.39402169373435231</v>
      </c>
      <c r="BC155" s="289">
        <v>0.46154955170442624</v>
      </c>
      <c r="BD155" s="289">
        <v>0.52057055137096775</v>
      </c>
      <c r="BE155" s="289">
        <v>0.54361489657249906</v>
      </c>
    </row>
    <row r="156" spans="1:57">
      <c r="A156" s="289" t="s">
        <v>239</v>
      </c>
      <c r="C156" s="289" t="s">
        <v>2462</v>
      </c>
      <c r="E156" s="289" t="s">
        <v>426</v>
      </c>
      <c r="F156" s="289" t="s">
        <v>2219</v>
      </c>
      <c r="G156" s="289">
        <v>-3.5394699828839027E-2</v>
      </c>
      <c r="H156" s="289">
        <v>13.074949990757666</v>
      </c>
      <c r="I156" s="289">
        <v>15.295742812034984</v>
      </c>
      <c r="J156" s="289">
        <v>-3.4411438786884241</v>
      </c>
      <c r="K156" s="289">
        <v>10.092575954321624</v>
      </c>
      <c r="L156" s="289">
        <v>14.251195765061798</v>
      </c>
      <c r="M156" s="289">
        <v>-5.2942766597363971</v>
      </c>
      <c r="N156" s="289">
        <v>6.6820490537390365</v>
      </c>
      <c r="O156" s="289">
        <v>3.9076783784408375</v>
      </c>
      <c r="P156" s="289">
        <v>32.184969585366765</v>
      </c>
      <c r="Q156" s="289">
        <v>17.517654855173692</v>
      </c>
      <c r="R156" s="289">
        <v>1.9637912316655903</v>
      </c>
      <c r="S156" s="289">
        <v>5.5464056385784222</v>
      </c>
      <c r="T156" s="289">
        <v>-1.7332488053886763</v>
      </c>
      <c r="U156" s="289">
        <v>-1.2777934345123643</v>
      </c>
      <c r="V156" s="289">
        <v>-0.23178206845617666</v>
      </c>
      <c r="W156" s="289">
        <v>3.0365575477370177</v>
      </c>
      <c r="X156" s="289">
        <v>5.7063645499657589</v>
      </c>
      <c r="Y156" s="289">
        <v>11.14101422083753</v>
      </c>
      <c r="Z156" s="289">
        <v>19.808149102349603</v>
      </c>
      <c r="AA156" s="289">
        <v>-4.4801401461615047</v>
      </c>
      <c r="AB156" s="289">
        <v>-7.820306177683034</v>
      </c>
      <c r="AC156" s="289">
        <v>21.578234451695909</v>
      </c>
      <c r="AD156" s="289">
        <v>-2.31932980886147</v>
      </c>
      <c r="AE156" s="289">
        <v>-2.5554601897830098</v>
      </c>
      <c r="AF156" s="289">
        <v>0.81949282254023537</v>
      </c>
      <c r="AG156" s="289">
        <v>-2.499299102708552</v>
      </c>
      <c r="AH156" s="289">
        <v>-7.4558799050007067</v>
      </c>
      <c r="AI156" s="289">
        <v>-10.941245891078955</v>
      </c>
      <c r="AJ156" s="289">
        <v>-6.5745224228712313</v>
      </c>
      <c r="AK156" s="289">
        <v>-7.814055041021561</v>
      </c>
      <c r="AL156" s="289">
        <v>2.5948922466385582</v>
      </c>
      <c r="AM156" s="289">
        <v>-3.786734418155524</v>
      </c>
      <c r="AN156" s="289">
        <v>-16.875595699046599</v>
      </c>
      <c r="AO156" s="289">
        <v>11.520488807709306</v>
      </c>
      <c r="AP156" s="289">
        <v>1.0822644283276395</v>
      </c>
      <c r="AQ156" s="289">
        <v>5.5150990849977655</v>
      </c>
      <c r="AR156" s="289">
        <v>-0.45222819498716982</v>
      </c>
      <c r="AS156" s="289">
        <v>-21.875309252782106</v>
      </c>
      <c r="AT156" s="289">
        <v>-4.9435071719566404</v>
      </c>
      <c r="AU156" s="289">
        <v>14.207491406148097</v>
      </c>
      <c r="AV156" s="289">
        <v>39.381407984226783</v>
      </c>
      <c r="AW156" s="289">
        <v>-6.5724879296716665</v>
      </c>
      <c r="AX156" s="289">
        <v>-8.324040691242196</v>
      </c>
      <c r="AY156" s="289">
        <v>-14.18179548120535</v>
      </c>
      <c r="AZ156" s="289">
        <v>-9.0955715430520492</v>
      </c>
      <c r="BA156" s="289">
        <v>10.282766492971284</v>
      </c>
      <c r="BB156" s="289">
        <v>35.410935083259922</v>
      </c>
      <c r="BC156" s="289">
        <v>17.13810661795716</v>
      </c>
      <c r="BD156" s="289">
        <v>12.787575992347232</v>
      </c>
      <c r="BE156" s="289">
        <v>4.4267477560615109</v>
      </c>
    </row>
    <row r="158" spans="1:57">
      <c r="A158" s="289" t="s">
        <v>804</v>
      </c>
    </row>
    <row r="159" spans="1:57">
      <c r="A159" s="289" t="s">
        <v>2215</v>
      </c>
    </row>
    <row r="160" spans="1:57">
      <c r="A160" s="289" t="s">
        <v>4363</v>
      </c>
      <c r="C160" s="289" t="s">
        <v>2462</v>
      </c>
      <c r="E160" s="289" t="s">
        <v>3694</v>
      </c>
      <c r="F160" s="289" t="s">
        <v>2219</v>
      </c>
      <c r="G160" s="289">
        <v>4.3307271833640915</v>
      </c>
      <c r="H160" s="289">
        <v>7.832241260188133</v>
      </c>
      <c r="I160" s="289">
        <v>8.6795159023900226E-2</v>
      </c>
      <c r="J160" s="289">
        <v>0.77152453839510748</v>
      </c>
      <c r="K160" s="289">
        <v>10.535850062070494</v>
      </c>
      <c r="L160" s="289">
        <v>0.98050528343229804</v>
      </c>
      <c r="M160" s="289">
        <v>3.032930521009547</v>
      </c>
      <c r="N160" s="289">
        <v>0.76691753447382105</v>
      </c>
      <c r="O160" s="289">
        <v>10.980939122806577</v>
      </c>
      <c r="P160" s="289">
        <v>17.159154353189045</v>
      </c>
      <c r="Q160" s="289">
        <v>9.8874352181537173</v>
      </c>
      <c r="R160" s="289">
        <v>16.570871681437293</v>
      </c>
      <c r="S160" s="289">
        <v>6.9142353644648047</v>
      </c>
      <c r="T160" s="289">
        <v>4.0507520652038886</v>
      </c>
      <c r="U160" s="289">
        <v>-3.0849040529012162</v>
      </c>
      <c r="V160" s="289">
        <v>-2.9141371875930799</v>
      </c>
      <c r="W160" s="289">
        <v>13.319814157151889</v>
      </c>
      <c r="X160" s="289">
        <v>3.5180477085283712</v>
      </c>
      <c r="Y160" s="289">
        <v>6.7129970166387887</v>
      </c>
      <c r="Z160" s="289">
        <v>9.2791021330063792</v>
      </c>
      <c r="AA160" s="289">
        <v>0.13803626210036057</v>
      </c>
      <c r="AB160" s="289">
        <v>-8.3503458834807471</v>
      </c>
      <c r="AC160" s="289">
        <v>8.8676967641729156</v>
      </c>
      <c r="AD160" s="289">
        <v>7.3950333109968236</v>
      </c>
      <c r="AE160" s="289">
        <v>2.8120329198716654</v>
      </c>
      <c r="AF160" s="289">
        <v>0.36135900245077845</v>
      </c>
      <c r="AG160" s="289">
        <v>2.1101469708364684</v>
      </c>
      <c r="AH160" s="289">
        <v>-3.1404525997356769</v>
      </c>
      <c r="AI160" s="289">
        <v>-8.9663526549874639</v>
      </c>
      <c r="AJ160" s="289">
        <v>-9.2525148182797672</v>
      </c>
      <c r="AK160" s="289">
        <v>1.39454381326789</v>
      </c>
      <c r="AL160" s="289">
        <v>-26.074948320625747</v>
      </c>
      <c r="AM160" s="289">
        <v>-22.126115505073653</v>
      </c>
      <c r="AN160" s="289">
        <v>9.8130767915916017E-2</v>
      </c>
      <c r="AO160" s="289">
        <v>-4.6437077856370852</v>
      </c>
      <c r="AP160" s="289">
        <v>42.316257812464151</v>
      </c>
      <c r="AQ160" s="289">
        <v>11.737746100188273</v>
      </c>
      <c r="AR160" s="289">
        <v>-11.344354007469725</v>
      </c>
      <c r="AS160" s="289">
        <v>-20.206271589095024</v>
      </c>
      <c r="AT160" s="289">
        <v>-10.778684458047449</v>
      </c>
      <c r="AU160" s="289">
        <v>-17.176481474093251</v>
      </c>
      <c r="AV160" s="289">
        <v>35.920269541947206</v>
      </c>
      <c r="AW160" s="289">
        <v>11.476505232051393</v>
      </c>
      <c r="AX160" s="289">
        <v>5.0316125444713533</v>
      </c>
      <c r="AY160" s="289">
        <v>-12.74588738021275</v>
      </c>
      <c r="AZ160" s="289">
        <v>-14.018794307310101</v>
      </c>
      <c r="BA160" s="289">
        <v>6.6483317715148926</v>
      </c>
      <c r="BB160" s="289">
        <v>63.434138600308152</v>
      </c>
      <c r="BC160" s="289">
        <v>7.212067176572301</v>
      </c>
      <c r="BD160" s="289">
        <v>7.5854699034735296</v>
      </c>
      <c r="BE160" s="289">
        <v>1.7866807980518651</v>
      </c>
    </row>
    <row r="161" spans="1:57">
      <c r="A161" s="289" t="s">
        <v>3014</v>
      </c>
      <c r="C161" s="289" t="s">
        <v>2462</v>
      </c>
      <c r="G161" s="289">
        <v>0.9787359485572189</v>
      </c>
      <c r="H161" s="289">
        <v>-17.052744974321065</v>
      </c>
      <c r="I161" s="289">
        <v>-4.1314194478654809</v>
      </c>
      <c r="J161" s="289">
        <v>-4.5724107234027649</v>
      </c>
      <c r="K161" s="289">
        <v>4.4478110358669332</v>
      </c>
      <c r="L161" s="289">
        <v>-4.7570193810450689</v>
      </c>
      <c r="M161" s="289">
        <v>1.9161468186064567</v>
      </c>
      <c r="N161" s="289">
        <v>4.1359185841027823E-3</v>
      </c>
      <c r="O161" s="289">
        <v>10.277985427886405</v>
      </c>
      <c r="P161" s="289">
        <v>16.399735890417343</v>
      </c>
      <c r="Q161" s="289">
        <v>8.5148262445177139</v>
      </c>
      <c r="R161" s="289">
        <v>16.022902915358706</v>
      </c>
      <c r="S161" s="289">
        <v>6.250496312273035</v>
      </c>
      <c r="T161" s="289">
        <v>2.7808700488092475</v>
      </c>
      <c r="U161" s="289">
        <v>-3.4571322323640907</v>
      </c>
      <c r="V161" s="289">
        <v>-5.0027749528596459</v>
      </c>
      <c r="W161" s="289">
        <v>19.781569082910888</v>
      </c>
      <c r="X161" s="289">
        <v>4.6241719722740049</v>
      </c>
      <c r="Y161" s="289">
        <v>9.8631633987945388</v>
      </c>
      <c r="Z161" s="289">
        <v>10.720535048731961</v>
      </c>
      <c r="AA161" s="289">
        <v>-5.3991961622265494</v>
      </c>
      <c r="AB161" s="289">
        <v>-6.3071966640517729</v>
      </c>
      <c r="AC161" s="289">
        <v>7.3295436338750797</v>
      </c>
      <c r="AD161" s="289">
        <v>7.0589049497695733</v>
      </c>
      <c r="AE161" s="289">
        <v>5.1150274771127657</v>
      </c>
      <c r="AF161" s="289">
        <v>-0.67166426946162483</v>
      </c>
      <c r="AG161" s="289">
        <v>2.4345575017209908</v>
      </c>
      <c r="AH161" s="289">
        <v>-3.0326184885544505</v>
      </c>
      <c r="AI161" s="289">
        <v>-6.9236502694010493</v>
      </c>
      <c r="AJ161" s="289">
        <v>-5.679049947204784</v>
      </c>
      <c r="AK161" s="289">
        <v>5.2195753667580558</v>
      </c>
      <c r="AL161" s="289">
        <v>-20.99095903148941</v>
      </c>
      <c r="AM161" s="289">
        <v>-17.113819456381218</v>
      </c>
      <c r="AN161" s="289">
        <v>7.1487653034457477</v>
      </c>
      <c r="AO161" s="289">
        <v>3.9980955133376739</v>
      </c>
      <c r="AP161" s="289">
        <v>49.319889224894673</v>
      </c>
      <c r="AQ161" s="289">
        <v>9.9491365690162592</v>
      </c>
      <c r="AR161" s="289">
        <v>-12.207136844250554</v>
      </c>
      <c r="AS161" s="289">
        <v>-15.88449855581916</v>
      </c>
      <c r="AT161" s="289">
        <v>-2.3487028424876488</v>
      </c>
      <c r="AU161" s="289">
        <v>-11.170295522934993</v>
      </c>
      <c r="AV161" s="289">
        <v>31.170355023002472</v>
      </c>
      <c r="AW161" s="289">
        <v>12.675177331320754</v>
      </c>
      <c r="AX161" s="289">
        <v>5.0492926498261648</v>
      </c>
      <c r="AY161" s="289">
        <v>-9.5151311106242424</v>
      </c>
      <c r="AZ161" s="289">
        <v>-13.916944580200152</v>
      </c>
      <c r="BA161" s="289">
        <v>7.9246662783408528</v>
      </c>
      <c r="BB161" s="289">
        <v>61.854371003995844</v>
      </c>
      <c r="BC161" s="289">
        <v>4.3689755747983616</v>
      </c>
      <c r="BD161" s="289">
        <v>-2.5743894218153374</v>
      </c>
      <c r="BE161" s="289">
        <v>-4.3240003483167371</v>
      </c>
    </row>
    <row r="162" spans="1:57">
      <c r="A162" s="289" t="s">
        <v>2567</v>
      </c>
    </row>
    <row r="163" spans="1:57">
      <c r="A163" s="289" t="s">
        <v>1237</v>
      </c>
      <c r="C163" s="289" t="s">
        <v>2462</v>
      </c>
      <c r="E163" s="289" t="s">
        <v>3697</v>
      </c>
      <c r="F163" s="289" t="s">
        <v>2219</v>
      </c>
      <c r="G163" s="289">
        <v>0.23730886991022437</v>
      </c>
      <c r="H163" s="289">
        <v>-0.7675219580433823</v>
      </c>
      <c r="I163" s="289">
        <v>12.772492249826239</v>
      </c>
      <c r="J163" s="289">
        <v>7.0493921838918228</v>
      </c>
      <c r="K163" s="289">
        <v>-0.24398373374415749</v>
      </c>
      <c r="L163" s="289">
        <v>5.8586075475042909</v>
      </c>
      <c r="M163" s="289">
        <v>-2.3174811931533146</v>
      </c>
      <c r="N163" s="289">
        <v>5.2823135354820527</v>
      </c>
      <c r="O163" s="289">
        <v>-3.6333258571389804</v>
      </c>
      <c r="P163" s="289">
        <v>-7.5573017282481008</v>
      </c>
      <c r="Q163" s="289">
        <v>-4.9627377313962828</v>
      </c>
      <c r="R163" s="289">
        <v>-1.9483525723859474</v>
      </c>
      <c r="S163" s="289">
        <v>2.3770701005088712</v>
      </c>
      <c r="T163" s="289">
        <v>7.5969460686262202</v>
      </c>
      <c r="U163" s="289">
        <v>12.076075124607332</v>
      </c>
      <c r="V163" s="289">
        <v>15.436392814709077</v>
      </c>
      <c r="W163" s="289">
        <v>-6.0660799246046508</v>
      </c>
      <c r="X163" s="289">
        <v>6.5930594833641276</v>
      </c>
      <c r="Y163" s="289">
        <v>4.3630265938597423</v>
      </c>
      <c r="Z163" s="289">
        <v>3.6623176699626558</v>
      </c>
      <c r="AA163" s="289">
        <v>25.757440805942956</v>
      </c>
      <c r="AB163" s="289">
        <v>28.033321208841567</v>
      </c>
      <c r="AC163" s="289">
        <v>17.919147537994373</v>
      </c>
      <c r="AD163" s="289">
        <v>10.694383181125078</v>
      </c>
      <c r="AE163" s="289">
        <v>-1.8443496336262299E-2</v>
      </c>
      <c r="AF163" s="289">
        <v>18.718956318953751</v>
      </c>
      <c r="AG163" s="289">
        <v>13.202124458738563</v>
      </c>
      <c r="AH163" s="289">
        <v>14.608174233994585</v>
      </c>
      <c r="AI163" s="289">
        <v>16.701201355130337</v>
      </c>
      <c r="AJ163" s="289">
        <v>13.833554635705658</v>
      </c>
      <c r="AK163" s="289">
        <v>1.7290645202270971</v>
      </c>
      <c r="AL163" s="289">
        <v>25.2304589936996</v>
      </c>
      <c r="AM163" s="289">
        <v>12.863141520221433</v>
      </c>
      <c r="AN163" s="289">
        <v>5.1081241962180446</v>
      </c>
      <c r="AO163" s="289">
        <v>13.475633142072784</v>
      </c>
      <c r="AP163" s="289">
        <v>-20.926144824122993</v>
      </c>
      <c r="AQ163" s="289">
        <v>5.0778904246677525</v>
      </c>
      <c r="AR163" s="289">
        <v>47.226206642593027</v>
      </c>
      <c r="AS163" s="289">
        <v>123.13630912310138</v>
      </c>
      <c r="AT163" s="289">
        <v>590.99960317416298</v>
      </c>
      <c r="AU163" s="289">
        <v>418.21673393651304</v>
      </c>
      <c r="AV163" s="289">
        <v>12.967243002917229</v>
      </c>
      <c r="AW163" s="289">
        <v>19.001186067550368</v>
      </c>
      <c r="AX163" s="289">
        <v>13.425441628203361</v>
      </c>
      <c r="AY163" s="289">
        <v>105.70200615096228</v>
      </c>
      <c r="AZ163" s="289">
        <v>58.311150202355087</v>
      </c>
      <c r="BA163" s="289">
        <v>52.714029422719435</v>
      </c>
      <c r="BB163" s="289">
        <v>-26.435484898596819</v>
      </c>
      <c r="BC163" s="289">
        <v>-11.863966399386028</v>
      </c>
      <c r="BD163" s="289">
        <v>25.723675011579637</v>
      </c>
      <c r="BE163" s="289">
        <v>15.317745033562291</v>
      </c>
    </row>
    <row r="164" spans="1:57">
      <c r="A164" s="289" t="s">
        <v>3107</v>
      </c>
      <c r="C164" s="289" t="s">
        <v>2462</v>
      </c>
      <c r="E164" s="289" t="s">
        <v>3698</v>
      </c>
      <c r="F164" s="289" t="s">
        <v>2219</v>
      </c>
      <c r="G164" s="289">
        <v>1.2183674456863747</v>
      </c>
      <c r="H164" s="289">
        <v>-17.689383370237387</v>
      </c>
      <c r="I164" s="289">
        <v>8.1133875731743252</v>
      </c>
      <c r="J164" s="289">
        <v>2.1546542963380766</v>
      </c>
      <c r="K164" s="289">
        <v>4.192975366687568</v>
      </c>
      <c r="L164" s="289">
        <v>0.82289306996508049</v>
      </c>
      <c r="M164" s="289">
        <v>-0.44574071670127058</v>
      </c>
      <c r="N164" s="289">
        <v>5.2866679262533411</v>
      </c>
      <c r="O164" s="289">
        <v>6.2712268686030415</v>
      </c>
      <c r="P164" s="289">
        <v>7.6030566382945919</v>
      </c>
      <c r="Q164" s="289">
        <v>3.1295200183219185</v>
      </c>
      <c r="R164" s="289">
        <v>13.762367701850465</v>
      </c>
      <c r="S164" s="289">
        <v>8.7761450917543726</v>
      </c>
      <c r="T164" s="289">
        <v>10.589077315282115</v>
      </c>
      <c r="U164" s="289">
        <v>8.201457006705958</v>
      </c>
      <c r="V164" s="289">
        <v>9.661369868490155</v>
      </c>
      <c r="W164" s="289">
        <v>12.515523367395964</v>
      </c>
      <c r="X164" s="289">
        <v>11.522105864383203</v>
      </c>
      <c r="Y164" s="289">
        <v>14.656522434739539</v>
      </c>
      <c r="Z164" s="289">
        <v>14.775472768098874</v>
      </c>
      <c r="AA164" s="289">
        <v>18.967549888234171</v>
      </c>
      <c r="AB164" s="289">
        <v>19.958007844682825</v>
      </c>
      <c r="AC164" s="289">
        <v>26.562082909485184</v>
      </c>
      <c r="AD164" s="289">
        <v>18.508194474614402</v>
      </c>
      <c r="AE164" s="289">
        <v>5.0956405908711755</v>
      </c>
      <c r="AF164" s="289">
        <v>17.921563508281579</v>
      </c>
      <c r="AG164" s="289">
        <v>15.958095271856321</v>
      </c>
      <c r="AH164" s="289">
        <v>11.13254555277976</v>
      </c>
      <c r="AI164" s="289">
        <v>8.6212183131116014</v>
      </c>
      <c r="AJ164" s="289">
        <v>7.3688902112652999</v>
      </c>
      <c r="AK164" s="289">
        <v>7.0388897127582783</v>
      </c>
      <c r="AL164" s="289">
        <v>-1.0566153486140317</v>
      </c>
      <c r="AM164" s="289">
        <v>-6.4520527523492905</v>
      </c>
      <c r="AN164" s="289">
        <v>12.622057309859947</v>
      </c>
      <c r="AO164" s="289">
        <v>18.012497339457511</v>
      </c>
      <c r="AP164" s="289">
        <v>18.0729929544732</v>
      </c>
      <c r="AQ164" s="289">
        <v>15.532233246859217</v>
      </c>
      <c r="AR164" s="289">
        <v>29.254102127132597</v>
      </c>
      <c r="AS164" s="289">
        <v>87.692225322934164</v>
      </c>
      <c r="AT164" s="289">
        <v>574.77007585283297</v>
      </c>
      <c r="AU164" s="289">
        <v>360.33039330650274</v>
      </c>
      <c r="AV164" s="289">
        <v>48.179533706624447</v>
      </c>
      <c r="AW164" s="289">
        <v>34.084797427987354</v>
      </c>
      <c r="AX164" s="289">
        <v>19.152624115369111</v>
      </c>
      <c r="AY164" s="289">
        <v>86.129190568513849</v>
      </c>
      <c r="AZ164" s="289">
        <v>36.279075164415907</v>
      </c>
      <c r="BA164" s="289">
        <v>64.81610661467721</v>
      </c>
      <c r="BB164" s="289">
        <v>19.067383199515643</v>
      </c>
      <c r="BC164" s="289">
        <v>-8.0133246187791265</v>
      </c>
      <c r="BD164" s="289">
        <v>22.487058021364035</v>
      </c>
      <c r="BE164" s="289">
        <v>10.331405336640053</v>
      </c>
    </row>
    <row r="165" spans="1:57">
      <c r="A165" s="289" t="s">
        <v>1551</v>
      </c>
      <c r="C165" s="289" t="s">
        <v>2462</v>
      </c>
      <c r="E165" s="289" t="s">
        <v>4419</v>
      </c>
      <c r="F165" s="289" t="s">
        <v>2219</v>
      </c>
      <c r="G165" s="289">
        <v>0.13426423200857407</v>
      </c>
      <c r="H165" s="289">
        <v>0.64330961995711089</v>
      </c>
      <c r="I165" s="289">
        <v>17.192987810101435</v>
      </c>
      <c r="J165" s="289">
        <v>3.8876158334320898</v>
      </c>
      <c r="K165" s="289">
        <v>1.5861385222345259</v>
      </c>
      <c r="L165" s="289">
        <v>4.3931522997048278</v>
      </c>
      <c r="M165" s="289">
        <v>25.77915432898148</v>
      </c>
      <c r="N165" s="289">
        <v>-5.1650745966717038</v>
      </c>
      <c r="O165" s="289">
        <v>-4.5415955731358597</v>
      </c>
      <c r="P165" s="289">
        <v>8.1257183163178759</v>
      </c>
      <c r="Q165" s="289">
        <v>2.8244966851925346</v>
      </c>
      <c r="R165" s="289">
        <v>13.705220094571224</v>
      </c>
      <c r="S165" s="289">
        <v>-4.9484287419580664</v>
      </c>
      <c r="T165" s="289">
        <v>2.5396126546449738</v>
      </c>
      <c r="U165" s="289">
        <v>4.6632011859273792</v>
      </c>
      <c r="V165" s="289">
        <v>0.75571474982853992</v>
      </c>
      <c r="W165" s="289">
        <v>1.5134870247910159</v>
      </c>
      <c r="X165" s="289">
        <v>17.61390521705659</v>
      </c>
      <c r="Y165" s="289">
        <v>-4.3866587633935028</v>
      </c>
      <c r="Z165" s="289">
        <v>1.5712349790351521</v>
      </c>
      <c r="AA165" s="289">
        <v>21.455121098067622</v>
      </c>
      <c r="AB165" s="289">
        <v>7.7455677182690641</v>
      </c>
      <c r="AC165" s="289">
        <v>17.051380495856062</v>
      </c>
      <c r="AD165" s="289">
        <v>6.536261775255392</v>
      </c>
      <c r="AE165" s="289">
        <v>3.4431752066989674</v>
      </c>
      <c r="AF165" s="289">
        <v>14.678301303855212</v>
      </c>
      <c r="AG165" s="289">
        <v>21.554196390516033</v>
      </c>
      <c r="AH165" s="289">
        <v>25.778184298035157</v>
      </c>
      <c r="AI165" s="289">
        <v>3.0096245628503882</v>
      </c>
      <c r="AJ165" s="289">
        <v>5.081909674891083E-2</v>
      </c>
      <c r="AK165" s="289">
        <v>-9.1108580106102899E-2</v>
      </c>
      <c r="AL165" s="289">
        <v>5.0965880605468028</v>
      </c>
      <c r="AM165" s="289">
        <v>7.1057529875214298</v>
      </c>
      <c r="AN165" s="289">
        <v>4.6529873604832739</v>
      </c>
      <c r="AO165" s="289">
        <v>6.3817285811676561</v>
      </c>
      <c r="AP165" s="289">
        <v>-1.0574579238891602</v>
      </c>
      <c r="AQ165" s="289">
        <v>23.870920181274414</v>
      </c>
      <c r="AR165" s="289">
        <v>2.2791769504547119</v>
      </c>
      <c r="AS165" s="289">
        <v>24.354660559321808</v>
      </c>
      <c r="AT165" s="289">
        <v>261.22542718969305</v>
      </c>
      <c r="AU165" s="289">
        <v>150</v>
      </c>
      <c r="AV165" s="289">
        <v>97.66632065664578</v>
      </c>
      <c r="AW165" s="289">
        <v>22.079511020313468</v>
      </c>
      <c r="AX165" s="289">
        <v>128.08178909928967</v>
      </c>
      <c r="AY165" s="289">
        <v>37.736644350239558</v>
      </c>
      <c r="AZ165" s="289">
        <v>57.383992791910153</v>
      </c>
      <c r="BA165" s="289">
        <v>28.71464077882213</v>
      </c>
      <c r="BB165" s="289">
        <v>75.407484381321837</v>
      </c>
      <c r="BC165" s="289">
        <v>11.778542077398125</v>
      </c>
      <c r="BD165" s="289">
        <v>2.9617540270722831</v>
      </c>
      <c r="BE165" s="289">
        <v>10.331405336640053</v>
      </c>
    </row>
    <row r="166" spans="1:57">
      <c r="A166" s="289" t="s">
        <v>1238</v>
      </c>
      <c r="C166" s="289" t="s">
        <v>2462</v>
      </c>
      <c r="E166" s="289" t="s">
        <v>3703</v>
      </c>
      <c r="F166" s="289">
        <v>5.6200000000000007E-2</v>
      </c>
      <c r="G166" s="289">
        <v>6.0299999999999999E-2</v>
      </c>
      <c r="H166" s="289">
        <v>6.3645887896418576E-2</v>
      </c>
      <c r="I166" s="289">
        <v>7.451445780694485E-2</v>
      </c>
      <c r="J166" s="289">
        <v>7.9215362071990966E-2</v>
      </c>
      <c r="K166" s="289">
        <v>8.6479397177696232E-2</v>
      </c>
      <c r="L166" s="289">
        <v>9.4136398673057578E-2</v>
      </c>
      <c r="M166" s="289">
        <v>0.10259263062477111</v>
      </c>
      <c r="N166" s="289">
        <v>0.10509499716758726</v>
      </c>
      <c r="O166" s="289">
        <v>0.11160344058275222</v>
      </c>
      <c r="P166" s="289">
        <v>0.1227585493326187</v>
      </c>
      <c r="Q166" s="289">
        <v>0.13163299691677094</v>
      </c>
      <c r="R166" s="289">
        <v>0.15352100488543508</v>
      </c>
      <c r="S166" s="289">
        <v>0.16859899747371676</v>
      </c>
      <c r="T166" s="289">
        <v>0.18357199567556384</v>
      </c>
      <c r="U166" s="289">
        <v>0.20528400385379791</v>
      </c>
      <c r="V166" s="289">
        <v>0.23326400542259218</v>
      </c>
      <c r="W166" s="289">
        <v>0.24247800660133359</v>
      </c>
      <c r="X166" s="289">
        <v>0.27209999465942381</v>
      </c>
      <c r="Y166" s="289">
        <v>0.29389999890327451</v>
      </c>
      <c r="Z166" s="289">
        <v>0.32969999742507927</v>
      </c>
      <c r="AA166" s="289">
        <v>0.40234999346733097</v>
      </c>
      <c r="AB166" s="289">
        <v>0.46902999615669255</v>
      </c>
      <c r="AC166" s="289">
        <v>0.61746000075340268</v>
      </c>
      <c r="AD166" s="289">
        <v>0.74104000306129458</v>
      </c>
      <c r="AE166" s="289">
        <v>0.76116000962257391</v>
      </c>
      <c r="AF166" s="289">
        <v>0.86099402356147769</v>
      </c>
      <c r="AG166" s="289">
        <v>0.99729514777660366</v>
      </c>
      <c r="AH166" s="289">
        <v>1.1237319285273553</v>
      </c>
      <c r="AI166" s="289">
        <v>1.1927127434015277</v>
      </c>
      <c r="AJ166" s="289">
        <v>1.2484114398956303</v>
      </c>
      <c r="AK166" s="289">
        <v>1.3651240823268889</v>
      </c>
      <c r="AL166" s="289">
        <v>1.4600416004434229</v>
      </c>
      <c r="AM166" s="289">
        <v>1.8205000240579245</v>
      </c>
      <c r="AN166" s="289">
        <v>2.2386500230804089</v>
      </c>
      <c r="AO166" s="289">
        <v>2.5827799930572506</v>
      </c>
      <c r="AP166" s="289">
        <v>3.44021</v>
      </c>
      <c r="AQ166" s="289">
        <v>5.1112900000000003</v>
      </c>
      <c r="AR166" s="289">
        <v>7.1214700000000004</v>
      </c>
      <c r="AS166" s="289">
        <v>11.57222</v>
      </c>
      <c r="AT166" s="289">
        <v>46.68674</v>
      </c>
      <c r="AU166" s="289">
        <v>139.83517961180127</v>
      </c>
      <c r="AV166" s="289">
        <v>187.17607749999999</v>
      </c>
      <c r="AW166" s="289">
        <v>199.39982999999995</v>
      </c>
      <c r="AX166" s="289">
        <v>248.59037000000001</v>
      </c>
      <c r="AY166" s="289">
        <v>399.15947999999997</v>
      </c>
      <c r="AZ166" s="289">
        <v>552.31299999999999</v>
      </c>
      <c r="BA166" s="289">
        <v>887.23270000000002</v>
      </c>
      <c r="BB166" s="289">
        <v>1244.645</v>
      </c>
      <c r="BC166" s="289">
        <v>1261.4636000000003</v>
      </c>
      <c r="BD166" s="289">
        <v>1670.7280150726767</v>
      </c>
      <c r="BE166" s="289">
        <v>1848.4489494291679</v>
      </c>
    </row>
    <row r="167" spans="1:57">
      <c r="A167" s="289" t="s">
        <v>1239</v>
      </c>
    </row>
    <row r="168" spans="1:57">
      <c r="A168" s="289" t="s">
        <v>4663</v>
      </c>
      <c r="C168" s="289" t="s">
        <v>1018</v>
      </c>
      <c r="E168" s="289" t="s">
        <v>2298</v>
      </c>
      <c r="F168" s="289">
        <v>0.96004206098843325</v>
      </c>
      <c r="G168" s="289">
        <v>0.96061479346781942</v>
      </c>
      <c r="H168" s="289">
        <v>0.9546664614858652</v>
      </c>
      <c r="I168" s="289">
        <v>0.95452625310515182</v>
      </c>
      <c r="J168" s="289">
        <v>0.95492784518688745</v>
      </c>
      <c r="K168" s="289">
        <v>0.95242932103975908</v>
      </c>
      <c r="L168" s="289">
        <v>0.95449698436121899</v>
      </c>
      <c r="M168" s="289">
        <v>0.96033775516659536</v>
      </c>
      <c r="N168" s="289">
        <v>0.95552277824331744</v>
      </c>
      <c r="O168" s="289">
        <v>0.96124379783869351</v>
      </c>
      <c r="P168" s="289">
        <v>0.95905647595306243</v>
      </c>
      <c r="Q168" s="289">
        <v>0.96127335157863703</v>
      </c>
      <c r="R168" s="289">
        <v>0.95204884825409297</v>
      </c>
      <c r="S168" s="289">
        <v>0.95358595475756014</v>
      </c>
      <c r="T168" s="289">
        <v>0.95775292615827146</v>
      </c>
      <c r="U168" s="289">
        <v>0.95164815717021345</v>
      </c>
      <c r="V168" s="289">
        <v>0.95242149703845524</v>
      </c>
      <c r="W168" s="289">
        <v>0.94809346045148246</v>
      </c>
      <c r="X168" s="289">
        <v>0.96690540951744275</v>
      </c>
      <c r="Y168" s="289">
        <v>0.97108329966187712</v>
      </c>
      <c r="Z168" s="289">
        <v>0.97589151300761257</v>
      </c>
      <c r="AA168" s="289">
        <v>0.97020597449643864</v>
      </c>
      <c r="AB168" s="289">
        <v>0.96736865333553224</v>
      </c>
      <c r="AC168" s="289">
        <v>0.97187399410032993</v>
      </c>
      <c r="AD168" s="289">
        <v>0.96207465778679557</v>
      </c>
      <c r="AE168" s="289">
        <v>0.95706294192816399</v>
      </c>
      <c r="AF168" s="289">
        <v>0.94234539393670247</v>
      </c>
      <c r="AG168" s="289">
        <v>0.95311715297848132</v>
      </c>
      <c r="AH168" s="289">
        <v>0.94084391093978137</v>
      </c>
      <c r="AI168" s="289">
        <v>0.93850128294106228</v>
      </c>
      <c r="AJ168" s="289">
        <v>0.91185104061628752</v>
      </c>
      <c r="AK168" s="289">
        <v>0.91133451262831322</v>
      </c>
      <c r="AL168" s="289">
        <v>0.91743088719067301</v>
      </c>
      <c r="AM168" s="289">
        <v>0.93941996774252534</v>
      </c>
      <c r="AN168" s="289">
        <v>0.9462228316395378</v>
      </c>
      <c r="AO168" s="289">
        <v>0.94582578109680071</v>
      </c>
      <c r="AP168" s="289">
        <v>0.96077810518759998</v>
      </c>
      <c r="AQ168" s="289">
        <v>0.96067111980552278</v>
      </c>
      <c r="AR168" s="289">
        <v>0.97031891690790995</v>
      </c>
      <c r="AS168" s="289">
        <v>0.97602035650072527</v>
      </c>
      <c r="AT168" s="289">
        <v>0.97933261211408906</v>
      </c>
      <c r="AU168" s="289">
        <v>0.96056491718445558</v>
      </c>
      <c r="AV168" s="289">
        <v>0.97513416855840118</v>
      </c>
      <c r="AW168" s="289">
        <v>0.95883533121634168</v>
      </c>
      <c r="AX168" s="289">
        <v>0.92056253118951081</v>
      </c>
      <c r="AY168" s="289">
        <v>0.95093886038520548</v>
      </c>
      <c r="AZ168" s="289">
        <v>0.94154402159714357</v>
      </c>
      <c r="BA168" s="289">
        <v>0.94119229734404419</v>
      </c>
      <c r="BB168" s="289">
        <v>0.9455210995751675</v>
      </c>
      <c r="BC168" s="289">
        <v>0.93756322587525465</v>
      </c>
      <c r="BD168" s="289">
        <v>0.95006805108984194</v>
      </c>
      <c r="BE168" s="289">
        <v>0.94971941693429851</v>
      </c>
    </row>
    <row r="169" spans="1:57">
      <c r="A169" s="289" t="s">
        <v>1828</v>
      </c>
      <c r="C169" s="289" t="s">
        <v>1018</v>
      </c>
      <c r="E169" s="289" t="s">
        <v>4415</v>
      </c>
      <c r="F169" s="289">
        <v>8.9941972920696305</v>
      </c>
      <c r="G169" s="289">
        <v>7.8026905829596407</v>
      </c>
      <c r="H169" s="289">
        <v>8.3580509783770101</v>
      </c>
      <c r="I169" s="289">
        <v>9.182822237038037</v>
      </c>
      <c r="J169" s="289">
        <v>8.3436384481305019</v>
      </c>
      <c r="K169" s="289">
        <v>8.2041215765417199</v>
      </c>
      <c r="L169" s="289">
        <v>8.6739197660446852</v>
      </c>
      <c r="M169" s="289">
        <v>8.8334601582774805</v>
      </c>
      <c r="N169" s="289">
        <v>8.6223661861932541</v>
      </c>
      <c r="O169" s="289">
        <v>9.0182743455888605</v>
      </c>
      <c r="P169" s="289">
        <v>8.3143298604669802</v>
      </c>
      <c r="Q169" s="289">
        <v>8.1926418115982695</v>
      </c>
      <c r="R169" s="289">
        <v>9.0486716872661059</v>
      </c>
      <c r="S169" s="289">
        <v>9.1150117634649863</v>
      </c>
      <c r="T169" s="289">
        <v>9.411480482729651</v>
      </c>
      <c r="U169" s="289">
        <v>10.336189034677261</v>
      </c>
      <c r="V169" s="289">
        <v>10.82036506018852</v>
      </c>
      <c r="W169" s="289">
        <v>11.507866989795062</v>
      </c>
      <c r="X169" s="289">
        <v>11.183638395715702</v>
      </c>
      <c r="Y169" s="289">
        <v>10.803833960027628</v>
      </c>
      <c r="Z169" s="289">
        <v>12.839946162115075</v>
      </c>
      <c r="AA169" s="289">
        <v>22.627994655127946</v>
      </c>
      <c r="AB169" s="289">
        <v>17.494085124190629</v>
      </c>
      <c r="AC169" s="289">
        <v>14.159815187001161</v>
      </c>
      <c r="AD169" s="289">
        <v>17.335506166447797</v>
      </c>
      <c r="AE169" s="289">
        <v>16.514519877866409</v>
      </c>
      <c r="AF169" s="289">
        <v>16.475050683013098</v>
      </c>
      <c r="AG169" s="289">
        <v>15.122456650426848</v>
      </c>
      <c r="AH169" s="289">
        <v>13.520280478887003</v>
      </c>
      <c r="AI169" s="289">
        <v>13.563771320416071</v>
      </c>
      <c r="AJ169" s="289">
        <v>13.942817764359987</v>
      </c>
      <c r="AK169" s="289">
        <v>12.172784258874277</v>
      </c>
      <c r="AL169" s="289">
        <v>8.8637149929715129</v>
      </c>
      <c r="AM169" s="289">
        <v>6.5925663549373423</v>
      </c>
      <c r="AN169" s="289">
        <v>7.0295932689613077</v>
      </c>
      <c r="AO169" s="289">
        <v>5.8980669941619857</v>
      </c>
      <c r="AP169" s="289">
        <v>5.7293118845288182</v>
      </c>
      <c r="AQ169" s="289">
        <v>4.8099582266736576</v>
      </c>
      <c r="AR169" s="289">
        <v>4.2148637137989775</v>
      </c>
      <c r="AS169" s="289">
        <v>1.488541292211643</v>
      </c>
      <c r="AT169" s="289">
        <v>5.8838382381663044</v>
      </c>
      <c r="AU169" s="289">
        <v>9.433768623055979</v>
      </c>
      <c r="AV169" s="289">
        <v>9.8339828150583557</v>
      </c>
      <c r="AW169" s="289">
        <v>6.5199422576492152</v>
      </c>
      <c r="AX169" s="289">
        <v>11.893074179748991</v>
      </c>
      <c r="AY169" s="289">
        <v>11.988127676006309</v>
      </c>
      <c r="AZ169" s="289">
        <v>11.17619387917115</v>
      </c>
      <c r="BA169" s="289">
        <v>16.931922204900548</v>
      </c>
      <c r="BB169" s="289">
        <v>12.547019273043688</v>
      </c>
      <c r="BC169" s="289">
        <v>12.332894640888854</v>
      </c>
      <c r="BD169" s="289">
        <v>11.113907108378029</v>
      </c>
      <c r="BE169" s="289">
        <v>11.188982257043548</v>
      </c>
    </row>
    <row r="170" spans="1:57">
      <c r="A170" s="289" t="s">
        <v>2437</v>
      </c>
    </row>
    <row r="171" spans="1:57">
      <c r="A171" s="289" t="s">
        <v>2438</v>
      </c>
      <c r="C171" s="289" t="s">
        <v>1410</v>
      </c>
      <c r="E171" s="289" t="s">
        <v>2607</v>
      </c>
      <c r="F171" s="289" t="s">
        <v>2219</v>
      </c>
      <c r="G171" s="289">
        <v>1.699999999999991E-3</v>
      </c>
      <c r="H171" s="289">
        <v>4.1493360102176644E-3</v>
      </c>
      <c r="I171" s="289">
        <v>2.8326600790056335E-5</v>
      </c>
      <c r="J171" s="289">
        <v>4.3027181029319534E-3</v>
      </c>
      <c r="K171" s="289">
        <v>-2.6141102910041498E-3</v>
      </c>
      <c r="L171" s="289">
        <v>1.9904945671558361E-2</v>
      </c>
      <c r="M171" s="289">
        <v>-1.0419958233833281E-3</v>
      </c>
      <c r="N171" s="289">
        <v>9.7517371177805595E-6</v>
      </c>
      <c r="O171" s="289">
        <v>1.478703320026099E-4</v>
      </c>
      <c r="P171" s="289">
        <v>1.2776594787836106E-2</v>
      </c>
      <c r="Q171" s="289">
        <v>7.156728804111466E-3</v>
      </c>
      <c r="R171" s="289">
        <v>5.3300392627718927E-4</v>
      </c>
      <c r="S171" s="289">
        <v>1.1776995778083776E-2</v>
      </c>
      <c r="T171" s="289">
        <v>-4.158988416194863E-3</v>
      </c>
      <c r="U171" s="289">
        <v>1.0440971851348863E-2</v>
      </c>
      <c r="V171" s="289">
        <v>-5.5399814248084378E-3</v>
      </c>
      <c r="W171" s="289">
        <v>2.0098985731601595E-2</v>
      </c>
      <c r="X171" s="289">
        <v>-2.3454983912408304E-2</v>
      </c>
      <c r="Y171" s="289">
        <v>1.2000090628862883E-3</v>
      </c>
      <c r="Z171" s="289">
        <v>1.9399969674646734E-2</v>
      </c>
      <c r="AA171" s="289">
        <v>-5.3500017523765445E-2</v>
      </c>
      <c r="AB171" s="289">
        <v>7.4900035664439021E-2</v>
      </c>
      <c r="AC171" s="289">
        <v>0.13029996122419851</v>
      </c>
      <c r="AD171" s="289">
        <v>-6.5999957621097644E-2</v>
      </c>
      <c r="AE171" s="289">
        <v>-2.8699982762336686E-2</v>
      </c>
      <c r="AF171" s="289">
        <v>1.5000029444694502E-2</v>
      </c>
      <c r="AG171" s="289">
        <v>4.2699945330620125E-2</v>
      </c>
      <c r="AH171" s="289">
        <v>0.11019995802640939</v>
      </c>
      <c r="AI171" s="289">
        <v>0.22520004183053977</v>
      </c>
      <c r="AJ171" s="289">
        <v>-0.10667495810985564</v>
      </c>
      <c r="AK171" s="289">
        <v>-8.3824049949645998E-2</v>
      </c>
      <c r="AL171" s="289">
        <v>0.11357698871940387</v>
      </c>
      <c r="AM171" s="289">
        <v>-0.14017801260948176</v>
      </c>
      <c r="AN171" s="289">
        <v>-2.9749996781349375E-2</v>
      </c>
      <c r="AO171" s="289">
        <v>0.35507002935558551</v>
      </c>
      <c r="AP171" s="289">
        <v>-0.24201999564170854</v>
      </c>
      <c r="AQ171" s="289">
        <v>-2.000000000000321E-3</v>
      </c>
      <c r="AR171" s="289">
        <v>2.9000015258784546E-3</v>
      </c>
      <c r="AS171" s="289">
        <v>-0.39260000000000117</v>
      </c>
      <c r="AT171" s="289">
        <v>8.6523000000000199</v>
      </c>
      <c r="AU171" s="289">
        <v>4.2494000000000156</v>
      </c>
      <c r="AV171" s="289">
        <v>-6.377099999999972</v>
      </c>
      <c r="AW171" s="289">
        <v>12.072181851598014</v>
      </c>
      <c r="AX171" s="289">
        <v>46.223899999999993</v>
      </c>
      <c r="AY171" s="289">
        <v>-2.6742787780548412</v>
      </c>
      <c r="AZ171" s="289">
        <v>220.7884684219095</v>
      </c>
      <c r="BA171" s="289">
        <v>145.26642973686185</v>
      </c>
      <c r="BB171" s="289">
        <v>543.56049752696822</v>
      </c>
      <c r="BC171" s="289">
        <v>653.24199660203931</v>
      </c>
      <c r="BD171" s="289">
        <v>703.89445067614474</v>
      </c>
      <c r="BE171" s="289">
        <v>703.89445067614474</v>
      </c>
    </row>
    <row r="172" spans="1:57">
      <c r="A172" s="289" t="s">
        <v>1411</v>
      </c>
      <c r="C172" s="289" t="s">
        <v>1410</v>
      </c>
      <c r="E172" s="289" t="s">
        <v>2606</v>
      </c>
      <c r="AX172" s="289">
        <v>25.37</v>
      </c>
      <c r="AY172" s="289">
        <v>28.478999999999999</v>
      </c>
      <c r="AZ172" s="289">
        <v>57.912875</v>
      </c>
      <c r="BA172" s="289">
        <v>119.83499999999999</v>
      </c>
      <c r="BB172" s="289">
        <v>185.5</v>
      </c>
      <c r="BC172" s="289">
        <v>212.77500000000001</v>
      </c>
      <c r="BD172" s="289">
        <v>212.77500000000001</v>
      </c>
      <c r="BE172" s="289">
        <v>212.77500000000001</v>
      </c>
    </row>
    <row r="173" spans="1:57">
      <c r="A173" s="289" t="s">
        <v>1097</v>
      </c>
      <c r="C173" s="289" t="s">
        <v>1410</v>
      </c>
      <c r="E173" s="289" t="s">
        <v>515</v>
      </c>
      <c r="F173" s="289">
        <v>0.17550000000000002</v>
      </c>
      <c r="G173" s="289">
        <v>0.18029999999999999</v>
      </c>
      <c r="H173" s="289">
        <v>0.20360809803009033</v>
      </c>
      <c r="I173" s="289">
        <v>0.23574164807796477</v>
      </c>
      <c r="J173" s="289">
        <v>0.24387287187576298</v>
      </c>
      <c r="K173" s="289">
        <v>0.27862763404846191</v>
      </c>
      <c r="L173" s="289">
        <v>0.31071154642105103</v>
      </c>
      <c r="M173" s="289">
        <v>0.32049492311477662</v>
      </c>
      <c r="N173" s="289">
        <v>0.33439163756370538</v>
      </c>
      <c r="O173" s="289">
        <v>0.35874610233306881</v>
      </c>
      <c r="P173" s="289">
        <v>0.42719877862930294</v>
      </c>
      <c r="Q173" s="289">
        <v>0.49009379184246066</v>
      </c>
      <c r="R173" s="289">
        <v>0.56565761923789992</v>
      </c>
      <c r="S173" s="289">
        <v>0.64871088647842412</v>
      </c>
      <c r="T173" s="289">
        <v>0.68811160111427316</v>
      </c>
      <c r="U173" s="289">
        <v>0.73278848552703857</v>
      </c>
      <c r="V173" s="289">
        <v>0.7765971195697785</v>
      </c>
      <c r="W173" s="289">
        <v>0.84742288923263553</v>
      </c>
      <c r="X173" s="289">
        <v>0.90468431186676024</v>
      </c>
      <c r="Y173" s="289">
        <v>0.9857835364341736</v>
      </c>
      <c r="Z173" s="289">
        <v>1.31042901468277</v>
      </c>
      <c r="AA173" s="289">
        <v>1.5476499967575075</v>
      </c>
      <c r="AB173" s="289">
        <v>1.6514600315093995</v>
      </c>
      <c r="AC173" s="289">
        <v>2.1444199314117434</v>
      </c>
      <c r="AD173" s="289">
        <v>2.3616800174713131</v>
      </c>
      <c r="AE173" s="289">
        <v>2.4922200336456295</v>
      </c>
      <c r="AF173" s="289">
        <v>2.8065399971008302</v>
      </c>
      <c r="AG173" s="289">
        <v>3.05346001625061</v>
      </c>
      <c r="AH173" s="289">
        <v>3.0530799522399903</v>
      </c>
      <c r="AI173" s="289">
        <v>2.8018499622344963</v>
      </c>
      <c r="AJ173" s="289">
        <v>2.6515799808502196</v>
      </c>
      <c r="AK173" s="289">
        <v>2.5347600517272948</v>
      </c>
      <c r="AL173" s="289">
        <v>2.6663600215911876</v>
      </c>
      <c r="AM173" s="289">
        <v>3.1244999990463249</v>
      </c>
      <c r="AN173" s="289">
        <v>3.7694499511718753</v>
      </c>
      <c r="AO173" s="289">
        <v>4.8996000003814686</v>
      </c>
      <c r="AP173" s="289">
        <v>6.3451499999999994</v>
      </c>
      <c r="AQ173" s="289">
        <v>8.2219599999999993</v>
      </c>
      <c r="AR173" s="289">
        <v>10.884370000000002</v>
      </c>
      <c r="AS173" s="289">
        <v>32.132170000000002</v>
      </c>
      <c r="AT173" s="289">
        <v>139.75589000000002</v>
      </c>
      <c r="AU173" s="289">
        <v>492.50448750000004</v>
      </c>
      <c r="AV173" s="289">
        <v>583.42188749999991</v>
      </c>
      <c r="AW173" s="289">
        <v>615.68211000000008</v>
      </c>
      <c r="AX173" s="289">
        <v>697.8286700000001</v>
      </c>
      <c r="AY173" s="289">
        <v>1201.4277</v>
      </c>
      <c r="AZ173" s="289">
        <v>1817.8930000000005</v>
      </c>
      <c r="BA173" s="289">
        <v>2769.0809999999997</v>
      </c>
      <c r="BB173" s="289">
        <v>3775.3753000000002</v>
      </c>
      <c r="BC173" s="289">
        <v>5190.4415217698252</v>
      </c>
      <c r="BD173" s="289">
        <v>6569.4541941583657</v>
      </c>
      <c r="BE173" s="289">
        <v>7224.3627169374631</v>
      </c>
    </row>
    <row r="174" spans="1:57">
      <c r="A174" s="289" t="s">
        <v>1412</v>
      </c>
      <c r="C174" s="289" t="s">
        <v>1410</v>
      </c>
      <c r="F174" s="289">
        <v>0.16570000000000001</v>
      </c>
      <c r="G174" s="289">
        <v>0.16899999999999998</v>
      </c>
      <c r="H174" s="289">
        <v>0.19111309814453126</v>
      </c>
      <c r="I174" s="289">
        <v>0.21908164823055265</v>
      </c>
      <c r="J174" s="289">
        <v>0.22646317148208622</v>
      </c>
      <c r="K174" s="289">
        <v>0.25921873474121093</v>
      </c>
      <c r="L174" s="289">
        <v>0.28888694620132449</v>
      </c>
      <c r="M174" s="289">
        <v>0.29142322397232057</v>
      </c>
      <c r="N174" s="289">
        <v>0.30448693823814388</v>
      </c>
      <c r="O174" s="289">
        <v>0.3280084028244018</v>
      </c>
      <c r="P174" s="289">
        <v>0.39204617929458613</v>
      </c>
      <c r="Q174" s="289">
        <v>0.4521089934110642</v>
      </c>
      <c r="R174" s="289">
        <v>0.52050901770591751</v>
      </c>
      <c r="S174" s="289">
        <v>0.60097998666763297</v>
      </c>
      <c r="T174" s="289">
        <v>0.63796500229835518</v>
      </c>
      <c r="U174" s="289">
        <v>0.67406198406219486</v>
      </c>
      <c r="V174" s="289">
        <v>0.70770802044868475</v>
      </c>
      <c r="W174" s="289">
        <v>0.77720098829269413</v>
      </c>
      <c r="X174" s="289">
        <v>0.82380001163482675</v>
      </c>
      <c r="Y174" s="289">
        <v>0.90290003728866575</v>
      </c>
      <c r="Z174" s="289">
        <v>1.2163000168800355</v>
      </c>
      <c r="AA174" s="289">
        <v>1.4292999982833865</v>
      </c>
      <c r="AB174" s="289">
        <v>1.5096300296783447</v>
      </c>
      <c r="AC174" s="289">
        <v>1.9621599369049074</v>
      </c>
      <c r="AD174" s="289">
        <v>2.150740015029907</v>
      </c>
      <c r="AE174" s="289">
        <v>2.2706600360870359</v>
      </c>
      <c r="AF174" s="289">
        <v>2.5806899909973144</v>
      </c>
      <c r="AG174" s="289">
        <v>2.7773700199127198</v>
      </c>
      <c r="AH174" s="289">
        <v>2.7067999534606932</v>
      </c>
      <c r="AI174" s="289">
        <v>2.4279699573516837</v>
      </c>
      <c r="AJ174" s="289">
        <v>2.2775099735260009</v>
      </c>
      <c r="AK174" s="289">
        <v>2.1509300651550296</v>
      </c>
      <c r="AL174" s="289">
        <v>2.2576600093841557</v>
      </c>
      <c r="AM174" s="289">
        <v>2.6544999990463252</v>
      </c>
      <c r="AN174" s="289">
        <v>3.2464499511718747</v>
      </c>
      <c r="AO174" s="289">
        <v>4.336600000381468</v>
      </c>
      <c r="AP174" s="289">
        <v>5.8180599999999991</v>
      </c>
      <c r="AQ174" s="289">
        <v>7.5444699999999996</v>
      </c>
      <c r="AR174" s="289">
        <v>10.041100000000002</v>
      </c>
      <c r="AS174" s="289">
        <v>31.133749999999999</v>
      </c>
      <c r="AT174" s="289">
        <v>136.33565000000002</v>
      </c>
      <c r="AU174" s="289">
        <v>479.37289750000002</v>
      </c>
      <c r="AV174" s="289">
        <v>557.81231749999995</v>
      </c>
      <c r="AW174" s="289">
        <v>584.39417000000003</v>
      </c>
      <c r="AX174" s="289">
        <v>624.45167000000015</v>
      </c>
      <c r="AY174" s="289">
        <v>1099.9267</v>
      </c>
      <c r="AZ174" s="289">
        <v>1655.6760000000004</v>
      </c>
      <c r="BA174" s="289">
        <v>2556.2029999999995</v>
      </c>
      <c r="BB174" s="289">
        <v>3397.6973000000003</v>
      </c>
      <c r="BC174" s="289">
        <v>4763.458521769825</v>
      </c>
      <c r="BD174" s="289">
        <v>6115.2871941583653</v>
      </c>
      <c r="BE174" s="289">
        <v>6717.1714256784962</v>
      </c>
    </row>
    <row r="175" spans="1:57">
      <c r="A175" s="289" t="s">
        <v>1407</v>
      </c>
      <c r="C175" s="289" t="s">
        <v>1410</v>
      </c>
      <c r="E175" s="289" t="s">
        <v>516</v>
      </c>
      <c r="F175" s="289">
        <v>0.10340000000000002</v>
      </c>
      <c r="G175" s="289">
        <v>0.11149999999999999</v>
      </c>
      <c r="H175" s="289">
        <v>0.12161309814453125</v>
      </c>
      <c r="I175" s="289">
        <v>0.14108164823055264</v>
      </c>
      <c r="J175" s="289">
        <v>0.15336317300796515</v>
      </c>
      <c r="K175" s="289">
        <v>0.16921873474121094</v>
      </c>
      <c r="L175" s="289">
        <v>0.19078694772720339</v>
      </c>
      <c r="M175" s="289">
        <v>0.19702322244644166</v>
      </c>
      <c r="N175" s="289">
        <v>0.20918693518638606</v>
      </c>
      <c r="O175" s="289">
        <v>0.22350840282440182</v>
      </c>
      <c r="P175" s="289">
        <v>0.28324617624282833</v>
      </c>
      <c r="Q175" s="289">
        <v>0.319908996462822</v>
      </c>
      <c r="R175" s="289">
        <v>0.3250090177059175</v>
      </c>
      <c r="S175" s="289">
        <v>0.37717998361587524</v>
      </c>
      <c r="T175" s="289">
        <v>0.39276500535011299</v>
      </c>
      <c r="U175" s="289">
        <v>0.39436197185516364</v>
      </c>
      <c r="V175" s="289">
        <v>0.41410801434516914</v>
      </c>
      <c r="W175" s="289">
        <v>0.43710098218917848</v>
      </c>
      <c r="X175" s="289">
        <v>0.45959999942779539</v>
      </c>
      <c r="Y175" s="289">
        <v>0.5424000372886657</v>
      </c>
      <c r="Z175" s="289">
        <v>0.67289999246597298</v>
      </c>
      <c r="AA175" s="289">
        <v>0.85159998607635523</v>
      </c>
      <c r="AB175" s="289">
        <v>0.89173000526428214</v>
      </c>
      <c r="AC175" s="289">
        <v>1.2549599246978762</v>
      </c>
      <c r="AD175" s="289">
        <v>1.3371400394439694</v>
      </c>
      <c r="AE175" s="289">
        <v>1.3539600238800047</v>
      </c>
      <c r="AF175" s="289">
        <v>1.4864900398254395</v>
      </c>
      <c r="AG175" s="289">
        <v>1.7675700321197507</v>
      </c>
      <c r="AH175" s="289">
        <v>1.7972999534606933</v>
      </c>
      <c r="AI175" s="289">
        <v>1.6536699695587149</v>
      </c>
      <c r="AJ175" s="289">
        <v>1.5169099979400635</v>
      </c>
      <c r="AK175" s="289">
        <v>1.4795300407409666</v>
      </c>
      <c r="AL175" s="289">
        <v>1.6189599971771249</v>
      </c>
      <c r="AM175" s="289">
        <v>1.961299986839294</v>
      </c>
      <c r="AN175" s="289">
        <v>2.4752499389648439</v>
      </c>
      <c r="AO175" s="289">
        <v>3.331600000381469</v>
      </c>
      <c r="AP175" s="289">
        <v>4.9494599999999993</v>
      </c>
      <c r="AQ175" s="289">
        <v>6.8871699999999993</v>
      </c>
      <c r="AR175" s="289">
        <v>9.3920000000000012</v>
      </c>
      <c r="AS175" s="289">
        <v>16.273650000000004</v>
      </c>
      <c r="AT175" s="289">
        <v>60.673150000000021</v>
      </c>
      <c r="AU175" s="289">
        <v>249.90309750000003</v>
      </c>
      <c r="AV175" s="289">
        <v>364.48741749999999</v>
      </c>
      <c r="AW175" s="289">
        <v>389.04547000000002</v>
      </c>
      <c r="AX175" s="289">
        <v>457.40907000000016</v>
      </c>
      <c r="AY175" s="289">
        <v>735.72789999999998</v>
      </c>
      <c r="AZ175" s="289">
        <v>1014.6567000000003</v>
      </c>
      <c r="BA175" s="289">
        <v>1482.4069999999995</v>
      </c>
      <c r="BB175" s="289">
        <v>2457.1573000000003</v>
      </c>
      <c r="BC175" s="289">
        <v>3326.0245217698248</v>
      </c>
      <c r="BD175" s="289">
        <v>3981.1111941583654</v>
      </c>
      <c r="BE175" s="289">
        <v>4401.8121641354355</v>
      </c>
    </row>
    <row r="176" spans="1:57">
      <c r="A176" s="289" t="s">
        <v>2372</v>
      </c>
      <c r="C176" s="289" t="s">
        <v>1410</v>
      </c>
      <c r="E176" s="289" t="s">
        <v>2788</v>
      </c>
      <c r="F176" s="289">
        <v>3.8899999999999997E-2</v>
      </c>
      <c r="G176" s="289">
        <v>4.3799999999999971E-2</v>
      </c>
      <c r="H176" s="289">
        <v>4.0603636562824244E-2</v>
      </c>
      <c r="I176" s="289">
        <v>4.661037296056747E-2</v>
      </c>
      <c r="J176" s="289">
        <v>4.7514764696359638E-2</v>
      </c>
      <c r="K176" s="289">
        <v>4.0741827704012384E-2</v>
      </c>
      <c r="L176" s="289">
        <v>3.8865776255726792E-2</v>
      </c>
      <c r="M176" s="289">
        <v>4.6566851250827324E-2</v>
      </c>
      <c r="N176" s="289">
        <v>4.2441191889345642E-2</v>
      </c>
      <c r="O176" s="289">
        <v>5.5079559244215481E-2</v>
      </c>
      <c r="P176" s="289">
        <v>5.4949652202427368E-2</v>
      </c>
      <c r="Q176" s="289">
        <v>8.9610002130270011E-2</v>
      </c>
      <c r="R176" s="289">
        <v>0.13081001383066171</v>
      </c>
      <c r="S176" s="289">
        <v>0.15884498795866964</v>
      </c>
      <c r="T176" s="289">
        <v>0.15282999861240382</v>
      </c>
      <c r="U176" s="289">
        <v>0.13646098870038983</v>
      </c>
      <c r="V176" s="289">
        <v>0.13904700899124137</v>
      </c>
      <c r="W176" s="289">
        <v>0.14857099246978769</v>
      </c>
      <c r="X176" s="289">
        <v>0.13280000329017641</v>
      </c>
      <c r="Y176" s="289">
        <v>0.16950002467632291</v>
      </c>
      <c r="Z176" s="289">
        <v>0.26760001659393307</v>
      </c>
      <c r="AA176" s="289">
        <v>0.25550003015995021</v>
      </c>
      <c r="AB176" s="289">
        <v>0.26033001101017</v>
      </c>
      <c r="AC176" s="289">
        <v>0.3780599497109654</v>
      </c>
      <c r="AD176" s="289">
        <v>0.39804004848003399</v>
      </c>
      <c r="AE176" s="289">
        <v>0.46155999863147745</v>
      </c>
      <c r="AF176" s="289">
        <v>0.41586265325546257</v>
      </c>
      <c r="AG176" s="289">
        <v>0.50289821386337252</v>
      </c>
      <c r="AH176" s="289">
        <v>0.38329808211326555</v>
      </c>
      <c r="AI176" s="289">
        <v>0.25230388379096969</v>
      </c>
      <c r="AJ176" s="289">
        <v>0.24432686543464632</v>
      </c>
      <c r="AK176" s="289">
        <v>0.24993495804071408</v>
      </c>
      <c r="AL176" s="289">
        <v>0.40264043426513718</v>
      </c>
      <c r="AM176" s="289">
        <v>0.62419999647140512</v>
      </c>
      <c r="AN176" s="289">
        <v>0.81654994487762467</v>
      </c>
      <c r="AO176" s="289">
        <v>1.0924000120162964</v>
      </c>
      <c r="AP176" s="289">
        <v>1.6181890101814269</v>
      </c>
      <c r="AQ176" s="289">
        <v>1.9725630038452144</v>
      </c>
      <c r="AR176" s="289">
        <v>2.7116144934082032</v>
      </c>
      <c r="AS176" s="289">
        <v>8.2779500000000006</v>
      </c>
      <c r="AT176" s="289">
        <v>22.649550000000005</v>
      </c>
      <c r="AU176" s="289">
        <v>105.35259000000001</v>
      </c>
      <c r="AV176" s="289">
        <v>101.69421492800004</v>
      </c>
      <c r="AW176" s="289">
        <v>134.16291702861159</v>
      </c>
      <c r="AX176" s="289">
        <v>151.72449999999998</v>
      </c>
      <c r="AY176" s="289">
        <v>289.77681999999999</v>
      </c>
      <c r="AZ176" s="289">
        <v>366.32700000000006</v>
      </c>
      <c r="BA176" s="289">
        <v>153.44730000000004</v>
      </c>
      <c r="BB176" s="289">
        <v>891.96199999999965</v>
      </c>
      <c r="BC176" s="289">
        <v>1486.9167000000002</v>
      </c>
      <c r="BD176" s="289">
        <v>1696.5949849273234</v>
      </c>
      <c r="BE176" s="289">
        <v>1800.2454573997925</v>
      </c>
    </row>
    <row r="177" spans="1:57">
      <c r="A177" s="289" t="s">
        <v>2373</v>
      </c>
      <c r="C177" s="289" t="s">
        <v>1410</v>
      </c>
      <c r="E177" s="289" t="s">
        <v>2587</v>
      </c>
      <c r="F177" s="289">
        <v>-5.4000000000000038E-3</v>
      </c>
      <c r="G177" s="289">
        <v>-9.9000000000000043E-3</v>
      </c>
      <c r="H177" s="289">
        <v>-8.2996938377618793E-3</v>
      </c>
      <c r="I177" s="289">
        <v>-1.1599648758769034E-2</v>
      </c>
      <c r="J177" s="289">
        <v>-1.1799567192792883E-2</v>
      </c>
      <c r="K177" s="289">
        <v>-1.1899548687040809E-2</v>
      </c>
      <c r="L177" s="289">
        <v>-1.9799409821629522E-2</v>
      </c>
      <c r="M177" s="289">
        <v>-3.1299439363181594E-2</v>
      </c>
      <c r="N177" s="289">
        <v>-2.3299408651888374E-2</v>
      </c>
      <c r="O177" s="289">
        <v>-2.8999431021511556E-2</v>
      </c>
      <c r="P177" s="289">
        <v>-1.9799426384270194E-2</v>
      </c>
      <c r="Q177" s="289">
        <v>-2.8799998849630352E-2</v>
      </c>
      <c r="R177" s="289">
        <v>-2.4700002461671814E-2</v>
      </c>
      <c r="S177" s="289">
        <v>-2.6799998134374628E-2</v>
      </c>
      <c r="T177" s="289">
        <v>-3.3200000762939455E-2</v>
      </c>
      <c r="U177" s="289">
        <v>-3.3300001025199873E-2</v>
      </c>
      <c r="V177" s="289">
        <v>-4.1499997019767768E-2</v>
      </c>
      <c r="W177" s="289">
        <v>-4.1399999320507065E-2</v>
      </c>
      <c r="X177" s="289">
        <v>-2.6560002900660032E-2</v>
      </c>
      <c r="Y177" s="289">
        <v>-3.180000004917382E-2</v>
      </c>
      <c r="Z177" s="289">
        <v>-5.5799997568130491E-2</v>
      </c>
      <c r="AA177" s="289">
        <v>-1.5549996376037625E-2</v>
      </c>
      <c r="AB177" s="289">
        <v>-0.10103000271320342</v>
      </c>
      <c r="AC177" s="289">
        <v>-0.21295999260246751</v>
      </c>
      <c r="AD177" s="289">
        <v>-0.15654000461101536</v>
      </c>
      <c r="AE177" s="289">
        <v>-0.12845999789237983</v>
      </c>
      <c r="AF177" s="289">
        <v>-0.10801171350479116</v>
      </c>
      <c r="AG177" s="289">
        <v>-0.25011098241806029</v>
      </c>
      <c r="AH177" s="289">
        <v>-0.2951103034019471</v>
      </c>
      <c r="AI177" s="289">
        <v>-0.31960958671569828</v>
      </c>
      <c r="AJ177" s="289">
        <v>-0.25861491417884819</v>
      </c>
      <c r="AK177" s="289">
        <v>-0.34932029515504842</v>
      </c>
      <c r="AL177" s="289">
        <v>-0.45461610007286068</v>
      </c>
      <c r="AM177" s="289">
        <v>-0.47329998874664309</v>
      </c>
      <c r="AN177" s="289">
        <v>-0.49769999003410342</v>
      </c>
      <c r="AO177" s="289">
        <v>-0.41529999566078185</v>
      </c>
      <c r="AP177" s="289">
        <v>-0.25762901628494261</v>
      </c>
      <c r="AQ177" s="289">
        <v>-0.61281299774169906</v>
      </c>
      <c r="AR177" s="289">
        <v>-0.70660789550781256</v>
      </c>
      <c r="AS177" s="289">
        <v>-1.3672300000000004</v>
      </c>
      <c r="AT177" s="289">
        <v>-7.0774999999999997</v>
      </c>
      <c r="AU177" s="289">
        <v>-76.636182111801233</v>
      </c>
      <c r="AV177" s="289">
        <v>-29.201944927999982</v>
      </c>
      <c r="AW177" s="289">
        <v>-43.70511702861166</v>
      </c>
      <c r="AX177" s="289">
        <v>-94.97</v>
      </c>
      <c r="AY177" s="289">
        <v>-116.32599999999999</v>
      </c>
      <c r="AZ177" s="289">
        <v>-232.08287500000003</v>
      </c>
      <c r="BA177" s="289">
        <v>-119.64600000000003</v>
      </c>
      <c r="BB177" s="289">
        <v>-358.27900000000011</v>
      </c>
      <c r="BC177" s="289">
        <v>-193.43818636840535</v>
      </c>
      <c r="BD177" s="289">
        <v>-207.38069898769646</v>
      </c>
      <c r="BE177" s="289">
        <v>-183.21991681786105</v>
      </c>
    </row>
    <row r="178" spans="1:57">
      <c r="A178" s="289" t="s">
        <v>1419</v>
      </c>
      <c r="C178" s="289" t="s">
        <v>1410</v>
      </c>
      <c r="E178" s="289" t="s">
        <v>2479</v>
      </c>
      <c r="F178" s="289">
        <v>1.4000000000000037E-3</v>
      </c>
      <c r="G178" s="289">
        <v>6.7000000000000037E-3</v>
      </c>
      <c r="H178" s="289">
        <v>6.9969378411769909E-4</v>
      </c>
      <c r="I178" s="289">
        <v>6.9964866340160251E-4</v>
      </c>
      <c r="J178" s="289">
        <v>2.4995675757527257E-3</v>
      </c>
      <c r="K178" s="289">
        <v>-2.7004512175917584E-3</v>
      </c>
      <c r="L178" s="289">
        <v>5.6994095593690848E-3</v>
      </c>
      <c r="M178" s="289">
        <v>1.249943941086531E-2</v>
      </c>
      <c r="N178" s="289">
        <v>7.09940836578608E-3</v>
      </c>
      <c r="O178" s="289">
        <v>3.3994308188557655E-3</v>
      </c>
      <c r="P178" s="289">
        <v>-3.1005731150507898E-3</v>
      </c>
      <c r="Q178" s="289">
        <v>6.299998469650743E-3</v>
      </c>
      <c r="R178" s="289">
        <v>5.9000024497508846E-3</v>
      </c>
      <c r="S178" s="289">
        <v>3.3999980390071963E-3</v>
      </c>
      <c r="T178" s="289">
        <v>8.7000007629394541E-3</v>
      </c>
      <c r="U178" s="289">
        <v>-4.4999986886978338E-3</v>
      </c>
      <c r="V178" s="289">
        <v>-5.6000024080276427E-3</v>
      </c>
      <c r="W178" s="289">
        <v>5.6999985575676114E-3</v>
      </c>
      <c r="X178" s="289">
        <v>-1.823999824374915E-2</v>
      </c>
      <c r="Y178" s="289">
        <v>-2.1999994739890232E-3</v>
      </c>
      <c r="Z178" s="289">
        <v>-3.5762786889867448E-9</v>
      </c>
      <c r="AA178" s="289">
        <v>-6.2750003814697239E-2</v>
      </c>
      <c r="AB178" s="289">
        <v>-5.2869994044303904E-2</v>
      </c>
      <c r="AC178" s="289">
        <v>7.5059998705983122E-2</v>
      </c>
      <c r="AD178" s="289">
        <v>2.4740002989769017E-2</v>
      </c>
      <c r="AE178" s="289">
        <v>-1.554000210762016E-2</v>
      </c>
      <c r="AF178" s="289">
        <v>-1.9942790985107525E-2</v>
      </c>
      <c r="AG178" s="289">
        <v>8.12714774161577E-2</v>
      </c>
      <c r="AH178" s="289">
        <v>0.12674379634857186</v>
      </c>
      <c r="AI178" s="289">
        <v>0.3237470870018006</v>
      </c>
      <c r="AJ178" s="289">
        <v>0.25651491427421563</v>
      </c>
      <c r="AK178" s="289">
        <v>0.34742029505968097</v>
      </c>
      <c r="AL178" s="289">
        <v>0.45471609997749324</v>
      </c>
      <c r="AM178" s="289">
        <v>0.48019998836517341</v>
      </c>
      <c r="AN178" s="289">
        <v>0.44789998984336854</v>
      </c>
      <c r="AO178" s="289">
        <v>0.33509999585151673</v>
      </c>
      <c r="AP178" s="289">
        <v>0.19942901628494261</v>
      </c>
      <c r="AQ178" s="289">
        <v>0.56831299774169908</v>
      </c>
      <c r="AR178" s="289">
        <v>0.63080789550781258</v>
      </c>
      <c r="AS178" s="289">
        <v>0.73373000000000033</v>
      </c>
      <c r="AT178" s="289">
        <v>4.9265999999999988</v>
      </c>
      <c r="AU178" s="289">
        <v>70.155582111801237</v>
      </c>
      <c r="AV178" s="289">
        <v>-13.362455072000021</v>
      </c>
      <c r="AW178" s="289">
        <v>7.1618170286116589</v>
      </c>
      <c r="AX178" s="289">
        <v>43.51809999999999</v>
      </c>
      <c r="AY178" s="289">
        <v>76.471959999999982</v>
      </c>
      <c r="AZ178" s="289">
        <v>181.27850500000005</v>
      </c>
      <c r="BA178" s="289">
        <v>-47.871699999999976</v>
      </c>
      <c r="BB178" s="289">
        <v>375.41507500000012</v>
      </c>
      <c r="BC178" s="289">
        <v>204.99918636840536</v>
      </c>
      <c r="BD178" s="289">
        <v>133.51661564637564</v>
      </c>
      <c r="BE178" s="289">
        <v>105.48133347654024</v>
      </c>
    </row>
    <row r="179" spans="1:57">
      <c r="A179" s="289" t="s">
        <v>2682</v>
      </c>
      <c r="C179" s="289" t="s">
        <v>1410</v>
      </c>
      <c r="F179" s="289">
        <v>-3.4000000000000037E-3</v>
      </c>
      <c r="G179" s="289">
        <v>-8.3000000000000036E-3</v>
      </c>
      <c r="H179" s="289">
        <v>-3.3996937423944476E-3</v>
      </c>
      <c r="I179" s="289">
        <v>-4.799648568034171E-3</v>
      </c>
      <c r="J179" s="289">
        <v>-7.0995673835277462E-3</v>
      </c>
      <c r="K179" s="289">
        <v>-6.3995486870408094E-3</v>
      </c>
      <c r="L179" s="289">
        <v>-1.3499409630894658E-2</v>
      </c>
      <c r="M179" s="289">
        <v>-2.2999439172446731E-2</v>
      </c>
      <c r="N179" s="289">
        <v>-1.5999408461153511E-2</v>
      </c>
      <c r="O179" s="289">
        <v>-1.5999431021511558E-2</v>
      </c>
      <c r="P179" s="289">
        <v>-1.3699426479637625E-2</v>
      </c>
      <c r="Q179" s="289">
        <v>-2.2799998849630354E-2</v>
      </c>
      <c r="R179" s="289">
        <v>-1.2200002461671813E-2</v>
      </c>
      <c r="S179" s="289">
        <v>-1.3799998134374629E-2</v>
      </c>
      <c r="T179" s="289">
        <v>-2.0800001144409181E-2</v>
      </c>
      <c r="U179" s="289">
        <v>-1.2900001406669599E-2</v>
      </c>
      <c r="V179" s="289">
        <v>-1.7599997401237494E-2</v>
      </c>
      <c r="W179" s="289">
        <v>-1.7199998557567611E-2</v>
      </c>
      <c r="X179" s="289">
        <v>-3.660003282129759E-3</v>
      </c>
      <c r="Y179" s="289">
        <v>-7.5000008121132722E-3</v>
      </c>
      <c r="Z179" s="289">
        <v>-1.5099996805191036E-2</v>
      </c>
      <c r="AA179" s="289">
        <v>4.045000362396238E-2</v>
      </c>
      <c r="AB179" s="289">
        <v>5.8169994235038769E-2</v>
      </c>
      <c r="AC179" s="289">
        <v>-7.4559998705983122E-2</v>
      </c>
      <c r="AD179" s="289">
        <v>-5.7640003085136449E-2</v>
      </c>
      <c r="AE179" s="289">
        <v>1.554000210762016E-2</v>
      </c>
      <c r="AF179" s="289">
        <v>2.3542790889740095E-2</v>
      </c>
      <c r="AG179" s="289">
        <v>-8.1071477413177467E-2</v>
      </c>
      <c r="AH179" s="289">
        <v>-0.1221437964439393</v>
      </c>
      <c r="AI179" s="289">
        <v>-0.31514708662033086</v>
      </c>
      <c r="AJ179" s="289">
        <v>-0.25501491427421563</v>
      </c>
      <c r="AK179" s="289">
        <v>-0.34532029515504842</v>
      </c>
      <c r="AL179" s="289">
        <v>-0.45261610007286068</v>
      </c>
      <c r="AM179" s="289">
        <v>-0.46509998893737797</v>
      </c>
      <c r="AN179" s="289">
        <v>-0.47869999003410341</v>
      </c>
      <c r="AO179" s="289">
        <v>-0.37229999566078187</v>
      </c>
      <c r="AP179" s="289">
        <v>-0.1962290162849426</v>
      </c>
      <c r="AQ179" s="289">
        <v>-0.57841299774169908</v>
      </c>
      <c r="AR179" s="289">
        <v>-0.64700789550781257</v>
      </c>
      <c r="AS179" s="289">
        <v>-0.94023000000000034</v>
      </c>
      <c r="AT179" s="289">
        <v>-5.6736299999999993</v>
      </c>
      <c r="AU179" s="289">
        <v>-67.295582111801238</v>
      </c>
      <c r="AV179" s="289">
        <v>14.077055072000022</v>
      </c>
      <c r="AW179" s="289">
        <v>-15.062117028611659</v>
      </c>
      <c r="AX179" s="289">
        <v>-68.503999999999991</v>
      </c>
      <c r="AY179" s="289">
        <v>-96.025999999999996</v>
      </c>
      <c r="AZ179" s="289">
        <v>-209.58287500000003</v>
      </c>
      <c r="BA179" s="289">
        <v>-97.146000000000029</v>
      </c>
      <c r="BB179" s="289">
        <v>-328.28100000000012</v>
      </c>
      <c r="BC179" s="289">
        <v>-182.09708636840534</v>
      </c>
      <c r="BD179" s="289">
        <v>-151.83569898769645</v>
      </c>
      <c r="BE179" s="289">
        <v>-127.67491681786105</v>
      </c>
    </row>
    <row r="180" spans="1:57">
      <c r="A180" s="289" t="s">
        <v>4301</v>
      </c>
      <c r="C180" s="289" t="s">
        <v>1410</v>
      </c>
      <c r="E180" s="289" t="s">
        <v>941</v>
      </c>
      <c r="F180" s="289" t="s">
        <v>2219</v>
      </c>
      <c r="G180" s="289">
        <v>1.4000000000000006E-3</v>
      </c>
      <c r="H180" s="289">
        <v>-1.6493360102176622E-3</v>
      </c>
      <c r="I180" s="289">
        <v>6.4066731929778953E-4</v>
      </c>
      <c r="J180" s="289">
        <v>-9.1200846433639612E-4</v>
      </c>
      <c r="K180" s="289">
        <v>4.7340949177741938E-3</v>
      </c>
      <c r="L180" s="289">
        <v>-1.1832148194313042E-2</v>
      </c>
      <c r="M180" s="289">
        <v>-6.8927295804023748E-3</v>
      </c>
      <c r="N180" s="289">
        <v>-2.0275337696075372E-3</v>
      </c>
      <c r="O180" s="289">
        <v>3.1239596307277894E-3</v>
      </c>
      <c r="P180" s="289">
        <v>-5.5793334841728343E-3</v>
      </c>
      <c r="Q180" s="289">
        <v>-8.5339971780776999E-3</v>
      </c>
      <c r="R180" s="289">
        <v>-5.5120012760162453E-3</v>
      </c>
      <c r="S180" s="289">
        <v>-1.383399713039396E-2</v>
      </c>
      <c r="T180" s="289">
        <v>-6.175008714199094E-3</v>
      </c>
      <c r="U180" s="289">
        <v>-1.3140980541706111E-2</v>
      </c>
      <c r="V180" s="289">
        <v>-3.710999131202763E-3</v>
      </c>
      <c r="W180" s="289">
        <v>-1.9649984776973686E-2</v>
      </c>
      <c r="X180" s="289">
        <v>8.1999992355704134E-3</v>
      </c>
      <c r="Y180" s="289">
        <v>1.8099989794194658E-2</v>
      </c>
      <c r="Z180" s="289">
        <v>9.1000199317932788E-3</v>
      </c>
      <c r="AA180" s="289">
        <v>7.5100037455558724E-2</v>
      </c>
      <c r="AB180" s="289">
        <v>1.7800001934170872E-2</v>
      </c>
      <c r="AC180" s="289">
        <v>-9.959995895624163E-2</v>
      </c>
      <c r="AD180" s="289">
        <v>-1.6300001382827702E-2</v>
      </c>
      <c r="AE180" s="289">
        <v>3.7499980807304413E-2</v>
      </c>
      <c r="AF180" s="289">
        <v>3.9199950933456434E-2</v>
      </c>
      <c r="AG180" s="289">
        <v>2.1100005984306038E-2</v>
      </c>
      <c r="AH180" s="289">
        <v>-6.6899951279163622E-2</v>
      </c>
      <c r="AI180" s="289">
        <v>-0.26479999387264264</v>
      </c>
      <c r="AJ180" s="289">
        <v>-0.12432503652572627</v>
      </c>
      <c r="AK180" s="289">
        <v>-1.3700987339019798E-2</v>
      </c>
      <c r="AL180" s="289">
        <v>-0.10957797624915851</v>
      </c>
      <c r="AM180" s="289">
        <v>4.5200036741793126E-2</v>
      </c>
      <c r="AN180" s="289">
        <v>8.9350033141672794E-2</v>
      </c>
      <c r="AO180" s="289">
        <v>-0.24891999602317802</v>
      </c>
      <c r="AP180" s="289">
        <v>1.0200000000000171E-2</v>
      </c>
      <c r="AQ180" s="289">
        <v>-7.8499999999999681E-2</v>
      </c>
      <c r="AR180" s="289">
        <v>-8.599999999999549E-3</v>
      </c>
      <c r="AS180" s="289">
        <v>2.7425000000000002</v>
      </c>
      <c r="AT180" s="289">
        <v>13.623299999999981</v>
      </c>
      <c r="AU180" s="289">
        <v>45.019899999999978</v>
      </c>
      <c r="AV180" s="289">
        <v>2.9858999999999742</v>
      </c>
      <c r="AW180" s="289">
        <v>-10.452681851598012</v>
      </c>
      <c r="AX180" s="289">
        <v>-48.118399999999987</v>
      </c>
      <c r="AY180" s="289">
        <v>47.211278778054833</v>
      </c>
      <c r="AZ180" s="289">
        <v>-108.1844684219095</v>
      </c>
      <c r="BA180" s="289">
        <v>108.69157026313815</v>
      </c>
      <c r="BB180" s="289">
        <v>-426.33649752696817</v>
      </c>
      <c r="BC180" s="289">
        <v>-500.04199660203926</v>
      </c>
      <c r="BD180" s="289">
        <v>-456.19445067614481</v>
      </c>
      <c r="BE180" s="289">
        <v>-590.14851471387442</v>
      </c>
    </row>
    <row r="181" spans="1:57">
      <c r="A181" s="289" t="s">
        <v>4302</v>
      </c>
    </row>
    <row r="182" spans="1:57">
      <c r="A182" s="289" t="s">
        <v>4303</v>
      </c>
      <c r="C182" s="289" t="s">
        <v>2462</v>
      </c>
      <c r="E182" s="289" t="s">
        <v>517</v>
      </c>
      <c r="F182" s="289" t="s">
        <v>2219</v>
      </c>
      <c r="G182" s="289">
        <v>2.7350427350427253</v>
      </c>
      <c r="H182" s="289">
        <v>12.927397687238141</v>
      </c>
      <c r="I182" s="289">
        <v>15.782058944986343</v>
      </c>
      <c r="J182" s="289">
        <v>3.4492097022707835</v>
      </c>
      <c r="K182" s="289">
        <v>14.251180094522443</v>
      </c>
      <c r="L182" s="289">
        <v>11.514978577827906</v>
      </c>
      <c r="M182" s="289">
        <v>3.1487007182114723</v>
      </c>
      <c r="N182" s="289">
        <v>4.3360170307446655</v>
      </c>
      <c r="O182" s="289">
        <v>7.2832158563545413</v>
      </c>
      <c r="P182" s="289">
        <v>19.081092686738366</v>
      </c>
      <c r="Q182" s="289">
        <v>14.722657544799333</v>
      </c>
      <c r="R182" s="289">
        <v>15.41823802977882</v>
      </c>
      <c r="S182" s="289">
        <v>14.68260382533526</v>
      </c>
      <c r="T182" s="289">
        <v>6.0736940688229879</v>
      </c>
      <c r="U182" s="289">
        <v>6.4926800159188058</v>
      </c>
      <c r="V182" s="289">
        <v>5.9783463998116293</v>
      </c>
      <c r="W182" s="289">
        <v>9.1200144680028359</v>
      </c>
      <c r="X182" s="289">
        <v>6.7571248501414161</v>
      </c>
      <c r="Y182" s="289">
        <v>8.9643672940531225</v>
      </c>
      <c r="Z182" s="289">
        <v>32.932734849977365</v>
      </c>
      <c r="AA182" s="289">
        <v>18.10254347368554</v>
      </c>
      <c r="AB182" s="289">
        <v>6.7075911846596448</v>
      </c>
      <c r="AC182" s="289">
        <v>29.849944321800457</v>
      </c>
      <c r="AD182" s="289">
        <v>10.131415161606894</v>
      </c>
      <c r="AE182" s="289">
        <v>5.5274218017937748</v>
      </c>
      <c r="AF182" s="289">
        <v>12.612047058919273</v>
      </c>
      <c r="AG182" s="289">
        <v>8.798022454867894</v>
      </c>
      <c r="AH182" s="289">
        <v>-1.2446994838544168E-2</v>
      </c>
      <c r="AI182" s="289">
        <v>-8.2287393037699825</v>
      </c>
      <c r="AJ182" s="289">
        <v>-5.3632415514653475</v>
      </c>
      <c r="AK182" s="289">
        <v>-4.4056724657223771</v>
      </c>
      <c r="AL182" s="289">
        <v>5.1918117367446559</v>
      </c>
      <c r="AM182" s="289">
        <v>17.182224971320114</v>
      </c>
      <c r="AN182" s="289">
        <v>20.641701146500413</v>
      </c>
      <c r="AO182" s="289">
        <v>29.981829281437822</v>
      </c>
      <c r="AP182" s="289">
        <v>29.503428841252031</v>
      </c>
      <c r="AQ182" s="289">
        <v>29.578654562933892</v>
      </c>
      <c r="AR182" s="289">
        <v>32.381694875674462</v>
      </c>
      <c r="AS182" s="289">
        <v>195.21387089928029</v>
      </c>
      <c r="AT182" s="289">
        <v>334.94071517734415</v>
      </c>
      <c r="AU182" s="289">
        <v>252.40338528844828</v>
      </c>
      <c r="AV182" s="289">
        <v>18.460217583296611</v>
      </c>
      <c r="AW182" s="289">
        <v>5.5294844419082834</v>
      </c>
      <c r="AX182" s="289">
        <v>13.342365916722843</v>
      </c>
      <c r="AY182" s="289">
        <v>72.166572061305502</v>
      </c>
      <c r="AZ182" s="289">
        <v>51.311060998510392</v>
      </c>
      <c r="BA182" s="289">
        <v>52.323651612058519</v>
      </c>
      <c r="BB182" s="289">
        <v>36.340370686159076</v>
      </c>
      <c r="BC182" s="289">
        <v>37.481471624021708</v>
      </c>
      <c r="BD182" s="289">
        <v>26.568311512703978</v>
      </c>
      <c r="BE182" s="289">
        <v>9.9689944312489445</v>
      </c>
    </row>
    <row r="183" spans="1:57">
      <c r="A183" s="289" t="s">
        <v>1792</v>
      </c>
      <c r="C183" s="289" t="s">
        <v>2462</v>
      </c>
      <c r="E183" s="289" t="s">
        <v>1711</v>
      </c>
      <c r="F183" s="289" t="s">
        <v>2219</v>
      </c>
      <c r="G183" s="289">
        <v>8.4747322382285688</v>
      </c>
      <c r="H183" s="289">
        <v>11.523927991561479</v>
      </c>
      <c r="I183" s="289">
        <v>16.101852817957571</v>
      </c>
      <c r="J183" s="289">
        <v>9.163364649205306</v>
      </c>
      <c r="K183" s="289">
        <v>10.002969919615678</v>
      </c>
      <c r="L183" s="289">
        <v>12.740640397740799</v>
      </c>
      <c r="M183" s="289">
        <v>2.520748827727564</v>
      </c>
      <c r="N183" s="289">
        <v>4.7195675788589559</v>
      </c>
      <c r="O183" s="289">
        <v>7.5679904118089141</v>
      </c>
      <c r="P183" s="289">
        <v>26.395103314921776</v>
      </c>
      <c r="Q183" s="289">
        <v>12.192418855454552</v>
      </c>
      <c r="R183" s="289">
        <v>-1.5911091577673471</v>
      </c>
      <c r="S183" s="289">
        <v>14.694020477075354</v>
      </c>
      <c r="T183" s="289">
        <v>2.9513497336174241</v>
      </c>
      <c r="U183" s="289">
        <v>1.2210773314742922</v>
      </c>
      <c r="V183" s="289">
        <v>6.4214085183684251</v>
      </c>
      <c r="W183" s="289">
        <v>5.6111183424399069</v>
      </c>
      <c r="X183" s="289">
        <v>6.4707541678266356</v>
      </c>
      <c r="Y183" s="289">
        <v>13.291379335800046</v>
      </c>
      <c r="Z183" s="289">
        <v>32.13906636954956</v>
      </c>
      <c r="AA183" s="289">
        <v>32.823261401095323</v>
      </c>
      <c r="AB183" s="289">
        <v>-0.35816082456372106</v>
      </c>
      <c r="AC183" s="289">
        <v>39.850417773331145</v>
      </c>
      <c r="AD183" s="289">
        <v>7.7264178682966129</v>
      </c>
      <c r="AE183" s="289">
        <v>0.9874858666523012</v>
      </c>
      <c r="AF183" s="289">
        <v>10.206388625190346</v>
      </c>
      <c r="AG183" s="289">
        <v>18.425078216845698</v>
      </c>
      <c r="AH183" s="289">
        <v>1.2707273282831715</v>
      </c>
      <c r="AI183" s="289">
        <v>-6.6751456017921669</v>
      </c>
      <c r="AJ183" s="289">
        <v>-9.5596401458594595</v>
      </c>
      <c r="AK183" s="289">
        <v>-2.9391871512211085</v>
      </c>
      <c r="AL183" s="289">
        <v>6.8571115309419719</v>
      </c>
      <c r="AM183" s="289">
        <v>27.937320484465129</v>
      </c>
      <c r="AN183" s="289">
        <v>18.683307893292149</v>
      </c>
      <c r="AO183" s="289">
        <v>33.439266137186237</v>
      </c>
      <c r="AP183" s="289">
        <v>48.359269383746359</v>
      </c>
      <c r="AQ183" s="289">
        <v>39.044823498865604</v>
      </c>
      <c r="AR183" s="289">
        <v>35.519412220572214</v>
      </c>
      <c r="AS183" s="289">
        <v>210.26992311035625</v>
      </c>
      <c r="AT183" s="289">
        <v>-1842.2055872376541</v>
      </c>
      <c r="AU183" s="289">
        <v>267.68005975919596</v>
      </c>
      <c r="AV183" s="289">
        <v>36.787595898195718</v>
      </c>
      <c r="AW183" s="289">
        <v>5.475070405781068</v>
      </c>
      <c r="AX183" s="289">
        <v>7.2455632598219637</v>
      </c>
      <c r="AY183" s="289">
        <v>69.768209686399459</v>
      </c>
      <c r="AZ183" s="289">
        <v>50.992957095677674</v>
      </c>
      <c r="BA183" s="289">
        <v>57.290354400570003</v>
      </c>
      <c r="BB183" s="289">
        <v>43.283818294938534</v>
      </c>
      <c r="BC183" s="289">
        <v>40.879880759433568</v>
      </c>
      <c r="BD183" s="289">
        <v>18.717025502171474</v>
      </c>
      <c r="BE183" s="289">
        <v>10.567425762796601</v>
      </c>
    </row>
    <row r="185" spans="1:57">
      <c r="A185" s="289" t="s">
        <v>1793</v>
      </c>
    </row>
    <row r="186" spans="1:57">
      <c r="A186" s="289" t="s">
        <v>1794</v>
      </c>
    </row>
    <row r="187" spans="1:57">
      <c r="A187" s="289" t="s">
        <v>1795</v>
      </c>
    </row>
    <row r="188" spans="1:57">
      <c r="A188" s="289" t="s">
        <v>4040</v>
      </c>
      <c r="C188" s="289" t="s">
        <v>2462</v>
      </c>
      <c r="F188" s="289">
        <v>6</v>
      </c>
      <c r="G188" s="289">
        <v>-3.1</v>
      </c>
      <c r="H188" s="289">
        <v>-0.33315089344978333</v>
      </c>
      <c r="I188" s="289">
        <v>15.395469665527344</v>
      </c>
      <c r="J188" s="289">
        <v>8.9151115417480469</v>
      </c>
      <c r="K188" s="289">
        <v>2.8660340309143066</v>
      </c>
      <c r="L188" s="289">
        <v>-2.3736550807952881</v>
      </c>
      <c r="M188" s="289">
        <v>0.38395720720291138</v>
      </c>
      <c r="N188" s="289">
        <v>2.0476639270782471</v>
      </c>
      <c r="O188" s="289">
        <v>-2.0203309059143066</v>
      </c>
      <c r="P188" s="289">
        <v>-2.1691229343414307</v>
      </c>
      <c r="Q188" s="289">
        <v>1.4651679992675781</v>
      </c>
      <c r="R188" s="289">
        <v>11.19773006439209</v>
      </c>
      <c r="S188" s="289">
        <v>3.3849248886108398</v>
      </c>
      <c r="T188" s="289">
        <v>2.6411700248718262</v>
      </c>
      <c r="U188" s="289">
        <v>4.4026660919189453</v>
      </c>
      <c r="V188" s="289">
        <v>6.7484469413757324</v>
      </c>
      <c r="W188" s="289">
        <v>2.8925549983978271</v>
      </c>
      <c r="X188" s="289">
        <v>0.80675822496414185</v>
      </c>
      <c r="Y188" s="289">
        <v>0.67330348491668701</v>
      </c>
      <c r="Z188" s="289">
        <v>44.09906005859375</v>
      </c>
      <c r="AA188" s="289">
        <v>15.848649978637695</v>
      </c>
      <c r="AB188" s="289">
        <v>10.148870468139648</v>
      </c>
      <c r="AC188" s="289">
        <v>11.784150123596191</v>
      </c>
      <c r="AD188" s="289">
        <v>5.7871599197387695</v>
      </c>
      <c r="AE188" s="289">
        <v>7.347567081451416</v>
      </c>
      <c r="AF188" s="289">
        <v>18.65839958190918</v>
      </c>
      <c r="AG188" s="289">
        <v>8.6790685653686523</v>
      </c>
      <c r="AH188" s="289">
        <v>-10.144929885864258</v>
      </c>
      <c r="AI188" s="289">
        <v>-8.703028678894043</v>
      </c>
      <c r="AJ188" s="289">
        <v>4.8706731796264648</v>
      </c>
      <c r="AK188" s="289">
        <v>-21.025569915771484</v>
      </c>
      <c r="AL188" s="289">
        <v>2.4661169052124023</v>
      </c>
      <c r="AM188" s="289">
        <v>2.4000000953674316</v>
      </c>
      <c r="AN188" s="289">
        <v>22.799999237060547</v>
      </c>
      <c r="AO188" s="289">
        <v>39.799999237060547</v>
      </c>
      <c r="AP188" s="289">
        <v>-9.4499999999999993</v>
      </c>
      <c r="AQ188" s="289">
        <v>-19.281134765627648</v>
      </c>
      <c r="AR188" s="289">
        <v>-13.481171844855556</v>
      </c>
      <c r="AS188" s="289">
        <v>2347.7215053474038</v>
      </c>
      <c r="AT188" s="289">
        <v>422.45525759029238</v>
      </c>
      <c r="AU188" s="289">
        <v>170.16081642928847</v>
      </c>
      <c r="AV188" s="289">
        <v>-19.013512360323581</v>
      </c>
      <c r="AW188" s="289">
        <v>-1.6529385085585324</v>
      </c>
      <c r="AX188" s="289">
        <v>-16.223356953351175</v>
      </c>
      <c r="AY188" s="289">
        <v>115.22597746117293</v>
      </c>
      <c r="AZ188" s="289">
        <v>80.744783000388878</v>
      </c>
      <c r="BA188" s="289">
        <v>63.555018933481946</v>
      </c>
      <c r="BB188" s="289">
        <v>-24.245698249351587</v>
      </c>
      <c r="BC188" s="289">
        <v>23.025032465507312</v>
      </c>
      <c r="BD188" s="289">
        <v>20.42248547201444</v>
      </c>
      <c r="BE188" s="289">
        <v>2.8382226631171514</v>
      </c>
    </row>
    <row r="189" spans="1:57">
      <c r="A189" s="289" t="s">
        <v>4041</v>
      </c>
      <c r="C189" s="289" t="s">
        <v>2462</v>
      </c>
      <c r="F189" s="289">
        <v>2</v>
      </c>
      <c r="G189" s="289">
        <v>1</v>
      </c>
      <c r="H189" s="289">
        <v>1.9801980257034302</v>
      </c>
      <c r="I189" s="289">
        <v>8.7378644943237305</v>
      </c>
      <c r="J189" s="289">
        <v>0</v>
      </c>
      <c r="K189" s="289">
        <v>0</v>
      </c>
      <c r="L189" s="289">
        <v>2.6785714626312256</v>
      </c>
      <c r="M189" s="289">
        <v>1.7391303777694702</v>
      </c>
      <c r="N189" s="289">
        <v>0.85470086336135864</v>
      </c>
      <c r="O189" s="289">
        <v>0.8474576473236084</v>
      </c>
      <c r="P189" s="289">
        <v>0.8403361439704895</v>
      </c>
      <c r="Q189" s="289">
        <v>1.6666666269302368</v>
      </c>
      <c r="R189" s="289">
        <v>1.6393442153930664</v>
      </c>
      <c r="S189" s="289">
        <v>7.2580647468566895</v>
      </c>
      <c r="T189" s="289">
        <v>0</v>
      </c>
      <c r="U189" s="289">
        <v>3.0075187683105469</v>
      </c>
      <c r="V189" s="289">
        <v>1.7561022043228149</v>
      </c>
      <c r="W189" s="289">
        <v>-0.59355843067169189</v>
      </c>
      <c r="X189" s="289">
        <v>2.4373531341552734</v>
      </c>
      <c r="Y189" s="289">
        <v>12.087912559509277</v>
      </c>
      <c r="Z189" s="289">
        <v>15.959079742431641</v>
      </c>
      <c r="AA189" s="289">
        <v>7.4915452003479004</v>
      </c>
      <c r="AB189" s="289">
        <v>9.3085289001464844</v>
      </c>
      <c r="AC189" s="289">
        <v>8.8286819458007812</v>
      </c>
      <c r="AD189" s="289">
        <v>7.9859714508056641</v>
      </c>
      <c r="AE189" s="289">
        <v>13.954850196838379</v>
      </c>
      <c r="AF189" s="289">
        <v>13.208428382873535</v>
      </c>
      <c r="AG189" s="289">
        <v>8.7082128524780273</v>
      </c>
      <c r="AH189" s="289">
        <v>7.2892937660217285</v>
      </c>
      <c r="AI189" s="289">
        <v>4.3878273963928223</v>
      </c>
      <c r="AJ189" s="289">
        <v>4.1999998092651367</v>
      </c>
      <c r="AK189" s="289">
        <v>16.299999237060547</v>
      </c>
      <c r="AL189" s="289">
        <v>30.700000762939453</v>
      </c>
      <c r="AM189" s="289">
        <v>88.800003051757813</v>
      </c>
      <c r="AN189" s="289">
        <v>15</v>
      </c>
      <c r="AO189" s="289">
        <v>19.700000762939453</v>
      </c>
      <c r="AP189" s="289">
        <v>21.746293245469506</v>
      </c>
      <c r="AQ189" s="289">
        <v>25.968753844261293</v>
      </c>
      <c r="AR189" s="289">
        <v>43.662109374999993</v>
      </c>
      <c r="AS189" s="289">
        <v>143.51845557745909</v>
      </c>
      <c r="AT189" s="289">
        <v>368.47923179991062</v>
      </c>
      <c r="AU189" s="289">
        <v>235.55783301951999</v>
      </c>
      <c r="AV189" s="289">
        <v>-0.8</v>
      </c>
      <c r="AW189" s="289">
        <v>7.2</v>
      </c>
      <c r="AX189" s="289">
        <v>18.7</v>
      </c>
      <c r="AY189" s="289">
        <v>99.148936170212764</v>
      </c>
      <c r="AZ189" s="289">
        <v>59.188034188034202</v>
      </c>
      <c r="BA189" s="289">
        <v>38.657718120805363</v>
      </c>
      <c r="BB189" s="289">
        <v>15.48886737657309</v>
      </c>
      <c r="BC189" s="289">
        <v>22.822081282431551</v>
      </c>
      <c r="BD189" s="289">
        <v>9.1479420449446458</v>
      </c>
      <c r="BE189" s="289">
        <v>6.7523090963089345</v>
      </c>
    </row>
    <row r="190" spans="1:57">
      <c r="A190" s="289" t="s">
        <v>4042</v>
      </c>
      <c r="C190" s="289" t="s">
        <v>2462</v>
      </c>
      <c r="F190" s="289">
        <v>1.8</v>
      </c>
      <c r="G190" s="289">
        <v>0.5</v>
      </c>
      <c r="H190" s="289">
        <v>3.0221829414367676</v>
      </c>
      <c r="I190" s="289">
        <v>2.2277793884277344</v>
      </c>
      <c r="J190" s="289">
        <v>-1.626257061958313</v>
      </c>
      <c r="K190" s="289">
        <v>-0.89552080631256104</v>
      </c>
      <c r="L190" s="289">
        <v>0.76559323072433472</v>
      </c>
      <c r="M190" s="289">
        <v>1.8154700994491577</v>
      </c>
      <c r="N190" s="289">
        <v>0.49572989344596863</v>
      </c>
      <c r="O190" s="289">
        <v>0.31003996729850769</v>
      </c>
      <c r="P190" s="289">
        <v>2.2613492012023926</v>
      </c>
      <c r="Q190" s="289">
        <v>1.6288275718688965</v>
      </c>
      <c r="R190" s="289">
        <v>1.1620020866394043</v>
      </c>
      <c r="S190" s="289">
        <v>1.3401436805725098</v>
      </c>
      <c r="T190" s="289">
        <v>0.38416191935539246</v>
      </c>
      <c r="U190" s="289">
        <v>2.3576428890228271</v>
      </c>
      <c r="V190" s="289">
        <v>4.3976931571960449</v>
      </c>
      <c r="W190" s="289">
        <v>6.8055276870727539</v>
      </c>
      <c r="X190" s="289">
        <v>1.0620815753936768</v>
      </c>
      <c r="Y190" s="289">
        <v>23.262006759643555</v>
      </c>
      <c r="Z190" s="289">
        <v>51.418785095214844</v>
      </c>
      <c r="AA190" s="289">
        <v>9.6750164031982422</v>
      </c>
      <c r="AB190" s="289">
        <v>2.2336657047271729</v>
      </c>
      <c r="AC190" s="289">
        <v>8.1954889297485352</v>
      </c>
      <c r="AD190" s="289">
        <v>8.4418277740478516</v>
      </c>
      <c r="AE190" s="289">
        <v>21.756065368652344</v>
      </c>
      <c r="AF190" s="289">
        <v>29.74290657043457</v>
      </c>
      <c r="AG190" s="289">
        <v>5.1207904815673828</v>
      </c>
      <c r="AH190" s="289">
        <v>-1.4226530790328979</v>
      </c>
      <c r="AI190" s="289">
        <v>-5.799159049987793</v>
      </c>
      <c r="AJ190" s="289">
        <v>-1.4299999475479126</v>
      </c>
      <c r="AK190" s="289">
        <v>4.3000001907348633</v>
      </c>
      <c r="AL190" s="289">
        <v>2.3299999237060547</v>
      </c>
      <c r="AM190" s="289">
        <v>66.589996337890625</v>
      </c>
      <c r="AN190" s="289">
        <v>12.100000381469727</v>
      </c>
      <c r="AO190" s="289">
        <v>21</v>
      </c>
      <c r="AP190" s="289">
        <v>47</v>
      </c>
      <c r="AQ190" s="289">
        <v>38.306300283925985</v>
      </c>
      <c r="AR190" s="289">
        <v>30.387615455445705</v>
      </c>
      <c r="AS190" s="289">
        <v>449.54631502796258</v>
      </c>
      <c r="AT190" s="289">
        <v>426.50594858796609</v>
      </c>
      <c r="AU190" s="289">
        <v>113.05936131309264</v>
      </c>
      <c r="AV190" s="289">
        <v>-6.4529559691432929</v>
      </c>
      <c r="AW190" s="289">
        <v>2.2298922185533643</v>
      </c>
      <c r="AX190" s="289">
        <v>1.4999999999999902</v>
      </c>
      <c r="AY190" s="289">
        <v>119.15655860349128</v>
      </c>
      <c r="AZ190" s="289">
        <v>59.482986393766701</v>
      </c>
      <c r="BA190" s="289">
        <v>68.853049837894886</v>
      </c>
      <c r="BB190" s="289">
        <v>9.4467753041083355</v>
      </c>
      <c r="BC190" s="289">
        <v>13.699360818152728</v>
      </c>
      <c r="BD190" s="289">
        <v>12.896386466021292</v>
      </c>
      <c r="BE190" s="289">
        <v>3</v>
      </c>
    </row>
    <row r="191" spans="1:57">
      <c r="A191" s="289" t="s">
        <v>3107</v>
      </c>
      <c r="C191" s="289" t="s">
        <v>2462</v>
      </c>
      <c r="F191" s="289" t="s">
        <v>2219</v>
      </c>
      <c r="G191" s="289">
        <v>1.2183674456863747</v>
      </c>
      <c r="H191" s="289">
        <v>-17.689383370237387</v>
      </c>
      <c r="I191" s="289">
        <v>8.1133875731743252</v>
      </c>
      <c r="J191" s="289">
        <v>2.1546542963380766</v>
      </c>
      <c r="K191" s="289">
        <v>4.192975366687568</v>
      </c>
      <c r="L191" s="289">
        <v>0.82289306996508049</v>
      </c>
      <c r="M191" s="289">
        <v>-0.44574071670127058</v>
      </c>
      <c r="N191" s="289">
        <v>5.2866679262533411</v>
      </c>
      <c r="O191" s="289">
        <v>6.2712268686030415</v>
      </c>
      <c r="P191" s="289">
        <v>7.6030566382945919</v>
      </c>
      <c r="Q191" s="289">
        <v>3.1295200183219185</v>
      </c>
      <c r="R191" s="289">
        <v>13.762367701850465</v>
      </c>
      <c r="S191" s="289">
        <v>8.7761450917543726</v>
      </c>
      <c r="T191" s="289">
        <v>10.589077315282115</v>
      </c>
      <c r="U191" s="289">
        <v>8.201457006705958</v>
      </c>
      <c r="V191" s="289">
        <v>9.661369868490155</v>
      </c>
      <c r="W191" s="289">
        <v>12.515523367395964</v>
      </c>
      <c r="X191" s="289">
        <v>11.522105864383203</v>
      </c>
      <c r="Y191" s="289">
        <v>14.656522434739539</v>
      </c>
      <c r="Z191" s="289">
        <v>14.775472768098874</v>
      </c>
      <c r="AA191" s="289">
        <v>18.967549888234171</v>
      </c>
      <c r="AB191" s="289">
        <v>19.958007844682825</v>
      </c>
      <c r="AC191" s="289">
        <v>26.562082909485184</v>
      </c>
      <c r="AD191" s="289">
        <v>18.508194474614402</v>
      </c>
      <c r="AE191" s="289">
        <v>5.0956405908711755</v>
      </c>
      <c r="AF191" s="289">
        <v>17.921563508281579</v>
      </c>
      <c r="AG191" s="289">
        <v>15.958095271856321</v>
      </c>
      <c r="AH191" s="289">
        <v>11.13254555277976</v>
      </c>
      <c r="AI191" s="289">
        <v>8.6212183131116014</v>
      </c>
      <c r="AJ191" s="289">
        <v>7.3688902112652999</v>
      </c>
      <c r="AK191" s="289">
        <v>7.0388897127582783</v>
      </c>
      <c r="AL191" s="289">
        <v>-1.0566153486140317</v>
      </c>
      <c r="AM191" s="289">
        <v>-6.4520527523492905</v>
      </c>
      <c r="AN191" s="289">
        <v>12.622057309859947</v>
      </c>
      <c r="AO191" s="289">
        <v>18.012497339457511</v>
      </c>
      <c r="AP191" s="289">
        <v>18.0729929544732</v>
      </c>
      <c r="AQ191" s="289">
        <v>15.532233246859217</v>
      </c>
      <c r="AR191" s="289">
        <v>29.254102127132597</v>
      </c>
      <c r="AS191" s="289">
        <v>87.692225322934164</v>
      </c>
      <c r="AT191" s="289">
        <v>574.77007585283297</v>
      </c>
      <c r="AU191" s="289">
        <v>360.33039330650274</v>
      </c>
      <c r="AV191" s="289">
        <v>48.179533706624447</v>
      </c>
      <c r="AW191" s="289">
        <v>34.084797427987354</v>
      </c>
      <c r="AX191" s="289">
        <v>19.152624115369111</v>
      </c>
      <c r="AY191" s="289">
        <v>86.129190568513849</v>
      </c>
      <c r="AZ191" s="289">
        <v>36.279075164415907</v>
      </c>
      <c r="BA191" s="289">
        <v>64.81610661467721</v>
      </c>
      <c r="BB191" s="289">
        <v>19.067383199515643</v>
      </c>
      <c r="BC191" s="289">
        <v>-8.0133246187791265</v>
      </c>
      <c r="BD191" s="289">
        <v>22.487058021364035</v>
      </c>
      <c r="BE191" s="289">
        <v>10.331405336640053</v>
      </c>
    </row>
    <row r="192" spans="1:57">
      <c r="A192" s="289" t="s">
        <v>3108</v>
      </c>
      <c r="C192" s="289" t="s">
        <v>2462</v>
      </c>
      <c r="F192" s="289" t="s">
        <v>2219</v>
      </c>
      <c r="G192" s="289">
        <v>5.2241031065981325</v>
      </c>
      <c r="H192" s="289">
        <v>8.0179465739342213</v>
      </c>
      <c r="I192" s="289">
        <v>1.3628542546347377</v>
      </c>
      <c r="J192" s="289">
        <v>0.75192406221569197</v>
      </c>
      <c r="K192" s="289">
        <v>10.451881000843199</v>
      </c>
      <c r="L192" s="289">
        <v>1.7008785236614754</v>
      </c>
      <c r="M192" s="289">
        <v>3.3512275420175319</v>
      </c>
      <c r="N192" s="289">
        <v>1.8547816607775935</v>
      </c>
      <c r="O192" s="289">
        <v>10.524587965396947</v>
      </c>
      <c r="P192" s="289">
        <v>15.644454234999806</v>
      </c>
      <c r="Q192" s="289">
        <v>9.2238207905374292</v>
      </c>
      <c r="R192" s="289">
        <v>15.000611230157057</v>
      </c>
      <c r="S192" s="289">
        <v>7.4431113013391226</v>
      </c>
      <c r="T192" s="289">
        <v>3.8727460391801971</v>
      </c>
      <c r="U192" s="289">
        <v>-1.4787942122143183</v>
      </c>
      <c r="V192" s="289">
        <v>-0.58867939469112729</v>
      </c>
      <c r="W192" s="289">
        <v>11.590895074984742</v>
      </c>
      <c r="X192" s="289">
        <v>2.8159626763017531</v>
      </c>
      <c r="Y192" s="289">
        <v>6.7762854372849013</v>
      </c>
      <c r="Z192" s="289">
        <v>9.6086560858199341</v>
      </c>
      <c r="AA192" s="289">
        <v>0.5490261946329511</v>
      </c>
      <c r="AB192" s="289">
        <v>-5.8612970586214725</v>
      </c>
      <c r="AC192" s="289">
        <v>8.9964549011258619</v>
      </c>
      <c r="AD192" s="289">
        <v>7.5712317465816303</v>
      </c>
      <c r="AE192" s="289">
        <v>2.6294009547675357</v>
      </c>
      <c r="AF192" s="289">
        <v>-1.2624874013094867</v>
      </c>
      <c r="AG192" s="289">
        <v>1.892807109634087</v>
      </c>
      <c r="AH192" s="289">
        <v>-2.7016649811639204</v>
      </c>
      <c r="AI192" s="289">
        <v>-6.3849169179489129</v>
      </c>
      <c r="AJ192" s="289">
        <v>-7.316521123956143</v>
      </c>
      <c r="AK192" s="289">
        <v>1.6750049684012058</v>
      </c>
      <c r="AL192" s="289">
        <v>-20.037144502372108</v>
      </c>
      <c r="AM192" s="289">
        <v>-15.39331750712023</v>
      </c>
      <c r="AN192" s="289">
        <v>1.5835798153984504</v>
      </c>
      <c r="AO192" s="289">
        <v>-3.338318944295382</v>
      </c>
      <c r="AP192" s="289">
        <v>32.571485303974981</v>
      </c>
      <c r="AQ192" s="289">
        <v>10.552489252608233</v>
      </c>
      <c r="AR192" s="289">
        <v>-6.0135052911306826</v>
      </c>
      <c r="AS192" s="289">
        <v>-17.82208019879419</v>
      </c>
      <c r="AT192" s="289">
        <v>-10.322482352725903</v>
      </c>
      <c r="AU192" s="289">
        <v>-12.16986413698492</v>
      </c>
      <c r="AV192" s="289">
        <v>33.812485686962049</v>
      </c>
      <c r="AW192" s="289">
        <v>10.516163846753157</v>
      </c>
      <c r="AX192" s="289">
        <v>4.8444330262840785</v>
      </c>
      <c r="AY192" s="289">
        <v>-10.691556515190481</v>
      </c>
      <c r="AZ192" s="289">
        <v>-12.01612625762365</v>
      </c>
      <c r="BA192" s="289">
        <v>5.9962289908655375</v>
      </c>
      <c r="BB192" s="289">
        <v>55.463148893395719</v>
      </c>
      <c r="BC192" s="289">
        <v>6.3240792233004051</v>
      </c>
      <c r="BD192" s="289">
        <v>7.0464402277189198</v>
      </c>
      <c r="BE192" s="289">
        <v>1.7237811093804289</v>
      </c>
    </row>
    <row r="193" spans="1:57">
      <c r="A193" s="289" t="s">
        <v>3109</v>
      </c>
      <c r="C193" s="289" t="s">
        <v>2462</v>
      </c>
      <c r="F193" s="289" t="s">
        <v>2219</v>
      </c>
      <c r="G193" s="289">
        <v>3.3195020746887849</v>
      </c>
      <c r="H193" s="289">
        <v>30.000976194818342</v>
      </c>
      <c r="I193" s="289">
        <v>4.3999969360091429</v>
      </c>
      <c r="J193" s="289">
        <v>5.5999897957271561</v>
      </c>
      <c r="K193" s="289">
        <v>5.8287856546011874</v>
      </c>
      <c r="L193" s="289">
        <v>6.0240918828778245</v>
      </c>
      <c r="M193" s="289">
        <v>1.0957868181484365</v>
      </c>
      <c r="N193" s="289">
        <v>0.76275006916786126</v>
      </c>
      <c r="O193" s="289">
        <v>0.63743791854073972</v>
      </c>
      <c r="P193" s="289">
        <v>0.65242284010562646</v>
      </c>
      <c r="Q193" s="289">
        <v>1.2649045491194721</v>
      </c>
      <c r="R193" s="289">
        <v>0.472293618164632</v>
      </c>
      <c r="S193" s="289">
        <v>0.62469266048510441</v>
      </c>
      <c r="T193" s="289">
        <v>1.2355237076623116</v>
      </c>
      <c r="U193" s="289">
        <v>0.38555740892094459</v>
      </c>
      <c r="V193" s="289">
        <v>2.1986302907586186</v>
      </c>
      <c r="W193" s="289">
        <v>-5.3946153613050996</v>
      </c>
      <c r="X193" s="289">
        <v>-1.0572358594520215</v>
      </c>
      <c r="Y193" s="289">
        <v>-2.8673545205692874</v>
      </c>
      <c r="Z193" s="289">
        <v>-1.3018659231471053</v>
      </c>
      <c r="AA193" s="289">
        <v>5.8532614942917949</v>
      </c>
      <c r="AB193" s="289">
        <v>-2.1806896012098065</v>
      </c>
      <c r="AC193" s="289">
        <v>1.4331125226292096</v>
      </c>
      <c r="AD193" s="289">
        <v>0.31396581291855963</v>
      </c>
      <c r="AE193" s="289">
        <v>-2.1909279886194621</v>
      </c>
      <c r="AF193" s="289">
        <v>1.0400086383354212</v>
      </c>
      <c r="AG193" s="289">
        <v>-0.31670028044887832</v>
      </c>
      <c r="AH193" s="289">
        <v>-0.11120658256457139</v>
      </c>
      <c r="AI193" s="289">
        <v>-2.194652445544798</v>
      </c>
      <c r="AJ193" s="289">
        <v>-3.7886226432990444</v>
      </c>
      <c r="AK193" s="289">
        <v>-3.6352851075072912</v>
      </c>
      <c r="AL193" s="289">
        <v>-6.4346930766601584</v>
      </c>
      <c r="AM193" s="289">
        <v>-6.0472035456558659</v>
      </c>
      <c r="AN193" s="289">
        <v>-6.5802293806768608</v>
      </c>
      <c r="AO193" s="289">
        <v>-8.3095784171032694</v>
      </c>
      <c r="AP193" s="289">
        <v>-4.69035401029676</v>
      </c>
      <c r="AQ193" s="289">
        <v>1.6267608705133219</v>
      </c>
      <c r="AR193" s="289">
        <v>0.98274826195177134</v>
      </c>
      <c r="AS193" s="289">
        <v>-5.1379031915345541</v>
      </c>
      <c r="AT193" s="289">
        <v>-8.6327390018815287</v>
      </c>
      <c r="AU193" s="289">
        <v>-6.7614611424368753</v>
      </c>
      <c r="AV193" s="289">
        <v>3.6211798909225879</v>
      </c>
      <c r="AW193" s="289">
        <v>-1.0638297872340385</v>
      </c>
      <c r="AX193" s="289">
        <v>-1.6830294530156831E-2</v>
      </c>
      <c r="AY193" s="289">
        <v>-3.5704933976733022</v>
      </c>
      <c r="AZ193" s="289">
        <v>-0.11831565063908922</v>
      </c>
      <c r="BA193" s="289">
        <v>-1.1826161255243162</v>
      </c>
      <c r="BB193" s="289">
        <v>0.97604259094943302</v>
      </c>
      <c r="BC193" s="289">
        <v>2.7240773286467457</v>
      </c>
      <c r="BD193" s="289">
        <v>10.428325021515272</v>
      </c>
      <c r="BE193" s="289">
        <v>6.3868484976536077</v>
      </c>
    </row>
    <row r="194" spans="1:57">
      <c r="A194" s="289" t="s">
        <v>3565</v>
      </c>
      <c r="C194" s="289" t="s">
        <v>1796</v>
      </c>
      <c r="F194" s="289">
        <v>6.2342038753159255</v>
      </c>
      <c r="G194" s="289">
        <v>9.2816787732042023</v>
      </c>
      <c r="H194" s="289">
        <v>9.8499224874212814</v>
      </c>
      <c r="I194" s="289">
        <v>11.890560165136</v>
      </c>
      <c r="J194" s="289">
        <v>10.031786290013999</v>
      </c>
      <c r="K194" s="289">
        <v>9.590351814717943</v>
      </c>
      <c r="L194" s="289">
        <v>13.254382844286271</v>
      </c>
      <c r="M194" s="289">
        <v>19.242185161879135</v>
      </c>
      <c r="N194" s="289">
        <v>14.12769651879249</v>
      </c>
      <c r="O194" s="289">
        <v>18.170079806748987</v>
      </c>
      <c r="P194" s="289">
        <v>10.18865120443964</v>
      </c>
      <c r="Q194" s="289">
        <v>11.950803581963706</v>
      </c>
      <c r="R194" s="289">
        <v>10.112609009769059</v>
      </c>
      <c r="S194" s="289">
        <v>9.3249725825068808</v>
      </c>
      <c r="T194" s="289">
        <v>9.7516829894842108</v>
      </c>
      <c r="U194" s="289">
        <v>10.995345279129005</v>
      </c>
      <c r="V194" s="289">
        <v>12.718857220339578</v>
      </c>
      <c r="W194" s="289">
        <v>11.745266053589241</v>
      </c>
      <c r="X194" s="289">
        <v>8.4132205094909356</v>
      </c>
      <c r="Y194" s="289">
        <v>8.8099012004330355</v>
      </c>
      <c r="Z194" s="289">
        <v>12.454360521407647</v>
      </c>
      <c r="AA194" s="289">
        <v>7.687348333767738</v>
      </c>
      <c r="AB194" s="289">
        <v>25.728155135555674</v>
      </c>
      <c r="AC194" s="289">
        <v>27.391792339992115</v>
      </c>
      <c r="AD194" s="289">
        <v>17.365293812942323</v>
      </c>
      <c r="AE194" s="289">
        <v>17.406025388899678</v>
      </c>
      <c r="AF194" s="289">
        <v>14.951022782108993</v>
      </c>
      <c r="AG194" s="289">
        <v>23.308669382261993</v>
      </c>
      <c r="AH194" s="289">
        <v>25.318145515908565</v>
      </c>
      <c r="AI194" s="289">
        <v>18.136502293920735</v>
      </c>
      <c r="AJ194" s="289">
        <v>15.028537629573947</v>
      </c>
      <c r="AK194" s="289">
        <v>20.291070086096013</v>
      </c>
      <c r="AL194" s="289">
        <v>25.502725247658958</v>
      </c>
      <c r="AM194" s="289">
        <v>24.423027570677565</v>
      </c>
      <c r="AN194" s="289">
        <v>22.105285709970264</v>
      </c>
      <c r="AO194" s="289">
        <v>16.632190007649498</v>
      </c>
      <c r="AP194" s="289">
        <v>8.9975045134299556</v>
      </c>
      <c r="AQ194" s="289">
        <v>15.413282919074726</v>
      </c>
      <c r="AR194" s="289">
        <v>14.051718585376106</v>
      </c>
      <c r="AS194" s="289">
        <v>14.606152521110676</v>
      </c>
      <c r="AT194" s="289">
        <v>17.547460363404337</v>
      </c>
      <c r="AU194" s="289">
        <v>37.04022056420132</v>
      </c>
      <c r="AV194" s="289">
        <v>23.841871809900123</v>
      </c>
      <c r="AW194" s="289">
        <v>19.601387892575868</v>
      </c>
      <c r="AX194" s="289">
        <v>25.804638132746835</v>
      </c>
      <c r="AY194" s="289">
        <v>17.318538223397812</v>
      </c>
      <c r="AZ194" s="289">
        <v>21.803329899035056</v>
      </c>
      <c r="BA194" s="289">
        <v>8.5447848895819227</v>
      </c>
      <c r="BB194" s="289">
        <v>15.038881471643469</v>
      </c>
      <c r="BC194" s="289">
        <v>6.0420307752345321</v>
      </c>
      <c r="BD194" s="289">
        <v>6.401397773478319</v>
      </c>
      <c r="BE194" s="289">
        <v>5.3311331403000395</v>
      </c>
    </row>
    <row r="195" spans="1:57">
      <c r="A195" s="289" t="s">
        <v>1797</v>
      </c>
      <c r="C195" s="289" t="s">
        <v>2441</v>
      </c>
      <c r="F195" s="289">
        <v>161.43714256011515</v>
      </c>
      <c r="G195" s="289">
        <v>163.08170489433263</v>
      </c>
      <c r="H195" s="289">
        <v>164.40796484128225</v>
      </c>
      <c r="I195" s="289">
        <v>164.76286877766836</v>
      </c>
      <c r="J195" s="289">
        <v>166.56165373183046</v>
      </c>
      <c r="K195" s="289">
        <v>167.68631401128408</v>
      </c>
      <c r="L195" s="289">
        <v>171.96896519284658</v>
      </c>
      <c r="M195" s="289">
        <v>167.7595617956128</v>
      </c>
      <c r="N195" s="289">
        <v>166.6891203990665</v>
      </c>
      <c r="O195" s="289">
        <v>168.42483921218607</v>
      </c>
      <c r="P195" s="289">
        <v>172.24301497009762</v>
      </c>
      <c r="Q195" s="289">
        <v>171.51236861786089</v>
      </c>
      <c r="R195" s="289">
        <v>168.87099071349004</v>
      </c>
      <c r="S195" s="289">
        <v>167.77974331173397</v>
      </c>
      <c r="T195" s="289">
        <v>162.29751671736051</v>
      </c>
      <c r="U195" s="289">
        <v>160.86515136438587</v>
      </c>
      <c r="V195" s="289">
        <v>155.95746937180698</v>
      </c>
      <c r="W195" s="289">
        <v>156.19566616471303</v>
      </c>
      <c r="X195" s="289">
        <v>156.39991374994182</v>
      </c>
      <c r="Y195" s="289">
        <v>167.21223803962303</v>
      </c>
      <c r="Z195" s="289">
        <v>183.1786187715222</v>
      </c>
      <c r="AA195" s="289">
        <v>195.27947027392739</v>
      </c>
      <c r="AB195" s="289">
        <v>247.2122644468181</v>
      </c>
      <c r="AC195" s="289">
        <v>264.4111452692029</v>
      </c>
      <c r="AD195" s="289">
        <v>218.30472565916071</v>
      </c>
      <c r="AE195" s="289">
        <v>223.23469655270003</v>
      </c>
      <c r="AF195" s="289">
        <v>253.59883121833082</v>
      </c>
      <c r="AG195" s="289">
        <v>289.34110086254714</v>
      </c>
      <c r="AH195" s="289">
        <v>313.59880772374925</v>
      </c>
      <c r="AI195" s="289">
        <v>291.41396064133869</v>
      </c>
      <c r="AJ195" s="289">
        <v>162.00219894073257</v>
      </c>
      <c r="AK195" s="289">
        <v>107.36632370898704</v>
      </c>
      <c r="AL195" s="289">
        <v>109.60666682957267</v>
      </c>
      <c r="AM195" s="289">
        <v>56.397716763640652</v>
      </c>
      <c r="AN195" s="289">
        <v>89.787092875866662</v>
      </c>
      <c r="AO195" s="289">
        <v>149.25489866433023</v>
      </c>
      <c r="AP195" s="289">
        <v>19.383752646566442</v>
      </c>
      <c r="AQ195" s="289">
        <v>-25.714286569119835</v>
      </c>
      <c r="AR195" s="289">
        <v>-28.907563025210084</v>
      </c>
      <c r="AS195" s="289">
        <v>1287.5630252100843</v>
      </c>
      <c r="AT195" s="289">
        <v>182.54610284695528</v>
      </c>
      <c r="AU195" s="289">
        <v>167.29505318365636</v>
      </c>
      <c r="AV195" s="289">
        <v>175.57036944738644</v>
      </c>
      <c r="AW195" s="289">
        <v>179.72942643391519</v>
      </c>
      <c r="AX195" s="289">
        <v>175.00498753117208</v>
      </c>
      <c r="AY195" s="289">
        <v>133.40388417257819</v>
      </c>
      <c r="AZ195" s="289">
        <v>171.39259594360252</v>
      </c>
      <c r="BA195" s="289">
        <v>220.92081707596969</v>
      </c>
      <c r="BB195" s="289">
        <v>255.03355704697987</v>
      </c>
      <c r="BC195" s="289">
        <v>288.200900987252</v>
      </c>
      <c r="BD195" s="289">
        <v>361.12014453477866</v>
      </c>
      <c r="BE195" s="289">
        <v>469.09803771674331</v>
      </c>
    </row>
    <row r="196" spans="1:57">
      <c r="A196" s="289" t="s">
        <v>2442</v>
      </c>
      <c r="C196" s="289" t="s">
        <v>2443</v>
      </c>
      <c r="AZ196" s="289">
        <v>0.57140185653657749</v>
      </c>
      <c r="BA196" s="289">
        <v>2.5193483161735659</v>
      </c>
      <c r="BB196" s="289">
        <v>2.6843066639371411</v>
      </c>
      <c r="BC196" s="289">
        <v>1.8483624525433053</v>
      </c>
      <c r="BD196" s="289">
        <v>1.8162712257979843</v>
      </c>
      <c r="BE196" s="289">
        <v>2.1176689154804049</v>
      </c>
    </row>
    <row r="197" spans="1:57">
      <c r="A197" s="289" t="s">
        <v>2444</v>
      </c>
      <c r="C197" s="289" t="s">
        <v>817</v>
      </c>
      <c r="F197" s="289">
        <v>35.720844811753899</v>
      </c>
      <c r="G197" s="289">
        <v>38.898756660745981</v>
      </c>
      <c r="H197" s="289">
        <v>33.415028233957315</v>
      </c>
      <c r="I197" s="289">
        <v>33.755660534718139</v>
      </c>
      <c r="J197" s="289">
        <v>32.309084761550771</v>
      </c>
      <c r="K197" s="289">
        <v>25.146367796096044</v>
      </c>
      <c r="L197" s="289">
        <v>22.197986462634887</v>
      </c>
      <c r="M197" s="289">
        <v>26.350159890356817</v>
      </c>
      <c r="N197" s="289">
        <v>22.733884292851581</v>
      </c>
      <c r="O197" s="289">
        <v>27.483657788252867</v>
      </c>
      <c r="P197" s="289">
        <v>25.085876382062789</v>
      </c>
      <c r="Q197" s="289">
        <v>35.389738224103844</v>
      </c>
      <c r="R197" s="289">
        <v>40.534973550151719</v>
      </c>
      <c r="S197" s="289">
        <v>41.902762895763786</v>
      </c>
      <c r="T197" s="289">
        <v>36.609057035456274</v>
      </c>
      <c r="U197" s="289">
        <v>31.760079488628541</v>
      </c>
      <c r="V197" s="289">
        <v>31.224906052884425</v>
      </c>
      <c r="W197" s="289">
        <v>30.426108902033793</v>
      </c>
      <c r="X197" s="289">
        <v>26.193294534551558</v>
      </c>
      <c r="Y197" s="289">
        <v>30.601194657037034</v>
      </c>
      <c r="Z197" s="289">
        <v>39.312474187607911</v>
      </c>
      <c r="AA197" s="289">
        <v>31.450027385736199</v>
      </c>
      <c r="AB197" s="289">
        <v>29.93572088686739</v>
      </c>
      <c r="AC197" s="289">
        <v>34.354721037636828</v>
      </c>
      <c r="AD197" s="289">
        <v>31.589476218246634</v>
      </c>
      <c r="AE197" s="289">
        <v>34.348395195357952</v>
      </c>
      <c r="AF197" s="289">
        <v>30.211818190167413</v>
      </c>
      <c r="AG197" s="289">
        <v>33.038241414862604</v>
      </c>
      <c r="AH197" s="289">
        <v>25.510687661448625</v>
      </c>
      <c r="AI197" s="289">
        <v>17.85628067278866</v>
      </c>
      <c r="AJ197" s="289">
        <v>17.82484058608128</v>
      </c>
      <c r="AK197" s="289">
        <v>18.412363668937694</v>
      </c>
      <c r="AL197" s="289">
        <v>29.139679207638473</v>
      </c>
      <c r="AM197" s="289">
        <v>41.571761336756914</v>
      </c>
      <c r="AN197" s="289">
        <v>45.002616046270674</v>
      </c>
      <c r="AO197" s="289">
        <v>49.824401916364721</v>
      </c>
      <c r="AP197" s="289">
        <v>53.606203089497562</v>
      </c>
      <c r="AQ197" s="289">
        <v>56.013738299826912</v>
      </c>
      <c r="AR197" s="289">
        <v>58.826651337633216</v>
      </c>
      <c r="AS197" s="289">
        <v>73.349341863339731</v>
      </c>
      <c r="AT197" s="289">
        <v>50.429550299744513</v>
      </c>
      <c r="AU197" s="289">
        <v>48.109331487612181</v>
      </c>
      <c r="AV197" s="289">
        <v>36.528439520818758</v>
      </c>
      <c r="AW197" s="289">
        <v>39.71561709229082</v>
      </c>
      <c r="AX197" s="289">
        <v>38.196536498600757</v>
      </c>
      <c r="AY197" s="289">
        <v>42.155530271852179</v>
      </c>
      <c r="AZ197" s="289">
        <v>36.435366057432944</v>
      </c>
      <c r="BA197" s="289">
        <v>10.577735835269806</v>
      </c>
      <c r="BB197" s="289">
        <v>40.467519575635507</v>
      </c>
      <c r="BC197" s="289">
        <v>50.195296636389145</v>
      </c>
      <c r="BD197" s="289">
        <v>46.441974321539583</v>
      </c>
      <c r="BE197" s="289">
        <v>45.329123201376603</v>
      </c>
    </row>
    <row r="198" spans="1:57">
      <c r="A198" s="289" t="s">
        <v>2445</v>
      </c>
    </row>
    <row r="199" spans="1:57">
      <c r="A199" s="289" t="s">
        <v>2215</v>
      </c>
    </row>
    <row r="200" spans="1:57">
      <c r="A200" s="289" t="s">
        <v>2446</v>
      </c>
      <c r="C200" s="289" t="s">
        <v>2462</v>
      </c>
      <c r="E200" s="289" t="s">
        <v>3704</v>
      </c>
      <c r="F200" s="289" t="s">
        <v>2219</v>
      </c>
      <c r="G200" s="289">
        <v>4.0230605339014236</v>
      </c>
      <c r="H200" s="289">
        <v>8.5037692790381758</v>
      </c>
      <c r="I200" s="289">
        <v>-1.0221594757134911</v>
      </c>
      <c r="J200" s="289">
        <v>7.4030206857173653</v>
      </c>
      <c r="K200" s="289">
        <v>16.018983819895617</v>
      </c>
      <c r="L200" s="289">
        <v>4.4556363451892844</v>
      </c>
      <c r="M200" s="289">
        <v>3.5489800728240928</v>
      </c>
      <c r="N200" s="289">
        <v>1.9716601867507899</v>
      </c>
      <c r="O200" s="289">
        <v>6.6915705982272033</v>
      </c>
      <c r="P200" s="289">
        <v>2.0744643218632897</v>
      </c>
      <c r="Q200" s="289">
        <v>21.084519631560859</v>
      </c>
      <c r="R200" s="289">
        <v>17.609620064916754</v>
      </c>
      <c r="S200" s="289">
        <v>22.546110684479959</v>
      </c>
      <c r="T200" s="289">
        <v>4.0708630985095917</v>
      </c>
      <c r="U200" s="289">
        <v>2.2513817085970667</v>
      </c>
      <c r="V200" s="289">
        <v>5.1993455623449369</v>
      </c>
      <c r="W200" s="289">
        <v>0.28006904910997665</v>
      </c>
      <c r="X200" s="289">
        <v>4.0307836757236482</v>
      </c>
      <c r="Y200" s="289">
        <v>4.5820158968517211</v>
      </c>
      <c r="Z200" s="289">
        <v>-9.3834540207956678</v>
      </c>
      <c r="AA200" s="289">
        <v>7.6793015809703657</v>
      </c>
      <c r="AB200" s="289">
        <v>11.05075000522293</v>
      </c>
      <c r="AC200" s="289">
        <v>26.294340112320146</v>
      </c>
      <c r="AD200" s="289">
        <v>7.4237232344666504</v>
      </c>
      <c r="AE200" s="289">
        <v>-5.3578535577173962</v>
      </c>
      <c r="AF200" s="289">
        <v>-9.7763253423868495</v>
      </c>
      <c r="AG200" s="289">
        <v>0.29219331691041628</v>
      </c>
      <c r="AH200" s="289">
        <v>-0.1072494225204057</v>
      </c>
      <c r="AI200" s="289">
        <v>1.8263617763253137</v>
      </c>
      <c r="AJ200" s="289">
        <v>-6.9993727095987834</v>
      </c>
      <c r="AK200" s="289">
        <v>-21.557709559402237</v>
      </c>
      <c r="AL200" s="289">
        <v>-18.614987374782821</v>
      </c>
      <c r="AM200" s="289">
        <v>-27.956525507405804</v>
      </c>
      <c r="AN200" s="289">
        <v>12.703635989171991</v>
      </c>
      <c r="AO200" s="289">
        <v>22.509336813384383</v>
      </c>
      <c r="AP200" s="289">
        <v>18.233853278768251</v>
      </c>
      <c r="AQ200" s="289">
        <v>11.060844636806033</v>
      </c>
      <c r="AR200" s="289">
        <v>-3.5209382232549769</v>
      </c>
      <c r="AS200" s="289">
        <v>-32.404643436213654</v>
      </c>
      <c r="AT200" s="289">
        <v>-51.015423963340645</v>
      </c>
      <c r="AU200" s="289">
        <v>-0.1696142610188911</v>
      </c>
      <c r="AV200" s="289">
        <v>51.320592488934636</v>
      </c>
      <c r="AW200" s="289">
        <v>25.029156316149901</v>
      </c>
      <c r="AX200" s="289">
        <v>22.286982670109111</v>
      </c>
      <c r="AY200" s="289">
        <v>-12.459750415652637</v>
      </c>
      <c r="AZ200" s="289">
        <v>-26.432894761868887</v>
      </c>
      <c r="BA200" s="289">
        <v>-16.562593500118219</v>
      </c>
      <c r="BB200" s="289">
        <v>95.923858317474185</v>
      </c>
      <c r="BC200" s="289">
        <v>16.615620703765277</v>
      </c>
      <c r="BD200" s="289">
        <v>8.4659763278622346</v>
      </c>
      <c r="BE200" s="289">
        <v>4.1196916724251631</v>
      </c>
    </row>
    <row r="201" spans="1:57">
      <c r="A201" s="289" t="s">
        <v>2447</v>
      </c>
      <c r="C201" s="289" t="s">
        <v>2462</v>
      </c>
      <c r="E201" s="289" t="s">
        <v>4417</v>
      </c>
      <c r="F201" s="289" t="s">
        <v>2219</v>
      </c>
      <c r="G201" s="289">
        <v>24.490390215492109</v>
      </c>
      <c r="H201" s="289">
        <v>-23.503488552006846</v>
      </c>
      <c r="I201" s="289">
        <v>0.68647274384414647</v>
      </c>
      <c r="J201" s="289">
        <v>30.31449270734732</v>
      </c>
      <c r="K201" s="289">
        <v>-16.022243876551812</v>
      </c>
      <c r="L201" s="289">
        <v>17.017331955877179</v>
      </c>
      <c r="M201" s="289">
        <v>-3.8466882484682885</v>
      </c>
      <c r="N201" s="289">
        <v>26.587823160617873</v>
      </c>
      <c r="O201" s="289">
        <v>-4.8746985194634718</v>
      </c>
      <c r="P201" s="289">
        <v>-5.8963280463261043</v>
      </c>
      <c r="Q201" s="289">
        <v>-8.0997188312578512</v>
      </c>
      <c r="R201" s="289">
        <v>-0.64831487706831226</v>
      </c>
      <c r="S201" s="289">
        <v>34.418560582718591</v>
      </c>
      <c r="T201" s="289">
        <v>23.905743352965914</v>
      </c>
      <c r="U201" s="289">
        <v>-15.318560450032038</v>
      </c>
      <c r="V201" s="289">
        <v>-21.319404210714289</v>
      </c>
      <c r="W201" s="289">
        <v>75.359924616978844</v>
      </c>
      <c r="X201" s="289">
        <v>-49.969416759926908</v>
      </c>
      <c r="Y201" s="289">
        <v>7.2453232684397184</v>
      </c>
      <c r="Z201" s="289">
        <v>59.351566733072382</v>
      </c>
      <c r="AA201" s="289">
        <v>22.38079857536799</v>
      </c>
      <c r="AB201" s="289">
        <v>11.05189562221951</v>
      </c>
      <c r="AC201" s="289">
        <v>70.246940446962242</v>
      </c>
      <c r="AD201" s="289">
        <v>-16.871257057196409</v>
      </c>
      <c r="AE201" s="289">
        <v>-29.453392263461652</v>
      </c>
      <c r="AF201" s="289">
        <v>10.788316707563151</v>
      </c>
      <c r="AG201" s="289">
        <v>34.295276550911069</v>
      </c>
      <c r="AH201" s="289">
        <v>-4.5925727887505037</v>
      </c>
      <c r="AI201" s="289">
        <v>5.0384472170450723</v>
      </c>
      <c r="AJ201" s="289">
        <v>-16.611082460500025</v>
      </c>
      <c r="AK201" s="289">
        <v>13.735283309200174</v>
      </c>
      <c r="AL201" s="289">
        <v>-4.9038186538840289</v>
      </c>
      <c r="AM201" s="289">
        <v>-55.446825620187013</v>
      </c>
      <c r="AN201" s="289">
        <v>1.7672649760385406</v>
      </c>
      <c r="AO201" s="289">
        <v>-40.827601408540559</v>
      </c>
      <c r="AP201" s="289">
        <v>-7.9014969448645278</v>
      </c>
      <c r="AQ201" s="289">
        <v>29.423880483410358</v>
      </c>
      <c r="AR201" s="289">
        <v>-32.346509620753039</v>
      </c>
      <c r="AS201" s="289">
        <v>-21.861758336144575</v>
      </c>
      <c r="AT201" s="289">
        <v>-4.5780267873109075</v>
      </c>
      <c r="AU201" s="289">
        <v>185.46001978458798</v>
      </c>
      <c r="AV201" s="289">
        <v>0.80645161290322509</v>
      </c>
      <c r="AW201" s="289">
        <v>-6.7164179104477473</v>
      </c>
      <c r="AX201" s="289">
        <v>91.800106117382256</v>
      </c>
      <c r="AY201" s="289">
        <v>-28.906337984253682</v>
      </c>
      <c r="AZ201" s="289">
        <v>68.578862351194928</v>
      </c>
      <c r="BA201" s="289">
        <v>-17.912918835788627</v>
      </c>
      <c r="BB201" s="289">
        <v>-4.1247448876727262</v>
      </c>
      <c r="BC201" s="289">
        <v>-10.133673196521364</v>
      </c>
      <c r="BD201" s="289">
        <v>0.14137363767223743</v>
      </c>
      <c r="BE201" s="289">
        <v>1.2178394674953186</v>
      </c>
    </row>
    <row r="202" spans="1:57">
      <c r="A202" s="289" t="s">
        <v>2448</v>
      </c>
      <c r="C202" s="289" t="s">
        <v>2462</v>
      </c>
      <c r="E202" s="289" t="s">
        <v>2148</v>
      </c>
      <c r="F202" s="289" t="s">
        <v>2219</v>
      </c>
      <c r="G202" s="289">
        <v>-4.7519658366007356</v>
      </c>
      <c r="H202" s="289">
        <v>21.273589263541439</v>
      </c>
      <c r="I202" s="289">
        <v>-2.7429619614736001</v>
      </c>
      <c r="J202" s="289">
        <v>-13.953219681760265</v>
      </c>
      <c r="K202" s="289">
        <v>19.688698779664616</v>
      </c>
      <c r="L202" s="289">
        <v>11.650188680921225</v>
      </c>
      <c r="M202" s="289">
        <v>-4.13972096781694</v>
      </c>
      <c r="N202" s="289">
        <v>-1.0723150863749087</v>
      </c>
      <c r="O202" s="289">
        <v>11.914770259125017</v>
      </c>
      <c r="P202" s="289">
        <v>6.4232873904948917</v>
      </c>
      <c r="Q202" s="289">
        <v>19.752767500409441</v>
      </c>
      <c r="R202" s="289">
        <v>32.990125160301091</v>
      </c>
      <c r="S202" s="289">
        <v>10.72765686984658</v>
      </c>
      <c r="T202" s="289">
        <v>6.7428461130738748</v>
      </c>
      <c r="U202" s="289">
        <v>9.2598086686857872</v>
      </c>
      <c r="V202" s="289">
        <v>-1.6663840033768862</v>
      </c>
      <c r="W202" s="289">
        <v>12.581395546021801</v>
      </c>
      <c r="X202" s="289">
        <v>6.2291404714121867</v>
      </c>
      <c r="Y202" s="289">
        <v>-1.6779345267213475</v>
      </c>
      <c r="Z202" s="289">
        <v>4.6051909454176254</v>
      </c>
      <c r="AA202" s="289">
        <v>-8.2318987460950677</v>
      </c>
      <c r="AB202" s="289">
        <v>-2.8962979305751868</v>
      </c>
      <c r="AC202" s="289">
        <v>2.3867641830146002</v>
      </c>
      <c r="AD202" s="289">
        <v>8.7516136344378168</v>
      </c>
      <c r="AE202" s="289">
        <v>4.9600681918388512</v>
      </c>
      <c r="AF202" s="289">
        <v>0.59374284635675956</v>
      </c>
      <c r="AG202" s="289">
        <v>-15.083367658017599</v>
      </c>
      <c r="AH202" s="289">
        <v>0.23623713355236386</v>
      </c>
      <c r="AI202" s="289">
        <v>-6.7497127060514366</v>
      </c>
      <c r="AJ202" s="289">
        <v>-6.3316222083829254</v>
      </c>
      <c r="AK202" s="289">
        <v>11.773421425621233</v>
      </c>
      <c r="AL202" s="289">
        <v>-7.1599654458608946</v>
      </c>
      <c r="AM202" s="289">
        <v>5.989216119043439</v>
      </c>
      <c r="AN202" s="289">
        <v>-9.4037749424135892</v>
      </c>
      <c r="AO202" s="289">
        <v>-6.7836990772895618</v>
      </c>
      <c r="AP202" s="289">
        <v>-4.5523349569106308</v>
      </c>
      <c r="AQ202" s="289">
        <v>-6.2505433363148066</v>
      </c>
      <c r="AR202" s="289">
        <v>14.139863357625115</v>
      </c>
      <c r="AS202" s="289">
        <v>-6.4706062399103708</v>
      </c>
      <c r="AT202" s="289">
        <v>-2.543715272959024</v>
      </c>
      <c r="AU202" s="289">
        <v>12.259341437409699</v>
      </c>
      <c r="AV202" s="289">
        <v>4.0278668038602694</v>
      </c>
      <c r="AW202" s="289">
        <v>2.7451529663351959</v>
      </c>
      <c r="AX202" s="289">
        <v>2.0689769031533745</v>
      </c>
      <c r="AY202" s="289">
        <v>1.3016643015126839</v>
      </c>
      <c r="AZ202" s="289">
        <v>-2.6206605317248166</v>
      </c>
      <c r="BA202" s="289">
        <v>2.4204785271460194</v>
      </c>
      <c r="BB202" s="289">
        <v>15.624053045715701</v>
      </c>
      <c r="BC202" s="289">
        <v>24.227330981095065</v>
      </c>
      <c r="BD202" s="289">
        <v>23.291952973381736</v>
      </c>
      <c r="BE202" s="289">
        <v>5.4954171499945303</v>
      </c>
    </row>
    <row r="203" spans="1:57">
      <c r="A203" s="289" t="s">
        <v>3344</v>
      </c>
      <c r="C203" s="289" t="s">
        <v>2462</v>
      </c>
      <c r="E203" s="289" t="s">
        <v>428</v>
      </c>
      <c r="F203" s="289" t="s">
        <v>2219</v>
      </c>
      <c r="G203" s="289">
        <v>-1.1982341812066477</v>
      </c>
      <c r="H203" s="289">
        <v>19.784156276167607</v>
      </c>
      <c r="I203" s="289">
        <v>13.843136734357021</v>
      </c>
      <c r="J203" s="289">
        <v>-0.35481987002977666</v>
      </c>
      <c r="K203" s="289">
        <v>23.524317998119738</v>
      </c>
      <c r="L203" s="289">
        <v>16.18866211222727</v>
      </c>
      <c r="M203" s="289">
        <v>-1.0063378472279672</v>
      </c>
      <c r="N203" s="289">
        <v>2.1960857903439823</v>
      </c>
      <c r="O203" s="289">
        <v>7.9843888420531917</v>
      </c>
      <c r="P203" s="289">
        <v>32.581803195979788</v>
      </c>
      <c r="Q203" s="289">
        <v>13.128423594213</v>
      </c>
      <c r="R203" s="289">
        <v>-1.6953394111025699</v>
      </c>
      <c r="S203" s="289">
        <v>10.700477269055231</v>
      </c>
      <c r="T203" s="289">
        <v>-1.0111894974746405</v>
      </c>
      <c r="U203" s="289">
        <v>8.286000607765498</v>
      </c>
      <c r="V203" s="289">
        <v>2.8422911469769163</v>
      </c>
      <c r="W203" s="289">
        <v>3.083690986167742</v>
      </c>
      <c r="X203" s="289">
        <v>8.504916668916751</v>
      </c>
      <c r="Y203" s="289">
        <v>-10.626036093171908</v>
      </c>
      <c r="Z203" s="289">
        <v>1.3527114827082132</v>
      </c>
      <c r="AA203" s="289">
        <v>5.0186597924674059</v>
      </c>
      <c r="AB203" s="289">
        <v>1.4778613245921335</v>
      </c>
      <c r="AC203" s="289">
        <v>24.441986778160185</v>
      </c>
      <c r="AD203" s="289">
        <v>-4.6812077736913871</v>
      </c>
      <c r="AE203" s="289">
        <v>-14.530561905596906</v>
      </c>
      <c r="AF203" s="289">
        <v>0.13412464663851154</v>
      </c>
      <c r="AG203" s="289">
        <v>-0.84247431774844284</v>
      </c>
      <c r="AH203" s="289">
        <v>-2.6704709858604292</v>
      </c>
      <c r="AI203" s="289">
        <v>-10.530175156025312</v>
      </c>
      <c r="AJ203" s="289">
        <v>-9.3640013739200398</v>
      </c>
      <c r="AK203" s="289">
        <v>-16.10209608605706</v>
      </c>
      <c r="AL203" s="289">
        <v>7.8709776928608477</v>
      </c>
      <c r="AM203" s="289">
        <v>-20.982031122743695</v>
      </c>
      <c r="AN203" s="289">
        <v>10.791922116948104</v>
      </c>
      <c r="AO203" s="289">
        <v>23.741862527209801</v>
      </c>
      <c r="AP203" s="289">
        <v>-11.181673375412348</v>
      </c>
      <c r="AQ203" s="289">
        <v>3.9040114613180688</v>
      </c>
      <c r="AR203" s="289">
        <v>3.5504998276456146</v>
      </c>
      <c r="AS203" s="289">
        <v>-33.505326231691072</v>
      </c>
      <c r="AT203" s="289">
        <v>-12.515644555694605</v>
      </c>
      <c r="AU203" s="289">
        <v>33.67994916481554</v>
      </c>
      <c r="AV203" s="289">
        <v>14.709676704041996</v>
      </c>
      <c r="AW203" s="289">
        <v>-13.674427233137864</v>
      </c>
      <c r="AX203" s="289">
        <v>-9.210688668213507</v>
      </c>
      <c r="AY203" s="289">
        <v>-17.161818475602018</v>
      </c>
      <c r="AZ203" s="289">
        <v>-1.1629258383566099</v>
      </c>
      <c r="BA203" s="289">
        <v>0.68818481984171953</v>
      </c>
      <c r="BB203" s="289">
        <v>-1.3573454500797499</v>
      </c>
      <c r="BC203" s="289">
        <v>32.727420317000998</v>
      </c>
      <c r="BD203" s="289">
        <v>21.079703520791227</v>
      </c>
      <c r="BE203" s="289">
        <v>8.2678031019179485</v>
      </c>
    </row>
    <row r="204" spans="1:57">
      <c r="A204" s="289" t="s">
        <v>3345</v>
      </c>
      <c r="C204" s="289" t="s">
        <v>2462</v>
      </c>
      <c r="E204" s="289" t="s">
        <v>3346</v>
      </c>
      <c r="G204" s="289">
        <v>4.2209484106305206</v>
      </c>
      <c r="H204" s="289">
        <v>21.848741833235351</v>
      </c>
      <c r="I204" s="289">
        <v>35.362318131480805</v>
      </c>
      <c r="J204" s="289">
        <v>2.9112199207349976</v>
      </c>
      <c r="K204" s="289">
        <v>18.673404215694855</v>
      </c>
      <c r="L204" s="289">
        <v>-0.49631098739955082</v>
      </c>
      <c r="M204" s="289">
        <v>7.9122505590472958</v>
      </c>
      <c r="N204" s="289">
        <v>-3.4433398659779346</v>
      </c>
      <c r="O204" s="289">
        <v>17.055144642922816</v>
      </c>
      <c r="P204" s="289">
        <v>88.035412683184617</v>
      </c>
      <c r="Q204" s="289">
        <v>-1.5527599194189889</v>
      </c>
      <c r="R204" s="289">
        <v>-22.582970598414843</v>
      </c>
      <c r="S204" s="289">
        <v>-22.629425771212517</v>
      </c>
      <c r="T204" s="289">
        <v>-18.653373196321731</v>
      </c>
      <c r="U204" s="289">
        <v>-17.301461680979735</v>
      </c>
      <c r="V204" s="289">
        <v>-8.6178145643979516</v>
      </c>
      <c r="W204" s="289">
        <v>10.231874213807801</v>
      </c>
      <c r="X204" s="289">
        <v>29.777987396433602</v>
      </c>
      <c r="Y204" s="289">
        <v>-7.0205748064618989</v>
      </c>
      <c r="Z204" s="289">
        <v>36.295057181425918</v>
      </c>
      <c r="AA204" s="289">
        <v>13.13381110486327</v>
      </c>
      <c r="AB204" s="289">
        <v>-27.98953004329978</v>
      </c>
      <c r="AC204" s="289">
        <v>7.9871617321558785</v>
      </c>
      <c r="AD204" s="289">
        <v>-13.105469588556961</v>
      </c>
      <c r="AE204" s="289">
        <v>-13.755192728534627</v>
      </c>
      <c r="AF204" s="289">
        <v>23.227122150999556</v>
      </c>
      <c r="AG204" s="289">
        <v>31.953488883392801</v>
      </c>
      <c r="AH204" s="289">
        <v>-13.237637164552762</v>
      </c>
      <c r="AI204" s="289">
        <v>-45.389578655508998</v>
      </c>
      <c r="AJ204" s="289">
        <v>-21.329652241386398</v>
      </c>
      <c r="AK204" s="289">
        <v>-0.99063149544781348</v>
      </c>
      <c r="AL204" s="289">
        <v>-20.235574871506412</v>
      </c>
      <c r="AM204" s="289">
        <v>-22.007998635164896</v>
      </c>
      <c r="AN204" s="289">
        <v>-0.56360708534619608</v>
      </c>
      <c r="AO204" s="289">
        <v>2.3476383857128802</v>
      </c>
      <c r="AP204" s="289">
        <v>79.227011330744389</v>
      </c>
      <c r="AQ204" s="289">
        <v>-0.36507372464142929</v>
      </c>
      <c r="AR204" s="289">
        <v>-2.2731042282784664</v>
      </c>
      <c r="AS204" s="289">
        <v>-7.2724159573765768</v>
      </c>
      <c r="AT204" s="289">
        <v>125.19876399015102</v>
      </c>
      <c r="AU204" s="289">
        <v>27.431527674370248</v>
      </c>
      <c r="AV204" s="289">
        <v>47.749882384567258</v>
      </c>
      <c r="AW204" s="289">
        <v>-25.422684388587413</v>
      </c>
      <c r="AX204" s="289">
        <v>-53.264236364967644</v>
      </c>
      <c r="AY204" s="289">
        <v>-36.510229499950654</v>
      </c>
      <c r="AZ204" s="289">
        <v>-23.260207681543644</v>
      </c>
      <c r="BA204" s="289">
        <v>140.87959475028038</v>
      </c>
      <c r="BB204" s="289">
        <v>19.691738878910648</v>
      </c>
      <c r="BC204" s="289">
        <v>17.966084812458718</v>
      </c>
      <c r="BD204" s="289">
        <v>11.280841074889715</v>
      </c>
      <c r="BE204" s="289">
        <v>4.1045419417593765</v>
      </c>
    </row>
    <row r="205" spans="1:57">
      <c r="A205" s="289" t="s">
        <v>3347</v>
      </c>
      <c r="C205" s="289" t="s">
        <v>2462</v>
      </c>
      <c r="E205" s="289" t="s">
        <v>3695</v>
      </c>
      <c r="F205" s="289" t="s">
        <v>2219</v>
      </c>
      <c r="G205" s="289">
        <v>5.7224366504446955</v>
      </c>
      <c r="H205" s="289">
        <v>9.7105538551955028</v>
      </c>
      <c r="I205" s="289">
        <v>36.030681391408905</v>
      </c>
      <c r="J205" s="289">
        <v>1.5587459364294398</v>
      </c>
      <c r="K205" s="289">
        <v>10.954348551685467</v>
      </c>
      <c r="L205" s="289">
        <v>-8.3644222740997911</v>
      </c>
      <c r="M205" s="289">
        <v>14.458143426626258</v>
      </c>
      <c r="N205" s="289">
        <v>3.648409496722671</v>
      </c>
      <c r="O205" s="289">
        <v>21.860930873855743</v>
      </c>
      <c r="P205" s="289">
        <v>105.41498726752492</v>
      </c>
      <c r="Q205" s="289">
        <v>-2.4604942967234256</v>
      </c>
      <c r="R205" s="289">
        <v>-28.930510496641094</v>
      </c>
      <c r="S205" s="289">
        <v>-27.819482133059282</v>
      </c>
      <c r="T205" s="289">
        <v>-12.979040835457523</v>
      </c>
      <c r="U205" s="289">
        <v>-24.772856761643279</v>
      </c>
      <c r="V205" s="289">
        <v>-15.15809105381225</v>
      </c>
      <c r="W205" s="289">
        <v>17.240387117295452</v>
      </c>
      <c r="X205" s="289">
        <v>22.138835994223506</v>
      </c>
      <c r="Y205" s="289">
        <v>-0.5636700901471503</v>
      </c>
      <c r="Z205" s="289">
        <v>52.641575991198543</v>
      </c>
      <c r="AA205" s="289">
        <v>8.4544017206354951</v>
      </c>
      <c r="AB205" s="289">
        <v>-47.79770986053893</v>
      </c>
      <c r="AC205" s="289">
        <v>19.73656089996112</v>
      </c>
      <c r="AD205" s="289">
        <v>-16.278428019076905</v>
      </c>
      <c r="AE205" s="289">
        <v>-16.043022546341202</v>
      </c>
      <c r="AF205" s="289">
        <v>43.796543054372265</v>
      </c>
      <c r="AG205" s="289">
        <v>29.901741734713649</v>
      </c>
      <c r="AH205" s="289">
        <v>-19.36093472733441</v>
      </c>
      <c r="AI205" s="289">
        <v>-51.303451421207114</v>
      </c>
      <c r="AJ205" s="289">
        <v>-19.10408132358452</v>
      </c>
      <c r="AK205" s="289">
        <v>22.885281542066259</v>
      </c>
      <c r="AL205" s="289">
        <v>-10.766413721185097</v>
      </c>
      <c r="AM205" s="289">
        <v>-22.787918593717716</v>
      </c>
      <c r="AN205" s="289">
        <v>10.580547876350854</v>
      </c>
      <c r="AO205" s="289">
        <v>-15.470492638901822</v>
      </c>
      <c r="AP205" s="289">
        <v>109.0054738578591</v>
      </c>
      <c r="AQ205" s="289">
        <v>-0.33106868716012983</v>
      </c>
      <c r="AR205" s="289">
        <v>2.4741186031544293</v>
      </c>
      <c r="AS205" s="289">
        <v>-12.617055651521136</v>
      </c>
      <c r="AT205" s="289">
        <v>96.792203710165722</v>
      </c>
      <c r="AU205" s="289">
        <v>-52.446240840195927</v>
      </c>
      <c r="AV205" s="289">
        <v>293.11532816018149</v>
      </c>
      <c r="AW205" s="289">
        <v>-33.193418609842084</v>
      </c>
      <c r="AX205" s="289">
        <v>-65.956485653636193</v>
      </c>
      <c r="AY205" s="289">
        <v>-12.892573765336746</v>
      </c>
      <c r="AZ205" s="289">
        <v>-5.6536963641728661</v>
      </c>
      <c r="BA205" s="289">
        <v>173.21944082292552</v>
      </c>
      <c r="BB205" s="289">
        <v>14.452780392055885</v>
      </c>
      <c r="BC205" s="289">
        <v>25.443573653964393</v>
      </c>
      <c r="BD205" s="289">
        <v>6.5013932655182405</v>
      </c>
      <c r="BE205" s="289">
        <v>4.7308894651356459</v>
      </c>
    </row>
    <row r="206" spans="1:57">
      <c r="A206" s="289" t="s">
        <v>3443</v>
      </c>
      <c r="C206" s="289" t="s">
        <v>2462</v>
      </c>
      <c r="E206" s="289" t="s">
        <v>4418</v>
      </c>
      <c r="F206" s="289" t="s">
        <v>2219</v>
      </c>
      <c r="G206" s="289">
        <v>-7.5907590759075934</v>
      </c>
      <c r="H206" s="289">
        <v>131.09243363559412</v>
      </c>
      <c r="I206" s="289">
        <v>32.506584084172196</v>
      </c>
      <c r="J206" s="289">
        <v>8.8436622615258429</v>
      </c>
      <c r="K206" s="289">
        <v>50.265829141068274</v>
      </c>
      <c r="L206" s="289">
        <v>23.281582601354</v>
      </c>
      <c r="M206" s="289">
        <v>-6.7918241203458791</v>
      </c>
      <c r="N206" s="289">
        <v>-23.005412776771472</v>
      </c>
      <c r="O206" s="289">
        <v>-0.79034180570989321</v>
      </c>
      <c r="P206" s="289">
        <v>8.7645432295343717</v>
      </c>
      <c r="Q206" s="289">
        <v>6.2667232604253442</v>
      </c>
      <c r="R206" s="289">
        <v>27.605962896603554</v>
      </c>
      <c r="S206" s="289">
        <v>0.22586909917718945</v>
      </c>
      <c r="T206" s="289">
        <v>-36.649112262544612</v>
      </c>
      <c r="U206" s="289">
        <v>15.246798603017098</v>
      </c>
      <c r="V206" s="289">
        <v>9.9802557906662592</v>
      </c>
      <c r="W206" s="289">
        <v>-5.1423553397431432</v>
      </c>
      <c r="X206" s="289">
        <v>50.489771405979276</v>
      </c>
      <c r="Y206" s="289">
        <v>-21.228922062894874</v>
      </c>
      <c r="Z206" s="289">
        <v>-9.1119378388223033</v>
      </c>
      <c r="AA206" s="289">
        <v>34.963850649182127</v>
      </c>
      <c r="AB206" s="289">
        <v>46.26753378405062</v>
      </c>
      <c r="AC206" s="289">
        <v>-7.7327636029999258</v>
      </c>
      <c r="AD206" s="289">
        <v>-7.5963973126413116</v>
      </c>
      <c r="AE206" s="289">
        <v>-10.15615604063791</v>
      </c>
      <c r="AF206" s="289">
        <v>-7.0108799653435749</v>
      </c>
      <c r="AG206" s="289">
        <v>36.617624547826736</v>
      </c>
      <c r="AH206" s="289">
        <v>-2.1191159063516096E-3</v>
      </c>
      <c r="AI206" s="289">
        <v>-35.081392687330258</v>
      </c>
      <c r="AJ206" s="289">
        <v>-24.239569851449993</v>
      </c>
      <c r="AK206" s="289">
        <v>-34.324323863948628</v>
      </c>
      <c r="AL206" s="289">
        <v>-44.971619656702252</v>
      </c>
      <c r="AM206" s="289">
        <v>-18.704224092424404</v>
      </c>
      <c r="AN206" s="289">
        <v>-45.399393326592509</v>
      </c>
      <c r="AO206" s="289">
        <v>147.5324096973884</v>
      </c>
      <c r="AP206" s="289">
        <v>-3.6315629228687363</v>
      </c>
      <c r="AQ206" s="289">
        <v>-0.57028503222885663</v>
      </c>
      <c r="AR206" s="289">
        <v>-30.990248806140876</v>
      </c>
      <c r="AS206" s="289">
        <v>40.73671003997039</v>
      </c>
      <c r="AT206" s="289">
        <v>283.6309064689994</v>
      </c>
      <c r="AU206" s="289">
        <v>255.96239687002478</v>
      </c>
      <c r="AV206" s="289">
        <v>-46.030733636131927</v>
      </c>
      <c r="AW206" s="289">
        <v>-3.788765462582766</v>
      </c>
      <c r="AX206" s="289">
        <v>-28.728155322066772</v>
      </c>
      <c r="AY206" s="289">
        <v>-58.318427354593737</v>
      </c>
      <c r="AZ206" s="289">
        <v>-57.235827347226717</v>
      </c>
      <c r="BA206" s="289">
        <v>3.1976980722051351</v>
      </c>
      <c r="BB206" s="289">
        <v>78.742491460769088</v>
      </c>
      <c r="BC206" s="289">
        <v>-36.001725032665455</v>
      </c>
      <c r="BD206" s="289">
        <v>78.894882181486011</v>
      </c>
      <c r="BE206" s="289">
        <v>-1.1705727573510738</v>
      </c>
    </row>
    <row r="207" spans="1:57">
      <c r="A207" s="289" t="s">
        <v>467</v>
      </c>
      <c r="C207" s="289" t="s">
        <v>2462</v>
      </c>
      <c r="AX207" s="289">
        <v>0</v>
      </c>
      <c r="AY207" s="289">
        <v>0.13386880856760541</v>
      </c>
      <c r="AZ207" s="289">
        <v>-1.4171122994652396</v>
      </c>
      <c r="BA207" s="289">
        <v>4.8548955790615578</v>
      </c>
      <c r="BB207" s="289">
        <v>3.336782203828248</v>
      </c>
      <c r="BC207" s="289">
        <v>2.177722152690853</v>
      </c>
    </row>
    <row r="208" spans="1:57">
      <c r="A208" s="289" t="s">
        <v>468</v>
      </c>
      <c r="C208" s="289" t="s">
        <v>2462</v>
      </c>
      <c r="AX208" s="289">
        <v>5.0316125444713533</v>
      </c>
      <c r="AY208" s="289">
        <v>-12.879756188780355</v>
      </c>
      <c r="AZ208" s="289">
        <v>-12.601682007844861</v>
      </c>
      <c r="BA208" s="289">
        <v>1.7934361924533349</v>
      </c>
      <c r="BB208" s="289">
        <v>60.097356396479903</v>
      </c>
      <c r="BC208" s="289">
        <v>5.034345023881448</v>
      </c>
    </row>
    <row r="209" spans="1:57">
      <c r="A209" s="289" t="s">
        <v>469</v>
      </c>
      <c r="C209" s="289" t="s">
        <v>2462</v>
      </c>
      <c r="G209" s="289">
        <v>15.151515151515159</v>
      </c>
      <c r="H209" s="289">
        <v>9.8684260719700934</v>
      </c>
      <c r="I209" s="289">
        <v>13.772449892126314</v>
      </c>
      <c r="J209" s="289">
        <v>0.58947111430920351</v>
      </c>
      <c r="K209" s="289">
        <v>9.7425777869326158</v>
      </c>
      <c r="L209" s="289">
        <v>7.7143036681857291</v>
      </c>
      <c r="M209" s="289">
        <v>5.9047521113637647</v>
      </c>
      <c r="N209" s="289">
        <v>8.4677715406786369</v>
      </c>
      <c r="O209" s="289">
        <v>7.6757113347751149</v>
      </c>
      <c r="P209" s="289">
        <v>5.7686784198220042</v>
      </c>
      <c r="Q209" s="289">
        <v>5.0886443446557683</v>
      </c>
      <c r="R209" s="289">
        <v>4.533158605621268</v>
      </c>
      <c r="S209" s="289">
        <v>11.223362002309646</v>
      </c>
      <c r="T209" s="289">
        <v>2.4590177788219147</v>
      </c>
      <c r="U209" s="289">
        <v>11.891896015888936</v>
      </c>
      <c r="V209" s="289">
        <v>16.425118324717715</v>
      </c>
      <c r="W209" s="289">
        <v>0.41493933563012675</v>
      </c>
      <c r="X209" s="289">
        <v>-2.066115637342103</v>
      </c>
      <c r="Y209" s="289">
        <v>7.1729907209503896</v>
      </c>
      <c r="Z209" s="289">
        <v>11.81102379943102</v>
      </c>
      <c r="AA209" s="289">
        <v>3.5211268078592761</v>
      </c>
      <c r="AB209" s="289">
        <v>11.224493834106219</v>
      </c>
      <c r="AC209" s="289">
        <v>9.7859348265403554</v>
      </c>
      <c r="AD209" s="289">
        <v>8.6350928756546921</v>
      </c>
      <c r="AE209" s="289">
        <v>1.5384576259515281</v>
      </c>
      <c r="AF209" s="289">
        <v>-11.111105759403184</v>
      </c>
      <c r="AG209" s="289">
        <v>0.56818397330840043</v>
      </c>
      <c r="AH209" s="289">
        <v>-0.28249232911827793</v>
      </c>
      <c r="AI209" s="289">
        <v>4.8158662880498415</v>
      </c>
      <c r="AJ209" s="289">
        <v>0</v>
      </c>
      <c r="AK209" s="289">
        <v>2.7027027027026973</v>
      </c>
      <c r="AL209" s="289">
        <v>1.3157894736842035</v>
      </c>
      <c r="AM209" s="289">
        <v>7.3693708939985836</v>
      </c>
      <c r="AN209" s="289">
        <v>6.3291154426219798</v>
      </c>
      <c r="AO209" s="289">
        <v>1.1904816664747075</v>
      </c>
      <c r="AP209" s="289">
        <v>-2.3197416794404346</v>
      </c>
      <c r="AQ209" s="289">
        <v>-1.4478075727931805</v>
      </c>
      <c r="AR209" s="289">
        <v>-0.2779334828101665</v>
      </c>
      <c r="AS209" s="289">
        <v>-4.7895636695786674</v>
      </c>
      <c r="AT209" s="289">
        <v>-5.1657975007379786</v>
      </c>
      <c r="AU209" s="289">
        <v>-3.6107076156879137</v>
      </c>
      <c r="AV209" s="289">
        <v>-1.3374596340150702</v>
      </c>
      <c r="AW209" s="289">
        <v>7.6452599388376896E-2</v>
      </c>
      <c r="AX209" s="289">
        <v>2.8234971562994371</v>
      </c>
      <c r="AY209" s="289">
        <v>0.42940069446286699</v>
      </c>
      <c r="AZ209" s="289">
        <v>1.5466230304309825</v>
      </c>
      <c r="BA209" s="289">
        <v>1.9545159194281903</v>
      </c>
      <c r="BB209" s="289">
        <v>1.144619777194289</v>
      </c>
      <c r="BC209" s="289">
        <v>1.1417481600967783</v>
      </c>
      <c r="BD209" s="289">
        <v>3.3068354556555324</v>
      </c>
      <c r="BE209" s="289">
        <v>1.2178394674953186</v>
      </c>
    </row>
    <row r="210" spans="1:57">
      <c r="A210" s="289" t="s">
        <v>470</v>
      </c>
      <c r="C210" s="289" t="s">
        <v>2462</v>
      </c>
      <c r="G210" s="289">
        <v>4.7445255474452441</v>
      </c>
      <c r="H210" s="289">
        <v>27.335342380643301</v>
      </c>
      <c r="I210" s="289">
        <v>5.4707243244569215</v>
      </c>
      <c r="J210" s="289">
        <v>4.9825231403360482</v>
      </c>
      <c r="K210" s="289">
        <v>6.2909155862134858</v>
      </c>
      <c r="L210" s="289">
        <v>6.2301484579958988</v>
      </c>
      <c r="M210" s="289">
        <v>1.6902467455404357</v>
      </c>
      <c r="N210" s="289">
        <v>1.7546798779096928</v>
      </c>
      <c r="O210" s="289">
        <v>1.603309854474233</v>
      </c>
      <c r="P210" s="289">
        <v>1.3964958279279127</v>
      </c>
      <c r="Q210" s="289">
        <v>1.844981714272742</v>
      </c>
      <c r="R210" s="289">
        <v>1.1079642457453076</v>
      </c>
      <c r="S210" s="289">
        <v>2.3399672116291237</v>
      </c>
      <c r="T210" s="289">
        <v>1.4507200647826402</v>
      </c>
      <c r="U210" s="289">
        <v>2.4294837970069816</v>
      </c>
      <c r="V210" s="289">
        <v>4.9592046657568334</v>
      </c>
      <c r="W210" s="289">
        <v>-4.1441526339963897</v>
      </c>
      <c r="X210" s="289">
        <v>-1.2847178620517097</v>
      </c>
      <c r="Y210" s="289">
        <v>-0.62137981211145554</v>
      </c>
      <c r="Z210" s="289">
        <v>1.8614823691166293</v>
      </c>
      <c r="AA210" s="289">
        <v>5.2357047585770866</v>
      </c>
      <c r="AB210" s="289">
        <v>1.3112109975899955</v>
      </c>
      <c r="AC210" s="289">
        <v>3.8218327389164752</v>
      </c>
      <c r="AD210" s="289">
        <v>2.8303225478899074</v>
      </c>
      <c r="AE210" s="289">
        <v>-0.99947670624045415</v>
      </c>
      <c r="AF210" s="289">
        <v>-2.9415047399251493</v>
      </c>
      <c r="AG210" s="289">
        <v>-5.1158730114853057E-2</v>
      </c>
      <c r="AH210" s="289">
        <v>-0.16292557893520243</v>
      </c>
      <c r="AI210" s="289">
        <v>-8.0391503067556158E-2</v>
      </c>
      <c r="AJ210" s="289">
        <v>-2.5900452344642</v>
      </c>
      <c r="AK210" s="289">
        <v>-1.5768707849269203</v>
      </c>
      <c r="AL210" s="289">
        <v>-3.8080876197705393</v>
      </c>
      <c r="AM210" s="289">
        <v>-1.2581872161583463</v>
      </c>
      <c r="AN210" s="289">
        <v>-1.5696472282980767</v>
      </c>
      <c r="AO210" s="289">
        <v>-4.3263657255734671</v>
      </c>
      <c r="AP210" s="289">
        <v>-3.6390820625670894</v>
      </c>
      <c r="AQ210" s="289">
        <v>0.24464462068167769</v>
      </c>
      <c r="AR210" s="289">
        <v>0.42559974161571201</v>
      </c>
      <c r="AS210" s="289">
        <v>-4.9850357121659084</v>
      </c>
      <c r="AT210" s="289">
        <v>-7.1081548084973907</v>
      </c>
      <c r="AU210" s="289">
        <v>-5.3469488147497302</v>
      </c>
      <c r="AV210" s="289">
        <v>1.3541929553999354</v>
      </c>
      <c r="AW210" s="289">
        <v>-0.55636084362338245</v>
      </c>
      <c r="AX210" s="289">
        <v>1.2552670845500602</v>
      </c>
      <c r="AY210" s="289">
        <v>-1.7513154357229443</v>
      </c>
      <c r="AZ210" s="289">
        <v>0.65571661340706466</v>
      </c>
      <c r="BA210" s="289">
        <v>0.2887496829683478</v>
      </c>
      <c r="BB210" s="289">
        <v>1.0564212786547955</v>
      </c>
      <c r="BC210" s="289">
        <v>1.9689541236632468</v>
      </c>
      <c r="BD210" s="289">
        <v>7.0573594596853972</v>
      </c>
      <c r="BE210" s="289">
        <v>4.0258087679237331</v>
      </c>
    </row>
    <row r="211" spans="1:57">
      <c r="A211" s="289" t="s">
        <v>471</v>
      </c>
      <c r="C211" s="289" t="s">
        <v>2462</v>
      </c>
      <c r="G211" s="289">
        <v>3.4334763948497882</v>
      </c>
      <c r="H211" s="289">
        <v>1.7966875891467948</v>
      </c>
      <c r="I211" s="289">
        <v>4.0000004975759396</v>
      </c>
      <c r="J211" s="289">
        <v>3.8461543061907744</v>
      </c>
      <c r="K211" s="289">
        <v>3.7037041302948603</v>
      </c>
      <c r="L211" s="289">
        <v>3.57142896809306</v>
      </c>
      <c r="M211" s="289">
        <v>3.4482762318489346</v>
      </c>
      <c r="N211" s="289">
        <v>3.3333336788721635</v>
      </c>
      <c r="O211" s="289">
        <v>3.2258067752184649</v>
      </c>
      <c r="P211" s="289">
        <v>3.4374915876141277</v>
      </c>
      <c r="Q211" s="289">
        <v>1.8126947825270801</v>
      </c>
      <c r="R211" s="289">
        <v>2.9673594064229203</v>
      </c>
      <c r="S211" s="289">
        <v>2.8818447161594651</v>
      </c>
      <c r="T211" s="289">
        <v>2.2408948700984421</v>
      </c>
      <c r="U211" s="289">
        <v>2.4657528877722656</v>
      </c>
      <c r="V211" s="289">
        <v>0.53476109245524928</v>
      </c>
      <c r="W211" s="289">
        <v>0.53190833850744745</v>
      </c>
      <c r="X211" s="289">
        <v>1.0582045405781004</v>
      </c>
      <c r="Y211" s="289">
        <v>0.52356191433877708</v>
      </c>
      <c r="Z211" s="289">
        <v>-0.78125253080209012</v>
      </c>
      <c r="AA211" s="289">
        <v>-4.1994724519556765</v>
      </c>
      <c r="AB211" s="289">
        <v>-2.7397263775398306</v>
      </c>
      <c r="AC211" s="289">
        <v>2.0000012264195677</v>
      </c>
      <c r="AD211" s="289">
        <v>1.436061716042647</v>
      </c>
      <c r="AE211" s="289">
        <v>-0.62618640810236936</v>
      </c>
      <c r="AF211" s="289">
        <v>-2.3287661428884721</v>
      </c>
      <c r="AG211" s="289">
        <v>-0.33661395566148</v>
      </c>
      <c r="AH211" s="289">
        <v>2.1671880821942047</v>
      </c>
      <c r="AI211" s="289">
        <v>2.148760472183131</v>
      </c>
      <c r="AJ211" s="289">
        <v>2.0496240755368156</v>
      </c>
      <c r="AK211" s="289">
        <v>2.4312876511439097</v>
      </c>
      <c r="AL211" s="289">
        <v>2.3735791152253105</v>
      </c>
      <c r="AM211" s="289">
        <v>1.1844781193309117</v>
      </c>
      <c r="AN211" s="289">
        <v>0.76142131979695105</v>
      </c>
      <c r="AO211" s="289">
        <v>1.0075566750629816</v>
      </c>
      <c r="AP211" s="289">
        <v>0.16633416458853301</v>
      </c>
      <c r="AQ211" s="289">
        <v>0.13170113551774776</v>
      </c>
      <c r="AR211" s="289">
        <v>0.27623347820464605</v>
      </c>
      <c r="AS211" s="289">
        <v>0.12744633740551237</v>
      </c>
      <c r="AT211" s="289">
        <v>0.29518029027710835</v>
      </c>
      <c r="AU211" s="289">
        <v>0.95132748825346169</v>
      </c>
      <c r="AV211" s="289">
        <v>1.1157689805461946</v>
      </c>
      <c r="AW211" s="289">
        <v>8.2587856413199887</v>
      </c>
      <c r="AX211" s="289">
        <v>1.4999999999999902</v>
      </c>
      <c r="AY211" s="289">
        <v>1.4999999999999902</v>
      </c>
      <c r="AZ211" s="289">
        <v>1.1927998265018447</v>
      </c>
      <c r="BA211" s="289">
        <v>1.4787826832404649</v>
      </c>
      <c r="BB211" s="289">
        <v>1.203801478352684</v>
      </c>
      <c r="BC211" s="289">
        <v>1.4816360601001666</v>
      </c>
      <c r="BD211" s="289">
        <v>0.14137363767221522</v>
      </c>
      <c r="BE211" s="289">
        <v>1.2178394674953408</v>
      </c>
    </row>
    <row r="212" spans="1:57">
      <c r="A212" s="289" t="s">
        <v>472</v>
      </c>
      <c r="C212" s="289" t="s">
        <v>2462</v>
      </c>
      <c r="G212" s="289">
        <v>1.7311868209019199</v>
      </c>
      <c r="H212" s="289">
        <v>6.111455227203999</v>
      </c>
      <c r="I212" s="289">
        <v>-2.535717529157766</v>
      </c>
      <c r="J212" s="289">
        <v>-2.9796291106281458</v>
      </c>
      <c r="K212" s="289">
        <v>6.5071705269754254</v>
      </c>
      <c r="L212" s="289">
        <v>-1.80604869805151</v>
      </c>
      <c r="M212" s="289">
        <v>-9.3813733168346403E-2</v>
      </c>
      <c r="N212" s="289">
        <v>-1.4308567869197431</v>
      </c>
      <c r="O212" s="289">
        <v>7.0706942558192765</v>
      </c>
      <c r="P212" s="289">
        <v>11.801294153625207</v>
      </c>
      <c r="Q212" s="289">
        <v>7.279176750837002</v>
      </c>
      <c r="R212" s="289">
        <v>11.68647219186969</v>
      </c>
      <c r="S212" s="289">
        <v>4.4334999996974434</v>
      </c>
      <c r="T212" s="289">
        <v>1.5960845913517208</v>
      </c>
      <c r="U212" s="289">
        <v>-3.8496248637405084</v>
      </c>
      <c r="V212" s="289">
        <v>-1.1174647205987043</v>
      </c>
      <c r="W212" s="289">
        <v>11.000474296419283</v>
      </c>
      <c r="X212" s="289">
        <v>1.7393522314339771</v>
      </c>
      <c r="Y212" s="289">
        <v>6.2201571491014018</v>
      </c>
      <c r="Z212" s="289">
        <v>10.47171918779517</v>
      </c>
      <c r="AA212" s="289">
        <v>4.956651876689544</v>
      </c>
      <c r="AB212" s="289">
        <v>-3.209502261117203</v>
      </c>
      <c r="AC212" s="289">
        <v>6.8592682260616433</v>
      </c>
      <c r="AD212" s="289">
        <v>6.0483125298314677</v>
      </c>
      <c r="AE212" s="289">
        <v>3.2761018674796416</v>
      </c>
      <c r="AF212" s="289">
        <v>1.0917019264227834</v>
      </c>
      <c r="AG212" s="289">
        <v>2.2369509543893384</v>
      </c>
      <c r="AH212" s="289">
        <v>-4.7655741092150876</v>
      </c>
      <c r="AI212" s="289">
        <v>-8.3541663654899789</v>
      </c>
      <c r="AJ212" s="289">
        <v>-9.1780300852065562</v>
      </c>
      <c r="AK212" s="289">
        <v>-0.73833171493306038</v>
      </c>
      <c r="AL212" s="289">
        <v>-21.891120552084342</v>
      </c>
      <c r="AM212" s="289">
        <v>-16.383733883472008</v>
      </c>
      <c r="AN212" s="289">
        <v>0.81594571099996571</v>
      </c>
      <c r="AO212" s="289">
        <v>-4.3025252391153845</v>
      </c>
      <c r="AP212" s="289">
        <v>32.351339808582644</v>
      </c>
      <c r="AQ212" s="289">
        <v>10.407081872090673</v>
      </c>
      <c r="AR212" s="289">
        <v>-6.2724122667635163</v>
      </c>
      <c r="AS212" s="289">
        <v>-17.926679639580634</v>
      </c>
      <c r="AT212" s="289">
        <v>-10.586413636500858</v>
      </c>
      <c r="AU212" s="289">
        <v>-12.997542431292096</v>
      </c>
      <c r="AV212" s="289">
        <v>32.335922513437467</v>
      </c>
      <c r="AW212" s="289">
        <v>2.0851686004609737</v>
      </c>
      <c r="AX212" s="289">
        <v>3.2950079076690564</v>
      </c>
      <c r="AY212" s="289">
        <v>-12.0113857292517</v>
      </c>
      <c r="AZ212" s="289">
        <v>-13.053227212580943</v>
      </c>
      <c r="BA212" s="289">
        <v>4.451616572624828</v>
      </c>
      <c r="BB212" s="289">
        <v>53.613941988778954</v>
      </c>
      <c r="BC212" s="289">
        <v>4.7717432938629623</v>
      </c>
      <c r="BD212" s="289">
        <v>6.895318427556596</v>
      </c>
      <c r="BE212" s="289">
        <v>0.49985421991503021</v>
      </c>
    </row>
    <row r="213" spans="1:57">
      <c r="A213" s="289" t="s">
        <v>3110</v>
      </c>
      <c r="C213" s="289" t="s">
        <v>2462</v>
      </c>
      <c r="F213" s="289" t="s">
        <v>2219</v>
      </c>
      <c r="G213" s="289">
        <v>6.2964187004498351</v>
      </c>
      <c r="H213" s="289">
        <v>2.8583566796754445</v>
      </c>
      <c r="I213" s="289">
        <v>7.652869043450572</v>
      </c>
      <c r="J213" s="289">
        <v>6.3534409382855372</v>
      </c>
      <c r="K213" s="289">
        <v>8.8843446703967146</v>
      </c>
      <c r="L213" s="289">
        <v>6.2446112976963786</v>
      </c>
      <c r="M213" s="289">
        <v>7.7754904047499407</v>
      </c>
      <c r="N213" s="289">
        <v>1.0617402822391764</v>
      </c>
      <c r="O213" s="289">
        <v>5.9310050342863629</v>
      </c>
      <c r="P213" s="289">
        <v>8.8304715641035472</v>
      </c>
      <c r="Q213" s="289">
        <v>5.7151323262322196</v>
      </c>
      <c r="R213" s="289">
        <v>13.645831381884443</v>
      </c>
      <c r="S213" s="289">
        <v>2.5552365053144177</v>
      </c>
      <c r="T213" s="289">
        <v>9.356621158945444</v>
      </c>
      <c r="U213" s="289">
        <v>7.8704964844233061</v>
      </c>
      <c r="V213" s="289">
        <v>11.759624674720204</v>
      </c>
      <c r="W213" s="289">
        <v>4.0955246365928843</v>
      </c>
      <c r="X213" s="289">
        <v>9.0100790257094729</v>
      </c>
      <c r="Y213" s="289">
        <v>-3.0417380698638419</v>
      </c>
      <c r="Z213" s="289">
        <v>-2.2650988204861555</v>
      </c>
      <c r="AA213" s="289">
        <v>11.542935468037197</v>
      </c>
      <c r="AB213" s="289">
        <v>6.6656799187977622</v>
      </c>
      <c r="AC213" s="289">
        <v>20.868986158654423</v>
      </c>
      <c r="AD213" s="289">
        <v>10.040011466692288</v>
      </c>
      <c r="AE213" s="289">
        <v>-10.913721743174342</v>
      </c>
      <c r="AF213" s="289">
        <v>-1.8896953313967346</v>
      </c>
      <c r="AG213" s="289">
        <v>9.2250840647198693</v>
      </c>
      <c r="AH213" s="289">
        <v>4.5800854680236203</v>
      </c>
      <c r="AI213" s="289">
        <v>1.8020376286104645</v>
      </c>
      <c r="AJ213" s="289">
        <v>-3.5168650012372682</v>
      </c>
      <c r="AK213" s="289">
        <v>-10.171136190406461</v>
      </c>
      <c r="AL213" s="289">
        <v>-26.625193806048042</v>
      </c>
      <c r="AM213" s="289">
        <v>-47.771816388536479</v>
      </c>
      <c r="AN213" s="289">
        <v>-3.2578214736508904</v>
      </c>
      <c r="AO213" s="289">
        <v>-10.177965336689198</v>
      </c>
      <c r="AP213" s="289">
        <v>-10.769171895571017</v>
      </c>
      <c r="AQ213" s="289">
        <v>0.50983783250302395</v>
      </c>
      <c r="AR213" s="289">
        <v>-12.129296204892482</v>
      </c>
      <c r="AS213" s="289">
        <v>-42.838599881526463</v>
      </c>
      <c r="AT213" s="289">
        <v>25.618959621071859</v>
      </c>
      <c r="AU213" s="289">
        <v>22.326609396124319</v>
      </c>
      <c r="AV213" s="289">
        <v>70.105007059458529</v>
      </c>
      <c r="AW213" s="289">
        <v>19.737782117120052</v>
      </c>
      <c r="AX213" s="289">
        <v>16.083189337455472</v>
      </c>
      <c r="AY213" s="289">
        <v>-16.898308402372407</v>
      </c>
      <c r="AZ213" s="289">
        <v>-13.778106951197911</v>
      </c>
      <c r="BA213" s="289">
        <v>15.5011256026804</v>
      </c>
      <c r="BB213" s="289">
        <v>19.670677871162368</v>
      </c>
      <c r="BC213" s="289">
        <v>-23.75593407505988</v>
      </c>
      <c r="BD213" s="289">
        <v>18.388452428932546</v>
      </c>
      <c r="BE213" s="289">
        <v>5.0223755121910907</v>
      </c>
    </row>
    <row r="214" spans="1:57">
      <c r="A214" s="289" t="s">
        <v>3111</v>
      </c>
    </row>
    <row r="215" spans="1:57">
      <c r="A215" s="289" t="s">
        <v>3112</v>
      </c>
      <c r="C215" s="289" t="s">
        <v>2462</v>
      </c>
      <c r="F215" s="289">
        <v>6.8</v>
      </c>
      <c r="G215" s="289">
        <v>5</v>
      </c>
      <c r="H215" s="289">
        <v>2.2332546710968018</v>
      </c>
      <c r="I215" s="289">
        <v>1.8155162334442139</v>
      </c>
      <c r="J215" s="289">
        <v>3.1251304149627686</v>
      </c>
      <c r="K215" s="289">
        <v>2.8608658313751221</v>
      </c>
      <c r="L215" s="289">
        <v>2.0745680332183838</v>
      </c>
      <c r="M215" s="289">
        <v>3.02626633644104</v>
      </c>
      <c r="N215" s="289">
        <v>3.9044175148010254</v>
      </c>
      <c r="O215" s="289">
        <v>4.7262697219848633</v>
      </c>
      <c r="P215" s="289">
        <v>5.5056672096252441</v>
      </c>
      <c r="Q215" s="289">
        <v>4.5107326507568359</v>
      </c>
      <c r="R215" s="289">
        <v>4.2866334915161133</v>
      </c>
      <c r="S215" s="289">
        <v>4.1740665435791016</v>
      </c>
      <c r="T215" s="289">
        <v>4.2769827842712402</v>
      </c>
      <c r="U215" s="289">
        <v>5.0960192680358887</v>
      </c>
      <c r="V215" s="289">
        <v>4.4430961608886719</v>
      </c>
      <c r="W215" s="289">
        <v>6.0136995315551758</v>
      </c>
      <c r="X215" s="289">
        <v>7.3302769660949707</v>
      </c>
      <c r="Y215" s="289">
        <v>9.13018798828125</v>
      </c>
      <c r="Z215" s="289">
        <v>9.9718894958496094</v>
      </c>
      <c r="AA215" s="289">
        <v>7.9798069000244141</v>
      </c>
      <c r="AB215" s="289">
        <v>6.6932039260864258</v>
      </c>
      <c r="AC215" s="289">
        <v>5.5827469825744629</v>
      </c>
      <c r="AD215" s="289">
        <v>4.6354036331176758</v>
      </c>
      <c r="AE215" s="289">
        <v>6.7064113616943359</v>
      </c>
      <c r="AF215" s="289">
        <v>9.093388557434082</v>
      </c>
      <c r="AG215" s="289">
        <v>9.2074041366577148</v>
      </c>
      <c r="AH215" s="289">
        <v>9.3345565795898437</v>
      </c>
      <c r="AI215" s="289">
        <v>11.461581230163574</v>
      </c>
      <c r="AJ215" s="289">
        <v>13.025559425354004</v>
      </c>
      <c r="AK215" s="289">
        <v>13.790704727172852</v>
      </c>
      <c r="AL215" s="289">
        <v>15.991020202636719</v>
      </c>
      <c r="AM215" s="289">
        <v>17.700000762939453</v>
      </c>
      <c r="AN215" s="289">
        <v>19.899999618530273</v>
      </c>
      <c r="AO215" s="289">
        <v>17.200000762939453</v>
      </c>
      <c r="AP215" s="289">
        <v>15.5</v>
      </c>
      <c r="AQ215" s="289">
        <v>15.5</v>
      </c>
      <c r="AR215" s="289">
        <v>18.084440231323242</v>
      </c>
      <c r="AS215" s="289">
        <v>15</v>
      </c>
      <c r="AT215" s="289">
        <v>12</v>
      </c>
      <c r="AU215" s="289">
        <v>8</v>
      </c>
      <c r="AV215" s="289">
        <v>11</v>
      </c>
      <c r="AW215" s="289">
        <v>14.386470216066495</v>
      </c>
      <c r="AX215" s="289">
        <v>14.771996005877812</v>
      </c>
      <c r="AY215" s="289">
        <v>16.70868121216871</v>
      </c>
      <c r="AZ215" s="289">
        <v>17.094758277287223</v>
      </c>
      <c r="BA215" s="289">
        <v>17.985667263125389</v>
      </c>
      <c r="BB215" s="289">
        <v>17.959614526298466</v>
      </c>
      <c r="BC215" s="289">
        <v>17.332976628931945</v>
      </c>
      <c r="BD215" s="289">
        <v>13.032424340553742</v>
      </c>
      <c r="BE215" s="289">
        <v>10.843036781740901</v>
      </c>
    </row>
    <row r="216" spans="1:57">
      <c r="A216" s="289" t="s">
        <v>2454</v>
      </c>
      <c r="C216" s="289" t="s">
        <v>1018</v>
      </c>
      <c r="F216" s="289">
        <v>1.885E-3</v>
      </c>
      <c r="G216" s="289">
        <v>1.885E-3</v>
      </c>
      <c r="H216" s="289">
        <v>1.885E-3</v>
      </c>
      <c r="I216" s="289">
        <v>1.885E-3</v>
      </c>
      <c r="J216" s="289">
        <v>1.885E-3</v>
      </c>
      <c r="K216" s="289">
        <v>1.885E-3</v>
      </c>
      <c r="L216" s="289">
        <v>1.885E-3</v>
      </c>
      <c r="M216" s="289">
        <v>1.885E-3</v>
      </c>
      <c r="N216" s="289">
        <v>1.885E-3</v>
      </c>
      <c r="O216" s="289">
        <v>1.885E-3</v>
      </c>
      <c r="P216" s="289">
        <v>1.885E-3</v>
      </c>
      <c r="Q216" s="289">
        <v>1.885E-3</v>
      </c>
      <c r="R216" s="289">
        <v>1.885E-3</v>
      </c>
      <c r="S216" s="289">
        <v>1.885E-3</v>
      </c>
      <c r="T216" s="289">
        <v>1.885E-3</v>
      </c>
      <c r="U216" s="289">
        <v>1.885E-3</v>
      </c>
      <c r="V216" s="289">
        <v>1.885E-3</v>
      </c>
      <c r="W216" s="289">
        <v>1.885E-3</v>
      </c>
      <c r="X216" s="289">
        <v>1.7849999999999999E-3</v>
      </c>
      <c r="Y216" s="289">
        <v>1.7849999999999999E-3</v>
      </c>
      <c r="Z216" s="289">
        <v>1.7849999999999999E-3</v>
      </c>
      <c r="AA216" s="289">
        <v>1.7849999999999999E-3</v>
      </c>
      <c r="AB216" s="289">
        <v>1.7849999999999999E-3</v>
      </c>
      <c r="AC216" s="289">
        <v>1.7849999999999999E-3</v>
      </c>
      <c r="AD216" s="289">
        <v>1.7849999999999999E-3</v>
      </c>
      <c r="AE216" s="289">
        <v>1.7849999999999999E-3</v>
      </c>
      <c r="AF216" s="289">
        <v>1.7849999999999999E-3</v>
      </c>
      <c r="AG216" s="289">
        <v>1.7849999999999999E-3</v>
      </c>
      <c r="AH216" s="289">
        <v>1.7849999999999999E-3</v>
      </c>
      <c r="AI216" s="289">
        <v>1.7849999999999999E-3</v>
      </c>
      <c r="AJ216" s="289">
        <v>1.7849999999999999E-3</v>
      </c>
      <c r="AK216" s="289">
        <v>1.7849999999999999E-3</v>
      </c>
      <c r="AL216" s="289">
        <v>1.7849999999999999E-3</v>
      </c>
      <c r="AM216" s="289">
        <v>1.7849999999999999E-3</v>
      </c>
      <c r="AN216" s="289">
        <v>1.7849999999999999E-3</v>
      </c>
      <c r="AO216" s="289">
        <v>1.7849999999999999E-3</v>
      </c>
      <c r="AP216" s="289">
        <v>1.7849999999999999E-3</v>
      </c>
      <c r="AQ216" s="289">
        <v>1.7849999999999999E-3</v>
      </c>
      <c r="AR216" s="289">
        <v>1.7849999999999999E-3</v>
      </c>
      <c r="AS216" s="289">
        <v>1.7849999999999999E-3</v>
      </c>
      <c r="AT216" s="289">
        <v>0.1346175</v>
      </c>
      <c r="AU216" s="289">
        <v>0.44139499999999998</v>
      </c>
      <c r="AV216" s="289">
        <v>0.40127499999999999</v>
      </c>
      <c r="AW216" s="289">
        <v>0.40100000000000002</v>
      </c>
      <c r="AX216" s="289">
        <v>0.40100000000000002</v>
      </c>
      <c r="AY216" s="289">
        <v>0.85990000000000011</v>
      </c>
      <c r="AZ216" s="289">
        <v>1.3263</v>
      </c>
      <c r="BA216" s="289">
        <v>2.1785000000000001</v>
      </c>
      <c r="BB216" s="289">
        <v>2.3467500000000001</v>
      </c>
      <c r="BC216" s="289">
        <v>2.60825</v>
      </c>
      <c r="BD216" s="289">
        <v>2.7675000000000001</v>
      </c>
      <c r="BE216" s="289">
        <v>2.7675000000000001</v>
      </c>
    </row>
    <row r="217" spans="1:57">
      <c r="A217" s="289" t="s">
        <v>2455</v>
      </c>
    </row>
    <row r="218" spans="1:57">
      <c r="A218" s="289" t="s">
        <v>3114</v>
      </c>
      <c r="C218" s="289" t="s">
        <v>2462</v>
      </c>
      <c r="F218" s="289">
        <v>32.771693344566124</v>
      </c>
      <c r="G218" s="289">
        <v>35.351089588377704</v>
      </c>
      <c r="H218" s="289">
        <v>30.2993898856583</v>
      </c>
      <c r="I218" s="289">
        <v>30.121414029586639</v>
      </c>
      <c r="J218" s="289">
        <v>28.889119635365425</v>
      </c>
      <c r="K218" s="289">
        <v>22.45624115222688</v>
      </c>
      <c r="L218" s="289">
        <v>19.737682874430092</v>
      </c>
      <c r="M218" s="289">
        <v>22.627794339212603</v>
      </c>
      <c r="N218" s="289">
        <v>19.595028191306398</v>
      </c>
      <c r="O218" s="289">
        <v>23.828893936095412</v>
      </c>
      <c r="P218" s="289">
        <v>21.616804706430418</v>
      </c>
      <c r="Q218" s="289">
        <v>30.773320972382198</v>
      </c>
      <c r="R218" s="289">
        <v>35.559957981048882</v>
      </c>
      <c r="S218" s="289">
        <v>37.216714246625038</v>
      </c>
      <c r="T218" s="289">
        <v>32.683107133417934</v>
      </c>
      <c r="U218" s="289">
        <v>27.941073927478513</v>
      </c>
      <c r="V218" s="289">
        <v>27.041577143434179</v>
      </c>
      <c r="W218" s="289">
        <v>26.600698661337262</v>
      </c>
      <c r="X218" s="289">
        <v>22.58947946692637</v>
      </c>
      <c r="Y218" s="289">
        <v>26.618154899616588</v>
      </c>
      <c r="Z218" s="289">
        <v>34.536654298805921</v>
      </c>
      <c r="AA218" s="289">
        <v>27.450982957498667</v>
      </c>
      <c r="AB218" s="289">
        <v>25.738042955940124</v>
      </c>
      <c r="AC218" s="289">
        <v>29.473303826477455</v>
      </c>
      <c r="AD218" s="289">
        <v>27.059513878453735</v>
      </c>
      <c r="AE218" s="289">
        <v>29.486622318236062</v>
      </c>
      <c r="AF218" s="289">
        <v>25.953458954148722</v>
      </c>
      <c r="AG218" s="289">
        <v>27.965822661786579</v>
      </c>
      <c r="AH218" s="289">
        <v>20.732487498044534</v>
      </c>
      <c r="AI218" s="289">
        <v>14.120037341592434</v>
      </c>
      <c r="AJ218" s="289">
        <v>14.003305280840838</v>
      </c>
      <c r="AK218" s="289">
        <v>14.353683669216002</v>
      </c>
      <c r="AL218" s="289">
        <v>22.488099668459743</v>
      </c>
      <c r="AM218" s="289">
        <v>31.661171517697444</v>
      </c>
      <c r="AN218" s="289">
        <v>34.933365930177423</v>
      </c>
      <c r="AO218" s="289">
        <v>39.64434810438383</v>
      </c>
      <c r="AP218" s="289">
        <v>45.637425373515534</v>
      </c>
      <c r="AQ218" s="289">
        <v>46.976299549070859</v>
      </c>
      <c r="AR218" s="289">
        <v>49.72911920745242</v>
      </c>
      <c r="AS218" s="289">
        <v>67.387681769967131</v>
      </c>
      <c r="AT218" s="289">
        <v>46.860986036803887</v>
      </c>
      <c r="AU218" s="289">
        <v>45.387639252833132</v>
      </c>
      <c r="AV218" s="289">
        <v>33.451280726683422</v>
      </c>
      <c r="AW218" s="289">
        <v>36.348967816775158</v>
      </c>
      <c r="AX218" s="289">
        <v>32.24081671309947</v>
      </c>
      <c r="AY218" s="289">
        <v>36.731741640863866</v>
      </c>
      <c r="AZ218" s="289">
        <v>31.37347094506579</v>
      </c>
      <c r="BA218" s="289">
        <v>9.2241369464293363</v>
      </c>
      <c r="BB218" s="289">
        <v>34.547786233050225</v>
      </c>
      <c r="BC218" s="289">
        <v>43.871607431269375</v>
      </c>
      <c r="BD218" s="289">
        <v>41.306648231128086</v>
      </c>
      <c r="BE218" s="289">
        <v>40.19580575960353</v>
      </c>
    </row>
    <row r="219" spans="1:57">
      <c r="A219" s="289" t="s">
        <v>308</v>
      </c>
      <c r="C219" s="289" t="s">
        <v>2462</v>
      </c>
      <c r="F219" s="289">
        <v>256.36816657608847</v>
      </c>
      <c r="G219" s="289">
        <v>248.11058412091771</v>
      </c>
      <c r="H219" s="289">
        <v>231.26140490962027</v>
      </c>
      <c r="I219" s="289">
        <v>200.70744262657644</v>
      </c>
      <c r="J219" s="289">
        <v>190.89392304386345</v>
      </c>
      <c r="K219" s="289">
        <v>174.22301638457907</v>
      </c>
      <c r="L219" s="289">
        <v>164.62290198275736</v>
      </c>
      <c r="M219" s="289">
        <v>153.66111759922808</v>
      </c>
      <c r="N219" s="289">
        <v>145.06977257657411</v>
      </c>
      <c r="O219" s="289">
        <v>137.3507147835563</v>
      </c>
      <c r="P219" s="289">
        <v>127.72606260618583</v>
      </c>
      <c r="Q219" s="289">
        <v>111.02599608673495</v>
      </c>
      <c r="R219" s="289">
        <v>86.533974908253526</v>
      </c>
      <c r="S219" s="289">
        <v>74.099519537272386</v>
      </c>
      <c r="T219" s="289">
        <v>65.424130236034159</v>
      </c>
      <c r="U219" s="289">
        <v>62.088033869479837</v>
      </c>
      <c r="V219" s="289">
        <v>57.17259438301042</v>
      </c>
      <c r="W219" s="289">
        <v>52.715624180797846</v>
      </c>
      <c r="X219" s="289">
        <v>47.487889357396647</v>
      </c>
      <c r="Y219" s="289">
        <v>46.872105489206369</v>
      </c>
      <c r="Z219" s="289">
        <v>42.199482761112165</v>
      </c>
      <c r="AA219" s="289">
        <v>37.450856391849541</v>
      </c>
      <c r="AB219" s="289">
        <v>43.627418692630776</v>
      </c>
      <c r="AC219" s="289">
        <v>36.794772881040487</v>
      </c>
      <c r="AD219" s="289">
        <v>26.490769711817805</v>
      </c>
      <c r="AE219" s="289">
        <v>25.456387925924922</v>
      </c>
      <c r="AF219" s="289">
        <v>28.250802873253853</v>
      </c>
      <c r="AG219" s="289">
        <v>28.720755256192458</v>
      </c>
      <c r="AH219" s="289">
        <v>30.278014266516141</v>
      </c>
      <c r="AI219" s="289">
        <v>29.111225164508618</v>
      </c>
      <c r="AJ219" s="289">
        <v>16.573661456997613</v>
      </c>
      <c r="AK219" s="289">
        <v>11.006333539324292</v>
      </c>
      <c r="AL219" s="289">
        <v>10.927242043373317</v>
      </c>
      <c r="AM219" s="289">
        <v>5.1062604323154233</v>
      </c>
      <c r="AN219" s="289">
        <v>6.8566157193257125</v>
      </c>
      <c r="AO219" s="289">
        <v>9.6686624611079477</v>
      </c>
      <c r="AP219" s="289">
        <v>0.97581607485358801</v>
      </c>
      <c r="AQ219" s="289">
        <v>-1.0931018257866978</v>
      </c>
      <c r="AR219" s="289">
        <v>-0.94630802326157182</v>
      </c>
      <c r="AS219" s="289">
        <v>18.709597063513968</v>
      </c>
      <c r="AT219" s="289">
        <v>50.842386924676866</v>
      </c>
      <c r="AU219" s="289">
        <v>31.812872591692404</v>
      </c>
      <c r="AV219" s="289">
        <v>23.174470951222361</v>
      </c>
      <c r="AW219" s="289">
        <v>19.526443610703755</v>
      </c>
      <c r="AX219" s="289">
        <v>14.912316695557948</v>
      </c>
      <c r="AY219" s="289">
        <v>14.541000935099149</v>
      </c>
      <c r="AZ219" s="289">
        <v>19.468274706179084</v>
      </c>
      <c r="BA219" s="289">
        <v>28.930816853927855</v>
      </c>
      <c r="BB219" s="289">
        <v>23.181312724623435</v>
      </c>
      <c r="BC219" s="289">
        <v>22.178974320542089</v>
      </c>
      <c r="BD219" s="289">
        <v>24.332185706630387</v>
      </c>
      <c r="BE219" s="289">
        <v>28.986799128344021</v>
      </c>
    </row>
    <row r="220" spans="1:57">
      <c r="A220" s="289" t="s">
        <v>2009</v>
      </c>
      <c r="C220" s="289" t="s">
        <v>2462</v>
      </c>
      <c r="F220" s="289">
        <v>44.987364496216578</v>
      </c>
      <c r="G220" s="289">
        <v>41.727200691694179</v>
      </c>
      <c r="H220" s="289">
        <v>38.430514146273545</v>
      </c>
      <c r="I220" s="289">
        <v>36.253976674425054</v>
      </c>
      <c r="J220" s="289">
        <v>35.507376311841711</v>
      </c>
      <c r="K220" s="289">
        <v>32.354498170228212</v>
      </c>
      <c r="L220" s="289">
        <v>33.619157065261383</v>
      </c>
      <c r="M220" s="289">
        <v>34.160221953759503</v>
      </c>
      <c r="N220" s="289">
        <v>33.565470619246049</v>
      </c>
      <c r="O220" s="289">
        <v>32.100909859840129</v>
      </c>
      <c r="P220" s="289">
        <v>33.831792692922591</v>
      </c>
      <c r="Q220" s="289">
        <v>31.113300565888068</v>
      </c>
      <c r="R220" s="289">
        <v>27.809673325464747</v>
      </c>
      <c r="S220" s="289">
        <v>26.358278298180391</v>
      </c>
      <c r="T220" s="289">
        <v>25.747864805521253</v>
      </c>
      <c r="U220" s="289">
        <v>27.580502944540797</v>
      </c>
      <c r="V220" s="289">
        <v>28.374333039986261</v>
      </c>
      <c r="W220" s="289">
        <v>28.432138081380593</v>
      </c>
      <c r="X220" s="289">
        <v>28.389940209204127</v>
      </c>
      <c r="Y220" s="289">
        <v>26.963637590069737</v>
      </c>
      <c r="Z220" s="289">
        <v>26.302577390259479</v>
      </c>
      <c r="AA220" s="289">
        <v>22.766585567618787</v>
      </c>
      <c r="AB220" s="289">
        <v>24.232297818745664</v>
      </c>
      <c r="AC220" s="289">
        <v>21.914370315306723</v>
      </c>
      <c r="AD220" s="289">
        <v>20.86364136305345</v>
      </c>
      <c r="AE220" s="289">
        <v>21.548309509988673</v>
      </c>
      <c r="AF220" s="289">
        <v>22.89152120263568</v>
      </c>
      <c r="AG220" s="289">
        <v>30.006783663780894</v>
      </c>
      <c r="AH220" s="289">
        <v>43.336686924837586</v>
      </c>
      <c r="AI220" s="289">
        <v>47.373870865818986</v>
      </c>
      <c r="AJ220" s="289">
        <v>59.887207499350666</v>
      </c>
      <c r="AK220" s="289">
        <v>81.837288344837589</v>
      </c>
      <c r="AL220" s="289">
        <v>103.11875034025174</v>
      </c>
      <c r="AM220" s="289">
        <v>108.51635810296729</v>
      </c>
      <c r="AN220" s="289">
        <v>102.14122440581168</v>
      </c>
      <c r="AO220" s="289">
        <v>59.484667029577217</v>
      </c>
      <c r="AP220" s="289">
        <v>68.174575195656772</v>
      </c>
      <c r="AQ220" s="289">
        <v>75.54547922630303</v>
      </c>
      <c r="AR220" s="289">
        <v>64.856944268692814</v>
      </c>
      <c r="AS220" s="289">
        <v>54.146549148612799</v>
      </c>
      <c r="AT220" s="289">
        <v>48.20839546244229</v>
      </c>
      <c r="AU220" s="289">
        <v>26.627306117905182</v>
      </c>
      <c r="AV220" s="289">
        <v>25.8090818584602</v>
      </c>
      <c r="AW220" s="289">
        <v>24.55184466323492</v>
      </c>
      <c r="AX220" s="289">
        <v>19.464613895052622</v>
      </c>
      <c r="AY220" s="289">
        <v>17.242863261682114</v>
      </c>
      <c r="AZ220" s="289">
        <v>23.074373540316177</v>
      </c>
      <c r="BA220" s="289">
        <v>22.976229621031283</v>
      </c>
      <c r="BB220" s="289">
        <v>19.590823686072738</v>
      </c>
      <c r="BC220" s="289">
        <v>14.699434623512131</v>
      </c>
      <c r="BD220" s="289">
        <v>15.131532336072429</v>
      </c>
      <c r="BE220" s="289">
        <v>22.904246463174079</v>
      </c>
    </row>
    <row r="221" spans="1:57">
      <c r="A221" s="289" t="s">
        <v>2048</v>
      </c>
      <c r="C221" s="289" t="s">
        <v>2462</v>
      </c>
      <c r="F221" s="289">
        <v>3.2855939342881206</v>
      </c>
      <c r="G221" s="289">
        <v>2.5827280064568203</v>
      </c>
      <c r="H221" s="289">
        <v>5.3728095718519455</v>
      </c>
      <c r="I221" s="289">
        <v>6.7208796242141702</v>
      </c>
      <c r="J221" s="289">
        <v>5.7152282307996041</v>
      </c>
      <c r="K221" s="289">
        <v>5.6220761968947262</v>
      </c>
      <c r="L221" s="289">
        <v>6.4495964484519126</v>
      </c>
      <c r="M221" s="289">
        <v>8.017690622583693</v>
      </c>
      <c r="N221" s="289">
        <v>6.7869657186634003</v>
      </c>
      <c r="O221" s="289">
        <v>10.72914485380943</v>
      </c>
      <c r="P221" s="289">
        <v>8.4579480044047202</v>
      </c>
      <c r="Q221" s="289">
        <v>7.7611543069131068</v>
      </c>
      <c r="R221" s="289">
        <v>5.0291197392657327</v>
      </c>
      <c r="S221" s="289">
        <v>4.0767469985251843</v>
      </c>
      <c r="T221" s="289">
        <v>4.1059717506972131</v>
      </c>
      <c r="U221" s="289">
        <v>5.5898123374653839</v>
      </c>
      <c r="V221" s="289">
        <v>7.6429834014186175</v>
      </c>
      <c r="W221" s="289">
        <v>5.621971853865368</v>
      </c>
      <c r="X221" s="289">
        <v>9.4916635769973166</v>
      </c>
      <c r="Y221" s="289">
        <v>5.5905969113331908</v>
      </c>
      <c r="Z221" s="289">
        <v>7.6016771751044327</v>
      </c>
      <c r="AA221" s="289">
        <v>6.3346819157549596</v>
      </c>
      <c r="AB221" s="289">
        <v>17.635074289260618</v>
      </c>
      <c r="AC221" s="289">
        <v>10.444035702238478</v>
      </c>
      <c r="AD221" s="289">
        <v>7.4730108092950491</v>
      </c>
      <c r="AE221" s="289">
        <v>10.152567446140672</v>
      </c>
      <c r="AF221" s="289">
        <v>8.4089563532041236</v>
      </c>
      <c r="AG221" s="289">
        <v>9.2259495783441618</v>
      </c>
      <c r="AH221" s="289">
        <v>9.3944944804618036</v>
      </c>
      <c r="AI221" s="289">
        <v>0.34164514784430489</v>
      </c>
      <c r="AJ221" s="289">
        <v>0</v>
      </c>
      <c r="AK221" s="289">
        <v>0</v>
      </c>
      <c r="AL221" s="289">
        <v>0</v>
      </c>
      <c r="AM221" s="289">
        <v>0</v>
      </c>
      <c r="AN221" s="289">
        <v>0.24147831328454758</v>
      </c>
      <c r="AO221" s="289">
        <v>2.519092104435146</v>
      </c>
      <c r="AP221" s="289">
        <v>1.8343680150083019</v>
      </c>
      <c r="AQ221" s="289">
        <v>0.78358594424422812</v>
      </c>
      <c r="AR221" s="289">
        <v>1.7216334819432699</v>
      </c>
      <c r="AS221" s="289">
        <v>0.91351383054079327</v>
      </c>
      <c r="AT221" s="289">
        <v>11.807125417291857</v>
      </c>
      <c r="AU221" s="289">
        <v>10.552357787371186</v>
      </c>
      <c r="AV221" s="289">
        <v>11.746983089262582</v>
      </c>
      <c r="AW221" s="289">
        <v>6.4614749843159309</v>
      </c>
      <c r="AX221" s="289">
        <v>2.8434821429423627</v>
      </c>
      <c r="AY221" s="289">
        <v>2.2235772570433752</v>
      </c>
      <c r="AZ221" s="289">
        <v>1.6258240667401938</v>
      </c>
      <c r="BA221" s="289">
        <v>1.6500404859273081</v>
      </c>
      <c r="BB221" s="289">
        <v>1.127099826053007</v>
      </c>
      <c r="BC221" s="289">
        <v>1.5006545703675684</v>
      </c>
      <c r="BD221" s="289">
        <v>6.0647848111351346</v>
      </c>
      <c r="BE221" s="289">
        <v>5.5618930539618106</v>
      </c>
    </row>
    <row r="222" spans="1:57">
      <c r="A222" s="289" t="s">
        <v>642</v>
      </c>
      <c r="C222" s="289" t="s">
        <v>2462</v>
      </c>
      <c r="F222" s="289">
        <v>8.2561078348778434</v>
      </c>
      <c r="G222" s="289">
        <v>9.1202582728006476</v>
      </c>
      <c r="H222" s="289">
        <v>9.3240631924195565</v>
      </c>
      <c r="I222" s="289">
        <v>10.766332068642619</v>
      </c>
      <c r="J222" s="289">
        <v>10.585150125500466</v>
      </c>
      <c r="K222" s="289">
        <v>10.697873608159046</v>
      </c>
      <c r="L222" s="289">
        <v>11.08345386346703</v>
      </c>
      <c r="M222" s="289">
        <v>14.126538763457228</v>
      </c>
      <c r="N222" s="289">
        <v>13.806950282280447</v>
      </c>
      <c r="O222" s="289">
        <v>13.297952842796578</v>
      </c>
      <c r="P222" s="289">
        <v>13.828784064777052</v>
      </c>
      <c r="Q222" s="289">
        <v>13.044508050577832</v>
      </c>
      <c r="R222" s="289">
        <v>12.273390441337076</v>
      </c>
      <c r="S222" s="289">
        <v>11.183149571295898</v>
      </c>
      <c r="T222" s="289">
        <v>10.723985319359661</v>
      </c>
      <c r="U222" s="289">
        <v>12.024546608951008</v>
      </c>
      <c r="V222" s="289">
        <v>13.397410715552201</v>
      </c>
      <c r="W222" s="289">
        <v>12.572788235964097</v>
      </c>
      <c r="X222" s="289">
        <v>13.758540617605014</v>
      </c>
      <c r="Y222" s="289">
        <v>13.015961638296718</v>
      </c>
      <c r="Z222" s="289">
        <v>12.148357455220733</v>
      </c>
      <c r="AA222" s="289">
        <v>12.715551497583919</v>
      </c>
      <c r="AB222" s="289">
        <v>14.022304479625074</v>
      </c>
      <c r="AC222" s="289">
        <v>14.208868719415909</v>
      </c>
      <c r="AD222" s="289">
        <v>14.340099558777467</v>
      </c>
      <c r="AE222" s="289">
        <v>14.154294107396717</v>
      </c>
      <c r="AF222" s="289">
        <v>14.095011459471172</v>
      </c>
      <c r="AG222" s="289">
        <v>15.353174188000636</v>
      </c>
      <c r="AH222" s="289">
        <v>18.730189584912047</v>
      </c>
      <c r="AI222" s="289">
        <v>20.923972912734943</v>
      </c>
      <c r="AJ222" s="289">
        <v>21.439379986514606</v>
      </c>
      <c r="AK222" s="289">
        <v>22.043231780006767</v>
      </c>
      <c r="AL222" s="289">
        <v>22.826536599054702</v>
      </c>
      <c r="AM222" s="289">
        <v>23.839715952320567</v>
      </c>
      <c r="AN222" s="289">
        <v>22.374810623765239</v>
      </c>
      <c r="AO222" s="289">
        <v>20.431863545636002</v>
      </c>
      <c r="AP222" s="289">
        <v>14.865402242120849</v>
      </c>
      <c r="AQ222" s="289">
        <v>16.134325301376979</v>
      </c>
      <c r="AR222" s="289">
        <v>15.464983852243908</v>
      </c>
      <c r="AS222" s="289">
        <v>8.1277622156174623</v>
      </c>
      <c r="AT222" s="289">
        <v>7.0763356836015765</v>
      </c>
      <c r="AU222" s="289">
        <v>5.6573062867852713</v>
      </c>
      <c r="AV222" s="289">
        <v>8.4240083466515578</v>
      </c>
      <c r="AW222" s="289">
        <v>8.4768902562744284</v>
      </c>
      <c r="AX222" s="289">
        <v>15.592303207175506</v>
      </c>
      <c r="AY222" s="289">
        <v>12.866137837696348</v>
      </c>
      <c r="AZ222" s="289">
        <v>13.89280707208515</v>
      </c>
      <c r="BA222" s="289">
        <v>12.796678891593293</v>
      </c>
      <c r="BB222" s="289">
        <v>14.628357271863543</v>
      </c>
      <c r="BC222" s="289">
        <v>12.598170802591492</v>
      </c>
      <c r="BD222" s="289">
        <v>11.057510291998401</v>
      </c>
      <c r="BE222" s="289">
        <v>11.324546073763806</v>
      </c>
    </row>
    <row r="223" spans="1:57">
      <c r="A223" s="289" t="s">
        <v>643</v>
      </c>
      <c r="C223" s="289" t="s">
        <v>2462</v>
      </c>
      <c r="F223" s="289">
        <v>2.8326180257510729</v>
      </c>
      <c r="G223" s="289">
        <v>3.1535269709543567</v>
      </c>
      <c r="H223" s="289">
        <v>3.4035787713705754</v>
      </c>
      <c r="I223" s="289">
        <v>3.7233989746825951</v>
      </c>
      <c r="J223" s="289">
        <v>3.6066307521274825</v>
      </c>
      <c r="K223" s="289">
        <v>3.8166520587037414</v>
      </c>
      <c r="L223" s="289">
        <v>3.969318787458942</v>
      </c>
      <c r="M223" s="289">
        <v>4.0635739670971702</v>
      </c>
      <c r="N223" s="289">
        <v>4.2654852699469759</v>
      </c>
      <c r="O223" s="289">
        <v>4.4493637296502868</v>
      </c>
      <c r="P223" s="289">
        <v>4.5496397318914905</v>
      </c>
      <c r="Q223" s="289">
        <v>4.6960300255515204</v>
      </c>
      <c r="R223" s="289">
        <v>4.7674413941231553</v>
      </c>
      <c r="S223" s="289">
        <v>5.1539789305514843</v>
      </c>
      <c r="T223" s="289">
        <v>5.1649745392779121</v>
      </c>
      <c r="U223" s="289">
        <v>5.6401166027304317</v>
      </c>
      <c r="V223" s="289">
        <v>6.5315840581171329</v>
      </c>
      <c r="W223" s="289">
        <v>6.52398455178015</v>
      </c>
      <c r="X223" s="289">
        <v>6.322288740260146</v>
      </c>
      <c r="Y223" s="289">
        <v>6.7404952589370923</v>
      </c>
      <c r="Z223" s="289">
        <v>7.5959603909627935</v>
      </c>
      <c r="AA223" s="289">
        <v>8.2081215937561716</v>
      </c>
      <c r="AB223" s="289">
        <v>9.3866091014523168</v>
      </c>
      <c r="AC223" s="289">
        <v>10.103114143760763</v>
      </c>
      <c r="AD223" s="289">
        <v>10.820143495054552</v>
      </c>
      <c r="AE223" s="289">
        <v>11.055836966177276</v>
      </c>
      <c r="AF223" s="289">
        <v>10.061725279988959</v>
      </c>
      <c r="AG223" s="289">
        <v>10.153071044532297</v>
      </c>
      <c r="AH223" s="289">
        <v>9.9096290968842382</v>
      </c>
      <c r="AI223" s="289">
        <v>10.168369675577599</v>
      </c>
      <c r="AJ223" s="289">
        <v>9.9641422177616299</v>
      </c>
      <c r="AK223" s="289">
        <v>9.9905444844497495</v>
      </c>
      <c r="AL223" s="289">
        <v>9.8873157553153312</v>
      </c>
      <c r="AM223" s="289">
        <v>10.491677105124227</v>
      </c>
      <c r="AN223" s="289">
        <v>11.071407404594517</v>
      </c>
      <c r="AO223" s="289">
        <v>11.091457756974751</v>
      </c>
      <c r="AP223" s="289">
        <v>10.816173596536435</v>
      </c>
      <c r="AQ223" s="289">
        <v>10.645555898119325</v>
      </c>
      <c r="AR223" s="289">
        <v>10.586724257203571</v>
      </c>
      <c r="AS223" s="289">
        <v>10.06683654391426</v>
      </c>
      <c r="AT223" s="289">
        <v>9.5187068069419993</v>
      </c>
      <c r="AU223" s="289">
        <v>9.088552239609065</v>
      </c>
      <c r="AV223" s="289">
        <v>8.8680495757423294</v>
      </c>
      <c r="AW223" s="289">
        <v>8.1977914102619565</v>
      </c>
      <c r="AX223" s="289">
        <v>8.3046855345911936</v>
      </c>
      <c r="AY223" s="289">
        <v>8.2170895684233347</v>
      </c>
      <c r="AZ223" s="289">
        <v>8.2458208315473627</v>
      </c>
      <c r="BA223" s="289">
        <v>8.2844772967265037</v>
      </c>
      <c r="BB223" s="289">
        <v>8.2796327212020042</v>
      </c>
      <c r="BC223" s="289">
        <v>8.2519021180341348</v>
      </c>
      <c r="BD223" s="289">
        <v>8.5127441669447368</v>
      </c>
      <c r="BE223" s="289">
        <v>8.5127441669447368</v>
      </c>
    </row>
    <row r="224" spans="1:57">
      <c r="A224" s="289" t="s">
        <v>644</v>
      </c>
      <c r="C224" s="289" t="s">
        <v>2219</v>
      </c>
    </row>
    <row r="225" spans="1:57">
      <c r="A225" s="289" t="s">
        <v>645</v>
      </c>
      <c r="C225" s="289" t="s">
        <v>2462</v>
      </c>
      <c r="F225" s="289">
        <v>53.243470935130595</v>
      </c>
      <c r="G225" s="289">
        <v>53.591606133979006</v>
      </c>
      <c r="H225" s="289">
        <v>54.82740705285071</v>
      </c>
      <c r="I225" s="289">
        <v>51.102283515341384</v>
      </c>
      <c r="J225" s="289">
        <v>51.638040039311555</v>
      </c>
      <c r="K225" s="289">
        <v>54.311229979083443</v>
      </c>
      <c r="L225" s="289">
        <v>53.670247788709553</v>
      </c>
      <c r="M225" s="289">
        <v>54.100836026927347</v>
      </c>
      <c r="N225" s="289">
        <v>52.865529061573298</v>
      </c>
      <c r="O225" s="289">
        <v>53.29945306402054</v>
      </c>
      <c r="P225" s="289">
        <v>49.88698642157803</v>
      </c>
      <c r="Q225" s="289">
        <v>53.609999773759526</v>
      </c>
      <c r="R225" s="289">
        <v>50.728599804771633</v>
      </c>
      <c r="S225" s="289">
        <v>57.468072187067897</v>
      </c>
      <c r="T225" s="289">
        <v>54.589108453608212</v>
      </c>
      <c r="U225" s="289">
        <v>55.050841929544362</v>
      </c>
      <c r="V225" s="289">
        <v>55.972312664966935</v>
      </c>
      <c r="W225" s="289">
        <v>51.367810695174903</v>
      </c>
      <c r="X225" s="289">
        <v>52.006831288778791</v>
      </c>
      <c r="Y225" s="289">
        <v>56.282869124192807</v>
      </c>
      <c r="Z225" s="289">
        <v>48.604271459832546</v>
      </c>
      <c r="AA225" s="289">
        <v>46.833195432491671</v>
      </c>
      <c r="AB225" s="289">
        <v>52.31348786415542</v>
      </c>
      <c r="AC225" s="289">
        <v>56.696702126264377</v>
      </c>
      <c r="AD225" s="289">
        <v>57.352243236582225</v>
      </c>
      <c r="AE225" s="289">
        <v>58.126135380669197</v>
      </c>
      <c r="AF225" s="289">
        <v>57.99882356796796</v>
      </c>
      <c r="AG225" s="289">
        <v>56.344411771768648</v>
      </c>
      <c r="AH225" s="289">
        <v>58.736554524544012</v>
      </c>
      <c r="AI225" s="289">
        <v>64.597497889144563</v>
      </c>
      <c r="AJ225" s="289">
        <v>64.108662537310039</v>
      </c>
      <c r="AK225" s="289">
        <v>58.603523359610115</v>
      </c>
      <c r="AL225" s="289">
        <v>60.623744557335613</v>
      </c>
      <c r="AM225" s="289">
        <v>74.887141170400099</v>
      </c>
      <c r="AN225" s="289">
        <v>81.864851810811501</v>
      </c>
      <c r="AO225" s="289">
        <v>101.83632709957944</v>
      </c>
      <c r="AP225" s="289">
        <v>113.91807092998657</v>
      </c>
      <c r="AQ225" s="289">
        <v>134.57750067872334</v>
      </c>
      <c r="AR225" s="289">
        <v>143.64240560302383</v>
      </c>
      <c r="AS225" s="289">
        <v>104.95576791731078</v>
      </c>
      <c r="AT225" s="289">
        <v>61.213911927319984</v>
      </c>
      <c r="AU225" s="289">
        <v>42.699304136493744</v>
      </c>
      <c r="AV225" s="289">
        <v>48.938947742442984</v>
      </c>
      <c r="AW225" s="289">
        <v>54.026122841288476</v>
      </c>
      <c r="AX225" s="289">
        <v>61.507132304146843</v>
      </c>
      <c r="AY225" s="289">
        <v>63.9644705420951</v>
      </c>
      <c r="AZ225" s="289">
        <v>50.611435699402143</v>
      </c>
      <c r="BA225" s="289">
        <v>41.098536194779648</v>
      </c>
      <c r="BB225" s="289">
        <v>59.918534243853479</v>
      </c>
      <c r="BC225" s="289">
        <v>65.375857503451201</v>
      </c>
      <c r="BD225" s="289">
        <v>63.866240079748387</v>
      </c>
      <c r="BE225" s="289">
        <v>65.101161670469608</v>
      </c>
    </row>
    <row r="226" spans="1:57">
      <c r="A226" s="289" t="s">
        <v>1911</v>
      </c>
      <c r="C226" s="289" t="s">
        <v>2462</v>
      </c>
      <c r="F226" s="289">
        <v>19.713563605728726</v>
      </c>
      <c r="G226" s="289">
        <v>22.921711057304282</v>
      </c>
      <c r="H226" s="289">
        <v>19.27863406822474</v>
      </c>
      <c r="I226" s="289">
        <v>20.204730257999618</v>
      </c>
      <c r="J226" s="289">
        <v>22.15703115728952</v>
      </c>
      <c r="K226" s="289">
        <v>19.507531778195101</v>
      </c>
      <c r="L226" s="289">
        <v>20.836074522105928</v>
      </c>
      <c r="M226" s="289">
        <v>23.255263872302287</v>
      </c>
      <c r="N226" s="289">
        <v>24.880610092456699</v>
      </c>
      <c r="O226" s="289">
        <v>23.252173991219383</v>
      </c>
      <c r="P226" s="289">
        <v>22.418153113953764</v>
      </c>
      <c r="Q226" s="289">
        <v>20.050151261797602</v>
      </c>
      <c r="R226" s="289">
        <v>17.873383335787405</v>
      </c>
      <c r="S226" s="289">
        <v>18.14173458547905</v>
      </c>
      <c r="T226" s="289">
        <v>18.593765313781986</v>
      </c>
      <c r="U226" s="289">
        <v>18.597182927683878</v>
      </c>
      <c r="V226" s="289">
        <v>18.395494017865289</v>
      </c>
      <c r="W226" s="289">
        <v>20.593945308676812</v>
      </c>
      <c r="X226" s="289">
        <v>17.664071297369517</v>
      </c>
      <c r="Y226" s="289">
        <v>17.350244416068435</v>
      </c>
      <c r="Z226" s="289">
        <v>18.730454562502505</v>
      </c>
      <c r="AA226" s="289">
        <v>19.923716026212727</v>
      </c>
      <c r="AB226" s="289">
        <v>22.074031767697797</v>
      </c>
      <c r="AC226" s="289">
        <v>25.972153369945762</v>
      </c>
      <c r="AD226" s="289">
        <v>23.548246268070713</v>
      </c>
      <c r="AE226" s="289">
        <v>21.110698552408518</v>
      </c>
      <c r="AF226" s="289">
        <v>22.618276863287996</v>
      </c>
      <c r="AG226" s="289">
        <v>26.440614261578435</v>
      </c>
      <c r="AH226" s="289">
        <v>29.769377253569999</v>
      </c>
      <c r="AI226" s="289">
        <v>33.447665876941663</v>
      </c>
      <c r="AJ226" s="289">
        <v>32.583759425348873</v>
      </c>
      <c r="AK226" s="289">
        <v>36.814162080030385</v>
      </c>
      <c r="AL226" s="289">
        <v>40.680947363859836</v>
      </c>
      <c r="AM226" s="289">
        <v>37.479076777319598</v>
      </c>
      <c r="AN226" s="289">
        <v>35.83820050846964</v>
      </c>
      <c r="AO226" s="289">
        <v>28.521139577174441</v>
      </c>
      <c r="AP226" s="289">
        <v>21.914122541070295</v>
      </c>
      <c r="AQ226" s="289">
        <v>25.838163779512563</v>
      </c>
      <c r="AR226" s="289">
        <v>22.727897930776471</v>
      </c>
      <c r="AS226" s="289">
        <v>14.262292546362893</v>
      </c>
      <c r="AT226" s="289">
        <v>14.046037230086213</v>
      </c>
      <c r="AU226" s="289">
        <v>19.558989469809578</v>
      </c>
      <c r="AV226" s="289">
        <v>19.038312085901715</v>
      </c>
      <c r="AW226" s="289">
        <v>17.219369297889816</v>
      </c>
      <c r="AX226" s="289">
        <v>31.203093547635614</v>
      </c>
      <c r="AY226" s="289">
        <v>26.050566846026044</v>
      </c>
      <c r="AZ226" s="289">
        <v>37.797910387938686</v>
      </c>
      <c r="BA226" s="289">
        <v>31.894434823067179</v>
      </c>
      <c r="BB226" s="289">
        <v>28.253352962889373</v>
      </c>
      <c r="BC226" s="289">
        <v>24.054166807850631</v>
      </c>
      <c r="BD226" s="289">
        <v>21.390043718145712</v>
      </c>
      <c r="BE226" s="289">
        <v>21.563330458983703</v>
      </c>
    </row>
    <row r="227" spans="1:57">
      <c r="A227" s="289" t="s">
        <v>1912</v>
      </c>
      <c r="C227" s="289" t="s">
        <v>2462</v>
      </c>
      <c r="F227" s="289">
        <v>19.882055602358889</v>
      </c>
      <c r="G227" s="289">
        <v>20.338983050847457</v>
      </c>
      <c r="H227" s="289">
        <v>21.04350472574351</v>
      </c>
      <c r="I227" s="289">
        <v>24.944802234559472</v>
      </c>
      <c r="J227" s="289">
        <v>24.137719693948661</v>
      </c>
      <c r="K227" s="289">
        <v>22.65365912880057</v>
      </c>
      <c r="L227" s="289">
        <v>23.157605370716851</v>
      </c>
      <c r="M227" s="289">
        <v>23.85870286877784</v>
      </c>
      <c r="N227" s="289">
        <v>25.716598347455466</v>
      </c>
      <c r="O227" s="289">
        <v>27.428540326729586</v>
      </c>
      <c r="P227" s="289">
        <v>47.443186810483951</v>
      </c>
      <c r="Q227" s="289">
        <v>43.71659145819477</v>
      </c>
      <c r="R227" s="289">
        <v>26.097053782135696</v>
      </c>
      <c r="S227" s="289">
        <v>18.204783295641516</v>
      </c>
      <c r="T227" s="289">
        <v>17.514536075381116</v>
      </c>
      <c r="U227" s="289">
        <v>14.148572307307008</v>
      </c>
      <c r="V227" s="289">
        <v>13.438425989205076</v>
      </c>
      <c r="W227" s="289">
        <v>13.786364100243102</v>
      </c>
      <c r="X227" s="289">
        <v>15.309134801608577</v>
      </c>
      <c r="Y227" s="289">
        <v>18.059512494475193</v>
      </c>
      <c r="Z227" s="289">
        <v>26.070268070816564</v>
      </c>
      <c r="AA227" s="289">
        <v>29.567553633043818</v>
      </c>
      <c r="AB227" s="289">
        <v>15.907697074373944</v>
      </c>
      <c r="AC227" s="289">
        <v>18.640078458956463</v>
      </c>
      <c r="AD227" s="289">
        <v>14.881234804021172</v>
      </c>
      <c r="AE227" s="289">
        <v>12.744997768285621</v>
      </c>
      <c r="AF227" s="289">
        <v>18.228964951599242</v>
      </c>
      <c r="AG227" s="289">
        <v>21.099840077413155</v>
      </c>
      <c r="AH227" s="289">
        <v>17.436362658856584</v>
      </c>
      <c r="AI227" s="289">
        <v>8.7405207381535917</v>
      </c>
      <c r="AJ227" s="289">
        <v>6.8094544710391895</v>
      </c>
      <c r="AK227" s="289">
        <v>8.3847327005938865</v>
      </c>
      <c r="AL227" s="289">
        <v>9.6623212960318199</v>
      </c>
      <c r="AM227" s="289">
        <v>8.7750443824499094</v>
      </c>
      <c r="AN227" s="289">
        <v>9.4119662279700798</v>
      </c>
      <c r="AO227" s="289">
        <v>8.0783888986940902</v>
      </c>
      <c r="AP227" s="289">
        <v>15.974617499823731</v>
      </c>
      <c r="AQ227" s="289">
        <v>16.935933280305598</v>
      </c>
      <c r="AR227" s="289">
        <v>19.199966255682895</v>
      </c>
      <c r="AS227" s="289">
        <v>18.135683043160775</v>
      </c>
      <c r="AT227" s="289">
        <v>42.493869157803417</v>
      </c>
      <c r="AU227" s="289">
        <v>14.119491105706182</v>
      </c>
      <c r="AV227" s="289">
        <v>44.394891116630433</v>
      </c>
      <c r="AW227" s="289">
        <v>28.10017564221819</v>
      </c>
      <c r="AX227" s="289">
        <v>9.6398712811033</v>
      </c>
      <c r="AY227" s="289">
        <v>10.611860586185607</v>
      </c>
      <c r="AZ227" s="289">
        <v>10.026866318440812</v>
      </c>
      <c r="BA227" s="289">
        <v>26.558948652302529</v>
      </c>
      <c r="BB227" s="289">
        <v>18.995972222706378</v>
      </c>
      <c r="BC227" s="289">
        <v>19.896372231463872</v>
      </c>
      <c r="BD227" s="289">
        <v>20.316244378370342</v>
      </c>
      <c r="BE227" s="289">
        <v>20.631826866646698</v>
      </c>
    </row>
    <row r="228" spans="1:57">
      <c r="A228" s="289" t="s">
        <v>1913</v>
      </c>
      <c r="C228" s="289" t="s">
        <v>2462</v>
      </c>
      <c r="F228" s="289">
        <v>2.5273799494524005</v>
      </c>
      <c r="G228" s="289">
        <v>2.2598870056497176</v>
      </c>
      <c r="H228" s="289">
        <v>4.9250753696988605</v>
      </c>
      <c r="I228" s="289">
        <v>5.6868982668260335</v>
      </c>
      <c r="J228" s="289">
        <v>5.8976290158152</v>
      </c>
      <c r="K228" s="289">
        <v>7.496101806119623</v>
      </c>
      <c r="L228" s="289">
        <v>10.309197085269469</v>
      </c>
      <c r="M228" s="289">
        <v>8.6493870887864972</v>
      </c>
      <c r="N228" s="289">
        <v>6.9254752231259191</v>
      </c>
      <c r="O228" s="289">
        <v>6.0135124748027078</v>
      </c>
      <c r="P228" s="289">
        <v>5.5075010261240047</v>
      </c>
      <c r="Q228" s="289">
        <v>5.528964039909134</v>
      </c>
      <c r="R228" s="289">
        <v>5.9262057556258974</v>
      </c>
      <c r="S228" s="289">
        <v>5.7402472105670714</v>
      </c>
      <c r="T228" s="289">
        <v>4.0204305094010291</v>
      </c>
      <c r="U228" s="289">
        <v>4.9755470892205302</v>
      </c>
      <c r="V228" s="289">
        <v>6.1260553980836256</v>
      </c>
      <c r="W228" s="289">
        <v>5.0848407167249814</v>
      </c>
      <c r="X228" s="289">
        <v>6.9571515193964073</v>
      </c>
      <c r="Y228" s="289">
        <v>6.5014247376339318</v>
      </c>
      <c r="Z228" s="289">
        <v>5.5883296414669363</v>
      </c>
      <c r="AA228" s="289">
        <v>7.887187951316176</v>
      </c>
      <c r="AB228" s="289">
        <v>11.889743671323517</v>
      </c>
      <c r="AC228" s="289">
        <v>10.735781113358</v>
      </c>
      <c r="AD228" s="289">
        <v>9.4596792594289489</v>
      </c>
      <c r="AE228" s="289">
        <v>8.6697931463772626</v>
      </c>
      <c r="AF228" s="289">
        <v>8.0188977237555612</v>
      </c>
      <c r="AG228" s="289">
        <v>9.7616579000714214</v>
      </c>
      <c r="AH228" s="289">
        <v>10.003353701550076</v>
      </c>
      <c r="AI228" s="289">
        <v>6.6849482933827487</v>
      </c>
      <c r="AJ228" s="289">
        <v>4.8774057486975932</v>
      </c>
      <c r="AK228" s="289">
        <v>3.2097445583462845</v>
      </c>
      <c r="AL228" s="289">
        <v>2.2809780532040045</v>
      </c>
      <c r="AM228" s="289">
        <v>2.1810803956378391</v>
      </c>
      <c r="AN228" s="289">
        <v>1.1551049461599645</v>
      </c>
      <c r="AO228" s="289">
        <v>2.9032843404100892</v>
      </c>
      <c r="AP228" s="289">
        <v>2.6471127406049493</v>
      </c>
      <c r="AQ228" s="289">
        <v>2.7996742128000083</v>
      </c>
      <c r="AR228" s="289">
        <v>2.1374457385879104</v>
      </c>
      <c r="AS228" s="289">
        <v>3.2516910112039414</v>
      </c>
      <c r="AT228" s="289">
        <v>14.852765649656169</v>
      </c>
      <c r="AU228" s="289">
        <v>36.941911626084313</v>
      </c>
      <c r="AV228" s="289">
        <v>15.946297147032233</v>
      </c>
      <c r="AW228" s="289">
        <v>14.535916868011709</v>
      </c>
      <c r="AX228" s="289">
        <v>10.439705415393453</v>
      </c>
      <c r="AY228" s="289">
        <v>5.4991739767369845</v>
      </c>
      <c r="AZ228" s="289">
        <v>2.3551920851843002</v>
      </c>
      <c r="BA228" s="289">
        <v>2.3562990031505087</v>
      </c>
      <c r="BB228" s="289">
        <v>2.6319795214308042</v>
      </c>
      <c r="BC228" s="289">
        <v>1.4064190088296924</v>
      </c>
      <c r="BD228" s="289">
        <v>2.4122753867029467</v>
      </c>
      <c r="BE228" s="289">
        <v>2.3117061513482717</v>
      </c>
    </row>
    <row r="229" spans="1:57">
      <c r="A229" s="289" t="s">
        <v>1914</v>
      </c>
      <c r="C229" s="289" t="s">
        <v>2462</v>
      </c>
      <c r="F229" s="289">
        <v>22.409435551811288</v>
      </c>
      <c r="G229" s="289">
        <v>22.598870056497173</v>
      </c>
      <c r="H229" s="289">
        <v>25.96858009544237</v>
      </c>
      <c r="I229" s="289">
        <v>30.631700501385506</v>
      </c>
      <c r="J229" s="289">
        <v>30.035348709763859</v>
      </c>
      <c r="K229" s="289">
        <v>30.149760934920192</v>
      </c>
      <c r="L229" s="289">
        <v>33.466802455986318</v>
      </c>
      <c r="M229" s="289">
        <v>32.508089957564337</v>
      </c>
      <c r="N229" s="289">
        <v>32.642073570581388</v>
      </c>
      <c r="O229" s="289">
        <v>33.442052801532292</v>
      </c>
      <c r="P229" s="289">
        <v>52.950687836607955</v>
      </c>
      <c r="Q229" s="289">
        <v>49.245555498103904</v>
      </c>
      <c r="R229" s="289">
        <v>32.023259537761589</v>
      </c>
      <c r="S229" s="289">
        <v>23.945030506208589</v>
      </c>
      <c r="T229" s="289">
        <v>21.534966584782147</v>
      </c>
      <c r="U229" s="289">
        <v>19.12411939652754</v>
      </c>
      <c r="V229" s="289">
        <v>19.564481387288701</v>
      </c>
      <c r="W229" s="289">
        <v>18.871204816968081</v>
      </c>
      <c r="X229" s="289">
        <v>22.266286321004984</v>
      </c>
      <c r="Y229" s="289">
        <v>24.560937232109126</v>
      </c>
      <c r="Z229" s="289">
        <v>31.658597712283502</v>
      </c>
      <c r="AA229" s="289">
        <v>37.454741584359994</v>
      </c>
      <c r="AB229" s="289">
        <v>27.797440745697461</v>
      </c>
      <c r="AC229" s="289">
        <v>29.375859572314461</v>
      </c>
      <c r="AD229" s="289">
        <v>24.340914063450121</v>
      </c>
      <c r="AE229" s="289">
        <v>21.414790914662884</v>
      </c>
      <c r="AF229" s="289">
        <v>26.247862675354803</v>
      </c>
      <c r="AG229" s="289">
        <v>30.861497977484575</v>
      </c>
      <c r="AH229" s="289">
        <v>27.43971636040666</v>
      </c>
      <c r="AI229" s="289">
        <v>15.425469031536341</v>
      </c>
      <c r="AJ229" s="289">
        <v>11.686860219736783</v>
      </c>
      <c r="AK229" s="289">
        <v>11.59447725894017</v>
      </c>
      <c r="AL229" s="289">
        <v>11.943299349235824</v>
      </c>
      <c r="AM229" s="289">
        <v>10.956124778087748</v>
      </c>
      <c r="AN229" s="289">
        <v>10.567071174130044</v>
      </c>
      <c r="AO229" s="289">
        <v>10.981673239104179</v>
      </c>
      <c r="AP229" s="289">
        <v>18.621730240428679</v>
      </c>
      <c r="AQ229" s="289">
        <v>19.735607493105604</v>
      </c>
      <c r="AR229" s="289">
        <v>21.337411994270806</v>
      </c>
      <c r="AS229" s="289">
        <v>21.387374054364717</v>
      </c>
      <c r="AT229" s="289">
        <v>57.346634807459587</v>
      </c>
      <c r="AU229" s="289">
        <v>51.061402731790494</v>
      </c>
      <c r="AV229" s="289">
        <v>60.341188263662666</v>
      </c>
      <c r="AW229" s="289">
        <v>42.636092510229901</v>
      </c>
      <c r="AX229" s="289">
        <v>20.079576696496751</v>
      </c>
      <c r="AY229" s="289">
        <v>16.11103456292259</v>
      </c>
      <c r="AZ229" s="289">
        <v>12.382058403625113</v>
      </c>
      <c r="BA229" s="289">
        <v>28.915247655453037</v>
      </c>
      <c r="BB229" s="289">
        <v>21.627951744137182</v>
      </c>
      <c r="BC229" s="289">
        <v>21.302791240293566</v>
      </c>
      <c r="BD229" s="289">
        <v>22.72851976507329</v>
      </c>
      <c r="BE229" s="289">
        <v>22.943533017994969</v>
      </c>
    </row>
    <row r="230" spans="1:57">
      <c r="A230" s="289" t="s">
        <v>860</v>
      </c>
      <c r="C230" s="289" t="s">
        <v>2462</v>
      </c>
      <c r="F230" s="289">
        <v>52.485256950294854</v>
      </c>
      <c r="G230" s="289">
        <v>46.408393866020987</v>
      </c>
      <c r="H230" s="289">
        <v>51.862536839404207</v>
      </c>
      <c r="I230" s="289">
        <v>50.406597181606273</v>
      </c>
      <c r="J230" s="289">
        <v>44.445018611777108</v>
      </c>
      <c r="K230" s="289">
        <v>49.606554678482887</v>
      </c>
      <c r="L230" s="289">
        <v>49.819322972584999</v>
      </c>
      <c r="M230" s="289">
        <v>45.87090951551064</v>
      </c>
      <c r="N230" s="289">
        <v>43.999853993251541</v>
      </c>
      <c r="O230" s="289">
        <v>45.209501500930863</v>
      </c>
      <c r="P230" s="289">
        <v>42.801152032132208</v>
      </c>
      <c r="Q230" s="289">
        <v>45.399317508351743</v>
      </c>
      <c r="R230" s="289">
        <v>53.145562650078425</v>
      </c>
      <c r="S230" s="289">
        <v>52.435401765010397</v>
      </c>
      <c r="T230" s="289">
        <v>52.436680246902355</v>
      </c>
      <c r="U230" s="289">
        <v>57.269984579636684</v>
      </c>
      <c r="V230" s="289">
        <v>57.098727056121504</v>
      </c>
      <c r="W230" s="289">
        <v>60.892759930363226</v>
      </c>
      <c r="X230" s="289">
        <v>61.950967573610342</v>
      </c>
      <c r="Y230" s="289">
        <v>56.612645689202672</v>
      </c>
      <c r="Z230" s="289">
        <v>70.131605476053835</v>
      </c>
      <c r="AA230" s="289">
        <v>62.06822433529328</v>
      </c>
      <c r="AB230" s="289">
        <v>61.089911643818539</v>
      </c>
      <c r="AC230" s="289">
        <v>55.132845575950846</v>
      </c>
      <c r="AD230" s="289">
        <v>55.310062178282593</v>
      </c>
      <c r="AE230" s="289">
        <v>58.563105813363485</v>
      </c>
      <c r="AF230" s="289">
        <v>68.287626450855782</v>
      </c>
      <c r="AG230" s="289">
        <v>56.154280536308747</v>
      </c>
      <c r="AH230" s="289">
        <v>49.194604041612315</v>
      </c>
      <c r="AI230" s="289">
        <v>43.333239968233087</v>
      </c>
      <c r="AJ230" s="289">
        <v>43.592887895412083</v>
      </c>
      <c r="AK230" s="289">
        <v>38.558285889617288</v>
      </c>
      <c r="AL230" s="289">
        <v>35.672397281640357</v>
      </c>
      <c r="AM230" s="289">
        <v>35.161045508852709</v>
      </c>
      <c r="AN230" s="289">
        <v>32.993220317739514</v>
      </c>
      <c r="AO230" s="289">
        <v>36.472509526401744</v>
      </c>
      <c r="AP230" s="289">
        <v>24.496932947895367</v>
      </c>
      <c r="AQ230" s="289">
        <v>15.653503403142611</v>
      </c>
      <c r="AR230" s="289">
        <v>11.904041432152834</v>
      </c>
      <c r="AS230" s="289">
        <v>120.97049267872944</v>
      </c>
      <c r="AT230" s="289">
        <v>156.54259603434386</v>
      </c>
      <c r="AU230" s="289">
        <v>98.859387337508906</v>
      </c>
      <c r="AV230" s="289">
        <v>63.592265360784182</v>
      </c>
      <c r="AW230" s="289">
        <v>52.926127178902689</v>
      </c>
      <c r="AX230" s="289">
        <v>35.49584839547726</v>
      </c>
      <c r="AY230" s="289">
        <v>46.165377297993167</v>
      </c>
      <c r="AZ230" s="289">
        <v>54.899039338559298</v>
      </c>
      <c r="BA230" s="289">
        <v>64.548814847364753</v>
      </c>
      <c r="BB230" s="289">
        <v>36.429326432777486</v>
      </c>
      <c r="BC230" s="289">
        <v>42.411616034952907</v>
      </c>
      <c r="BD230" s="289">
        <v>51.960342968414665</v>
      </c>
      <c r="BE230" s="289">
        <v>51.697245371810283</v>
      </c>
    </row>
    <row r="231" spans="1:57">
      <c r="A231" s="289" t="s">
        <v>861</v>
      </c>
      <c r="C231" s="289" t="s">
        <v>2462</v>
      </c>
      <c r="F231" s="289">
        <v>47.85172704296545</v>
      </c>
      <c r="G231" s="289">
        <v>45.520581113801441</v>
      </c>
      <c r="H231" s="289">
        <v>51.93715805592204</v>
      </c>
      <c r="I231" s="289">
        <v>52.345311456332794</v>
      </c>
      <c r="J231" s="289">
        <v>48.275438518142046</v>
      </c>
      <c r="K231" s="289">
        <v>53.575077370681619</v>
      </c>
      <c r="L231" s="289">
        <v>57.792447739386795</v>
      </c>
      <c r="M231" s="289">
        <v>55.73509937230461</v>
      </c>
      <c r="N231" s="289">
        <v>54.388066717862955</v>
      </c>
      <c r="O231" s="289">
        <v>55.203181357703116</v>
      </c>
      <c r="P231" s="289">
        <v>68.056979404271956</v>
      </c>
      <c r="Q231" s="289">
        <v>68.305024042012761</v>
      </c>
      <c r="R231" s="289">
        <v>53.770805328399021</v>
      </c>
      <c r="S231" s="289">
        <v>51.990239043765946</v>
      </c>
      <c r="T231" s="289">
        <v>47.154520599074701</v>
      </c>
      <c r="U231" s="289">
        <v>50.042128833392468</v>
      </c>
      <c r="V231" s="289">
        <v>51.031015126242423</v>
      </c>
      <c r="W231" s="289">
        <v>51.725720751183026</v>
      </c>
      <c r="X231" s="289">
        <v>53.888156480763627</v>
      </c>
      <c r="Y231" s="289">
        <v>54.806696461573054</v>
      </c>
      <c r="Z231" s="289">
        <v>69.124929210672391</v>
      </c>
      <c r="AA231" s="289">
        <v>66.279877378357639</v>
      </c>
      <c r="AB231" s="289">
        <v>63.274872021369234</v>
      </c>
      <c r="AC231" s="289">
        <v>67.177560644475449</v>
      </c>
      <c r="AD231" s="289">
        <v>60.551465746385645</v>
      </c>
      <c r="AE231" s="289">
        <v>59.214730661104099</v>
      </c>
      <c r="AF231" s="289">
        <v>75.152589557466527</v>
      </c>
      <c r="AG231" s="289">
        <v>69.800804547140416</v>
      </c>
      <c r="AH231" s="289">
        <v>65.140252180132975</v>
      </c>
      <c r="AI231" s="289">
        <v>56.803872765855694</v>
      </c>
      <c r="AJ231" s="289">
        <v>51.972170077807775</v>
      </c>
      <c r="AK231" s="289">
        <v>45.570448588197941</v>
      </c>
      <c r="AL231" s="289">
        <v>48.920388552071614</v>
      </c>
      <c r="AM231" s="289">
        <v>58.48338823466019</v>
      </c>
      <c r="AN231" s="289">
        <v>61.26334381115069</v>
      </c>
      <c r="AO231" s="289">
        <v>77.811649442259835</v>
      </c>
      <c r="AP231" s="289">
        <v>78.950856659380946</v>
      </c>
      <c r="AQ231" s="289">
        <v>95.804775354484107</v>
      </c>
      <c r="AR231" s="289">
        <v>99.611756960223914</v>
      </c>
      <c r="AS231" s="289">
        <v>161.57592719676785</v>
      </c>
      <c r="AT231" s="289">
        <v>189.14917999920962</v>
      </c>
      <c r="AU231" s="289">
        <v>112.17908367560273</v>
      </c>
      <c r="AV231" s="289">
        <v>91.910713452791569</v>
      </c>
      <c r="AW231" s="289">
        <v>66.807711828310886</v>
      </c>
      <c r="AX231" s="289">
        <v>48.285650943756465</v>
      </c>
      <c r="AY231" s="289">
        <v>52.291449249036923</v>
      </c>
      <c r="AZ231" s="289">
        <v>55.690443829525201</v>
      </c>
      <c r="BA231" s="289">
        <v>66.457033520664652</v>
      </c>
      <c r="BB231" s="289">
        <v>46.229165383657509</v>
      </c>
      <c r="BC231" s="289">
        <v>53.144431586548279</v>
      </c>
      <c r="BD231" s="289">
        <v>59.945146531382036</v>
      </c>
      <c r="BE231" s="289">
        <v>61.305270519258571</v>
      </c>
    </row>
    <row r="233" spans="1:57">
      <c r="A233" s="289" t="s">
        <v>862</v>
      </c>
    </row>
    <row r="234" spans="1:57">
      <c r="A234" s="289" t="s">
        <v>767</v>
      </c>
      <c r="C234" s="289" t="s">
        <v>1410</v>
      </c>
      <c r="AX234" s="289">
        <v>-43.133999999999986</v>
      </c>
      <c r="AY234" s="289">
        <v>-67.546999999999997</v>
      </c>
      <c r="AZ234" s="289">
        <v>-151.66999999999999</v>
      </c>
      <c r="BA234" s="289">
        <v>22.688999999999965</v>
      </c>
      <c r="BB234" s="289">
        <v>-142.78100000000012</v>
      </c>
      <c r="BC234" s="289">
        <v>30.677913631594663</v>
      </c>
      <c r="BD234" s="289">
        <v>60.939301012303559</v>
      </c>
      <c r="BE234" s="289">
        <v>85.10008318213896</v>
      </c>
    </row>
    <row r="235" spans="1:57">
      <c r="A235" s="289" t="s">
        <v>768</v>
      </c>
      <c r="C235" s="289" t="s">
        <v>1410</v>
      </c>
      <c r="E235" s="289" t="s">
        <v>1680</v>
      </c>
      <c r="G235" s="289">
        <v>-1.4999999999999927E-3</v>
      </c>
      <c r="H235" s="289">
        <v>-1.0449336200952522E-2</v>
      </c>
      <c r="I235" s="289">
        <v>-1.3659332871437073E-2</v>
      </c>
      <c r="J235" s="289">
        <v>-1.5412008464336392E-2</v>
      </c>
      <c r="K235" s="289">
        <v>-3.0365903556346892E-2</v>
      </c>
      <c r="L235" s="289">
        <v>-4.4132147431373593E-2</v>
      </c>
      <c r="M235" s="289">
        <v>-4.8492728054523461E-2</v>
      </c>
      <c r="N235" s="289">
        <v>-5.2527533769607539E-2</v>
      </c>
      <c r="O235" s="289">
        <v>-5.5376040369272239E-2</v>
      </c>
      <c r="P235" s="289">
        <v>-9.6779330432415017E-2</v>
      </c>
      <c r="Q235" s="289">
        <v>-9.9533997178077691E-2</v>
      </c>
      <c r="R235" s="289">
        <v>-3.6612001657485981E-2</v>
      </c>
      <c r="S235" s="289">
        <v>-3.7533997893333448E-2</v>
      </c>
      <c r="T235" s="289">
        <v>-4.817500871419908E-2</v>
      </c>
      <c r="U235" s="289">
        <v>-4.6040982067585029E-2</v>
      </c>
      <c r="V235" s="289">
        <v>-4.3810997605323851E-2</v>
      </c>
      <c r="W235" s="289">
        <v>-3.4549984395503969E-2</v>
      </c>
      <c r="X235" s="289">
        <v>-3.0800000764429566E-2</v>
      </c>
      <c r="Y235" s="289">
        <v>-5.5200013257563185E-2</v>
      </c>
      <c r="Z235" s="289">
        <v>-5.1499978542327837E-2</v>
      </c>
      <c r="AA235" s="289">
        <v>-8.8399962544441241E-2</v>
      </c>
      <c r="AB235" s="289">
        <v>-8.5499996542930487E-2</v>
      </c>
      <c r="AC235" s="289">
        <v>-0.21179996049404151</v>
      </c>
      <c r="AD235" s="289">
        <v>-0.12319999909400935</v>
      </c>
      <c r="AE235" s="289">
        <v>-6.760001623630521E-2</v>
      </c>
      <c r="AF235" s="289">
        <v>-0.12620004916191102</v>
      </c>
      <c r="AG235" s="289">
        <v>-0.21289999115467098</v>
      </c>
      <c r="AH235" s="289">
        <v>-0.28549995166063319</v>
      </c>
      <c r="AI235" s="289">
        <v>-0.27389999616146099</v>
      </c>
      <c r="AJ235" s="289">
        <v>-0.13482503652572622</v>
      </c>
      <c r="AK235" s="289">
        <v>-4.3900986194610567E-2</v>
      </c>
      <c r="AL235" s="289">
        <v>-4.1779785379768147E-3</v>
      </c>
      <c r="AM235" s="289">
        <v>0.17390003750473265</v>
      </c>
      <c r="AN235" s="289">
        <v>0.25965003619343063</v>
      </c>
      <c r="AO235" s="289">
        <v>3.2080003976822154E-2</v>
      </c>
      <c r="AP235" s="289">
        <v>-3.2999999999998829E-3</v>
      </c>
      <c r="AQ235" s="289">
        <v>-0.16969999999999941</v>
      </c>
      <c r="AR235" s="289">
        <v>-4.4799999999999555E-2</v>
      </c>
      <c r="AS235" s="289">
        <v>2.8863000000000039</v>
      </c>
      <c r="AT235" s="289">
        <v>10.700199999999976</v>
      </c>
      <c r="AU235" s="289">
        <v>26.996299999999991</v>
      </c>
      <c r="AV235" s="289">
        <v>-31.256000000000011</v>
      </c>
      <c r="AW235" s="289">
        <v>-26.998999999999995</v>
      </c>
      <c r="AX235" s="289">
        <v>-61.2712</v>
      </c>
      <c r="AY235" s="289">
        <v>-49.52260000000004</v>
      </c>
      <c r="AZ235" s="289">
        <v>-75.175699999999992</v>
      </c>
      <c r="BA235" s="289">
        <v>-265.67599999999999</v>
      </c>
      <c r="BB235" s="289">
        <v>-375.50330000000008</v>
      </c>
      <c r="BC235" s="289">
        <v>-506.74352176982438</v>
      </c>
      <c r="BD235" s="289">
        <v>-465.83619415836495</v>
      </c>
      <c r="BE235" s="289">
        <v>-557.69861531310494</v>
      </c>
    </row>
    <row r="236" spans="1:57">
      <c r="A236" s="289" t="s">
        <v>769</v>
      </c>
      <c r="C236" s="289" t="s">
        <v>1410</v>
      </c>
      <c r="F236" s="289">
        <v>0.11870000000000001</v>
      </c>
      <c r="G236" s="289">
        <v>0.1239</v>
      </c>
      <c r="H236" s="289">
        <v>0.13400809955596923</v>
      </c>
      <c r="I236" s="289">
        <v>0.15474164962768555</v>
      </c>
      <c r="J236" s="289">
        <v>0.16447287178039552</v>
      </c>
      <c r="K236" s="289">
        <v>0.18142763710021972</v>
      </c>
      <c r="L236" s="289">
        <v>0.19691154479980469</v>
      </c>
      <c r="M236" s="289">
        <v>0.20579491996765137</v>
      </c>
      <c r="N236" s="289">
        <v>0.21659163475036622</v>
      </c>
      <c r="O236" s="289">
        <v>0.23114610099792482</v>
      </c>
      <c r="P236" s="289">
        <v>0.25419877243041994</v>
      </c>
      <c r="Q236" s="289">
        <v>0.29119379806518553</v>
      </c>
      <c r="R236" s="289">
        <v>0.36785761642456055</v>
      </c>
      <c r="S236" s="289">
        <v>0.42681088638305664</v>
      </c>
      <c r="T236" s="289">
        <v>0.46761159515380862</v>
      </c>
      <c r="U236" s="289">
        <v>0.48838848876953128</v>
      </c>
      <c r="V236" s="289">
        <v>0.51419711303710935</v>
      </c>
      <c r="W236" s="289">
        <v>0.55852289581298831</v>
      </c>
      <c r="X236" s="289">
        <v>0.58788430023193361</v>
      </c>
      <c r="Y236" s="289">
        <v>0.63678352355957035</v>
      </c>
      <c r="Z236" s="289">
        <v>0.77482901000976567</v>
      </c>
      <c r="AA236" s="289">
        <v>0.93075002288818354</v>
      </c>
      <c r="AB236" s="289">
        <v>1.0114600067138673</v>
      </c>
      <c r="AC236" s="289">
        <v>1.282719955444336</v>
      </c>
      <c r="AD236" s="289">
        <v>1.4709800415039063</v>
      </c>
      <c r="AE236" s="289">
        <v>1.5653200073242188</v>
      </c>
      <c r="AF236" s="289">
        <v>1.6023399963378906</v>
      </c>
      <c r="AG236" s="289">
        <v>1.7982600402832032</v>
      </c>
      <c r="AH236" s="289">
        <v>1.8487799987792968</v>
      </c>
      <c r="AI236" s="289">
        <v>1.7868499755859375</v>
      </c>
      <c r="AJ236" s="289">
        <v>1.7447799682617187</v>
      </c>
      <c r="AK236" s="289">
        <v>1.741260040283203</v>
      </c>
      <c r="AL236" s="289">
        <v>1.7904600219726563</v>
      </c>
      <c r="AM236" s="289">
        <v>1.9715</v>
      </c>
      <c r="AN236" s="289">
        <v>2.3374499511718749</v>
      </c>
      <c r="AO236" s="289">
        <v>2.7554999999999996</v>
      </c>
      <c r="AP236" s="289">
        <v>3.54575</v>
      </c>
      <c r="AQ236" s="289">
        <v>4.1990599999999993</v>
      </c>
      <c r="AR236" s="289">
        <v>5.4527699999999992</v>
      </c>
      <c r="AS236" s="289">
        <v>12.28407</v>
      </c>
      <c r="AT236" s="289">
        <v>48.333490000000005</v>
      </c>
      <c r="AU236" s="289">
        <v>232.11736000000002</v>
      </c>
      <c r="AV236" s="289">
        <v>304.00694000000004</v>
      </c>
      <c r="AW236" s="289">
        <v>369.09691000000004</v>
      </c>
      <c r="AX236" s="289">
        <v>470.59757000000002</v>
      </c>
      <c r="AY236" s="289">
        <v>788.90030000000002</v>
      </c>
      <c r="AZ236" s="289">
        <v>1167.633</v>
      </c>
      <c r="BA236" s="289">
        <v>1663.5409999999999</v>
      </c>
      <c r="BB236" s="289">
        <v>2581.8209999999999</v>
      </c>
      <c r="BC236" s="289">
        <v>3389.2460000000001</v>
      </c>
      <c r="BD236" s="289">
        <v>4107.317</v>
      </c>
      <c r="BE236" s="289">
        <v>4478.689811982882</v>
      </c>
    </row>
    <row r="238" spans="1:57">
      <c r="A238" s="289" t="s">
        <v>2153</v>
      </c>
      <c r="C238" s="289" t="s">
        <v>2154</v>
      </c>
      <c r="F238" s="289">
        <v>1645.8643544163469</v>
      </c>
      <c r="G238" s="289">
        <v>1674.3573412099252</v>
      </c>
      <c r="H238" s="289">
        <v>1776.6849404613731</v>
      </c>
      <c r="I238" s="289">
        <v>1731.633228988188</v>
      </c>
      <c r="J238" s="289">
        <v>1680.0369812079457</v>
      </c>
      <c r="K238" s="289">
        <v>1789.3598524913969</v>
      </c>
      <c r="L238" s="289">
        <v>1757.0431421720195</v>
      </c>
      <c r="M238" s="289">
        <v>1755.3947944069696</v>
      </c>
      <c r="N238" s="289">
        <v>1730.2776088539615</v>
      </c>
      <c r="O238" s="289">
        <v>1852.6202483529257</v>
      </c>
      <c r="P238" s="289">
        <v>2071.2534134106763</v>
      </c>
      <c r="Q238" s="289">
        <v>2222.0236103305842</v>
      </c>
      <c r="R238" s="289">
        <v>2481.6997816486469</v>
      </c>
      <c r="S238" s="289">
        <v>2591.725941460531</v>
      </c>
      <c r="T238" s="289">
        <v>2633.0920798622478</v>
      </c>
      <c r="U238" s="289">
        <v>2531.7279124706888</v>
      </c>
      <c r="V238" s="289">
        <v>2503.4367462272789</v>
      </c>
      <c r="W238" s="289">
        <v>2778.8266620231261</v>
      </c>
      <c r="X238" s="289">
        <v>2827.1602455767074</v>
      </c>
      <c r="Y238" s="289">
        <v>3003.0140557084997</v>
      </c>
      <c r="Z238" s="289">
        <v>3317.4812547923125</v>
      </c>
      <c r="AA238" s="289">
        <v>3481.9172516667995</v>
      </c>
      <c r="AB238" s="289">
        <v>3370.1650387443237</v>
      </c>
      <c r="AC238" s="289">
        <v>3601.3336984127513</v>
      </c>
      <c r="AD238" s="289">
        <v>3819.1536157348928</v>
      </c>
      <c r="AE238" s="289">
        <v>3944.2729786618997</v>
      </c>
      <c r="AF238" s="289">
        <v>3987.3326827533251</v>
      </c>
      <c r="AG238" s="289">
        <v>4076.5273592548538</v>
      </c>
      <c r="AH238" s="289">
        <v>3882.2574268671351</v>
      </c>
      <c r="AI238" s="289">
        <v>3557.927182690064</v>
      </c>
      <c r="AJ238" s="289">
        <v>3231.3795554530279</v>
      </c>
      <c r="AK238" s="289">
        <v>3207.5212553652555</v>
      </c>
      <c r="AL238" s="289">
        <v>2505.3589106195182</v>
      </c>
      <c r="AM238" s="289">
        <v>2094.8875738777629</v>
      </c>
      <c r="AN238" s="289">
        <v>2111.9807191870896</v>
      </c>
      <c r="AO238" s="289">
        <v>2021.1122156988142</v>
      </c>
      <c r="AP238" s="289">
        <v>2674.9690965123114</v>
      </c>
      <c r="AQ238" s="289">
        <v>2953.3553204394716</v>
      </c>
      <c r="AR238" s="289">
        <v>2768.1086990391132</v>
      </c>
      <c r="AS238" s="289">
        <v>2271.8787204870082</v>
      </c>
      <c r="AT238" s="289">
        <v>2031.3682418166102</v>
      </c>
      <c r="AU238" s="289">
        <v>1767.340292650704</v>
      </c>
      <c r="AV238" s="289">
        <v>2338.8260802309946</v>
      </c>
      <c r="AW238" s="289">
        <v>2387.5945472753633</v>
      </c>
      <c r="AX238" s="289">
        <v>2466.2659764111618</v>
      </c>
      <c r="AY238" s="289">
        <v>2170.0332568751214</v>
      </c>
      <c r="AZ238" s="289">
        <v>1886.7738852666416</v>
      </c>
      <c r="BA238" s="289">
        <v>1970.7658242311288</v>
      </c>
      <c r="BB238" s="289">
        <v>3027.3710699690878</v>
      </c>
      <c r="BC238" s="289">
        <v>3171.8294459806853</v>
      </c>
      <c r="BD238" s="289">
        <v>3390.5371862600578</v>
      </c>
      <c r="BE238" s="289">
        <v>3407.4849294633668</v>
      </c>
    </row>
    <row r="240" spans="1:57">
      <c r="A240" s="289" t="s">
        <v>2929</v>
      </c>
    </row>
    <row r="241" spans="1:57">
      <c r="A241" s="289" t="s">
        <v>3987</v>
      </c>
      <c r="C241" s="289" t="s">
        <v>2219</v>
      </c>
    </row>
    <row r="242" spans="1:57">
      <c r="A242" s="289" t="s">
        <v>3438</v>
      </c>
      <c r="C242" s="289" t="s">
        <v>2441</v>
      </c>
      <c r="F242" s="289">
        <v>33.050397877984082</v>
      </c>
      <c r="G242" s="289">
        <v>30.50397877984085</v>
      </c>
      <c r="H242" s="289">
        <v>36.870026525198945</v>
      </c>
      <c r="I242" s="289">
        <v>41.379310344827587</v>
      </c>
      <c r="J242" s="289">
        <v>38.779840039321535</v>
      </c>
      <c r="K242" s="289">
        <v>47.745358090185675</v>
      </c>
      <c r="L242" s="289">
        <v>52.042439508817559</v>
      </c>
      <c r="M242" s="289">
        <v>50.079576406301811</v>
      </c>
      <c r="N242" s="289">
        <v>50.557030796688494</v>
      </c>
      <c r="O242" s="289">
        <v>55.437665782493369</v>
      </c>
      <c r="P242" s="289">
        <v>57.718834510216347</v>
      </c>
      <c r="Q242" s="289">
        <v>70.1326243757253</v>
      </c>
      <c r="R242" s="289">
        <v>103.71352785145889</v>
      </c>
      <c r="S242" s="289">
        <v>118.72679206989805</v>
      </c>
      <c r="T242" s="289">
        <v>130.0795739778473</v>
      </c>
      <c r="U242" s="289">
        <v>148.38196934060011</v>
      </c>
      <c r="V242" s="289">
        <v>155.7559714077006</v>
      </c>
      <c r="W242" s="289">
        <v>180.42440642096321</v>
      </c>
      <c r="X242" s="289">
        <v>204.03362028405112</v>
      </c>
      <c r="Y242" s="289">
        <v>201.9607843137255</v>
      </c>
      <c r="Z242" s="289">
        <v>304.42578398546925</v>
      </c>
      <c r="AA242" s="289">
        <v>323.64146342130607</v>
      </c>
      <c r="AB242" s="289">
        <v>346.16247866334038</v>
      </c>
      <c r="AC242" s="289">
        <v>396.19048302914916</v>
      </c>
      <c r="AD242" s="289">
        <v>455.7983056503852</v>
      </c>
      <c r="AE242" s="289">
        <v>513.55742980786067</v>
      </c>
      <c r="AF242" s="289">
        <v>612.99717152485994</v>
      </c>
      <c r="AG242" s="289">
        <v>565.71427887561276</v>
      </c>
      <c r="AH242" s="289">
        <v>509.52380952380952</v>
      </c>
      <c r="AI242" s="289">
        <v>433.78150576636904</v>
      </c>
      <c r="AJ242" s="289">
        <v>426.10642889968489</v>
      </c>
      <c r="AK242" s="289">
        <v>376.13446745885858</v>
      </c>
      <c r="AL242" s="289">
        <v>357.81513288909315</v>
      </c>
      <c r="AM242" s="289">
        <v>388.34734577424717</v>
      </c>
      <c r="AN242" s="289">
        <v>432.04482476584388</v>
      </c>
      <c r="AO242" s="289">
        <v>563.02521008403357</v>
      </c>
      <c r="AP242" s="289">
        <v>486.61064425770314</v>
      </c>
      <c r="AQ242" s="289">
        <v>368.23529411764707</v>
      </c>
      <c r="AR242" s="289">
        <v>363.64145658263305</v>
      </c>
      <c r="AS242" s="289">
        <v>8324.9859943977608</v>
      </c>
      <c r="AT242" s="289">
        <v>562.05545341430343</v>
      </c>
      <c r="AU242" s="289">
        <v>519.87403572763628</v>
      </c>
      <c r="AV242" s="289">
        <v>481.77658712852781</v>
      </c>
      <c r="AW242" s="289">
        <v>487.15386533665833</v>
      </c>
      <c r="AX242" s="289">
        <v>416.56508728179546</v>
      </c>
      <c r="AY242" s="289">
        <v>423.53622514245836</v>
      </c>
      <c r="AZ242" s="289">
        <v>483.31395611852525</v>
      </c>
      <c r="BA242" s="289">
        <v>492.90612806977276</v>
      </c>
      <c r="BB242" s="289">
        <v>400.78406306594223</v>
      </c>
      <c r="BC242" s="289">
        <v>551.11051471293013</v>
      </c>
      <c r="BD242" s="289">
        <v>771.1566395663956</v>
      </c>
      <c r="BE242" s="289">
        <v>836.62484608601994</v>
      </c>
    </row>
    <row r="243" spans="1:57">
      <c r="A243" s="289" t="s">
        <v>3225</v>
      </c>
      <c r="C243" s="289" t="s">
        <v>2441</v>
      </c>
      <c r="F243" s="289">
        <v>1.0610079575596818</v>
      </c>
      <c r="G243" s="289">
        <v>1.1671087533156499</v>
      </c>
      <c r="H243" s="289">
        <v>1.3262599469496021</v>
      </c>
      <c r="I243" s="289">
        <v>1.3793102942347844</v>
      </c>
      <c r="J243" s="289">
        <v>1.5915119363395227</v>
      </c>
      <c r="K243" s="289">
        <v>1.3793102942347844</v>
      </c>
      <c r="L243" s="289">
        <v>1.8037135784442608</v>
      </c>
      <c r="M243" s="289">
        <v>1.9098142730146253</v>
      </c>
      <c r="N243" s="289">
        <v>1.6445622836247049</v>
      </c>
      <c r="O243" s="289">
        <v>1.6976127573918915</v>
      </c>
      <c r="P243" s="289">
        <v>1.9098142730146253</v>
      </c>
      <c r="Q243" s="289">
        <v>2.3342175572241013</v>
      </c>
      <c r="R243" s="289">
        <v>2.7055702411843865</v>
      </c>
      <c r="S243" s="289">
        <v>4.5623344198778399</v>
      </c>
      <c r="T243" s="289">
        <v>3.872679146278442</v>
      </c>
      <c r="U243" s="289">
        <v>3.9787798408488064</v>
      </c>
      <c r="V243" s="289">
        <v>2.28116720993892</v>
      </c>
      <c r="W243" s="289">
        <v>2.1220159151193636</v>
      </c>
      <c r="X243" s="289">
        <v>2.7450980926428188</v>
      </c>
      <c r="Y243" s="289">
        <v>3.473389248888032</v>
      </c>
      <c r="Z243" s="289">
        <v>2.9691877819242936</v>
      </c>
      <c r="AA243" s="289">
        <v>1.5126050687303729</v>
      </c>
      <c r="AB243" s="289">
        <v>2.5770307588977972</v>
      </c>
      <c r="AC243" s="289">
        <v>0.56022408963585435</v>
      </c>
      <c r="AD243" s="289">
        <v>0.72829128981304447</v>
      </c>
      <c r="AE243" s="289">
        <v>0.72829128981304447</v>
      </c>
      <c r="AF243" s="289">
        <v>0.67226893427659151</v>
      </c>
      <c r="AG243" s="289">
        <v>1.0644257569513402</v>
      </c>
      <c r="AH243" s="289">
        <v>0.39215685606670647</v>
      </c>
      <c r="AI243" s="289">
        <v>0.78431371213341294</v>
      </c>
      <c r="AJ243" s="289">
        <v>0.67226893427659151</v>
      </c>
      <c r="AK243" s="289">
        <v>0.56022408963585435</v>
      </c>
      <c r="AL243" s="289">
        <v>5.6022409798384382E-2</v>
      </c>
      <c r="AM243" s="289">
        <v>5.6022409798384382E-2</v>
      </c>
      <c r="AN243" s="289">
        <v>5.6022409798384382E-2</v>
      </c>
      <c r="AO243" s="289">
        <v>0</v>
      </c>
      <c r="AP243" s="289">
        <v>0</v>
      </c>
      <c r="AQ243" s="289">
        <v>0</v>
      </c>
      <c r="AR243" s="289">
        <v>5.6022408963585436E-2</v>
      </c>
      <c r="AS243" s="289">
        <v>0.11204481792717087</v>
      </c>
      <c r="AT243" s="289">
        <v>0</v>
      </c>
      <c r="AU243" s="289">
        <v>0</v>
      </c>
      <c r="AV243" s="289">
        <v>0</v>
      </c>
      <c r="AW243" s="289">
        <v>0</v>
      </c>
      <c r="AX243" s="289">
        <v>0</v>
      </c>
      <c r="AY243" s="289">
        <v>2.4299337132224674</v>
      </c>
      <c r="AZ243" s="289">
        <v>0</v>
      </c>
      <c r="BA243" s="289">
        <v>1.0098691760385586E-2</v>
      </c>
      <c r="BB243" s="289">
        <v>1.5988068605518269</v>
      </c>
      <c r="BC243" s="289">
        <v>2.4184798236365377</v>
      </c>
      <c r="BD243" s="289">
        <v>1.9887985546522129</v>
      </c>
      <c r="BE243" s="289">
        <v>0</v>
      </c>
    </row>
    <row r="244" spans="1:57">
      <c r="A244" s="289" t="s">
        <v>3198</v>
      </c>
      <c r="C244" s="289" t="s">
        <v>2441</v>
      </c>
      <c r="F244" s="289">
        <v>0.21220159151193635</v>
      </c>
      <c r="G244" s="289">
        <v>0.15915119363395225</v>
      </c>
      <c r="H244" s="289">
        <v>0.15915119995805249</v>
      </c>
      <c r="I244" s="289">
        <v>0.37135277882178835</v>
      </c>
      <c r="J244" s="289">
        <v>0.21220159467398644</v>
      </c>
      <c r="K244" s="289">
        <v>0.31830239991610498</v>
      </c>
      <c r="L244" s="289">
        <v>0.26525198938992045</v>
      </c>
      <c r="M244" s="289">
        <v>0.15915119995805249</v>
      </c>
      <c r="N244" s="289">
        <v>0.15915119995805249</v>
      </c>
      <c r="O244" s="289">
        <v>0.21220159467398644</v>
      </c>
      <c r="P244" s="289">
        <v>0.5305039787798409</v>
      </c>
      <c r="Q244" s="289">
        <v>0.79575596816976135</v>
      </c>
      <c r="R244" s="289">
        <v>0.95490713650731263</v>
      </c>
      <c r="S244" s="289">
        <v>1.114058304844864</v>
      </c>
      <c r="T244" s="289">
        <v>0.31830239991610498</v>
      </c>
      <c r="U244" s="289">
        <v>0.95490713650731263</v>
      </c>
      <c r="V244" s="289">
        <v>2.7586205884695687</v>
      </c>
      <c r="W244" s="289">
        <v>2.3872679045092835</v>
      </c>
      <c r="X244" s="289">
        <v>2.9131651592521779</v>
      </c>
      <c r="Y244" s="289">
        <v>2.8571428037157247</v>
      </c>
      <c r="Z244" s="289">
        <v>7.0588237431202963</v>
      </c>
      <c r="AA244" s="289">
        <v>10.140056236117493</v>
      </c>
      <c r="AB244" s="289">
        <v>9.6358547691537559</v>
      </c>
      <c r="AC244" s="289">
        <v>6.666666452958137</v>
      </c>
      <c r="AD244" s="289">
        <v>7.6190478327561495</v>
      </c>
      <c r="AE244" s="289">
        <v>13.389355528588389</v>
      </c>
      <c r="AF244" s="289">
        <v>24.929971988795518</v>
      </c>
      <c r="AG244" s="289">
        <v>35.182072401714592</v>
      </c>
      <c r="AH244" s="289">
        <v>35.40616289240306</v>
      </c>
      <c r="AI244" s="289">
        <v>15.742297132476038</v>
      </c>
      <c r="AJ244" s="289">
        <v>4.3137253833418132</v>
      </c>
      <c r="AK244" s="289">
        <v>2.1848740030069647</v>
      </c>
      <c r="AL244" s="289">
        <v>1.5686274242668259</v>
      </c>
      <c r="AM244" s="289">
        <v>1.1764705348081617</v>
      </c>
      <c r="AN244" s="289">
        <v>1.2885153794488986</v>
      </c>
      <c r="AO244" s="289">
        <v>0.95238097909451869</v>
      </c>
      <c r="AP244" s="289">
        <v>2.2408963585434174</v>
      </c>
      <c r="AQ244" s="289">
        <v>1.400560224089636</v>
      </c>
      <c r="AR244" s="289">
        <v>0.67226890756302515</v>
      </c>
      <c r="AS244" s="289">
        <v>7.507002801120449</v>
      </c>
      <c r="AT244" s="289">
        <v>1.9767117945289432</v>
      </c>
      <c r="AU244" s="289">
        <v>2.7684953386422593</v>
      </c>
      <c r="AV244" s="289">
        <v>6.9294124976636962</v>
      </c>
      <c r="AW244" s="289">
        <v>7.0291770573566072</v>
      </c>
      <c r="AX244" s="289">
        <v>6.4351620947630916</v>
      </c>
      <c r="AY244" s="289">
        <v>6.7112454936620525</v>
      </c>
      <c r="AZ244" s="289">
        <v>16.709643368770262</v>
      </c>
      <c r="BA244" s="289">
        <v>5.2448932751893507</v>
      </c>
      <c r="BB244" s="289">
        <v>5.4492383082987113</v>
      </c>
      <c r="BC244" s="289">
        <v>9.1701332310936454</v>
      </c>
      <c r="BD244" s="289">
        <v>13.523757904245709</v>
      </c>
      <c r="BE244" s="289">
        <v>9.817330005124246</v>
      </c>
    </row>
    <row r="245" spans="1:57">
      <c r="A245" s="289" t="s">
        <v>4008</v>
      </c>
      <c r="C245" s="289" t="s">
        <v>2441</v>
      </c>
      <c r="F245" s="289">
        <v>0</v>
      </c>
      <c r="G245" s="289">
        <v>0</v>
      </c>
      <c r="H245" s="289">
        <v>0</v>
      </c>
      <c r="I245" s="289">
        <v>0</v>
      </c>
      <c r="J245" s="289">
        <v>0</v>
      </c>
      <c r="K245" s="289">
        <v>0</v>
      </c>
      <c r="L245" s="289">
        <v>0</v>
      </c>
      <c r="M245" s="289">
        <v>0</v>
      </c>
      <c r="N245" s="289">
        <v>0</v>
      </c>
      <c r="O245" s="289">
        <v>0</v>
      </c>
      <c r="P245" s="289">
        <v>0</v>
      </c>
      <c r="Q245" s="289">
        <v>0</v>
      </c>
      <c r="R245" s="289">
        <v>0</v>
      </c>
      <c r="S245" s="289">
        <v>0</v>
      </c>
      <c r="T245" s="289">
        <v>0</v>
      </c>
      <c r="U245" s="289">
        <v>0</v>
      </c>
      <c r="V245" s="289">
        <v>0</v>
      </c>
      <c r="W245" s="289">
        <v>0</v>
      </c>
      <c r="X245" s="289">
        <v>3.6974789381695063</v>
      </c>
      <c r="Y245" s="289">
        <v>3.6974789381695063</v>
      </c>
      <c r="Z245" s="289">
        <v>3.1932772040701045</v>
      </c>
      <c r="AA245" s="289">
        <v>6.4985996534844412</v>
      </c>
      <c r="AB245" s="289">
        <v>6.7787116983023683</v>
      </c>
      <c r="AC245" s="289">
        <v>10.756302948425464</v>
      </c>
      <c r="AD245" s="289">
        <v>12.829131438952535</v>
      </c>
      <c r="AE245" s="289">
        <v>15.854341309277618</v>
      </c>
      <c r="AF245" s="289">
        <v>19.215685847092747</v>
      </c>
      <c r="AG245" s="289">
        <v>15.014005174823836</v>
      </c>
      <c r="AH245" s="289">
        <v>11.540616460207131</v>
      </c>
      <c r="AI245" s="289">
        <v>9.8039215686274517</v>
      </c>
      <c r="AJ245" s="289">
        <v>18.137254901960787</v>
      </c>
      <c r="AK245" s="289">
        <v>52.66050450942096</v>
      </c>
      <c r="AL245" s="289">
        <v>139.56415085565476</v>
      </c>
      <c r="AM245" s="289">
        <v>366.61065793504906</v>
      </c>
      <c r="AN245" s="289">
        <v>532.57704448967093</v>
      </c>
      <c r="AO245" s="289">
        <v>670.80112318364854</v>
      </c>
      <c r="AP245" s="289">
        <v>1097.2549019607845</v>
      </c>
      <c r="AQ245" s="289">
        <v>1812.4369747899161</v>
      </c>
      <c r="AR245" s="289">
        <v>2676.0224089635853</v>
      </c>
      <c r="AS245" s="289">
        <v>4665.2100840336134</v>
      </c>
      <c r="AT245" s="289">
        <v>205.43837168273069</v>
      </c>
      <c r="AU245" s="289">
        <v>136.36431654187291</v>
      </c>
      <c r="AV245" s="289">
        <v>136.53566132951218</v>
      </c>
      <c r="AW245" s="289">
        <v>66.283790523690769</v>
      </c>
      <c r="AX245" s="289">
        <v>1.3965087281795512</v>
      </c>
      <c r="AY245" s="289">
        <v>2.0828003256192575</v>
      </c>
      <c r="AZ245" s="289">
        <v>1.1030686873256428</v>
      </c>
      <c r="BA245" s="289">
        <v>2.162038099609823</v>
      </c>
      <c r="BB245" s="289">
        <v>13.008202833706189</v>
      </c>
      <c r="BC245" s="289">
        <v>44.036422888910188</v>
      </c>
      <c r="BD245" s="289">
        <v>75.37560975609756</v>
      </c>
      <c r="BE245" s="289">
        <v>75.37560975609756</v>
      </c>
    </row>
    <row r="246" spans="1:57">
      <c r="A246" s="289" t="s">
        <v>582</v>
      </c>
      <c r="C246" s="289" t="s">
        <v>2219</v>
      </c>
    </row>
    <row r="247" spans="1:57">
      <c r="A247" s="289" t="s">
        <v>718</v>
      </c>
      <c r="C247" s="289" t="s">
        <v>2219</v>
      </c>
    </row>
    <row r="248" spans="1:57">
      <c r="A248" s="289" t="s">
        <v>648</v>
      </c>
      <c r="C248" s="289" t="s">
        <v>2441</v>
      </c>
      <c r="F248" s="289">
        <v>29.442970822281168</v>
      </c>
      <c r="G248" s="289">
        <v>29.124668435013263</v>
      </c>
      <c r="H248" s="289">
        <v>35.59681616664249</v>
      </c>
      <c r="I248" s="289">
        <v>41.432359933220738</v>
      </c>
      <c r="J248" s="289">
        <v>40.053050397877982</v>
      </c>
      <c r="K248" s="289">
        <v>49.70822119270143</v>
      </c>
      <c r="L248" s="289">
        <v>58.037136087999421</v>
      </c>
      <c r="M248" s="289">
        <v>58.249338488996187</v>
      </c>
      <c r="N248" s="289">
        <v>59.310346446555869</v>
      </c>
      <c r="O248" s="289">
        <v>64.403183833357517</v>
      </c>
      <c r="P248" s="289">
        <v>88.381966102660812</v>
      </c>
      <c r="Q248" s="289">
        <v>101.80371028991213</v>
      </c>
      <c r="R248" s="289">
        <v>100.42440480199353</v>
      </c>
      <c r="S248" s="289">
        <v>112.46684350132625</v>
      </c>
      <c r="T248" s="289">
        <v>110.66313321141412</v>
      </c>
      <c r="U248" s="289">
        <v>121.59151031736987</v>
      </c>
      <c r="V248" s="289">
        <v>128.7002684899287</v>
      </c>
      <c r="W248" s="289">
        <v>141.85676068779014</v>
      </c>
      <c r="X248" s="289">
        <v>162.29692560617997</v>
      </c>
      <c r="Y248" s="289">
        <v>176.58263989189427</v>
      </c>
      <c r="Z248" s="289">
        <v>269.80392498796397</v>
      </c>
      <c r="AA248" s="289">
        <v>305.37813758315826</v>
      </c>
      <c r="AB248" s="289">
        <v>332.43698846726193</v>
      </c>
      <c r="AC248" s="289">
        <v>447.95516839548321</v>
      </c>
      <c r="AD248" s="289">
        <v>467.28289948792019</v>
      </c>
      <c r="AE248" s="289">
        <v>476.97480359331234</v>
      </c>
      <c r="AF248" s="289">
        <v>626.05042016806726</v>
      </c>
      <c r="AG248" s="289">
        <v>661.40054654674373</v>
      </c>
      <c r="AH248" s="289">
        <v>623.9215412727591</v>
      </c>
      <c r="AI248" s="289">
        <v>520.89635170474446</v>
      </c>
      <c r="AJ248" s="289">
        <v>482.46499283307077</v>
      </c>
      <c r="AK248" s="289">
        <v>420.84034297312678</v>
      </c>
      <c r="AL248" s="289">
        <v>469.74789915966392</v>
      </c>
      <c r="AM248" s="289">
        <v>626.89075630252103</v>
      </c>
      <c r="AN248" s="289">
        <v>782.07282913165261</v>
      </c>
      <c r="AO248" s="289">
        <v>1176.7507002801119</v>
      </c>
      <c r="AP248" s="289">
        <v>1541.5126050420167</v>
      </c>
      <c r="AQ248" s="289">
        <v>2222.3529411764707</v>
      </c>
      <c r="AR248" s="289">
        <v>3018.9355742296921</v>
      </c>
      <c r="AS248" s="289">
        <v>10885.938375350139</v>
      </c>
      <c r="AT248" s="289">
        <v>651.12931082511568</v>
      </c>
      <c r="AU248" s="289">
        <v>570.67462816751436</v>
      </c>
      <c r="AV248" s="289">
        <v>663.22508877951532</v>
      </c>
      <c r="AW248" s="289">
        <v>584.63092269326683</v>
      </c>
      <c r="AX248" s="289">
        <v>533.49526184538649</v>
      </c>
      <c r="AY248" s="289">
        <v>447.33969066170482</v>
      </c>
      <c r="AZ248" s="289">
        <v>435.44220764532912</v>
      </c>
      <c r="BA248" s="289">
        <v>474.01790222630245</v>
      </c>
      <c r="BB248" s="289">
        <v>484.99882816661341</v>
      </c>
      <c r="BC248" s="289">
        <v>657.62407744656377</v>
      </c>
      <c r="BD248" s="289">
        <v>858.96224028906954</v>
      </c>
      <c r="BE248" s="289">
        <v>956.99267671989514</v>
      </c>
    </row>
    <row r="249" spans="1:57">
      <c r="A249" s="289" t="s">
        <v>649</v>
      </c>
      <c r="C249" s="289" t="s">
        <v>2441</v>
      </c>
      <c r="F249" s="289">
        <v>0.21220159151193635</v>
      </c>
      <c r="G249" s="289">
        <v>0.21220159151193635</v>
      </c>
      <c r="H249" s="289">
        <v>0.5305039787798409</v>
      </c>
      <c r="I249" s="289">
        <v>0.58355438930602532</v>
      </c>
      <c r="J249" s="289">
        <v>0.5305039787798409</v>
      </c>
      <c r="K249" s="289">
        <v>0.5305039787798409</v>
      </c>
      <c r="L249" s="289">
        <v>0.79575596816976135</v>
      </c>
      <c r="M249" s="289">
        <v>0.90185678922213042</v>
      </c>
      <c r="N249" s="289">
        <v>0.95490713650731263</v>
      </c>
      <c r="O249" s="289">
        <v>1.0610079575596818</v>
      </c>
      <c r="P249" s="289">
        <v>0.79575596816976135</v>
      </c>
      <c r="Q249" s="289">
        <v>0.74270555764357671</v>
      </c>
      <c r="R249" s="289">
        <v>0.95490713650731263</v>
      </c>
      <c r="S249" s="289">
        <v>1.3262599469496021</v>
      </c>
      <c r="T249" s="289">
        <v>1.6976127573918915</v>
      </c>
      <c r="U249" s="289">
        <v>2.228116609689728</v>
      </c>
      <c r="V249" s="289">
        <v>1.9628647467818121</v>
      </c>
      <c r="W249" s="289">
        <v>2.1750662624045458</v>
      </c>
      <c r="X249" s="289">
        <v>2.9691877819242936</v>
      </c>
      <c r="Y249" s="289">
        <v>2.5770307588977972</v>
      </c>
      <c r="Z249" s="289">
        <v>3.0252101374607459</v>
      </c>
      <c r="AA249" s="289">
        <v>5.9943976522493774</v>
      </c>
      <c r="AB249" s="289">
        <v>9.8599441912995669</v>
      </c>
      <c r="AC249" s="289">
        <v>15.742297132476038</v>
      </c>
      <c r="AD249" s="289">
        <v>8.7394960120278586</v>
      </c>
      <c r="AE249" s="289">
        <v>10.420168280935421</v>
      </c>
      <c r="AF249" s="289">
        <v>15.014005174823836</v>
      </c>
      <c r="AG249" s="289">
        <v>12.941176684296765</v>
      </c>
      <c r="AH249" s="289">
        <v>15.238095665512299</v>
      </c>
      <c r="AI249" s="289">
        <v>13.221288729114693</v>
      </c>
      <c r="AJ249" s="289">
        <v>8.9075628115015544</v>
      </c>
      <c r="AK249" s="289">
        <v>10.252100412919074</v>
      </c>
      <c r="AL249" s="289">
        <v>9.1316522336473653</v>
      </c>
      <c r="AM249" s="289">
        <v>10.812324502554928</v>
      </c>
      <c r="AN249" s="289">
        <v>10.644257703081232</v>
      </c>
      <c r="AO249" s="289">
        <v>14.397759531058517</v>
      </c>
      <c r="AP249" s="289">
        <v>14.509803921568627</v>
      </c>
      <c r="AQ249" s="289">
        <v>15.126050420168069</v>
      </c>
      <c r="AR249" s="289">
        <v>12.492997198879552</v>
      </c>
      <c r="AS249" s="289">
        <v>168.73949579831933</v>
      </c>
      <c r="AT249" s="289">
        <v>23.320890671718018</v>
      </c>
      <c r="AU249" s="289">
        <v>15.799227449336762</v>
      </c>
      <c r="AV249" s="289">
        <v>25.516416422652796</v>
      </c>
      <c r="AW249" s="289">
        <v>19.305486284289277</v>
      </c>
      <c r="AX249" s="289">
        <v>22.473566084788025</v>
      </c>
      <c r="AY249" s="289">
        <v>17.47238050936155</v>
      </c>
      <c r="AZ249" s="289">
        <v>32.787453818894669</v>
      </c>
      <c r="BA249" s="289">
        <v>10.437915997245812</v>
      </c>
      <c r="BB249" s="289">
        <v>13.7</v>
      </c>
      <c r="BC249" s="289">
        <v>12.802592300740049</v>
      </c>
      <c r="BD249" s="289">
        <v>14.488567194581913</v>
      </c>
      <c r="BE249" s="289">
        <v>15.557706603947553</v>
      </c>
    </row>
    <row r="250" spans="1:57">
      <c r="A250" s="289" t="s">
        <v>4517</v>
      </c>
      <c r="C250" s="289" t="s">
        <v>2441</v>
      </c>
      <c r="F250" s="289">
        <v>0.47745358090185674</v>
      </c>
      <c r="G250" s="289">
        <v>0.58355437665782495</v>
      </c>
      <c r="H250" s="289">
        <v>0.79575596816976135</v>
      </c>
      <c r="I250" s="289">
        <v>0.95490713650731263</v>
      </c>
      <c r="J250" s="289">
        <v>1.5384615890543405</v>
      </c>
      <c r="K250" s="289">
        <v>1.3262599469496021</v>
      </c>
      <c r="L250" s="289">
        <v>1.5384615890543405</v>
      </c>
      <c r="M250" s="289">
        <v>1.6976127573918915</v>
      </c>
      <c r="N250" s="289">
        <v>2.228116609689728</v>
      </c>
      <c r="O250" s="289">
        <v>2.228116609689728</v>
      </c>
      <c r="P250" s="289">
        <v>2.5994695466140221</v>
      </c>
      <c r="Q250" s="289">
        <v>2.9708222305743068</v>
      </c>
      <c r="R250" s="289">
        <v>3.5543765566393297</v>
      </c>
      <c r="S250" s="289">
        <v>3.9257294935636242</v>
      </c>
      <c r="T250" s="289">
        <v>4.615384514199012</v>
      </c>
      <c r="U250" s="289">
        <v>5.8355437665782492</v>
      </c>
      <c r="V250" s="289">
        <v>8.5411142607266459</v>
      </c>
      <c r="W250" s="289">
        <v>9.2307690283980239</v>
      </c>
      <c r="X250" s="289">
        <v>12.212884726644564</v>
      </c>
      <c r="Y250" s="289">
        <v>16.358543844784005</v>
      </c>
      <c r="Z250" s="289">
        <v>27.2268899014684</v>
      </c>
      <c r="AA250" s="289">
        <v>34.22969102191658</v>
      </c>
      <c r="AB250" s="289">
        <v>16.246498599439779</v>
      </c>
      <c r="AC250" s="289">
        <v>19.047619047619051</v>
      </c>
      <c r="AD250" s="289">
        <v>22.969187675070032</v>
      </c>
      <c r="AE250" s="289">
        <v>31.876751555114236</v>
      </c>
      <c r="AF250" s="289">
        <v>33.557423824021797</v>
      </c>
      <c r="AG250" s="289">
        <v>28.851540616246499</v>
      </c>
      <c r="AH250" s="289">
        <v>35.518208137747287</v>
      </c>
      <c r="AI250" s="289">
        <v>34.509803066734506</v>
      </c>
      <c r="AJ250" s="289">
        <v>16.638655889601935</v>
      </c>
      <c r="AK250" s="289">
        <v>13.445378151260504</v>
      </c>
      <c r="AL250" s="289">
        <v>11.820728505025059</v>
      </c>
      <c r="AM250" s="289">
        <v>8.2352940107927939</v>
      </c>
      <c r="AN250" s="289">
        <v>9.5238095238095255</v>
      </c>
      <c r="AO250" s="289">
        <v>10.028010990773263</v>
      </c>
      <c r="AP250" s="289">
        <v>12.268907563025211</v>
      </c>
      <c r="AQ250" s="289">
        <v>16.246498599439779</v>
      </c>
      <c r="AR250" s="289">
        <v>11.484593837535016</v>
      </c>
      <c r="AS250" s="289">
        <v>64.705882352941188</v>
      </c>
      <c r="AT250" s="289">
        <v>4.6769550764202279</v>
      </c>
      <c r="AU250" s="289">
        <v>3.4447603620340059</v>
      </c>
      <c r="AV250" s="289">
        <v>7.5763503831536978</v>
      </c>
      <c r="AW250" s="289">
        <v>10.989276807980049</v>
      </c>
      <c r="AX250" s="289">
        <v>10.692269326683292</v>
      </c>
      <c r="AY250" s="289">
        <v>14.926735666938013</v>
      </c>
      <c r="AZ250" s="289">
        <v>22.051572042524317</v>
      </c>
      <c r="BA250" s="289">
        <v>23.02180399357356</v>
      </c>
      <c r="BB250" s="289">
        <v>9.9</v>
      </c>
      <c r="BC250" s="289">
        <v>20.149587041663516</v>
      </c>
      <c r="BD250" s="289">
        <v>16.210328616932038</v>
      </c>
      <c r="BE250" s="289">
        <v>19.562680797053318</v>
      </c>
    </row>
    <row r="251" spans="1:57">
      <c r="A251" s="289" t="s">
        <v>4518</v>
      </c>
      <c r="C251" s="289" t="s">
        <v>2441</v>
      </c>
      <c r="F251" s="289">
        <v>0.10610079575596817</v>
      </c>
      <c r="G251" s="289">
        <v>0.10610079575596817</v>
      </c>
      <c r="H251" s="289">
        <v>0.21220159467398644</v>
      </c>
      <c r="I251" s="289">
        <v>0.26525198938992045</v>
      </c>
      <c r="J251" s="289">
        <v>0.47745356825365631</v>
      </c>
      <c r="K251" s="289">
        <v>0.63660479983220997</v>
      </c>
      <c r="L251" s="289">
        <v>0.95490713650731263</v>
      </c>
      <c r="M251" s="289">
        <v>1.114058304844864</v>
      </c>
      <c r="N251" s="289">
        <v>1.5915119363395227</v>
      </c>
      <c r="O251" s="289">
        <v>2.3872679045092835</v>
      </c>
      <c r="P251" s="289">
        <v>2.3872679045092835</v>
      </c>
      <c r="Q251" s="289">
        <v>3.2891245672494098</v>
      </c>
      <c r="R251" s="289">
        <v>3.1830238726790454</v>
      </c>
      <c r="S251" s="289">
        <v>3.1830238726790454</v>
      </c>
      <c r="T251" s="289">
        <v>3.2360742199642276</v>
      </c>
      <c r="U251" s="289">
        <v>3.076923178108681</v>
      </c>
      <c r="V251" s="289">
        <v>1.5384615890543405</v>
      </c>
      <c r="W251" s="289">
        <v>1.6976127573918915</v>
      </c>
      <c r="X251" s="289">
        <v>2.2408963585434174</v>
      </c>
      <c r="Y251" s="289">
        <v>2.9691877819242936</v>
      </c>
      <c r="Z251" s="289">
        <v>3.8095239163780747</v>
      </c>
      <c r="AA251" s="289">
        <v>3.9215686274509807</v>
      </c>
      <c r="AB251" s="289">
        <v>3.9775909829874334</v>
      </c>
      <c r="AC251" s="289">
        <v>3.5294118715601481</v>
      </c>
      <c r="AD251" s="289">
        <v>3.7535012937059591</v>
      </c>
      <c r="AE251" s="289">
        <v>4.5938374281597412</v>
      </c>
      <c r="AF251" s="289">
        <v>4.2016806722689077</v>
      </c>
      <c r="AG251" s="289">
        <v>3.6974789381695063</v>
      </c>
      <c r="AH251" s="289">
        <v>3.0252101374607459</v>
      </c>
      <c r="AI251" s="289">
        <v>1.5686274242668259</v>
      </c>
      <c r="AJ251" s="289">
        <v>1.2324930239124459</v>
      </c>
      <c r="AK251" s="289">
        <v>0.95238097909451869</v>
      </c>
      <c r="AL251" s="289">
        <v>0.78431371213341294</v>
      </c>
      <c r="AM251" s="289">
        <v>1.0644257569513402</v>
      </c>
      <c r="AN251" s="289">
        <v>1.680672268907563</v>
      </c>
      <c r="AO251" s="289">
        <v>0.84033613445378152</v>
      </c>
      <c r="AP251" s="289">
        <v>1.2324929971988796</v>
      </c>
      <c r="AQ251" s="289">
        <v>1.7366946778711485</v>
      </c>
      <c r="AR251" s="289">
        <v>1.6246498599439776</v>
      </c>
      <c r="AS251" s="289">
        <v>47.002801120448183</v>
      </c>
      <c r="AT251" s="289">
        <v>1.5614611770386464</v>
      </c>
      <c r="AU251" s="289">
        <v>1.1284676989997622</v>
      </c>
      <c r="AV251" s="289">
        <v>1.3305090025543578</v>
      </c>
      <c r="AW251" s="289">
        <v>1.1880299251870323</v>
      </c>
      <c r="AX251" s="289">
        <v>0.7920199501246884</v>
      </c>
      <c r="AY251" s="289">
        <v>1.1571112920106987</v>
      </c>
      <c r="AZ251" s="289">
        <v>1.1618789112568799</v>
      </c>
      <c r="BA251" s="289">
        <v>1.146660546247418</v>
      </c>
      <c r="BB251" s="289">
        <v>1.1266645360605092</v>
      </c>
      <c r="BC251" s="289">
        <v>4.9377935397297037</v>
      </c>
      <c r="BD251" s="289">
        <v>5.2704607046070464</v>
      </c>
      <c r="BE251" s="289">
        <v>5.626338502181615</v>
      </c>
    </row>
    <row r="252" spans="1:57">
      <c r="A252" s="289" t="s">
        <v>911</v>
      </c>
      <c r="C252" s="289" t="s">
        <v>2441</v>
      </c>
      <c r="F252" s="289">
        <v>4.1379310344827589</v>
      </c>
      <c r="G252" s="289">
        <v>2.1750663129973473</v>
      </c>
      <c r="H252" s="289">
        <v>5.6917666124095971</v>
      </c>
      <c r="I252" s="289">
        <v>5.8615383482105852</v>
      </c>
      <c r="J252" s="289">
        <v>4.7736549883369426</v>
      </c>
      <c r="K252" s="289">
        <v>11.810610338610743</v>
      </c>
      <c r="L252" s="289">
        <v>14.432074346972398</v>
      </c>
      <c r="M252" s="289">
        <v>13.611883067325826</v>
      </c>
      <c r="N252" s="289">
        <v>13.633357688033612</v>
      </c>
      <c r="O252" s="289">
        <v>14.773071855701883</v>
      </c>
      <c r="P252" s="289">
        <v>15.400795974529075</v>
      </c>
      <c r="Q252" s="289">
        <v>15.720955319999067</v>
      </c>
      <c r="R252" s="289">
        <v>17.194694296434641</v>
      </c>
      <c r="S252" s="289">
        <v>21.874801676216428</v>
      </c>
      <c r="T252" s="289">
        <v>38.129973474801062</v>
      </c>
      <c r="U252" s="289">
        <v>43.363924304749673</v>
      </c>
      <c r="V252" s="289">
        <v>41.544295495637854</v>
      </c>
      <c r="W252" s="289">
        <v>46.392571325327417</v>
      </c>
      <c r="X252" s="289">
        <v>44.761905616738886</v>
      </c>
      <c r="Y252" s="289">
        <v>38.655462184873954</v>
      </c>
      <c r="Z252" s="289">
        <v>35.910363290824144</v>
      </c>
      <c r="AA252" s="289">
        <v>32.717087689568011</v>
      </c>
      <c r="AB252" s="289">
        <v>44.369746189491423</v>
      </c>
      <c r="AC252" s="289">
        <v>37.927169158679099</v>
      </c>
      <c r="AD252" s="289">
        <v>34.341736267260814</v>
      </c>
      <c r="AE252" s="289">
        <v>48.68347424418986</v>
      </c>
      <c r="AF252" s="289">
        <v>37.030811470095855</v>
      </c>
      <c r="AG252" s="289">
        <v>18.039216113691573</v>
      </c>
      <c r="AH252" s="289">
        <v>24.929971988795518</v>
      </c>
      <c r="AI252" s="289">
        <v>25.546217632560836</v>
      </c>
      <c r="AJ252" s="289">
        <v>1.6246499133711103</v>
      </c>
      <c r="AK252" s="289">
        <v>1.8487394690847532</v>
      </c>
      <c r="AL252" s="289">
        <v>2.801120448179272</v>
      </c>
      <c r="AM252" s="289">
        <v>4.817927384576878</v>
      </c>
      <c r="AN252" s="289">
        <v>8.2913166334649091</v>
      </c>
      <c r="AO252" s="289">
        <v>6.3305323197394197</v>
      </c>
      <c r="AP252" s="289">
        <v>9.5238095238095255</v>
      </c>
      <c r="AQ252" s="289">
        <v>10.868347338935573</v>
      </c>
      <c r="AR252" s="289">
        <v>6.5546218487394956</v>
      </c>
      <c r="AS252" s="289">
        <v>103.02521008403362</v>
      </c>
      <c r="AT252" s="289">
        <v>5.8944788010474118</v>
      </c>
      <c r="AU252" s="289">
        <v>4.5014103014306919</v>
      </c>
      <c r="AV252" s="289">
        <v>3.042302660270388</v>
      </c>
      <c r="AW252" s="289">
        <v>8.7122194513715705</v>
      </c>
      <c r="AX252" s="289">
        <v>6.1755610972568578</v>
      </c>
      <c r="AY252" s="289">
        <v>7.6369345272706122</v>
      </c>
      <c r="AZ252" s="289">
        <v>63.303928221367705</v>
      </c>
      <c r="BA252" s="289">
        <v>110.6968097314666</v>
      </c>
      <c r="BB252" s="289">
        <v>49.326515393629485</v>
      </c>
      <c r="BC252" s="289">
        <v>55.725869836097004</v>
      </c>
      <c r="BD252" s="289">
        <v>72.78988256549232</v>
      </c>
      <c r="BE252" s="289">
        <v>58.718214080275509</v>
      </c>
    </row>
    <row r="253" spans="1:57">
      <c r="A253" s="289" t="s">
        <v>912</v>
      </c>
      <c r="C253" s="289" t="s">
        <v>2441</v>
      </c>
      <c r="F253" s="289">
        <v>0.26525198938992045</v>
      </c>
      <c r="G253" s="289">
        <v>0.26525198938992045</v>
      </c>
      <c r="H253" s="289">
        <v>0.91373231113747511</v>
      </c>
      <c r="I253" s="289">
        <v>1.0984757218500032</v>
      </c>
      <c r="J253" s="289">
        <v>1.1646373202377036</v>
      </c>
      <c r="K253" s="289">
        <v>1.3088113749375079</v>
      </c>
      <c r="L253" s="289">
        <v>1.4631012074194789</v>
      </c>
      <c r="M253" s="289">
        <v>2.0125762221035339</v>
      </c>
      <c r="N253" s="289">
        <v>2.2058067018220529</v>
      </c>
      <c r="O253" s="289">
        <v>1.5831806931634798</v>
      </c>
      <c r="P253" s="289">
        <v>1.6422219870893646</v>
      </c>
      <c r="Q253" s="289">
        <v>1.1909813716493804</v>
      </c>
      <c r="R253" s="289">
        <v>1.1379310243641982</v>
      </c>
      <c r="S253" s="289">
        <v>1.2201591258972329</v>
      </c>
      <c r="T253" s="289">
        <v>1.1273209549071619</v>
      </c>
      <c r="U253" s="289">
        <v>1.2254641606257513</v>
      </c>
      <c r="V253" s="289">
        <v>1.2944297385784929</v>
      </c>
      <c r="W253" s="289">
        <v>1.4880636958924149</v>
      </c>
      <c r="X253" s="289">
        <v>6.106442363322282</v>
      </c>
      <c r="Y253" s="289">
        <v>5.7142856074314494</v>
      </c>
      <c r="Z253" s="289">
        <v>6.4425770308123251</v>
      </c>
      <c r="AA253" s="289">
        <v>8.2913166334649091</v>
      </c>
      <c r="AB253" s="289">
        <v>5.098039429394805</v>
      </c>
      <c r="AC253" s="289">
        <v>7.5630252100840343</v>
      </c>
      <c r="AD253" s="289">
        <v>3.7535012937059591</v>
      </c>
      <c r="AE253" s="289">
        <v>8.3473387218657003</v>
      </c>
      <c r="AF253" s="289">
        <v>11.540616460207131</v>
      </c>
      <c r="AG253" s="289">
        <v>10.19607885878961</v>
      </c>
      <c r="AH253" s="289">
        <v>13.053220861098346</v>
      </c>
      <c r="AI253" s="289">
        <v>16.694677443731401</v>
      </c>
      <c r="AJ253" s="289">
        <v>12.773108816280418</v>
      </c>
      <c r="AK253" s="289">
        <v>7.6750699211569398</v>
      </c>
      <c r="AL253" s="289">
        <v>5.9383755638485871</v>
      </c>
      <c r="AM253" s="289">
        <v>5.8263303185043558</v>
      </c>
      <c r="AN253" s="289">
        <v>7.1708684541932008</v>
      </c>
      <c r="AO253" s="289">
        <v>7.3389357879382224</v>
      </c>
      <c r="AP253" s="289">
        <v>8.9075630252100844</v>
      </c>
      <c r="AQ253" s="289">
        <v>10.812324929971989</v>
      </c>
      <c r="AR253" s="289">
        <v>14.397759103641457</v>
      </c>
      <c r="AS253" s="289">
        <v>111.42857142857143</v>
      </c>
      <c r="AT253" s="289">
        <v>3.4014894051664899</v>
      </c>
      <c r="AU253" s="289">
        <v>2.2970355350649645</v>
      </c>
      <c r="AV253" s="289">
        <v>2.4427138496043863</v>
      </c>
      <c r="AW253" s="289">
        <v>2.9700748129675811</v>
      </c>
      <c r="AX253" s="289">
        <v>3.5640897755610972</v>
      </c>
      <c r="AY253" s="289">
        <v>3.8184672636353061</v>
      </c>
      <c r="AZ253" s="289">
        <v>3.0603935761140013</v>
      </c>
      <c r="BA253" s="289">
        <v>2.9557034656873995</v>
      </c>
      <c r="BB253" s="289">
        <v>21.798231596889316</v>
      </c>
      <c r="BC253" s="289">
        <v>49.780504169462283</v>
      </c>
      <c r="BD253" s="289">
        <v>62.647154471544717</v>
      </c>
      <c r="BE253" s="289">
        <v>66.877283981505542</v>
      </c>
    </row>
    <row r="254" spans="1:57">
      <c r="A254" s="289" t="s">
        <v>1259</v>
      </c>
      <c r="C254" s="289" t="s">
        <v>2219</v>
      </c>
    </row>
    <row r="255" spans="1:57">
      <c r="A255" s="289" t="s">
        <v>598</v>
      </c>
      <c r="C255" s="289" t="s">
        <v>2441</v>
      </c>
      <c r="F255" s="289">
        <v>-0.31830238726791116</v>
      </c>
      <c r="G255" s="289">
        <v>-0.6366047745358081</v>
      </c>
      <c r="H255" s="289">
        <v>-5.3853389597065489</v>
      </c>
      <c r="I255" s="289">
        <v>-7.0661141006004256</v>
      </c>
      <c r="J255" s="289">
        <v>-7.9542082722054239</v>
      </c>
      <c r="K255" s="289">
        <v>-15.878040847474766</v>
      </c>
      <c r="L255" s="289">
        <v>-23.110031259470972</v>
      </c>
      <c r="M255" s="289">
        <v>-25.438783750609943</v>
      </c>
      <c r="N255" s="289">
        <v>-27.56330223867684</v>
      </c>
      <c r="O255" s="289">
        <v>-29.088348719422324</v>
      </c>
      <c r="P255" s="289">
        <v>-51.048324721561507</v>
      </c>
      <c r="Q255" s="289">
        <v>-52.455701435908708</v>
      </c>
      <c r="R255" s="289">
        <v>-19.075332459467461</v>
      </c>
      <c r="S255" s="289">
        <v>-19.593632822011429</v>
      </c>
      <c r="T255" s="289">
        <v>-25.198943608635634</v>
      </c>
      <c r="U255" s="289">
        <v>-24.005826019165738</v>
      </c>
      <c r="V255" s="289">
        <v>-22.78567511459875</v>
      </c>
      <c r="W255" s="289">
        <v>-17.907153516612578</v>
      </c>
      <c r="X255" s="289">
        <v>-17.198879979237788</v>
      </c>
      <c r="Y255" s="289">
        <v>-30.868354765307025</v>
      </c>
      <c r="Z255" s="289">
        <v>-28.571416550323718</v>
      </c>
      <c r="AA255" s="289">
        <v>-48.739474828169719</v>
      </c>
      <c r="AB255" s="289">
        <v>-46.834731970180641</v>
      </c>
      <c r="AC255" s="289">
        <v>-117.59101429573296</v>
      </c>
      <c r="AD255" s="289">
        <v>-63.865545817783868</v>
      </c>
      <c r="AE255" s="289">
        <v>-37.366955888037666</v>
      </c>
      <c r="AF255" s="289">
        <v>-69.579859474459909</v>
      </c>
      <c r="AG255" s="289">
        <v>-118.15125554883518</v>
      </c>
      <c r="AH255" s="289">
        <v>-158.82350233088681</v>
      </c>
      <c r="AI255" s="289">
        <v>-152.32492782154674</v>
      </c>
      <c r="AJ255" s="289">
        <v>-74.411785168474168</v>
      </c>
      <c r="AK255" s="289">
        <v>-23.473941845720226</v>
      </c>
      <c r="AL255" s="289">
        <v>-1.2201560436844803</v>
      </c>
      <c r="AM255" s="289">
        <v>98.543438378001426</v>
      </c>
      <c r="AN255" s="289">
        <v>146.58265332965303</v>
      </c>
      <c r="AO255" s="289">
        <v>19.092439202701527</v>
      </c>
      <c r="AP255" s="289">
        <v>-1.8487394957980792</v>
      </c>
      <c r="AQ255" s="289">
        <v>-95.070028011204556</v>
      </c>
      <c r="AR255" s="289">
        <v>-25.098039215686367</v>
      </c>
      <c r="AS255" s="289">
        <v>1616.9747899159677</v>
      </c>
      <c r="AT255" s="289">
        <v>79.48595093505655</v>
      </c>
      <c r="AU255" s="289">
        <v>61.161318093770923</v>
      </c>
      <c r="AV255" s="289">
        <v>-77.891720142047291</v>
      </c>
      <c r="AW255" s="289">
        <v>-67.329177057356645</v>
      </c>
      <c r="AX255" s="289">
        <v>-152.79600997506236</v>
      </c>
      <c r="AY255" s="289">
        <v>-57.591115245958903</v>
      </c>
      <c r="AZ255" s="289">
        <v>-56.680766040865528</v>
      </c>
      <c r="BA255" s="289">
        <v>-121.95363782419091</v>
      </c>
      <c r="BB255" s="289">
        <v>-160.00992862469374</v>
      </c>
      <c r="BC255" s="289">
        <v>-194.28487367768574</v>
      </c>
      <c r="BD255" s="289">
        <v>-168.32382806083646</v>
      </c>
      <c r="BE255" s="289">
        <v>-201.5171148376169</v>
      </c>
    </row>
    <row r="256" spans="1:57">
      <c r="A256" s="289" t="s">
        <v>599</v>
      </c>
      <c r="C256" s="289" t="s">
        <v>2441</v>
      </c>
      <c r="F256" s="289">
        <v>1.5384615384615383</v>
      </c>
      <c r="G256" s="289">
        <v>1.5384615384615383</v>
      </c>
      <c r="H256" s="289">
        <v>4.6684351144482026</v>
      </c>
      <c r="I256" s="289">
        <v>7.5862069977373281</v>
      </c>
      <c r="J256" s="289">
        <v>7.6923076923076925</v>
      </c>
      <c r="K256" s="289">
        <v>18.620688845687585</v>
      </c>
      <c r="L256" s="289">
        <v>17.135278109846446</v>
      </c>
      <c r="M256" s="289">
        <v>22.06896470775655</v>
      </c>
      <c r="N256" s="289">
        <v>26.790450928381965</v>
      </c>
      <c r="O256" s="289">
        <v>31.03448275862069</v>
      </c>
      <c r="P256" s="289">
        <v>48.381961245751825</v>
      </c>
      <c r="Q256" s="289">
        <v>48.275862068965516</v>
      </c>
      <c r="R256" s="289">
        <v>16.498673942424258</v>
      </c>
      <c r="S256" s="289">
        <v>12.572944701824644</v>
      </c>
      <c r="T256" s="289">
        <v>22.281167108753319</v>
      </c>
      <c r="U256" s="289">
        <v>17.453581711341595</v>
      </c>
      <c r="V256" s="289">
        <v>21.273208739586789</v>
      </c>
      <c r="W256" s="289">
        <v>7.9045090814484205</v>
      </c>
      <c r="X256" s="289">
        <v>21.84873949579832</v>
      </c>
      <c r="Y256" s="289">
        <v>41.064427479976366</v>
      </c>
      <c r="Z256" s="289">
        <v>33.949578977098653</v>
      </c>
      <c r="AA256" s="289">
        <v>91.596638655462186</v>
      </c>
      <c r="AB256" s="289">
        <v>57.759102786622464</v>
      </c>
      <c r="AC256" s="289">
        <v>63.249300574722085</v>
      </c>
      <c r="AD256" s="289">
        <v>71.484592982700903</v>
      </c>
      <c r="AE256" s="289">
        <v>63.137253192292548</v>
      </c>
      <c r="AF256" s="289">
        <v>89.915966386554629</v>
      </c>
      <c r="AG256" s="289">
        <v>134.8459366656819</v>
      </c>
      <c r="AH256" s="289">
        <v>115.96638655462185</v>
      </c>
      <c r="AI256" s="289">
        <v>36.918768361836925</v>
      </c>
      <c r="AJ256" s="289">
        <v>3.0252101374607459</v>
      </c>
      <c r="AK256" s="289">
        <v>22.296918340089945</v>
      </c>
      <c r="AL256" s="289">
        <v>-32.268906708191089</v>
      </c>
      <c r="AM256" s="289">
        <v>-62.689076485086225</v>
      </c>
      <c r="AN256" s="289">
        <v>-77.478993306306904</v>
      </c>
      <c r="AO256" s="289">
        <v>-148.45938375350141</v>
      </c>
      <c r="AP256" s="289">
        <v>8.6834733893557434</v>
      </c>
      <c r="AQ256" s="289">
        <v>52.044817927170875</v>
      </c>
      <c r="AR256" s="289">
        <v>21.792717086834735</v>
      </c>
      <c r="AS256" s="289">
        <v>-905.99439775910366</v>
      </c>
      <c r="AT256" s="289">
        <v>-10.694746225416457</v>
      </c>
      <c r="AU256" s="289">
        <v>15.998142253537081</v>
      </c>
      <c r="AV256" s="289">
        <v>69.130646065665701</v>
      </c>
      <c r="AW256" s="289">
        <v>41.383042394014957</v>
      </c>
      <c r="AX256" s="289">
        <v>32.799999999999997</v>
      </c>
      <c r="AY256" s="289">
        <v>19.100000000000001</v>
      </c>
      <c r="AZ256" s="289">
        <v>-71.8</v>
      </c>
      <c r="BA256" s="289">
        <v>104.8</v>
      </c>
      <c r="BB256" s="289">
        <v>-37.5</v>
      </c>
      <c r="BC256" s="289">
        <v>-23</v>
      </c>
      <c r="BD256" s="289">
        <v>-13.1</v>
      </c>
      <c r="BE256" s="289">
        <v>-11.725347570287019</v>
      </c>
    </row>
    <row r="258" spans="1:57">
      <c r="A258" s="289" t="s">
        <v>600</v>
      </c>
    </row>
    <row r="259" spans="1:57">
      <c r="A259" s="289" t="s">
        <v>522</v>
      </c>
      <c r="C259" s="289" t="s">
        <v>601</v>
      </c>
      <c r="F259" s="289">
        <v>0.34278817139408563</v>
      </c>
      <c r="G259" s="289">
        <v>0.33372781065088758</v>
      </c>
      <c r="H259" s="289">
        <v>0.36418225202694049</v>
      </c>
      <c r="I259" s="289">
        <v>0.36972516458812704</v>
      </c>
      <c r="J259" s="289">
        <v>0.35060888521402767</v>
      </c>
      <c r="K259" s="289">
        <v>0.37497288552573593</v>
      </c>
      <c r="L259" s="289">
        <v>0.39392573156261429</v>
      </c>
      <c r="M259" s="289">
        <v>0.3935856641199586</v>
      </c>
      <c r="N259" s="289">
        <v>0.38688031576975579</v>
      </c>
      <c r="O259" s="289">
        <v>0.38901442840003791</v>
      </c>
      <c r="P259" s="289">
        <v>0.44127456237467805</v>
      </c>
      <c r="Q259" s="289">
        <v>0.4399381491542953</v>
      </c>
      <c r="R259" s="289">
        <v>0.380012633950358</v>
      </c>
      <c r="S259" s="289">
        <v>0.36923026559632738</v>
      </c>
      <c r="T259" s="289">
        <v>0.34563025427113303</v>
      </c>
      <c r="U259" s="289">
        <v>0.36257792686162948</v>
      </c>
      <c r="V259" s="289">
        <v>0.37077438569412891</v>
      </c>
      <c r="W259" s="289">
        <v>0.37171851010416807</v>
      </c>
      <c r="X259" s="289">
        <v>0.38455936775982641</v>
      </c>
      <c r="Y259" s="289">
        <v>0.38653228315575383</v>
      </c>
      <c r="Z259" s="289">
        <v>0.44035188460071423</v>
      </c>
      <c r="AA259" s="289">
        <v>0.43160986119795075</v>
      </c>
      <c r="AB259" s="289">
        <v>0.42394494824132262</v>
      </c>
      <c r="AC259" s="289">
        <v>0.43915888799903069</v>
      </c>
      <c r="AD259" s="289">
        <v>0.414136515684357</v>
      </c>
      <c r="AE259" s="289">
        <v>0.40820731046938741</v>
      </c>
      <c r="AF259" s="289">
        <v>0.46661939441148176</v>
      </c>
      <c r="AG259" s="289">
        <v>0.45193833265574479</v>
      </c>
      <c r="AH259" s="289">
        <v>0.44491649703221464</v>
      </c>
      <c r="AI259" s="289">
        <v>0.4180447058561112</v>
      </c>
      <c r="AJ259" s="289">
        <v>0.39815413461597671</v>
      </c>
      <c r="AK259" s="289">
        <v>0.36891018648107454</v>
      </c>
      <c r="AL259" s="289">
        <v>0.38796807135608441</v>
      </c>
      <c r="AM259" s="289">
        <v>0.43435675248090444</v>
      </c>
      <c r="AN259" s="289">
        <v>0.44109720511264588</v>
      </c>
      <c r="AO259" s="289">
        <v>0.49441959142942954</v>
      </c>
      <c r="AP259" s="289">
        <v>0.4811569492236244</v>
      </c>
      <c r="AQ259" s="289">
        <v>0.53322499791237821</v>
      </c>
      <c r="AR259" s="289">
        <v>0.54093674995767393</v>
      </c>
      <c r="AS259" s="289">
        <v>0.63751073995262375</v>
      </c>
      <c r="AT259" s="289">
        <v>0.67056855635338219</v>
      </c>
      <c r="AU259" s="289">
        <v>0.54318283085664021</v>
      </c>
      <c r="AV259" s="289">
        <v>0.50091211458413176</v>
      </c>
      <c r="AW259" s="289">
        <v>0.42195013684000304</v>
      </c>
      <c r="AX259" s="289">
        <v>0.36388901001738044</v>
      </c>
      <c r="AY259" s="289">
        <v>0.37504990105249747</v>
      </c>
      <c r="AZ259" s="289">
        <v>0.39274592371937495</v>
      </c>
      <c r="BA259" s="289">
        <v>0.43249303752479756</v>
      </c>
      <c r="BB259" s="289">
        <v>0.35128329412982134</v>
      </c>
      <c r="BC259" s="289">
        <v>0.37812768045277412</v>
      </c>
      <c r="BD259" s="289">
        <v>0.40262004317807409</v>
      </c>
      <c r="BE259" s="289">
        <v>0.40875432990415922</v>
      </c>
    </row>
    <row r="260" spans="1:57">
      <c r="A260" s="289" t="s">
        <v>1325</v>
      </c>
      <c r="C260" s="289" t="s">
        <v>601</v>
      </c>
      <c r="F260" s="289">
        <v>0.65721182860591432</v>
      </c>
      <c r="G260" s="289">
        <v>0.66627218934911248</v>
      </c>
      <c r="H260" s="289">
        <v>0.63581774797305946</v>
      </c>
      <c r="I260" s="289">
        <v>0.63027483541187301</v>
      </c>
      <c r="J260" s="289">
        <v>0.64939111478597222</v>
      </c>
      <c r="K260" s="289">
        <v>0.62502711447426407</v>
      </c>
      <c r="L260" s="289">
        <v>0.60607426843738565</v>
      </c>
      <c r="M260" s="289">
        <v>0.60641433588004134</v>
      </c>
      <c r="N260" s="289">
        <v>0.61311968423024432</v>
      </c>
      <c r="O260" s="289">
        <v>0.61098557159996225</v>
      </c>
      <c r="P260" s="289">
        <v>0.55872543762532212</v>
      </c>
      <c r="Q260" s="289">
        <v>0.56006185084570459</v>
      </c>
      <c r="R260" s="289">
        <v>0.61998736604964177</v>
      </c>
      <c r="S260" s="289">
        <v>0.63076973440367268</v>
      </c>
      <c r="T260" s="289">
        <v>0.65436974572886686</v>
      </c>
      <c r="U260" s="289">
        <v>0.63742207313837052</v>
      </c>
      <c r="V260" s="289">
        <v>0.62922561430587098</v>
      </c>
      <c r="W260" s="289">
        <v>0.62828148989583199</v>
      </c>
      <c r="X260" s="289">
        <v>0.61544063224017342</v>
      </c>
      <c r="Y260" s="289">
        <v>0.61346771684424617</v>
      </c>
      <c r="Z260" s="289">
        <v>0.55964811539928572</v>
      </c>
      <c r="AA260" s="289">
        <v>0.56839013880204903</v>
      </c>
      <c r="AB260" s="289">
        <v>0.57605505175867733</v>
      </c>
      <c r="AC260" s="289">
        <v>0.56084111200096931</v>
      </c>
      <c r="AD260" s="289">
        <v>0.58586348431564317</v>
      </c>
      <c r="AE260" s="289">
        <v>0.5917926895306127</v>
      </c>
      <c r="AF260" s="289">
        <v>0.53338060558851819</v>
      </c>
      <c r="AG260" s="289">
        <v>0.54806166734425521</v>
      </c>
      <c r="AH260" s="289">
        <v>0.5550835029677853</v>
      </c>
      <c r="AI260" s="289">
        <v>0.58195529414388902</v>
      </c>
      <c r="AJ260" s="289">
        <v>0.60184586538402329</v>
      </c>
      <c r="AK260" s="289">
        <v>0.63108981351892524</v>
      </c>
      <c r="AL260" s="289">
        <v>0.61203192864391542</v>
      </c>
      <c r="AM260" s="289">
        <v>0.56564324751909578</v>
      </c>
      <c r="AN260" s="289">
        <v>0.55890279488735406</v>
      </c>
      <c r="AO260" s="289">
        <v>0.50558040857057074</v>
      </c>
      <c r="AP260" s="289">
        <v>0.5188430507763756</v>
      </c>
      <c r="AQ260" s="289">
        <v>0.46677500208762179</v>
      </c>
      <c r="AR260" s="289">
        <v>0.4590632500423259</v>
      </c>
      <c r="AS260" s="289">
        <v>0.36248926004737625</v>
      </c>
      <c r="AT260" s="289">
        <v>0.32943144364661775</v>
      </c>
      <c r="AU260" s="289">
        <v>0.4568171691433599</v>
      </c>
      <c r="AV260" s="289">
        <v>0.49908788541586846</v>
      </c>
      <c r="AW260" s="289">
        <v>0.57804986315999696</v>
      </c>
      <c r="AX260" s="289">
        <v>0.63611098998261928</v>
      </c>
      <c r="AY260" s="289">
        <v>0.62495009894750264</v>
      </c>
      <c r="AZ260" s="289">
        <v>0.60725407628062489</v>
      </c>
      <c r="BA260" s="289">
        <v>0.5675069624752026</v>
      </c>
      <c r="BB260" s="289">
        <v>0.6487167058701786</v>
      </c>
      <c r="BC260" s="289">
        <v>0.62187231954722566</v>
      </c>
      <c r="BD260" s="289">
        <v>0.59737995682192579</v>
      </c>
      <c r="BE260" s="289">
        <v>0.5912456700958405</v>
      </c>
    </row>
    <row r="261" spans="1:57">
      <c r="A261" s="289" t="s">
        <v>1326</v>
      </c>
      <c r="C261" s="289" t="s">
        <v>601</v>
      </c>
      <c r="F261" s="289">
        <v>0.25045262522631262</v>
      </c>
      <c r="G261" s="289">
        <v>0.25680473372781071</v>
      </c>
      <c r="H261" s="289">
        <v>0.24299746630441968</v>
      </c>
      <c r="I261" s="289">
        <v>0.23925783031234549</v>
      </c>
      <c r="J261" s="289">
        <v>0.24968738978124821</v>
      </c>
      <c r="K261" s="289">
        <v>0.24053044829636927</v>
      </c>
      <c r="L261" s="289">
        <v>0.23071309521694591</v>
      </c>
      <c r="M261" s="289">
        <v>0.23018070048331479</v>
      </c>
      <c r="N261" s="289">
        <v>0.23372103029217006</v>
      </c>
      <c r="O261" s="289">
        <v>0.23203674038526625</v>
      </c>
      <c r="P261" s="289">
        <v>0.21025839329483728</v>
      </c>
      <c r="Q261" s="289">
        <v>0.19040983433144312</v>
      </c>
      <c r="R261" s="289">
        <v>0.18903803848934911</v>
      </c>
      <c r="S261" s="289">
        <v>0.17920729364953841</v>
      </c>
      <c r="T261" s="289">
        <v>0.18900095767719932</v>
      </c>
      <c r="U261" s="289">
        <v>0.19429667510703538</v>
      </c>
      <c r="V261" s="289">
        <v>0.2074005136538517</v>
      </c>
      <c r="W261" s="289">
        <v>0.20102908751619344</v>
      </c>
      <c r="X261" s="289">
        <v>0.20927408528965363</v>
      </c>
      <c r="Y261" s="289">
        <v>0.21264812500901001</v>
      </c>
      <c r="Z261" s="289">
        <v>0.17882101207061987</v>
      </c>
      <c r="AA261" s="289">
        <v>0.1916322635034233</v>
      </c>
      <c r="AB261" s="289">
        <v>0.21289984140350252</v>
      </c>
      <c r="AC261" s="289">
        <v>0.21027847849872369</v>
      </c>
      <c r="AD261" s="289">
        <v>0.22806103786243981</v>
      </c>
      <c r="AE261" s="289">
        <v>0.22204997850576735</v>
      </c>
      <c r="AF261" s="289">
        <v>0.23278426337544264</v>
      </c>
      <c r="AG261" s="289">
        <v>0.25002255601110346</v>
      </c>
      <c r="AH261" s="289">
        <v>0.28478348676095894</v>
      </c>
      <c r="AI261" s="289">
        <v>0.33729113359831936</v>
      </c>
      <c r="AJ261" s="289">
        <v>0.37144356797452444</v>
      </c>
      <c r="AK261" s="289">
        <v>0.40568268904202825</v>
      </c>
      <c r="AL261" s="289">
        <v>0.35781276929225586</v>
      </c>
      <c r="AM261" s="289">
        <v>0.26747033349221311</v>
      </c>
      <c r="AN261" s="289">
        <v>0.23009749456644313</v>
      </c>
      <c r="AO261" s="289">
        <v>0.18639025681913637</v>
      </c>
      <c r="AP261" s="289">
        <v>0.15634421095691692</v>
      </c>
      <c r="AQ261" s="289">
        <v>0.14156063977986527</v>
      </c>
      <c r="AR261" s="289">
        <v>0.13882941112029554</v>
      </c>
      <c r="AS261" s="289">
        <v>7.9720560485004227E-2</v>
      </c>
      <c r="AT261" s="289">
        <v>0.11223770158428846</v>
      </c>
      <c r="AU261" s="289">
        <v>0.1370060767776301</v>
      </c>
      <c r="AV261" s="289">
        <v>0.1807848210522888</v>
      </c>
      <c r="AW261" s="289">
        <v>0.22891741031571206</v>
      </c>
      <c r="AX261" s="289">
        <v>0.25522098451590336</v>
      </c>
      <c r="AY261" s="289">
        <v>0.26006140227344238</v>
      </c>
      <c r="AZ261" s="289">
        <v>0.23516859578806476</v>
      </c>
      <c r="BA261" s="289">
        <v>0.24808033634261445</v>
      </c>
      <c r="BB261" s="289">
        <v>0.2243955045671667</v>
      </c>
      <c r="BC261" s="289">
        <v>0.15124242117517744</v>
      </c>
      <c r="BD261" s="289">
        <v>0.15934918248868776</v>
      </c>
      <c r="BE261" s="289">
        <v>0.17028145781519885</v>
      </c>
    </row>
    <row r="262" spans="1:57">
      <c r="A262" s="289" t="s">
        <v>1327</v>
      </c>
      <c r="C262" s="289" t="s">
        <v>601</v>
      </c>
      <c r="F262" s="289">
        <v>0.40675920337960175</v>
      </c>
      <c r="G262" s="289">
        <v>0.40946745562130171</v>
      </c>
      <c r="H262" s="289">
        <v>0.3928202816686398</v>
      </c>
      <c r="I262" s="289">
        <v>0.39101700509952753</v>
      </c>
      <c r="J262" s="289">
        <v>0.39970372500472401</v>
      </c>
      <c r="K262" s="289">
        <v>0.38449666617789485</v>
      </c>
      <c r="L262" s="289">
        <v>0.37536117322043971</v>
      </c>
      <c r="M262" s="289">
        <v>0.37623363539672655</v>
      </c>
      <c r="N262" s="289">
        <v>0.37939865393807432</v>
      </c>
      <c r="O262" s="289">
        <v>0.37894883121469602</v>
      </c>
      <c r="P262" s="289">
        <v>0.34846704433048481</v>
      </c>
      <c r="Q262" s="289">
        <v>0.36965201651426144</v>
      </c>
      <c r="R262" s="289">
        <v>0.43094932756029264</v>
      </c>
      <c r="S262" s="289">
        <v>0.45156244075413432</v>
      </c>
      <c r="T262" s="289">
        <v>0.46536878805166754</v>
      </c>
      <c r="U262" s="289">
        <v>0.44312539803133516</v>
      </c>
      <c r="V262" s="289">
        <v>0.42182510065201928</v>
      </c>
      <c r="W262" s="289">
        <v>0.42725240237963846</v>
      </c>
      <c r="X262" s="289">
        <v>0.40616654695051979</v>
      </c>
      <c r="Y262" s="289">
        <v>0.40081959183523613</v>
      </c>
      <c r="Z262" s="289">
        <v>0.38082710332866576</v>
      </c>
      <c r="AA262" s="289">
        <v>0.37675787529862564</v>
      </c>
      <c r="AB262" s="289">
        <v>0.36315521035517484</v>
      </c>
      <c r="AC262" s="289">
        <v>0.35056263350224565</v>
      </c>
      <c r="AD262" s="289">
        <v>0.3578024464532033</v>
      </c>
      <c r="AE262" s="289">
        <v>0.36974271102484535</v>
      </c>
      <c r="AF262" s="289">
        <v>0.30059634221307552</v>
      </c>
      <c r="AG262" s="289">
        <v>0.29803911133315175</v>
      </c>
      <c r="AH262" s="289">
        <v>0.27030001620682642</v>
      </c>
      <c r="AI262" s="289">
        <v>0.24466416054556972</v>
      </c>
      <c r="AJ262" s="289">
        <v>0.23040229740949883</v>
      </c>
      <c r="AK262" s="289">
        <v>0.22540712447689698</v>
      </c>
      <c r="AL262" s="289">
        <v>0.25421915935165962</v>
      </c>
      <c r="AM262" s="289">
        <v>0.29817291402688267</v>
      </c>
      <c r="AN262" s="289">
        <v>0.32880530032091093</v>
      </c>
      <c r="AO262" s="289">
        <v>0.31919015175143439</v>
      </c>
      <c r="AP262" s="289">
        <v>0.36249883981945874</v>
      </c>
      <c r="AQ262" s="289">
        <v>0.32521436230775652</v>
      </c>
      <c r="AR262" s="289">
        <v>0.32023383892203033</v>
      </c>
      <c r="AS262" s="289">
        <v>0.28276869956237205</v>
      </c>
      <c r="AT262" s="289">
        <v>0.21719374206232928</v>
      </c>
      <c r="AU262" s="289">
        <v>0.3198110923657298</v>
      </c>
      <c r="AV262" s="289">
        <v>0.31830306436357969</v>
      </c>
      <c r="AW262" s="289">
        <v>0.34913245284428496</v>
      </c>
      <c r="AX262" s="289">
        <v>0.38089000546671598</v>
      </c>
      <c r="AY262" s="289">
        <v>0.36488869667406026</v>
      </c>
      <c r="AZ262" s="289">
        <v>0.37208548049256013</v>
      </c>
      <c r="BA262" s="289">
        <v>0.31942662613258815</v>
      </c>
      <c r="BB262" s="289">
        <v>0.42432120130301193</v>
      </c>
      <c r="BC262" s="289">
        <v>0.47062989837204827</v>
      </c>
      <c r="BD262" s="289">
        <v>0.43803077433323806</v>
      </c>
      <c r="BE262" s="289">
        <v>0.42096421228064163</v>
      </c>
    </row>
  </sheetData>
  <phoneticPr fontId="104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CV232"/>
  <sheetViews>
    <sheetView workbookViewId="0">
      <pane xSplit="2" ySplit="2" topLeftCell="CI3" activePane="bottomRight" state="frozen"/>
      <selection pane="topRight" activeCell="C1" sqref="C1"/>
      <selection pane="bottomLeft" activeCell="A3" sqref="A3"/>
      <selection pane="bottomRight" activeCell="CO1" sqref="CO1:CV65536"/>
    </sheetView>
  </sheetViews>
  <sheetFormatPr defaultRowHeight="12.75"/>
  <cols>
    <col min="1" max="1" width="19.42578125" style="164" customWidth="1"/>
    <col min="2" max="2" width="13.140625" style="164" customWidth="1"/>
    <col min="3" max="5" width="1.5703125" style="164" customWidth="1"/>
    <col min="6" max="59" width="7.28515625" style="164" customWidth="1"/>
    <col min="60" max="82" width="9.140625" style="164"/>
    <col min="83" max="83" width="7.28515625" style="164" customWidth="1"/>
    <col min="84" max="86" width="7.42578125" style="164" customWidth="1"/>
    <col min="87" max="92" width="9.140625" style="164"/>
    <col min="93" max="100" width="9.140625" style="302"/>
    <col min="101" max="16384" width="9.140625" style="164"/>
  </cols>
  <sheetData>
    <row r="2" spans="1:100" ht="15.75">
      <c r="A2" s="164" t="s">
        <v>3610</v>
      </c>
      <c r="B2" s="164" t="s">
        <v>2219</v>
      </c>
      <c r="F2" s="501" t="s">
        <v>2930</v>
      </c>
      <c r="G2" s="501" t="s">
        <v>2931</v>
      </c>
      <c r="H2" s="501" t="s">
        <v>2932</v>
      </c>
      <c r="I2" s="501" t="s">
        <v>2933</v>
      </c>
      <c r="J2" s="501" t="s">
        <v>2934</v>
      </c>
      <c r="K2" s="501" t="s">
        <v>2935</v>
      </c>
      <c r="L2" s="501" t="s">
        <v>2936</v>
      </c>
      <c r="M2" s="501" t="s">
        <v>2937</v>
      </c>
      <c r="N2" s="501" t="s">
        <v>2938</v>
      </c>
      <c r="O2" s="501" t="s">
        <v>2939</v>
      </c>
      <c r="P2" s="501" t="s">
        <v>2940</v>
      </c>
      <c r="Q2" s="501" t="s">
        <v>2941</v>
      </c>
      <c r="R2" s="501" t="s">
        <v>2942</v>
      </c>
      <c r="S2" s="501" t="s">
        <v>2943</v>
      </c>
      <c r="T2" s="501" t="s">
        <v>2944</v>
      </c>
      <c r="U2" s="501" t="s">
        <v>2945</v>
      </c>
      <c r="V2" s="501" t="s">
        <v>2946</v>
      </c>
      <c r="W2" s="501" t="s">
        <v>2947</v>
      </c>
      <c r="X2" s="501" t="s">
        <v>2948</v>
      </c>
      <c r="Y2" s="501" t="s">
        <v>2949</v>
      </c>
      <c r="Z2" s="501" t="s">
        <v>2950</v>
      </c>
      <c r="AA2" s="501" t="s">
        <v>2951</v>
      </c>
      <c r="AB2" s="501" t="s">
        <v>2952</v>
      </c>
      <c r="AC2" s="501" t="s">
        <v>2953</v>
      </c>
      <c r="AD2" s="501" t="s">
        <v>2954</v>
      </c>
      <c r="AE2" s="501" t="s">
        <v>2955</v>
      </c>
      <c r="AF2" s="501" t="s">
        <v>2956</v>
      </c>
      <c r="AG2" s="501" t="s">
        <v>2957</v>
      </c>
      <c r="AH2" s="501" t="s">
        <v>2958</v>
      </c>
      <c r="AI2" s="501" t="s">
        <v>2959</v>
      </c>
      <c r="AJ2" s="501" t="s">
        <v>2960</v>
      </c>
      <c r="AK2" s="501" t="s">
        <v>2961</v>
      </c>
      <c r="AL2" s="501" t="s">
        <v>2962</v>
      </c>
      <c r="AM2" s="501" t="s">
        <v>2963</v>
      </c>
      <c r="AN2" s="501" t="s">
        <v>2964</v>
      </c>
      <c r="AO2" s="501" t="s">
        <v>2965</v>
      </c>
      <c r="AP2" s="501" t="s">
        <v>2966</v>
      </c>
      <c r="AQ2" s="501" t="s">
        <v>2967</v>
      </c>
      <c r="AR2" s="501" t="s">
        <v>2968</v>
      </c>
      <c r="AS2" s="501" t="s">
        <v>2969</v>
      </c>
      <c r="AT2" s="501" t="s">
        <v>2970</v>
      </c>
      <c r="AU2" s="501" t="s">
        <v>2971</v>
      </c>
      <c r="AV2" s="501" t="s">
        <v>2972</v>
      </c>
      <c r="AW2" s="501" t="s">
        <v>2973</v>
      </c>
      <c r="AX2" s="501" t="s">
        <v>2974</v>
      </c>
      <c r="AY2" s="501" t="s">
        <v>2975</v>
      </c>
      <c r="AZ2" s="501" t="s">
        <v>2976</v>
      </c>
      <c r="BA2" s="501" t="s">
        <v>2977</v>
      </c>
      <c r="BB2" s="501" t="s">
        <v>2978</v>
      </c>
      <c r="BC2" s="501" t="s">
        <v>2979</v>
      </c>
      <c r="BD2" s="501" t="s">
        <v>2980</v>
      </c>
      <c r="BE2" s="501" t="s">
        <v>2981</v>
      </c>
      <c r="BF2" s="501" t="s">
        <v>2982</v>
      </c>
      <c r="BG2" s="501" t="s">
        <v>2983</v>
      </c>
      <c r="BH2" s="501" t="s">
        <v>2984</v>
      </c>
      <c r="BI2" s="501" t="s">
        <v>2985</v>
      </c>
      <c r="BJ2" s="501" t="s">
        <v>2986</v>
      </c>
      <c r="BK2" s="501" t="s">
        <v>2987</v>
      </c>
      <c r="BL2" s="501" t="s">
        <v>2988</v>
      </c>
      <c r="BM2" s="501" t="s">
        <v>2989</v>
      </c>
      <c r="BN2" s="501" t="s">
        <v>2990</v>
      </c>
      <c r="BO2" s="501" t="s">
        <v>2991</v>
      </c>
      <c r="BP2" s="501" t="s">
        <v>2992</v>
      </c>
      <c r="BQ2" s="501" t="s">
        <v>2993</v>
      </c>
      <c r="BR2" s="501" t="s">
        <v>2994</v>
      </c>
      <c r="BS2" s="501" t="s">
        <v>2995</v>
      </c>
      <c r="BT2" s="501" t="s">
        <v>2996</v>
      </c>
      <c r="BU2" s="501" t="s">
        <v>2997</v>
      </c>
      <c r="BV2" s="501" t="s">
        <v>4165</v>
      </c>
      <c r="BW2" s="501" t="s">
        <v>4166</v>
      </c>
      <c r="BX2" s="501" t="s">
        <v>4167</v>
      </c>
      <c r="BY2" s="501" t="s">
        <v>4168</v>
      </c>
      <c r="BZ2" s="501" t="s">
        <v>4169</v>
      </c>
      <c r="CA2" s="501" t="s">
        <v>4170</v>
      </c>
      <c r="CB2" s="501" t="s">
        <v>4171</v>
      </c>
      <c r="CC2" s="501" t="s">
        <v>4172</v>
      </c>
      <c r="CD2" s="501" t="s">
        <v>4173</v>
      </c>
      <c r="CF2" s="234">
        <v>2008</v>
      </c>
      <c r="CG2" s="234">
        <v>2009</v>
      </c>
      <c r="CH2" s="234">
        <f t="shared" ref="CH2:CM2" si="0">CG2+1</f>
        <v>2010</v>
      </c>
      <c r="CI2" s="234">
        <f t="shared" si="0"/>
        <v>2011</v>
      </c>
      <c r="CJ2" s="234">
        <f t="shared" si="0"/>
        <v>2012</v>
      </c>
      <c r="CK2" s="234">
        <f t="shared" si="0"/>
        <v>2013</v>
      </c>
      <c r="CL2" s="234">
        <f t="shared" si="0"/>
        <v>2014</v>
      </c>
      <c r="CM2" s="234">
        <f t="shared" si="0"/>
        <v>2015</v>
      </c>
      <c r="CN2" s="234"/>
      <c r="CO2" s="236" t="s">
        <v>2984</v>
      </c>
      <c r="CP2" s="236" t="s">
        <v>2985</v>
      </c>
      <c r="CQ2" s="236" t="s">
        <v>2986</v>
      </c>
      <c r="CR2" s="236" t="s">
        <v>2987</v>
      </c>
      <c r="CS2" s="302" t="s">
        <v>2988</v>
      </c>
      <c r="CT2" s="302" t="s">
        <v>2989</v>
      </c>
      <c r="CU2" s="302" t="s">
        <v>2990</v>
      </c>
      <c r="CV2" s="302" t="s">
        <v>2991</v>
      </c>
    </row>
    <row r="3" spans="1:100">
      <c r="A3" s="186" t="s">
        <v>3609</v>
      </c>
      <c r="B3" s="186" t="s">
        <v>2302</v>
      </c>
      <c r="C3" s="186"/>
      <c r="D3" s="186"/>
      <c r="E3" s="186"/>
      <c r="AY3" s="164">
        <f>0.86*AY6</f>
        <v>12.212</v>
      </c>
      <c r="AZ3" s="164">
        <f>1.326*AZ6</f>
        <v>14.586</v>
      </c>
      <c r="BA3" s="164">
        <f>2.179*BA6</f>
        <v>24.186899999999998</v>
      </c>
      <c r="BB3" s="164">
        <f>2.327*BB6</f>
        <v>33.043399999999998</v>
      </c>
      <c r="BC3" s="164">
        <f>2.603*BC6</f>
        <v>23.6873</v>
      </c>
      <c r="BD3" s="164">
        <f>2.734*BD6</f>
        <v>32.534599999999998</v>
      </c>
    </row>
    <row r="4" spans="1:100" s="165" customFormat="1">
      <c r="A4" s="167" t="s">
        <v>2301</v>
      </c>
      <c r="B4" s="179" t="s">
        <v>2656</v>
      </c>
      <c r="C4" s="179"/>
      <c r="D4" s="179"/>
      <c r="E4" s="179"/>
      <c r="F4" s="180">
        <v>1.8640000000000001</v>
      </c>
      <c r="G4" s="180">
        <v>2.7949999999999999</v>
      </c>
      <c r="H4" s="180">
        <v>3.427</v>
      </c>
      <c r="I4" s="180">
        <v>0</v>
      </c>
      <c r="J4" s="180">
        <v>2.4279999999999999</v>
      </c>
      <c r="K4" s="180">
        <v>2.6880000000000002</v>
      </c>
      <c r="L4" s="180">
        <v>3.7360000000000002</v>
      </c>
      <c r="M4" s="180">
        <v>3.4590000000000001</v>
      </c>
      <c r="N4" s="180">
        <v>4.8940000000000001</v>
      </c>
      <c r="O4" s="180">
        <v>5.1239999999999997</v>
      </c>
      <c r="P4" s="180">
        <v>3.3220000000000001</v>
      </c>
      <c r="Q4" s="180">
        <v>4.8600000000000003</v>
      </c>
      <c r="R4" s="180">
        <v>0</v>
      </c>
      <c r="S4" s="180">
        <v>7.1420000000000003</v>
      </c>
      <c r="T4" s="180">
        <v>9.8970000000000002</v>
      </c>
      <c r="U4" s="180">
        <v>7.7569999999999997</v>
      </c>
      <c r="V4" s="180">
        <v>5.3170000000000002</v>
      </c>
      <c r="W4" s="180">
        <v>10</v>
      </c>
      <c r="X4" s="180">
        <v>8.6</v>
      </c>
      <c r="Y4" s="180">
        <v>20.6</v>
      </c>
      <c r="Z4" s="180">
        <v>32.799999999999997</v>
      </c>
      <c r="AA4" s="180">
        <v>32.9</v>
      </c>
      <c r="AB4" s="180">
        <v>27.4</v>
      </c>
      <c r="AC4" s="180">
        <v>30.6</v>
      </c>
      <c r="AD4" s="180">
        <v>41.8</v>
      </c>
      <c r="AE4" s="180">
        <v>67.8</v>
      </c>
      <c r="AF4" s="180">
        <v>75.3</v>
      </c>
      <c r="AG4" s="180">
        <v>63.492449999999998</v>
      </c>
      <c r="AH4" s="180">
        <v>70.293300000000002</v>
      </c>
      <c r="AI4" s="180">
        <v>66.099999999999994</v>
      </c>
      <c r="AJ4" s="180">
        <v>61.6</v>
      </c>
      <c r="AK4" s="180">
        <v>82.8</v>
      </c>
      <c r="AL4" s="180">
        <v>63.8</v>
      </c>
      <c r="AM4" s="180">
        <v>67.2</v>
      </c>
      <c r="AN4" s="180">
        <v>71</v>
      </c>
      <c r="AO4" s="180">
        <v>30</v>
      </c>
      <c r="AP4" s="180">
        <v>45.4</v>
      </c>
      <c r="AQ4" s="180">
        <v>39.200000000000003</v>
      </c>
      <c r="AR4" s="180">
        <v>57.1</v>
      </c>
      <c r="AS4" s="180">
        <v>48.8</v>
      </c>
      <c r="AT4" s="180">
        <v>3402.3</v>
      </c>
      <c r="AU4" s="180">
        <v>16296.303400000001</v>
      </c>
      <c r="AV4" s="179">
        <f>1000*Model!AV92</f>
        <v>13430.94339825</v>
      </c>
      <c r="AW4" s="179">
        <f>1000*Model!AW92</f>
        <v>9904.6911780000028</v>
      </c>
      <c r="AX4" s="179">
        <f>1000*Model!AX92</f>
        <v>6684.2248900000004</v>
      </c>
      <c r="AY4" s="179">
        <f>1000*Model!AY92</f>
        <v>12223.715240099998</v>
      </c>
      <c r="AZ4" s="179">
        <f>1000*Model!AZ92</f>
        <v>14534.852567375887</v>
      </c>
      <c r="BA4" s="179">
        <f>1000*Model!BA92</f>
        <v>24119.955909090906</v>
      </c>
      <c r="BB4" s="179">
        <f>1000*Model!BB92</f>
        <v>32984.67900401607</v>
      </c>
      <c r="BC4" s="179">
        <f>1000*Model!BC92</f>
        <v>23682.864914285718</v>
      </c>
      <c r="BD4" s="179">
        <f>1000*Model!BD92</f>
        <v>32709.654676259008</v>
      </c>
      <c r="BE4" s="179">
        <f>1000*Model!BE92</f>
        <v>24297.000000000011</v>
      </c>
      <c r="BF4" s="179">
        <f>1000*Model!BF92</f>
        <v>31585.116007194269</v>
      </c>
      <c r="BG4" s="179">
        <f>1000*Model!BG92</f>
        <v>42313.483812949671</v>
      </c>
      <c r="BH4" s="179">
        <f>1000*Model!BH92</f>
        <v>89337.901079136747</v>
      </c>
      <c r="BI4" s="179">
        <f>1000*Model!BI92</f>
        <v>60434.352517985652</v>
      </c>
      <c r="BJ4" s="179">
        <f>1000*Model!BJ92</f>
        <v>115431.52877697846</v>
      </c>
      <c r="BK4" s="179">
        <f>1000*Model!BK92</f>
        <v>99664.000000000029</v>
      </c>
      <c r="BL4" s="179">
        <f>1000*Model!BL92</f>
        <v>106329.00000000004</v>
      </c>
      <c r="BM4" s="179">
        <f>1000*Model!BM92</f>
        <v>136179.04615384623</v>
      </c>
      <c r="BN4" s="179">
        <f>1000*Model!BN92</f>
        <v>185346.73846153854</v>
      </c>
      <c r="BO4" s="179">
        <f>1000*Model!BO92</f>
        <v>164600.13663858466</v>
      </c>
      <c r="BP4" s="179">
        <f>1000*Model!BP92</f>
        <v>191299.75283243749</v>
      </c>
      <c r="BQ4" s="179">
        <f>1000*Model!BQ92</f>
        <v>206890.68268828114</v>
      </c>
      <c r="BR4" s="179">
        <f>1000*Model!BR92</f>
        <v>223752.27332737608</v>
      </c>
      <c r="BS4" s="179">
        <f>1000*Model!BS92</f>
        <v>241988.08360355726</v>
      </c>
      <c r="BT4" s="179">
        <f>1000*Model!BT92</f>
        <v>261710.11241724715</v>
      </c>
      <c r="BU4" s="179">
        <f>1000*Model!BU92</f>
        <v>283039.48657925281</v>
      </c>
      <c r="BV4" s="179">
        <f>1000*Model!BV92</f>
        <v>306107.20473546197</v>
      </c>
      <c r="BW4" s="179">
        <f>1000*Model!BW92</f>
        <v>331054.94192140218</v>
      </c>
      <c r="BX4" s="179">
        <f>1000*Model!BX92</f>
        <v>358035.91968799644</v>
      </c>
      <c r="BY4" s="179">
        <f>1000*Model!BY92</f>
        <v>387215.84714256815</v>
      </c>
      <c r="BZ4" s="179">
        <f>1000*Model!BZ92</f>
        <v>418773.93868468737</v>
      </c>
      <c r="CA4" s="179">
        <f>1000*Model!CA92</f>
        <v>452904.01468748949</v>
      </c>
      <c r="CB4" s="179">
        <f>1000*Model!CB92</f>
        <v>489815.69188451988</v>
      </c>
      <c r="CC4" s="179">
        <f>1000*Model!CC92</f>
        <v>529735.67077310826</v>
      </c>
      <c r="CD4" s="179">
        <f>1000*Model!CD92</f>
        <v>572909.12794111657</v>
      </c>
      <c r="CF4" s="166">
        <f t="shared" ref="CF4:CF35" si="1">BH4-CO4</f>
        <v>0</v>
      </c>
      <c r="CG4" s="166">
        <f t="shared" ref="CG4:CG35" si="2">BI4-CP4</f>
        <v>0</v>
      </c>
      <c r="CH4" s="166">
        <f t="shared" ref="CH4:CH35" si="3">BJ4-CQ4</f>
        <v>0</v>
      </c>
      <c r="CI4" s="166">
        <f t="shared" ref="CI4:CI35" si="4">BK4-CR4</f>
        <v>0</v>
      </c>
      <c r="CJ4" s="166">
        <f t="shared" ref="CJ4:CJ35" si="5">BL4-CS4</f>
        <v>0</v>
      </c>
      <c r="CK4" s="166">
        <f t="shared" ref="CK4:CK35" si="6">BM4-CT4</f>
        <v>0</v>
      </c>
      <c r="CL4" s="166">
        <f t="shared" ref="CL4:CL35" si="7">BN4-CU4</f>
        <v>0</v>
      </c>
      <c r="CM4" s="166">
        <f t="shared" ref="CM4:CM35" si="8">BO4-CV4</f>
        <v>0</v>
      </c>
      <c r="CN4" s="166"/>
      <c r="CO4" s="302">
        <v>89337.901079136747</v>
      </c>
      <c r="CP4" s="302">
        <v>60434.352517985652</v>
      </c>
      <c r="CQ4" s="302">
        <v>115431.52877697846</v>
      </c>
      <c r="CR4" s="302">
        <v>99664.000000000029</v>
      </c>
      <c r="CS4" s="302">
        <v>106329.00000000004</v>
      </c>
      <c r="CT4" s="302">
        <v>136179.04615384623</v>
      </c>
      <c r="CU4" s="302">
        <v>185346.73846153854</v>
      </c>
      <c r="CV4" s="302">
        <v>164600.13663858466</v>
      </c>
    </row>
    <row r="5" spans="1:100">
      <c r="A5" s="186" t="s">
        <v>2655</v>
      </c>
      <c r="B5" s="187" t="s">
        <v>2654</v>
      </c>
      <c r="C5" s="187"/>
      <c r="D5" s="187"/>
      <c r="E5" s="187"/>
      <c r="F5" s="188">
        <v>1.8640000000000001</v>
      </c>
      <c r="G5" s="188">
        <v>2.7949999999999999</v>
      </c>
      <c r="H5" s="188">
        <v>3.427</v>
      </c>
      <c r="I5" s="188">
        <v>3.0575000000000001</v>
      </c>
      <c r="J5" s="188">
        <v>2.4279999999999999</v>
      </c>
      <c r="K5" s="188">
        <v>2.6880000000000002</v>
      </c>
      <c r="L5" s="188">
        <v>3.7360000000000002</v>
      </c>
      <c r="M5" s="188">
        <v>3.4590000000000001</v>
      </c>
      <c r="N5" s="188">
        <v>4.8940000000000001</v>
      </c>
      <c r="O5" s="188">
        <v>5.1239999999999997</v>
      </c>
      <c r="P5" s="188">
        <v>3.3220000000000001</v>
      </c>
      <c r="Q5" s="188">
        <v>4.8600000000000003</v>
      </c>
      <c r="R5" s="188">
        <v>7.3785000000000007</v>
      </c>
      <c r="S5" s="188">
        <v>7.1420000000000003</v>
      </c>
      <c r="T5" s="188">
        <v>9.8970000000000002</v>
      </c>
      <c r="U5" s="188">
        <v>7.7569999999999997</v>
      </c>
      <c r="V5" s="188">
        <v>5.3170000000000002</v>
      </c>
      <c r="W5" s="188">
        <v>10</v>
      </c>
      <c r="X5" s="188">
        <v>8.6</v>
      </c>
      <c r="Y5" s="188">
        <v>20.6</v>
      </c>
      <c r="Z5" s="188">
        <v>32.799999999999997</v>
      </c>
      <c r="AA5" s="188">
        <v>32.9</v>
      </c>
      <c r="AB5" s="188">
        <v>27.4</v>
      </c>
      <c r="AC5" s="188">
        <v>30.6</v>
      </c>
      <c r="AD5" s="188">
        <v>41.8</v>
      </c>
      <c r="AE5" s="188">
        <v>67.8</v>
      </c>
      <c r="AF5" s="188">
        <v>75.3</v>
      </c>
      <c r="AG5" s="188">
        <v>63.492449999999998</v>
      </c>
      <c r="AH5" s="188">
        <v>70.293300000000002</v>
      </c>
      <c r="AI5" s="188">
        <v>66.099999999999994</v>
      </c>
      <c r="AJ5" s="188">
        <v>61.6</v>
      </c>
      <c r="AK5" s="188">
        <v>82.8</v>
      </c>
      <c r="AL5" s="188">
        <v>63.8</v>
      </c>
      <c r="AM5" s="188">
        <v>67.2</v>
      </c>
      <c r="AN5" s="188">
        <v>71</v>
      </c>
      <c r="AO5" s="188">
        <v>30</v>
      </c>
      <c r="AP5" s="188">
        <v>45.4</v>
      </c>
      <c r="AQ5" s="188">
        <v>39.200000000000003</v>
      </c>
      <c r="AR5" s="188">
        <v>57.1</v>
      </c>
      <c r="AS5" s="188">
        <v>48.8</v>
      </c>
      <c r="AT5" s="188">
        <v>3402.3</v>
      </c>
      <c r="AU5" s="188">
        <v>16134.04</v>
      </c>
      <c r="AV5" s="188">
        <v>13265.95644</v>
      </c>
      <c r="AW5" s="188">
        <v>10126.99098</v>
      </c>
      <c r="AX5" s="188">
        <v>8182.9755000000023</v>
      </c>
      <c r="AY5" s="188">
        <v>11233.913460000002</v>
      </c>
      <c r="AZ5" s="188">
        <v>21101.714449200004</v>
      </c>
      <c r="BA5" s="166" t="s">
        <v>2219</v>
      </c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F5" s="166">
        <f t="shared" si="1"/>
        <v>0</v>
      </c>
      <c r="CG5" s="166">
        <f t="shared" si="2"/>
        <v>0</v>
      </c>
      <c r="CH5" s="166">
        <f t="shared" si="3"/>
        <v>0</v>
      </c>
      <c r="CI5" s="166">
        <f t="shared" si="4"/>
        <v>0</v>
      </c>
      <c r="CJ5" s="166">
        <f t="shared" si="5"/>
        <v>0</v>
      </c>
      <c r="CK5" s="166">
        <f t="shared" si="6"/>
        <v>0</v>
      </c>
      <c r="CL5" s="166">
        <f t="shared" si="7"/>
        <v>0</v>
      </c>
      <c r="CM5" s="166">
        <f t="shared" si="8"/>
        <v>0</v>
      </c>
      <c r="CN5" s="166"/>
    </row>
    <row r="6" spans="1:100">
      <c r="A6" s="186" t="s">
        <v>2653</v>
      </c>
      <c r="B6" s="193" t="s">
        <v>2678</v>
      </c>
      <c r="C6" s="193"/>
      <c r="D6" s="193"/>
      <c r="E6" s="193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>
        <v>41</v>
      </c>
      <c r="AQ6" s="188">
        <v>19.5</v>
      </c>
      <c r="AR6" s="188">
        <v>27.9</v>
      </c>
      <c r="AS6" s="188">
        <v>26.6</v>
      </c>
      <c r="AT6" s="188">
        <v>30.5</v>
      </c>
      <c r="AU6" s="188">
        <v>35.799999999999997</v>
      </c>
      <c r="AV6" s="188">
        <v>35.299999999999997</v>
      </c>
      <c r="AW6" s="188">
        <v>28.9</v>
      </c>
      <c r="AX6" s="188">
        <v>19.600000000000001</v>
      </c>
      <c r="AY6" s="188">
        <v>14.2</v>
      </c>
      <c r="AZ6" s="188">
        <v>11</v>
      </c>
      <c r="BA6" s="192">
        <v>11.1</v>
      </c>
      <c r="BB6" s="191">
        <v>14.2</v>
      </c>
      <c r="BC6" s="191">
        <v>9.1</v>
      </c>
      <c r="BD6" s="191">
        <v>11.9</v>
      </c>
      <c r="BE6" s="191">
        <v>4.6879700800000004</v>
      </c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F6" s="166">
        <f t="shared" si="1"/>
        <v>0</v>
      </c>
      <c r="CG6" s="166">
        <f t="shared" si="2"/>
        <v>0</v>
      </c>
      <c r="CH6" s="166">
        <f t="shared" si="3"/>
        <v>0</v>
      </c>
      <c r="CI6" s="166">
        <f t="shared" si="4"/>
        <v>0</v>
      </c>
      <c r="CJ6" s="166">
        <f t="shared" si="5"/>
        <v>0</v>
      </c>
      <c r="CK6" s="166">
        <f t="shared" si="6"/>
        <v>0</v>
      </c>
      <c r="CL6" s="166">
        <f t="shared" si="7"/>
        <v>0</v>
      </c>
      <c r="CM6" s="166">
        <f t="shared" si="8"/>
        <v>0</v>
      </c>
      <c r="CN6" s="166"/>
    </row>
    <row r="7" spans="1:100">
      <c r="A7" s="186" t="s">
        <v>2677</v>
      </c>
      <c r="B7" s="186"/>
      <c r="C7" s="186"/>
      <c r="D7" s="186"/>
      <c r="E7" s="186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F7" s="166">
        <f t="shared" si="1"/>
        <v>0</v>
      </c>
      <c r="CG7" s="166">
        <f t="shared" si="2"/>
        <v>0</v>
      </c>
      <c r="CH7" s="166">
        <f t="shared" si="3"/>
        <v>0</v>
      </c>
      <c r="CI7" s="166">
        <f t="shared" si="4"/>
        <v>0</v>
      </c>
      <c r="CJ7" s="166">
        <f t="shared" si="5"/>
        <v>0</v>
      </c>
      <c r="CK7" s="166">
        <f t="shared" si="6"/>
        <v>0</v>
      </c>
      <c r="CL7" s="166">
        <f t="shared" si="7"/>
        <v>0</v>
      </c>
      <c r="CM7" s="166">
        <f t="shared" si="8"/>
        <v>0</v>
      </c>
      <c r="CN7" s="166"/>
    </row>
    <row r="8" spans="1:100">
      <c r="A8" s="186" t="s">
        <v>2676</v>
      </c>
      <c r="B8" s="179" t="s">
        <v>2675</v>
      </c>
      <c r="C8" s="179"/>
      <c r="D8" s="179"/>
      <c r="E8" s="179"/>
      <c r="F8" s="181">
        <v>6.4169999999999998</v>
      </c>
      <c r="G8" s="181">
        <v>11.891</v>
      </c>
      <c r="H8" s="181">
        <v>14.673999999999999</v>
      </c>
      <c r="I8" s="190">
        <v>12.4575</v>
      </c>
      <c r="J8" s="181">
        <v>10.241</v>
      </c>
      <c r="K8" s="181">
        <v>11.831</v>
      </c>
      <c r="L8" s="181">
        <v>17.937000000000001</v>
      </c>
      <c r="M8" s="181">
        <v>19.260000000000002</v>
      </c>
      <c r="N8" s="181">
        <v>20.677</v>
      </c>
      <c r="O8" s="181">
        <v>21.733000000000001</v>
      </c>
      <c r="P8" s="181">
        <v>14.4</v>
      </c>
      <c r="Q8" s="181">
        <v>21.050999999999998</v>
      </c>
      <c r="R8" s="190">
        <v>22.826499999999999</v>
      </c>
      <c r="S8" s="181">
        <v>24.602</v>
      </c>
      <c r="T8" s="181">
        <v>31.858000000000001</v>
      </c>
      <c r="U8" s="181">
        <v>32.808999999999997</v>
      </c>
      <c r="V8" s="181">
        <v>16.119</v>
      </c>
      <c r="W8" s="181">
        <v>32.054000000000002</v>
      </c>
      <c r="X8" s="181">
        <v>30.706</v>
      </c>
      <c r="Y8" s="181">
        <v>44.478999999999999</v>
      </c>
      <c r="Z8" s="181">
        <v>46.253</v>
      </c>
      <c r="AA8" s="181">
        <v>58.8</v>
      </c>
      <c r="AB8" s="181">
        <v>57.5</v>
      </c>
      <c r="AC8" s="181">
        <v>54.7</v>
      </c>
      <c r="AD8" s="181">
        <v>74.7</v>
      </c>
      <c r="AE8" s="181">
        <v>103</v>
      </c>
      <c r="AF8" s="181">
        <v>110.7</v>
      </c>
      <c r="AG8" s="181">
        <v>93.2</v>
      </c>
      <c r="AH8" s="181">
        <v>130.80000000000001</v>
      </c>
      <c r="AI8" s="181">
        <v>127.41</v>
      </c>
      <c r="AJ8" s="181">
        <v>94.7</v>
      </c>
      <c r="AK8" s="181">
        <v>137.69999999999999</v>
      </c>
      <c r="AL8" s="181">
        <v>108.1</v>
      </c>
      <c r="AM8" s="181">
        <v>112.6</v>
      </c>
      <c r="AN8" s="181">
        <v>77.7</v>
      </c>
      <c r="AO8" s="181">
        <v>85.1</v>
      </c>
      <c r="AP8" s="181">
        <v>64.900000000000006</v>
      </c>
      <c r="AQ8" s="181">
        <v>52.7</v>
      </c>
      <c r="AR8" s="181">
        <v>78.099999999999994</v>
      </c>
      <c r="AS8" s="181">
        <v>74.8</v>
      </c>
      <c r="AT8" s="181">
        <v>80.599999999999994</v>
      </c>
      <c r="AU8" s="181">
        <v>87.7</v>
      </c>
      <c r="AV8" s="179">
        <f>Model!AV25</f>
        <v>82.9</v>
      </c>
      <c r="AW8" s="179">
        <f>Model!AW25</f>
        <v>72.900000000000006</v>
      </c>
      <c r="AX8" s="179">
        <f>Model!AX25</f>
        <v>58.1</v>
      </c>
      <c r="AY8" s="179">
        <f>Model!AY25</f>
        <v>53.3</v>
      </c>
      <c r="AZ8" s="179">
        <f>Model!AZ25</f>
        <v>47.335999999999999</v>
      </c>
      <c r="BA8" s="179">
        <f>Model!BA25</f>
        <v>53.145000000000003</v>
      </c>
      <c r="BB8" s="179">
        <f>Model!BB25</f>
        <v>71.811999999999998</v>
      </c>
      <c r="BC8" s="179">
        <f>Model!BC25</f>
        <v>41.948999999999998</v>
      </c>
      <c r="BD8" s="179">
        <f>Model!BD25</f>
        <v>52.28</v>
      </c>
      <c r="BE8" s="179">
        <f>Model!BE25</f>
        <v>35.877000000000002</v>
      </c>
      <c r="BF8" s="179">
        <f>Model!BF25</f>
        <v>41.462000000000003</v>
      </c>
      <c r="BG8" s="179">
        <f>Model!BG25</f>
        <v>52.5</v>
      </c>
      <c r="BH8" s="179">
        <f>Model!BH25</f>
        <v>52.640999999999998</v>
      </c>
      <c r="BI8" s="179">
        <f>Model!BI25</f>
        <v>51.941000000000003</v>
      </c>
      <c r="BJ8" s="179">
        <f>Model!BJ25</f>
        <v>89.412000000000006</v>
      </c>
      <c r="BK8" s="179">
        <f>Model!BK25</f>
        <v>46.109000000000002</v>
      </c>
      <c r="BL8" s="179">
        <f>Model!BL25</f>
        <v>56.317</v>
      </c>
      <c r="BM8" s="179">
        <f>Model!BM25</f>
        <v>77.161000000000001</v>
      </c>
      <c r="BN8" s="179">
        <f>Model!BN25</f>
        <v>103.755</v>
      </c>
      <c r="BO8" s="179">
        <f>Model!BO25</f>
        <v>93.379499999999993</v>
      </c>
      <c r="BP8" s="179">
        <f>Model!BP25</f>
        <v>84.041550000000001</v>
      </c>
      <c r="BQ8" s="179">
        <f>Model!BQ25</f>
        <v>88.243627500000002</v>
      </c>
      <c r="BR8" s="179">
        <f>Model!BR25</f>
        <v>92.655808875000005</v>
      </c>
      <c r="BS8" s="179">
        <f>Model!BS25</f>
        <v>97.288599318750016</v>
      </c>
      <c r="BT8" s="179">
        <f>Model!BT25</f>
        <v>102.15302928468752</v>
      </c>
      <c r="BU8" s="179">
        <f>Model!BU25</f>
        <v>107.2606807489219</v>
      </c>
      <c r="BV8" s="179">
        <f>Model!BV25</f>
        <v>112.623714786368</v>
      </c>
      <c r="BW8" s="179">
        <f>Model!BW25</f>
        <v>118.25490052568641</v>
      </c>
      <c r="BX8" s="179">
        <f>Model!BX25</f>
        <v>124.16764555197074</v>
      </c>
      <c r="BY8" s="179">
        <f>Model!BY25</f>
        <v>130.37602782956927</v>
      </c>
      <c r="BZ8" s="179">
        <f>Model!BZ25</f>
        <v>136.89482922104773</v>
      </c>
      <c r="CA8" s="179">
        <f>Model!CA25</f>
        <v>143.73957068210012</v>
      </c>
      <c r="CB8" s="179">
        <f>Model!CB25</f>
        <v>150.92654921620513</v>
      </c>
      <c r="CC8" s="179">
        <f>Model!CC25</f>
        <v>158.47287667701539</v>
      </c>
      <c r="CD8" s="179">
        <f>Model!CD25</f>
        <v>166.39652051086617</v>
      </c>
      <c r="CF8" s="166">
        <f t="shared" si="1"/>
        <v>0</v>
      </c>
      <c r="CG8" s="166">
        <f t="shared" si="2"/>
        <v>0</v>
      </c>
      <c r="CH8" s="166">
        <f t="shared" si="3"/>
        <v>0</v>
      </c>
      <c r="CI8" s="166">
        <f t="shared" si="4"/>
        <v>0</v>
      </c>
      <c r="CJ8" s="166">
        <f t="shared" si="5"/>
        <v>0</v>
      </c>
      <c r="CK8" s="166">
        <f t="shared" si="6"/>
        <v>0</v>
      </c>
      <c r="CL8" s="166">
        <f t="shared" si="7"/>
        <v>0</v>
      </c>
      <c r="CM8" s="166">
        <f t="shared" si="8"/>
        <v>0</v>
      </c>
      <c r="CN8" s="166"/>
      <c r="CO8" s="302">
        <v>52.640999999999998</v>
      </c>
      <c r="CP8" s="302">
        <v>51.941000000000003</v>
      </c>
      <c r="CQ8" s="302">
        <v>89.412000000000006</v>
      </c>
      <c r="CR8" s="302">
        <v>46.109000000000002</v>
      </c>
      <c r="CS8" s="302">
        <v>56.317</v>
      </c>
      <c r="CT8" s="302">
        <v>77.161000000000001</v>
      </c>
      <c r="CU8" s="302">
        <v>103.755</v>
      </c>
      <c r="CV8" s="302">
        <v>93.379499999999993</v>
      </c>
    </row>
    <row r="9" spans="1:100">
      <c r="A9" s="186" t="s">
        <v>2674</v>
      </c>
      <c r="B9" s="186"/>
      <c r="C9" s="186"/>
      <c r="D9" s="186"/>
      <c r="E9" s="186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F9" s="166">
        <f t="shared" si="1"/>
        <v>0</v>
      </c>
      <c r="CG9" s="166">
        <f t="shared" si="2"/>
        <v>0</v>
      </c>
      <c r="CH9" s="166">
        <f t="shared" si="3"/>
        <v>0</v>
      </c>
      <c r="CI9" s="166">
        <f t="shared" si="4"/>
        <v>0</v>
      </c>
      <c r="CJ9" s="166">
        <f t="shared" si="5"/>
        <v>0</v>
      </c>
      <c r="CK9" s="166">
        <f t="shared" si="6"/>
        <v>0</v>
      </c>
      <c r="CL9" s="166">
        <f t="shared" si="7"/>
        <v>0</v>
      </c>
      <c r="CM9" s="166">
        <f t="shared" si="8"/>
        <v>0</v>
      </c>
      <c r="CN9" s="166"/>
    </row>
    <row r="10" spans="1:100">
      <c r="A10" s="186" t="s">
        <v>2507</v>
      </c>
      <c r="B10" s="183" t="s">
        <v>4145</v>
      </c>
      <c r="C10" s="183"/>
      <c r="D10" s="183"/>
      <c r="E10" s="183"/>
      <c r="F10" s="188">
        <v>134.02061855670104</v>
      </c>
      <c r="G10" s="188">
        <v>112.48969072164948</v>
      </c>
      <c r="H10" s="188">
        <v>108.24742268041237</v>
      </c>
      <c r="I10" s="188">
        <v>110.82474226804123</v>
      </c>
      <c r="J10" s="188">
        <v>110.82474226804123</v>
      </c>
      <c r="K10" s="188">
        <v>100</v>
      </c>
      <c r="L10" s="188">
        <v>92.046391752577321</v>
      </c>
      <c r="M10" s="188">
        <v>68.185567010309285</v>
      </c>
      <c r="N10" s="188">
        <v>106.81958762886597</v>
      </c>
      <c r="O10" s="188">
        <v>105.68556701030928</v>
      </c>
      <c r="P10" s="188">
        <v>97.731958762886592</v>
      </c>
      <c r="Q10" s="188">
        <v>94.319587628865975</v>
      </c>
      <c r="R10" s="188">
        <v>94.319587628865975</v>
      </c>
      <c r="S10" s="188">
        <v>96.592783505154628</v>
      </c>
      <c r="T10" s="188">
        <v>98.86597938144331</v>
      </c>
      <c r="U10" s="188">
        <v>96.592783505154628</v>
      </c>
      <c r="V10" s="188">
        <v>97.731958762886592</v>
      </c>
      <c r="W10" s="188">
        <v>98.86597938144331</v>
      </c>
      <c r="X10" s="188">
        <v>111.36597938144331</v>
      </c>
      <c r="Y10" s="188">
        <v>204.55154639175257</v>
      </c>
      <c r="Z10" s="188">
        <v>286.37113402061851</v>
      </c>
      <c r="AA10" s="188">
        <v>215.91237113402062</v>
      </c>
      <c r="AB10" s="188">
        <v>159.09278350515464</v>
      </c>
      <c r="AC10" s="188">
        <v>171.59278350515464</v>
      </c>
      <c r="AD10" s="188">
        <v>205.68556701030926</v>
      </c>
      <c r="AE10" s="188">
        <v>196.59793814432987</v>
      </c>
      <c r="AF10" s="188">
        <v>255.69072164948454</v>
      </c>
      <c r="AG10" s="188">
        <v>291.48453608247422</v>
      </c>
      <c r="AH10" s="188">
        <v>189.02061855670104</v>
      </c>
      <c r="AI10" s="188">
        <v>195.08247422680412</v>
      </c>
      <c r="AJ10" s="188">
        <v>195.74226804123711</v>
      </c>
      <c r="AK10" s="188">
        <v>197.16494845360825</v>
      </c>
      <c r="AL10" s="188">
        <v>176.71649484536081</v>
      </c>
      <c r="AM10" s="188">
        <v>166.76804123711338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0.34</v>
      </c>
      <c r="AT10" s="188">
        <v>0.40360000000000001</v>
      </c>
      <c r="AU10" s="188">
        <v>0.41049999999999998</v>
      </c>
      <c r="AV10" s="296">
        <f>Model!AV46/1000</f>
        <v>0.40410000000000001</v>
      </c>
      <c r="AW10" s="296">
        <f>Model!AW46/1000</f>
        <v>0.33882000000000001</v>
      </c>
      <c r="AX10" s="296">
        <f>Model!AX46/1000</f>
        <v>0.28689999999999999</v>
      </c>
      <c r="AY10" s="296">
        <f>Model!AY46/1000</f>
        <v>0.26669999999999999</v>
      </c>
      <c r="AZ10" s="296">
        <f>Model!AZ46/1000</f>
        <v>0.23151227920033279</v>
      </c>
      <c r="BA10" s="296">
        <f>Model!BA46/1000</f>
        <v>0.20833226421710754</v>
      </c>
      <c r="BB10" s="296">
        <f>Model!BB46/1000</f>
        <v>0.19739180640570414</v>
      </c>
      <c r="BC10" s="296">
        <f>Model!BC46/1000</f>
        <v>0.21686197185017181</v>
      </c>
      <c r="BD10" s="296">
        <f>Model!BD46/1000</f>
        <v>0.22884523291848541</v>
      </c>
      <c r="BE10" s="296">
        <f>Model!BE46/1000</f>
        <v>0.24806979401845192</v>
      </c>
      <c r="BF10" s="296">
        <f>Model!BF46/1000</f>
        <v>0.27777016243355712</v>
      </c>
      <c r="BG10" s="296">
        <f>Model!BG46/1000</f>
        <v>0.29361425145597808</v>
      </c>
      <c r="BH10" s="296">
        <f>Model!BH46/1000</f>
        <v>0.61825731755166913</v>
      </c>
      <c r="BI10" s="296">
        <f>Model!BI46/1000</f>
        <v>0.40825236270428028</v>
      </c>
      <c r="BJ10" s="296">
        <f>Model!BJ46/1000</f>
        <v>0.42328102355050601</v>
      </c>
      <c r="BK10" s="296">
        <f>Model!BK46/1000</f>
        <v>0.66507289583044849</v>
      </c>
      <c r="BL10" s="296">
        <f>Model!BL46/1000</f>
        <v>0.56359536196885485</v>
      </c>
      <c r="BM10" s="296">
        <f>Model!BM46/1000</f>
        <v>0.52682652555645393</v>
      </c>
      <c r="BN10" s="296">
        <f>Model!BN46/1000</f>
        <v>0.53325029748334662</v>
      </c>
      <c r="BO10" s="296">
        <f>Model!BO46/1000</f>
        <v>0.52617939853871731</v>
      </c>
      <c r="BP10" s="296">
        <f>Model!BP46/1000</f>
        <v>0.54196478049487895</v>
      </c>
      <c r="BQ10" s="296">
        <f>Model!BQ46/1000</f>
        <v>0.5582237239097253</v>
      </c>
      <c r="BR10" s="296">
        <f>Model!BR46/1000</f>
        <v>0.57497043562701711</v>
      </c>
      <c r="BS10" s="296">
        <f>Model!BS46/1000</f>
        <v>0.5922195486958276</v>
      </c>
      <c r="BT10" s="296">
        <f>Model!BT46/1000</f>
        <v>0.60998613515670241</v>
      </c>
      <c r="BU10" s="296">
        <f>Model!BU46/1000</f>
        <v>0.62828571921140353</v>
      </c>
      <c r="BV10" s="296">
        <f>Model!BV46/1000</f>
        <v>0.64713429078774565</v>
      </c>
      <c r="BW10" s="296">
        <f>Model!BW46/1000</f>
        <v>0.66654831951137805</v>
      </c>
      <c r="BX10" s="296">
        <f>Model!BX46/1000</f>
        <v>0.68654476909671935</v>
      </c>
      <c r="BY10" s="296">
        <f>Model!BY46/1000</f>
        <v>0.70714111216962106</v>
      </c>
      <c r="BZ10" s="296">
        <f>Model!BZ46/1000</f>
        <v>0.7283553455347096</v>
      </c>
      <c r="CA10" s="296">
        <f>Model!CA46/1000</f>
        <v>0.75020600590075093</v>
      </c>
      <c r="CB10" s="296">
        <f>Model!CB46/1000</f>
        <v>0.77271218607777348</v>
      </c>
      <c r="CC10" s="296">
        <f>Model!CC46/1000</f>
        <v>0.79589355166010667</v>
      </c>
      <c r="CD10" s="296">
        <f>Model!CD46/1000</f>
        <v>0.81977035820990984</v>
      </c>
      <c r="CF10" s="166">
        <f t="shared" si="1"/>
        <v>0</v>
      </c>
      <c r="CG10" s="166">
        <f t="shared" si="2"/>
        <v>0</v>
      </c>
      <c r="CH10" s="166">
        <f t="shared" si="3"/>
        <v>0</v>
      </c>
      <c r="CI10" s="166">
        <f t="shared" si="4"/>
        <v>0</v>
      </c>
      <c r="CJ10" s="166">
        <f t="shared" si="5"/>
        <v>0</v>
      </c>
      <c r="CK10" s="166">
        <f t="shared" si="6"/>
        <v>0</v>
      </c>
      <c r="CL10" s="166">
        <f t="shared" si="7"/>
        <v>0</v>
      </c>
      <c r="CM10" s="166">
        <f t="shared" si="8"/>
        <v>0</v>
      </c>
      <c r="CN10" s="166"/>
      <c r="CO10" s="302">
        <v>0.61825731755166913</v>
      </c>
      <c r="CP10" s="302">
        <v>0.40825236270428028</v>
      </c>
      <c r="CQ10" s="302">
        <v>0.42328102355050601</v>
      </c>
      <c r="CR10" s="302">
        <v>0.66507289583044849</v>
      </c>
      <c r="CS10" s="302">
        <v>0.56359536196885485</v>
      </c>
      <c r="CT10" s="302">
        <v>0.52682652555645393</v>
      </c>
      <c r="CU10" s="302">
        <v>0.53325029748334662</v>
      </c>
      <c r="CV10" s="302">
        <v>0.52617939853871731</v>
      </c>
    </row>
    <row r="11" spans="1:100">
      <c r="A11" s="186" t="s">
        <v>4144</v>
      </c>
      <c r="B11" s="186"/>
      <c r="C11" s="186"/>
      <c r="D11" s="186"/>
      <c r="E11" s="186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F11" s="166">
        <f t="shared" si="1"/>
        <v>0</v>
      </c>
      <c r="CG11" s="166">
        <f t="shared" si="2"/>
        <v>0</v>
      </c>
      <c r="CH11" s="166">
        <f t="shared" si="3"/>
        <v>0</v>
      </c>
      <c r="CI11" s="166">
        <f t="shared" si="4"/>
        <v>0</v>
      </c>
      <c r="CJ11" s="166">
        <f t="shared" si="5"/>
        <v>0</v>
      </c>
      <c r="CK11" s="166">
        <f t="shared" si="6"/>
        <v>0</v>
      </c>
      <c r="CL11" s="166">
        <f t="shared" si="7"/>
        <v>0</v>
      </c>
      <c r="CM11" s="166">
        <f t="shared" si="8"/>
        <v>0</v>
      </c>
      <c r="CN11" s="166"/>
    </row>
    <row r="12" spans="1:100" s="165" customFormat="1">
      <c r="A12" s="167" t="s">
        <v>4143</v>
      </c>
      <c r="B12" s="189" t="s">
        <v>4142</v>
      </c>
      <c r="C12" s="189"/>
      <c r="D12" s="189"/>
      <c r="E12" s="189"/>
      <c r="F12" s="167">
        <v>22368</v>
      </c>
      <c r="G12" s="167">
        <v>22257</v>
      </c>
      <c r="H12" s="167">
        <v>25021</v>
      </c>
      <c r="I12" s="167">
        <v>28203</v>
      </c>
      <c r="J12" s="167">
        <v>31211</v>
      </c>
      <c r="K12" s="167">
        <v>28546</v>
      </c>
      <c r="L12" s="167">
        <v>30308</v>
      </c>
      <c r="M12" s="167">
        <v>25629</v>
      </c>
      <c r="N12" s="167">
        <v>27071</v>
      </c>
      <c r="O12" s="167">
        <v>27513</v>
      </c>
      <c r="P12" s="167">
        <v>30277</v>
      </c>
      <c r="Q12" s="167">
        <v>29311</v>
      </c>
      <c r="R12" s="167">
        <v>29350</v>
      </c>
      <c r="S12" s="167">
        <v>33684</v>
      </c>
      <c r="T12" s="167">
        <v>35273</v>
      </c>
      <c r="U12" s="167">
        <v>35246</v>
      </c>
      <c r="V12" s="167">
        <v>39132</v>
      </c>
      <c r="W12" s="167">
        <v>40153</v>
      </c>
      <c r="X12" s="167">
        <v>37409</v>
      </c>
      <c r="Y12" s="167">
        <v>44985</v>
      </c>
      <c r="Z12" s="167">
        <v>44353</v>
      </c>
      <c r="AA12" s="167">
        <v>47500</v>
      </c>
      <c r="AB12" s="167">
        <v>48400</v>
      </c>
      <c r="AC12" s="167">
        <v>49700</v>
      </c>
      <c r="AD12" s="167">
        <v>55200</v>
      </c>
      <c r="AE12" s="167">
        <v>58855</v>
      </c>
      <c r="AF12" s="167">
        <v>64956</v>
      </c>
      <c r="AG12" s="167">
        <v>66423</v>
      </c>
      <c r="AH12" s="167">
        <v>72571</v>
      </c>
      <c r="AI12" s="167">
        <v>73343</v>
      </c>
      <c r="AJ12" s="167">
        <v>74770</v>
      </c>
      <c r="AK12" s="167">
        <v>74890</v>
      </c>
      <c r="AL12" s="167">
        <v>75136</v>
      </c>
      <c r="AM12" s="167">
        <v>71155</v>
      </c>
      <c r="AN12" s="167">
        <v>69860</v>
      </c>
      <c r="AO12" s="167">
        <v>69860</v>
      </c>
      <c r="AP12" s="167">
        <v>52005</v>
      </c>
      <c r="AQ12" s="167">
        <v>60085</v>
      </c>
      <c r="AR12" s="167">
        <v>68750</v>
      </c>
      <c r="AS12" s="167">
        <v>58640</v>
      </c>
      <c r="AT12" s="167">
        <v>60010</v>
      </c>
      <c r="AU12" s="167">
        <v>61390</v>
      </c>
      <c r="AV12" s="167">
        <v>61775</v>
      </c>
      <c r="AW12" s="167">
        <v>53495</v>
      </c>
      <c r="AX12" s="167">
        <v>50135</v>
      </c>
      <c r="AY12" s="167">
        <v>48460</v>
      </c>
      <c r="AZ12" s="167">
        <v>41995</v>
      </c>
      <c r="BA12" s="167">
        <v>50780</v>
      </c>
      <c r="BB12" s="167">
        <v>40050</v>
      </c>
      <c r="BC12" s="167">
        <v>54425</v>
      </c>
      <c r="BD12" s="167">
        <v>49020</v>
      </c>
      <c r="BE12" s="167">
        <v>45563</v>
      </c>
      <c r="BF12" s="316">
        <v>44232</v>
      </c>
      <c r="BG12" s="167">
        <v>42087</v>
      </c>
      <c r="BH12" s="167">
        <v>43654</v>
      </c>
      <c r="BI12" s="364">
        <v>54492</v>
      </c>
      <c r="BJ12" s="364">
        <v>53555</v>
      </c>
      <c r="BK12" s="364">
        <v>56930</v>
      </c>
      <c r="BL12" s="364">
        <v>51379</v>
      </c>
      <c r="BM12" s="364">
        <v>58274</v>
      </c>
      <c r="BN12" s="165">
        <v>60000</v>
      </c>
      <c r="CF12" s="166">
        <f t="shared" si="1"/>
        <v>0</v>
      </c>
      <c r="CG12" s="166">
        <f t="shared" si="2"/>
        <v>0</v>
      </c>
      <c r="CH12" s="166">
        <f t="shared" si="3"/>
        <v>0</v>
      </c>
      <c r="CI12" s="166">
        <f t="shared" si="4"/>
        <v>0</v>
      </c>
      <c r="CJ12" s="166">
        <f t="shared" si="5"/>
        <v>0</v>
      </c>
      <c r="CK12" s="166">
        <f t="shared" si="6"/>
        <v>0</v>
      </c>
      <c r="CL12" s="166">
        <f t="shared" si="7"/>
        <v>0</v>
      </c>
      <c r="CM12" s="166">
        <f t="shared" si="8"/>
        <v>0</v>
      </c>
      <c r="CN12" s="166"/>
      <c r="CO12" s="302">
        <v>43654</v>
      </c>
      <c r="CP12" s="302">
        <v>54492</v>
      </c>
      <c r="CQ12" s="302">
        <v>53555</v>
      </c>
      <c r="CR12" s="302">
        <v>56930</v>
      </c>
      <c r="CS12" s="302">
        <v>51379</v>
      </c>
      <c r="CT12" s="302">
        <v>58274</v>
      </c>
      <c r="CU12" s="302">
        <v>60000</v>
      </c>
      <c r="CV12" s="302"/>
    </row>
    <row r="13" spans="1:100">
      <c r="A13" s="186" t="s">
        <v>4141</v>
      </c>
      <c r="B13" s="186"/>
      <c r="C13" s="186"/>
      <c r="D13" s="186"/>
      <c r="E13" s="186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317"/>
      <c r="BG13" s="188"/>
      <c r="BH13" s="188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F13" s="166">
        <f t="shared" si="1"/>
        <v>0</v>
      </c>
      <c r="CG13" s="166">
        <f t="shared" si="2"/>
        <v>0</v>
      </c>
      <c r="CH13" s="166">
        <f t="shared" si="3"/>
        <v>0</v>
      </c>
      <c r="CI13" s="166">
        <f t="shared" si="4"/>
        <v>0</v>
      </c>
      <c r="CJ13" s="166">
        <f t="shared" si="5"/>
        <v>0</v>
      </c>
      <c r="CK13" s="166">
        <f t="shared" si="6"/>
        <v>0</v>
      </c>
      <c r="CL13" s="166">
        <f t="shared" si="7"/>
        <v>0</v>
      </c>
      <c r="CM13" s="166">
        <f t="shared" si="8"/>
        <v>0</v>
      </c>
      <c r="CN13" s="166"/>
    </row>
    <row r="14" spans="1:100" s="165" customFormat="1">
      <c r="A14" s="167" t="s">
        <v>4140</v>
      </c>
      <c r="B14" s="189" t="s">
        <v>4139</v>
      </c>
      <c r="C14" s="189"/>
      <c r="D14" s="189"/>
      <c r="E14" s="189"/>
      <c r="F14" s="167">
        <v>64000</v>
      </c>
      <c r="G14" s="167">
        <v>64000</v>
      </c>
      <c r="H14" s="167">
        <v>71000</v>
      </c>
      <c r="I14" s="167">
        <v>75000</v>
      </c>
      <c r="J14" s="167">
        <v>85000</v>
      </c>
      <c r="K14" s="167">
        <v>79000</v>
      </c>
      <c r="L14" s="167">
        <v>81000</v>
      </c>
      <c r="M14" s="167">
        <v>72000</v>
      </c>
      <c r="N14" s="167">
        <v>79000</v>
      </c>
      <c r="O14" s="167">
        <v>75000</v>
      </c>
      <c r="P14" s="167">
        <v>88000</v>
      </c>
      <c r="Q14" s="167">
        <v>90000</v>
      </c>
      <c r="R14" s="167">
        <v>98000</v>
      </c>
      <c r="S14" s="167">
        <v>119000</v>
      </c>
      <c r="T14" s="167">
        <v>116000</v>
      </c>
      <c r="U14" s="167">
        <v>113000</v>
      </c>
      <c r="V14" s="167">
        <v>145000</v>
      </c>
      <c r="W14" s="167">
        <v>136000</v>
      </c>
      <c r="X14" s="167">
        <v>123000</v>
      </c>
      <c r="Y14" s="167">
        <v>164000</v>
      </c>
      <c r="Z14" s="167">
        <v>162000</v>
      </c>
      <c r="AA14" s="167">
        <v>175000</v>
      </c>
      <c r="AB14" s="167">
        <v>172500</v>
      </c>
      <c r="AC14" s="167">
        <v>202900</v>
      </c>
      <c r="AD14" s="167">
        <v>223876</v>
      </c>
      <c r="AE14" s="167">
        <v>235772</v>
      </c>
      <c r="AF14" s="167">
        <v>257629</v>
      </c>
      <c r="AG14" s="167">
        <v>264572</v>
      </c>
      <c r="AH14" s="167">
        <v>301130</v>
      </c>
      <c r="AI14" s="167">
        <v>267958</v>
      </c>
      <c r="AJ14" s="167">
        <v>300250</v>
      </c>
      <c r="AK14" s="167">
        <v>299185</v>
      </c>
      <c r="AL14" s="167">
        <v>299954</v>
      </c>
      <c r="AM14" s="167">
        <v>271600</v>
      </c>
      <c r="AN14" s="167">
        <v>265244</v>
      </c>
      <c r="AO14" s="167">
        <v>260895</v>
      </c>
      <c r="AP14" s="167">
        <v>196010</v>
      </c>
      <c r="AQ14" s="167">
        <v>229260</v>
      </c>
      <c r="AR14" s="167">
        <v>261080</v>
      </c>
      <c r="AS14" s="167">
        <v>216890</v>
      </c>
      <c r="AT14" s="167">
        <v>217980</v>
      </c>
      <c r="AU14" s="167">
        <v>216005</v>
      </c>
      <c r="AV14" s="167">
        <v>228650</v>
      </c>
      <c r="AW14" s="167">
        <v>213050</v>
      </c>
      <c r="AX14" s="167">
        <v>188410</v>
      </c>
      <c r="AY14" s="167">
        <v>196400</v>
      </c>
      <c r="AZ14" s="167">
        <v>178200</v>
      </c>
      <c r="BA14" s="167">
        <v>208400</v>
      </c>
      <c r="BB14" s="167">
        <v>171140</v>
      </c>
      <c r="BC14" s="167">
        <v>210990</v>
      </c>
      <c r="BD14" s="167">
        <v>174490</v>
      </c>
      <c r="BE14" s="167">
        <v>163955</v>
      </c>
      <c r="BF14" s="316">
        <v>182659</v>
      </c>
      <c r="BG14" s="167">
        <v>179012</v>
      </c>
      <c r="BH14" s="167">
        <v>182877</v>
      </c>
      <c r="BI14" s="364">
        <v>229370</v>
      </c>
      <c r="BJ14" s="364">
        <v>226686</v>
      </c>
      <c r="BK14" s="364">
        <v>235298</v>
      </c>
      <c r="BL14" s="364">
        <v>224127</v>
      </c>
      <c r="BM14" s="364">
        <v>262029</v>
      </c>
      <c r="BN14" s="165">
        <v>280000</v>
      </c>
      <c r="CF14" s="166">
        <f t="shared" si="1"/>
        <v>0</v>
      </c>
      <c r="CG14" s="166">
        <f t="shared" si="2"/>
        <v>0</v>
      </c>
      <c r="CH14" s="166">
        <f t="shared" si="3"/>
        <v>0</v>
      </c>
      <c r="CI14" s="166">
        <f t="shared" si="4"/>
        <v>0</v>
      </c>
      <c r="CJ14" s="166">
        <f t="shared" si="5"/>
        <v>0</v>
      </c>
      <c r="CK14" s="166">
        <f t="shared" si="6"/>
        <v>0</v>
      </c>
      <c r="CL14" s="166">
        <f t="shared" si="7"/>
        <v>0</v>
      </c>
      <c r="CM14" s="166">
        <f t="shared" si="8"/>
        <v>0</v>
      </c>
      <c r="CN14" s="166"/>
      <c r="CO14" s="302">
        <v>182877</v>
      </c>
      <c r="CP14" s="302">
        <v>229370</v>
      </c>
      <c r="CQ14" s="302">
        <v>226686</v>
      </c>
      <c r="CR14" s="302">
        <v>235298</v>
      </c>
      <c r="CS14" s="302">
        <v>224127</v>
      </c>
      <c r="CT14" s="302">
        <v>262029</v>
      </c>
      <c r="CU14" s="302">
        <v>280000</v>
      </c>
      <c r="CV14" s="302"/>
    </row>
    <row r="15" spans="1:100">
      <c r="A15" s="186"/>
      <c r="B15" s="186"/>
      <c r="C15" s="186"/>
      <c r="D15" s="186"/>
      <c r="E15" s="186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66"/>
      <c r="BB15" s="166"/>
      <c r="BC15" s="166"/>
      <c r="BD15" s="166"/>
      <c r="BE15" s="166"/>
      <c r="BF15" s="166"/>
      <c r="BG15" s="166"/>
      <c r="BH15" s="166"/>
      <c r="BI15" s="360"/>
      <c r="BJ15" s="165"/>
      <c r="BK15" s="166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F15" s="166">
        <f t="shared" si="1"/>
        <v>0</v>
      </c>
      <c r="CG15" s="166">
        <f t="shared" si="2"/>
        <v>0</v>
      </c>
      <c r="CH15" s="166">
        <f t="shared" si="3"/>
        <v>0</v>
      </c>
      <c r="CI15" s="166">
        <f t="shared" si="4"/>
        <v>0</v>
      </c>
      <c r="CJ15" s="166">
        <f t="shared" si="5"/>
        <v>0</v>
      </c>
      <c r="CK15" s="166">
        <f t="shared" si="6"/>
        <v>0</v>
      </c>
      <c r="CL15" s="166">
        <f t="shared" si="7"/>
        <v>0</v>
      </c>
      <c r="CM15" s="166">
        <f t="shared" si="8"/>
        <v>0</v>
      </c>
      <c r="CN15" s="166"/>
    </row>
    <row r="16" spans="1:100">
      <c r="A16" s="186" t="s">
        <v>857</v>
      </c>
      <c r="B16" s="186"/>
      <c r="C16" s="186"/>
      <c r="D16" s="186"/>
      <c r="E16" s="186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66"/>
      <c r="BB16" s="166"/>
      <c r="BC16" s="166"/>
      <c r="BD16" s="166"/>
      <c r="BE16" s="166"/>
      <c r="BF16" s="166"/>
      <c r="BG16" s="166"/>
      <c r="BH16" s="166"/>
      <c r="BI16" s="166"/>
      <c r="BJ16" s="360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F16" s="166">
        <f t="shared" si="1"/>
        <v>0</v>
      </c>
      <c r="CG16" s="166">
        <f t="shared" si="2"/>
        <v>0</v>
      </c>
      <c r="CH16" s="166">
        <f t="shared" si="3"/>
        <v>0</v>
      </c>
      <c r="CI16" s="166">
        <f t="shared" si="4"/>
        <v>0</v>
      </c>
      <c r="CJ16" s="166">
        <f t="shared" si="5"/>
        <v>0</v>
      </c>
      <c r="CK16" s="166">
        <f t="shared" si="6"/>
        <v>0</v>
      </c>
      <c r="CL16" s="166">
        <f t="shared" si="7"/>
        <v>0</v>
      </c>
      <c r="CM16" s="166">
        <f t="shared" si="8"/>
        <v>0</v>
      </c>
      <c r="CN16" s="166"/>
    </row>
    <row r="17" spans="1:100">
      <c r="A17" s="186" t="s">
        <v>856</v>
      </c>
      <c r="B17" s="186"/>
      <c r="C17" s="186"/>
      <c r="D17" s="186"/>
      <c r="E17" s="186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F17" s="166">
        <f t="shared" si="1"/>
        <v>0</v>
      </c>
      <c r="CG17" s="166">
        <f t="shared" si="2"/>
        <v>0</v>
      </c>
      <c r="CH17" s="166">
        <f t="shared" si="3"/>
        <v>0</v>
      </c>
      <c r="CI17" s="166">
        <f t="shared" si="4"/>
        <v>0</v>
      </c>
      <c r="CJ17" s="166">
        <f t="shared" si="5"/>
        <v>0</v>
      </c>
      <c r="CK17" s="166">
        <f t="shared" si="6"/>
        <v>0</v>
      </c>
      <c r="CL17" s="166">
        <f t="shared" si="7"/>
        <v>0</v>
      </c>
      <c r="CM17" s="166">
        <f t="shared" si="8"/>
        <v>0</v>
      </c>
      <c r="CN17" s="166"/>
    </row>
    <row r="18" spans="1:100">
      <c r="A18" s="186" t="s">
        <v>855</v>
      </c>
      <c r="B18" s="189" t="s">
        <v>854</v>
      </c>
      <c r="C18" s="189"/>
      <c r="D18" s="189"/>
      <c r="E18" s="189"/>
      <c r="F18" s="188"/>
      <c r="G18" s="188"/>
      <c r="H18" s="188"/>
      <c r="I18" s="188"/>
      <c r="J18" s="188"/>
      <c r="K18" s="188"/>
      <c r="L18" s="188"/>
      <c r="M18" s="188"/>
      <c r="N18" s="188"/>
      <c r="O18" s="167">
        <v>135</v>
      </c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F18" s="166">
        <f t="shared" si="1"/>
        <v>0</v>
      </c>
      <c r="CG18" s="166">
        <f t="shared" si="2"/>
        <v>0</v>
      </c>
      <c r="CH18" s="166">
        <f t="shared" si="3"/>
        <v>0</v>
      </c>
      <c r="CI18" s="166">
        <f t="shared" si="4"/>
        <v>0</v>
      </c>
      <c r="CJ18" s="166">
        <f t="shared" si="5"/>
        <v>0</v>
      </c>
      <c r="CK18" s="166">
        <f t="shared" si="6"/>
        <v>0</v>
      </c>
      <c r="CL18" s="166">
        <f t="shared" si="7"/>
        <v>0</v>
      </c>
      <c r="CM18" s="166">
        <f t="shared" si="8"/>
        <v>0</v>
      </c>
      <c r="CN18" s="166"/>
    </row>
    <row r="19" spans="1:100">
      <c r="A19" s="186" t="s">
        <v>252</v>
      </c>
      <c r="B19" s="189" t="s">
        <v>3709</v>
      </c>
      <c r="C19" s="189"/>
      <c r="D19" s="189"/>
      <c r="E19" s="189"/>
      <c r="F19" s="188"/>
      <c r="G19" s="188"/>
      <c r="H19" s="188"/>
      <c r="I19" s="188"/>
      <c r="J19" s="188"/>
      <c r="K19" s="188"/>
      <c r="L19" s="188"/>
      <c r="M19" s="188"/>
      <c r="N19" s="188"/>
      <c r="O19" s="167">
        <v>540</v>
      </c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F19" s="166">
        <f t="shared" si="1"/>
        <v>0</v>
      </c>
      <c r="CG19" s="166">
        <f t="shared" si="2"/>
        <v>0</v>
      </c>
      <c r="CH19" s="166">
        <f t="shared" si="3"/>
        <v>0</v>
      </c>
      <c r="CI19" s="166">
        <f t="shared" si="4"/>
        <v>0</v>
      </c>
      <c r="CJ19" s="166">
        <f t="shared" si="5"/>
        <v>0</v>
      </c>
      <c r="CK19" s="166">
        <f t="shared" si="6"/>
        <v>0</v>
      </c>
      <c r="CL19" s="166">
        <f t="shared" si="7"/>
        <v>0</v>
      </c>
      <c r="CM19" s="166">
        <f t="shared" si="8"/>
        <v>0</v>
      </c>
      <c r="CN19" s="166"/>
    </row>
    <row r="20" spans="1:100">
      <c r="A20" s="186"/>
      <c r="B20" s="186" t="s">
        <v>2219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67" t="s">
        <v>2219</v>
      </c>
      <c r="AZ20" s="167" t="s">
        <v>2219</v>
      </c>
      <c r="CF20" s="166">
        <f t="shared" si="1"/>
        <v>0</v>
      </c>
      <c r="CG20" s="166">
        <f t="shared" si="2"/>
        <v>0</v>
      </c>
      <c r="CH20" s="166">
        <f t="shared" si="3"/>
        <v>0</v>
      </c>
      <c r="CI20" s="166">
        <f t="shared" si="4"/>
        <v>0</v>
      </c>
      <c r="CJ20" s="166">
        <f t="shared" si="5"/>
        <v>0</v>
      </c>
      <c r="CK20" s="166">
        <f t="shared" si="6"/>
        <v>0</v>
      </c>
      <c r="CL20" s="166">
        <f t="shared" si="7"/>
        <v>0</v>
      </c>
      <c r="CM20" s="166">
        <f t="shared" si="8"/>
        <v>0</v>
      </c>
      <c r="CN20" s="166"/>
    </row>
    <row r="21" spans="1:100">
      <c r="A21" s="186" t="s">
        <v>3708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CF21" s="166">
        <f t="shared" si="1"/>
        <v>0</v>
      </c>
      <c r="CG21" s="166">
        <f t="shared" si="2"/>
        <v>0</v>
      </c>
      <c r="CH21" s="166">
        <f t="shared" si="3"/>
        <v>0</v>
      </c>
      <c r="CI21" s="166">
        <f t="shared" si="4"/>
        <v>0</v>
      </c>
      <c r="CJ21" s="166">
        <f t="shared" si="5"/>
        <v>0</v>
      </c>
      <c r="CK21" s="166">
        <f t="shared" si="6"/>
        <v>0</v>
      </c>
      <c r="CL21" s="166">
        <f t="shared" si="7"/>
        <v>0</v>
      </c>
      <c r="CM21" s="166">
        <f t="shared" si="8"/>
        <v>0</v>
      </c>
      <c r="CN21" s="166"/>
    </row>
    <row r="22" spans="1:100">
      <c r="A22" s="186" t="s">
        <v>3027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 t="s">
        <v>2219</v>
      </c>
      <c r="AY22" s="167" t="s">
        <v>2219</v>
      </c>
      <c r="AZ22" s="167" t="s">
        <v>2219</v>
      </c>
      <c r="CF22" s="166">
        <f t="shared" si="1"/>
        <v>0</v>
      </c>
      <c r="CG22" s="166">
        <f t="shared" si="2"/>
        <v>0</v>
      </c>
      <c r="CH22" s="166">
        <f t="shared" si="3"/>
        <v>0</v>
      </c>
      <c r="CI22" s="166">
        <f t="shared" si="4"/>
        <v>0</v>
      </c>
      <c r="CJ22" s="166">
        <f t="shared" si="5"/>
        <v>0</v>
      </c>
      <c r="CK22" s="166">
        <f t="shared" si="6"/>
        <v>0</v>
      </c>
      <c r="CL22" s="166">
        <f t="shared" si="7"/>
        <v>0</v>
      </c>
      <c r="CM22" s="166">
        <f t="shared" si="8"/>
        <v>0</v>
      </c>
      <c r="CN22" s="166"/>
    </row>
    <row r="23" spans="1:100">
      <c r="A23" s="186" t="s">
        <v>2028</v>
      </c>
      <c r="B23" s="187" t="s">
        <v>1856</v>
      </c>
      <c r="C23" s="187"/>
      <c r="D23" s="187"/>
      <c r="E23" s="187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>
        <v>760</v>
      </c>
      <c r="AZ23" s="186">
        <v>825</v>
      </c>
      <c r="CF23" s="166">
        <f t="shared" si="1"/>
        <v>0</v>
      </c>
      <c r="CG23" s="166">
        <f t="shared" si="2"/>
        <v>0</v>
      </c>
      <c r="CH23" s="166">
        <f t="shared" si="3"/>
        <v>0</v>
      </c>
      <c r="CI23" s="166">
        <f t="shared" si="4"/>
        <v>0</v>
      </c>
      <c r="CJ23" s="166">
        <f t="shared" si="5"/>
        <v>0</v>
      </c>
      <c r="CK23" s="166">
        <f t="shared" si="6"/>
        <v>0</v>
      </c>
      <c r="CL23" s="166">
        <f t="shared" si="7"/>
        <v>0</v>
      </c>
      <c r="CM23" s="166">
        <f t="shared" si="8"/>
        <v>0</v>
      </c>
      <c r="CN23" s="166"/>
    </row>
    <row r="24" spans="1:100">
      <c r="A24" s="186" t="s">
        <v>624</v>
      </c>
      <c r="B24" s="187" t="s">
        <v>1855</v>
      </c>
      <c r="C24" s="187"/>
      <c r="D24" s="187"/>
      <c r="E24" s="187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>
        <v>-217</v>
      </c>
      <c r="AZ24" s="186">
        <v>-42</v>
      </c>
      <c r="CF24" s="166">
        <f t="shared" si="1"/>
        <v>0</v>
      </c>
      <c r="CG24" s="166">
        <f t="shared" si="2"/>
        <v>0</v>
      </c>
      <c r="CH24" s="166">
        <f t="shared" si="3"/>
        <v>0</v>
      </c>
      <c r="CI24" s="166">
        <f t="shared" si="4"/>
        <v>0</v>
      </c>
      <c r="CJ24" s="166">
        <f t="shared" si="5"/>
        <v>0</v>
      </c>
      <c r="CK24" s="166">
        <f t="shared" si="6"/>
        <v>0</v>
      </c>
      <c r="CL24" s="166">
        <f t="shared" si="7"/>
        <v>0</v>
      </c>
      <c r="CM24" s="166">
        <f t="shared" si="8"/>
        <v>0</v>
      </c>
      <c r="CN24" s="166"/>
    </row>
    <row r="25" spans="1:100">
      <c r="A25" s="186" t="s">
        <v>1854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CF25" s="166">
        <f t="shared" si="1"/>
        <v>0</v>
      </c>
      <c r="CG25" s="166">
        <f t="shared" si="2"/>
        <v>0</v>
      </c>
      <c r="CH25" s="166">
        <f t="shared" si="3"/>
        <v>0</v>
      </c>
      <c r="CI25" s="166">
        <f t="shared" si="4"/>
        <v>0</v>
      </c>
      <c r="CJ25" s="166">
        <f t="shared" si="5"/>
        <v>0</v>
      </c>
      <c r="CK25" s="166">
        <f t="shared" si="6"/>
        <v>0</v>
      </c>
      <c r="CL25" s="166">
        <f t="shared" si="7"/>
        <v>0</v>
      </c>
      <c r="CM25" s="166">
        <f t="shared" si="8"/>
        <v>0</v>
      </c>
      <c r="CN25" s="166"/>
    </row>
    <row r="26" spans="1:100">
      <c r="A26" s="186" t="s">
        <v>2028</v>
      </c>
      <c r="B26" s="187" t="s">
        <v>625</v>
      </c>
      <c r="C26" s="187"/>
      <c r="D26" s="187"/>
      <c r="E26" s="187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>
        <v>824</v>
      </c>
      <c r="AZ26" s="186">
        <v>789</v>
      </c>
      <c r="CF26" s="166">
        <f t="shared" si="1"/>
        <v>0</v>
      </c>
      <c r="CG26" s="166">
        <f t="shared" si="2"/>
        <v>0</v>
      </c>
      <c r="CH26" s="166">
        <f t="shared" si="3"/>
        <v>0</v>
      </c>
      <c r="CI26" s="166">
        <f t="shared" si="4"/>
        <v>0</v>
      </c>
      <c r="CJ26" s="166">
        <f t="shared" si="5"/>
        <v>0</v>
      </c>
      <c r="CK26" s="166">
        <f t="shared" si="6"/>
        <v>0</v>
      </c>
      <c r="CL26" s="166">
        <f t="shared" si="7"/>
        <v>0</v>
      </c>
      <c r="CM26" s="166">
        <f t="shared" si="8"/>
        <v>0</v>
      </c>
      <c r="CN26" s="166"/>
    </row>
    <row r="27" spans="1:100">
      <c r="A27" s="186" t="s">
        <v>624</v>
      </c>
      <c r="B27" s="187" t="s">
        <v>4201</v>
      </c>
      <c r="C27" s="187"/>
      <c r="D27" s="187"/>
      <c r="E27" s="187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>
        <v>-267</v>
      </c>
      <c r="AZ27" s="186">
        <v>-41</v>
      </c>
      <c r="CF27" s="166">
        <f t="shared" si="1"/>
        <v>0</v>
      </c>
      <c r="CG27" s="166">
        <f t="shared" si="2"/>
        <v>0</v>
      </c>
      <c r="CH27" s="166">
        <f t="shared" si="3"/>
        <v>0</v>
      </c>
      <c r="CI27" s="166">
        <f t="shared" si="4"/>
        <v>0</v>
      </c>
      <c r="CJ27" s="166">
        <f t="shared" si="5"/>
        <v>0</v>
      </c>
      <c r="CK27" s="166">
        <f t="shared" si="6"/>
        <v>0</v>
      </c>
      <c r="CL27" s="166">
        <f t="shared" si="7"/>
        <v>0</v>
      </c>
      <c r="CM27" s="166">
        <f t="shared" si="8"/>
        <v>0</v>
      </c>
      <c r="CN27" s="166"/>
    </row>
    <row r="28" spans="1:100">
      <c r="A28" s="186" t="s">
        <v>2219</v>
      </c>
      <c r="B28" s="186" t="s">
        <v>2219</v>
      </c>
      <c r="C28" s="186"/>
      <c r="D28" s="186"/>
      <c r="E28" s="186"/>
      <c r="CF28" s="166">
        <f t="shared" si="1"/>
        <v>0</v>
      </c>
      <c r="CG28" s="166">
        <f t="shared" si="2"/>
        <v>0</v>
      </c>
      <c r="CH28" s="166">
        <f t="shared" si="3"/>
        <v>0</v>
      </c>
      <c r="CI28" s="166">
        <f t="shared" si="4"/>
        <v>0</v>
      </c>
      <c r="CJ28" s="166">
        <f t="shared" si="5"/>
        <v>0</v>
      </c>
      <c r="CK28" s="166">
        <f t="shared" si="6"/>
        <v>0</v>
      </c>
      <c r="CL28" s="166">
        <f t="shared" si="7"/>
        <v>0</v>
      </c>
      <c r="CM28" s="166">
        <f t="shared" si="8"/>
        <v>0</v>
      </c>
      <c r="CN28" s="166"/>
    </row>
    <row r="29" spans="1:100">
      <c r="A29" s="184" t="s">
        <v>1908</v>
      </c>
      <c r="CF29" s="166">
        <f t="shared" si="1"/>
        <v>0</v>
      </c>
      <c r="CG29" s="166">
        <f t="shared" si="2"/>
        <v>0</v>
      </c>
      <c r="CH29" s="166">
        <f t="shared" si="3"/>
        <v>0</v>
      </c>
      <c r="CI29" s="166">
        <f t="shared" si="4"/>
        <v>0</v>
      </c>
      <c r="CJ29" s="166">
        <f t="shared" si="5"/>
        <v>0</v>
      </c>
      <c r="CK29" s="166">
        <f t="shared" si="6"/>
        <v>0</v>
      </c>
      <c r="CL29" s="166">
        <f t="shared" si="7"/>
        <v>0</v>
      </c>
      <c r="CM29" s="166">
        <f t="shared" si="8"/>
        <v>0</v>
      </c>
      <c r="CN29" s="166"/>
    </row>
    <row r="30" spans="1:100">
      <c r="A30" s="229" t="str">
        <f>Model!B287</f>
        <v>belastingdruk domestic private sector</v>
      </c>
      <c r="B30" s="230" t="s">
        <v>4342</v>
      </c>
      <c r="C30" s="230"/>
      <c r="D30" s="230"/>
      <c r="E30" s="230"/>
      <c r="BD30" s="183">
        <f ca="1">Model!BD287</f>
        <v>10.037493619689302</v>
      </c>
      <c r="BE30" s="183">
        <f ca="1">Model!BE287</f>
        <v>9.2056753286551203</v>
      </c>
      <c r="BF30" s="183">
        <f ca="1">Model!BF287</f>
        <v>9.6056485109478054</v>
      </c>
      <c r="BG30" s="183">
        <f ca="1">Model!BG287</f>
        <v>11.159845633689024</v>
      </c>
      <c r="BH30" s="183">
        <f ca="1">Model!BH287</f>
        <v>13.79345557711863</v>
      </c>
      <c r="BI30" s="183">
        <f ca="1">Model!BI287</f>
        <v>14.51338750732798</v>
      </c>
      <c r="BJ30" s="183">
        <f ca="1">Model!BJ287</f>
        <v>8.909163857969892</v>
      </c>
      <c r="BK30" s="183">
        <f ca="1">Model!BK287</f>
        <v>12.783662517192331</v>
      </c>
      <c r="BL30" s="183">
        <f ca="1">Model!BL287</f>
        <v>15.19899337300895</v>
      </c>
      <c r="BM30" s="183">
        <f ca="1">Model!BM287</f>
        <v>15.589618393562173</v>
      </c>
      <c r="BN30" s="183">
        <f ca="1">Model!BN287</f>
        <v>13.742183972675402</v>
      </c>
      <c r="BO30" s="183">
        <f ca="1">Model!BO287</f>
        <v>10.052354134262645</v>
      </c>
      <c r="BP30" s="183">
        <f ca="1">Model!BP287</f>
        <v>9.9489953654321077</v>
      </c>
      <c r="BQ30" s="183">
        <f ca="1">Model!BQ287</f>
        <v>9.9514244487701564</v>
      </c>
      <c r="BR30" s="183">
        <f ca="1">Model!BR287</f>
        <v>10.014070019242039</v>
      </c>
      <c r="BS30" s="183">
        <f ca="1">Model!BS287</f>
        <v>10.051575801536581</v>
      </c>
      <c r="BT30" s="183">
        <f ca="1">Model!BT287</f>
        <v>10.062965761270888</v>
      </c>
      <c r="BU30" s="183">
        <f ca="1">Model!BU287</f>
        <v>10.06932156648524</v>
      </c>
      <c r="BV30" s="183">
        <f ca="1">Model!BV287</f>
        <v>10.080538671331142</v>
      </c>
      <c r="BW30" s="183">
        <f ca="1">Model!BW287</f>
        <v>10.091633094343321</v>
      </c>
      <c r="BX30" s="183">
        <f ca="1">Model!BX287</f>
        <v>10.102385099289489</v>
      </c>
      <c r="BY30" s="183">
        <f ca="1">Model!BY287</f>
        <v>10.1130648967327</v>
      </c>
      <c r="BZ30" s="183">
        <f ca="1">Model!BZ287</f>
        <v>10.120393402630176</v>
      </c>
      <c r="CA30" s="183">
        <f ca="1">Model!CA287</f>
        <v>10.129016615230407</v>
      </c>
      <c r="CB30" s="183">
        <f ca="1">Model!CB287</f>
        <v>10.138386702922183</v>
      </c>
      <c r="CC30" s="183">
        <f ca="1">Model!CC287</f>
        <v>10.1478201809668</v>
      </c>
      <c r="CD30" s="183">
        <f ca="1">Model!CD287</f>
        <v>10.157507549792205</v>
      </c>
      <c r="CF30" s="166">
        <f t="shared" ca="1" si="1"/>
        <v>-2.8463916359218189E-3</v>
      </c>
      <c r="CG30" s="166">
        <f t="shared" ca="1" si="2"/>
        <v>-3.8138437883912246E-3</v>
      </c>
      <c r="CH30" s="166">
        <f t="shared" ca="1" si="3"/>
        <v>-1.9980932290586395E-3</v>
      </c>
      <c r="CI30" s="166">
        <f t="shared" ca="1" si="4"/>
        <v>-0.13729262097326789</v>
      </c>
      <c r="CJ30" s="166">
        <f t="shared" ca="1" si="5"/>
        <v>-0.1417010909962837</v>
      </c>
      <c r="CK30" s="166">
        <f t="shared" ca="1" si="6"/>
        <v>-0.13156271038704226</v>
      </c>
      <c r="CL30" s="166">
        <f t="shared" ca="1" si="7"/>
        <v>-5.4630925775533967E-4</v>
      </c>
      <c r="CM30" s="166">
        <f t="shared" ca="1" si="8"/>
        <v>-2.2300855257810781E-3</v>
      </c>
      <c r="CN30" s="166"/>
      <c r="CO30" s="302">
        <v>13.796301968754552</v>
      </c>
      <c r="CP30" s="302">
        <v>14.517201351116372</v>
      </c>
      <c r="CQ30" s="302">
        <v>8.9111619511989506</v>
      </c>
      <c r="CR30" s="302">
        <v>12.920955138165599</v>
      </c>
      <c r="CS30" s="302">
        <v>15.340694464005233</v>
      </c>
      <c r="CT30" s="302">
        <v>15.721181103949215</v>
      </c>
      <c r="CU30" s="302">
        <v>13.742730281933158</v>
      </c>
      <c r="CV30" s="302">
        <v>10.054584219788426</v>
      </c>
    </row>
    <row r="31" spans="1:100">
      <c r="A31" s="175" t="s">
        <v>431</v>
      </c>
      <c r="B31" s="185" t="s">
        <v>3290</v>
      </c>
      <c r="C31" s="185"/>
      <c r="D31" s="185"/>
      <c r="E31" s="185"/>
      <c r="F31" s="180">
        <v>2</v>
      </c>
      <c r="G31" s="180">
        <v>1</v>
      </c>
      <c r="H31" s="180">
        <v>1.9801980257034302</v>
      </c>
      <c r="I31" s="180">
        <v>8.7378644943237305</v>
      </c>
      <c r="J31" s="180">
        <v>0</v>
      </c>
      <c r="K31" s="180">
        <v>0</v>
      </c>
      <c r="L31" s="180">
        <v>2.6785714626312256</v>
      </c>
      <c r="M31" s="180">
        <v>1.7391303777694702</v>
      </c>
      <c r="N31" s="180">
        <v>0.85470086336135864</v>
      </c>
      <c r="O31" s="180">
        <v>0.8474576473236084</v>
      </c>
      <c r="P31" s="180">
        <v>0.8403361439704895</v>
      </c>
      <c r="Q31" s="180">
        <v>1.6666666269302368</v>
      </c>
      <c r="R31" s="180">
        <v>1.6393442153930664</v>
      </c>
      <c r="S31" s="180">
        <v>7.2580647468566895</v>
      </c>
      <c r="T31" s="180">
        <v>0</v>
      </c>
      <c r="U31" s="180">
        <v>3.0075187683105469</v>
      </c>
      <c r="V31" s="180">
        <v>1.7561022043228149</v>
      </c>
      <c r="W31" s="180">
        <v>-0.59355843067169189</v>
      </c>
      <c r="X31" s="180">
        <v>2.4373531341552734</v>
      </c>
      <c r="Y31" s="180">
        <v>12.087912559509277</v>
      </c>
      <c r="Z31" s="180">
        <v>15.959079742431641</v>
      </c>
      <c r="AA31" s="180">
        <v>7.4915452003479004</v>
      </c>
      <c r="AB31" s="180">
        <v>9.3085289001464844</v>
      </c>
      <c r="AC31" s="180">
        <v>8.8286819458007812</v>
      </c>
      <c r="AD31" s="180">
        <v>7.9859714508056641</v>
      </c>
      <c r="AE31" s="180">
        <v>13.954850196838379</v>
      </c>
      <c r="AF31" s="180">
        <v>13.208428382873535</v>
      </c>
      <c r="AG31" s="180">
        <v>8.7082128524780273</v>
      </c>
      <c r="AH31" s="180">
        <v>7.2892937660217285</v>
      </c>
      <c r="AI31" s="180">
        <v>4.3878273963928223</v>
      </c>
      <c r="AJ31" s="180">
        <v>4.1999998092651367</v>
      </c>
      <c r="AK31" s="180">
        <v>16.299999237060547</v>
      </c>
      <c r="AL31" s="180">
        <v>30.700000762939453</v>
      </c>
      <c r="AM31" s="180">
        <v>88.800003051757813</v>
      </c>
      <c r="AN31" s="180">
        <v>15</v>
      </c>
      <c r="AO31" s="180">
        <v>19.700000762939453</v>
      </c>
      <c r="AP31" s="180">
        <v>21.746293245469506</v>
      </c>
      <c r="AQ31" s="180">
        <v>25.968753844261293</v>
      </c>
      <c r="AR31" s="180">
        <v>43.662109374999993</v>
      </c>
      <c r="AS31" s="180">
        <v>143.51845557745909</v>
      </c>
      <c r="AT31" s="180">
        <v>368.47923179991062</v>
      </c>
      <c r="AU31" s="180">
        <v>235.55783301951999</v>
      </c>
      <c r="AV31" s="185">
        <f>Model!AV302</f>
        <v>-0.7</v>
      </c>
      <c r="AW31" s="185">
        <f>Model!AW302</f>
        <v>7.1</v>
      </c>
      <c r="AX31" s="185">
        <f>Model!AX302</f>
        <v>19</v>
      </c>
      <c r="AY31" s="185">
        <f>Model!AY302</f>
        <v>97.9</v>
      </c>
      <c r="AZ31" s="185">
        <f>Model!AZ302</f>
        <v>59.3</v>
      </c>
      <c r="BA31" s="185">
        <f>Model!BA302</f>
        <v>38.6</v>
      </c>
      <c r="BB31" s="185">
        <f>Model!BB302</f>
        <v>15.5</v>
      </c>
      <c r="BC31" s="185">
        <f>Model!BC302</f>
        <v>22.7</v>
      </c>
      <c r="BD31" s="185">
        <f>Model!BD302</f>
        <v>10</v>
      </c>
      <c r="BE31" s="185">
        <f>Model!BE302</f>
        <v>9.5</v>
      </c>
      <c r="BF31" s="185">
        <f>Model!BF302</f>
        <v>11.2</v>
      </c>
      <c r="BG31" s="185">
        <f>Model!BG302</f>
        <v>6.4262793447052768</v>
      </c>
      <c r="BH31" s="185">
        <f>Model!BH302</f>
        <v>14.702848528128264</v>
      </c>
      <c r="BI31" s="185">
        <f>Model!BI302</f>
        <v>-0.19406604311096309</v>
      </c>
      <c r="BJ31" s="185">
        <f>Model!BJ302</f>
        <v>6.9447872953180445</v>
      </c>
      <c r="BK31" s="185">
        <f>Model!BK302</f>
        <v>17.70408555820573</v>
      </c>
      <c r="BL31" s="185">
        <f>Model!BL302</f>
        <v>5.0137272846123571</v>
      </c>
      <c r="BM31" s="185">
        <f>Model!BM302</f>
        <v>1.9309056956115844</v>
      </c>
      <c r="BN31" s="185">
        <f>Model!BN302</f>
        <v>3.3697298353607907</v>
      </c>
      <c r="BO31" s="185">
        <f>Model!BO302</f>
        <v>6.9</v>
      </c>
      <c r="BP31" s="185">
        <f ca="1">Model!BP302</f>
        <v>36.355508223363913</v>
      </c>
      <c r="BQ31" s="185">
        <f ca="1">Model!BQ302</f>
        <v>11.415029893225288</v>
      </c>
      <c r="BR31" s="185">
        <f ca="1">Model!BR302</f>
        <v>5.2989819773361937</v>
      </c>
      <c r="BS31" s="185">
        <f ca="1">Model!BS302</f>
        <v>3.0289202942350908</v>
      </c>
      <c r="BT31" s="185">
        <f ca="1">Model!BT302</f>
        <v>3.4377051520660764</v>
      </c>
      <c r="BU31" s="185">
        <f ca="1">Model!BU302</f>
        <v>3.5632337731411203</v>
      </c>
      <c r="BV31" s="185">
        <f ca="1">Model!BV302</f>
        <v>3.5957763287793041</v>
      </c>
      <c r="BW31" s="185">
        <f ca="1">Model!BW302</f>
        <v>3.6133304026611688</v>
      </c>
      <c r="BX31" s="185">
        <f ca="1">Model!BX302</f>
        <v>3.595798877852789</v>
      </c>
      <c r="BY31" s="185">
        <f ca="1">Model!BY302</f>
        <v>3.5724579753935144</v>
      </c>
      <c r="BZ31" s="185">
        <f ca="1">Model!BZ302</f>
        <v>3.5543549220490229</v>
      </c>
      <c r="CA31" s="185">
        <f ca="1">Model!CA302</f>
        <v>3.5502200406161348</v>
      </c>
      <c r="CB31" s="185">
        <f ca="1">Model!CB302</f>
        <v>3.5505695900456731</v>
      </c>
      <c r="CC31" s="185">
        <f ca="1">Model!CC302</f>
        <v>3.5415276278586445</v>
      </c>
      <c r="CD31" s="185">
        <f ca="1">Model!CD302</f>
        <v>3.5327192142120261</v>
      </c>
      <c r="CF31" s="166">
        <f t="shared" si="1"/>
        <v>0</v>
      </c>
      <c r="CG31" s="166">
        <f t="shared" si="2"/>
        <v>0</v>
      </c>
      <c r="CH31" s="166">
        <f t="shared" si="3"/>
        <v>0</v>
      </c>
      <c r="CI31" s="166">
        <f t="shared" si="4"/>
        <v>0</v>
      </c>
      <c r="CJ31" s="166">
        <f t="shared" si="5"/>
        <v>0</v>
      </c>
      <c r="CK31" s="166">
        <f t="shared" si="6"/>
        <v>0</v>
      </c>
      <c r="CL31" s="166">
        <f t="shared" si="7"/>
        <v>0</v>
      </c>
      <c r="CM31" s="166">
        <f t="shared" si="8"/>
        <v>0</v>
      </c>
      <c r="CN31" s="166"/>
      <c r="CO31" s="302">
        <v>14.702848528128264</v>
      </c>
      <c r="CP31" s="302">
        <v>-0.19406604311096309</v>
      </c>
      <c r="CQ31" s="302">
        <v>6.9447872953180445</v>
      </c>
      <c r="CR31" s="302">
        <v>17.70408555820573</v>
      </c>
      <c r="CS31" s="302">
        <v>5.0137272846123571</v>
      </c>
      <c r="CT31" s="302">
        <v>1.9309056956115844</v>
      </c>
      <c r="CU31" s="302">
        <v>3.3697298353607907</v>
      </c>
      <c r="CV31" s="302">
        <v>6.9</v>
      </c>
    </row>
    <row r="32" spans="1:100">
      <c r="A32" s="175" t="s">
        <v>1418</v>
      </c>
      <c r="B32" s="179" t="s">
        <v>1768</v>
      </c>
      <c r="C32" s="179"/>
      <c r="D32" s="179"/>
      <c r="E32" s="179"/>
      <c r="F32" s="180">
        <v>1.8</v>
      </c>
      <c r="G32" s="180">
        <v>0.5</v>
      </c>
      <c r="H32" s="180">
        <v>3.0221829414367676</v>
      </c>
      <c r="I32" s="180">
        <v>2.2277793884277344</v>
      </c>
      <c r="J32" s="180">
        <v>-1.626257061958313</v>
      </c>
      <c r="K32" s="180">
        <v>-0.89552080631256104</v>
      </c>
      <c r="L32" s="180">
        <v>0.76559323072433472</v>
      </c>
      <c r="M32" s="180">
        <v>1.8154700994491577</v>
      </c>
      <c r="N32" s="180">
        <v>0.49572989344596863</v>
      </c>
      <c r="O32" s="180">
        <v>0.31003996729850769</v>
      </c>
      <c r="P32" s="180">
        <v>2.2613492012023926</v>
      </c>
      <c r="Q32" s="180">
        <v>1.6288275718688965</v>
      </c>
      <c r="R32" s="180">
        <v>1.1620020866394043</v>
      </c>
      <c r="S32" s="180">
        <v>1.3401436805725098</v>
      </c>
      <c r="T32" s="180">
        <v>0.38416191935539246</v>
      </c>
      <c r="U32" s="180">
        <v>2.3576428890228271</v>
      </c>
      <c r="V32" s="180">
        <v>4.3976931571960449</v>
      </c>
      <c r="W32" s="180">
        <v>6.8055276870727539</v>
      </c>
      <c r="X32" s="180">
        <v>1.0620815753936768</v>
      </c>
      <c r="Y32" s="180">
        <v>23.262006759643555</v>
      </c>
      <c r="Z32" s="180">
        <v>51.418785095214844</v>
      </c>
      <c r="AA32" s="180">
        <v>9.6750164031982422</v>
      </c>
      <c r="AB32" s="180">
        <v>2.2336657047271729</v>
      </c>
      <c r="AC32" s="180">
        <v>8.1954889297485352</v>
      </c>
      <c r="AD32" s="180">
        <v>8.4418277740478516</v>
      </c>
      <c r="AE32" s="180">
        <v>21.756065368652344</v>
      </c>
      <c r="AF32" s="180">
        <v>29.74290657043457</v>
      </c>
      <c r="AG32" s="180">
        <v>5.1207904815673828</v>
      </c>
      <c r="AH32" s="180">
        <v>-1.4226530790328979</v>
      </c>
      <c r="AI32" s="180">
        <v>-5.799159049987793</v>
      </c>
      <c r="AJ32" s="180">
        <v>-1.4299999475479126</v>
      </c>
      <c r="AK32" s="180">
        <v>4.3000001907348633</v>
      </c>
      <c r="AL32" s="180">
        <v>2.3299999237060547</v>
      </c>
      <c r="AM32" s="180">
        <v>66.589996337890625</v>
      </c>
      <c r="AN32" s="180">
        <v>12.100000381469727</v>
      </c>
      <c r="AO32" s="180">
        <v>21</v>
      </c>
      <c r="AP32" s="180">
        <v>47</v>
      </c>
      <c r="AQ32" s="180">
        <v>38.306300283925985</v>
      </c>
      <c r="AR32" s="180">
        <v>30.387615455445705</v>
      </c>
      <c r="AS32" s="180">
        <v>449.54631502796258</v>
      </c>
      <c r="AT32" s="180">
        <v>426.50594858796609</v>
      </c>
      <c r="AU32" s="180">
        <v>113.05936131309264</v>
      </c>
      <c r="AV32" s="179">
        <f>Model!AV305</f>
        <v>-6</v>
      </c>
      <c r="AW32" s="179">
        <f>Model!AW305</f>
        <v>1.870674066222211E-2</v>
      </c>
      <c r="AX32" s="179">
        <f>Model!AX305</f>
        <v>0</v>
      </c>
      <c r="AY32" s="179">
        <f>Model!AY305</f>
        <v>116.45262866771448</v>
      </c>
      <c r="AZ32" s="179">
        <f>Model!AZ305</f>
        <v>59.344518852335412</v>
      </c>
      <c r="BA32" s="179">
        <f>Model!BA305</f>
        <v>60.273813624983489</v>
      </c>
      <c r="BB32" s="179">
        <f>Model!BB305</f>
        <v>9.5020603613891144</v>
      </c>
      <c r="BC32" s="179">
        <f>Model!BC305</f>
        <v>26.146035492253837</v>
      </c>
      <c r="BD32" s="179">
        <f>Model!BD305</f>
        <v>19.087389010382807</v>
      </c>
      <c r="BE32" s="179">
        <f>Model!BE305</f>
        <v>10.644595339014602</v>
      </c>
      <c r="BF32" s="179">
        <f>Model!BF305</f>
        <v>8.265163698192854</v>
      </c>
      <c r="BG32" s="179">
        <f>Model!BG305</f>
        <v>8.8395932332093548</v>
      </c>
      <c r="BH32" s="179">
        <f>Model!BH305</f>
        <v>14.39638928051075</v>
      </c>
      <c r="BI32" s="179">
        <f>Model!BI305</f>
        <v>-0.29945901391304375</v>
      </c>
      <c r="BJ32" s="179">
        <f>Model!BJ305</f>
        <v>12.730784144341271</v>
      </c>
      <c r="BK32" s="179">
        <f>Model!BK305</f>
        <v>17.353986329017417</v>
      </c>
      <c r="BL32" s="179">
        <f>Model!BL305</f>
        <v>3.8667529293760854</v>
      </c>
      <c r="BM32" s="179">
        <f>Model!BM305</f>
        <v>2.4685623583623086</v>
      </c>
      <c r="BN32" s="179">
        <f>Model!BN305</f>
        <v>-4.924487713808734E-2</v>
      </c>
      <c r="BO32" s="179">
        <f>Model!BO305</f>
        <v>-10.243754484139728</v>
      </c>
      <c r="BP32" s="179">
        <f>Model!BP305</f>
        <v>27.196461808614071</v>
      </c>
      <c r="BQ32" s="179">
        <f>Model!BQ305</f>
        <v>4.5647332788181867</v>
      </c>
      <c r="BR32" s="179">
        <f>Model!BR305</f>
        <v>3.8071513833502246</v>
      </c>
      <c r="BS32" s="179">
        <f>Model!BS305</f>
        <v>3.2874793468550547</v>
      </c>
      <c r="BT32" s="179">
        <f>Model!BT305</f>
        <v>4.7663040163181751</v>
      </c>
      <c r="BU32" s="179">
        <f>Model!BU305</f>
        <v>4.7663040163181751</v>
      </c>
      <c r="BV32" s="179">
        <f>Model!BV305</f>
        <v>4.7663040163181751</v>
      </c>
      <c r="BW32" s="179">
        <f>Model!BW305</f>
        <v>4.7663040163181751</v>
      </c>
      <c r="BX32" s="179">
        <f>Model!BX305</f>
        <v>4.7663040163181751</v>
      </c>
      <c r="BY32" s="179">
        <f>Model!BY305</f>
        <v>4.7663040163181751</v>
      </c>
      <c r="BZ32" s="179">
        <f>Model!BZ305</f>
        <v>4.7663040163181751</v>
      </c>
      <c r="CA32" s="179">
        <f>Model!CA305</f>
        <v>4.7663040163181751</v>
      </c>
      <c r="CB32" s="179">
        <f>Model!CB305</f>
        <v>4.7663040163181751</v>
      </c>
      <c r="CC32" s="179">
        <f>Model!CC305</f>
        <v>4.7663040163181751</v>
      </c>
      <c r="CD32" s="179">
        <f>Model!CD305</f>
        <v>4.7663040163181751</v>
      </c>
      <c r="CF32" s="166">
        <f t="shared" si="1"/>
        <v>0</v>
      </c>
      <c r="CG32" s="166">
        <f t="shared" si="2"/>
        <v>0</v>
      </c>
      <c r="CH32" s="166">
        <f t="shared" si="3"/>
        <v>0</v>
      </c>
      <c r="CI32" s="166">
        <f t="shared" si="4"/>
        <v>0</v>
      </c>
      <c r="CJ32" s="166">
        <f t="shared" si="5"/>
        <v>0</v>
      </c>
      <c r="CK32" s="166">
        <f t="shared" si="6"/>
        <v>0</v>
      </c>
      <c r="CL32" s="166">
        <f t="shared" si="7"/>
        <v>0</v>
      </c>
      <c r="CM32" s="166">
        <f t="shared" si="8"/>
        <v>0</v>
      </c>
      <c r="CN32" s="166"/>
      <c r="CO32" s="302">
        <v>14.39638928051075</v>
      </c>
      <c r="CP32" s="302">
        <v>-0.29945901391304375</v>
      </c>
      <c r="CQ32" s="302">
        <v>12.730784144341271</v>
      </c>
      <c r="CR32" s="302">
        <v>17.353986329017417</v>
      </c>
      <c r="CS32" s="302">
        <v>3.8667529293760854</v>
      </c>
      <c r="CT32" s="302">
        <v>2.4685623583623086</v>
      </c>
      <c r="CU32" s="302">
        <v>-4.924487713808734E-2</v>
      </c>
      <c r="CV32" s="302">
        <v>-10.243754484139728</v>
      </c>
    </row>
    <row r="33" spans="1:100">
      <c r="A33" s="229" t="s">
        <v>3091</v>
      </c>
      <c r="B33" s="179" t="s">
        <v>1767</v>
      </c>
      <c r="C33" s="179"/>
      <c r="D33" s="179"/>
      <c r="E33" s="179"/>
      <c r="F33" s="180">
        <v>0</v>
      </c>
      <c r="G33" s="180">
        <v>0.9787359485572189</v>
      </c>
      <c r="H33" s="180">
        <v>-17.052744974321044</v>
      </c>
      <c r="I33" s="180">
        <v>-4.1314194478654809</v>
      </c>
      <c r="J33" s="180">
        <v>-4.5724107234027755</v>
      </c>
      <c r="K33" s="180">
        <v>4.4478110358669776</v>
      </c>
      <c r="L33" s="180">
        <v>-4.7570193810450689</v>
      </c>
      <c r="M33" s="180">
        <v>1.9161468186064567</v>
      </c>
      <c r="N33" s="180">
        <v>4.1359185841693957E-3</v>
      </c>
      <c r="O33" s="180">
        <v>10.277985427886428</v>
      </c>
      <c r="P33" s="180">
        <v>16.399735890417343</v>
      </c>
      <c r="Q33" s="180">
        <v>8.5148262445176712</v>
      </c>
      <c r="R33" s="180">
        <v>16.022902915358685</v>
      </c>
      <c r="S33" s="180">
        <v>6.250496312273035</v>
      </c>
      <c r="T33" s="180">
        <v>2.7808700488092475</v>
      </c>
      <c r="U33" s="180">
        <v>-3.4571322323641018</v>
      </c>
      <c r="V33" s="180">
        <v>-5.0027749528596344</v>
      </c>
      <c r="W33" s="180">
        <v>19.781569082910888</v>
      </c>
      <c r="X33" s="180">
        <v>4.6241719722739827</v>
      </c>
      <c r="Y33" s="180">
        <v>9.8631633987945833</v>
      </c>
      <c r="Z33" s="180">
        <v>10.720535048731961</v>
      </c>
      <c r="AA33" s="180">
        <v>-5.3991961622265716</v>
      </c>
      <c r="AB33" s="180">
        <v>-6.3071966640517951</v>
      </c>
      <c r="AC33" s="180">
        <v>7.3295436338751019</v>
      </c>
      <c r="AD33" s="180">
        <v>7.0589049497696177</v>
      </c>
      <c r="AE33" s="180">
        <v>5.1150274771127657</v>
      </c>
      <c r="AF33" s="180">
        <v>-0.67166426946162483</v>
      </c>
      <c r="AG33" s="180">
        <v>2.434557501721013</v>
      </c>
      <c r="AH33" s="180">
        <v>-3.0326184885544283</v>
      </c>
      <c r="AI33" s="180">
        <v>-6.9236502694009827</v>
      </c>
      <c r="AJ33" s="180">
        <v>-5.6790499472048168</v>
      </c>
      <c r="AK33" s="180">
        <v>5.2195753667580336</v>
      </c>
      <c r="AL33" s="180">
        <v>-20.990959031489453</v>
      </c>
      <c r="AM33" s="180">
        <v>-17.113819456381172</v>
      </c>
      <c r="AN33" s="180">
        <v>7.1487653034457699</v>
      </c>
      <c r="AO33" s="180">
        <v>3.9980955133377183</v>
      </c>
      <c r="AP33" s="180">
        <v>49.319889224894652</v>
      </c>
      <c r="AQ33" s="180">
        <v>9.9491365690162823</v>
      </c>
      <c r="AR33" s="180">
        <v>-12.207136844250609</v>
      </c>
      <c r="AS33" s="180">
        <v>-15.884498555819127</v>
      </c>
      <c r="AT33" s="180">
        <v>-2.3487028424876599</v>
      </c>
      <c r="AU33" s="180">
        <v>-11.170295522935181</v>
      </c>
      <c r="AV33" s="170">
        <v>0</v>
      </c>
      <c r="AW33" s="170">
        <v>1.8938586890869802</v>
      </c>
      <c r="AX33" s="170">
        <v>0.11491719150182877</v>
      </c>
      <c r="AY33" s="170">
        <v>-6.2987091864871392</v>
      </c>
      <c r="AZ33" s="170">
        <v>-8.0919744722150799</v>
      </c>
      <c r="BA33" s="170">
        <v>4.9756628479029397</v>
      </c>
      <c r="BB33" s="170">
        <v>39.197219261224838</v>
      </c>
      <c r="BC33" s="170">
        <v>9.956118564661276</v>
      </c>
      <c r="BD33" s="170">
        <v>3.971463274752951</v>
      </c>
      <c r="BE33" s="170">
        <v>2.1236453259668941</v>
      </c>
      <c r="BF33" s="179">
        <f>(Model!BF382/Model!BE382-1)*100</f>
        <v>1.0000000000000009</v>
      </c>
      <c r="BG33" s="179">
        <f>(Model!BG382/Model!BF382-1)*100</f>
        <v>0</v>
      </c>
      <c r="BH33" s="179">
        <f>(Model!BH382/Model!BG382-1)*100</f>
        <v>0</v>
      </c>
      <c r="BI33" s="179">
        <f>(Model!BI382/Model!BH382-1)*100</f>
        <v>0</v>
      </c>
      <c r="BJ33" s="179">
        <f>(Model!BJ382/Model!BI382-1)*100</f>
        <v>0</v>
      </c>
      <c r="BK33" s="179">
        <f>(Model!BK382/Model!BJ382-1)*100</f>
        <v>0</v>
      </c>
      <c r="BL33" s="179">
        <f>(Model!BL382/Model!BK382-1)*100</f>
        <v>0</v>
      </c>
      <c r="BM33" s="179">
        <f>(Model!BM382/Model!BL382-1)*100</f>
        <v>0</v>
      </c>
      <c r="BN33" s="179">
        <f>(Model!BN382/Model!BM382-1)*100</f>
        <v>2.0000000000000018</v>
      </c>
      <c r="BO33" s="179">
        <f>(Model!BO382/Model!BN382-1)*100</f>
        <v>2.0000000000000018</v>
      </c>
      <c r="BP33" s="179">
        <f>(Model!BP382/Model!BO382-1)*100</f>
        <v>2.0000000000000018</v>
      </c>
      <c r="BQ33" s="179">
        <f>(Model!BQ382/Model!BP382-1)*100</f>
        <v>2.0000000000000018</v>
      </c>
      <c r="BR33" s="179">
        <f>(Model!BR382/Model!BQ382-1)*100</f>
        <v>2.0000000000000018</v>
      </c>
      <c r="BS33" s="179">
        <f>(Model!BS382/Model!BR382-1)*100</f>
        <v>2.0000000000000018</v>
      </c>
      <c r="BT33" s="179">
        <f>(Model!BT382/Model!BS382-1)*100</f>
        <v>2.0000000000000018</v>
      </c>
      <c r="BU33" s="179">
        <f>(Model!BU382/Model!BT382-1)*100</f>
        <v>2.0000000000000018</v>
      </c>
      <c r="BV33" s="179">
        <f>(Model!BV382/Model!BU382-1)*100</f>
        <v>2.0000000000000018</v>
      </c>
      <c r="BW33" s="179">
        <f>(Model!BW382/Model!BV382-1)*100</f>
        <v>2.0000000000000018</v>
      </c>
      <c r="BX33" s="179">
        <f>(Model!BX382/Model!BW382-1)*100</f>
        <v>2.0000000000000018</v>
      </c>
      <c r="BY33" s="179">
        <f>(Model!BY382/Model!BX382-1)*100</f>
        <v>2.0000000000000018</v>
      </c>
      <c r="BZ33" s="179">
        <f>(Model!BZ382/Model!BY382-1)*100</f>
        <v>2.0000000000000018</v>
      </c>
      <c r="CA33" s="179">
        <f>(Model!CA382/Model!BZ382-1)*100</f>
        <v>2.0000000000000018</v>
      </c>
      <c r="CB33" s="179">
        <f>(Model!CB382/Model!CA382-1)*100</f>
        <v>2.0000000000000018</v>
      </c>
      <c r="CC33" s="179">
        <f>(Model!CC382/Model!CB382-1)*100</f>
        <v>2.0000000000000018</v>
      </c>
      <c r="CD33" s="179">
        <f>(Model!CD382/Model!CC382-1)*100</f>
        <v>2.0000000000000018</v>
      </c>
      <c r="CF33" s="166">
        <f t="shared" si="1"/>
        <v>0</v>
      </c>
      <c r="CG33" s="166">
        <f t="shared" si="2"/>
        <v>0</v>
      </c>
      <c r="CH33" s="166">
        <f t="shared" si="3"/>
        <v>0</v>
      </c>
      <c r="CI33" s="166">
        <f t="shared" si="4"/>
        <v>0</v>
      </c>
      <c r="CJ33" s="166">
        <f t="shared" si="5"/>
        <v>0</v>
      </c>
      <c r="CK33" s="166">
        <f t="shared" si="6"/>
        <v>0</v>
      </c>
      <c r="CL33" s="166">
        <f t="shared" si="7"/>
        <v>0</v>
      </c>
      <c r="CM33" s="166">
        <f t="shared" si="8"/>
        <v>0</v>
      </c>
      <c r="CN33" s="166"/>
      <c r="CO33" s="302">
        <v>0</v>
      </c>
      <c r="CP33" s="302">
        <v>0</v>
      </c>
      <c r="CQ33" s="302">
        <v>0</v>
      </c>
      <c r="CR33" s="302">
        <v>0</v>
      </c>
      <c r="CS33" s="302">
        <v>0</v>
      </c>
      <c r="CT33" s="302">
        <v>0</v>
      </c>
      <c r="CU33" s="302">
        <v>2.0000000000000018</v>
      </c>
      <c r="CV33" s="302">
        <v>2.0000000000000018</v>
      </c>
    </row>
    <row r="34" spans="1:100">
      <c r="A34" s="175" t="s">
        <v>3107</v>
      </c>
      <c r="B34" s="179" t="s">
        <v>334</v>
      </c>
      <c r="C34" s="179"/>
      <c r="D34" s="179"/>
      <c r="E34" s="179"/>
      <c r="F34" s="180" t="s">
        <v>2219</v>
      </c>
      <c r="G34" s="180">
        <v>1.2183674456863525</v>
      </c>
      <c r="H34" s="180">
        <v>-17.689383370237387</v>
      </c>
      <c r="I34" s="180">
        <v>8.1133875731743466</v>
      </c>
      <c r="J34" s="180">
        <v>2.1546542963380766</v>
      </c>
      <c r="K34" s="180">
        <v>4.192975366687568</v>
      </c>
      <c r="L34" s="180">
        <v>0.82289306996505829</v>
      </c>
      <c r="M34" s="180">
        <v>-0.44574071670124837</v>
      </c>
      <c r="N34" s="180">
        <v>5.2866679262533411</v>
      </c>
      <c r="O34" s="180">
        <v>6.2712268686030415</v>
      </c>
      <c r="P34" s="180">
        <v>7.6030566382945697</v>
      </c>
      <c r="Q34" s="180">
        <v>3.1295200183219185</v>
      </c>
      <c r="R34" s="180">
        <v>13.762367701850465</v>
      </c>
      <c r="S34" s="180">
        <v>8.7761450917543726</v>
      </c>
      <c r="T34" s="180">
        <v>10.589077315282115</v>
      </c>
      <c r="U34" s="180">
        <v>8.201457006705958</v>
      </c>
      <c r="V34" s="180">
        <v>9.6613698684901763</v>
      </c>
      <c r="W34" s="180">
        <v>12.515523367395964</v>
      </c>
      <c r="X34" s="180">
        <v>11.522105864383182</v>
      </c>
      <c r="Y34" s="180">
        <v>14.656522434739539</v>
      </c>
      <c r="Z34" s="180">
        <v>14.775472768098874</v>
      </c>
      <c r="AA34" s="180">
        <v>18.967549888234146</v>
      </c>
      <c r="AB34" s="180">
        <v>19.958007844682825</v>
      </c>
      <c r="AC34" s="180">
        <v>26.562082909485184</v>
      </c>
      <c r="AD34" s="180">
        <v>18.508194474614381</v>
      </c>
      <c r="AE34" s="180">
        <v>5.0956405908711311</v>
      </c>
      <c r="AF34" s="180">
        <v>17.921563508281579</v>
      </c>
      <c r="AG34" s="180">
        <v>15.958095271856321</v>
      </c>
      <c r="AH34" s="180">
        <v>11.13254555277976</v>
      </c>
      <c r="AI34" s="180">
        <v>8.6212183131116014</v>
      </c>
      <c r="AJ34" s="180">
        <v>7.3688902112652999</v>
      </c>
      <c r="AK34" s="180">
        <v>7.0388897127582783</v>
      </c>
      <c r="AL34" s="180">
        <v>-1.0566153486140428</v>
      </c>
      <c r="AM34" s="180">
        <v>-6.4520527523492799</v>
      </c>
      <c r="AN34" s="180">
        <v>12.622057309859924</v>
      </c>
      <c r="AO34" s="180">
        <v>18.012497339457511</v>
      </c>
      <c r="AP34" s="180">
        <v>18.0729929544732</v>
      </c>
      <c r="AQ34" s="180">
        <v>15.532233246859196</v>
      </c>
      <c r="AR34" s="180">
        <v>29.254102127132619</v>
      </c>
      <c r="AS34" s="180">
        <v>87.692225322934149</v>
      </c>
      <c r="AT34" s="180">
        <v>574.77007585283309</v>
      </c>
      <c r="AU34" s="180">
        <v>360.33039330650274</v>
      </c>
      <c r="AV34" s="179">
        <f>Model!AV310</f>
        <v>65.3</v>
      </c>
      <c r="AW34" s="179">
        <f>Model!AW310</f>
        <v>34.125073770962743</v>
      </c>
      <c r="AX34" s="179">
        <f>Model!AX310</f>
        <v>19.2417997901277</v>
      </c>
      <c r="AY34" s="179">
        <f>Model!AY310</f>
        <v>86.298164227566645</v>
      </c>
      <c r="AZ34" s="179">
        <f>Model!AZ310</f>
        <v>34.353231388908647</v>
      </c>
      <c r="BA34" s="179">
        <f>Model!BA310</f>
        <v>67.168223442018643</v>
      </c>
      <c r="BB34" s="179">
        <f>Model!BB310</f>
        <v>21.176895433469699</v>
      </c>
      <c r="BC34" s="179">
        <f ca="1">Model!BC310</f>
        <v>20.963444160494603</v>
      </c>
      <c r="BD34" s="179">
        <f ca="1">Model!BD310</f>
        <v>12.065800599648057</v>
      </c>
      <c r="BE34" s="179">
        <f ca="1">Model!BE310</f>
        <v>2.1463760113450414</v>
      </c>
      <c r="BF34" s="179">
        <f ca="1">Model!BF310</f>
        <v>4.8748282673215737</v>
      </c>
      <c r="BG34" s="179">
        <f ca="1">Model!BG310</f>
        <v>6.0646227938293995</v>
      </c>
      <c r="BH34" s="179">
        <f ca="1">Model!BH310</f>
        <v>7.9791388947431763</v>
      </c>
      <c r="BI34" s="179">
        <f ca="1">Model!BI310</f>
        <v>6.7468791925761717</v>
      </c>
      <c r="BJ34" s="179">
        <f ca="1">Model!BJ310</f>
        <v>5.6683485373864473</v>
      </c>
      <c r="BK34" s="179">
        <f ca="1">Model!BK310</f>
        <v>11.474987468496511</v>
      </c>
      <c r="BL34" s="179">
        <f ca="1">Model!BL310</f>
        <v>11.443933712616339</v>
      </c>
      <c r="BM34" s="179">
        <f ca="1">Model!BM310</f>
        <v>2.9269221671393009</v>
      </c>
      <c r="BN34" s="179">
        <f ca="1">Model!BN310</f>
        <v>1.285583096075249</v>
      </c>
      <c r="BO34" s="179">
        <f ca="1">Model!BO310</f>
        <v>4.2350530219785298</v>
      </c>
      <c r="BP34" s="179">
        <f ca="1">Model!BP310</f>
        <v>20.962450987774872</v>
      </c>
      <c r="BQ34" s="179">
        <f ca="1">Model!BQ310</f>
        <v>24.294056406262033</v>
      </c>
      <c r="BR34" s="179">
        <f ca="1">Model!BR310</f>
        <v>9.5523402451792361</v>
      </c>
      <c r="BS34" s="179">
        <f ca="1">Model!BS310</f>
        <v>4.6440320622428199</v>
      </c>
      <c r="BT34" s="179">
        <f ca="1">Model!BT310</f>
        <v>3.4145468536093793</v>
      </c>
      <c r="BU34" s="179">
        <f ca="1">Model!BU310</f>
        <v>3.6511183989398122</v>
      </c>
      <c r="BV34" s="179">
        <f ca="1">Model!BV310</f>
        <v>3.736789650849115</v>
      </c>
      <c r="BW34" s="179">
        <f ca="1">Model!BW310</f>
        <v>3.7616524627478665</v>
      </c>
      <c r="BX34" s="179">
        <f ca="1">Model!BX310</f>
        <v>3.711585622889868</v>
      </c>
      <c r="BY34" s="179">
        <f ca="1">Model!BY310</f>
        <v>3.6448069661513705</v>
      </c>
      <c r="BZ34" s="179">
        <f ca="1">Model!BZ310</f>
        <v>3.5950918740443649</v>
      </c>
      <c r="CA34" s="179">
        <f ca="1">Model!CA310</f>
        <v>3.5697216194236159</v>
      </c>
      <c r="CB34" s="179">
        <f ca="1">Model!CB310</f>
        <v>3.5488640644027569</v>
      </c>
      <c r="CC34" s="179">
        <f ca="1">Model!CC310</f>
        <v>3.5198901906230207</v>
      </c>
      <c r="CD34" s="179">
        <f ca="1">Model!CD310</f>
        <v>3.4907458485409437</v>
      </c>
      <c r="CF34" s="166">
        <f t="shared" ca="1" si="1"/>
        <v>0</v>
      </c>
      <c r="CG34" s="166">
        <f t="shared" ca="1" si="2"/>
        <v>0</v>
      </c>
      <c r="CH34" s="166">
        <f t="shared" ca="1" si="3"/>
        <v>0</v>
      </c>
      <c r="CI34" s="166">
        <f t="shared" ca="1" si="4"/>
        <v>0</v>
      </c>
      <c r="CJ34" s="166">
        <f t="shared" ca="1" si="5"/>
        <v>0</v>
      </c>
      <c r="CK34" s="166">
        <f t="shared" ca="1" si="6"/>
        <v>0</v>
      </c>
      <c r="CL34" s="166">
        <f t="shared" ca="1" si="7"/>
        <v>0</v>
      </c>
      <c r="CM34" s="166">
        <f t="shared" ca="1" si="8"/>
        <v>1.1826492367776886</v>
      </c>
      <c r="CN34" s="166"/>
      <c r="CO34" s="302">
        <v>7.9791388947431763</v>
      </c>
      <c r="CP34" s="302">
        <v>6.7468791925761717</v>
      </c>
      <c r="CQ34" s="302">
        <v>5.6683485373864473</v>
      </c>
      <c r="CR34" s="302">
        <v>11.474987468496511</v>
      </c>
      <c r="CS34" s="302">
        <v>11.443933712616339</v>
      </c>
      <c r="CT34" s="302">
        <v>2.9269221671393009</v>
      </c>
      <c r="CU34" s="302">
        <v>1.285583096075249</v>
      </c>
      <c r="CV34" s="302">
        <v>3.0524037852008412</v>
      </c>
    </row>
    <row r="35" spans="1:100">
      <c r="A35" s="175" t="s">
        <v>333</v>
      </c>
      <c r="B35" s="183" t="s">
        <v>4077</v>
      </c>
      <c r="C35" s="183"/>
      <c r="D35" s="183"/>
      <c r="E35" s="183"/>
      <c r="F35" s="181">
        <v>0</v>
      </c>
      <c r="G35" s="181">
        <v>0</v>
      </c>
      <c r="H35" s="181">
        <v>0</v>
      </c>
      <c r="I35" s="181">
        <v>0</v>
      </c>
      <c r="J35" s="181">
        <v>0</v>
      </c>
      <c r="K35" s="181">
        <v>0</v>
      </c>
      <c r="L35" s="181">
        <v>0</v>
      </c>
      <c r="M35" s="181">
        <v>0</v>
      </c>
      <c r="N35" s="181">
        <v>0</v>
      </c>
      <c r="O35" s="181">
        <v>0</v>
      </c>
      <c r="P35" s="181">
        <v>0</v>
      </c>
      <c r="Q35" s="181">
        <v>0</v>
      </c>
      <c r="R35" s="181">
        <v>0</v>
      </c>
      <c r="S35" s="181">
        <v>0</v>
      </c>
      <c r="T35" s="181">
        <v>0</v>
      </c>
      <c r="U35" s="181">
        <v>0</v>
      </c>
      <c r="V35" s="181">
        <v>0</v>
      </c>
      <c r="W35" s="181">
        <v>0</v>
      </c>
      <c r="X35" s="181">
        <v>0</v>
      </c>
      <c r="Y35" s="181">
        <v>0</v>
      </c>
      <c r="Z35" s="181">
        <v>0</v>
      </c>
      <c r="AA35" s="181">
        <v>0</v>
      </c>
      <c r="AB35" s="181">
        <v>0</v>
      </c>
      <c r="AC35" s="181">
        <v>0</v>
      </c>
      <c r="AD35" s="181">
        <v>0</v>
      </c>
      <c r="AE35" s="181">
        <v>0</v>
      </c>
      <c r="AF35" s="181">
        <v>0</v>
      </c>
      <c r="AG35" s="181">
        <v>0</v>
      </c>
      <c r="AH35" s="181">
        <v>0</v>
      </c>
      <c r="AI35" s="181">
        <v>0</v>
      </c>
      <c r="AJ35" s="181">
        <v>0</v>
      </c>
      <c r="AK35" s="181">
        <v>0</v>
      </c>
      <c r="AL35" s="181">
        <v>0</v>
      </c>
      <c r="AM35" s="181">
        <v>0</v>
      </c>
      <c r="AN35" s="181">
        <v>0</v>
      </c>
      <c r="AO35" s="181">
        <v>0</v>
      </c>
      <c r="AP35" s="181">
        <v>1.7849999999999999</v>
      </c>
      <c r="AQ35" s="181">
        <v>1.7849999999999999</v>
      </c>
      <c r="AR35" s="181">
        <v>1.7849999999999999</v>
      </c>
      <c r="AS35" s="181">
        <v>1.7849999999999999</v>
      </c>
      <c r="AT35" s="181">
        <v>134.61750000000001</v>
      </c>
      <c r="AU35" s="181">
        <v>441.39499999999998</v>
      </c>
      <c r="AV35" s="179">
        <f>Model!AV363*1000</f>
        <v>400.92499999999995</v>
      </c>
      <c r="AW35" s="179">
        <f>Model!AW363*1000</f>
        <v>401</v>
      </c>
      <c r="AX35" s="179">
        <f>Model!AX363*1000</f>
        <v>401</v>
      </c>
      <c r="AY35" s="179">
        <f>Model!AY363*1000</f>
        <v>859.91</v>
      </c>
      <c r="AZ35" s="179">
        <f>Model!AZ363*1000</f>
        <v>1326.31</v>
      </c>
      <c r="BA35" s="179">
        <f>Model!BA363*1000</f>
        <v>2178.5</v>
      </c>
      <c r="BB35" s="179">
        <f>Model!BB363*1000</f>
        <v>2326.9450000000002</v>
      </c>
      <c r="BC35" s="179">
        <f>Model!BC363*1000</f>
        <v>2603.33</v>
      </c>
      <c r="BD35" s="179">
        <f>Model!BD363*1000</f>
        <v>2734</v>
      </c>
      <c r="BE35" s="179">
        <f>Model!BE363*1000</f>
        <v>2730</v>
      </c>
      <c r="BF35" s="179">
        <f>Model!BF363*1000</f>
        <v>2742.5</v>
      </c>
      <c r="BG35" s="179">
        <f>Model!BG363*1000</f>
        <v>2745</v>
      </c>
      <c r="BH35" s="179">
        <f>Model!BH363*1000</f>
        <v>2745</v>
      </c>
      <c r="BI35" s="179">
        <f>Model!BI363*1000</f>
        <v>2850</v>
      </c>
      <c r="BJ35" s="179">
        <f>Model!BJ363*1000</f>
        <v>3050</v>
      </c>
      <c r="BK35" s="179">
        <f>Model!BK363*1000</f>
        <v>3250</v>
      </c>
      <c r="BL35" s="179">
        <f>Model!BL363*1000</f>
        <v>3350</v>
      </c>
      <c r="BM35" s="179">
        <f>Model!BM363*1000</f>
        <v>3350</v>
      </c>
      <c r="BN35" s="179">
        <f>Model!BN363*1000</f>
        <v>3350</v>
      </c>
      <c r="BO35" s="179">
        <f>Model!BO363*1000</f>
        <v>3350</v>
      </c>
      <c r="BP35" s="179">
        <f>Model!BP363*1000</f>
        <v>4200</v>
      </c>
      <c r="BQ35" s="179">
        <f>Model!BQ363*1000</f>
        <v>4200</v>
      </c>
      <c r="BR35" s="179">
        <f>Model!BR363*1000</f>
        <v>4200</v>
      </c>
      <c r="BS35" s="179">
        <f>Model!BS363*1000</f>
        <v>4200</v>
      </c>
      <c r="BT35" s="179">
        <f>Model!BT363*1000</f>
        <v>4200</v>
      </c>
      <c r="BU35" s="179">
        <f>Model!BU363*1000</f>
        <v>4200</v>
      </c>
      <c r="BV35" s="179">
        <f>Model!BV363*1000</f>
        <v>4200</v>
      </c>
      <c r="BW35" s="179">
        <f>Model!BW363*1000</f>
        <v>4200</v>
      </c>
      <c r="BX35" s="179">
        <f>Model!BX363*1000</f>
        <v>4200</v>
      </c>
      <c r="BY35" s="179">
        <f>Model!BY363*1000</f>
        <v>4200</v>
      </c>
      <c r="BZ35" s="179">
        <f>Model!BZ363*1000</f>
        <v>4200</v>
      </c>
      <c r="CA35" s="179">
        <f>Model!CA363*1000</f>
        <v>4200</v>
      </c>
      <c r="CB35" s="179">
        <f>Model!CB363*1000</f>
        <v>4200</v>
      </c>
      <c r="CC35" s="179">
        <f>Model!CC363*1000</f>
        <v>4200</v>
      </c>
      <c r="CD35" s="179">
        <f>Model!CD363*1000</f>
        <v>4200</v>
      </c>
      <c r="CF35" s="166">
        <f t="shared" si="1"/>
        <v>0</v>
      </c>
      <c r="CG35" s="166">
        <f t="shared" si="2"/>
        <v>0</v>
      </c>
      <c r="CH35" s="166">
        <f t="shared" si="3"/>
        <v>0</v>
      </c>
      <c r="CI35" s="166">
        <f t="shared" si="4"/>
        <v>0</v>
      </c>
      <c r="CJ35" s="166">
        <f t="shared" si="5"/>
        <v>0</v>
      </c>
      <c r="CK35" s="166">
        <f t="shared" si="6"/>
        <v>0</v>
      </c>
      <c r="CL35" s="166">
        <f t="shared" si="7"/>
        <v>0</v>
      </c>
      <c r="CM35" s="166">
        <f t="shared" si="8"/>
        <v>0</v>
      </c>
      <c r="CN35" s="166"/>
      <c r="CO35" s="302">
        <v>2745</v>
      </c>
      <c r="CP35" s="302">
        <v>2850</v>
      </c>
      <c r="CQ35" s="302">
        <v>3050</v>
      </c>
      <c r="CR35" s="302">
        <v>3250</v>
      </c>
      <c r="CS35" s="302">
        <v>3350</v>
      </c>
      <c r="CT35" s="302">
        <v>3350</v>
      </c>
      <c r="CU35" s="302">
        <v>3350</v>
      </c>
      <c r="CV35" s="302">
        <v>3350</v>
      </c>
    </row>
    <row r="36" spans="1:100">
      <c r="A36" s="175" t="s">
        <v>1263</v>
      </c>
      <c r="B36" s="182" t="s">
        <v>1829</v>
      </c>
      <c r="C36" s="182"/>
      <c r="D36" s="182"/>
      <c r="E36" s="182"/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1">
        <v>0</v>
      </c>
      <c r="W36" s="181">
        <v>0</v>
      </c>
      <c r="X36" s="181">
        <v>0</v>
      </c>
      <c r="Y36" s="181">
        <v>0</v>
      </c>
      <c r="Z36" s="181">
        <v>0</v>
      </c>
      <c r="AA36" s="181">
        <v>0</v>
      </c>
      <c r="AB36" s="181">
        <v>0</v>
      </c>
      <c r="AC36" s="181">
        <v>0</v>
      </c>
      <c r="AD36" s="181">
        <v>0</v>
      </c>
      <c r="AE36" s="181">
        <v>0</v>
      </c>
      <c r="AF36" s="181">
        <v>0</v>
      </c>
      <c r="AG36" s="181">
        <v>0</v>
      </c>
      <c r="AH36" s="181">
        <v>0</v>
      </c>
      <c r="AI36" s="181">
        <v>0</v>
      </c>
      <c r="AJ36" s="181">
        <v>0</v>
      </c>
      <c r="AK36" s="181">
        <v>0</v>
      </c>
      <c r="AL36" s="181">
        <v>0</v>
      </c>
      <c r="AM36" s="181">
        <v>0</v>
      </c>
      <c r="AN36" s="181">
        <v>0</v>
      </c>
      <c r="AO36" s="181">
        <v>0</v>
      </c>
      <c r="AP36" s="181">
        <v>16.84</v>
      </c>
      <c r="AQ36" s="181">
        <v>18</v>
      </c>
      <c r="AR36" s="181">
        <v>24.04</v>
      </c>
      <c r="AS36" s="181">
        <v>62.25</v>
      </c>
      <c r="AT36" s="181">
        <v>235.17</v>
      </c>
      <c r="AU36" s="181">
        <v>498.7</v>
      </c>
      <c r="AV36" s="175">
        <f t="shared" ref="AV36:BJ36" si="9">AV35</f>
        <v>400.92499999999995</v>
      </c>
      <c r="AW36" s="175">
        <f t="shared" si="9"/>
        <v>401</v>
      </c>
      <c r="AX36" s="175">
        <f t="shared" si="9"/>
        <v>401</v>
      </c>
      <c r="AY36" s="175">
        <f t="shared" si="9"/>
        <v>859.91</v>
      </c>
      <c r="AZ36" s="175">
        <f t="shared" si="9"/>
        <v>1326.31</v>
      </c>
      <c r="BA36" s="175">
        <f t="shared" si="9"/>
        <v>2178.5</v>
      </c>
      <c r="BB36" s="175">
        <f t="shared" si="9"/>
        <v>2326.9450000000002</v>
      </c>
      <c r="BC36" s="175">
        <f t="shared" si="9"/>
        <v>2603.33</v>
      </c>
      <c r="BD36" s="175">
        <f t="shared" si="9"/>
        <v>2734</v>
      </c>
      <c r="BE36" s="175">
        <f t="shared" si="9"/>
        <v>2730</v>
      </c>
      <c r="BF36" s="175">
        <f t="shared" si="9"/>
        <v>2742.5</v>
      </c>
      <c r="BG36" s="175">
        <f t="shared" si="9"/>
        <v>2745</v>
      </c>
      <c r="BH36" s="175">
        <f t="shared" si="9"/>
        <v>2745</v>
      </c>
      <c r="BI36" s="175">
        <f t="shared" si="9"/>
        <v>2850</v>
      </c>
      <c r="BJ36" s="175">
        <f t="shared" si="9"/>
        <v>3050</v>
      </c>
      <c r="BK36" s="175">
        <f t="shared" ref="BK36:BP36" si="10">BK35</f>
        <v>3250</v>
      </c>
      <c r="BL36" s="175">
        <f t="shared" si="10"/>
        <v>3350</v>
      </c>
      <c r="BM36" s="175">
        <f t="shared" si="10"/>
        <v>3350</v>
      </c>
      <c r="BN36" s="175">
        <f t="shared" si="10"/>
        <v>3350</v>
      </c>
      <c r="BO36" s="175">
        <f t="shared" si="10"/>
        <v>3350</v>
      </c>
      <c r="BP36" s="175">
        <f t="shared" si="10"/>
        <v>4200</v>
      </c>
      <c r="BQ36" s="175">
        <f>BQ35</f>
        <v>4200</v>
      </c>
      <c r="BR36" s="175">
        <f>BR35</f>
        <v>4200</v>
      </c>
      <c r="BS36" s="175">
        <f>BS35</f>
        <v>4200</v>
      </c>
      <c r="BT36" s="175">
        <f>BT35</f>
        <v>4200</v>
      </c>
      <c r="BU36" s="175">
        <f>BU35</f>
        <v>4200</v>
      </c>
      <c r="BV36" s="175">
        <f t="shared" ref="BV36:CD36" si="11">BV35</f>
        <v>4200</v>
      </c>
      <c r="BW36" s="175">
        <f t="shared" si="11"/>
        <v>4200</v>
      </c>
      <c r="BX36" s="175">
        <f t="shared" si="11"/>
        <v>4200</v>
      </c>
      <c r="BY36" s="175">
        <f t="shared" si="11"/>
        <v>4200</v>
      </c>
      <c r="BZ36" s="175">
        <f t="shared" si="11"/>
        <v>4200</v>
      </c>
      <c r="CA36" s="175">
        <f t="shared" si="11"/>
        <v>4200</v>
      </c>
      <c r="CB36" s="175">
        <f t="shared" si="11"/>
        <v>4200</v>
      </c>
      <c r="CC36" s="175">
        <f t="shared" si="11"/>
        <v>4200</v>
      </c>
      <c r="CD36" s="175">
        <f t="shared" si="11"/>
        <v>4200</v>
      </c>
      <c r="CF36" s="166">
        <f t="shared" ref="CF36:CF67" si="12">BH36-CO36</f>
        <v>0</v>
      </c>
      <c r="CG36" s="166">
        <f t="shared" ref="CG36:CG67" si="13">BI36-CP36</f>
        <v>0</v>
      </c>
      <c r="CH36" s="166">
        <f t="shared" ref="CH36:CH67" si="14">BJ36-CQ36</f>
        <v>0</v>
      </c>
      <c r="CI36" s="166">
        <f t="shared" ref="CI36:CI67" si="15">BK36-CR36</f>
        <v>0</v>
      </c>
      <c r="CJ36" s="166">
        <f t="shared" ref="CJ36:CJ67" si="16">BL36-CS36</f>
        <v>0</v>
      </c>
      <c r="CK36" s="166">
        <f t="shared" ref="CK36:CK67" si="17">BM36-CT36</f>
        <v>0</v>
      </c>
      <c r="CL36" s="166">
        <f t="shared" ref="CL36:CL67" si="18">BN36-CU36</f>
        <v>0</v>
      </c>
      <c r="CM36" s="166">
        <f t="shared" ref="CM36:CM67" si="19">BO36-CV36</f>
        <v>0</v>
      </c>
      <c r="CN36" s="166"/>
      <c r="CO36" s="302">
        <v>2745</v>
      </c>
      <c r="CP36" s="302">
        <v>2850</v>
      </c>
      <c r="CQ36" s="302">
        <v>3050</v>
      </c>
      <c r="CR36" s="302">
        <v>3250</v>
      </c>
      <c r="CS36" s="302">
        <v>3350</v>
      </c>
      <c r="CT36" s="302">
        <v>3350</v>
      </c>
      <c r="CU36" s="302">
        <v>3350</v>
      </c>
      <c r="CV36" s="302">
        <v>3350</v>
      </c>
    </row>
    <row r="37" spans="1:100" s="165" customFormat="1">
      <c r="A37" s="175" t="s">
        <v>1828</v>
      </c>
      <c r="B37" s="179" t="s">
        <v>1588</v>
      </c>
      <c r="C37" s="179"/>
      <c r="D37" s="179"/>
      <c r="E37" s="179"/>
      <c r="F37" s="180">
        <v>8.9941972920696305</v>
      </c>
      <c r="G37" s="180">
        <v>7.8026905829596398</v>
      </c>
      <c r="H37" s="180">
        <v>8.3580509783770118</v>
      </c>
      <c r="I37" s="180">
        <v>9.182822237038037</v>
      </c>
      <c r="J37" s="180">
        <v>8.3436384481305037</v>
      </c>
      <c r="K37" s="180">
        <v>8.2041215765417217</v>
      </c>
      <c r="L37" s="180">
        <v>8.673919766044687</v>
      </c>
      <c r="M37" s="180">
        <v>8.8334601582774823</v>
      </c>
      <c r="N37" s="180">
        <v>8.6223661861932506</v>
      </c>
      <c r="O37" s="180">
        <v>9.0182743455888588</v>
      </c>
      <c r="P37" s="180">
        <v>8.3143298604669784</v>
      </c>
      <c r="Q37" s="180">
        <v>8.1926418115982713</v>
      </c>
      <c r="R37" s="180">
        <v>9.0486716872661095</v>
      </c>
      <c r="S37" s="180">
        <v>9.1150117634649863</v>
      </c>
      <c r="T37" s="180">
        <v>9.411480482729651</v>
      </c>
      <c r="U37" s="180">
        <v>10.336189034677261</v>
      </c>
      <c r="V37" s="180">
        <v>10.820365060188522</v>
      </c>
      <c r="W37" s="180">
        <v>11.50786698979506</v>
      </c>
      <c r="X37" s="180">
        <v>11.1836383957157</v>
      </c>
      <c r="Y37" s="180">
        <v>10.803833960027632</v>
      </c>
      <c r="Z37" s="180">
        <v>12.839946162115076</v>
      </c>
      <c r="AA37" s="180">
        <v>22.627994655127949</v>
      </c>
      <c r="AB37" s="180">
        <v>17.494085124190622</v>
      </c>
      <c r="AC37" s="180">
        <v>14.159815187001163</v>
      </c>
      <c r="AD37" s="180">
        <v>17.335506166447793</v>
      </c>
      <c r="AE37" s="180">
        <v>16.514519877866409</v>
      </c>
      <c r="AF37" s="180">
        <v>16.475050683013098</v>
      </c>
      <c r="AG37" s="180">
        <v>15.122456650426846</v>
      </c>
      <c r="AH37" s="180">
        <v>13.520280478887001</v>
      </c>
      <c r="AI37" s="180">
        <v>13.563771320416063</v>
      </c>
      <c r="AJ37" s="180">
        <v>13.942817764359988</v>
      </c>
      <c r="AK37" s="180">
        <v>12.172784258874277</v>
      </c>
      <c r="AL37" s="180">
        <v>8.8637149929715182</v>
      </c>
      <c r="AM37" s="180">
        <v>6.5925663549373406</v>
      </c>
      <c r="AN37" s="180">
        <v>7.0295932689613077</v>
      </c>
      <c r="AO37" s="180">
        <v>5.8980669941619839</v>
      </c>
      <c r="AP37" s="180">
        <v>5.7293118845288182</v>
      </c>
      <c r="AQ37" s="180">
        <v>4.8099582266736567</v>
      </c>
      <c r="AR37" s="180">
        <v>4.2148637137989784</v>
      </c>
      <c r="AS37" s="180">
        <v>1.4885412922116426</v>
      </c>
      <c r="AT37" s="180">
        <v>5.8838382381663061</v>
      </c>
      <c r="AU37" s="180">
        <v>9.4337686230559807</v>
      </c>
      <c r="AV37" s="179">
        <f>Model!AV286</f>
        <v>6.3984890384293154</v>
      </c>
      <c r="AW37" s="179">
        <f>Model!AW286</f>
        <v>3.4892198066989795</v>
      </c>
      <c r="AX37" s="179">
        <f>Model!AX286</f>
        <v>5.6695307405058815</v>
      </c>
      <c r="AY37" s="179">
        <f>Model!AY286</f>
        <v>8.0387843587193846</v>
      </c>
      <c r="AZ37" s="179">
        <f>Model!AZ286</f>
        <v>7.3885926193730027</v>
      </c>
      <c r="BA37" s="179">
        <f>Model!BA286</f>
        <v>10.294786687699972</v>
      </c>
      <c r="BB37" s="179">
        <f>Model!BB286</f>
        <v>9.5320447269942079</v>
      </c>
      <c r="BC37" s="179">
        <f>Model!BC286</f>
        <v>9.4265672934759195</v>
      </c>
      <c r="BD37" s="179">
        <f>Model!BD286</f>
        <v>8.698642697499551</v>
      </c>
      <c r="BE37" s="179">
        <f ca="1">Model!BE286</f>
        <v>6.5657616705527477</v>
      </c>
      <c r="BF37" s="179">
        <f ca="1">Model!BF286</f>
        <v>7.1639856765627972</v>
      </c>
      <c r="BG37" s="179">
        <f ca="1">Model!BG286</f>
        <v>7.7398500456703063</v>
      </c>
      <c r="BH37" s="179">
        <f ca="1">Model!BH286</f>
        <v>7.2293749534620533</v>
      </c>
      <c r="BI37" s="179">
        <f ca="1">Model!BI286</f>
        <v>6.8186655854554683</v>
      </c>
      <c r="BJ37" s="179">
        <f ca="1">Model!BJ286</f>
        <v>6.8168896625092028</v>
      </c>
      <c r="BK37" s="179">
        <f ca="1">Model!BK286</f>
        <v>7.0616680635843387</v>
      </c>
      <c r="BL37" s="179">
        <f ca="1">Model!BL286</f>
        <v>6.0258261879547428</v>
      </c>
      <c r="BM37" s="179">
        <f ca="1">Model!BM286</f>
        <v>5.5677425638878359</v>
      </c>
      <c r="BN37" s="179">
        <f ca="1">Model!BN286</f>
        <v>5.2155148961131479</v>
      </c>
      <c r="BO37" s="179">
        <f ca="1">Model!BO286</f>
        <v>4.9448735673612765</v>
      </c>
      <c r="BP37" s="179">
        <f ca="1">Model!BP286</f>
        <v>4.4601911803802237</v>
      </c>
      <c r="BQ37" s="179">
        <f ca="1">Model!BQ286</f>
        <v>4.5665357358379985</v>
      </c>
      <c r="BR37" s="179">
        <f ca="1">Model!BR286</f>
        <v>4.6554958638208381</v>
      </c>
      <c r="BS37" s="179">
        <f ca="1">Model!BS286</f>
        <v>4.6681003209109235</v>
      </c>
      <c r="BT37" s="179">
        <f ca="1">Model!BT286</f>
        <v>4.6575038731134599</v>
      </c>
      <c r="BU37" s="179">
        <f ca="1">Model!BU286</f>
        <v>4.6819822202352706</v>
      </c>
      <c r="BV37" s="179">
        <f ca="1">Model!BV286</f>
        <v>4.7062464678534921</v>
      </c>
      <c r="BW37" s="179">
        <f ca="1">Model!BW286</f>
        <v>4.7385584200981343</v>
      </c>
      <c r="BX37" s="179">
        <f ca="1">Model!BX286</f>
        <v>4.77248205100953</v>
      </c>
      <c r="BY37" s="179">
        <f ca="1">Model!BY286</f>
        <v>4.8085977952734131</v>
      </c>
      <c r="BZ37" s="179">
        <f ca="1">Model!BZ286</f>
        <v>4.8456191978807874</v>
      </c>
      <c r="CA37" s="179">
        <f ca="1">Model!CA286</f>
        <v>4.8882061105278991</v>
      </c>
      <c r="CB37" s="179">
        <f ca="1">Model!CB286</f>
        <v>4.9391175201124939</v>
      </c>
      <c r="CC37" s="179">
        <f ca="1">Model!CC286</f>
        <v>4.9920652133669847</v>
      </c>
      <c r="CD37" s="179">
        <f ca="1">Model!CD286</f>
        <v>5.0473479178885672</v>
      </c>
      <c r="CE37" s="164"/>
      <c r="CF37" s="166">
        <f t="shared" ca="1" si="12"/>
        <v>-7.8540329847776036E-4</v>
      </c>
      <c r="CG37" s="166">
        <f t="shared" ca="1" si="13"/>
        <v>-7.373715311871365E-4</v>
      </c>
      <c r="CH37" s="166">
        <f t="shared" ca="1" si="14"/>
        <v>-7.9952981724940031E-4</v>
      </c>
      <c r="CI37" s="166">
        <f t="shared" ca="1" si="15"/>
        <v>0.26580128755925259</v>
      </c>
      <c r="CJ37" s="166">
        <f t="shared" ca="1" si="16"/>
        <v>-2.0689055266942979E-2</v>
      </c>
      <c r="CK37" s="166">
        <f t="shared" ca="1" si="17"/>
        <v>3.2525878210680759E-3</v>
      </c>
      <c r="CL37" s="166">
        <f t="shared" ca="1" si="18"/>
        <v>2.0541638234483628E-4</v>
      </c>
      <c r="CM37" s="166">
        <f t="shared" ca="1" si="19"/>
        <v>-0.43972526842570137</v>
      </c>
      <c r="CN37" s="166"/>
      <c r="CO37" s="302">
        <v>7.230160356760531</v>
      </c>
      <c r="CP37" s="302">
        <v>6.8194029569866554</v>
      </c>
      <c r="CQ37" s="302">
        <v>6.8176891923264522</v>
      </c>
      <c r="CR37" s="302">
        <v>6.7958667760250862</v>
      </c>
      <c r="CS37" s="302">
        <v>6.0465152432216858</v>
      </c>
      <c r="CT37" s="302">
        <v>5.5644899760667679</v>
      </c>
      <c r="CU37" s="302">
        <v>5.2153094797308031</v>
      </c>
      <c r="CV37" s="302">
        <v>5.3845988357869778</v>
      </c>
    </row>
    <row r="38" spans="1:100">
      <c r="A38" s="175" t="s">
        <v>4024</v>
      </c>
      <c r="B38" s="179" t="s">
        <v>1587</v>
      </c>
      <c r="C38" s="179"/>
      <c r="D38" s="179"/>
      <c r="E38" s="179"/>
      <c r="F38" s="180">
        <v>4</v>
      </c>
      <c r="G38" s="180">
        <v>4</v>
      </c>
      <c r="H38" s="180">
        <v>5</v>
      </c>
      <c r="I38" s="180">
        <v>6</v>
      </c>
      <c r="J38" s="180">
        <v>7</v>
      </c>
      <c r="K38" s="180">
        <v>7</v>
      </c>
      <c r="L38" s="180">
        <v>7</v>
      </c>
      <c r="M38" s="180">
        <v>7</v>
      </c>
      <c r="N38" s="180">
        <v>8</v>
      </c>
      <c r="O38" s="180">
        <v>8</v>
      </c>
      <c r="P38" s="180">
        <v>8</v>
      </c>
      <c r="Q38" s="180">
        <v>8</v>
      </c>
      <c r="R38" s="180">
        <v>8</v>
      </c>
      <c r="S38" s="180">
        <v>8</v>
      </c>
      <c r="T38" s="180">
        <v>8</v>
      </c>
      <c r="U38" s="180">
        <v>8</v>
      </c>
      <c r="V38" s="180">
        <v>8</v>
      </c>
      <c r="W38" s="180">
        <v>8</v>
      </c>
      <c r="X38" s="180">
        <v>8</v>
      </c>
      <c r="Y38" s="180">
        <v>8.5</v>
      </c>
      <c r="Z38" s="180">
        <v>9</v>
      </c>
      <c r="AA38" s="180">
        <v>9</v>
      </c>
      <c r="AB38" s="180">
        <v>9</v>
      </c>
      <c r="AC38" s="180">
        <v>9</v>
      </c>
      <c r="AD38" s="180">
        <v>9.1999998092651367</v>
      </c>
      <c r="AE38" s="180">
        <v>9.3999996185302734</v>
      </c>
      <c r="AF38" s="180">
        <v>9.3000001907348633</v>
      </c>
      <c r="AG38" s="180">
        <v>9.3999996185302734</v>
      </c>
      <c r="AH38" s="180">
        <v>9.6000003814697266</v>
      </c>
      <c r="AI38" s="180">
        <v>9.3999996185302734</v>
      </c>
      <c r="AJ38" s="180">
        <v>9.3999996185302734</v>
      </c>
      <c r="AK38" s="180">
        <v>9.3000001907348633</v>
      </c>
      <c r="AL38" s="180">
        <v>9.3000001907348633</v>
      </c>
      <c r="AM38" s="180">
        <v>9.5</v>
      </c>
      <c r="AN38" s="180">
        <v>8.551666259765625</v>
      </c>
      <c r="AO38" s="180">
        <v>8.7614336013793945</v>
      </c>
      <c r="AP38" s="180">
        <v>8.8000001907348633</v>
      </c>
      <c r="AQ38" s="180">
        <v>9.1999998092651367</v>
      </c>
      <c r="AR38" s="180">
        <v>9</v>
      </c>
      <c r="AS38" s="180">
        <v>9.6999999999999993</v>
      </c>
      <c r="AT38" s="180">
        <v>32.200000000000003</v>
      </c>
      <c r="AU38" s="180">
        <v>39.6</v>
      </c>
      <c r="AV38" s="179">
        <f>Model!AV365</f>
        <v>34.9</v>
      </c>
      <c r="AW38" s="179">
        <f>Model!AW365</f>
        <v>28.8</v>
      </c>
      <c r="AX38" s="179">
        <f>Model!AX365</f>
        <v>25.7</v>
      </c>
      <c r="AY38" s="179">
        <f>Model!AY365</f>
        <v>28.5</v>
      </c>
      <c r="AZ38" s="179">
        <f>Model!AZ365</f>
        <v>29</v>
      </c>
      <c r="BA38" s="179">
        <f>Model!BA365</f>
        <v>23.5</v>
      </c>
      <c r="BB38" s="179">
        <f>Model!BB365</f>
        <v>21.1</v>
      </c>
      <c r="BC38" s="179">
        <f>Model!BC365</f>
        <v>20.8</v>
      </c>
      <c r="BD38" s="179">
        <f>Model!BD365</f>
        <v>19</v>
      </c>
      <c r="BE38" s="179">
        <f>Model!BE365</f>
        <v>16.3</v>
      </c>
      <c r="BF38" s="179">
        <f>Model!BF365</f>
        <v>15.3</v>
      </c>
      <c r="BG38" s="179">
        <f>Model!BG365</f>
        <v>12.9</v>
      </c>
      <c r="BH38" s="179">
        <f>Model!BH365</f>
        <v>11.7</v>
      </c>
      <c r="BI38" s="179">
        <f>Model!BI365</f>
        <v>11.6</v>
      </c>
      <c r="BJ38" s="179">
        <f>Model!BJ365</f>
        <v>11.8</v>
      </c>
      <c r="BK38" s="179">
        <f>Model!BK365</f>
        <v>11.8</v>
      </c>
      <c r="BL38" s="179">
        <f>Model!BL365</f>
        <v>11.8</v>
      </c>
      <c r="BM38" s="179">
        <f>Model!BM365</f>
        <v>12</v>
      </c>
      <c r="BN38" s="179">
        <f>Model!BN365</f>
        <v>12.5</v>
      </c>
      <c r="BO38" s="179">
        <f>Model!BO365</f>
        <v>12.6</v>
      </c>
      <c r="BP38" s="179">
        <f>Model!BP365</f>
        <v>12.6</v>
      </c>
      <c r="BQ38" s="179">
        <f>Model!BQ365</f>
        <v>12.6</v>
      </c>
      <c r="BR38" s="179">
        <f>Model!BR365</f>
        <v>12.6</v>
      </c>
      <c r="BS38" s="179">
        <f>Model!BS365</f>
        <v>12.6</v>
      </c>
      <c r="BT38" s="179">
        <f>Model!BT365</f>
        <v>12.6</v>
      </c>
      <c r="BU38" s="179">
        <f>Model!BU365</f>
        <v>12.6</v>
      </c>
      <c r="BV38" s="179">
        <f>Model!BV365</f>
        <v>12.6</v>
      </c>
      <c r="BW38" s="179">
        <f>Model!BW365</f>
        <v>12.6</v>
      </c>
      <c r="BX38" s="179">
        <f>Model!BX365</f>
        <v>12.6</v>
      </c>
      <c r="BY38" s="179">
        <f>Model!BY365</f>
        <v>12.6</v>
      </c>
      <c r="BZ38" s="179">
        <f>Model!BZ365</f>
        <v>12.6</v>
      </c>
      <c r="CA38" s="179">
        <f>Model!CA365</f>
        <v>12.6</v>
      </c>
      <c r="CB38" s="179">
        <f>Model!CB365</f>
        <v>12.6</v>
      </c>
      <c r="CC38" s="179">
        <f>Model!CC365</f>
        <v>12.6</v>
      </c>
      <c r="CD38" s="179">
        <f>Model!CD365</f>
        <v>12.6</v>
      </c>
      <c r="CF38" s="166">
        <f t="shared" si="12"/>
        <v>0</v>
      </c>
      <c r="CG38" s="166">
        <f t="shared" si="13"/>
        <v>0</v>
      </c>
      <c r="CH38" s="166">
        <f t="shared" si="14"/>
        <v>0</v>
      </c>
      <c r="CI38" s="166">
        <f t="shared" si="15"/>
        <v>0</v>
      </c>
      <c r="CJ38" s="166">
        <f t="shared" si="16"/>
        <v>0</v>
      </c>
      <c r="CK38" s="166">
        <f t="shared" si="17"/>
        <v>0</v>
      </c>
      <c r="CL38" s="166">
        <f t="shared" si="18"/>
        <v>0</v>
      </c>
      <c r="CM38" s="166">
        <f t="shared" si="19"/>
        <v>0</v>
      </c>
      <c r="CN38" s="166"/>
      <c r="CO38" s="302">
        <v>11.7</v>
      </c>
      <c r="CP38" s="302">
        <v>11.6</v>
      </c>
      <c r="CQ38" s="302">
        <v>11.8</v>
      </c>
      <c r="CR38" s="302">
        <v>11.8</v>
      </c>
      <c r="CS38" s="302">
        <v>11.8</v>
      </c>
      <c r="CT38" s="302">
        <v>12</v>
      </c>
      <c r="CU38" s="302">
        <v>12.5</v>
      </c>
      <c r="CV38" s="302">
        <v>12.6</v>
      </c>
    </row>
    <row r="39" spans="1:100">
      <c r="A39" s="178" t="s">
        <v>1586</v>
      </c>
      <c r="CF39" s="166">
        <f t="shared" si="12"/>
        <v>0</v>
      </c>
      <c r="CG39" s="166">
        <f t="shared" si="13"/>
        <v>0</v>
      </c>
      <c r="CH39" s="166">
        <f t="shared" si="14"/>
        <v>0</v>
      </c>
      <c r="CI39" s="166">
        <f t="shared" si="15"/>
        <v>0</v>
      </c>
      <c r="CJ39" s="166">
        <f t="shared" si="16"/>
        <v>0</v>
      </c>
      <c r="CK39" s="166">
        <f t="shared" si="17"/>
        <v>0</v>
      </c>
      <c r="CL39" s="166">
        <f t="shared" si="18"/>
        <v>0</v>
      </c>
      <c r="CM39" s="166">
        <f t="shared" si="19"/>
        <v>0</v>
      </c>
      <c r="CN39" s="166"/>
    </row>
    <row r="40" spans="1:100" s="165" customFormat="1">
      <c r="A40" s="165" t="s">
        <v>1585</v>
      </c>
      <c r="F40" s="165">
        <f t="shared" ref="F40:AK40" si="20">F14/F12</f>
        <v>2.8612303290414878</v>
      </c>
      <c r="G40" s="177">
        <f t="shared" si="20"/>
        <v>2.8754998427461023</v>
      </c>
      <c r="H40" s="177">
        <f t="shared" si="20"/>
        <v>2.8376164022221335</v>
      </c>
      <c r="I40" s="177">
        <f t="shared" si="20"/>
        <v>2.6592915647271567</v>
      </c>
      <c r="J40" s="177">
        <f t="shared" si="20"/>
        <v>2.7233988017045272</v>
      </c>
      <c r="K40" s="177">
        <f t="shared" si="20"/>
        <v>2.7674630421074755</v>
      </c>
      <c r="L40" s="177">
        <f t="shared" si="20"/>
        <v>2.6725616998812196</v>
      </c>
      <c r="M40" s="177">
        <f t="shared" si="20"/>
        <v>2.8093175699403021</v>
      </c>
      <c r="N40" s="177">
        <f t="shared" si="20"/>
        <v>2.918252003989509</v>
      </c>
      <c r="O40" s="177">
        <f t="shared" si="20"/>
        <v>2.7259840802529713</v>
      </c>
      <c r="P40" s="177">
        <f t="shared" si="20"/>
        <v>2.9064966806486772</v>
      </c>
      <c r="Q40" s="177">
        <f t="shared" si="20"/>
        <v>3.0705196001501145</v>
      </c>
      <c r="R40" s="177">
        <f t="shared" si="20"/>
        <v>3.3390119250425894</v>
      </c>
      <c r="S40" s="177">
        <f t="shared" si="20"/>
        <v>3.5328345802161265</v>
      </c>
      <c r="T40" s="177">
        <f t="shared" si="20"/>
        <v>3.2886343662291271</v>
      </c>
      <c r="U40" s="177">
        <f t="shared" si="20"/>
        <v>3.2060375645463317</v>
      </c>
      <c r="V40" s="177">
        <f t="shared" si="20"/>
        <v>3.7054073392619853</v>
      </c>
      <c r="W40" s="177">
        <f t="shared" si="20"/>
        <v>3.3870445545787362</v>
      </c>
      <c r="X40" s="177">
        <f t="shared" si="20"/>
        <v>3.2879788286241278</v>
      </c>
      <c r="Y40" s="177">
        <f t="shared" si="20"/>
        <v>3.6456596643325554</v>
      </c>
      <c r="Z40" s="177">
        <f t="shared" si="20"/>
        <v>3.652515049714788</v>
      </c>
      <c r="AA40" s="177">
        <f t="shared" si="20"/>
        <v>3.6842105263157894</v>
      </c>
      <c r="AB40" s="177">
        <f t="shared" si="20"/>
        <v>3.5640495867768593</v>
      </c>
      <c r="AC40" s="177">
        <f t="shared" si="20"/>
        <v>4.0824949698189137</v>
      </c>
      <c r="AD40" s="177">
        <f t="shared" si="20"/>
        <v>4.0557246376811591</v>
      </c>
      <c r="AE40" s="177">
        <f t="shared" si="20"/>
        <v>4.0059808002718542</v>
      </c>
      <c r="AF40" s="177">
        <f t="shared" si="20"/>
        <v>3.9662078945747892</v>
      </c>
      <c r="AG40" s="177">
        <f t="shared" si="20"/>
        <v>3.9831383707450732</v>
      </c>
      <c r="AH40" s="177">
        <f t="shared" si="20"/>
        <v>4.1494536385057392</v>
      </c>
      <c r="AI40" s="177">
        <f t="shared" si="20"/>
        <v>3.6534911307145874</v>
      </c>
      <c r="AJ40" s="177">
        <f t="shared" si="20"/>
        <v>4.0156479871606257</v>
      </c>
      <c r="AK40" s="177">
        <f t="shared" si="20"/>
        <v>3.994992655895313</v>
      </c>
      <c r="AL40" s="177">
        <f t="shared" ref="AL40:BI40" si="21">AL14/AL12</f>
        <v>3.9921475724020441</v>
      </c>
      <c r="AM40" s="177">
        <f t="shared" si="21"/>
        <v>3.8170191834727003</v>
      </c>
      <c r="AN40" s="177">
        <f t="shared" si="21"/>
        <v>3.7967935871743488</v>
      </c>
      <c r="AO40" s="177">
        <f t="shared" si="21"/>
        <v>3.7345405095906097</v>
      </c>
      <c r="AP40" s="177">
        <f t="shared" si="21"/>
        <v>3.7690606672435343</v>
      </c>
      <c r="AQ40" s="177">
        <f t="shared" si="21"/>
        <v>3.8155945743529998</v>
      </c>
      <c r="AR40" s="177">
        <f t="shared" si="21"/>
        <v>3.7975272727272729</v>
      </c>
      <c r="AS40" s="177">
        <f t="shared" si="21"/>
        <v>3.6986698499317874</v>
      </c>
      <c r="AT40" s="177">
        <f t="shared" si="21"/>
        <v>3.63239460089985</v>
      </c>
      <c r="AU40" s="177">
        <f t="shared" si="21"/>
        <v>3.5185697996416354</v>
      </c>
      <c r="AV40" s="177">
        <f t="shared" si="21"/>
        <v>3.7013354917037637</v>
      </c>
      <c r="AW40" s="177">
        <f t="shared" si="21"/>
        <v>3.9826151976820263</v>
      </c>
      <c r="AX40" s="177">
        <f t="shared" si="21"/>
        <v>3.7580532562082376</v>
      </c>
      <c r="AY40" s="177">
        <f t="shared" si="21"/>
        <v>4.0528270738753616</v>
      </c>
      <c r="AZ40" s="177">
        <f t="shared" si="21"/>
        <v>4.2433623050363138</v>
      </c>
      <c r="BA40" s="177">
        <f t="shared" si="21"/>
        <v>4.1039779440724695</v>
      </c>
      <c r="BB40" s="177">
        <f t="shared" si="21"/>
        <v>4.2731585518102371</v>
      </c>
      <c r="BC40" s="177">
        <f t="shared" si="21"/>
        <v>3.8767110702802019</v>
      </c>
      <c r="BD40" s="177">
        <f t="shared" si="21"/>
        <v>3.5595675234598123</v>
      </c>
      <c r="BE40" s="177">
        <f t="shared" si="21"/>
        <v>3.5984241599543489</v>
      </c>
      <c r="BF40" s="177">
        <f t="shared" si="21"/>
        <v>4.1295668294447463</v>
      </c>
      <c r="BG40" s="177">
        <f t="shared" si="21"/>
        <v>4.2533799035331574</v>
      </c>
      <c r="BH40" s="177">
        <f t="shared" si="21"/>
        <v>4.1892380996014111</v>
      </c>
      <c r="BI40" s="177">
        <f t="shared" si="21"/>
        <v>4.2092417235557509</v>
      </c>
      <c r="CE40" s="164"/>
      <c r="CF40" s="166">
        <f t="shared" si="12"/>
        <v>0</v>
      </c>
      <c r="CG40" s="166">
        <f t="shared" si="13"/>
        <v>0</v>
      </c>
      <c r="CH40" s="166">
        <f t="shared" si="14"/>
        <v>0</v>
      </c>
      <c r="CI40" s="166">
        <f t="shared" si="15"/>
        <v>0</v>
      </c>
      <c r="CJ40" s="166">
        <f t="shared" si="16"/>
        <v>0</v>
      </c>
      <c r="CK40" s="166">
        <f t="shared" si="17"/>
        <v>0</v>
      </c>
      <c r="CL40" s="166">
        <f t="shared" si="18"/>
        <v>0</v>
      </c>
      <c r="CM40" s="166">
        <f t="shared" si="19"/>
        <v>0</v>
      </c>
      <c r="CN40" s="166"/>
      <c r="CO40" s="302">
        <v>4.1892380996014111</v>
      </c>
      <c r="CP40" s="302">
        <v>4.2092417235557509</v>
      </c>
      <c r="CQ40" s="302"/>
      <c r="CR40" s="302"/>
      <c r="CS40" s="302"/>
      <c r="CT40" s="302"/>
      <c r="CU40" s="302"/>
      <c r="CV40" s="302"/>
    </row>
    <row r="41" spans="1:100" s="165" customFormat="1">
      <c r="A41" s="165" t="s">
        <v>1584</v>
      </c>
      <c r="G41" s="176">
        <f t="shared" ref="G41:AL41" si="22">+(G40/F40-1)*100</f>
        <v>0.49871950397628595</v>
      </c>
      <c r="H41" s="176">
        <f t="shared" si="22"/>
        <v>-1.317455837096837</v>
      </c>
      <c r="I41" s="176">
        <f t="shared" si="22"/>
        <v>-6.2843179703687575</v>
      </c>
      <c r="J41" s="176">
        <f t="shared" si="22"/>
        <v>2.4106885392970456</v>
      </c>
      <c r="K41" s="176">
        <f t="shared" si="22"/>
        <v>1.6179870673134422</v>
      </c>
      <c r="L41" s="176">
        <f t="shared" si="22"/>
        <v>-3.4291819179629091</v>
      </c>
      <c r="M41" s="176">
        <f t="shared" si="22"/>
        <v>5.1170332219144132</v>
      </c>
      <c r="N41" s="176">
        <f t="shared" si="22"/>
        <v>3.8776119586765523</v>
      </c>
      <c r="O41" s="176">
        <f t="shared" si="22"/>
        <v>-6.5884619790782413</v>
      </c>
      <c r="P41" s="176">
        <f t="shared" si="22"/>
        <v>6.6219242329160766</v>
      </c>
      <c r="Q41" s="176">
        <f t="shared" si="22"/>
        <v>5.6433203792557007</v>
      </c>
      <c r="R41" s="176">
        <f t="shared" si="22"/>
        <v>8.7441983721370242</v>
      </c>
      <c r="S41" s="176">
        <f t="shared" si="22"/>
        <v>5.8047907442278834</v>
      </c>
      <c r="T41" s="176">
        <f t="shared" si="22"/>
        <v>-6.9123025276790706</v>
      </c>
      <c r="U41" s="176">
        <f t="shared" si="22"/>
        <v>-2.5115836084114163</v>
      </c>
      <c r="V41" s="176">
        <f t="shared" si="22"/>
        <v>15.575917769582226</v>
      </c>
      <c r="W41" s="176">
        <f t="shared" si="22"/>
        <v>-8.59184309670683</v>
      </c>
      <c r="X41" s="176">
        <f t="shared" si="22"/>
        <v>-2.9248427163642621</v>
      </c>
      <c r="Y41" s="176">
        <f t="shared" si="22"/>
        <v>10.878440961802083</v>
      </c>
      <c r="Z41" s="176">
        <f t="shared" si="22"/>
        <v>0.18804238501204384</v>
      </c>
      <c r="AA41" s="176">
        <f t="shared" si="22"/>
        <v>0.86777128005197657</v>
      </c>
      <c r="AB41" s="176">
        <f t="shared" si="22"/>
        <v>-3.2615112160566673</v>
      </c>
      <c r="AC41" s="176">
        <f t="shared" si="22"/>
        <v>14.546525529991561</v>
      </c>
      <c r="AD41" s="176">
        <f t="shared" si="22"/>
        <v>-0.65573460189571886</v>
      </c>
      <c r="AE41" s="176">
        <f t="shared" si="22"/>
        <v>-1.2265092394868726</v>
      </c>
      <c r="AF41" s="176">
        <f t="shared" si="22"/>
        <v>-0.99283815075613679</v>
      </c>
      <c r="AG41" s="176">
        <f t="shared" si="22"/>
        <v>0.42686809719285623</v>
      </c>
      <c r="AH41" s="176">
        <f t="shared" si="22"/>
        <v>4.1754830558285549</v>
      </c>
      <c r="AI41" s="176">
        <f t="shared" si="22"/>
        <v>-11.952477386149397</v>
      </c>
      <c r="AJ41" s="176">
        <f t="shared" si="22"/>
        <v>9.9126244867933764</v>
      </c>
      <c r="AK41" s="176">
        <f t="shared" si="22"/>
        <v>-0.51437106368273922</v>
      </c>
      <c r="AL41" s="176">
        <f t="shared" si="22"/>
        <v>-7.1216238384586017E-2</v>
      </c>
      <c r="AM41" s="176">
        <f t="shared" ref="AM41:BD41" si="23">+(AM40/AL40-1)*100</f>
        <v>-4.3868215228318963</v>
      </c>
      <c r="AN41" s="176">
        <f t="shared" si="23"/>
        <v>-0.52987934632150457</v>
      </c>
      <c r="AO41" s="176">
        <f t="shared" si="23"/>
        <v>-1.6396223854262537</v>
      </c>
      <c r="AP41" s="176">
        <f t="shared" si="23"/>
        <v>0.9243481912774465</v>
      </c>
      <c r="AQ41" s="176">
        <f t="shared" si="23"/>
        <v>1.2346287634446007</v>
      </c>
      <c r="AR41" s="176">
        <f t="shared" si="23"/>
        <v>-0.47351209028255736</v>
      </c>
      <c r="AS41" s="176">
        <f t="shared" si="23"/>
        <v>-2.6032050778265758</v>
      </c>
      <c r="AT41" s="176">
        <f t="shared" si="23"/>
        <v>-1.7918671230728989</v>
      </c>
      <c r="AU41" s="176">
        <f t="shared" si="23"/>
        <v>-3.133602313746886</v>
      </c>
      <c r="AV41" s="176">
        <f t="shared" si="23"/>
        <v>5.1943176480609532</v>
      </c>
      <c r="AW41" s="176">
        <f t="shared" si="23"/>
        <v>7.59941125598389</v>
      </c>
      <c r="AX41" s="176">
        <f t="shared" si="23"/>
        <v>-5.6385548271017711</v>
      </c>
      <c r="AY41" s="176">
        <f t="shared" si="23"/>
        <v>7.8437903236246775</v>
      </c>
      <c r="AZ41" s="176">
        <f t="shared" si="23"/>
        <v>4.7012919053257329</v>
      </c>
      <c r="BA41" s="176">
        <f t="shared" si="23"/>
        <v>-3.284762199032909</v>
      </c>
      <c r="BB41" s="176">
        <f t="shared" si="23"/>
        <v>4.1223566511150889</v>
      </c>
      <c r="BC41" s="176">
        <f t="shared" si="23"/>
        <v>-9.2776216169673464</v>
      </c>
      <c r="BD41" s="176">
        <f t="shared" si="23"/>
        <v>-8.1807372556517812</v>
      </c>
      <c r="BE41" s="176">
        <f>+(BE40/BD40-1)*100</f>
        <v>1.0916111645149718</v>
      </c>
      <c r="BF41" s="176">
        <f>+(BF40/BE40-1)*100</f>
        <v>14.760424171261</v>
      </c>
      <c r="BG41" s="176">
        <f>+(BG40/BF40-1)*100</f>
        <v>2.9982097203415048</v>
      </c>
      <c r="BH41" s="176">
        <f>+(BH40/BG40-1)*100</f>
        <v>-1.5080196311283101</v>
      </c>
      <c r="BI41" s="176">
        <f>+(BI40/BH40-1)*100</f>
        <v>0.47750028713438031</v>
      </c>
      <c r="BJ41" s="173">
        <f t="shared" ref="BJ41:CD41" si="24">$AY$55</f>
        <v>1.1077157573692986</v>
      </c>
      <c r="BK41" s="173">
        <f t="shared" si="24"/>
        <v>1.1077157573692986</v>
      </c>
      <c r="BL41" s="173">
        <f t="shared" si="24"/>
        <v>1.1077157573692986</v>
      </c>
      <c r="BM41" s="173">
        <f t="shared" si="24"/>
        <v>1.1077157573692986</v>
      </c>
      <c r="BN41" s="173">
        <f t="shared" si="24"/>
        <v>1.1077157573692986</v>
      </c>
      <c r="BO41" s="173">
        <f t="shared" si="24"/>
        <v>1.1077157573692986</v>
      </c>
      <c r="BP41" s="173">
        <f t="shared" si="24"/>
        <v>1.1077157573692986</v>
      </c>
      <c r="BQ41" s="173">
        <f t="shared" si="24"/>
        <v>1.1077157573692986</v>
      </c>
      <c r="BR41" s="173">
        <f t="shared" si="24"/>
        <v>1.1077157573692986</v>
      </c>
      <c r="BS41" s="173">
        <f t="shared" si="24"/>
        <v>1.1077157573692986</v>
      </c>
      <c r="BT41" s="173">
        <f t="shared" si="24"/>
        <v>1.1077157573692986</v>
      </c>
      <c r="BU41" s="173">
        <f t="shared" si="24"/>
        <v>1.1077157573692986</v>
      </c>
      <c r="BV41" s="173">
        <f t="shared" si="24"/>
        <v>1.1077157573692986</v>
      </c>
      <c r="BW41" s="173">
        <f t="shared" si="24"/>
        <v>1.1077157573692986</v>
      </c>
      <c r="BX41" s="173">
        <f t="shared" si="24"/>
        <v>1.1077157573692986</v>
      </c>
      <c r="BY41" s="173">
        <f t="shared" si="24"/>
        <v>1.1077157573692986</v>
      </c>
      <c r="BZ41" s="173">
        <f t="shared" si="24"/>
        <v>1.1077157573692986</v>
      </c>
      <c r="CA41" s="173">
        <f t="shared" si="24"/>
        <v>1.1077157573692986</v>
      </c>
      <c r="CB41" s="173">
        <f t="shared" si="24"/>
        <v>1.1077157573692986</v>
      </c>
      <c r="CC41" s="173">
        <f t="shared" si="24"/>
        <v>1.1077157573692986</v>
      </c>
      <c r="CD41" s="173">
        <f t="shared" si="24"/>
        <v>1.1077157573692986</v>
      </c>
      <c r="CE41" s="164"/>
      <c r="CF41" s="166">
        <f t="shared" si="12"/>
        <v>0</v>
      </c>
      <c r="CG41" s="166">
        <f t="shared" si="13"/>
        <v>0</v>
      </c>
      <c r="CH41" s="166">
        <f t="shared" si="14"/>
        <v>0</v>
      </c>
      <c r="CI41" s="166">
        <f t="shared" si="15"/>
        <v>0</v>
      </c>
      <c r="CJ41" s="166">
        <f t="shared" si="16"/>
        <v>0</v>
      </c>
      <c r="CK41" s="166">
        <f t="shared" si="17"/>
        <v>0</v>
      </c>
      <c r="CL41" s="166">
        <f t="shared" si="18"/>
        <v>0</v>
      </c>
      <c r="CM41" s="166">
        <f t="shared" si="19"/>
        <v>0</v>
      </c>
      <c r="CN41" s="166"/>
      <c r="CO41" s="302">
        <v>-1.5080196311283101</v>
      </c>
      <c r="CP41" s="302">
        <v>0.47750028713438031</v>
      </c>
      <c r="CQ41" s="302">
        <v>1.1077157573692986</v>
      </c>
      <c r="CR41" s="302">
        <v>1.1077157573692986</v>
      </c>
      <c r="CS41" s="302">
        <v>1.1077157573692986</v>
      </c>
      <c r="CT41" s="302">
        <v>1.1077157573692986</v>
      </c>
      <c r="CU41" s="302">
        <v>1.1077157573692986</v>
      </c>
      <c r="CV41" s="302">
        <v>1.1077157573692986</v>
      </c>
    </row>
    <row r="42" spans="1:100" s="165" customFormat="1">
      <c r="A42" s="165" t="s">
        <v>1583</v>
      </c>
      <c r="G42" s="176"/>
      <c r="H42" s="176"/>
      <c r="I42" s="176"/>
      <c r="J42" s="176"/>
      <c r="K42" s="176">
        <f t="shared" ref="K42:AZ42" si="25">+(K62/J62-1)*100</f>
        <v>-4.5203429253878769</v>
      </c>
      <c r="L42" s="176">
        <f t="shared" si="25"/>
        <v>-5.8692922445767177</v>
      </c>
      <c r="M42" s="176">
        <f t="shared" si="25"/>
        <v>-1.5292806218644039</v>
      </c>
      <c r="N42" s="176">
        <f t="shared" si="25"/>
        <v>-0.6669089172381848</v>
      </c>
      <c r="O42" s="176">
        <f t="shared" si="25"/>
        <v>2.3308325810376118</v>
      </c>
      <c r="P42" s="176">
        <f t="shared" si="25"/>
        <v>4.956327480123357</v>
      </c>
      <c r="Q42" s="176">
        <f t="shared" si="25"/>
        <v>7.6715690045181528</v>
      </c>
      <c r="R42" s="176">
        <f t="shared" si="25"/>
        <v>10.66151756367686</v>
      </c>
      <c r="S42" s="176">
        <f t="shared" si="25"/>
        <v>11.213189887542075</v>
      </c>
      <c r="T42" s="176">
        <f t="shared" si="25"/>
        <v>9.30893103046213</v>
      </c>
      <c r="U42" s="176">
        <f t="shared" si="25"/>
        <v>5.4052143672917108</v>
      </c>
      <c r="V42" s="176">
        <f t="shared" si="25"/>
        <v>2.7541311904566879</v>
      </c>
      <c r="W42" s="176">
        <f t="shared" si="25"/>
        <v>3.8322730960237417</v>
      </c>
      <c r="X42" s="176">
        <f t="shared" si="25"/>
        <v>3.5608910431412566</v>
      </c>
      <c r="Y42" s="176">
        <f t="shared" si="25"/>
        <v>5.1206810333094932</v>
      </c>
      <c r="Z42" s="176">
        <f t="shared" si="25"/>
        <v>8.0222777357789496</v>
      </c>
      <c r="AA42" s="176">
        <f t="shared" si="25"/>
        <v>6.9598386011828994</v>
      </c>
      <c r="AB42" s="176">
        <f t="shared" si="25"/>
        <v>2.2567828814896274</v>
      </c>
      <c r="AC42" s="176">
        <f t="shared" si="25"/>
        <v>2.8351573191939927</v>
      </c>
      <c r="AD42" s="176">
        <f t="shared" si="25"/>
        <v>2.4597264561268206</v>
      </c>
      <c r="AE42" s="176">
        <f t="shared" si="25"/>
        <v>1.469195632443232</v>
      </c>
      <c r="AF42" s="176">
        <f t="shared" si="25"/>
        <v>2.4084122331672786</v>
      </c>
      <c r="AG42" s="176">
        <f t="shared" si="25"/>
        <v>4.066288915223204</v>
      </c>
      <c r="AH42" s="176">
        <f t="shared" si="25"/>
        <v>2.0202674949038713</v>
      </c>
      <c r="AI42" s="176">
        <f t="shared" si="25"/>
        <v>-0.66762197619752994</v>
      </c>
      <c r="AJ42" s="176">
        <f t="shared" si="25"/>
        <v>-2.7229424820449211</v>
      </c>
      <c r="AK42" s="176">
        <f t="shared" si="25"/>
        <v>-1.7132555039086061</v>
      </c>
      <c r="AL42" s="176">
        <f t="shared" si="25"/>
        <v>-6.3280206158713881</v>
      </c>
      <c r="AM42" s="176">
        <f t="shared" si="25"/>
        <v>-8.8537221891753717</v>
      </c>
      <c r="AN42" s="176">
        <f t="shared" si="25"/>
        <v>-6.9481467201107039</v>
      </c>
      <c r="AO42" s="176">
        <f t="shared" si="25"/>
        <v>-5.3855300864031559</v>
      </c>
      <c r="AP42" s="176">
        <f t="shared" si="25"/>
        <v>2.3128476302328949</v>
      </c>
      <c r="AQ42" s="176">
        <f t="shared" si="25"/>
        <v>10.286691325863107</v>
      </c>
      <c r="AR42" s="176">
        <f t="shared" si="25"/>
        <v>9.0749443262476035</v>
      </c>
      <c r="AS42" s="176">
        <f t="shared" si="25"/>
        <v>3.8367375407585502</v>
      </c>
      <c r="AT42" s="176">
        <f t="shared" si="25"/>
        <v>2.7092227878862118</v>
      </c>
      <c r="AU42" s="176">
        <f t="shared" si="25"/>
        <v>-6.3322694831446702</v>
      </c>
      <c r="AV42" s="176">
        <f t="shared" si="25"/>
        <v>-9.0350151228602353</v>
      </c>
      <c r="AW42" s="176">
        <f t="shared" si="25"/>
        <v>-6.2237992695707733</v>
      </c>
      <c r="AX42" s="176">
        <f t="shared" si="25"/>
        <v>-2.505259690240047</v>
      </c>
      <c r="AY42" s="176">
        <f t="shared" si="25"/>
        <v>-3.2894562892019863</v>
      </c>
      <c r="AZ42" s="176">
        <f t="shared" si="25"/>
        <v>-2.4323153896345318</v>
      </c>
      <c r="CE42" s="164"/>
      <c r="CF42" s="166">
        <f t="shared" si="12"/>
        <v>0</v>
      </c>
      <c r="CG42" s="166">
        <f t="shared" si="13"/>
        <v>0</v>
      </c>
      <c r="CH42" s="166">
        <f t="shared" si="14"/>
        <v>0</v>
      </c>
      <c r="CI42" s="166">
        <f t="shared" si="15"/>
        <v>0</v>
      </c>
      <c r="CJ42" s="166">
        <f t="shared" si="16"/>
        <v>0</v>
      </c>
      <c r="CK42" s="166">
        <f t="shared" si="17"/>
        <v>0</v>
      </c>
      <c r="CL42" s="166">
        <f t="shared" si="18"/>
        <v>0</v>
      </c>
      <c r="CM42" s="166">
        <f t="shared" si="19"/>
        <v>0</v>
      </c>
      <c r="CN42" s="166"/>
      <c r="CO42" s="302"/>
      <c r="CP42" s="302"/>
      <c r="CQ42" s="302"/>
      <c r="CR42" s="302"/>
      <c r="CS42" s="302"/>
      <c r="CT42" s="302"/>
      <c r="CU42" s="302"/>
      <c r="CV42" s="302"/>
    </row>
    <row r="43" spans="1:100" s="165" customFormat="1">
      <c r="A43" s="165" t="s">
        <v>882</v>
      </c>
      <c r="F43" s="165">
        <f t="shared" ref="F43:AT43" si="26">F5*1000/F8</f>
        <v>290.4784167056257</v>
      </c>
      <c r="G43" s="165">
        <f t="shared" si="26"/>
        <v>235.05171978807502</v>
      </c>
      <c r="H43" s="165">
        <f t="shared" si="26"/>
        <v>233.54231974921632</v>
      </c>
      <c r="I43" s="165">
        <f t="shared" si="26"/>
        <v>245.43447722255669</v>
      </c>
      <c r="J43" s="165">
        <f t="shared" si="26"/>
        <v>237.08622204862806</v>
      </c>
      <c r="K43" s="165">
        <f t="shared" si="26"/>
        <v>227.19972952413153</v>
      </c>
      <c r="L43" s="165">
        <f t="shared" si="26"/>
        <v>208.28455148575569</v>
      </c>
      <c r="M43" s="165">
        <f t="shared" si="26"/>
        <v>179.59501557632396</v>
      </c>
      <c r="N43" s="165">
        <f t="shared" si="26"/>
        <v>236.68810755912367</v>
      </c>
      <c r="O43" s="165">
        <f t="shared" si="26"/>
        <v>235.77048727741223</v>
      </c>
      <c r="P43" s="165">
        <f t="shared" si="26"/>
        <v>230.69444444444443</v>
      </c>
      <c r="Q43" s="165">
        <f t="shared" si="26"/>
        <v>230.8678922616503</v>
      </c>
      <c r="R43" s="165">
        <f t="shared" si="26"/>
        <v>323.24272227454935</v>
      </c>
      <c r="S43" s="165">
        <f t="shared" si="26"/>
        <v>290.30160149581337</v>
      </c>
      <c r="T43" s="165">
        <f t="shared" si="26"/>
        <v>310.65980287525895</v>
      </c>
      <c r="U43" s="165">
        <f t="shared" si="26"/>
        <v>236.42902862019571</v>
      </c>
      <c r="V43" s="165">
        <f t="shared" si="26"/>
        <v>329.85917240523605</v>
      </c>
      <c r="W43" s="165">
        <f t="shared" si="26"/>
        <v>311.97354464341424</v>
      </c>
      <c r="X43" s="165">
        <f t="shared" si="26"/>
        <v>280.07555526607177</v>
      </c>
      <c r="Y43" s="165">
        <f t="shared" si="26"/>
        <v>463.13990872096946</v>
      </c>
      <c r="Z43" s="165">
        <f t="shared" si="26"/>
        <v>709.14319071195382</v>
      </c>
      <c r="AA43" s="165">
        <f t="shared" si="26"/>
        <v>559.52380952380952</v>
      </c>
      <c r="AB43" s="165">
        <f t="shared" si="26"/>
        <v>476.52173913043481</v>
      </c>
      <c r="AC43" s="165">
        <f t="shared" si="26"/>
        <v>559.41499085923215</v>
      </c>
      <c r="AD43" s="165">
        <f t="shared" si="26"/>
        <v>559.57161981258366</v>
      </c>
      <c r="AE43" s="165">
        <f t="shared" si="26"/>
        <v>658.252427184466</v>
      </c>
      <c r="AF43" s="165">
        <f t="shared" si="26"/>
        <v>680.21680216802167</v>
      </c>
      <c r="AG43" s="165">
        <f t="shared" si="26"/>
        <v>681.24946351931328</v>
      </c>
      <c r="AH43" s="165">
        <f t="shared" si="26"/>
        <v>537.41055045871553</v>
      </c>
      <c r="AI43" s="165">
        <f t="shared" si="26"/>
        <v>518.7975826073307</v>
      </c>
      <c r="AJ43" s="165">
        <f t="shared" si="26"/>
        <v>650.47518479408654</v>
      </c>
      <c r="AK43" s="165">
        <f t="shared" si="26"/>
        <v>601.30718954248368</v>
      </c>
      <c r="AL43" s="165">
        <f t="shared" si="26"/>
        <v>590.19426456984274</v>
      </c>
      <c r="AM43" s="165">
        <f t="shared" si="26"/>
        <v>596.80284191829492</v>
      </c>
      <c r="AN43" s="165">
        <f t="shared" si="26"/>
        <v>913.77091377091369</v>
      </c>
      <c r="AO43" s="165">
        <f t="shared" si="26"/>
        <v>352.52643948296122</v>
      </c>
      <c r="AP43" s="165">
        <f t="shared" si="26"/>
        <v>699.53775038520791</v>
      </c>
      <c r="AQ43" s="165">
        <f t="shared" si="26"/>
        <v>743.83301707779879</v>
      </c>
      <c r="AR43" s="165">
        <f t="shared" si="26"/>
        <v>731.11395646606923</v>
      </c>
      <c r="AS43" s="165">
        <f t="shared" si="26"/>
        <v>652.40641711229944</v>
      </c>
      <c r="AT43" s="165">
        <f t="shared" si="26"/>
        <v>42212.158808933003</v>
      </c>
      <c r="AU43" s="167">
        <f t="shared" ref="AU43:BJ43" si="27">AU4*1000/AU8</f>
        <v>185818.73888255417</v>
      </c>
      <c r="AV43" s="175">
        <f t="shared" si="27"/>
        <v>162013.79249999998</v>
      </c>
      <c r="AW43" s="175">
        <f t="shared" si="27"/>
        <v>135866.82000000004</v>
      </c>
      <c r="AX43" s="175">
        <f t="shared" si="27"/>
        <v>115046.90000000001</v>
      </c>
      <c r="AY43" s="175">
        <f t="shared" si="27"/>
        <v>229337.99699999997</v>
      </c>
      <c r="AZ43" s="175">
        <f t="shared" si="27"/>
        <v>307057.05102619331</v>
      </c>
      <c r="BA43" s="175">
        <f t="shared" si="27"/>
        <v>453851.83759696875</v>
      </c>
      <c r="BB43" s="175">
        <f t="shared" si="27"/>
        <v>459319.87695672136</v>
      </c>
      <c r="BC43" s="175">
        <f t="shared" si="27"/>
        <v>564563.27717670787</v>
      </c>
      <c r="BD43" s="175">
        <f t="shared" si="27"/>
        <v>625662.86679913942</v>
      </c>
      <c r="BE43" s="175">
        <f t="shared" si="27"/>
        <v>677230.53767037403</v>
      </c>
      <c r="BF43" s="175">
        <f t="shared" si="27"/>
        <v>761784.67047403089</v>
      </c>
      <c r="BG43" s="175">
        <f t="shared" si="27"/>
        <v>805971.12024666043</v>
      </c>
      <c r="BH43" s="175">
        <f t="shared" si="27"/>
        <v>1697116.3366793327</v>
      </c>
      <c r="BI43" s="175">
        <f t="shared" si="27"/>
        <v>1163519.2337071993</v>
      </c>
      <c r="BJ43" s="175">
        <f t="shared" si="27"/>
        <v>1291007.1218290436</v>
      </c>
      <c r="BK43" s="175">
        <f t="shared" ref="BK43:BP43" si="28">BK4*1000/BK8</f>
        <v>2161486.9114489583</v>
      </c>
      <c r="BL43" s="175">
        <f t="shared" si="28"/>
        <v>1888044.4625956647</v>
      </c>
      <c r="BM43" s="175">
        <f t="shared" si="28"/>
        <v>1764868.8606141214</v>
      </c>
      <c r="BN43" s="175">
        <f t="shared" si="28"/>
        <v>1786388.4965692114</v>
      </c>
      <c r="BO43" s="175">
        <f t="shared" si="28"/>
        <v>1762700.9851047038</v>
      </c>
      <c r="BP43" s="175">
        <f t="shared" si="28"/>
        <v>2276252.0780784921</v>
      </c>
      <c r="BQ43" s="175">
        <f>BQ4*1000/BQ8</f>
        <v>2344539.6404208466</v>
      </c>
      <c r="BR43" s="175">
        <f>BR4*1000/BR8</f>
        <v>2414875.829633472</v>
      </c>
      <c r="BS43" s="175">
        <f>BS4*1000/BS8</f>
        <v>2487322.1045224764</v>
      </c>
      <c r="BT43" s="175">
        <f>BT4*1000/BT8</f>
        <v>2561941.7676581503</v>
      </c>
      <c r="BU43" s="175">
        <f>BU4*1000/BU8</f>
        <v>2638800.0206878954</v>
      </c>
      <c r="BV43" s="175">
        <f t="shared" ref="BV43:CD43" si="29">BV4*1000/BV8</f>
        <v>2717964.021308532</v>
      </c>
      <c r="BW43" s="175">
        <f t="shared" si="29"/>
        <v>2799502.9419477885</v>
      </c>
      <c r="BX43" s="175">
        <f t="shared" si="29"/>
        <v>2883488.0302062221</v>
      </c>
      <c r="BY43" s="175">
        <f t="shared" si="29"/>
        <v>2969992.6711124089</v>
      </c>
      <c r="BZ43" s="175">
        <f t="shared" si="29"/>
        <v>3059092.4512457806</v>
      </c>
      <c r="CA43" s="175">
        <f t="shared" si="29"/>
        <v>3150865.2247831542</v>
      </c>
      <c r="CB43" s="175">
        <f t="shared" si="29"/>
        <v>3245391.1815266488</v>
      </c>
      <c r="CC43" s="175">
        <f t="shared" si="29"/>
        <v>3342752.9169724481</v>
      </c>
      <c r="CD43" s="175">
        <f t="shared" si="29"/>
        <v>3443035.5044816216</v>
      </c>
      <c r="CE43" s="164"/>
      <c r="CF43" s="166">
        <f t="shared" si="12"/>
        <v>0</v>
      </c>
      <c r="CG43" s="166">
        <f t="shared" si="13"/>
        <v>0</v>
      </c>
      <c r="CH43" s="166">
        <f t="shared" si="14"/>
        <v>0</v>
      </c>
      <c r="CI43" s="166">
        <f t="shared" si="15"/>
        <v>0</v>
      </c>
      <c r="CJ43" s="166">
        <f t="shared" si="16"/>
        <v>0</v>
      </c>
      <c r="CK43" s="166">
        <f t="shared" si="17"/>
        <v>0</v>
      </c>
      <c r="CL43" s="166">
        <f t="shared" si="18"/>
        <v>0</v>
      </c>
      <c r="CM43" s="166">
        <f t="shared" si="19"/>
        <v>0</v>
      </c>
      <c r="CN43" s="166"/>
      <c r="CO43" s="302">
        <v>1697116.3366793327</v>
      </c>
      <c r="CP43" s="302">
        <v>1163519.2337071993</v>
      </c>
      <c r="CQ43" s="302">
        <v>1291007.1218290436</v>
      </c>
      <c r="CR43" s="302">
        <v>2161486.9114489583</v>
      </c>
      <c r="CS43" s="302">
        <v>1888044.4625956647</v>
      </c>
      <c r="CT43" s="302">
        <v>1764868.8606141214</v>
      </c>
      <c r="CU43" s="302">
        <v>1786388.4965692114</v>
      </c>
      <c r="CV43" s="302">
        <v>1762700.9851047038</v>
      </c>
    </row>
    <row r="44" spans="1:100">
      <c r="A44" s="164" t="s">
        <v>3416</v>
      </c>
      <c r="B44" s="164" t="s">
        <v>3415</v>
      </c>
      <c r="F44" s="166"/>
      <c r="G44" s="166"/>
      <c r="H44" s="166"/>
      <c r="I44" s="166"/>
      <c r="J44" s="166"/>
      <c r="K44" s="166"/>
      <c r="L44" s="166"/>
      <c r="M44" s="166"/>
      <c r="N44" s="166"/>
      <c r="O44" s="165">
        <f>100*O19/(O19-O18)</f>
        <v>133.33333333333334</v>
      </c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5">
        <f>100*AY23/(AY23-AY24)</f>
        <v>77.78915046059366</v>
      </c>
      <c r="AZ44" s="165">
        <f>100*AZ23/(AZ23-AZ24)</f>
        <v>95.155709342560556</v>
      </c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F44" s="166">
        <f t="shared" si="12"/>
        <v>0</v>
      </c>
      <c r="CG44" s="166">
        <f t="shared" si="13"/>
        <v>0</v>
      </c>
      <c r="CH44" s="166">
        <f t="shared" si="14"/>
        <v>0</v>
      </c>
      <c r="CI44" s="166">
        <f t="shared" si="15"/>
        <v>0</v>
      </c>
      <c r="CJ44" s="166">
        <f t="shared" si="16"/>
        <v>0</v>
      </c>
      <c r="CK44" s="166">
        <f t="shared" si="17"/>
        <v>0</v>
      </c>
      <c r="CL44" s="166">
        <f t="shared" si="18"/>
        <v>0</v>
      </c>
      <c r="CM44" s="166">
        <f t="shared" si="19"/>
        <v>0</v>
      </c>
      <c r="CN44" s="166"/>
    </row>
    <row r="45" spans="1:100">
      <c r="A45" s="164" t="s">
        <v>3416</v>
      </c>
      <c r="B45" s="164" t="s">
        <v>3415</v>
      </c>
      <c r="F45" s="166"/>
      <c r="G45" s="166"/>
      <c r="H45" s="166"/>
      <c r="I45" s="166"/>
      <c r="J45" s="166"/>
      <c r="K45" s="166"/>
      <c r="L45" s="166"/>
      <c r="M45" s="166"/>
      <c r="N45" s="166"/>
      <c r="O45" s="165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5">
        <f>100*AY26/(AY26-AY27)</f>
        <v>75.527039413382212</v>
      </c>
      <c r="AZ45" s="165">
        <f>100*AZ26/(AZ26-AZ27)</f>
        <v>95.060240963855421</v>
      </c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F45" s="166">
        <f t="shared" si="12"/>
        <v>0</v>
      </c>
      <c r="CG45" s="166">
        <f t="shared" si="13"/>
        <v>0</v>
      </c>
      <c r="CH45" s="166">
        <f t="shared" si="14"/>
        <v>0</v>
      </c>
      <c r="CI45" s="166">
        <f t="shared" si="15"/>
        <v>0</v>
      </c>
      <c r="CJ45" s="166">
        <f t="shared" si="16"/>
        <v>0</v>
      </c>
      <c r="CK45" s="166">
        <f t="shared" si="17"/>
        <v>0</v>
      </c>
      <c r="CL45" s="166">
        <f t="shared" si="18"/>
        <v>0</v>
      </c>
      <c r="CM45" s="166">
        <f t="shared" si="19"/>
        <v>0</v>
      </c>
      <c r="CN45" s="166"/>
    </row>
    <row r="46" spans="1:100">
      <c r="A46" s="164" t="s">
        <v>1235</v>
      </c>
      <c r="F46" s="166"/>
      <c r="G46" s="166"/>
      <c r="H46" s="166"/>
      <c r="I46" s="166"/>
      <c r="J46" s="166"/>
      <c r="K46" s="166"/>
      <c r="L46" s="166"/>
      <c r="M46" s="166"/>
      <c r="N46" s="166"/>
      <c r="O46" s="165">
        <f>O47*O40</f>
        <v>482.02994618378358</v>
      </c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5">
        <f>AY47*AY40</f>
        <v>1194854.6009392336</v>
      </c>
      <c r="AZ46" s="165">
        <f>AZ47*AZ40</f>
        <v>1369286.5355346415</v>
      </c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F46" s="166">
        <f t="shared" si="12"/>
        <v>0</v>
      </c>
      <c r="CG46" s="166">
        <f t="shared" si="13"/>
        <v>0</v>
      </c>
      <c r="CH46" s="166">
        <f t="shared" si="14"/>
        <v>0</v>
      </c>
      <c r="CI46" s="166">
        <f t="shared" si="15"/>
        <v>0</v>
      </c>
      <c r="CJ46" s="166">
        <f t="shared" si="16"/>
        <v>0</v>
      </c>
      <c r="CK46" s="166">
        <f t="shared" si="17"/>
        <v>0</v>
      </c>
      <c r="CL46" s="166">
        <f t="shared" si="18"/>
        <v>0</v>
      </c>
      <c r="CM46" s="166">
        <f t="shared" si="19"/>
        <v>0</v>
      </c>
      <c r="CN46" s="166"/>
    </row>
    <row r="47" spans="1:100">
      <c r="A47" s="164" t="s">
        <v>3414</v>
      </c>
      <c r="O47" s="168">
        <f>O43/(O44/100)</f>
        <v>176.82786545805916</v>
      </c>
      <c r="AY47" s="168">
        <f>AY43/(AY44/100)</f>
        <v>294820.03035394731</v>
      </c>
      <c r="AZ47" s="165">
        <f>AZ43/(AZ44/100)</f>
        <v>322689.04635116312</v>
      </c>
      <c r="BA47" s="165"/>
      <c r="CF47" s="166">
        <f t="shared" si="12"/>
        <v>0</v>
      </c>
      <c r="CG47" s="166">
        <f t="shared" si="13"/>
        <v>0</v>
      </c>
      <c r="CH47" s="166">
        <f t="shared" si="14"/>
        <v>0</v>
      </c>
      <c r="CI47" s="166">
        <f t="shared" si="15"/>
        <v>0</v>
      </c>
      <c r="CJ47" s="166">
        <f t="shared" si="16"/>
        <v>0</v>
      </c>
      <c r="CK47" s="166">
        <f t="shared" si="17"/>
        <v>0</v>
      </c>
      <c r="CL47" s="166">
        <f t="shared" si="18"/>
        <v>0</v>
      </c>
      <c r="CM47" s="166">
        <f t="shared" si="19"/>
        <v>0</v>
      </c>
      <c r="CN47" s="166"/>
    </row>
    <row r="48" spans="1:100">
      <c r="A48" s="164" t="s">
        <v>3413</v>
      </c>
      <c r="CF48" s="166">
        <f t="shared" si="12"/>
        <v>0</v>
      </c>
      <c r="CG48" s="166">
        <f t="shared" si="13"/>
        <v>0</v>
      </c>
      <c r="CH48" s="166">
        <f t="shared" si="14"/>
        <v>0</v>
      </c>
      <c r="CI48" s="166">
        <f t="shared" si="15"/>
        <v>0</v>
      </c>
      <c r="CJ48" s="166">
        <f t="shared" si="16"/>
        <v>0</v>
      </c>
      <c r="CK48" s="166">
        <f t="shared" si="17"/>
        <v>0</v>
      </c>
      <c r="CL48" s="166">
        <f t="shared" si="18"/>
        <v>0</v>
      </c>
      <c r="CM48" s="166">
        <f t="shared" si="19"/>
        <v>0</v>
      </c>
      <c r="CN48" s="166"/>
    </row>
    <row r="49" spans="1:100">
      <c r="A49" s="164" t="s">
        <v>1235</v>
      </c>
      <c r="B49" s="164" t="s">
        <v>2120</v>
      </c>
      <c r="AY49" s="166">
        <f>((AY46/O46)^(1/(99-63))-1)*100</f>
        <v>24.24658861938973</v>
      </c>
      <c r="CF49" s="166">
        <f t="shared" si="12"/>
        <v>0</v>
      </c>
      <c r="CG49" s="166">
        <f t="shared" si="13"/>
        <v>0</v>
      </c>
      <c r="CH49" s="166">
        <f t="shared" si="14"/>
        <v>0</v>
      </c>
      <c r="CI49" s="166">
        <f t="shared" si="15"/>
        <v>0</v>
      </c>
      <c r="CJ49" s="166">
        <f t="shared" si="16"/>
        <v>0</v>
      </c>
      <c r="CK49" s="166">
        <f t="shared" si="17"/>
        <v>0</v>
      </c>
      <c r="CL49" s="166">
        <f t="shared" si="18"/>
        <v>0</v>
      </c>
      <c r="CM49" s="166">
        <f t="shared" si="19"/>
        <v>0</v>
      </c>
      <c r="CN49" s="166"/>
    </row>
    <row r="50" spans="1:100">
      <c r="A50" s="164" t="s">
        <v>1234</v>
      </c>
      <c r="B50" s="164" t="s">
        <v>2120</v>
      </c>
      <c r="AY50" s="166">
        <f>((AY47/O47)^(1/(99-63))-1)*100</f>
        <v>22.885368034173936</v>
      </c>
      <c r="CF50" s="166">
        <f t="shared" si="12"/>
        <v>0</v>
      </c>
      <c r="CG50" s="166">
        <f t="shared" si="13"/>
        <v>0</v>
      </c>
      <c r="CH50" s="166">
        <f t="shared" si="14"/>
        <v>0</v>
      </c>
      <c r="CI50" s="166">
        <f t="shared" si="15"/>
        <v>0</v>
      </c>
      <c r="CJ50" s="166">
        <f t="shared" si="16"/>
        <v>0</v>
      </c>
      <c r="CK50" s="166">
        <f t="shared" si="17"/>
        <v>0</v>
      </c>
      <c r="CL50" s="166">
        <f t="shared" si="18"/>
        <v>0</v>
      </c>
      <c r="CM50" s="166">
        <f t="shared" si="19"/>
        <v>0</v>
      </c>
      <c r="CN50" s="166"/>
    </row>
    <row r="51" spans="1:100">
      <c r="A51" s="164" t="s">
        <v>4102</v>
      </c>
      <c r="B51" s="164" t="s">
        <v>2120</v>
      </c>
      <c r="AY51" s="166">
        <f>((AY67/O67)^(1/(99-63))-1)*100</f>
        <v>26.01442235267384</v>
      </c>
      <c r="CF51" s="166">
        <f t="shared" si="12"/>
        <v>0</v>
      </c>
      <c r="CG51" s="166">
        <f t="shared" si="13"/>
        <v>0</v>
      </c>
      <c r="CH51" s="166">
        <f t="shared" si="14"/>
        <v>0</v>
      </c>
      <c r="CI51" s="166">
        <f t="shared" si="15"/>
        <v>0</v>
      </c>
      <c r="CJ51" s="166">
        <f t="shared" si="16"/>
        <v>0</v>
      </c>
      <c r="CK51" s="166">
        <f t="shared" si="17"/>
        <v>0</v>
      </c>
      <c r="CL51" s="166">
        <f t="shared" si="18"/>
        <v>0</v>
      </c>
      <c r="CM51" s="166">
        <f t="shared" si="19"/>
        <v>0</v>
      </c>
      <c r="CN51" s="166"/>
    </row>
    <row r="52" spans="1:100">
      <c r="A52" s="164" t="s">
        <v>4101</v>
      </c>
      <c r="AY52" s="166">
        <f>((AY68/O68)^(1/(99-63))-1)*100</f>
        <v>22.885368034173958</v>
      </c>
      <c r="CF52" s="166">
        <f t="shared" si="12"/>
        <v>0</v>
      </c>
      <c r="CG52" s="166">
        <f t="shared" si="13"/>
        <v>0</v>
      </c>
      <c r="CH52" s="166">
        <f t="shared" si="14"/>
        <v>0</v>
      </c>
      <c r="CI52" s="166">
        <f t="shared" si="15"/>
        <v>0</v>
      </c>
      <c r="CJ52" s="166">
        <f t="shared" si="16"/>
        <v>0</v>
      </c>
      <c r="CK52" s="166">
        <f t="shared" si="17"/>
        <v>0</v>
      </c>
      <c r="CL52" s="166">
        <f t="shared" si="18"/>
        <v>0</v>
      </c>
      <c r="CM52" s="166">
        <f t="shared" si="19"/>
        <v>0</v>
      </c>
      <c r="CN52" s="166"/>
    </row>
    <row r="53" spans="1:100">
      <c r="A53" s="164" t="s">
        <v>4189</v>
      </c>
      <c r="B53" s="164" t="s">
        <v>2120</v>
      </c>
      <c r="AY53" s="174">
        <f>((1+AY51/100)/(1+AY50/100)-1)*100</f>
        <v>2.5463196868399596</v>
      </c>
      <c r="CF53" s="166">
        <f t="shared" si="12"/>
        <v>0</v>
      </c>
      <c r="CG53" s="166">
        <f t="shared" si="13"/>
        <v>0</v>
      </c>
      <c r="CH53" s="166">
        <f t="shared" si="14"/>
        <v>0</v>
      </c>
      <c r="CI53" s="166">
        <f t="shared" si="15"/>
        <v>0</v>
      </c>
      <c r="CJ53" s="166">
        <f t="shared" si="16"/>
        <v>0</v>
      </c>
      <c r="CK53" s="166">
        <f t="shared" si="17"/>
        <v>0</v>
      </c>
      <c r="CL53" s="166">
        <f t="shared" si="18"/>
        <v>0</v>
      </c>
      <c r="CM53" s="166">
        <f t="shared" si="19"/>
        <v>0</v>
      </c>
      <c r="CN53" s="166"/>
    </row>
    <row r="54" spans="1:100">
      <c r="A54" s="164" t="s">
        <v>3018</v>
      </c>
      <c r="AY54" s="174"/>
      <c r="CF54" s="166">
        <f t="shared" si="12"/>
        <v>0</v>
      </c>
      <c r="CG54" s="166">
        <f t="shared" si="13"/>
        <v>0</v>
      </c>
      <c r="CH54" s="166">
        <f t="shared" si="14"/>
        <v>0</v>
      </c>
      <c r="CI54" s="166">
        <f t="shared" si="15"/>
        <v>0</v>
      </c>
      <c r="CJ54" s="166">
        <f t="shared" si="16"/>
        <v>0</v>
      </c>
      <c r="CK54" s="166">
        <f t="shared" si="17"/>
        <v>0</v>
      </c>
      <c r="CL54" s="166">
        <f t="shared" si="18"/>
        <v>0</v>
      </c>
      <c r="CM54" s="166">
        <f t="shared" si="19"/>
        <v>0</v>
      </c>
      <c r="CN54" s="166"/>
    </row>
    <row r="55" spans="1:100">
      <c r="A55" s="164" t="s">
        <v>3017</v>
      </c>
      <c r="B55" s="164" t="s">
        <v>2120</v>
      </c>
      <c r="AY55" s="174">
        <f>((AY40/O40)^(1/(99-63))-1)*100</f>
        <v>1.1077157573692986</v>
      </c>
      <c r="CF55" s="166">
        <f t="shared" si="12"/>
        <v>0</v>
      </c>
      <c r="CG55" s="166">
        <f t="shared" si="13"/>
        <v>0</v>
      </c>
      <c r="CH55" s="166">
        <f t="shared" si="14"/>
        <v>0</v>
      </c>
      <c r="CI55" s="166">
        <f t="shared" si="15"/>
        <v>0</v>
      </c>
      <c r="CJ55" s="166">
        <f t="shared" si="16"/>
        <v>0</v>
      </c>
      <c r="CK55" s="166">
        <f t="shared" si="17"/>
        <v>0</v>
      </c>
      <c r="CL55" s="166">
        <f t="shared" si="18"/>
        <v>0</v>
      </c>
      <c r="CM55" s="166">
        <f t="shared" si="19"/>
        <v>0</v>
      </c>
      <c r="CN55" s="166"/>
    </row>
    <row r="56" spans="1:100">
      <c r="A56" s="164" t="s">
        <v>3016</v>
      </c>
      <c r="AY56" s="174">
        <f>+((1+AY53/100)/(1+AY55/100)-1)*100</f>
        <v>1.422842874744501</v>
      </c>
      <c r="BA56" s="173">
        <f t="shared" ref="BA56:CD56" si="30">$AY$56</f>
        <v>1.422842874744501</v>
      </c>
      <c r="BB56" s="173">
        <f t="shared" si="30"/>
        <v>1.422842874744501</v>
      </c>
      <c r="BC56" s="173">
        <f t="shared" si="30"/>
        <v>1.422842874744501</v>
      </c>
      <c r="BD56" s="173">
        <f t="shared" si="30"/>
        <v>1.422842874744501</v>
      </c>
      <c r="BE56" s="173">
        <f t="shared" si="30"/>
        <v>1.422842874744501</v>
      </c>
      <c r="BF56" s="173">
        <f t="shared" si="30"/>
        <v>1.422842874744501</v>
      </c>
      <c r="BG56" s="173">
        <f t="shared" si="30"/>
        <v>1.422842874744501</v>
      </c>
      <c r="BH56" s="173">
        <f t="shared" si="30"/>
        <v>1.422842874744501</v>
      </c>
      <c r="BI56" s="173">
        <f t="shared" si="30"/>
        <v>1.422842874744501</v>
      </c>
      <c r="BJ56" s="173">
        <f t="shared" si="30"/>
        <v>1.422842874744501</v>
      </c>
      <c r="BK56" s="173">
        <f t="shared" si="30"/>
        <v>1.422842874744501</v>
      </c>
      <c r="BL56" s="173">
        <f t="shared" si="30"/>
        <v>1.422842874744501</v>
      </c>
      <c r="BM56" s="173">
        <f t="shared" si="30"/>
        <v>1.422842874744501</v>
      </c>
      <c r="BN56" s="173">
        <f t="shared" si="30"/>
        <v>1.422842874744501</v>
      </c>
      <c r="BO56" s="173">
        <f t="shared" si="30"/>
        <v>1.422842874744501</v>
      </c>
      <c r="BP56" s="173">
        <f t="shared" si="30"/>
        <v>1.422842874744501</v>
      </c>
      <c r="BQ56" s="173">
        <f t="shared" si="30"/>
        <v>1.422842874744501</v>
      </c>
      <c r="BR56" s="173">
        <f t="shared" si="30"/>
        <v>1.422842874744501</v>
      </c>
      <c r="BS56" s="173">
        <f t="shared" si="30"/>
        <v>1.422842874744501</v>
      </c>
      <c r="BT56" s="173">
        <f t="shared" si="30"/>
        <v>1.422842874744501</v>
      </c>
      <c r="BU56" s="173">
        <f t="shared" si="30"/>
        <v>1.422842874744501</v>
      </c>
      <c r="BV56" s="173">
        <f t="shared" si="30"/>
        <v>1.422842874744501</v>
      </c>
      <c r="BW56" s="173">
        <f t="shared" si="30"/>
        <v>1.422842874744501</v>
      </c>
      <c r="BX56" s="173">
        <f t="shared" si="30"/>
        <v>1.422842874744501</v>
      </c>
      <c r="BY56" s="173">
        <f t="shared" si="30"/>
        <v>1.422842874744501</v>
      </c>
      <c r="BZ56" s="173">
        <f t="shared" si="30"/>
        <v>1.422842874744501</v>
      </c>
      <c r="CA56" s="173">
        <f t="shared" si="30"/>
        <v>1.422842874744501</v>
      </c>
      <c r="CB56" s="173">
        <f t="shared" si="30"/>
        <v>1.422842874744501</v>
      </c>
      <c r="CC56" s="173">
        <f t="shared" si="30"/>
        <v>1.422842874744501</v>
      </c>
      <c r="CD56" s="173">
        <f t="shared" si="30"/>
        <v>1.422842874744501</v>
      </c>
      <c r="CE56" s="173"/>
      <c r="CF56" s="166">
        <f t="shared" si="12"/>
        <v>0</v>
      </c>
      <c r="CG56" s="166">
        <f t="shared" si="13"/>
        <v>0</v>
      </c>
      <c r="CH56" s="166">
        <f t="shared" si="14"/>
        <v>0</v>
      </c>
      <c r="CI56" s="166">
        <f t="shared" si="15"/>
        <v>0</v>
      </c>
      <c r="CJ56" s="166">
        <f t="shared" si="16"/>
        <v>0</v>
      </c>
      <c r="CK56" s="166">
        <f t="shared" si="17"/>
        <v>0</v>
      </c>
      <c r="CL56" s="166">
        <f t="shared" si="18"/>
        <v>0</v>
      </c>
      <c r="CM56" s="166">
        <f t="shared" si="19"/>
        <v>0</v>
      </c>
      <c r="CN56" s="166"/>
      <c r="CO56" s="302">
        <v>1.422842874744501</v>
      </c>
      <c r="CP56" s="302">
        <v>1.422842874744501</v>
      </c>
      <c r="CQ56" s="302">
        <v>1.422842874744501</v>
      </c>
      <c r="CR56" s="302">
        <v>1.422842874744501</v>
      </c>
      <c r="CS56" s="302">
        <v>1.422842874744501</v>
      </c>
      <c r="CT56" s="302">
        <v>1.422842874744501</v>
      </c>
      <c r="CU56" s="302">
        <v>1.422842874744501</v>
      </c>
      <c r="CV56" s="302">
        <v>1.422842874744501</v>
      </c>
    </row>
    <row r="57" spans="1:100">
      <c r="A57" s="164" t="s">
        <v>3015</v>
      </c>
      <c r="B57" s="164" t="s">
        <v>2120</v>
      </c>
      <c r="AY57" s="166">
        <f>((AY43/O43)^(1/(99-63))-1)*100</f>
        <v>21.059709397120741</v>
      </c>
      <c r="CF57" s="166">
        <f t="shared" si="12"/>
        <v>0</v>
      </c>
      <c r="CG57" s="166">
        <f t="shared" si="13"/>
        <v>0</v>
      </c>
      <c r="CH57" s="166">
        <f t="shared" si="14"/>
        <v>0</v>
      </c>
      <c r="CI57" s="166">
        <f t="shared" si="15"/>
        <v>0</v>
      </c>
      <c r="CJ57" s="166">
        <f t="shared" si="16"/>
        <v>0</v>
      </c>
      <c r="CK57" s="166">
        <f t="shared" si="17"/>
        <v>0</v>
      </c>
      <c r="CL57" s="166">
        <f t="shared" si="18"/>
        <v>0</v>
      </c>
      <c r="CM57" s="166">
        <f t="shared" si="19"/>
        <v>0</v>
      </c>
      <c r="CN57" s="166"/>
    </row>
    <row r="58" spans="1:100">
      <c r="A58" s="164" t="s">
        <v>3014</v>
      </c>
      <c r="AY58" s="166">
        <f>((AY61/O61)^(1/(99-63))-1)*100</f>
        <v>1.3166114221399461</v>
      </c>
      <c r="CF58" s="166">
        <f t="shared" si="12"/>
        <v>0</v>
      </c>
      <c r="CG58" s="166">
        <f t="shared" si="13"/>
        <v>0</v>
      </c>
      <c r="CH58" s="166">
        <f t="shared" si="14"/>
        <v>0</v>
      </c>
      <c r="CI58" s="166">
        <f t="shared" si="15"/>
        <v>0</v>
      </c>
      <c r="CJ58" s="166">
        <f t="shared" si="16"/>
        <v>0</v>
      </c>
      <c r="CK58" s="166">
        <f t="shared" si="17"/>
        <v>0</v>
      </c>
      <c r="CL58" s="166">
        <f t="shared" si="18"/>
        <v>0</v>
      </c>
      <c r="CM58" s="166">
        <f t="shared" si="19"/>
        <v>0</v>
      </c>
      <c r="CN58" s="166"/>
    </row>
    <row r="59" spans="1:100" s="165" customFormat="1">
      <c r="A59" s="165" t="s">
        <v>3013</v>
      </c>
      <c r="B59" s="165" t="s">
        <v>3012</v>
      </c>
      <c r="AI59" s="166">
        <f>+((AI12/O12)^(0.05)-1)*100</f>
        <v>5.0245999898745008</v>
      </c>
      <c r="AZ59" s="166">
        <f>+((AZ12/AU12)^(1/5)-1)*100</f>
        <v>-7.3127513943361038</v>
      </c>
      <c r="CF59" s="166">
        <f t="shared" si="12"/>
        <v>0</v>
      </c>
      <c r="CG59" s="166">
        <f t="shared" si="13"/>
        <v>0</v>
      </c>
      <c r="CH59" s="166">
        <f t="shared" si="14"/>
        <v>0</v>
      </c>
      <c r="CI59" s="166">
        <f t="shared" si="15"/>
        <v>0</v>
      </c>
      <c r="CJ59" s="166">
        <f t="shared" si="16"/>
        <v>0</v>
      </c>
      <c r="CK59" s="166">
        <f t="shared" si="17"/>
        <v>0</v>
      </c>
      <c r="CL59" s="166">
        <f t="shared" si="18"/>
        <v>0</v>
      </c>
      <c r="CM59" s="166">
        <f t="shared" si="19"/>
        <v>0</v>
      </c>
      <c r="CN59" s="166"/>
      <c r="CO59" s="302"/>
      <c r="CP59" s="302"/>
      <c r="CQ59" s="302"/>
      <c r="CR59" s="302"/>
      <c r="CS59" s="302"/>
      <c r="CT59" s="302"/>
      <c r="CU59" s="302"/>
      <c r="CV59" s="302"/>
    </row>
    <row r="60" spans="1:100" s="165" customFormat="1">
      <c r="A60" s="172" t="s">
        <v>3457</v>
      </c>
      <c r="F60" s="165">
        <v>100</v>
      </c>
      <c r="AY60" s="171" t="s">
        <v>2219</v>
      </c>
      <c r="CF60" s="166">
        <f t="shared" si="12"/>
        <v>0</v>
      </c>
      <c r="CG60" s="166">
        <f t="shared" si="13"/>
        <v>0</v>
      </c>
      <c r="CH60" s="166">
        <f t="shared" si="14"/>
        <v>0</v>
      </c>
      <c r="CI60" s="166">
        <f t="shared" si="15"/>
        <v>0</v>
      </c>
      <c r="CJ60" s="166">
        <f t="shared" si="16"/>
        <v>0</v>
      </c>
      <c r="CK60" s="166">
        <f t="shared" si="17"/>
        <v>0</v>
      </c>
      <c r="CL60" s="166">
        <f t="shared" si="18"/>
        <v>0</v>
      </c>
      <c r="CM60" s="166">
        <f t="shared" si="19"/>
        <v>0</v>
      </c>
      <c r="CN60" s="166"/>
      <c r="CO60" s="302"/>
      <c r="CP60" s="302"/>
      <c r="CQ60" s="302"/>
      <c r="CR60" s="302"/>
      <c r="CS60" s="302"/>
      <c r="CT60" s="302"/>
      <c r="CU60" s="302"/>
      <c r="CV60" s="302"/>
    </row>
    <row r="61" spans="1:100" s="165" customFormat="1">
      <c r="A61" s="165" t="s">
        <v>3456</v>
      </c>
      <c r="F61" s="165">
        <v>100</v>
      </c>
      <c r="G61" s="165">
        <f t="shared" ref="G61:AL61" si="31">F61*(1+G33/100)</f>
        <v>100.97873594855722</v>
      </c>
      <c r="H61" s="165">
        <f t="shared" si="31"/>
        <v>83.759089628956701</v>
      </c>
      <c r="I61" s="165">
        <f t="shared" si="31"/>
        <v>80.298650310670908</v>
      </c>
      <c r="J61" s="165">
        <f t="shared" si="31"/>
        <v>76.627066213118098</v>
      </c>
      <c r="K61" s="165">
        <f t="shared" si="31"/>
        <v>80.035293320606257</v>
      </c>
      <c r="L61" s="165">
        <f t="shared" si="31"/>
        <v>76.227998905668741</v>
      </c>
      <c r="M61" s="165">
        <f t="shared" si="31"/>
        <v>77.688639281587072</v>
      </c>
      <c r="N61" s="165">
        <f t="shared" si="31"/>
        <v>77.691852420456911</v>
      </c>
      <c r="O61" s="165">
        <f t="shared" si="31"/>
        <v>85.677009690886507</v>
      </c>
      <c r="P61" s="165">
        <f t="shared" si="31"/>
        <v>99.72781299899917</v>
      </c>
      <c r="Q61" s="165">
        <f t="shared" si="31"/>
        <v>108.21946299332146</v>
      </c>
      <c r="R61" s="165">
        <f t="shared" si="31"/>
        <v>125.55936248426387</v>
      </c>
      <c r="S61" s="165">
        <f t="shared" si="31"/>
        <v>133.40744580605633</v>
      </c>
      <c r="T61" s="165">
        <f t="shared" si="31"/>
        <v>137.11733350935839</v>
      </c>
      <c r="U61" s="165">
        <f t="shared" si="31"/>
        <v>132.37700597644817</v>
      </c>
      <c r="V61" s="165">
        <f t="shared" si="31"/>
        <v>125.75448227811292</v>
      </c>
      <c r="W61" s="165">
        <f t="shared" si="31"/>
        <v>150.63069206481475</v>
      </c>
      <c r="X61" s="165">
        <f t="shared" si="31"/>
        <v>157.59611430891826</v>
      </c>
      <c r="Y61" s="165">
        <f t="shared" si="31"/>
        <v>173.14007657335796</v>
      </c>
      <c r="Z61" s="165">
        <f t="shared" si="31"/>
        <v>191.70161916580616</v>
      </c>
      <c r="AA61" s="165">
        <f t="shared" si="31"/>
        <v>181.35127270087975</v>
      </c>
      <c r="AB61" s="165">
        <f t="shared" si="31"/>
        <v>169.91309127887439</v>
      </c>
      <c r="AC61" s="165">
        <f t="shared" si="31"/>
        <v>182.36694544382553</v>
      </c>
      <c r="AD61" s="165">
        <f t="shared" si="31"/>
        <v>195.24005478250339</v>
      </c>
      <c r="AE61" s="165">
        <f t="shared" si="31"/>
        <v>205.22663723095846</v>
      </c>
      <c r="AF61" s="165">
        <f t="shared" si="31"/>
        <v>203.84820323726049</v>
      </c>
      <c r="AG61" s="165">
        <f t="shared" si="31"/>
        <v>208.8110049612967</v>
      </c>
      <c r="AH61" s="165">
        <f t="shared" si="31"/>
        <v>202.47856381870412</v>
      </c>
      <c r="AI61" s="165">
        <f t="shared" si="31"/>
        <v>188.45965618939118</v>
      </c>
      <c r="AJ61" s="165">
        <f t="shared" si="31"/>
        <v>177.75693818406518</v>
      </c>
      <c r="AK61" s="165">
        <f t="shared" si="31"/>
        <v>187.03509554222396</v>
      </c>
      <c r="AL61" s="165">
        <f t="shared" si="31"/>
        <v>147.77463526244856</v>
      </c>
      <c r="AM61" s="165">
        <f t="shared" ref="AM61:BJ61" si="32">AL61*(1+AM33/100)</f>
        <v>122.48475098130731</v>
      </c>
      <c r="AN61" s="165">
        <f t="shared" si="32"/>
        <v>131.24089836147095</v>
      </c>
      <c r="AO61" s="165">
        <f t="shared" si="32"/>
        <v>136.48803483052504</v>
      </c>
      <c r="AP61" s="165">
        <f t="shared" si="32"/>
        <v>203.80378241417563</v>
      </c>
      <c r="AQ61" s="165">
        <f t="shared" si="32"/>
        <v>224.08049905938276</v>
      </c>
      <c r="AR61" s="165">
        <f t="shared" si="32"/>
        <v>196.7266858979242</v>
      </c>
      <c r="AS61" s="165">
        <f t="shared" si="32"/>
        <v>165.47763831755759</v>
      </c>
      <c r="AT61" s="165">
        <f t="shared" si="32"/>
        <v>161.59106032271166</v>
      </c>
      <c r="AU61" s="165">
        <f t="shared" si="32"/>
        <v>143.54086134602031</v>
      </c>
      <c r="AV61" s="165">
        <f t="shared" si="32"/>
        <v>143.54086134602031</v>
      </c>
      <c r="AW61" s="165">
        <f t="shared" si="32"/>
        <v>146.2593224210122</v>
      </c>
      <c r="AX61" s="165">
        <f t="shared" si="32"/>
        <v>146.42739952664803</v>
      </c>
      <c r="AY61" s="165">
        <f t="shared" si="32"/>
        <v>137.20436346112882</v>
      </c>
      <c r="AZ61" s="165">
        <f t="shared" si="32"/>
        <v>126.10182139508908</v>
      </c>
      <c r="BA61" s="165">
        <f t="shared" si="32"/>
        <v>132.37622287277344</v>
      </c>
      <c r="BB61" s="165">
        <f t="shared" si="32"/>
        <v>184.26402120194211</v>
      </c>
      <c r="BC61" s="165">
        <f t="shared" si="32"/>
        <v>202.60956562482005</v>
      </c>
      <c r="BD61" s="165">
        <f t="shared" si="32"/>
        <v>210.65613011474625</v>
      </c>
      <c r="BE61" s="165">
        <f t="shared" si="32"/>
        <v>215.1297191757908</v>
      </c>
      <c r="BF61" s="165">
        <f t="shared" si="32"/>
        <v>217.28101636754872</v>
      </c>
      <c r="BG61" s="165">
        <f t="shared" si="32"/>
        <v>217.28101636754872</v>
      </c>
      <c r="BH61" s="165">
        <f t="shared" si="32"/>
        <v>217.28101636754872</v>
      </c>
      <c r="BI61" s="165">
        <f t="shared" si="32"/>
        <v>217.28101636754872</v>
      </c>
      <c r="BJ61" s="165">
        <f t="shared" si="32"/>
        <v>217.28101636754872</v>
      </c>
      <c r="BK61" s="165">
        <f t="shared" ref="BK61:BP61" si="33">BJ61*(1+BK33/100)</f>
        <v>217.28101636754872</v>
      </c>
      <c r="BL61" s="165">
        <f t="shared" si="33"/>
        <v>217.28101636754872</v>
      </c>
      <c r="BM61" s="165">
        <f t="shared" si="33"/>
        <v>217.28101636754872</v>
      </c>
      <c r="BN61" s="165">
        <f t="shared" si="33"/>
        <v>221.6266366948997</v>
      </c>
      <c r="BO61" s="165">
        <f t="shared" si="33"/>
        <v>226.0591694287977</v>
      </c>
      <c r="BP61" s="165">
        <f t="shared" si="33"/>
        <v>230.58035281737367</v>
      </c>
      <c r="BQ61" s="165">
        <f>BP61*(1+BQ33/100)</f>
        <v>235.19195987372115</v>
      </c>
      <c r="BR61" s="165">
        <f>BQ61*(1+BR33/100)</f>
        <v>239.89579907119557</v>
      </c>
      <c r="BS61" s="165">
        <f>BR61*(1+BS33/100)</f>
        <v>244.6937150526195</v>
      </c>
      <c r="BT61" s="165">
        <f>BS61*(1+BT33/100)</f>
        <v>249.58758935367189</v>
      </c>
      <c r="BU61" s="165">
        <f>BT61*(1+BU33/100)</f>
        <v>254.57934114074533</v>
      </c>
      <c r="BV61" s="165">
        <f t="shared" ref="BV61:CD61" si="34">BU61*(1+BV33/100)</f>
        <v>259.67092796356025</v>
      </c>
      <c r="BW61" s="165">
        <f t="shared" si="34"/>
        <v>264.86434652283145</v>
      </c>
      <c r="BX61" s="165">
        <f t="shared" si="34"/>
        <v>270.16163345328806</v>
      </c>
      <c r="BY61" s="165">
        <f t="shared" si="34"/>
        <v>275.56486612235381</v>
      </c>
      <c r="BZ61" s="165">
        <f t="shared" si="34"/>
        <v>281.0761634448009</v>
      </c>
      <c r="CA61" s="165">
        <f t="shared" si="34"/>
        <v>286.6976867136969</v>
      </c>
      <c r="CB61" s="165">
        <f t="shared" si="34"/>
        <v>292.43164044797084</v>
      </c>
      <c r="CC61" s="165">
        <f t="shared" si="34"/>
        <v>298.28027325693023</v>
      </c>
      <c r="CD61" s="165">
        <f t="shared" si="34"/>
        <v>304.24587872206882</v>
      </c>
      <c r="CF61" s="165">
        <f t="shared" si="12"/>
        <v>0</v>
      </c>
      <c r="CG61" s="165">
        <f t="shared" si="13"/>
        <v>0</v>
      </c>
      <c r="CH61" s="165">
        <f t="shared" si="14"/>
        <v>0</v>
      </c>
      <c r="CI61" s="165">
        <f t="shared" si="15"/>
        <v>0</v>
      </c>
      <c r="CJ61" s="165">
        <f t="shared" si="16"/>
        <v>0</v>
      </c>
      <c r="CK61" s="165">
        <f t="shared" si="17"/>
        <v>0</v>
      </c>
      <c r="CL61" s="165">
        <f t="shared" si="18"/>
        <v>0</v>
      </c>
      <c r="CM61" s="165">
        <f t="shared" si="19"/>
        <v>0</v>
      </c>
      <c r="CN61" s="166"/>
      <c r="CO61" s="302">
        <v>217.28101636754872</v>
      </c>
      <c r="CP61" s="302">
        <v>217.28101636754872</v>
      </c>
      <c r="CQ61" s="302">
        <v>217.28101636754872</v>
      </c>
      <c r="CR61" s="302">
        <v>217.28101636754872</v>
      </c>
      <c r="CS61" s="302">
        <v>217.28101636754872</v>
      </c>
      <c r="CT61" s="302">
        <v>217.28101636754872</v>
      </c>
      <c r="CU61" s="302">
        <v>221.6266366948997</v>
      </c>
      <c r="CV61" s="302">
        <v>226.0591694287977</v>
      </c>
    </row>
    <row r="62" spans="1:100" s="165" customFormat="1">
      <c r="A62" s="165" t="s">
        <v>1859</v>
      </c>
      <c r="F62" s="170">
        <f>F61</f>
        <v>100</v>
      </c>
      <c r="G62" s="170">
        <f>G61</f>
        <v>100.97873594855722</v>
      </c>
      <c r="H62" s="170">
        <f>H61</f>
        <v>83.759089628956701</v>
      </c>
      <c r="I62" s="170">
        <f>I61</f>
        <v>80.298650310670908</v>
      </c>
      <c r="J62" s="165">
        <f t="shared" ref="J62:AO62" si="35">SUM(F61:J61)/5</f>
        <v>88.332708420260587</v>
      </c>
      <c r="K62" s="165">
        <f t="shared" si="35"/>
        <v>84.339767084381833</v>
      </c>
      <c r="L62" s="165">
        <f t="shared" si="35"/>
        <v>79.389619675804141</v>
      </c>
      <c r="M62" s="165">
        <f t="shared" si="35"/>
        <v>78.175529606330215</v>
      </c>
      <c r="N62" s="165">
        <f t="shared" si="35"/>
        <v>77.654170028287425</v>
      </c>
      <c r="O62" s="165">
        <f t="shared" si="35"/>
        <v>79.464158723841095</v>
      </c>
      <c r="P62" s="165">
        <f t="shared" si="35"/>
        <v>83.402662659519677</v>
      </c>
      <c r="Q62" s="165">
        <f t="shared" si="35"/>
        <v>89.800955477050223</v>
      </c>
      <c r="R62" s="165">
        <f t="shared" si="35"/>
        <v>99.375100117585575</v>
      </c>
      <c r="S62" s="165">
        <f t="shared" si="35"/>
        <v>110.51821879470549</v>
      </c>
      <c r="T62" s="165">
        <f t="shared" si="35"/>
        <v>120.80628355839985</v>
      </c>
      <c r="U62" s="165">
        <f t="shared" si="35"/>
        <v>127.33612215388965</v>
      </c>
      <c r="V62" s="165">
        <f t="shared" si="35"/>
        <v>130.84312601084795</v>
      </c>
      <c r="W62" s="165">
        <f t="shared" si="35"/>
        <v>135.85739192695812</v>
      </c>
      <c r="X62" s="165">
        <f t="shared" si="35"/>
        <v>140.69512562753047</v>
      </c>
      <c r="Y62" s="165">
        <f t="shared" si="35"/>
        <v>147.8996742403304</v>
      </c>
      <c r="Z62" s="165">
        <f t="shared" si="35"/>
        <v>159.76459687820201</v>
      </c>
      <c r="AA62" s="165">
        <f t="shared" si="35"/>
        <v>170.88395496275538</v>
      </c>
      <c r="AB62" s="165">
        <f t="shared" si="35"/>
        <v>174.7404348055673</v>
      </c>
      <c r="AC62" s="165">
        <f t="shared" si="35"/>
        <v>179.69460103254875</v>
      </c>
      <c r="AD62" s="165">
        <f t="shared" si="35"/>
        <v>184.11459667437788</v>
      </c>
      <c r="AE62" s="165">
        <f t="shared" si="35"/>
        <v>186.81960028740829</v>
      </c>
      <c r="AF62" s="165">
        <f t="shared" si="35"/>
        <v>191.31898639468446</v>
      </c>
      <c r="AG62" s="165">
        <f t="shared" si="35"/>
        <v>199.09856913116892</v>
      </c>
      <c r="AH62" s="165">
        <f t="shared" si="35"/>
        <v>203.12089280614464</v>
      </c>
      <c r="AI62" s="165">
        <f t="shared" si="35"/>
        <v>201.76481308752219</v>
      </c>
      <c r="AJ62" s="165">
        <f t="shared" si="35"/>
        <v>196.27087327814351</v>
      </c>
      <c r="AK62" s="165">
        <f t="shared" si="35"/>
        <v>192.90825173913623</v>
      </c>
      <c r="AL62" s="165">
        <f t="shared" si="35"/>
        <v>180.70097779936663</v>
      </c>
      <c r="AM62" s="165">
        <f t="shared" si="35"/>
        <v>164.70221523188724</v>
      </c>
      <c r="AN62" s="165">
        <f t="shared" si="35"/>
        <v>153.25846366630319</v>
      </c>
      <c r="AO62" s="165">
        <f t="shared" si="35"/>
        <v>145.00468299559518</v>
      </c>
      <c r="AP62" s="165">
        <f t="shared" ref="AP62:BJ62" si="36">SUM(AL61:AP61)/5</f>
        <v>148.35842036998551</v>
      </c>
      <c r="AQ62" s="165">
        <f t="shared" si="36"/>
        <v>163.61959312937233</v>
      </c>
      <c r="AR62" s="165">
        <f t="shared" si="36"/>
        <v>178.46798011269573</v>
      </c>
      <c r="AS62" s="165">
        <f t="shared" si="36"/>
        <v>185.31532810391303</v>
      </c>
      <c r="AT62" s="165">
        <f t="shared" si="36"/>
        <v>190.33593320235036</v>
      </c>
      <c r="AU62" s="165">
        <f t="shared" si="36"/>
        <v>178.2833489887193</v>
      </c>
      <c r="AV62" s="165">
        <f t="shared" si="36"/>
        <v>162.17542144604681</v>
      </c>
      <c r="AW62" s="165">
        <f t="shared" si="36"/>
        <v>152.08194875066442</v>
      </c>
      <c r="AX62" s="165">
        <f t="shared" si="36"/>
        <v>148.2719009924825</v>
      </c>
      <c r="AY62" s="165">
        <f t="shared" si="36"/>
        <v>143.39456162016594</v>
      </c>
      <c r="AZ62" s="165">
        <f t="shared" si="36"/>
        <v>139.90675362997968</v>
      </c>
      <c r="BA62" s="165">
        <f t="shared" si="36"/>
        <v>137.67382593533029</v>
      </c>
      <c r="BB62" s="165">
        <f t="shared" si="36"/>
        <v>145.27476569151628</v>
      </c>
      <c r="BC62" s="165">
        <f t="shared" si="36"/>
        <v>156.51119891115073</v>
      </c>
      <c r="BD62" s="165">
        <f t="shared" si="36"/>
        <v>171.2015522418742</v>
      </c>
      <c r="BE62" s="165">
        <f t="shared" si="36"/>
        <v>189.00713179801454</v>
      </c>
      <c r="BF62" s="165">
        <f t="shared" si="36"/>
        <v>205.98809049696962</v>
      </c>
      <c r="BG62" s="165">
        <f t="shared" si="36"/>
        <v>212.59148953009094</v>
      </c>
      <c r="BH62" s="165">
        <f t="shared" si="36"/>
        <v>215.52577967863667</v>
      </c>
      <c r="BI62" s="165">
        <f t="shared" si="36"/>
        <v>216.85075692919713</v>
      </c>
      <c r="BJ62" s="165">
        <f t="shared" si="36"/>
        <v>217.28101636754872</v>
      </c>
      <c r="BK62" s="165">
        <f t="shared" ref="BK62:BP62" si="37">SUM(BG61:BK61)/5</f>
        <v>217.28101636754872</v>
      </c>
      <c r="BL62" s="165">
        <f t="shared" si="37"/>
        <v>217.28101636754872</v>
      </c>
      <c r="BM62" s="165">
        <f t="shared" si="37"/>
        <v>217.28101636754872</v>
      </c>
      <c r="BN62" s="165">
        <f t="shared" si="37"/>
        <v>218.15014043301889</v>
      </c>
      <c r="BO62" s="165">
        <f t="shared" si="37"/>
        <v>219.90577104526869</v>
      </c>
      <c r="BP62" s="165">
        <f t="shared" si="37"/>
        <v>222.56563833523373</v>
      </c>
      <c r="BQ62" s="165">
        <f>SUM(BM61:BQ61)/5</f>
        <v>226.14782703646819</v>
      </c>
      <c r="BR62" s="165">
        <f>SUM(BN61:BR61)/5</f>
        <v>230.67078357719757</v>
      </c>
      <c r="BS62" s="165">
        <f>SUM(BO61:BS61)/5</f>
        <v>235.28419924874152</v>
      </c>
      <c r="BT62" s="165">
        <f>SUM(BP61:BT61)/5</f>
        <v>239.98988323371637</v>
      </c>
      <c r="BU62" s="165">
        <f>SUM(BQ61:BU61)/5</f>
        <v>244.78968089839069</v>
      </c>
      <c r="BV62" s="165">
        <f t="shared" ref="BV62:CD62" si="38">SUM(BR61:BV61)/5</f>
        <v>249.68547451635851</v>
      </c>
      <c r="BW62" s="165">
        <f t="shared" si="38"/>
        <v>254.67918400668569</v>
      </c>
      <c r="BX62" s="165">
        <f t="shared" si="38"/>
        <v>259.77276768681941</v>
      </c>
      <c r="BY62" s="165">
        <f t="shared" si="38"/>
        <v>264.96822304055576</v>
      </c>
      <c r="BZ62" s="165">
        <f t="shared" si="38"/>
        <v>270.26758750136685</v>
      </c>
      <c r="CA62" s="165">
        <f t="shared" si="38"/>
        <v>275.67293925139421</v>
      </c>
      <c r="CB62" s="165">
        <f t="shared" si="38"/>
        <v>281.18639803642208</v>
      </c>
      <c r="CC62" s="165">
        <f t="shared" si="38"/>
        <v>286.81012599715052</v>
      </c>
      <c r="CD62" s="165">
        <f t="shared" si="38"/>
        <v>292.54632851709357</v>
      </c>
      <c r="CF62" s="165">
        <f t="shared" si="12"/>
        <v>0</v>
      </c>
      <c r="CG62" s="165">
        <f t="shared" si="13"/>
        <v>0</v>
      </c>
      <c r="CH62" s="165">
        <f t="shared" si="14"/>
        <v>0</v>
      </c>
      <c r="CI62" s="165">
        <f t="shared" si="15"/>
        <v>0</v>
      </c>
      <c r="CJ62" s="165">
        <f t="shared" si="16"/>
        <v>0</v>
      </c>
      <c r="CK62" s="165">
        <f t="shared" si="17"/>
        <v>0</v>
      </c>
      <c r="CL62" s="165">
        <f t="shared" si="18"/>
        <v>0</v>
      </c>
      <c r="CM62" s="165">
        <f t="shared" si="19"/>
        <v>0</v>
      </c>
      <c r="CN62" s="166"/>
      <c r="CO62" s="302">
        <v>215.52577967863667</v>
      </c>
      <c r="CP62" s="302">
        <v>216.85075692919713</v>
      </c>
      <c r="CQ62" s="302">
        <v>217.28101636754872</v>
      </c>
      <c r="CR62" s="302">
        <v>217.28101636754872</v>
      </c>
      <c r="CS62" s="302">
        <v>217.28101636754872</v>
      </c>
      <c r="CT62" s="302">
        <v>217.28101636754872</v>
      </c>
      <c r="CU62" s="302">
        <v>218.15014043301889</v>
      </c>
      <c r="CV62" s="302">
        <v>219.90577104526869</v>
      </c>
    </row>
    <row r="63" spans="1:100" s="165" customFormat="1">
      <c r="A63" s="165" t="s">
        <v>1858</v>
      </c>
      <c r="F63" s="165">
        <v>100</v>
      </c>
      <c r="G63" s="165">
        <f t="shared" ref="G63:AL63" si="39">F63*(1+G34/100)/(G62/F62)</f>
        <v>100.23730886991021</v>
      </c>
      <c r="H63" s="165">
        <f t="shared" si="39"/>
        <v>99.46796551418187</v>
      </c>
      <c r="I63" s="165">
        <f t="shared" si="39"/>
        <v>112.17250370054062</v>
      </c>
      <c r="J63" s="165">
        <f t="shared" si="39"/>
        <v>104.16726718901396</v>
      </c>
      <c r="K63" s="165">
        <f t="shared" si="39"/>
        <v>113.67340265747582</v>
      </c>
      <c r="L63" s="165">
        <f t="shared" si="39"/>
        <v>121.7549681110674</v>
      </c>
      <c r="M63" s="165">
        <f t="shared" si="39"/>
        <v>123.09472034841626</v>
      </c>
      <c r="N63" s="165">
        <f t="shared" si="39"/>
        <v>130.47246193114623</v>
      </c>
      <c r="O63" s="165">
        <f t="shared" si="39"/>
        <v>135.4964896919968</v>
      </c>
      <c r="P63" s="165">
        <f t="shared" si="39"/>
        <v>138.91336334514142</v>
      </c>
      <c r="Q63" s="165">
        <f t="shared" si="39"/>
        <v>133.05340136089254</v>
      </c>
      <c r="R63" s="165">
        <f t="shared" si="39"/>
        <v>136.78169523465931</v>
      </c>
      <c r="S63" s="165">
        <f t="shared" si="39"/>
        <v>133.7843608459261</v>
      </c>
      <c r="T63" s="165">
        <f t="shared" si="39"/>
        <v>135.35114547083657</v>
      </c>
      <c r="U63" s="165">
        <f t="shared" si="39"/>
        <v>138.94180886003375</v>
      </c>
      <c r="V63" s="165">
        <f t="shared" si="39"/>
        <v>148.28162055456437</v>
      </c>
      <c r="W63" s="165">
        <f t="shared" si="39"/>
        <v>160.6820658451071</v>
      </c>
      <c r="X63" s="165">
        <f t="shared" si="39"/>
        <v>173.03445516146533</v>
      </c>
      <c r="Y63" s="165">
        <f t="shared" si="39"/>
        <v>188.73097753159485</v>
      </c>
      <c r="Z63" s="165">
        <f t="shared" si="39"/>
        <v>200.52981316648814</v>
      </c>
      <c r="AA63" s="165">
        <f t="shared" si="39"/>
        <v>223.04203955388741</v>
      </c>
      <c r="AB63" s="165">
        <f t="shared" si="39"/>
        <v>261.65187263428527</v>
      </c>
      <c r="AC63" s="165">
        <f t="shared" si="39"/>
        <v>322.02222334308203</v>
      </c>
      <c r="AD63" s="165">
        <f t="shared" si="39"/>
        <v>372.46119611133975</v>
      </c>
      <c r="AE63" s="165">
        <f t="shared" si="39"/>
        <v>385.77272399356258</v>
      </c>
      <c r="AF63" s="165">
        <f t="shared" si="39"/>
        <v>444.21080046231208</v>
      </c>
      <c r="AG63" s="165">
        <f t="shared" si="39"/>
        <v>494.97141540963787</v>
      </c>
      <c r="AH63" s="165">
        <f t="shared" si="39"/>
        <v>539.18142660313254</v>
      </c>
      <c r="AI63" s="165">
        <f t="shared" si="39"/>
        <v>589.60174531812618</v>
      </c>
      <c r="AJ63" s="165">
        <f t="shared" si="39"/>
        <v>650.76891382891279</v>
      </c>
      <c r="AK63" s="165">
        <f t="shared" si="39"/>
        <v>708.71796957925073</v>
      </c>
      <c r="AL63" s="165">
        <f t="shared" si="39"/>
        <v>748.60118398768884</v>
      </c>
      <c r="AM63" s="165">
        <f t="shared" ref="AM63:BJ63" si="40">AL63*(1+AM34/100)/(AM62/AL62)</f>
        <v>768.3265378599184</v>
      </c>
      <c r="AN63" s="165">
        <f t="shared" si="40"/>
        <v>929.91716263051876</v>
      </c>
      <c r="AO63" s="165">
        <f t="shared" si="40"/>
        <v>1159.8843895766433</v>
      </c>
      <c r="AP63" s="165">
        <f t="shared" si="40"/>
        <v>1338.551555650555</v>
      </c>
      <c r="AQ63" s="165">
        <f t="shared" si="40"/>
        <v>1402.2167922640406</v>
      </c>
      <c r="AR63" s="165">
        <f t="shared" si="40"/>
        <v>1661.6306667970746</v>
      </c>
      <c r="AS63" s="165">
        <f t="shared" si="40"/>
        <v>3003.5146028500262</v>
      </c>
      <c r="AT63" s="165">
        <f t="shared" si="40"/>
        <v>19732.227753058571</v>
      </c>
      <c r="AU63" s="165">
        <f t="shared" si="40"/>
        <v>96974.103165063978</v>
      </c>
      <c r="AV63" s="165">
        <f t="shared" si="40"/>
        <v>176219.66600484206</v>
      </c>
      <c r="AW63" s="165">
        <f t="shared" si="40"/>
        <v>252041.30172363055</v>
      </c>
      <c r="AX63" s="165">
        <f t="shared" si="40"/>
        <v>308261.33126243838</v>
      </c>
      <c r="AY63" s="165">
        <f t="shared" si="40"/>
        <v>593818.60460087564</v>
      </c>
      <c r="AZ63" s="165">
        <f t="shared" si="40"/>
        <v>817703.61473254033</v>
      </c>
      <c r="BA63" s="165">
        <f t="shared" si="40"/>
        <v>1389110.9748635148</v>
      </c>
      <c r="BB63" s="165">
        <f t="shared" si="40"/>
        <v>1595210.3621630925</v>
      </c>
      <c r="BC63" s="165">
        <f t="shared" ca="1" si="40"/>
        <v>1791087.7820924069</v>
      </c>
      <c r="BD63" s="165">
        <f t="shared" ca="1" si="40"/>
        <v>1834964.5974472971</v>
      </c>
      <c r="BE63" s="165">
        <f t="shared" ca="1" si="40"/>
        <v>1697775.0974354725</v>
      </c>
      <c r="BF63" s="165">
        <f t="shared" ca="1" si="40"/>
        <v>1633757.1521485371</v>
      </c>
      <c r="BG63" s="165">
        <f t="shared" ca="1" si="40"/>
        <v>1679013.8959407415</v>
      </c>
      <c r="BH63" s="165">
        <f t="shared" ca="1" si="40"/>
        <v>1788301.7446159562</v>
      </c>
      <c r="BI63" s="165">
        <f t="shared" ca="1" si="40"/>
        <v>1897292.4115476378</v>
      </c>
      <c r="BJ63" s="165">
        <f t="shared" ca="1" si="40"/>
        <v>2000867.5828447551</v>
      </c>
      <c r="BK63" s="165">
        <f t="shared" ref="BK63:BP63" ca="1" si="41">BJ63*(1+BK34/100)/(BK62/BJ62)</f>
        <v>2230466.8872373998</v>
      </c>
      <c r="BL63" s="165">
        <f t="shared" ca="1" si="41"/>
        <v>2485720.0392947048</v>
      </c>
      <c r="BM63" s="165">
        <f t="shared" ca="1" si="41"/>
        <v>2558475.1301378454</v>
      </c>
      <c r="BN63" s="165">
        <f t="shared" ca="1" si="41"/>
        <v>2581042.2847890304</v>
      </c>
      <c r="BO63" s="165">
        <f t="shared" ca="1" si="41"/>
        <v>2668872.2208183245</v>
      </c>
      <c r="BP63" s="165">
        <f t="shared" ca="1" si="41"/>
        <v>3189751.6538929483</v>
      </c>
      <c r="BQ63" s="165">
        <f ca="1">BP63*(1+BQ34/100)/(BQ62/BP62)</f>
        <v>3901871.1950258333</v>
      </c>
      <c r="BR63" s="165">
        <f ca="1">BQ63*(1+BR34/100)/(BR62/BQ62)</f>
        <v>4190775.6936307275</v>
      </c>
      <c r="BS63" s="165">
        <f ca="1">BR63*(1+BS34/100)/(BS62/BR62)</f>
        <v>4299408.4906858997</v>
      </c>
      <c r="BT63" s="165">
        <f ca="1">BS63*(1+BT34/100)/(BT62/BS62)</f>
        <v>4359033.1451259116</v>
      </c>
      <c r="BU63" s="165">
        <f ca="1">BT63*(1+BU34/100)/(BU62/BT62)</f>
        <v>4429594.7120622443</v>
      </c>
      <c r="BV63" s="165">
        <f t="shared" ref="BV63:CD63" ca="1" si="42">BU63*(1+BV34/100)/(BV62/BU62)</f>
        <v>4505018.9694481818</v>
      </c>
      <c r="BW63" s="165">
        <f t="shared" ca="1" si="42"/>
        <v>4582825.6141761644</v>
      </c>
      <c r="BX63" s="165">
        <f t="shared" ca="1" si="42"/>
        <v>4659726.5792098446</v>
      </c>
      <c r="BY63" s="165">
        <f t="shared" ca="1" si="42"/>
        <v>4734867.2727181306</v>
      </c>
      <c r="BZ63" s="165">
        <f t="shared" ca="1" si="42"/>
        <v>4808911.8640062809</v>
      </c>
      <c r="CA63" s="165">
        <f t="shared" ca="1" si="42"/>
        <v>4882918.2651713146</v>
      </c>
      <c r="CB63" s="165">
        <f t="shared" ca="1" si="42"/>
        <v>4957065.0948805278</v>
      </c>
      <c r="CC63" s="165">
        <f t="shared" ca="1" si="42"/>
        <v>5030929.7479392402</v>
      </c>
      <c r="CD63" s="165">
        <f t="shared" ca="1" si="42"/>
        <v>5104457.5679004304</v>
      </c>
      <c r="CF63" s="165">
        <f t="shared" ca="1" si="12"/>
        <v>0</v>
      </c>
      <c r="CG63" s="165">
        <f t="shared" ca="1" si="13"/>
        <v>0</v>
      </c>
      <c r="CH63" s="165">
        <f t="shared" ca="1" si="14"/>
        <v>0</v>
      </c>
      <c r="CI63" s="165">
        <f t="shared" ca="1" si="15"/>
        <v>0</v>
      </c>
      <c r="CJ63" s="165">
        <f t="shared" ca="1" si="16"/>
        <v>0</v>
      </c>
      <c r="CK63" s="165">
        <f t="shared" ca="1" si="17"/>
        <v>0</v>
      </c>
      <c r="CL63" s="165">
        <f t="shared" ca="1" si="18"/>
        <v>0</v>
      </c>
      <c r="CM63" s="165">
        <f t="shared" ca="1" si="19"/>
        <v>30280.981334968004</v>
      </c>
      <c r="CN63" s="166"/>
      <c r="CO63" s="302">
        <v>1788301.7446159562</v>
      </c>
      <c r="CP63" s="302">
        <v>1897292.4115476378</v>
      </c>
      <c r="CQ63" s="302">
        <v>2000867.5828447551</v>
      </c>
      <c r="CR63" s="302">
        <v>2230466.8872373998</v>
      </c>
      <c r="CS63" s="302">
        <v>2485720.0392947048</v>
      </c>
      <c r="CT63" s="302">
        <v>2558475.1301378454</v>
      </c>
      <c r="CU63" s="302">
        <v>2581042.2847890304</v>
      </c>
      <c r="CV63" s="302">
        <v>2638591.2394833565</v>
      </c>
    </row>
    <row r="64" spans="1:100" s="165" customFormat="1">
      <c r="A64" s="165" t="s">
        <v>1857</v>
      </c>
      <c r="F64" s="165">
        <v>100</v>
      </c>
      <c r="G64" s="165">
        <f t="shared" ref="G64:AL64" si="43">F64*(1+G32/100)</f>
        <v>100.49999999999999</v>
      </c>
      <c r="H64" s="165">
        <f t="shared" si="43"/>
        <v>103.53729385614393</v>
      </c>
      <c r="I64" s="165">
        <f t="shared" si="43"/>
        <v>105.84387634800696</v>
      </c>
      <c r="J64" s="165">
        <f t="shared" si="43"/>
        <v>104.12258283424707</v>
      </c>
      <c r="K64" s="165">
        <f t="shared" si="43"/>
        <v>103.19014344089635</v>
      </c>
      <c r="L64" s="165">
        <f t="shared" si="43"/>
        <v>103.98016019385459</v>
      </c>
      <c r="M64" s="165">
        <f t="shared" si="43"/>
        <v>105.86788891153336</v>
      </c>
      <c r="N64" s="165">
        <f t="shared" si="43"/>
        <v>106.392707684428</v>
      </c>
      <c r="O64" s="165">
        <f t="shared" si="43"/>
        <v>106.7225676005408</v>
      </c>
      <c r="P64" s="165">
        <f t="shared" si="43"/>
        <v>109.13593753047832</v>
      </c>
      <c r="Q64" s="165">
        <f t="shared" si="43"/>
        <v>110.91357377179237</v>
      </c>
      <c r="R64" s="165">
        <f t="shared" si="43"/>
        <v>112.20239181338694</v>
      </c>
      <c r="S64" s="165">
        <f t="shared" si="43"/>
        <v>113.70606507672525</v>
      </c>
      <c r="T64" s="165">
        <f t="shared" si="43"/>
        <v>114.1428804787475</v>
      </c>
      <c r="U64" s="165">
        <f t="shared" si="43"/>
        <v>116.83396198368051</v>
      </c>
      <c r="V64" s="165">
        <f t="shared" si="43"/>
        <v>121.97196113511787</v>
      </c>
      <c r="W64" s="165">
        <f t="shared" si="43"/>
        <v>130.27279672063392</v>
      </c>
      <c r="X64" s="165">
        <f t="shared" si="43"/>
        <v>131.65640009235383</v>
      </c>
      <c r="Y64" s="165">
        <f t="shared" si="43"/>
        <v>162.28232078134056</v>
      </c>
      <c r="Z64" s="165">
        <f t="shared" si="43"/>
        <v>245.72591855142525</v>
      </c>
      <c r="AA64" s="165">
        <f t="shared" si="43"/>
        <v>269.49994147818518</v>
      </c>
      <c r="AB64" s="165">
        <f t="shared" si="43"/>
        <v>275.51966924524322</v>
      </c>
      <c r="AC64" s="165">
        <f t="shared" si="43"/>
        <v>298.09985323751687</v>
      </c>
      <c r="AD64" s="165">
        <f t="shared" si="43"/>
        <v>323.26492944251743</v>
      </c>
      <c r="AE64" s="165">
        <f t="shared" si="43"/>
        <v>393.59465880595934</v>
      </c>
      <c r="AF64" s="165">
        <f t="shared" si="43"/>
        <v>510.66115044083654</v>
      </c>
      <c r="AG64" s="165">
        <f t="shared" si="43"/>
        <v>536.81103802567338</v>
      </c>
      <c r="AH64" s="165">
        <f t="shared" si="43"/>
        <v>529.17407926461271</v>
      </c>
      <c r="AI64" s="165">
        <f t="shared" si="43"/>
        <v>498.48643275674937</v>
      </c>
      <c r="AJ64" s="165">
        <f t="shared" si="43"/>
        <v>491.3580770297944</v>
      </c>
      <c r="AK64" s="165">
        <f t="shared" si="43"/>
        <v>512.48647527926676</v>
      </c>
      <c r="AL64" s="165">
        <f t="shared" si="43"/>
        <v>524.42740976227753</v>
      </c>
      <c r="AM64" s="165">
        <f t="shared" ref="AM64:BJ64" si="44">AL64*(1+AM32/100)</f>
        <v>873.6436027178728</v>
      </c>
      <c r="AN64" s="165">
        <f t="shared" si="44"/>
        <v>979.35448197942128</v>
      </c>
      <c r="AO64" s="165">
        <f t="shared" si="44"/>
        <v>1185.0189231950997</v>
      </c>
      <c r="AP64" s="165">
        <f t="shared" si="44"/>
        <v>1741.9778170967966</v>
      </c>
      <c r="AQ64" s="165">
        <f t="shared" si="44"/>
        <v>2409.2650705932747</v>
      </c>
      <c r="AR64" s="165">
        <f t="shared" si="44"/>
        <v>3141.3832755475314</v>
      </c>
      <c r="AS64" s="165">
        <f t="shared" si="44"/>
        <v>17263.356031676169</v>
      </c>
      <c r="AT64" s="165">
        <f t="shared" si="44"/>
        <v>90892.596432694467</v>
      </c>
      <c r="AU64" s="165">
        <f t="shared" si="44"/>
        <v>193655.18544038569</v>
      </c>
      <c r="AV64" s="165">
        <f t="shared" si="44"/>
        <v>182035.87431396253</v>
      </c>
      <c r="AW64" s="165">
        <f t="shared" si="44"/>
        <v>182069.92729288264</v>
      </c>
      <c r="AX64" s="165">
        <f t="shared" si="44"/>
        <v>182069.92729288264</v>
      </c>
      <c r="AY64" s="165">
        <f t="shared" si="44"/>
        <v>394095.14363884099</v>
      </c>
      <c r="AZ64" s="165">
        <f t="shared" si="44"/>
        <v>627969.01045173139</v>
      </c>
      <c r="BA64" s="165">
        <f t="shared" si="44"/>
        <v>1006469.8814340611</v>
      </c>
      <c r="BB64" s="165">
        <f t="shared" si="44"/>
        <v>1102105.2570871271</v>
      </c>
      <c r="BC64" s="165">
        <f t="shared" si="44"/>
        <v>1390262.0887671229</v>
      </c>
      <c r="BD64" s="165">
        <f t="shared" si="44"/>
        <v>1655626.8219139772</v>
      </c>
      <c r="BE64" s="165">
        <f t="shared" si="44"/>
        <v>1831861.5974309081</v>
      </c>
      <c r="BF64" s="165">
        <f t="shared" si="44"/>
        <v>1983267.9571829033</v>
      </c>
      <c r="BG64" s="165">
        <f t="shared" si="44"/>
        <v>2158580.7773224525</v>
      </c>
      <c r="BH64" s="165">
        <f t="shared" si="44"/>
        <v>2469338.4689600677</v>
      </c>
      <c r="BI64" s="165">
        <f t="shared" si="44"/>
        <v>2461943.8123307447</v>
      </c>
      <c r="BJ64" s="165">
        <f t="shared" si="44"/>
        <v>2775368.5648335381</v>
      </c>
      <c r="BK64" s="165">
        <f t="shared" ref="BK64:BP64" si="45">BJ64*(1+BK32/100)</f>
        <v>3257005.6461545969</v>
      </c>
      <c r="BL64" s="165">
        <f t="shared" si="45"/>
        <v>3382946.0073872241</v>
      </c>
      <c r="BM64" s="165">
        <f t="shared" si="45"/>
        <v>3466456.1391293057</v>
      </c>
      <c r="BN64" s="165">
        <f t="shared" si="45"/>
        <v>3464749.0870625456</v>
      </c>
      <c r="BO64" s="165">
        <f t="shared" si="45"/>
        <v>3109828.697092386</v>
      </c>
      <c r="BP64" s="165">
        <f t="shared" si="45"/>
        <v>3955592.0710104369</v>
      </c>
      <c r="BQ64" s="165">
        <f>BP64*(1+BQ32/100)</f>
        <v>4136154.2986501437</v>
      </c>
      <c r="BR64" s="165">
        <f>BQ64*(1+BR32/100)</f>
        <v>4293623.9542487022</v>
      </c>
      <c r="BS64" s="165">
        <f>BR64*(1+BS32/100)</f>
        <v>4434775.9549762495</v>
      </c>
      <c r="BT64" s="165">
        <f>BS64*(1+BT32/100)</f>
        <v>4646150.8594329953</v>
      </c>
      <c r="BU64" s="165">
        <f>BT64*(1+BU32/100)</f>
        <v>4867600.5344503513</v>
      </c>
      <c r="BV64" s="165">
        <f t="shared" ref="BV64:CD64" si="46">BU64*(1+BV32/100)</f>
        <v>5099605.1742221834</v>
      </c>
      <c r="BW64" s="165">
        <f t="shared" si="46"/>
        <v>5342667.8604575042</v>
      </c>
      <c r="BX64" s="165">
        <f t="shared" si="46"/>
        <v>5597315.6532690302</v>
      </c>
      <c r="BY64" s="165">
        <f t="shared" si="46"/>
        <v>5864100.7340567978</v>
      </c>
      <c r="BZ64" s="165">
        <f t="shared" si="46"/>
        <v>6143601.6028650906</v>
      </c>
      <c r="CA64" s="165">
        <f t="shared" si="46"/>
        <v>6436424.3328090366</v>
      </c>
      <c r="CB64" s="165">
        <f t="shared" si="46"/>
        <v>6743203.8842909932</v>
      </c>
      <c r="CC64" s="165">
        <f t="shared" si="46"/>
        <v>7064605.4818564774</v>
      </c>
      <c r="CD64" s="165">
        <f t="shared" si="46"/>
        <v>7401326.0566752357</v>
      </c>
      <c r="CF64" s="165">
        <f t="shared" si="12"/>
        <v>0</v>
      </c>
      <c r="CG64" s="165">
        <f t="shared" si="13"/>
        <v>0</v>
      </c>
      <c r="CH64" s="165">
        <f t="shared" si="14"/>
        <v>0</v>
      </c>
      <c r="CI64" s="165">
        <f t="shared" si="15"/>
        <v>0</v>
      </c>
      <c r="CJ64" s="165">
        <f t="shared" si="16"/>
        <v>0</v>
      </c>
      <c r="CK64" s="165">
        <f t="shared" si="17"/>
        <v>0</v>
      </c>
      <c r="CL64" s="165">
        <f t="shared" si="18"/>
        <v>0</v>
      </c>
      <c r="CM64" s="165">
        <f t="shared" si="19"/>
        <v>0</v>
      </c>
      <c r="CN64" s="166"/>
      <c r="CO64" s="302">
        <v>2469338.4689600677</v>
      </c>
      <c r="CP64" s="302">
        <v>2461943.8123307447</v>
      </c>
      <c r="CQ64" s="302">
        <v>2775368.5648335381</v>
      </c>
      <c r="CR64" s="302">
        <v>3257005.6461545969</v>
      </c>
      <c r="CS64" s="302">
        <v>3382946.0073872241</v>
      </c>
      <c r="CT64" s="302">
        <v>3466456.1391293057</v>
      </c>
      <c r="CU64" s="302">
        <v>3464749.0870625456</v>
      </c>
      <c r="CV64" s="302">
        <v>3109828.697092386</v>
      </c>
    </row>
    <row r="65" spans="1:100" s="165" customFormat="1">
      <c r="A65" s="165" t="s">
        <v>661</v>
      </c>
      <c r="F65" s="165">
        <f t="shared" ref="F65:AK65" si="47">0.666*F64+0.333*F63</f>
        <v>99.9</v>
      </c>
      <c r="G65" s="165">
        <f t="shared" si="47"/>
        <v>100.3120238536801</v>
      </c>
      <c r="H65" s="165">
        <f t="shared" si="47"/>
        <v>102.07867022441442</v>
      </c>
      <c r="I65" s="165">
        <f t="shared" si="47"/>
        <v>107.84546538005266</v>
      </c>
      <c r="J65" s="165">
        <f t="shared" si="47"/>
        <v>104.0333401415502</v>
      </c>
      <c r="K65" s="165">
        <f t="shared" si="47"/>
        <v>106.57787861657643</v>
      </c>
      <c r="L65" s="165">
        <f t="shared" si="47"/>
        <v>109.79519107009261</v>
      </c>
      <c r="M65" s="165">
        <f t="shared" si="47"/>
        <v>111.49855589110383</v>
      </c>
      <c r="N65" s="165">
        <f t="shared" si="47"/>
        <v>114.30487314090075</v>
      </c>
      <c r="O65" s="165">
        <f t="shared" si="47"/>
        <v>116.19756108939512</v>
      </c>
      <c r="P65" s="165">
        <f t="shared" si="47"/>
        <v>118.94268438923065</v>
      </c>
      <c r="Q65" s="165">
        <f t="shared" si="47"/>
        <v>118.17522278519093</v>
      </c>
      <c r="R65" s="165">
        <f t="shared" si="47"/>
        <v>120.27509746085727</v>
      </c>
      <c r="S65" s="165">
        <f t="shared" si="47"/>
        <v>120.27843150279242</v>
      </c>
      <c r="T65" s="165">
        <f t="shared" si="47"/>
        <v>121.09108984063442</v>
      </c>
      <c r="U65" s="165">
        <f t="shared" si="47"/>
        <v>124.07904103152248</v>
      </c>
      <c r="V65" s="165">
        <f t="shared" si="47"/>
        <v>130.61110576065843</v>
      </c>
      <c r="W65" s="165">
        <f t="shared" si="47"/>
        <v>140.26881054236287</v>
      </c>
      <c r="X65" s="165">
        <f t="shared" si="47"/>
        <v>145.30363603027561</v>
      </c>
      <c r="Y65" s="165">
        <f t="shared" si="47"/>
        <v>170.92744115839392</v>
      </c>
      <c r="Z65" s="165">
        <f t="shared" si="47"/>
        <v>230.42988953968978</v>
      </c>
      <c r="AA65" s="165">
        <f t="shared" si="47"/>
        <v>253.75996019591582</v>
      </c>
      <c r="AB65" s="165">
        <f t="shared" si="47"/>
        <v>270.62617330454896</v>
      </c>
      <c r="AC65" s="165">
        <f t="shared" si="47"/>
        <v>305.76790262943257</v>
      </c>
      <c r="AD65" s="165">
        <f t="shared" si="47"/>
        <v>339.32402131379274</v>
      </c>
      <c r="AE65" s="165">
        <f t="shared" si="47"/>
        <v>390.59635985462529</v>
      </c>
      <c r="AF65" s="165">
        <f t="shared" si="47"/>
        <v>488.0225227475471</v>
      </c>
      <c r="AG65" s="165">
        <f t="shared" si="47"/>
        <v>522.34163265650795</v>
      </c>
      <c r="AH65" s="165">
        <f t="shared" si="47"/>
        <v>531.97735184907526</v>
      </c>
      <c r="AI65" s="165">
        <f t="shared" si="47"/>
        <v>528.32934540693111</v>
      </c>
      <c r="AJ65" s="165">
        <f t="shared" si="47"/>
        <v>543.95052760687111</v>
      </c>
      <c r="AK65" s="165">
        <f t="shared" si="47"/>
        <v>577.31907640588213</v>
      </c>
      <c r="AL65" s="165">
        <f t="shared" ref="AL65:BJ65" si="48">0.666*AL64+0.333*AL63</f>
        <v>598.55284916957726</v>
      </c>
      <c r="AM65" s="165">
        <f t="shared" si="48"/>
        <v>837.69937651745613</v>
      </c>
      <c r="AN65" s="165">
        <f t="shared" si="48"/>
        <v>961.91250015425737</v>
      </c>
      <c r="AO65" s="165">
        <f t="shared" si="48"/>
        <v>1175.4641045769586</v>
      </c>
      <c r="AP65" s="165">
        <f t="shared" si="48"/>
        <v>1605.8948942181014</v>
      </c>
      <c r="AQ65" s="165">
        <f t="shared" si="48"/>
        <v>2071.5087288390469</v>
      </c>
      <c r="AR65" s="165">
        <f t="shared" si="48"/>
        <v>2645.4842735580819</v>
      </c>
      <c r="AS65" s="165">
        <f t="shared" si="48"/>
        <v>12497.565479845387</v>
      </c>
      <c r="AT65" s="165">
        <f t="shared" si="48"/>
        <v>67105.301065943029</v>
      </c>
      <c r="AU65" s="165">
        <f t="shared" si="48"/>
        <v>161266.72985726318</v>
      </c>
      <c r="AV65" s="165">
        <f t="shared" si="48"/>
        <v>179917.04107271146</v>
      </c>
      <c r="AW65" s="165">
        <f t="shared" si="48"/>
        <v>205188.32505102881</v>
      </c>
      <c r="AX65" s="165">
        <f t="shared" si="48"/>
        <v>223909.59488745185</v>
      </c>
      <c r="AY65" s="165">
        <f t="shared" si="48"/>
        <v>460208.9609955597</v>
      </c>
      <c r="AZ65" s="165">
        <f t="shared" si="48"/>
        <v>690522.66466678912</v>
      </c>
      <c r="BA65" s="165">
        <f t="shared" si="48"/>
        <v>1132882.8956646351</v>
      </c>
      <c r="BB65" s="165">
        <f t="shared" si="48"/>
        <v>1265207.1518203365</v>
      </c>
      <c r="BC65" s="165">
        <f t="shared" ca="1" si="48"/>
        <v>1522346.7825556756</v>
      </c>
      <c r="BD65" s="165">
        <f t="shared" ca="1" si="48"/>
        <v>1713690.6743446589</v>
      </c>
      <c r="BE65" s="165">
        <f t="shared" ca="1" si="48"/>
        <v>1785378.9313349975</v>
      </c>
      <c r="BF65" s="165">
        <f t="shared" ca="1" si="48"/>
        <v>1864897.5911492766</v>
      </c>
      <c r="BG65" s="165">
        <f t="shared" ca="1" si="48"/>
        <v>1996726.4250450204</v>
      </c>
      <c r="BH65" s="165">
        <f t="shared" ca="1" si="48"/>
        <v>2240083.9012845187</v>
      </c>
      <c r="BI65" s="165">
        <f t="shared" ca="1" si="48"/>
        <v>2271452.9520576396</v>
      </c>
      <c r="BJ65" s="165">
        <f t="shared" ca="1" si="48"/>
        <v>2514684.3692664402</v>
      </c>
      <c r="BK65" s="165">
        <f t="shared" ref="BK65:BP65" ca="1" si="49">0.666*BK64+0.333*BK63</f>
        <v>2911911.2337890156</v>
      </c>
      <c r="BL65" s="165">
        <f t="shared" ca="1" si="49"/>
        <v>3080786.8140050285</v>
      </c>
      <c r="BM65" s="165">
        <f t="shared" ca="1" si="49"/>
        <v>3160632.0069960207</v>
      </c>
      <c r="BN65" s="165">
        <f t="shared" ca="1" si="49"/>
        <v>3167009.9728184026</v>
      </c>
      <c r="BO65" s="165">
        <f t="shared" ca="1" si="49"/>
        <v>2959880.3617960312</v>
      </c>
      <c r="BP65" s="165">
        <f t="shared" ca="1" si="49"/>
        <v>3696611.6200393029</v>
      </c>
      <c r="BQ65" s="165">
        <f ca="1">0.666*BQ64+0.333*BQ63</f>
        <v>4054001.8708445989</v>
      </c>
      <c r="BR65" s="165">
        <f ca="1">0.666*BR64+0.333*BR63</f>
        <v>4255081.8595086681</v>
      </c>
      <c r="BS65" s="165">
        <f ca="1">0.666*BS64+0.333*BS63</f>
        <v>4385263.8134125872</v>
      </c>
      <c r="BT65" s="165">
        <f ca="1">0.666*BT64+0.333*BT63</f>
        <v>4545894.5097093042</v>
      </c>
      <c r="BU65" s="165">
        <f ca="1">0.666*BU64+0.333*BU63</f>
        <v>4716876.9950606618</v>
      </c>
      <c r="BV65" s="165">
        <f t="shared" ref="BV65:CD65" ca="1" si="50">0.666*BV64+0.333*BV63</f>
        <v>4896508.3628582191</v>
      </c>
      <c r="BW65" s="165">
        <f t="shared" ca="1" si="50"/>
        <v>5084297.7245853608</v>
      </c>
      <c r="BX65" s="165">
        <f t="shared" ca="1" si="50"/>
        <v>5279501.1759540522</v>
      </c>
      <c r="BY65" s="165">
        <f t="shared" ca="1" si="50"/>
        <v>5482201.8906969652</v>
      </c>
      <c r="BZ65" s="165">
        <f t="shared" ca="1" si="50"/>
        <v>5693006.3182222424</v>
      </c>
      <c r="CA65" s="165">
        <f t="shared" ca="1" si="50"/>
        <v>5912670.387952867</v>
      </c>
      <c r="CB65" s="165">
        <f t="shared" ca="1" si="50"/>
        <v>6141676.4635330178</v>
      </c>
      <c r="CC65" s="165">
        <f t="shared" ca="1" si="50"/>
        <v>6380326.8569801813</v>
      </c>
      <c r="CD65" s="165">
        <f t="shared" ca="1" si="50"/>
        <v>6629067.5238565505</v>
      </c>
      <c r="CF65" s="165">
        <f t="shared" ca="1" si="12"/>
        <v>0</v>
      </c>
      <c r="CG65" s="165">
        <f t="shared" ca="1" si="13"/>
        <v>0</v>
      </c>
      <c r="CH65" s="165">
        <f t="shared" ca="1" si="14"/>
        <v>0</v>
      </c>
      <c r="CI65" s="165">
        <f t="shared" ca="1" si="15"/>
        <v>0</v>
      </c>
      <c r="CJ65" s="165">
        <f t="shared" ca="1" si="16"/>
        <v>0</v>
      </c>
      <c r="CK65" s="165">
        <f t="shared" ca="1" si="17"/>
        <v>0</v>
      </c>
      <c r="CL65" s="165">
        <f t="shared" ca="1" si="18"/>
        <v>0</v>
      </c>
      <c r="CM65" s="165">
        <f t="shared" ca="1" si="19"/>
        <v>10083.566784544382</v>
      </c>
      <c r="CN65" s="166"/>
      <c r="CO65" s="302">
        <v>2240083.9012845187</v>
      </c>
      <c r="CP65" s="302">
        <v>2271452.9520576396</v>
      </c>
      <c r="CQ65" s="302">
        <v>2514684.3692664402</v>
      </c>
      <c r="CR65" s="302">
        <v>2911911.2337890156</v>
      </c>
      <c r="CS65" s="302">
        <v>3080786.8140050285</v>
      </c>
      <c r="CT65" s="302">
        <v>3160632.0069960207</v>
      </c>
      <c r="CU65" s="302">
        <v>3167009.9728184026</v>
      </c>
      <c r="CV65" s="302">
        <v>2949796.7950114869</v>
      </c>
    </row>
    <row r="66" spans="1:100" s="165" customFormat="1">
      <c r="A66" s="165" t="s">
        <v>660</v>
      </c>
      <c r="F66" s="165">
        <f t="shared" ref="F66:AK66" si="51">F65*(1+0.25*F38/100)/(1+0.25*$F$38/100)</f>
        <v>99.9</v>
      </c>
      <c r="G66" s="165">
        <f t="shared" si="51"/>
        <v>100.3120238536801</v>
      </c>
      <c r="H66" s="165">
        <f t="shared" si="51"/>
        <v>102.33134020021743</v>
      </c>
      <c r="I66" s="165">
        <f t="shared" si="51"/>
        <v>108.37935382252816</v>
      </c>
      <c r="J66" s="165">
        <f t="shared" si="51"/>
        <v>104.80586494458151</v>
      </c>
      <c r="K66" s="165">
        <f t="shared" si="51"/>
        <v>107.36929850729358</v>
      </c>
      <c r="L66" s="165">
        <f t="shared" si="51"/>
        <v>110.61050189487054</v>
      </c>
      <c r="M66" s="165">
        <f t="shared" si="51"/>
        <v>112.32651546455264</v>
      </c>
      <c r="N66" s="165">
        <f t="shared" si="51"/>
        <v>115.4366045581374</v>
      </c>
      <c r="O66" s="165">
        <f t="shared" si="51"/>
        <v>117.34803199127033</v>
      </c>
      <c r="P66" s="165">
        <f t="shared" si="51"/>
        <v>120.12033472971808</v>
      </c>
      <c r="Q66" s="165">
        <f t="shared" si="51"/>
        <v>119.34527449593539</v>
      </c>
      <c r="R66" s="165">
        <f t="shared" si="51"/>
        <v>121.46594000997467</v>
      </c>
      <c r="S66" s="165">
        <f t="shared" si="51"/>
        <v>121.46930706222601</v>
      </c>
      <c r="T66" s="165">
        <f t="shared" si="51"/>
        <v>122.29001152222487</v>
      </c>
      <c r="U66" s="165">
        <f t="shared" si="51"/>
        <v>125.30754638827023</v>
      </c>
      <c r="V66" s="165">
        <f t="shared" si="51"/>
        <v>131.90428502561545</v>
      </c>
      <c r="W66" s="165">
        <f t="shared" si="51"/>
        <v>141.65761064674271</v>
      </c>
      <c r="X66" s="165">
        <f t="shared" si="51"/>
        <v>146.74228589196153</v>
      </c>
      <c r="Y66" s="165">
        <f t="shared" si="51"/>
        <v>172.83133592377206</v>
      </c>
      <c r="Z66" s="165">
        <f t="shared" si="51"/>
        <v>233.28174460825028</v>
      </c>
      <c r="AA66" s="165">
        <f t="shared" si="51"/>
        <v>256.90055376269692</v>
      </c>
      <c r="AB66" s="165">
        <f t="shared" si="51"/>
        <v>273.97550713257556</v>
      </c>
      <c r="AC66" s="165">
        <f t="shared" si="51"/>
        <v>309.55215885009386</v>
      </c>
      <c r="AD66" s="165">
        <f t="shared" si="51"/>
        <v>343.69155806159176</v>
      </c>
      <c r="AE66" s="165">
        <f t="shared" si="51"/>
        <v>395.81720191951212</v>
      </c>
      <c r="AF66" s="165">
        <f t="shared" si="51"/>
        <v>494.42479864765829</v>
      </c>
      <c r="AG66" s="165">
        <f t="shared" si="51"/>
        <v>529.32342626316051</v>
      </c>
      <c r="AH66" s="165">
        <f t="shared" si="51"/>
        <v>539.35129584236245</v>
      </c>
      <c r="AI66" s="165">
        <f t="shared" si="51"/>
        <v>535.39117279221762</v>
      </c>
      <c r="AJ66" s="165">
        <f t="shared" si="51"/>
        <v>551.22115295730782</v>
      </c>
      <c r="AK66" s="165">
        <f t="shared" si="51"/>
        <v>584.89281703723373</v>
      </c>
      <c r="AL66" s="165">
        <f t="shared" ref="AL66:BJ66" si="52">AL65*(1+0.25*AL38/100)/(1+0.25*$F$38/100)</f>
        <v>606.40515168136847</v>
      </c>
      <c r="AM66" s="165">
        <f t="shared" si="52"/>
        <v>849.10369971261946</v>
      </c>
      <c r="AN66" s="165">
        <f t="shared" si="52"/>
        <v>972.74988795573984</v>
      </c>
      <c r="AO66" s="165">
        <f t="shared" si="52"/>
        <v>1189.3178033015824</v>
      </c>
      <c r="AP66" s="165">
        <f t="shared" si="52"/>
        <v>1624.974834313515</v>
      </c>
      <c r="AQ66" s="165">
        <f t="shared" si="52"/>
        <v>2098.1717114995772</v>
      </c>
      <c r="AR66" s="165">
        <f t="shared" si="52"/>
        <v>2678.2254155575629</v>
      </c>
      <c r="AS66" s="165">
        <f t="shared" si="52"/>
        <v>12673.892517556078</v>
      </c>
      <c r="AT66" s="165">
        <f t="shared" si="52"/>
        <v>71789.383962130145</v>
      </c>
      <c r="AU66" s="165">
        <f t="shared" si="52"/>
        <v>175477.36248824972</v>
      </c>
      <c r="AV66" s="165">
        <f t="shared" si="52"/>
        <v>193678.02267951044</v>
      </c>
      <c r="AW66" s="165">
        <f t="shared" si="52"/>
        <v>217784.04401455732</v>
      </c>
      <c r="AX66" s="165">
        <f t="shared" si="52"/>
        <v>235936.42213759467</v>
      </c>
      <c r="AY66" s="165">
        <f t="shared" si="52"/>
        <v>488117.67273910233</v>
      </c>
      <c r="AZ66" s="165">
        <f t="shared" si="52"/>
        <v>733253.02757933794</v>
      </c>
      <c r="BA66" s="165">
        <f t="shared" si="52"/>
        <v>1187564.1245395371</v>
      </c>
      <c r="BB66" s="165">
        <f t="shared" si="52"/>
        <v>1318759.2367117419</v>
      </c>
      <c r="BC66" s="165">
        <f t="shared" ca="1" si="52"/>
        <v>1585652.2923253176</v>
      </c>
      <c r="BD66" s="165">
        <f t="shared" ca="1" si="52"/>
        <v>1777317.8033426041</v>
      </c>
      <c r="BE66" s="165">
        <f t="shared" ca="1" si="52"/>
        <v>1839735.7651355434</v>
      </c>
      <c r="BF66" s="165">
        <f t="shared" ca="1" si="52"/>
        <v>1917059.3307036993</v>
      </c>
      <c r="BG66" s="165">
        <f t="shared" ca="1" si="52"/>
        <v>2040713.7151017049</v>
      </c>
      <c r="BH66" s="165">
        <f t="shared" ca="1" si="52"/>
        <v>2282778.5697000897</v>
      </c>
      <c r="BI66" s="165">
        <f t="shared" ca="1" si="52"/>
        <v>2314183.2551161498</v>
      </c>
      <c r="BJ66" s="165">
        <f t="shared" ca="1" si="52"/>
        <v>2563235.2060988122</v>
      </c>
      <c r="BK66" s="165">
        <f t="shared" ref="BK66:BP66" ca="1" si="53">BK65*(1+0.25*BK38/100)/(1+0.25*$F$38/100)</f>
        <v>2968131.3021641499</v>
      </c>
      <c r="BL66" s="165">
        <f t="shared" ca="1" si="53"/>
        <v>3140267.3515031454</v>
      </c>
      <c r="BM66" s="165">
        <f t="shared" ca="1" si="53"/>
        <v>3223218.7794117834</v>
      </c>
      <c r="BN66" s="165">
        <f t="shared" ca="1" si="53"/>
        <v>3233642.6083851266</v>
      </c>
      <c r="BO66" s="165">
        <f t="shared" ca="1" si="53"/>
        <v>3022887.7160322838</v>
      </c>
      <c r="BP66" s="165">
        <f t="shared" ca="1" si="53"/>
        <v>3775301.8673965754</v>
      </c>
      <c r="BQ66" s="165">
        <f ca="1">BQ65*(1+0.25*BQ38/100)/(1+0.25*$F$38/100)</f>
        <v>4140299.9304714892</v>
      </c>
      <c r="BR66" s="165">
        <f ca="1">BR65*(1+0.25*BR38/100)/(1+0.25*$F$38/100)</f>
        <v>4345660.3347358331</v>
      </c>
      <c r="BS66" s="165">
        <f ca="1">BS65*(1+0.25*BS38/100)/(1+0.25*$F$38/100)</f>
        <v>4478613.4886485972</v>
      </c>
      <c r="BT66" s="165">
        <f ca="1">BT65*(1+0.25*BT38/100)/(1+0.25*$F$38/100)</f>
        <v>4642663.5512526212</v>
      </c>
      <c r="BU66" s="165">
        <f ca="1">BU65*(1+0.25*BU38/100)/(1+0.25*$F$38/100)</f>
        <v>4817285.7627773006</v>
      </c>
      <c r="BV66" s="165">
        <f t="shared" ref="BV66:CD66" ca="1" si="54">BV65*(1+0.25*BV38/100)/(1+0.25*$F$38/100)</f>
        <v>5000740.9666220332</v>
      </c>
      <c r="BW66" s="165">
        <f t="shared" ca="1" si="54"/>
        <v>5192527.8246631688</v>
      </c>
      <c r="BX66" s="165">
        <f t="shared" ca="1" si="54"/>
        <v>5391886.5970263425</v>
      </c>
      <c r="BY66" s="165">
        <f t="shared" ca="1" si="54"/>
        <v>5598902.2279741783</v>
      </c>
      <c r="BZ66" s="165">
        <f t="shared" ca="1" si="54"/>
        <v>5814194.0764814289</v>
      </c>
      <c r="CA66" s="165">
        <f t="shared" ca="1" si="54"/>
        <v>6038534.1635380024</v>
      </c>
      <c r="CB66" s="165">
        <f t="shared" ca="1" si="54"/>
        <v>6272415.1209250577</v>
      </c>
      <c r="CC66" s="165">
        <f t="shared" ca="1" si="54"/>
        <v>6516145.6960149081</v>
      </c>
      <c r="CD66" s="165">
        <f t="shared" ca="1" si="54"/>
        <v>6770181.3374832002</v>
      </c>
      <c r="CF66" s="165">
        <f t="shared" ca="1" si="12"/>
        <v>0</v>
      </c>
      <c r="CG66" s="165">
        <f t="shared" ca="1" si="13"/>
        <v>0</v>
      </c>
      <c r="CH66" s="165">
        <f t="shared" ca="1" si="14"/>
        <v>0</v>
      </c>
      <c r="CI66" s="165">
        <f t="shared" ca="1" si="15"/>
        <v>0</v>
      </c>
      <c r="CJ66" s="165">
        <f t="shared" ca="1" si="16"/>
        <v>0</v>
      </c>
      <c r="CK66" s="165">
        <f t="shared" ca="1" si="17"/>
        <v>0</v>
      </c>
      <c r="CL66" s="165">
        <f t="shared" ca="1" si="18"/>
        <v>0</v>
      </c>
      <c r="CM66" s="165">
        <f t="shared" ca="1" si="19"/>
        <v>10298.216968571767</v>
      </c>
      <c r="CN66" s="166"/>
      <c r="CO66" s="302">
        <v>2282778.5697000897</v>
      </c>
      <c r="CP66" s="302">
        <v>2314183.2551161498</v>
      </c>
      <c r="CQ66" s="302">
        <v>2563235.2060988122</v>
      </c>
      <c r="CR66" s="302">
        <v>2968131.3021641499</v>
      </c>
      <c r="CS66" s="302">
        <v>3140267.3515031454</v>
      </c>
      <c r="CT66" s="302">
        <v>3223218.7794117834</v>
      </c>
      <c r="CU66" s="302">
        <v>3233642.6083851266</v>
      </c>
      <c r="CV66" s="302">
        <v>3012589.4990637121</v>
      </c>
    </row>
    <row r="67" spans="1:100" s="165" customFormat="1">
      <c r="A67" s="165" t="s">
        <v>738</v>
      </c>
      <c r="F67" s="165">
        <v>100</v>
      </c>
      <c r="G67" s="165">
        <f t="shared" ref="G67:AL67" si="55">F67*G66/F66*(1+G37/100)/(1+F37/100)</f>
        <v>99.314743986250676</v>
      </c>
      <c r="H67" s="165">
        <f t="shared" si="55"/>
        <v>101.83591767238603</v>
      </c>
      <c r="I67" s="165">
        <f t="shared" si="55"/>
        <v>108.67559031202921</v>
      </c>
      <c r="J67" s="165">
        <f t="shared" si="55"/>
        <v>104.28458978871073</v>
      </c>
      <c r="K67" s="165">
        <f t="shared" si="55"/>
        <v>106.69769903591626</v>
      </c>
      <c r="L67" s="165">
        <f t="shared" si="55"/>
        <v>110.39587075703982</v>
      </c>
      <c r="M67" s="165">
        <f t="shared" si="55"/>
        <v>112.2731371946706</v>
      </c>
      <c r="N67" s="165">
        <f t="shared" si="55"/>
        <v>115.15795328673262</v>
      </c>
      <c r="O67" s="165">
        <f t="shared" si="55"/>
        <v>117.49144587078278</v>
      </c>
      <c r="P67" s="165">
        <f t="shared" si="55"/>
        <v>119.49055692663188</v>
      </c>
      <c r="Q67" s="165">
        <f t="shared" si="55"/>
        <v>118.58618222171383</v>
      </c>
      <c r="R67" s="165">
        <f t="shared" si="55"/>
        <v>121.64829597464551</v>
      </c>
      <c r="S67" s="165">
        <f t="shared" si="55"/>
        <v>121.72567522749502</v>
      </c>
      <c r="T67" s="165">
        <f t="shared" si="55"/>
        <v>122.88107868293474</v>
      </c>
      <c r="U67" s="165">
        <f t="shared" si="55"/>
        <v>126.97737371838453</v>
      </c>
      <c r="V67" s="165">
        <f t="shared" si="55"/>
        <v>134.24855355982677</v>
      </c>
      <c r="W67" s="165">
        <f t="shared" si="55"/>
        <v>145.06964727190541</v>
      </c>
      <c r="X67" s="165">
        <f t="shared" si="55"/>
        <v>149.83983854786155</v>
      </c>
      <c r="Y67" s="165">
        <f t="shared" si="55"/>
        <v>175.87674086549879</v>
      </c>
      <c r="Z67" s="165">
        <f t="shared" si="55"/>
        <v>241.75460718281741</v>
      </c>
      <c r="AA67" s="165">
        <f t="shared" si="55"/>
        <v>289.32489299110648</v>
      </c>
      <c r="AB67" s="165">
        <f t="shared" si="55"/>
        <v>295.6370621723355</v>
      </c>
      <c r="AC67" s="165">
        <f t="shared" si="55"/>
        <v>324.54747055303858</v>
      </c>
      <c r="AD67" s="165">
        <f t="shared" si="55"/>
        <v>370.36458383780302</v>
      </c>
      <c r="AE67" s="165">
        <f t="shared" si="55"/>
        <v>423.55113394892891</v>
      </c>
      <c r="AF67" s="165">
        <f t="shared" si="55"/>
        <v>528.88869970052554</v>
      </c>
      <c r="AG67" s="165">
        <f t="shared" si="55"/>
        <v>559.6445748555418</v>
      </c>
      <c r="AH67" s="165">
        <f t="shared" si="55"/>
        <v>562.31065967137624</v>
      </c>
      <c r="AI67" s="165">
        <f t="shared" si="55"/>
        <v>558.3958057278121</v>
      </c>
      <c r="AJ67" s="165">
        <f t="shared" si="55"/>
        <v>576.8248540125777</v>
      </c>
      <c r="AK67" s="165">
        <f t="shared" si="55"/>
        <v>602.55254079816882</v>
      </c>
      <c r="AL67" s="165">
        <f t="shared" si="55"/>
        <v>606.28547981352358</v>
      </c>
      <c r="AM67" s="165">
        <f t="shared" ref="AM67:BJ67" si="56">AL67*AM66/AL66*(1+AM37/100)/(1+AL37/100)</f>
        <v>831.22536287192941</v>
      </c>
      <c r="AN67" s="165">
        <f t="shared" si="56"/>
        <v>956.17238983066272</v>
      </c>
      <c r="AO67" s="165">
        <f t="shared" si="56"/>
        <v>1156.6902832678952</v>
      </c>
      <c r="AP67" s="165">
        <f t="shared" si="56"/>
        <v>1577.8771235986662</v>
      </c>
      <c r="AQ67" s="165">
        <f t="shared" si="56"/>
        <v>2019.643470226549</v>
      </c>
      <c r="AR67" s="165">
        <f t="shared" si="56"/>
        <v>2563.3501040009642</v>
      </c>
      <c r="AS67" s="165">
        <f t="shared" si="56"/>
        <v>11812.944528205919</v>
      </c>
      <c r="AT67" s="165">
        <f t="shared" si="56"/>
        <v>69810.546360898341</v>
      </c>
      <c r="AU67" s="165">
        <f t="shared" si="56"/>
        <v>176361.42046232068</v>
      </c>
      <c r="AV67" s="165">
        <f t="shared" si="56"/>
        <v>189254.81504693939</v>
      </c>
      <c r="AW67" s="165">
        <f t="shared" si="56"/>
        <v>206991.40159380692</v>
      </c>
      <c r="AX67" s="165">
        <f t="shared" si="56"/>
        <v>228968.58621067597</v>
      </c>
      <c r="AY67" s="165">
        <f t="shared" si="56"/>
        <v>484323.29175927484</v>
      </c>
      <c r="AZ67" s="165">
        <f t="shared" si="56"/>
        <v>723174.57677971816</v>
      </c>
      <c r="BA67" s="165">
        <f t="shared" si="56"/>
        <v>1202937.8471199793</v>
      </c>
      <c r="BB67" s="165">
        <f t="shared" si="56"/>
        <v>1326593.4359686689</v>
      </c>
      <c r="BC67" s="165">
        <f t="shared" ca="1" si="56"/>
        <v>1593535.965756149</v>
      </c>
      <c r="BD67" s="165">
        <f t="shared" ca="1" si="56"/>
        <v>1774272.60430677</v>
      </c>
      <c r="BE67" s="165">
        <f t="shared" ca="1" si="56"/>
        <v>1800546.2405536862</v>
      </c>
      <c r="BF67" s="165">
        <f t="shared" ca="1" si="56"/>
        <v>1886755.1588054646</v>
      </c>
      <c r="BG67" s="165">
        <f t="shared" ca="1" si="56"/>
        <v>2019247.6424902389</v>
      </c>
      <c r="BH67" s="165">
        <f t="shared" ca="1" si="56"/>
        <v>2248064.1283557392</v>
      </c>
      <c r="BI67" s="165">
        <f t="shared" ca="1" si="56"/>
        <v>2270262.2597539071</v>
      </c>
      <c r="BJ67" s="165">
        <f t="shared" ca="1" si="56"/>
        <v>2514545.6352833668</v>
      </c>
      <c r="BK67" s="165">
        <f t="shared" ref="BK67:BP67" ca="1" si="57">BJ67*BK66/BJ66*(1+BK37/100)/(1+BJ37/100)</f>
        <v>2918423.0658488241</v>
      </c>
      <c r="BL67" s="165">
        <f t="shared" ca="1" si="57"/>
        <v>3057802.4463468236</v>
      </c>
      <c r="BM67" s="165">
        <f t="shared" ca="1" si="57"/>
        <v>3125015.3433231022</v>
      </c>
      <c r="BN67" s="165">
        <f t="shared" ca="1" si="57"/>
        <v>3124661.2244925853</v>
      </c>
      <c r="BO67" s="165">
        <f t="shared" ca="1" si="57"/>
        <v>2913495.6830746192</v>
      </c>
      <c r="BP67" s="165">
        <f t="shared" ca="1" si="57"/>
        <v>3621876.4682710851</v>
      </c>
      <c r="BQ67" s="165">
        <f ca="1">BP67*BQ66/BP66*(1+BQ37/100)/(1+BP37/100)</f>
        <v>3976084.9806184503</v>
      </c>
      <c r="BR67" s="165">
        <f ca="1">BQ67*BR66/BQ66*(1+BR37/100)/(1+BQ37/100)</f>
        <v>4176850.7038706136</v>
      </c>
      <c r="BS67" s="165">
        <f ca="1">BR67*BS66/BR66*(1+BS37/100)/(1+BR37/100)</f>
        <v>4305157.6578355087</v>
      </c>
      <c r="BT67" s="165">
        <f ca="1">BS67*BT66/BS66*(1+BT37/100)/(1+BS37/100)</f>
        <v>4462402.2804443715</v>
      </c>
      <c r="BU67" s="165">
        <f ca="1">BT67*BU66/BT66*(1+BU37/100)/(1+BT37/100)</f>
        <v>4631327.3818289153</v>
      </c>
      <c r="BV67" s="165">
        <f t="shared" ref="BV67:CD67" ca="1" si="58">BU67*BV66/BU66*(1+BV37/100)/(1+BU37/100)</f>
        <v>4808815.1676334813</v>
      </c>
      <c r="BW67" s="165">
        <f t="shared" ca="1" si="58"/>
        <v>4994782.2427081764</v>
      </c>
      <c r="BX67" s="165">
        <f t="shared" ca="1" si="58"/>
        <v>5188228.7551623844</v>
      </c>
      <c r="BY67" s="165">
        <f t="shared" ca="1" si="58"/>
        <v>5389282.2443103008</v>
      </c>
      <c r="BZ67" s="165">
        <f t="shared" ca="1" si="58"/>
        <v>5598490.5272641554</v>
      </c>
      <c r="CA67" s="165">
        <f t="shared" ca="1" si="58"/>
        <v>5816869.4914342882</v>
      </c>
      <c r="CB67" s="165">
        <f t="shared" ca="1" si="58"/>
        <v>6045097.8535324521</v>
      </c>
      <c r="CC67" s="165">
        <f t="shared" ca="1" si="58"/>
        <v>6283164.0517793279</v>
      </c>
      <c r="CD67" s="165">
        <f t="shared" ca="1" si="58"/>
        <v>6531554.0974538922</v>
      </c>
      <c r="CF67" s="165">
        <f t="shared" ca="1" si="12"/>
        <v>-16.465982221532613</v>
      </c>
      <c r="CG67" s="165">
        <f t="shared" ca="1" si="13"/>
        <v>-15.671668893191963</v>
      </c>
      <c r="CH67" s="165">
        <f t="shared" ca="1" si="14"/>
        <v>-18.821501155849546</v>
      </c>
      <c r="CI67" s="165">
        <f t="shared" ca="1" si="15"/>
        <v>7245.5494349724613</v>
      </c>
      <c r="CJ67" s="165">
        <f t="shared" ca="1" si="16"/>
        <v>-596.67579194856808</v>
      </c>
      <c r="CK67" s="165">
        <f t="shared" ca="1" si="17"/>
        <v>96.28307473147288</v>
      </c>
      <c r="CL67" s="165">
        <f t="shared" ca="1" si="18"/>
        <v>6.1003988389857113</v>
      </c>
      <c r="CM67" s="165">
        <f t="shared" ca="1" si="19"/>
        <v>-2240.5858781714924</v>
      </c>
      <c r="CN67" s="166"/>
      <c r="CO67" s="302">
        <v>2248080.5943379607</v>
      </c>
      <c r="CP67" s="302">
        <v>2270277.9314228003</v>
      </c>
      <c r="CQ67" s="302">
        <v>2514564.4567845226</v>
      </c>
      <c r="CR67" s="302">
        <v>2911177.5164138516</v>
      </c>
      <c r="CS67" s="302">
        <v>3058399.1221387722</v>
      </c>
      <c r="CT67" s="302">
        <v>3124919.0602483707</v>
      </c>
      <c r="CU67" s="302">
        <v>3124655.1240937463</v>
      </c>
      <c r="CV67" s="302">
        <v>2915736.2689527906</v>
      </c>
    </row>
    <row r="68" spans="1:100" s="165" customFormat="1">
      <c r="A68" s="165" t="s">
        <v>737</v>
      </c>
      <c r="F68" s="165">
        <v>100</v>
      </c>
      <c r="G68" s="165">
        <f t="shared" ref="G68:AZ68" si="59">F68*G67/F67/( (1+$AY56/100)*(1+G41/100))</f>
        <v>97.435545185128035</v>
      </c>
      <c r="H68" s="165">
        <f t="shared" si="59"/>
        <v>99.822526161034446</v>
      </c>
      <c r="I68" s="165">
        <f t="shared" si="59"/>
        <v>112.07571881392178</v>
      </c>
      <c r="J68" s="165">
        <f t="shared" si="59"/>
        <v>103.54248804618695</v>
      </c>
      <c r="K68" s="165">
        <f t="shared" si="59"/>
        <v>102.78911948546434</v>
      </c>
      <c r="L68" s="165">
        <f t="shared" si="59"/>
        <v>108.58334872664378</v>
      </c>
      <c r="M68" s="165">
        <f t="shared" si="59"/>
        <v>103.58035265288184</v>
      </c>
      <c r="N68" s="165">
        <f t="shared" si="59"/>
        <v>100.84113566217408</v>
      </c>
      <c r="O68" s="165">
        <f t="shared" si="59"/>
        <v>108.5959768871691</v>
      </c>
      <c r="P68" s="165">
        <f t="shared" si="59"/>
        <v>102.13128065141699</v>
      </c>
      <c r="Q68" s="165">
        <f t="shared" si="59"/>
        <v>94.597891749926049</v>
      </c>
      <c r="R68" s="165">
        <f t="shared" si="59"/>
        <v>87.985584632839817</v>
      </c>
      <c r="S68" s="165">
        <f t="shared" si="59"/>
        <v>82.043952479234676</v>
      </c>
      <c r="T68" s="165">
        <f t="shared" si="59"/>
        <v>87.724586415287959</v>
      </c>
      <c r="U68" s="165">
        <f t="shared" si="59"/>
        <v>91.679842649851793</v>
      </c>
      <c r="V68" s="165">
        <f t="shared" si="59"/>
        <v>82.69019264269545</v>
      </c>
      <c r="W68" s="165">
        <f t="shared" si="59"/>
        <v>96.38294937168817</v>
      </c>
      <c r="X68" s="165">
        <f t="shared" si="59"/>
        <v>101.11301737996739</v>
      </c>
      <c r="Y68" s="165">
        <f t="shared" si="59"/>
        <v>105.53713323737352</v>
      </c>
      <c r="Z68" s="165">
        <f t="shared" si="59"/>
        <v>142.76441584984204</v>
      </c>
      <c r="AA68" s="165">
        <f t="shared" si="59"/>
        <v>167.01012839668911</v>
      </c>
      <c r="AB68" s="165">
        <f t="shared" si="59"/>
        <v>173.93252765391361</v>
      </c>
      <c r="AC68" s="165">
        <f t="shared" si="59"/>
        <v>164.35482525135609</v>
      </c>
      <c r="AD68" s="165">
        <f t="shared" si="59"/>
        <v>186.14659583174534</v>
      </c>
      <c r="AE68" s="165">
        <f t="shared" si="59"/>
        <v>212.49822885090947</v>
      </c>
      <c r="AF68" s="165">
        <f t="shared" si="59"/>
        <v>264.24778947296272</v>
      </c>
      <c r="AG68" s="165">
        <f t="shared" si="59"/>
        <v>274.51980041975463</v>
      </c>
      <c r="AH68" s="165">
        <f t="shared" si="59"/>
        <v>261.05762958760369</v>
      </c>
      <c r="AI68" s="165">
        <f t="shared" si="59"/>
        <v>290.30151409596158</v>
      </c>
      <c r="AJ68" s="165">
        <f t="shared" si="59"/>
        <v>269.00958877362262</v>
      </c>
      <c r="AK68" s="165">
        <f t="shared" si="59"/>
        <v>278.49832556276908</v>
      </c>
      <c r="AL68" s="165">
        <f t="shared" si="59"/>
        <v>276.48937850507826</v>
      </c>
      <c r="AM68" s="165">
        <f t="shared" si="59"/>
        <v>390.90077899840315</v>
      </c>
      <c r="AN68" s="165">
        <f t="shared" si="59"/>
        <v>445.71322894858167</v>
      </c>
      <c r="AO68" s="165">
        <f t="shared" si="59"/>
        <v>540.48101773018846</v>
      </c>
      <c r="AP68" s="165">
        <f t="shared" si="59"/>
        <v>720.28572070621681</v>
      </c>
      <c r="AQ68" s="165">
        <f t="shared" si="59"/>
        <v>897.9278897353596</v>
      </c>
      <c r="AR68" s="165">
        <f t="shared" si="59"/>
        <v>1129.0163184301643</v>
      </c>
      <c r="AS68" s="165">
        <f t="shared" si="59"/>
        <v>5267.0811795614045</v>
      </c>
      <c r="AT68" s="165">
        <f t="shared" si="59"/>
        <v>31249.973285188713</v>
      </c>
      <c r="AU68" s="165">
        <f t="shared" si="59"/>
        <v>80356.918208055897</v>
      </c>
      <c r="AV68" s="165">
        <f t="shared" si="59"/>
        <v>80823.669062465764</v>
      </c>
      <c r="AW68" s="165">
        <f t="shared" si="59"/>
        <v>81002.468634622011</v>
      </c>
      <c r="AX68" s="165">
        <f t="shared" si="59"/>
        <v>93624.926270530574</v>
      </c>
      <c r="AY68" s="165">
        <f t="shared" si="59"/>
        <v>181058.95877471668</v>
      </c>
      <c r="AZ68" s="165">
        <f t="shared" si="59"/>
        <v>254589.20985350205</v>
      </c>
      <c r="BA68" s="165">
        <f t="shared" ref="BA68:BJ68" si="60">AZ68*BA67/AZ67/( (1+BA56/100)*(1+BA41/100))</f>
        <v>431727.1375615201</v>
      </c>
      <c r="BB68" s="165">
        <f t="shared" si="60"/>
        <v>450841.86199920892</v>
      </c>
      <c r="BC68" s="165">
        <f t="shared" ca="1" si="60"/>
        <v>588569.90763320168</v>
      </c>
      <c r="BD68" s="165">
        <f t="shared" ca="1" si="60"/>
        <v>703699.02586159203</v>
      </c>
      <c r="BE68" s="165">
        <f t="shared" ca="1" si="60"/>
        <v>696498.17730813869</v>
      </c>
      <c r="BF68" s="165">
        <f t="shared" ca="1" si="60"/>
        <v>627051.66708307911</v>
      </c>
      <c r="BG68" s="165">
        <f t="shared" ca="1" si="60"/>
        <v>642409.4332181887</v>
      </c>
      <c r="BH68" s="165">
        <f t="shared" ca="1" si="60"/>
        <v>715969.25172138959</v>
      </c>
      <c r="BI68" s="165">
        <f t="shared" ca="1" si="60"/>
        <v>709507.68448651407</v>
      </c>
      <c r="BJ68" s="165">
        <f t="shared" ca="1" si="60"/>
        <v>766338.27540216711</v>
      </c>
      <c r="BK68" s="165">
        <f t="shared" ref="BK68:BP68" ca="1" si="61">BJ68*BK67/BJ67/( (1+BK56/100)*(1+BK41/100))</f>
        <v>867339.58153639582</v>
      </c>
      <c r="BL68" s="165">
        <f t="shared" ca="1" si="61"/>
        <v>886196.97306191083</v>
      </c>
      <c r="BM68" s="165">
        <f t="shared" ca="1" si="61"/>
        <v>883187.50065466249</v>
      </c>
      <c r="BN68" s="165">
        <f t="shared" ca="1" si="61"/>
        <v>861159.5450513456</v>
      </c>
      <c r="BO68" s="165">
        <f t="shared" ca="1" si="61"/>
        <v>783023.83500757825</v>
      </c>
      <c r="BP68" s="165">
        <f t="shared" ca="1" si="61"/>
        <v>949235.90770339151</v>
      </c>
      <c r="BQ68" s="165">
        <f ca="1">BP68*BQ67/BP67/( (1+BQ56/100)*(1+BQ41/100))</f>
        <v>1016192.7781485276</v>
      </c>
      <c r="BR68" s="165">
        <f ca="1">BQ68*BR67/BQ67/( (1+BR56/100)*(1+BR41/100))</f>
        <v>1040996.6213192018</v>
      </c>
      <c r="BS68" s="165">
        <f ca="1">BR68*BS67/BR67/( (1+BS56/100)*(1+BS41/100))</f>
        <v>1046331.6191462399</v>
      </c>
      <c r="BT68" s="165">
        <f ca="1">BS68*BT67/BS67/( (1+BT56/100)*(1+BT41/100))</f>
        <v>1057618.2337994999</v>
      </c>
      <c r="BU68" s="165">
        <f ca="1">BT68*BU67/BT67/( (1+BU56/100)*(1+BU41/100))</f>
        <v>1070398.8011880405</v>
      </c>
      <c r="BV68" s="165">
        <f t="shared" ref="BV68:CD68" ca="1" si="62">BU68*BV67/BU67/( (1+BV56/100)*(1+BV41/100))</f>
        <v>1083822.439992436</v>
      </c>
      <c r="BW68" s="165">
        <f t="shared" ca="1" si="62"/>
        <v>1097783.0841757148</v>
      </c>
      <c r="BX68" s="165">
        <f t="shared" ca="1" si="62"/>
        <v>1111985.216018761</v>
      </c>
      <c r="BY68" s="165">
        <f t="shared" ca="1" si="62"/>
        <v>1126395.0861952149</v>
      </c>
      <c r="BZ68" s="165">
        <f t="shared" ca="1" si="62"/>
        <v>1141065.7967569132</v>
      </c>
      <c r="CA68" s="165">
        <f t="shared" ca="1" si="62"/>
        <v>1156136.1515180909</v>
      </c>
      <c r="CB68" s="165">
        <f t="shared" ca="1" si="62"/>
        <v>1171663.5470418837</v>
      </c>
      <c r="CC68" s="165">
        <f t="shared" ca="1" si="62"/>
        <v>1187566.4059813807</v>
      </c>
      <c r="CD68" s="165">
        <f t="shared" ca="1" si="62"/>
        <v>1203859.915959188</v>
      </c>
      <c r="CF68" s="165">
        <f t="shared" ref="CF68:CF79" ca="1" si="63">BH68-CO68</f>
        <v>-5.2441284131491557</v>
      </c>
      <c r="CG68" s="165">
        <f t="shared" ref="CG68:CG79" ca="1" si="64">BI68-CP68</f>
        <v>-4.8977467076620087</v>
      </c>
      <c r="CH68" s="165">
        <f t="shared" ref="CH68:CH79" ca="1" si="65">BJ68-CQ68</f>
        <v>-5.7360807191580534</v>
      </c>
      <c r="CI68" s="165">
        <f t="shared" ref="CI68:CI79" ca="1" si="66">BK68-CR68</f>
        <v>2153.3381806325633</v>
      </c>
      <c r="CJ68" s="165">
        <f t="shared" ref="CJ68:CJ79" ca="1" si="67">BL68-CS68</f>
        <v>-172.92558626714163</v>
      </c>
      <c r="CK68" s="165">
        <f t="shared" ref="CK68:CK79" ca="1" si="68">BM68-CT68</f>
        <v>27.211388996918686</v>
      </c>
      <c r="CL68" s="165">
        <f t="shared" ref="CL68:CL79" ca="1" si="69">BN68-CU68</f>
        <v>1.6812756046419963</v>
      </c>
      <c r="CM68" s="165">
        <f t="shared" ref="CM68:CM79" ca="1" si="70">BO68-CV68</f>
        <v>-602.17427373619284</v>
      </c>
      <c r="CN68" s="166"/>
      <c r="CO68" s="302">
        <v>715974.49584980274</v>
      </c>
      <c r="CP68" s="302">
        <v>709512.58223322174</v>
      </c>
      <c r="CQ68" s="302">
        <v>766344.01148288627</v>
      </c>
      <c r="CR68" s="302">
        <v>865186.24335576326</v>
      </c>
      <c r="CS68" s="302">
        <v>886369.89864817797</v>
      </c>
      <c r="CT68" s="302">
        <v>883160.28926566557</v>
      </c>
      <c r="CU68" s="302">
        <v>861157.86377574096</v>
      </c>
      <c r="CV68" s="302">
        <v>783626.00928131444</v>
      </c>
    </row>
    <row r="69" spans="1:100" s="165" customFormat="1">
      <c r="A69" s="165" t="s">
        <v>140</v>
      </c>
      <c r="F69" s="165">
        <f t="shared" ref="F69:AX69" si="71">G69*F68/G68</f>
        <v>162.83095426433903</v>
      </c>
      <c r="G69" s="165">
        <f t="shared" si="71"/>
        <v>158.6552280176052</v>
      </c>
      <c r="H69" s="165">
        <f t="shared" si="71"/>
        <v>162.54197191878185</v>
      </c>
      <c r="I69" s="165">
        <f t="shared" si="71"/>
        <v>182.49396244332615</v>
      </c>
      <c r="J69" s="165">
        <f t="shared" si="71"/>
        <v>168.59922135464535</v>
      </c>
      <c r="K69" s="165">
        <f t="shared" si="71"/>
        <v>167.37250413809321</v>
      </c>
      <c r="L69" s="165">
        <f t="shared" si="71"/>
        <v>176.80730290376906</v>
      </c>
      <c r="M69" s="165">
        <f t="shared" si="71"/>
        <v>168.66087665505506</v>
      </c>
      <c r="N69" s="165">
        <f t="shared" si="71"/>
        <v>164.20058348971469</v>
      </c>
      <c r="O69" s="168">
        <f t="shared" si="71"/>
        <v>176.82786545805843</v>
      </c>
      <c r="P69" s="165">
        <f t="shared" si="71"/>
        <v>166.30133888709247</v>
      </c>
      <c r="Q69" s="165">
        <f t="shared" si="71"/>
        <v>154.03464985035097</v>
      </c>
      <c r="R69" s="165">
        <f t="shared" si="71"/>
        <v>143.26776707271065</v>
      </c>
      <c r="S69" s="165">
        <f t="shared" si="71"/>
        <v>133.59295073811862</v>
      </c>
      <c r="T69" s="165">
        <f t="shared" si="71"/>
        <v>142.84278118445806</v>
      </c>
      <c r="U69" s="165">
        <f t="shared" si="71"/>
        <v>149.2831626547981</v>
      </c>
      <c r="V69" s="165">
        <f t="shared" si="71"/>
        <v>134.64522976312122</v>
      </c>
      <c r="W69" s="165">
        <f t="shared" si="71"/>
        <v>156.94127621003454</v>
      </c>
      <c r="X69" s="165">
        <f t="shared" si="71"/>
        <v>164.6432910852678</v>
      </c>
      <c r="Y69" s="165">
        <f t="shared" si="71"/>
        <v>171.84712115364215</v>
      </c>
      <c r="Z69" s="165">
        <f t="shared" si="71"/>
        <v>232.46466067820697</v>
      </c>
      <c r="AA69" s="165">
        <f t="shared" si="71"/>
        <v>271.9441857864266</v>
      </c>
      <c r="AB69" s="165">
        <f t="shared" si="71"/>
        <v>283.21599455495277</v>
      </c>
      <c r="AC69" s="165">
        <f t="shared" si="71"/>
        <v>267.62053033626984</v>
      </c>
      <c r="AD69" s="165">
        <f t="shared" si="71"/>
        <v>303.1042783234131</v>
      </c>
      <c r="AE69" s="165">
        <f t="shared" si="71"/>
        <v>346.01289383275468</v>
      </c>
      <c r="AF69" s="165">
        <f t="shared" si="71"/>
        <v>430.27719722124658</v>
      </c>
      <c r="AG69" s="165">
        <f t="shared" si="71"/>
        <v>447.0032106680452</v>
      </c>
      <c r="AH69" s="165">
        <f t="shared" si="71"/>
        <v>425.08262943735832</v>
      </c>
      <c r="AI69" s="165">
        <f t="shared" si="71"/>
        <v>472.70072564627867</v>
      </c>
      <c r="AJ69" s="165">
        <f t="shared" si="71"/>
        <v>438.03088046266373</v>
      </c>
      <c r="AK69" s="165">
        <f t="shared" si="71"/>
        <v>453.48148112406233</v>
      </c>
      <c r="AL69" s="165">
        <f t="shared" si="71"/>
        <v>450.21029345935904</v>
      </c>
      <c r="AM69" s="165">
        <f t="shared" si="71"/>
        <v>636.50746866983457</v>
      </c>
      <c r="AN69" s="165">
        <f t="shared" si="71"/>
        <v>725.75910397937355</v>
      </c>
      <c r="AO69" s="165">
        <f t="shared" si="71"/>
        <v>880.07039878767705</v>
      </c>
      <c r="AP69" s="165">
        <f t="shared" si="71"/>
        <v>1172.8481124557043</v>
      </c>
      <c r="AQ69" s="165">
        <f t="shared" si="71"/>
        <v>1462.1045514617274</v>
      </c>
      <c r="AR69" s="165">
        <f t="shared" si="71"/>
        <v>1838.3880450999445</v>
      </c>
      <c r="AS69" s="165">
        <f t="shared" si="71"/>
        <v>8576.4385465572359</v>
      </c>
      <c r="AT69" s="165">
        <f t="shared" si="71"/>
        <v>50884.629707623782</v>
      </c>
      <c r="AU69" s="165">
        <f t="shared" si="71"/>
        <v>130845.93673559178</v>
      </c>
      <c r="AV69" s="165">
        <f t="shared" si="71"/>
        <v>131605.95160586431</v>
      </c>
      <c r="AW69" s="165">
        <f t="shared" si="71"/>
        <v>131897.09265542688</v>
      </c>
      <c r="AX69" s="165">
        <f t="shared" si="71"/>
        <v>152450.36087558873</v>
      </c>
      <c r="AY69" s="168">
        <f>AY47</f>
        <v>294820.03035394731</v>
      </c>
      <c r="AZ69" s="169">
        <f>AZ47</f>
        <v>322689.04635116312</v>
      </c>
      <c r="BA69" s="165">
        <f t="shared" ref="BA69:BJ69" si="72">AZ69*BA68/AZ68</f>
        <v>547209.43744555954</v>
      </c>
      <c r="BB69" s="165">
        <f t="shared" si="72"/>
        <v>571437.14216098085</v>
      </c>
      <c r="BC69" s="165">
        <f t="shared" ca="1" si="72"/>
        <v>746005.93762178055</v>
      </c>
      <c r="BD69" s="165">
        <f t="shared" ca="1" si="72"/>
        <v>891930.83911209623</v>
      </c>
      <c r="BE69" s="165">
        <f t="shared" ca="1" si="72"/>
        <v>882803.84211968607</v>
      </c>
      <c r="BF69" s="165">
        <f t="shared" ca="1" si="72"/>
        <v>794781.14795351971</v>
      </c>
      <c r="BG69" s="165">
        <f t="shared" ca="1" si="72"/>
        <v>814246.94900248956</v>
      </c>
      <c r="BH69" s="165">
        <f t="shared" ca="1" si="72"/>
        <v>907483.2165419563</v>
      </c>
      <c r="BI69" s="165">
        <f t="shared" ca="1" si="72"/>
        <v>899293.25055653322</v>
      </c>
      <c r="BJ69" s="165">
        <f t="shared" ca="1" si="72"/>
        <v>971325.40461639187</v>
      </c>
      <c r="BK69" s="165">
        <f t="shared" ref="BK69:BP69" ca="1" si="73">BJ69*BK68/BJ68</f>
        <v>1099343.4583879188</v>
      </c>
      <c r="BL69" s="165">
        <f t="shared" ca="1" si="73"/>
        <v>1123244.9964442272</v>
      </c>
      <c r="BM69" s="165">
        <f t="shared" ca="1" si="73"/>
        <v>1119430.5229962994</v>
      </c>
      <c r="BN69" s="165">
        <f t="shared" ca="1" si="73"/>
        <v>1091510.3295568747</v>
      </c>
      <c r="BO69" s="165">
        <f t="shared" ca="1" si="73"/>
        <v>992474.16940498573</v>
      </c>
      <c r="BP69" s="165">
        <f t="shared" ca="1" si="73"/>
        <v>1203146.1584540315</v>
      </c>
      <c r="BQ69" s="165">
        <f ca="1">BP69*BQ68/BP68</f>
        <v>1288013.2613569086</v>
      </c>
      <c r="BR69" s="165">
        <f ca="1">BQ69*BR68/BQ68</f>
        <v>1319451.8620077153</v>
      </c>
      <c r="BS69" s="165">
        <f ca="1">BR69*BS68/BR68</f>
        <v>1326213.9135576733</v>
      </c>
      <c r="BT69" s="165">
        <f ca="1">BS69*BT68/BS68</f>
        <v>1340519.5745127832</v>
      </c>
      <c r="BU69" s="165">
        <f ca="1">BT69*BU68/BT68</f>
        <v>1356718.8042633608</v>
      </c>
      <c r="BV69" s="165">
        <f t="shared" ref="BV69:CD69" ca="1" si="74">BU69*BV68/BU68</f>
        <v>1373733.120018712</v>
      </c>
      <c r="BW69" s="165">
        <f t="shared" ca="1" si="74"/>
        <v>1391428.0842339764</v>
      </c>
      <c r="BX69" s="165">
        <f t="shared" ca="1" si="74"/>
        <v>1409429.1314237737</v>
      </c>
      <c r="BY69" s="165">
        <f t="shared" ca="1" si="74"/>
        <v>1427693.4846850908</v>
      </c>
      <c r="BZ69" s="165">
        <f t="shared" ca="1" si="74"/>
        <v>1446288.4502893772</v>
      </c>
      <c r="CA69" s="165">
        <f t="shared" ca="1" si="74"/>
        <v>1465389.9605570608</v>
      </c>
      <c r="CB69" s="165">
        <f t="shared" ca="1" si="74"/>
        <v>1485070.7650058165</v>
      </c>
      <c r="CC69" s="165">
        <f t="shared" ca="1" si="74"/>
        <v>1505227.4652383057</v>
      </c>
      <c r="CD69" s="165">
        <f t="shared" ca="1" si="74"/>
        <v>1525879.3114005104</v>
      </c>
      <c r="CF69" s="165">
        <f t="shared" ca="1" si="63"/>
        <v>-6.6468755587702617</v>
      </c>
      <c r="CG69" s="165">
        <f t="shared" ca="1" si="64"/>
        <v>-6.2078405255451798</v>
      </c>
      <c r="CH69" s="165">
        <f t="shared" ca="1" si="65"/>
        <v>-7.270419740350917</v>
      </c>
      <c r="CI69" s="165">
        <f t="shared" ca="1" si="66"/>
        <v>2729.3326546705794</v>
      </c>
      <c r="CJ69" s="165">
        <f t="shared" ca="1" si="67"/>
        <v>-219.18129426729865</v>
      </c>
      <c r="CK69" s="165">
        <f t="shared" ca="1" si="68"/>
        <v>34.490138723747805</v>
      </c>
      <c r="CL69" s="165">
        <f t="shared" ca="1" si="69"/>
        <v>2.130998489446938</v>
      </c>
      <c r="CM69" s="165">
        <f t="shared" ca="1" si="70"/>
        <v>-763.2493232563138</v>
      </c>
      <c r="CN69" s="166"/>
      <c r="CO69" s="302">
        <v>907489.86341751507</v>
      </c>
      <c r="CP69" s="302">
        <v>899299.45839705877</v>
      </c>
      <c r="CQ69" s="302">
        <v>971332.67503613222</v>
      </c>
      <c r="CR69" s="302">
        <v>1096614.1257332482</v>
      </c>
      <c r="CS69" s="302">
        <v>1123464.1777384945</v>
      </c>
      <c r="CT69" s="302">
        <v>1119396.0328575757</v>
      </c>
      <c r="CU69" s="302">
        <v>1091508.1985583853</v>
      </c>
      <c r="CV69" s="302">
        <v>993237.41872824205</v>
      </c>
    </row>
    <row r="70" spans="1:100" s="165" customFormat="1">
      <c r="A70" s="165" t="s">
        <v>139</v>
      </c>
      <c r="F70" s="165">
        <f t="shared" ref="F70:AX70" si="75">G70*F67/G67</f>
        <v>60.872569081497502</v>
      </c>
      <c r="G70" s="165">
        <f t="shared" si="75"/>
        <v>60.455436141142826</v>
      </c>
      <c r="H70" s="165">
        <f t="shared" si="75"/>
        <v>61.990139334900107</v>
      </c>
      <c r="I70" s="165">
        <f t="shared" si="75"/>
        <v>66.153623787415185</v>
      </c>
      <c r="J70" s="165">
        <f t="shared" si="75"/>
        <v>63.480708960489231</v>
      </c>
      <c r="K70" s="165">
        <f t="shared" si="75"/>
        <v>64.949630554006418</v>
      </c>
      <c r="L70" s="165">
        <f t="shared" si="75"/>
        <v>67.200802689699771</v>
      </c>
      <c r="M70" s="165">
        <f t="shared" si="75"/>
        <v>68.34354299879034</v>
      </c>
      <c r="N70" s="165">
        <f t="shared" si="75"/>
        <v>70.099604667304959</v>
      </c>
      <c r="O70" s="165">
        <f t="shared" si="75"/>
        <v>71.520061552542529</v>
      </c>
      <c r="P70" s="165">
        <f t="shared" si="75"/>
        <v>72.736971811030116</v>
      </c>
      <c r="Q70" s="165">
        <f t="shared" si="75"/>
        <v>72.18645569402328</v>
      </c>
      <c r="R70" s="165">
        <f t="shared" si="75"/>
        <v>74.050443003630647</v>
      </c>
      <c r="S70" s="165">
        <f t="shared" si="75"/>
        <v>74.097545742776205</v>
      </c>
      <c r="T70" s="165">
        <f t="shared" si="75"/>
        <v>74.800869509358762</v>
      </c>
      <c r="U70" s="165">
        <f t="shared" si="75"/>
        <v>77.294389534594885</v>
      </c>
      <c r="V70" s="165">
        <f t="shared" si="75"/>
        <v>81.720543506616735</v>
      </c>
      <c r="W70" s="165">
        <f t="shared" si="75"/>
        <v>88.307621251875389</v>
      </c>
      <c r="X70" s="165">
        <f t="shared" si="75"/>
        <v>91.211359231651358</v>
      </c>
      <c r="Y70" s="165">
        <f t="shared" si="75"/>
        <v>107.06069058163712</v>
      </c>
      <c r="Z70" s="165">
        <f t="shared" si="75"/>
        <v>147.16224026506347</v>
      </c>
      <c r="AA70" s="165">
        <f t="shared" si="75"/>
        <v>176.11949535598004</v>
      </c>
      <c r="AB70" s="165">
        <f t="shared" si="75"/>
        <v>179.96187490136467</v>
      </c>
      <c r="AC70" s="165">
        <f t="shared" si="75"/>
        <v>197.56038321465118</v>
      </c>
      <c r="AD70" s="165">
        <f t="shared" si="75"/>
        <v>225.45043715006739</v>
      </c>
      <c r="AE70" s="165">
        <f t="shared" si="75"/>
        <v>257.82645660852779</v>
      </c>
      <c r="AF70" s="165">
        <f t="shared" si="75"/>
        <v>321.94813908943632</v>
      </c>
      <c r="AG70" s="165">
        <f t="shared" si="75"/>
        <v>340.6700304397927</v>
      </c>
      <c r="AH70" s="165">
        <f t="shared" si="75"/>
        <v>342.29294476108282</v>
      </c>
      <c r="AI70" s="165">
        <f t="shared" si="75"/>
        <v>339.909872589847</v>
      </c>
      <c r="AJ70" s="165">
        <f t="shared" si="75"/>
        <v>351.12810773805347</v>
      </c>
      <c r="AK70" s="165">
        <f t="shared" si="75"/>
        <v>366.78921164968375</v>
      </c>
      <c r="AL70" s="165">
        <f t="shared" si="75"/>
        <v>369.06154753057575</v>
      </c>
      <c r="AM70" s="165">
        <f t="shared" si="75"/>
        <v>505.9882332371435</v>
      </c>
      <c r="AN70" s="165">
        <f t="shared" si="75"/>
        <v>582.04669853787573</v>
      </c>
      <c r="AO70" s="165">
        <f t="shared" si="75"/>
        <v>704.1070917412186</v>
      </c>
      <c r="AP70" s="165">
        <f t="shared" si="75"/>
        <v>960.49434208374385</v>
      </c>
      <c r="AQ70" s="165">
        <f t="shared" si="75"/>
        <v>1229.4088666136095</v>
      </c>
      <c r="AR70" s="165">
        <f t="shared" si="75"/>
        <v>1560.3770628586251</v>
      </c>
      <c r="AS70" s="165">
        <f t="shared" si="75"/>
        <v>7190.8428184911281</v>
      </c>
      <c r="AT70" s="165">
        <f t="shared" si="75"/>
        <v>42495.473059708689</v>
      </c>
      <c r="AU70" s="165">
        <f t="shared" si="75"/>
        <v>107355.72750403645</v>
      </c>
      <c r="AV70" s="165">
        <f t="shared" si="75"/>
        <v>115204.26802950854</v>
      </c>
      <c r="AW70" s="165">
        <f t="shared" si="75"/>
        <v>126000.98392795007</v>
      </c>
      <c r="AX70" s="165">
        <f t="shared" si="75"/>
        <v>139379.06081602193</v>
      </c>
      <c r="AY70" s="165">
        <f>AY47</f>
        <v>294820.03035394731</v>
      </c>
      <c r="AZ70" s="165">
        <f>AY70*AZ67/AY67</f>
        <v>440214.94383006118</v>
      </c>
      <c r="CF70" s="165">
        <f t="shared" si="63"/>
        <v>0</v>
      </c>
      <c r="CG70" s="165">
        <f t="shared" si="64"/>
        <v>0</v>
      </c>
      <c r="CH70" s="165">
        <f t="shared" si="65"/>
        <v>0</v>
      </c>
      <c r="CI70" s="165">
        <f t="shared" si="66"/>
        <v>0</v>
      </c>
      <c r="CJ70" s="165">
        <f t="shared" si="67"/>
        <v>0</v>
      </c>
      <c r="CK70" s="165">
        <f t="shared" si="68"/>
        <v>0</v>
      </c>
      <c r="CL70" s="165">
        <f t="shared" si="69"/>
        <v>0</v>
      </c>
      <c r="CM70" s="165">
        <f t="shared" si="70"/>
        <v>0</v>
      </c>
      <c r="CN70" s="166"/>
      <c r="CO70" s="302"/>
      <c r="CP70" s="302"/>
      <c r="CQ70" s="302"/>
      <c r="CR70" s="302"/>
      <c r="CS70" s="302"/>
      <c r="CT70" s="302"/>
      <c r="CU70" s="302"/>
      <c r="CV70" s="302"/>
    </row>
    <row r="71" spans="1:100" s="165" customFormat="1">
      <c r="A71" s="165" t="str">
        <f t="shared" ref="A71:AI71" si="76">A2</f>
        <v>jaar</v>
      </c>
      <c r="B71" s="165" t="str">
        <f t="shared" si="76"/>
        <v xml:space="preserve"> </v>
      </c>
      <c r="F71" s="165" t="str">
        <f t="shared" si="76"/>
        <v>1954</v>
      </c>
      <c r="G71" s="165" t="str">
        <f t="shared" si="76"/>
        <v>1955</v>
      </c>
      <c r="H71" s="165" t="str">
        <f t="shared" si="76"/>
        <v>1956</v>
      </c>
      <c r="I71" s="165" t="str">
        <f t="shared" si="76"/>
        <v>1957</v>
      </c>
      <c r="J71" s="165" t="str">
        <f t="shared" si="76"/>
        <v>1958</v>
      </c>
      <c r="K71" s="165" t="str">
        <f t="shared" si="76"/>
        <v>1959</v>
      </c>
      <c r="L71" s="165" t="str">
        <f t="shared" si="76"/>
        <v>1960</v>
      </c>
      <c r="M71" s="165" t="str">
        <f t="shared" si="76"/>
        <v>1961</v>
      </c>
      <c r="N71" s="165" t="str">
        <f t="shared" si="76"/>
        <v>1962</v>
      </c>
      <c r="O71" s="165" t="str">
        <f t="shared" si="76"/>
        <v>1963</v>
      </c>
      <c r="P71" s="165" t="str">
        <f t="shared" si="76"/>
        <v>1964</v>
      </c>
      <c r="Q71" s="165" t="str">
        <f t="shared" si="76"/>
        <v>1965</v>
      </c>
      <c r="R71" s="165" t="str">
        <f t="shared" si="76"/>
        <v>1966</v>
      </c>
      <c r="S71" s="165" t="str">
        <f t="shared" si="76"/>
        <v>1967</v>
      </c>
      <c r="T71" s="165" t="str">
        <f t="shared" si="76"/>
        <v>1968</v>
      </c>
      <c r="U71" s="165" t="str">
        <f t="shared" si="76"/>
        <v>1969</v>
      </c>
      <c r="V71" s="165" t="str">
        <f t="shared" si="76"/>
        <v>1970</v>
      </c>
      <c r="W71" s="165" t="str">
        <f t="shared" si="76"/>
        <v>1971</v>
      </c>
      <c r="X71" s="165" t="str">
        <f t="shared" si="76"/>
        <v>1972</v>
      </c>
      <c r="Y71" s="165" t="str">
        <f t="shared" si="76"/>
        <v>1973</v>
      </c>
      <c r="Z71" s="165" t="str">
        <f t="shared" si="76"/>
        <v>1974</v>
      </c>
      <c r="AA71" s="165" t="str">
        <f t="shared" si="76"/>
        <v>1975</v>
      </c>
      <c r="AB71" s="165" t="str">
        <f t="shared" si="76"/>
        <v>1976</v>
      </c>
      <c r="AC71" s="165" t="str">
        <f t="shared" si="76"/>
        <v>1977</v>
      </c>
      <c r="AD71" s="165" t="str">
        <f t="shared" si="76"/>
        <v>1978</v>
      </c>
      <c r="AE71" s="165" t="str">
        <f t="shared" si="76"/>
        <v>1979</v>
      </c>
      <c r="AF71" s="165" t="str">
        <f t="shared" si="76"/>
        <v>1980</v>
      </c>
      <c r="AG71" s="165" t="str">
        <f t="shared" si="76"/>
        <v>1981</v>
      </c>
      <c r="AH71" s="165" t="str">
        <f t="shared" si="76"/>
        <v>1982</v>
      </c>
      <c r="AI71" s="165" t="str">
        <f t="shared" si="76"/>
        <v>1983</v>
      </c>
      <c r="AJ71" s="165" t="str">
        <f t="shared" ref="AJ71:BJ71" si="77">AJ2</f>
        <v>1984</v>
      </c>
      <c r="AK71" s="165" t="str">
        <f t="shared" si="77"/>
        <v>1985</v>
      </c>
      <c r="AL71" s="165" t="str">
        <f t="shared" si="77"/>
        <v>1986</v>
      </c>
      <c r="AM71" s="165" t="str">
        <f t="shared" si="77"/>
        <v>1987</v>
      </c>
      <c r="AN71" s="165" t="str">
        <f t="shared" si="77"/>
        <v>1988</v>
      </c>
      <c r="AO71" s="165" t="str">
        <f t="shared" si="77"/>
        <v>1989</v>
      </c>
      <c r="AP71" s="165" t="str">
        <f t="shared" si="77"/>
        <v>1990</v>
      </c>
      <c r="AQ71" s="165" t="str">
        <f t="shared" si="77"/>
        <v>1991</v>
      </c>
      <c r="AR71" s="165" t="str">
        <f t="shared" si="77"/>
        <v>1992</v>
      </c>
      <c r="AS71" s="165" t="str">
        <f t="shared" si="77"/>
        <v>1993</v>
      </c>
      <c r="AT71" s="165" t="str">
        <f t="shared" si="77"/>
        <v>1994</v>
      </c>
      <c r="AU71" s="165" t="str">
        <f t="shared" si="77"/>
        <v>1995</v>
      </c>
      <c r="AV71" s="165" t="str">
        <f t="shared" si="77"/>
        <v>1996</v>
      </c>
      <c r="AW71" s="165" t="str">
        <f t="shared" si="77"/>
        <v>1997</v>
      </c>
      <c r="AX71" s="165" t="str">
        <f t="shared" si="77"/>
        <v>1998</v>
      </c>
      <c r="AY71" s="165" t="str">
        <f t="shared" si="77"/>
        <v>1999</v>
      </c>
      <c r="AZ71" s="165" t="str">
        <f t="shared" si="77"/>
        <v>2000</v>
      </c>
      <c r="BA71" s="165" t="str">
        <f t="shared" si="77"/>
        <v>2001</v>
      </c>
      <c r="BB71" s="165" t="str">
        <f t="shared" si="77"/>
        <v>2002</v>
      </c>
      <c r="BC71" s="165" t="str">
        <f t="shared" si="77"/>
        <v>2003</v>
      </c>
      <c r="BD71" s="165" t="str">
        <f t="shared" si="77"/>
        <v>2004</v>
      </c>
      <c r="BE71" s="165" t="str">
        <f t="shared" si="77"/>
        <v>2005</v>
      </c>
      <c r="BF71" s="165" t="str">
        <f t="shared" si="77"/>
        <v>2006</v>
      </c>
      <c r="BG71" s="165" t="str">
        <f t="shared" si="77"/>
        <v>2007</v>
      </c>
      <c r="BH71" s="165" t="str">
        <f t="shared" si="77"/>
        <v>2008</v>
      </c>
      <c r="BI71" s="165" t="str">
        <f t="shared" si="77"/>
        <v>2009</v>
      </c>
      <c r="BJ71" s="165" t="str">
        <f t="shared" si="77"/>
        <v>2010</v>
      </c>
      <c r="BK71" s="165" t="str">
        <f t="shared" ref="BK71:BP71" si="78">BK2</f>
        <v>2011</v>
      </c>
      <c r="BL71" s="165" t="str">
        <f t="shared" si="78"/>
        <v>2012</v>
      </c>
      <c r="BM71" s="165" t="str">
        <f t="shared" si="78"/>
        <v>2013</v>
      </c>
      <c r="BN71" s="165" t="str">
        <f t="shared" si="78"/>
        <v>2014</v>
      </c>
      <c r="BO71" s="165" t="str">
        <f t="shared" si="78"/>
        <v>2015</v>
      </c>
      <c r="BP71" s="165" t="str">
        <f t="shared" si="78"/>
        <v>2016</v>
      </c>
      <c r="BQ71" s="165" t="str">
        <f>BQ2</f>
        <v>2017</v>
      </c>
      <c r="BR71" s="165" t="str">
        <f>BR2</f>
        <v>2018</v>
      </c>
      <c r="BS71" s="165" t="str">
        <f>BS2</f>
        <v>2019</v>
      </c>
      <c r="BT71" s="165" t="str">
        <f>BT2</f>
        <v>2020</v>
      </c>
      <c r="BU71" s="165" t="str">
        <f>BU2</f>
        <v>2021</v>
      </c>
      <c r="BV71" s="165" t="str">
        <f t="shared" ref="BV71:CD71" si="79">BV2</f>
        <v>2022</v>
      </c>
      <c r="BW71" s="165" t="str">
        <f t="shared" si="79"/>
        <v>2023</v>
      </c>
      <c r="BX71" s="165" t="str">
        <f t="shared" si="79"/>
        <v>2024</v>
      </c>
      <c r="BY71" s="165" t="str">
        <f t="shared" si="79"/>
        <v>2025</v>
      </c>
      <c r="BZ71" s="165" t="str">
        <f t="shared" si="79"/>
        <v>2026</v>
      </c>
      <c r="CA71" s="165" t="str">
        <f t="shared" si="79"/>
        <v>2027</v>
      </c>
      <c r="CB71" s="165" t="str">
        <f t="shared" si="79"/>
        <v>2028</v>
      </c>
      <c r="CC71" s="165" t="str">
        <f t="shared" si="79"/>
        <v>2029</v>
      </c>
      <c r="CD71" s="165" t="str">
        <f t="shared" si="79"/>
        <v>2030</v>
      </c>
      <c r="CF71" s="165">
        <f t="shared" si="63"/>
        <v>0</v>
      </c>
      <c r="CG71" s="165">
        <f t="shared" si="64"/>
        <v>0</v>
      </c>
      <c r="CH71" s="165">
        <f t="shared" si="65"/>
        <v>0</v>
      </c>
      <c r="CI71" s="165">
        <f t="shared" si="66"/>
        <v>0</v>
      </c>
      <c r="CJ71" s="165">
        <f t="shared" si="67"/>
        <v>0</v>
      </c>
      <c r="CK71" s="165">
        <f t="shared" si="68"/>
        <v>0</v>
      </c>
      <c r="CL71" s="165">
        <f t="shared" si="69"/>
        <v>0</v>
      </c>
      <c r="CM71" s="165">
        <f t="shared" si="70"/>
        <v>0</v>
      </c>
      <c r="CN71" s="166"/>
      <c r="CO71" s="302" t="s">
        <v>2984</v>
      </c>
      <c r="CP71" s="302" t="s">
        <v>2985</v>
      </c>
      <c r="CQ71" s="302" t="s">
        <v>2986</v>
      </c>
      <c r="CR71" s="302" t="s">
        <v>2987</v>
      </c>
      <c r="CS71" s="302" t="s">
        <v>2988</v>
      </c>
      <c r="CT71" s="302" t="s">
        <v>2989</v>
      </c>
      <c r="CU71" s="302" t="s">
        <v>2990</v>
      </c>
      <c r="CV71" s="302" t="s">
        <v>2991</v>
      </c>
    </row>
    <row r="72" spans="1:100" s="165" customFormat="1">
      <c r="A72" s="165" t="s">
        <v>2263</v>
      </c>
      <c r="F72" s="165">
        <f t="shared" ref="F72:AK72" si="80">100*F43/F69</f>
        <v>178.39262689209841</v>
      </c>
      <c r="G72" s="165">
        <f t="shared" si="80"/>
        <v>148.15252086240264</v>
      </c>
      <c r="H72" s="165">
        <f t="shared" si="80"/>
        <v>143.681239369922</v>
      </c>
      <c r="I72" s="165">
        <f t="shared" si="80"/>
        <v>134.48909428922988</v>
      </c>
      <c r="J72" s="165">
        <f t="shared" si="80"/>
        <v>140.62118445370606</v>
      </c>
      <c r="K72" s="165">
        <f t="shared" si="80"/>
        <v>135.7449544619808</v>
      </c>
      <c r="L72" s="165">
        <f t="shared" si="80"/>
        <v>117.80313825561763</v>
      </c>
      <c r="M72" s="165">
        <f t="shared" si="80"/>
        <v>106.48291360635542</v>
      </c>
      <c r="N72" s="165">
        <f t="shared" si="80"/>
        <v>144.14571649433239</v>
      </c>
      <c r="O72" s="165">
        <f t="shared" si="80"/>
        <v>133.33333333333388</v>
      </c>
      <c r="P72" s="165">
        <f t="shared" si="80"/>
        <v>138.72073790161761</v>
      </c>
      <c r="Q72" s="165">
        <f t="shared" si="80"/>
        <v>149.88049278908673</v>
      </c>
      <c r="R72" s="165">
        <f t="shared" si="80"/>
        <v>225.62138635866262</v>
      </c>
      <c r="S72" s="165">
        <f t="shared" si="80"/>
        <v>217.30308365213799</v>
      </c>
      <c r="T72" s="165">
        <f t="shared" si="80"/>
        <v>217.48372602329317</v>
      </c>
      <c r="U72" s="165">
        <f t="shared" si="80"/>
        <v>158.37621900261681</v>
      </c>
      <c r="V72" s="165">
        <f t="shared" si="80"/>
        <v>244.98392775262144</v>
      </c>
      <c r="W72" s="165">
        <f t="shared" si="80"/>
        <v>198.78361650755278</v>
      </c>
      <c r="X72" s="165">
        <f t="shared" si="80"/>
        <v>170.11051796882649</v>
      </c>
      <c r="Y72" s="165">
        <f t="shared" si="80"/>
        <v>269.50693477541193</v>
      </c>
      <c r="Z72" s="165">
        <f t="shared" si="80"/>
        <v>305.05419130936076</v>
      </c>
      <c r="AA72" s="165">
        <f t="shared" si="80"/>
        <v>205.74950257007362</v>
      </c>
      <c r="AB72" s="165">
        <f t="shared" si="80"/>
        <v>168.25382333340451</v>
      </c>
      <c r="AC72" s="165">
        <f t="shared" si="80"/>
        <v>209.03291319104611</v>
      </c>
      <c r="AD72" s="165">
        <f t="shared" si="80"/>
        <v>184.61356695715102</v>
      </c>
      <c r="AE72" s="165">
        <f t="shared" si="80"/>
        <v>190.23927689314155</v>
      </c>
      <c r="AF72" s="165">
        <f t="shared" si="80"/>
        <v>158.08804337317864</v>
      </c>
      <c r="AG72" s="165">
        <f t="shared" si="80"/>
        <v>152.40370701167618</v>
      </c>
      <c r="AH72" s="165">
        <f t="shared" si="80"/>
        <v>126.42496146455926</v>
      </c>
      <c r="AI72" s="165">
        <f t="shared" si="80"/>
        <v>109.75180583825595</v>
      </c>
      <c r="AJ72" s="165">
        <f t="shared" si="80"/>
        <v>148.49984642795769</v>
      </c>
      <c r="AK72" s="165">
        <f t="shared" si="80"/>
        <v>132.59795924896426</v>
      </c>
      <c r="AL72" s="165">
        <f t="shared" ref="AL72:BJ72" si="81">100*AL43/AL69</f>
        <v>131.09301878348106</v>
      </c>
      <c r="AM72" s="165">
        <f t="shared" si="81"/>
        <v>93.762111411746062</v>
      </c>
      <c r="AN72" s="165">
        <f t="shared" si="81"/>
        <v>125.90553928440747</v>
      </c>
      <c r="AO72" s="165">
        <f t="shared" si="81"/>
        <v>40.056618194246369</v>
      </c>
      <c r="AP72" s="165">
        <f t="shared" si="81"/>
        <v>59.644359994792403</v>
      </c>
      <c r="AQ72" s="165">
        <f t="shared" si="81"/>
        <v>50.874133203002316</v>
      </c>
      <c r="AR72" s="165">
        <f t="shared" si="81"/>
        <v>39.769294541203458</v>
      </c>
      <c r="AS72" s="165">
        <f t="shared" si="81"/>
        <v>7.6069619524550687</v>
      </c>
      <c r="AT72" s="165">
        <f t="shared" si="81"/>
        <v>82.956600158983903</v>
      </c>
      <c r="AU72" s="165">
        <f t="shared" si="81"/>
        <v>142.013381170597</v>
      </c>
      <c r="AV72" s="165">
        <f t="shared" si="81"/>
        <v>123.10521714489143</v>
      </c>
      <c r="AW72" s="165">
        <f t="shared" si="81"/>
        <v>103.00971557799521</v>
      </c>
      <c r="AX72" s="165">
        <f t="shared" si="81"/>
        <v>75.465154256923768</v>
      </c>
      <c r="AY72" s="165">
        <f t="shared" si="81"/>
        <v>77.78915046059366</v>
      </c>
      <c r="AZ72" s="165">
        <f t="shared" si="81"/>
        <v>95.155709342560556</v>
      </c>
      <c r="BA72" s="165">
        <f t="shared" si="81"/>
        <v>82.93932935725752</v>
      </c>
      <c r="BB72" s="165">
        <f t="shared" si="81"/>
        <v>80.379772868758565</v>
      </c>
      <c r="BC72" s="165">
        <f t="shared" ca="1" si="81"/>
        <v>75.678121138887931</v>
      </c>
      <c r="BD72" s="165">
        <f t="shared" ca="1" si="81"/>
        <v>70.14701581817458</v>
      </c>
      <c r="BE72" s="165">
        <f t="shared" ca="1" si="81"/>
        <v>76.713592007516269</v>
      </c>
      <c r="BF72" s="165">
        <f t="shared" ca="1" si="81"/>
        <v>95.848356800554285</v>
      </c>
      <c r="BG72" s="165">
        <f t="shared" ca="1" si="81"/>
        <v>98.983621766594567</v>
      </c>
      <c r="BH72" s="165">
        <f t="shared" ca="1" si="81"/>
        <v>187.01352330749896</v>
      </c>
      <c r="BI72" s="165">
        <f t="shared" ca="1" si="81"/>
        <v>129.38151520509558</v>
      </c>
      <c r="BJ72" s="165">
        <f t="shared" ca="1" si="81"/>
        <v>132.91190734776515</v>
      </c>
      <c r="BK72" s="165">
        <f t="shared" ref="BK72:BP72" ca="1" si="82">100*BK43/BK69</f>
        <v>196.61616166967241</v>
      </c>
      <c r="BL72" s="165">
        <f t="shared" ca="1" si="82"/>
        <v>168.08839287711103</v>
      </c>
      <c r="BM72" s="165">
        <f t="shared" ca="1" si="82"/>
        <v>157.65773974879866</v>
      </c>
      <c r="BN72" s="165">
        <f t="shared" ca="1" si="82"/>
        <v>163.66207888242704</v>
      </c>
      <c r="BO72" s="165">
        <f t="shared" ca="1" si="82"/>
        <v>177.60673672358539</v>
      </c>
      <c r="BP72" s="165">
        <f t="shared" ca="1" si="82"/>
        <v>189.1916507470161</v>
      </c>
      <c r="BQ72" s="165">
        <f ca="1">100*BQ43/BQ69</f>
        <v>182.02760101638228</v>
      </c>
      <c r="BR72" s="165">
        <f ca="1">100*BR43/BR69</f>
        <v>183.02113924481705</v>
      </c>
      <c r="BS72" s="165">
        <f ca="1">100*BS43/BS69</f>
        <v>187.55059640793837</v>
      </c>
      <c r="BT72" s="165">
        <f ca="1">100*BT43/BT69</f>
        <v>191.11558058294654</v>
      </c>
      <c r="BU72" s="165">
        <f ca="1">100*BU43/BU69</f>
        <v>194.49866931863224</v>
      </c>
      <c r="BV72" s="165">
        <f t="shared" ref="BV72:CD72" ca="1" si="83">100*BV43/BV69</f>
        <v>197.85240536906539</v>
      </c>
      <c r="BW72" s="165">
        <f t="shared" ca="1" si="83"/>
        <v>201.19638044311864</v>
      </c>
      <c r="BX72" s="165">
        <f t="shared" ca="1" si="83"/>
        <v>204.58552799269779</v>
      </c>
      <c r="BY72" s="165">
        <f t="shared" ca="1" si="83"/>
        <v>208.02733240514198</v>
      </c>
      <c r="BZ72" s="165">
        <f t="shared" ca="1" si="83"/>
        <v>211.51330155707939</v>
      </c>
      <c r="CA72" s="165">
        <f t="shared" ca="1" si="83"/>
        <v>215.01888982406896</v>
      </c>
      <c r="CB72" s="165">
        <f t="shared" ca="1" si="83"/>
        <v>218.53444684260134</v>
      </c>
      <c r="CC72" s="165">
        <f t="shared" ca="1" si="83"/>
        <v>222.07626383187392</v>
      </c>
      <c r="CD72" s="165">
        <f t="shared" ca="1" si="83"/>
        <v>225.64271490918057</v>
      </c>
      <c r="CF72" s="165">
        <f t="shared" ca="1" si="63"/>
        <v>1.3697735560072033E-3</v>
      </c>
      <c r="CG72" s="165">
        <f t="shared" ca="1" si="64"/>
        <v>8.9311719898432784E-4</v>
      </c>
      <c r="CH72" s="165">
        <f t="shared" ca="1" si="65"/>
        <v>9.9484489686574307E-4</v>
      </c>
      <c r="CI72" s="165">
        <f t="shared" ca="1" si="66"/>
        <v>-0.48935254241979464</v>
      </c>
      <c r="CJ72" s="165">
        <f t="shared" ca="1" si="67"/>
        <v>3.2793062949508567E-2</v>
      </c>
      <c r="CK72" s="165">
        <f t="shared" ca="1" si="68"/>
        <v>-4.8576528370745109E-3</v>
      </c>
      <c r="CL72" s="165">
        <f t="shared" ca="1" si="69"/>
        <v>-3.1952452883388105E-4</v>
      </c>
      <c r="CM72" s="165">
        <f t="shared" ca="1" si="70"/>
        <v>0.13648118672733744</v>
      </c>
      <c r="CN72" s="166"/>
      <c r="CO72" s="302">
        <v>187.01215353394295</v>
      </c>
      <c r="CP72" s="302">
        <v>129.3806220878966</v>
      </c>
      <c r="CQ72" s="302">
        <v>132.91091250286829</v>
      </c>
      <c r="CR72" s="302">
        <v>197.1055142120922</v>
      </c>
      <c r="CS72" s="302">
        <v>168.05559981416152</v>
      </c>
      <c r="CT72" s="302">
        <v>157.66259740163574</v>
      </c>
      <c r="CU72" s="302">
        <v>163.66239840695587</v>
      </c>
      <c r="CV72" s="302">
        <v>177.47025553685805</v>
      </c>
    </row>
    <row r="73" spans="1:100" s="165" customFormat="1">
      <c r="A73" s="165" t="s">
        <v>1907</v>
      </c>
      <c r="BD73" s="165">
        <f t="shared" ref="BD73:BI73" ca="1" si="84">IF(BD72&gt;0,(BD72-100)*(1-BD30/100)+100,BD72)</f>
        <v>73.143507200712165</v>
      </c>
      <c r="BE73" s="165">
        <f t="shared" ca="1" si="84"/>
        <v>78.857263123010313</v>
      </c>
      <c r="BF73" s="165">
        <f t="shared" ca="1" si="84"/>
        <v>96.247149053721714</v>
      </c>
      <c r="BG73" s="165">
        <f t="shared" ca="1" si="84"/>
        <v>99.097048008497026</v>
      </c>
      <c r="BH73" s="165">
        <f t="shared" ca="1" si="84"/>
        <v>175.01135162399333</v>
      </c>
      <c r="BI73" s="165">
        <f t="shared" ca="1" si="84"/>
        <v>125.11726204785558</v>
      </c>
      <c r="BJ73" s="165">
        <f t="shared" ref="BJ73:BP73" ca="1" si="85">IF(BJ72&gt;0,(BJ72-100)*(1-BJ30/100)+100,BJ72)</f>
        <v>129.97973159336954</v>
      </c>
      <c r="BK73" s="165">
        <f t="shared" ca="1" si="85"/>
        <v>184.26507762475654</v>
      </c>
      <c r="BL73" s="165">
        <f t="shared" ca="1" si="85"/>
        <v>157.73964255593063</v>
      </c>
      <c r="BM73" s="165">
        <f t="shared" ca="1" si="85"/>
        <v>148.66911814760772</v>
      </c>
      <c r="BN73" s="165">
        <f t="shared" ca="1" si="85"/>
        <v>154.91351888157419</v>
      </c>
      <c r="BO73" s="165">
        <f t="shared" ca="1" si="85"/>
        <v>169.8054327160857</v>
      </c>
      <c r="BP73" s="165">
        <f t="shared" ca="1" si="85"/>
        <v>180.31797754784307</v>
      </c>
      <c r="BQ73" s="165">
        <f ca="1">IF(BQ72&gt;0,(BQ72-100)*(1-BQ30/100)+100,BQ72)</f>
        <v>173.86468627409837</v>
      </c>
      <c r="BR73" s="165">
        <f ca="1">IF(BR72&gt;0,(BR72-100)*(1-BR30/100)+100,BR72)</f>
        <v>174.70734423006866</v>
      </c>
      <c r="BS73" s="165">
        <f ca="1">IF(BS72&gt;0,(BS72-100)*(1-BS30/100)+100,BS72)</f>
        <v>178.75038184529708</v>
      </c>
      <c r="BT73" s="165">
        <f ca="1">IF(BT72&gt;0,(BT72-100)*(1-BT30/100)+100,BT72)</f>
        <v>181.94665090570143</v>
      </c>
      <c r="BU73" s="165">
        <f ca="1">IF(BU72&gt;0,(BU72-100)*(1-BU30/100)+100,BU72)</f>
        <v>184.98329442888962</v>
      </c>
      <c r="BV73" s="165">
        <f t="shared" ref="BV73:CD73" ca="1" si="86">IF(BV72&gt;0,(BV72-100)*(1-BV30/100)+100,BV72)</f>
        <v>187.98835580500906</v>
      </c>
      <c r="BW73" s="165">
        <f t="shared" ca="1" si="86"/>
        <v>190.98401302404329</v>
      </c>
      <c r="BX73" s="165">
        <f t="shared" ca="1" si="86"/>
        <v>194.01989519675027</v>
      </c>
      <c r="BY73" s="165">
        <f t="shared" ca="1" si="86"/>
        <v>197.10245817280082</v>
      </c>
      <c r="BZ73" s="165">
        <f t="shared" ca="1" si="86"/>
        <v>200.22771674324161</v>
      </c>
      <c r="CA73" s="165">
        <f t="shared" ca="1" si="86"/>
        <v>203.36860736313548</v>
      </c>
      <c r="CB73" s="165">
        <f t="shared" ca="1" si="86"/>
        <v>206.51696624552869</v>
      </c>
      <c r="CC73" s="165">
        <f t="shared" ca="1" si="86"/>
        <v>209.68818409457273</v>
      </c>
      <c r="CD73" s="165">
        <f t="shared" ca="1" si="86"/>
        <v>212.88054665651663</v>
      </c>
      <c r="CF73" s="165">
        <f t="shared" ca="1" si="63"/>
        <v>3.6575411094759147E-3</v>
      </c>
      <c r="CG73" s="165">
        <f t="shared" ca="1" si="64"/>
        <v>1.8840266695008268E-3</v>
      </c>
      <c r="CH73" s="165">
        <f t="shared" ca="1" si="65"/>
        <v>1.5638032492404363E-3</v>
      </c>
      <c r="CI73" s="165">
        <f t="shared" ca="1" si="66"/>
        <v>-0.29347665930620792</v>
      </c>
      <c r="CJ73" s="165">
        <f t="shared" ca="1" si="67"/>
        <v>0.12424437490574292</v>
      </c>
      <c r="CK73" s="165">
        <f t="shared" ca="1" si="68"/>
        <v>7.1762112724258031E-2</v>
      </c>
      <c r="CL73" s="165">
        <f t="shared" ca="1" si="69"/>
        <v>7.2178695972979767E-5</v>
      </c>
      <c r="CM73" s="165">
        <f t="shared" ca="1" si="70"/>
        <v>0.1244892674663447</v>
      </c>
      <c r="CN73" s="166"/>
      <c r="CO73" s="302">
        <v>175.00769408288386</v>
      </c>
      <c r="CP73" s="302">
        <v>125.11537802118607</v>
      </c>
      <c r="CQ73" s="302">
        <v>129.9781677901203</v>
      </c>
      <c r="CR73" s="302">
        <v>184.55855428406275</v>
      </c>
      <c r="CS73" s="302">
        <v>157.61539818102489</v>
      </c>
      <c r="CT73" s="302">
        <v>148.59735603488346</v>
      </c>
      <c r="CU73" s="302">
        <v>154.91344670287822</v>
      </c>
      <c r="CV73" s="302">
        <v>169.68094344861936</v>
      </c>
    </row>
    <row r="74" spans="1:100" s="165" customFormat="1">
      <c r="A74" s="165" t="s">
        <v>704</v>
      </c>
      <c r="BD74" s="166">
        <f t="shared" ref="BD74:BP74" ca="1" si="87">BD73-BD75</f>
        <v>-0.64380331743245733</v>
      </c>
      <c r="BE74" s="166">
        <f t="shared" ca="1" si="87"/>
        <v>0.55705664972197155</v>
      </c>
      <c r="BF74" s="166">
        <f t="shared" ca="1" si="87"/>
        <v>4.1576568123681881</v>
      </c>
      <c r="BG74" s="166">
        <f t="shared" ca="1" si="87"/>
        <v>3.5711338036531117</v>
      </c>
      <c r="BH74" s="166">
        <f t="shared" ca="1" si="87"/>
        <v>21.384856926116981</v>
      </c>
      <c r="BI74" s="166">
        <f t="shared" ca="1" si="87"/>
        <v>13.924401692760753</v>
      </c>
      <c r="BJ74" s="166">
        <f t="shared" ca="1" si="87"/>
        <v>-5.1907957420586968</v>
      </c>
      <c r="BK74" s="166">
        <f t="shared" ca="1" si="87"/>
        <v>50.669046665891585</v>
      </c>
      <c r="BL74" s="166">
        <f t="shared" ca="1" si="87"/>
        <v>28.516820706459725</v>
      </c>
      <c r="BM74" s="166">
        <f t="shared" ca="1" si="87"/>
        <v>20.571048759354881</v>
      </c>
      <c r="BN74" s="166">
        <f t="shared" ca="1" si="87"/>
        <v>28.900009191224669</v>
      </c>
      <c r="BO74" s="166">
        <f t="shared" ca="1" si="87"/>
        <v>44.905830360176836</v>
      </c>
      <c r="BP74" s="166">
        <f t="shared" ca="1" si="87"/>
        <v>54.418375191934075</v>
      </c>
      <c r="BQ74" s="166">
        <f ca="1">BQ73-BQ75</f>
        <v>46.965083918189379</v>
      </c>
      <c r="BR74" s="166">
        <f ca="1">BR73-BR75</f>
        <v>46.80774187415966</v>
      </c>
      <c r="BS74" s="166">
        <f ca="1">BS73-BS75</f>
        <v>49.850779489388088</v>
      </c>
      <c r="BT74" s="166">
        <f ca="1">BT73-BT75</f>
        <v>52.047048549792436</v>
      </c>
      <c r="BU74" s="166">
        <f ca="1">BU73-BU75</f>
        <v>54.083692072980625</v>
      </c>
      <c r="BV74" s="166">
        <f t="shared" ref="BV74:CD74" ca="1" si="88">BV73-BV75</f>
        <v>56.088753449100068</v>
      </c>
      <c r="BW74" s="166">
        <f t="shared" ca="1" si="88"/>
        <v>58.084410668134296</v>
      </c>
      <c r="BX74" s="166">
        <f t="shared" ca="1" si="88"/>
        <v>60.120292840841273</v>
      </c>
      <c r="BY74" s="166">
        <f t="shared" ca="1" si="88"/>
        <v>62.202855816891827</v>
      </c>
      <c r="BZ74" s="166">
        <f t="shared" ca="1" si="88"/>
        <v>64.328114387332619</v>
      </c>
      <c r="CA74" s="166">
        <f t="shared" ca="1" si="88"/>
        <v>66.469005007226485</v>
      </c>
      <c r="CB74" s="166">
        <f t="shared" ca="1" si="88"/>
        <v>68.617363889619696</v>
      </c>
      <c r="CC74" s="166">
        <f t="shared" ca="1" si="88"/>
        <v>70.788581738663737</v>
      </c>
      <c r="CD74" s="166">
        <f t="shared" ca="1" si="88"/>
        <v>72.980944300607632</v>
      </c>
      <c r="CE74" s="166"/>
      <c r="CF74" s="165">
        <f t="shared" ca="1" si="63"/>
        <v>3.6575411094759147E-3</v>
      </c>
      <c r="CG74" s="165">
        <f t="shared" ca="1" si="64"/>
        <v>1.8840266695008268E-3</v>
      </c>
      <c r="CH74" s="165">
        <f t="shared" ca="1" si="65"/>
        <v>1.5638032492404363E-3</v>
      </c>
      <c r="CI74" s="165">
        <f t="shared" ca="1" si="66"/>
        <v>-0.29347665930620792</v>
      </c>
      <c r="CJ74" s="165">
        <f t="shared" ca="1" si="67"/>
        <v>0.12424437490574292</v>
      </c>
      <c r="CK74" s="165">
        <f t="shared" ca="1" si="68"/>
        <v>7.1762112724258031E-2</v>
      </c>
      <c r="CL74" s="165">
        <f t="shared" ca="1" si="69"/>
        <v>7.2178695972979767E-5</v>
      </c>
      <c r="CM74" s="165">
        <f t="shared" ca="1" si="70"/>
        <v>0.1244892674663447</v>
      </c>
      <c r="CN74" s="166"/>
      <c r="CO74" s="302">
        <v>21.381199385007505</v>
      </c>
      <c r="CP74" s="302">
        <v>13.922517666091252</v>
      </c>
      <c r="CQ74" s="302">
        <v>-5.1923595453079372</v>
      </c>
      <c r="CR74" s="302">
        <v>50.962523325197793</v>
      </c>
      <c r="CS74" s="302">
        <v>28.392576331553983</v>
      </c>
      <c r="CT74" s="302">
        <v>20.499286646630622</v>
      </c>
      <c r="CU74" s="302">
        <v>28.899937012528696</v>
      </c>
      <c r="CV74" s="302">
        <v>44.781341092710491</v>
      </c>
    </row>
    <row r="75" spans="1:100" s="167" customFormat="1">
      <c r="A75" s="167" t="s">
        <v>1907</v>
      </c>
      <c r="BD75" s="167">
        <v>73.787310518144622</v>
      </c>
      <c r="BE75" s="167">
        <v>78.300206473288341</v>
      </c>
      <c r="BF75" s="167">
        <v>92.089492241353526</v>
      </c>
      <c r="BG75" s="167">
        <v>95.525914204843914</v>
      </c>
      <c r="BH75" s="167">
        <v>153.62649469787635</v>
      </c>
      <c r="BI75" s="167">
        <v>111.19286035509482</v>
      </c>
      <c r="BJ75" s="167">
        <v>135.17052733542823</v>
      </c>
      <c r="BK75" s="167">
        <v>133.59603095886496</v>
      </c>
      <c r="BL75" s="167">
        <v>129.2228218494709</v>
      </c>
      <c r="BM75" s="167">
        <v>128.09806938825284</v>
      </c>
      <c r="BN75" s="167">
        <v>126.01350969034952</v>
      </c>
      <c r="BO75" s="167">
        <v>124.89960235590887</v>
      </c>
      <c r="BP75" s="167">
        <v>125.899602355909</v>
      </c>
      <c r="BQ75" s="167">
        <v>126.899602355909</v>
      </c>
      <c r="BR75" s="167">
        <v>127.899602355909</v>
      </c>
      <c r="BS75" s="167">
        <v>128.899602355909</v>
      </c>
      <c r="BT75" s="167">
        <v>129.899602355909</v>
      </c>
      <c r="BU75" s="167">
        <v>130.899602355909</v>
      </c>
      <c r="BV75" s="167">
        <v>131.899602355909</v>
      </c>
      <c r="BW75" s="167">
        <v>132.899602355909</v>
      </c>
      <c r="BX75" s="167">
        <v>133.899602355909</v>
      </c>
      <c r="BY75" s="167">
        <v>134.899602355909</v>
      </c>
      <c r="BZ75" s="167">
        <v>135.899602355909</v>
      </c>
      <c r="CA75" s="167">
        <v>136.899602355909</v>
      </c>
      <c r="CB75" s="167">
        <v>137.899602355909</v>
      </c>
      <c r="CC75" s="167">
        <v>138.899602355909</v>
      </c>
      <c r="CD75" s="167">
        <v>139.899602355909</v>
      </c>
      <c r="CF75" s="165">
        <f t="shared" si="63"/>
        <v>0</v>
      </c>
      <c r="CG75" s="165">
        <f t="shared" si="64"/>
        <v>0</v>
      </c>
      <c r="CH75" s="165">
        <f t="shared" si="65"/>
        <v>0</v>
      </c>
      <c r="CI75" s="165">
        <f t="shared" si="66"/>
        <v>0</v>
      </c>
      <c r="CJ75" s="165">
        <f t="shared" si="67"/>
        <v>0</v>
      </c>
      <c r="CK75" s="165">
        <f t="shared" si="68"/>
        <v>0</v>
      </c>
      <c r="CL75" s="165">
        <f t="shared" si="69"/>
        <v>0</v>
      </c>
      <c r="CM75" s="165">
        <f t="shared" si="70"/>
        <v>0</v>
      </c>
      <c r="CN75" s="166"/>
      <c r="CO75" s="302">
        <v>153.62649469787635</v>
      </c>
      <c r="CP75" s="302">
        <v>111.19286035509482</v>
      </c>
      <c r="CQ75" s="302">
        <v>135.17052733542823</v>
      </c>
      <c r="CR75" s="302">
        <v>133.59603095886496</v>
      </c>
      <c r="CS75" s="302">
        <v>129.2228218494709</v>
      </c>
      <c r="CT75" s="302">
        <v>128.09806938825284</v>
      </c>
      <c r="CU75" s="302">
        <v>126.01350969034952</v>
      </c>
      <c r="CV75" s="302">
        <v>124.89960235590887</v>
      </c>
    </row>
    <row r="76" spans="1:100" s="165" customFormat="1">
      <c r="A76" s="165" t="s">
        <v>1337</v>
      </c>
      <c r="B76" s="165" t="s">
        <v>1657</v>
      </c>
      <c r="F76" s="165">
        <f t="shared" ref="F76:BM76" si="89">F14</f>
        <v>64000</v>
      </c>
      <c r="G76" s="165">
        <f t="shared" si="89"/>
        <v>64000</v>
      </c>
      <c r="H76" s="165">
        <f t="shared" si="89"/>
        <v>71000</v>
      </c>
      <c r="I76" s="165">
        <f t="shared" si="89"/>
        <v>75000</v>
      </c>
      <c r="J76" s="165">
        <f t="shared" si="89"/>
        <v>85000</v>
      </c>
      <c r="K76" s="165">
        <f t="shared" si="89"/>
        <v>79000</v>
      </c>
      <c r="L76" s="165">
        <f t="shared" si="89"/>
        <v>81000</v>
      </c>
      <c r="M76" s="165">
        <f t="shared" si="89"/>
        <v>72000</v>
      </c>
      <c r="N76" s="165">
        <f t="shared" si="89"/>
        <v>79000</v>
      </c>
      <c r="O76" s="165">
        <f t="shared" si="89"/>
        <v>75000</v>
      </c>
      <c r="P76" s="165">
        <f t="shared" si="89"/>
        <v>88000</v>
      </c>
      <c r="Q76" s="165">
        <f t="shared" si="89"/>
        <v>90000</v>
      </c>
      <c r="R76" s="165">
        <f t="shared" si="89"/>
        <v>98000</v>
      </c>
      <c r="S76" s="165">
        <f t="shared" si="89"/>
        <v>119000</v>
      </c>
      <c r="T76" s="165">
        <f t="shared" si="89"/>
        <v>116000</v>
      </c>
      <c r="U76" s="165">
        <f t="shared" si="89"/>
        <v>113000</v>
      </c>
      <c r="V76" s="165">
        <f t="shared" si="89"/>
        <v>145000</v>
      </c>
      <c r="W76" s="165">
        <f t="shared" si="89"/>
        <v>136000</v>
      </c>
      <c r="X76" s="165">
        <f t="shared" si="89"/>
        <v>123000</v>
      </c>
      <c r="Y76" s="165">
        <f t="shared" si="89"/>
        <v>164000</v>
      </c>
      <c r="Z76" s="165">
        <f t="shared" si="89"/>
        <v>162000</v>
      </c>
      <c r="AA76" s="165">
        <f t="shared" si="89"/>
        <v>175000</v>
      </c>
      <c r="AB76" s="165">
        <f t="shared" si="89"/>
        <v>172500</v>
      </c>
      <c r="AC76" s="165">
        <f t="shared" si="89"/>
        <v>202900</v>
      </c>
      <c r="AD76" s="165">
        <f t="shared" si="89"/>
        <v>223876</v>
      </c>
      <c r="AE76" s="165">
        <f t="shared" si="89"/>
        <v>235772</v>
      </c>
      <c r="AF76" s="165">
        <f t="shared" si="89"/>
        <v>257629</v>
      </c>
      <c r="AG76" s="165">
        <f t="shared" si="89"/>
        <v>264572</v>
      </c>
      <c r="AH76" s="165">
        <f t="shared" si="89"/>
        <v>301130</v>
      </c>
      <c r="AI76" s="165">
        <f t="shared" si="89"/>
        <v>267958</v>
      </c>
      <c r="AJ76" s="165">
        <f t="shared" si="89"/>
        <v>300250</v>
      </c>
      <c r="AK76" s="165">
        <f t="shared" si="89"/>
        <v>299185</v>
      </c>
      <c r="AL76" s="165">
        <f t="shared" si="89"/>
        <v>299954</v>
      </c>
      <c r="AM76" s="165">
        <f t="shared" si="89"/>
        <v>271600</v>
      </c>
      <c r="AN76" s="165">
        <f t="shared" si="89"/>
        <v>265244</v>
      </c>
      <c r="AO76" s="165">
        <f t="shared" si="89"/>
        <v>260895</v>
      </c>
      <c r="AP76" s="165">
        <f t="shared" si="89"/>
        <v>196010</v>
      </c>
      <c r="AQ76" s="165">
        <f t="shared" si="89"/>
        <v>229260</v>
      </c>
      <c r="AR76" s="165">
        <f t="shared" si="89"/>
        <v>261080</v>
      </c>
      <c r="AS76" s="165">
        <f t="shared" si="89"/>
        <v>216890</v>
      </c>
      <c r="AT76" s="165">
        <f t="shared" si="89"/>
        <v>217980</v>
      </c>
      <c r="AU76" s="165">
        <f t="shared" si="89"/>
        <v>216005</v>
      </c>
      <c r="AV76" s="165">
        <f t="shared" si="89"/>
        <v>228650</v>
      </c>
      <c r="AW76" s="165">
        <f t="shared" si="89"/>
        <v>213050</v>
      </c>
      <c r="AX76" s="165">
        <f t="shared" si="89"/>
        <v>188410</v>
      </c>
      <c r="AY76" s="165">
        <f t="shared" si="89"/>
        <v>196400</v>
      </c>
      <c r="AZ76" s="165">
        <f t="shared" si="89"/>
        <v>178200</v>
      </c>
      <c r="BA76" s="165">
        <f t="shared" si="89"/>
        <v>208400</v>
      </c>
      <c r="BB76" s="165">
        <f t="shared" si="89"/>
        <v>171140</v>
      </c>
      <c r="BC76" s="165">
        <f t="shared" si="89"/>
        <v>210990</v>
      </c>
      <c r="BD76" s="165">
        <f t="shared" si="89"/>
        <v>174490</v>
      </c>
      <c r="BE76" s="165">
        <f t="shared" si="89"/>
        <v>163955</v>
      </c>
      <c r="BF76" s="165">
        <f t="shared" si="89"/>
        <v>182659</v>
      </c>
      <c r="BG76" s="165">
        <f t="shared" si="89"/>
        <v>179012</v>
      </c>
      <c r="BH76" s="165">
        <f t="shared" si="89"/>
        <v>182877</v>
      </c>
      <c r="BI76" s="165">
        <f t="shared" si="89"/>
        <v>229370</v>
      </c>
      <c r="BJ76" s="165">
        <f t="shared" si="89"/>
        <v>226686</v>
      </c>
      <c r="BK76" s="165">
        <f t="shared" si="89"/>
        <v>235298</v>
      </c>
      <c r="BL76" s="165">
        <f t="shared" si="89"/>
        <v>224127</v>
      </c>
      <c r="BM76" s="165">
        <f t="shared" si="89"/>
        <v>262029</v>
      </c>
      <c r="BN76" s="168">
        <f ca="1">BM76*(IF(BN73&gt;BN77,1.2,(IF(BN73&lt;100,0.93,1) )))</f>
        <v>314434.8</v>
      </c>
      <c r="BO76" s="168">
        <f ca="1">BN76*(IF(BO73&gt;BO77,1.2,(IF(BO73&lt;100,0.93,1) )))</f>
        <v>377321.75999999995</v>
      </c>
      <c r="BP76" s="168">
        <f t="shared" ref="BP76:BU76" ca="1" si="90">BO76*(IF(BP73&gt;BP77,1.2,(IF(BP73&lt;100,0.93,1) )))</f>
        <v>452786.11199999991</v>
      </c>
      <c r="BQ76" s="168">
        <f t="shared" ca="1" si="90"/>
        <v>543343.33439999982</v>
      </c>
      <c r="BR76" s="168">
        <f t="shared" ca="1" si="90"/>
        <v>652012.00127999973</v>
      </c>
      <c r="BS76" s="168">
        <f t="shared" ca="1" si="90"/>
        <v>782414.40153599961</v>
      </c>
      <c r="BT76" s="168">
        <f t="shared" ca="1" si="90"/>
        <v>938897.28184319951</v>
      </c>
      <c r="BU76" s="168">
        <f t="shared" ca="1" si="90"/>
        <v>1126676.7382118395</v>
      </c>
      <c r="BV76" s="168">
        <f t="shared" ref="BV76:CD76" ca="1" si="91">BU76*(IF(BV73&gt;BV77,1.2,(IF(BV73&lt;100,0.93,1) )))</f>
        <v>1352012.0858542074</v>
      </c>
      <c r="BW76" s="168">
        <f t="shared" ca="1" si="91"/>
        <v>1622414.5030250489</v>
      </c>
      <c r="BX76" s="168">
        <f t="shared" ca="1" si="91"/>
        <v>1946897.4036300585</v>
      </c>
      <c r="BY76" s="168">
        <f t="shared" ca="1" si="91"/>
        <v>2336276.8843560703</v>
      </c>
      <c r="BZ76" s="168">
        <f t="shared" ca="1" si="91"/>
        <v>2803532.2612272841</v>
      </c>
      <c r="CA76" s="168">
        <f t="shared" ca="1" si="91"/>
        <v>3364238.7134727407</v>
      </c>
      <c r="CB76" s="168">
        <f t="shared" ca="1" si="91"/>
        <v>4037086.4561672886</v>
      </c>
      <c r="CC76" s="168">
        <f t="shared" ca="1" si="91"/>
        <v>4844503.7474007457</v>
      </c>
      <c r="CD76" s="168">
        <f t="shared" ca="1" si="91"/>
        <v>5813404.4968808945</v>
      </c>
      <c r="CE76" s="168"/>
      <c r="CF76" s="165">
        <f t="shared" si="63"/>
        <v>0</v>
      </c>
      <c r="CG76" s="165">
        <f t="shared" si="64"/>
        <v>0</v>
      </c>
      <c r="CH76" s="165">
        <f t="shared" si="65"/>
        <v>0</v>
      </c>
      <c r="CI76" s="165">
        <f t="shared" si="66"/>
        <v>0</v>
      </c>
      <c r="CJ76" s="165">
        <f t="shared" si="67"/>
        <v>0</v>
      </c>
      <c r="CK76" s="165">
        <f t="shared" si="68"/>
        <v>0</v>
      </c>
      <c r="CL76" s="165">
        <f t="shared" ca="1" si="69"/>
        <v>0</v>
      </c>
      <c r="CM76" s="165">
        <f t="shared" ca="1" si="70"/>
        <v>0</v>
      </c>
      <c r="CN76" s="166"/>
      <c r="CO76" s="302">
        <v>182877</v>
      </c>
      <c r="CP76" s="302">
        <v>229370</v>
      </c>
      <c r="CQ76" s="302">
        <v>226686</v>
      </c>
      <c r="CR76" s="302">
        <v>235298</v>
      </c>
      <c r="CS76" s="302">
        <v>224127</v>
      </c>
      <c r="CT76" s="302">
        <v>262029</v>
      </c>
      <c r="CU76" s="302">
        <v>314434.8</v>
      </c>
      <c r="CV76" s="302">
        <v>377321.75999999995</v>
      </c>
    </row>
    <row r="77" spans="1:100" s="165" customFormat="1">
      <c r="A77" s="165" t="s">
        <v>2264</v>
      </c>
      <c r="F77" s="165">
        <v>120</v>
      </c>
      <c r="G77" s="165">
        <f t="shared" ref="G77:AL77" si="92">F77</f>
        <v>120</v>
      </c>
      <c r="H77" s="165">
        <f t="shared" si="92"/>
        <v>120</v>
      </c>
      <c r="I77" s="165">
        <f t="shared" si="92"/>
        <v>120</v>
      </c>
      <c r="J77" s="165">
        <f t="shared" si="92"/>
        <v>120</v>
      </c>
      <c r="K77" s="165">
        <f t="shared" si="92"/>
        <v>120</v>
      </c>
      <c r="L77" s="165">
        <f t="shared" si="92"/>
        <v>120</v>
      </c>
      <c r="M77" s="165">
        <f t="shared" si="92"/>
        <v>120</v>
      </c>
      <c r="N77" s="165">
        <f t="shared" si="92"/>
        <v>120</v>
      </c>
      <c r="O77" s="165">
        <f t="shared" si="92"/>
        <v>120</v>
      </c>
      <c r="P77" s="165">
        <f t="shared" si="92"/>
        <v>120</v>
      </c>
      <c r="Q77" s="165">
        <f t="shared" si="92"/>
        <v>120</v>
      </c>
      <c r="R77" s="165">
        <f t="shared" si="92"/>
        <v>120</v>
      </c>
      <c r="S77" s="165">
        <f t="shared" si="92"/>
        <v>120</v>
      </c>
      <c r="T77" s="165">
        <f t="shared" si="92"/>
        <v>120</v>
      </c>
      <c r="U77" s="165">
        <f t="shared" si="92"/>
        <v>120</v>
      </c>
      <c r="V77" s="165">
        <f t="shared" si="92"/>
        <v>120</v>
      </c>
      <c r="W77" s="165">
        <f t="shared" si="92"/>
        <v>120</v>
      </c>
      <c r="X77" s="165">
        <f t="shared" si="92"/>
        <v>120</v>
      </c>
      <c r="Y77" s="165">
        <f t="shared" si="92"/>
        <v>120</v>
      </c>
      <c r="Z77" s="165">
        <f t="shared" si="92"/>
        <v>120</v>
      </c>
      <c r="AA77" s="165">
        <f t="shared" si="92"/>
        <v>120</v>
      </c>
      <c r="AB77" s="165">
        <f t="shared" si="92"/>
        <v>120</v>
      </c>
      <c r="AC77" s="165">
        <f t="shared" si="92"/>
        <v>120</v>
      </c>
      <c r="AD77" s="165">
        <f t="shared" si="92"/>
        <v>120</v>
      </c>
      <c r="AE77" s="165">
        <f t="shared" si="92"/>
        <v>120</v>
      </c>
      <c r="AF77" s="165">
        <f t="shared" si="92"/>
        <v>120</v>
      </c>
      <c r="AG77" s="165">
        <f t="shared" si="92"/>
        <v>120</v>
      </c>
      <c r="AH77" s="165">
        <f t="shared" si="92"/>
        <v>120</v>
      </c>
      <c r="AI77" s="165">
        <f t="shared" si="92"/>
        <v>120</v>
      </c>
      <c r="AJ77" s="165">
        <f t="shared" si="92"/>
        <v>120</v>
      </c>
      <c r="AK77" s="165">
        <f t="shared" si="92"/>
        <v>120</v>
      </c>
      <c r="AL77" s="165">
        <f t="shared" si="92"/>
        <v>120</v>
      </c>
      <c r="AM77" s="165">
        <f t="shared" ref="AM77:BJ77" si="93">AL77</f>
        <v>120</v>
      </c>
      <c r="AN77" s="165">
        <f t="shared" si="93"/>
        <v>120</v>
      </c>
      <c r="AO77" s="165">
        <f t="shared" si="93"/>
        <v>120</v>
      </c>
      <c r="AP77" s="165">
        <f t="shared" si="93"/>
        <v>120</v>
      </c>
      <c r="AQ77" s="165">
        <f t="shared" si="93"/>
        <v>120</v>
      </c>
      <c r="AR77" s="165">
        <f t="shared" si="93"/>
        <v>120</v>
      </c>
      <c r="AS77" s="165">
        <f t="shared" si="93"/>
        <v>120</v>
      </c>
      <c r="AT77" s="165">
        <f t="shared" si="93"/>
        <v>120</v>
      </c>
      <c r="AU77" s="165">
        <f t="shared" si="93"/>
        <v>120</v>
      </c>
      <c r="AV77" s="165">
        <f t="shared" si="93"/>
        <v>120</v>
      </c>
      <c r="AW77" s="165">
        <f t="shared" si="93"/>
        <v>120</v>
      </c>
      <c r="AX77" s="165">
        <f t="shared" si="93"/>
        <v>120</v>
      </c>
      <c r="AY77" s="165">
        <f t="shared" si="93"/>
        <v>120</v>
      </c>
      <c r="AZ77" s="165">
        <f t="shared" si="93"/>
        <v>120</v>
      </c>
      <c r="BA77" s="165">
        <f t="shared" si="93"/>
        <v>120</v>
      </c>
      <c r="BB77" s="165">
        <f t="shared" si="93"/>
        <v>120</v>
      </c>
      <c r="BC77" s="165">
        <f t="shared" si="93"/>
        <v>120</v>
      </c>
      <c r="BD77" s="165">
        <f t="shared" si="93"/>
        <v>120</v>
      </c>
      <c r="BE77" s="165">
        <f t="shared" si="93"/>
        <v>120</v>
      </c>
      <c r="BF77" s="165">
        <f t="shared" si="93"/>
        <v>120</v>
      </c>
      <c r="BG77" s="165">
        <f t="shared" si="93"/>
        <v>120</v>
      </c>
      <c r="BH77" s="165">
        <f t="shared" si="93"/>
        <v>120</v>
      </c>
      <c r="BI77" s="165">
        <f t="shared" si="93"/>
        <v>120</v>
      </c>
      <c r="BJ77" s="165">
        <f t="shared" si="93"/>
        <v>120</v>
      </c>
      <c r="BK77" s="165">
        <f t="shared" ref="BK77:BP77" si="94">BJ77</f>
        <v>120</v>
      </c>
      <c r="BL77" s="165">
        <f t="shared" si="94"/>
        <v>120</v>
      </c>
      <c r="BM77" s="165">
        <f t="shared" si="94"/>
        <v>120</v>
      </c>
      <c r="BN77" s="165">
        <f t="shared" si="94"/>
        <v>120</v>
      </c>
      <c r="BO77" s="165">
        <f t="shared" si="94"/>
        <v>120</v>
      </c>
      <c r="BP77" s="165">
        <f t="shared" si="94"/>
        <v>120</v>
      </c>
      <c r="BQ77" s="165">
        <f>BP77</f>
        <v>120</v>
      </c>
      <c r="BR77" s="165">
        <f>BQ77</f>
        <v>120</v>
      </c>
      <c r="BS77" s="165">
        <f>BR77</f>
        <v>120</v>
      </c>
      <c r="BT77" s="165">
        <f>BS77</f>
        <v>120</v>
      </c>
      <c r="BU77" s="165">
        <f>BT77</f>
        <v>120</v>
      </c>
      <c r="BV77" s="165">
        <f t="shared" ref="BV77:CD77" si="95">BU77</f>
        <v>120</v>
      </c>
      <c r="BW77" s="165">
        <f t="shared" si="95"/>
        <v>120</v>
      </c>
      <c r="BX77" s="165">
        <f t="shared" si="95"/>
        <v>120</v>
      </c>
      <c r="BY77" s="165">
        <f t="shared" si="95"/>
        <v>120</v>
      </c>
      <c r="BZ77" s="165">
        <f t="shared" si="95"/>
        <v>120</v>
      </c>
      <c r="CA77" s="165">
        <f t="shared" si="95"/>
        <v>120</v>
      </c>
      <c r="CB77" s="165">
        <f t="shared" si="95"/>
        <v>120</v>
      </c>
      <c r="CC77" s="165">
        <f t="shared" si="95"/>
        <v>120</v>
      </c>
      <c r="CD77" s="165">
        <f t="shared" si="95"/>
        <v>120</v>
      </c>
      <c r="CF77" s="165">
        <f t="shared" si="63"/>
        <v>0</v>
      </c>
      <c r="CG77" s="165">
        <f t="shared" si="64"/>
        <v>0</v>
      </c>
      <c r="CH77" s="165">
        <f t="shared" si="65"/>
        <v>0</v>
      </c>
      <c r="CI77" s="165">
        <f t="shared" si="66"/>
        <v>0</v>
      </c>
      <c r="CJ77" s="165">
        <f t="shared" si="67"/>
        <v>0</v>
      </c>
      <c r="CK77" s="165">
        <f t="shared" si="68"/>
        <v>0</v>
      </c>
      <c r="CL77" s="165">
        <f t="shared" si="69"/>
        <v>0</v>
      </c>
      <c r="CM77" s="165">
        <f t="shared" si="70"/>
        <v>0</v>
      </c>
      <c r="CN77" s="166"/>
      <c r="CO77" s="302">
        <v>120</v>
      </c>
      <c r="CP77" s="302">
        <v>120</v>
      </c>
      <c r="CQ77" s="302">
        <v>120</v>
      </c>
      <c r="CR77" s="302">
        <v>120</v>
      </c>
      <c r="CS77" s="302">
        <v>120</v>
      </c>
      <c r="CT77" s="302">
        <v>120</v>
      </c>
      <c r="CU77" s="302">
        <v>120</v>
      </c>
      <c r="CV77" s="302">
        <v>120</v>
      </c>
    </row>
    <row r="78" spans="1:100" s="165" customFormat="1">
      <c r="A78" s="165" t="s">
        <v>3090</v>
      </c>
      <c r="B78" s="165" t="s">
        <v>2120</v>
      </c>
      <c r="G78" s="166">
        <f t="shared" ref="G78:AL78" si="96">(G76/F76-1)*100</f>
        <v>0</v>
      </c>
      <c r="H78" s="166">
        <f t="shared" si="96"/>
        <v>10.9375</v>
      </c>
      <c r="I78" s="166">
        <f t="shared" si="96"/>
        <v>5.6338028169014009</v>
      </c>
      <c r="J78" s="166">
        <f t="shared" si="96"/>
        <v>13.33333333333333</v>
      </c>
      <c r="K78" s="166">
        <f t="shared" si="96"/>
        <v>-7.0588235294117618</v>
      </c>
      <c r="L78" s="166">
        <f t="shared" si="96"/>
        <v>2.5316455696202445</v>
      </c>
      <c r="M78" s="166">
        <f t="shared" si="96"/>
        <v>-11.111111111111116</v>
      </c>
      <c r="N78" s="166">
        <f t="shared" si="96"/>
        <v>9.7222222222222321</v>
      </c>
      <c r="O78" s="166">
        <f t="shared" si="96"/>
        <v>-5.0632911392405111</v>
      </c>
      <c r="P78" s="166">
        <f t="shared" si="96"/>
        <v>17.333333333333336</v>
      </c>
      <c r="Q78" s="166">
        <f t="shared" si="96"/>
        <v>2.2727272727272707</v>
      </c>
      <c r="R78" s="166">
        <f t="shared" si="96"/>
        <v>8.8888888888888786</v>
      </c>
      <c r="S78" s="166">
        <f t="shared" si="96"/>
        <v>21.42857142857142</v>
      </c>
      <c r="T78" s="166">
        <f t="shared" si="96"/>
        <v>-2.5210084033613467</v>
      </c>
      <c r="U78" s="166">
        <f t="shared" si="96"/>
        <v>-2.5862068965517238</v>
      </c>
      <c r="V78" s="166">
        <f t="shared" si="96"/>
        <v>28.318584070796462</v>
      </c>
      <c r="W78" s="166">
        <f t="shared" si="96"/>
        <v>-6.2068965517241388</v>
      </c>
      <c r="X78" s="166">
        <f t="shared" si="96"/>
        <v>-9.5588235294117645</v>
      </c>
      <c r="Y78" s="166">
        <f t="shared" si="96"/>
        <v>33.333333333333329</v>
      </c>
      <c r="Z78" s="166">
        <f t="shared" si="96"/>
        <v>-1.2195121951219523</v>
      </c>
      <c r="AA78" s="166">
        <f t="shared" si="96"/>
        <v>8.0246913580246826</v>
      </c>
      <c r="AB78" s="166">
        <f t="shared" si="96"/>
        <v>-1.4285714285714235</v>
      </c>
      <c r="AC78" s="166">
        <f t="shared" si="96"/>
        <v>17.623188405797109</v>
      </c>
      <c r="AD78" s="166">
        <f t="shared" si="96"/>
        <v>10.338097585017248</v>
      </c>
      <c r="AE78" s="166">
        <f t="shared" si="96"/>
        <v>5.3136557737318846</v>
      </c>
      <c r="AF78" s="166">
        <f t="shared" si="96"/>
        <v>9.2703968240503531</v>
      </c>
      <c r="AG78" s="166">
        <f t="shared" si="96"/>
        <v>2.6949605828536338</v>
      </c>
      <c r="AH78" s="166">
        <f t="shared" si="96"/>
        <v>13.817788730477897</v>
      </c>
      <c r="AI78" s="166">
        <f t="shared" si="96"/>
        <v>-11.015840334739146</v>
      </c>
      <c r="AJ78" s="166">
        <f t="shared" si="96"/>
        <v>12.051142343203036</v>
      </c>
      <c r="AK78" s="166">
        <f t="shared" si="96"/>
        <v>-0.35470441298917077</v>
      </c>
      <c r="AL78" s="166">
        <f t="shared" si="96"/>
        <v>0.25703160252017465</v>
      </c>
      <c r="AM78" s="166">
        <f t="shared" ref="AM78:BJ78" si="97">(AM76/AL76-1)*100</f>
        <v>-9.4527827600232044</v>
      </c>
      <c r="AN78" s="166">
        <f t="shared" si="97"/>
        <v>-2.3402061855670064</v>
      </c>
      <c r="AO78" s="166">
        <f t="shared" si="97"/>
        <v>-1.6396223854262537</v>
      </c>
      <c r="AP78" s="166">
        <f t="shared" si="97"/>
        <v>-24.870158492880279</v>
      </c>
      <c r="AQ78" s="166">
        <f t="shared" si="97"/>
        <v>16.963420233661552</v>
      </c>
      <c r="AR78" s="166">
        <f t="shared" si="97"/>
        <v>13.87943819244526</v>
      </c>
      <c r="AS78" s="166">
        <f t="shared" si="97"/>
        <v>-16.92584648383637</v>
      </c>
      <c r="AT78" s="166">
        <f t="shared" si="97"/>
        <v>0.50255890082531174</v>
      </c>
      <c r="AU78" s="166">
        <f t="shared" si="97"/>
        <v>-0.9060464262776402</v>
      </c>
      <c r="AV78" s="166">
        <f t="shared" si="97"/>
        <v>5.8540311566861902</v>
      </c>
      <c r="AW78" s="166">
        <f t="shared" si="97"/>
        <v>-6.8226547124425991</v>
      </c>
      <c r="AX78" s="166">
        <f t="shared" si="97"/>
        <v>-11.565360244074164</v>
      </c>
      <c r="AY78" s="166">
        <f t="shared" si="97"/>
        <v>4.2407515524653716</v>
      </c>
      <c r="AZ78" s="166">
        <f t="shared" si="97"/>
        <v>-9.2668024439918497</v>
      </c>
      <c r="BA78" s="166">
        <f t="shared" si="97"/>
        <v>16.947250280583614</v>
      </c>
      <c r="BB78" s="166">
        <f t="shared" si="97"/>
        <v>-17.879078694817665</v>
      </c>
      <c r="BC78" s="166">
        <f t="shared" si="97"/>
        <v>23.285029800163603</v>
      </c>
      <c r="BD78" s="166">
        <f t="shared" si="97"/>
        <v>-17.299398075738182</v>
      </c>
      <c r="BE78" s="166">
        <f t="shared" si="97"/>
        <v>-6.0375952776663411</v>
      </c>
      <c r="BF78" s="166">
        <f t="shared" si="97"/>
        <v>11.408008294958982</v>
      </c>
      <c r="BG78" s="166">
        <f t="shared" si="97"/>
        <v>-1.9966166463190937</v>
      </c>
      <c r="BH78" s="166">
        <f t="shared" si="97"/>
        <v>2.159073134761913</v>
      </c>
      <c r="BI78" s="166">
        <f t="shared" si="97"/>
        <v>25.423098585387983</v>
      </c>
      <c r="BJ78" s="166">
        <f t="shared" si="97"/>
        <v>-1.1701617473950376</v>
      </c>
      <c r="BK78" s="166">
        <f t="shared" ref="BK78:BP78" si="98">(BK76/BJ76-1)*100</f>
        <v>3.7990877248705202</v>
      </c>
      <c r="BL78" s="166">
        <f t="shared" si="98"/>
        <v>-4.7475966646550294</v>
      </c>
      <c r="BM78" s="166">
        <f t="shared" si="98"/>
        <v>16.910947810839396</v>
      </c>
      <c r="BN78" s="166">
        <f t="shared" ca="1" si="98"/>
        <v>19.999999999999996</v>
      </c>
      <c r="BO78" s="166">
        <f t="shared" ca="1" si="98"/>
        <v>19.999999999999996</v>
      </c>
      <c r="BP78" s="166">
        <f t="shared" ca="1" si="98"/>
        <v>19.999999999999996</v>
      </c>
      <c r="BQ78" s="166">
        <f ca="1">(BQ76/BP76-1)*100</f>
        <v>19.999999999999996</v>
      </c>
      <c r="BR78" s="166">
        <f ca="1">(BR76/BQ76-1)*100</f>
        <v>19.999999999999996</v>
      </c>
      <c r="BS78" s="166">
        <f ca="1">(BS76/BR76-1)*100</f>
        <v>19.999999999999996</v>
      </c>
      <c r="BT78" s="166">
        <f ca="1">(BT76/BS76-1)*100</f>
        <v>19.999999999999996</v>
      </c>
      <c r="BU78" s="166">
        <f ca="1">(BU76/BT76-1)*100</f>
        <v>19.999999999999996</v>
      </c>
      <c r="BV78" s="166">
        <f t="shared" ref="BV78:CD78" ca="1" si="99">(BV76/BU76-1)*100</f>
        <v>19.999999999999996</v>
      </c>
      <c r="BW78" s="166">
        <f t="shared" ca="1" si="99"/>
        <v>19.999999999999996</v>
      </c>
      <c r="BX78" s="166">
        <f t="shared" ca="1" si="99"/>
        <v>19.999999999999996</v>
      </c>
      <c r="BY78" s="166">
        <f t="shared" ca="1" si="99"/>
        <v>19.999999999999996</v>
      </c>
      <c r="BZ78" s="166">
        <f t="shared" ca="1" si="99"/>
        <v>19.999999999999996</v>
      </c>
      <c r="CA78" s="166">
        <f t="shared" ca="1" si="99"/>
        <v>19.999999999999996</v>
      </c>
      <c r="CB78" s="166">
        <f t="shared" ca="1" si="99"/>
        <v>19.999999999999996</v>
      </c>
      <c r="CC78" s="166">
        <f t="shared" ca="1" si="99"/>
        <v>19.999999999999996</v>
      </c>
      <c r="CD78" s="166">
        <f t="shared" ca="1" si="99"/>
        <v>19.999999999999996</v>
      </c>
      <c r="CE78" s="166"/>
      <c r="CF78" s="165">
        <f t="shared" si="63"/>
        <v>0</v>
      </c>
      <c r="CG78" s="165">
        <f t="shared" si="64"/>
        <v>0</v>
      </c>
      <c r="CH78" s="165">
        <f t="shared" si="65"/>
        <v>0</v>
      </c>
      <c r="CI78" s="165">
        <f t="shared" si="66"/>
        <v>0</v>
      </c>
      <c r="CJ78" s="165">
        <f t="shared" si="67"/>
        <v>0</v>
      </c>
      <c r="CK78" s="165">
        <f t="shared" si="68"/>
        <v>0</v>
      </c>
      <c r="CL78" s="165">
        <f t="shared" ca="1" si="69"/>
        <v>0</v>
      </c>
      <c r="CM78" s="165">
        <f t="shared" ca="1" si="70"/>
        <v>0</v>
      </c>
      <c r="CN78" s="166"/>
      <c r="CO78" s="302">
        <v>2.159073134761913</v>
      </c>
      <c r="CP78" s="302">
        <v>25.423098585387983</v>
      </c>
      <c r="CQ78" s="302">
        <v>-1.1701617473950376</v>
      </c>
      <c r="CR78" s="302">
        <v>3.7990877248705202</v>
      </c>
      <c r="CS78" s="302">
        <v>-4.7475966646550294</v>
      </c>
      <c r="CT78" s="302">
        <v>16.910947810839396</v>
      </c>
      <c r="CU78" s="302">
        <v>19.999999999999996</v>
      </c>
      <c r="CV78" s="302">
        <v>19.999999999999996</v>
      </c>
    </row>
    <row r="79" spans="1:100" s="165" customFormat="1">
      <c r="A79" s="165" t="s">
        <v>2112</v>
      </c>
      <c r="F79" s="165">
        <v>100</v>
      </c>
      <c r="G79" s="165">
        <f t="shared" ref="G79:AL79" si="100">F79*G43/F43</f>
        <v>80.91882434978956</v>
      </c>
      <c r="H79" s="165">
        <f t="shared" si="100"/>
        <v>80.399198810661005</v>
      </c>
      <c r="I79" s="165">
        <f t="shared" si="100"/>
        <v>84.493188859288963</v>
      </c>
      <c r="J79" s="165">
        <f t="shared" si="100"/>
        <v>81.619221399465999</v>
      </c>
      <c r="K79" s="165">
        <f t="shared" si="100"/>
        <v>78.215700877486697</v>
      </c>
      <c r="L79" s="165">
        <f t="shared" si="100"/>
        <v>71.703968180477162</v>
      </c>
      <c r="M79" s="165">
        <f t="shared" si="100"/>
        <v>61.827318398780633</v>
      </c>
      <c r="N79" s="165">
        <f t="shared" si="100"/>
        <v>81.482166642000905</v>
      </c>
      <c r="O79" s="165">
        <f t="shared" si="100"/>
        <v>81.166266998881682</v>
      </c>
      <c r="P79" s="165">
        <f t="shared" si="100"/>
        <v>79.418790236051507</v>
      </c>
      <c r="Q79" s="165">
        <f t="shared" si="100"/>
        <v>79.478501322049894</v>
      </c>
      <c r="R79" s="165">
        <f t="shared" si="100"/>
        <v>111.27942858561069</v>
      </c>
      <c r="S79" s="165">
        <f t="shared" si="100"/>
        <v>99.939129656579112</v>
      </c>
      <c r="T79" s="165">
        <f t="shared" si="100"/>
        <v>106.94763707352666</v>
      </c>
      <c r="U79" s="165">
        <f t="shared" si="100"/>
        <v>81.392976215439703</v>
      </c>
      <c r="V79" s="165">
        <f t="shared" si="100"/>
        <v>113.55720543585836</v>
      </c>
      <c r="W79" s="165">
        <f t="shared" si="100"/>
        <v>107.39990536356166</v>
      </c>
      <c r="X79" s="165">
        <f t="shared" si="100"/>
        <v>96.418714492617099</v>
      </c>
      <c r="Y79" s="165">
        <f t="shared" si="100"/>
        <v>159.44038595828653</v>
      </c>
      <c r="Z79" s="165">
        <f t="shared" si="100"/>
        <v>244.12939135185664</v>
      </c>
      <c r="AA79" s="165">
        <f t="shared" si="100"/>
        <v>192.62147455548745</v>
      </c>
      <c r="AB79" s="165">
        <f t="shared" si="100"/>
        <v>164.04721030042921</v>
      </c>
      <c r="AC79" s="165">
        <f t="shared" si="100"/>
        <v>192.58401267938268</v>
      </c>
      <c r="AD79" s="165">
        <f t="shared" si="100"/>
        <v>192.6379337090853</v>
      </c>
      <c r="AE79" s="165">
        <f t="shared" si="100"/>
        <v>226.60975457310724</v>
      </c>
      <c r="AF79" s="165">
        <f t="shared" si="100"/>
        <v>234.17120276352981</v>
      </c>
      <c r="AG79" s="165">
        <f t="shared" si="100"/>
        <v>234.52670640576363</v>
      </c>
      <c r="AH79" s="165">
        <f t="shared" si="100"/>
        <v>185.00877158227351</v>
      </c>
      <c r="AI79" s="165">
        <f t="shared" si="100"/>
        <v>178.60107766047435</v>
      </c>
      <c r="AJ79" s="165">
        <f t="shared" si="100"/>
        <v>223.93236377809305</v>
      </c>
      <c r="AK79" s="165">
        <f t="shared" si="100"/>
        <v>207.00580661449135</v>
      </c>
      <c r="AL79" s="165">
        <f t="shared" si="100"/>
        <v>203.18007487900653</v>
      </c>
      <c r="AM79" s="165">
        <f t="shared" ref="AM79:BJ79" si="101">AL79*AM43/AL43</f>
        <v>205.45514144794524</v>
      </c>
      <c r="AN79" s="165">
        <f t="shared" si="101"/>
        <v>314.57446103368852</v>
      </c>
      <c r="AO79" s="165">
        <f t="shared" si="101"/>
        <v>121.3606310172834</v>
      </c>
      <c r="AP79" s="165">
        <f t="shared" si="101"/>
        <v>240.8226257629764</v>
      </c>
      <c r="AQ79" s="165">
        <f t="shared" si="101"/>
        <v>256.07169906589246</v>
      </c>
      <c r="AR79" s="165">
        <f t="shared" si="101"/>
        <v>251.69303962675789</v>
      </c>
      <c r="AS79" s="165">
        <f t="shared" si="101"/>
        <v>224.59720915287696</v>
      </c>
      <c r="AT79" s="165">
        <f t="shared" si="101"/>
        <v>14531.943298118196</v>
      </c>
      <c r="AU79" s="165">
        <f t="shared" si="101"/>
        <v>63969.895247282759</v>
      </c>
      <c r="AV79" s="165">
        <f t="shared" si="101"/>
        <v>55774.812578996796</v>
      </c>
      <c r="AW79" s="165">
        <f t="shared" si="101"/>
        <v>46773.464803648094</v>
      </c>
      <c r="AX79" s="165">
        <f t="shared" si="101"/>
        <v>39606.006292918471</v>
      </c>
      <c r="AY79" s="165">
        <f t="shared" si="101"/>
        <v>78951.820104560102</v>
      </c>
      <c r="AZ79" s="165">
        <f t="shared" si="101"/>
        <v>105707.35495896368</v>
      </c>
      <c r="BA79" s="165">
        <f t="shared" si="101"/>
        <v>156242.8777821754</v>
      </c>
      <c r="BB79" s="165">
        <f t="shared" si="101"/>
        <v>158125.30313472543</v>
      </c>
      <c r="BC79" s="165">
        <f t="shared" si="101"/>
        <v>194356.35995938498</v>
      </c>
      <c r="BD79" s="165">
        <f t="shared" si="101"/>
        <v>215390.48370440339</v>
      </c>
      <c r="BE79" s="165">
        <f t="shared" si="101"/>
        <v>233143.15237289658</v>
      </c>
      <c r="BF79" s="165">
        <f t="shared" si="101"/>
        <v>262251.72910042159</v>
      </c>
      <c r="BG79" s="165">
        <f t="shared" si="101"/>
        <v>277463.34112783382</v>
      </c>
      <c r="BH79" s="165">
        <f t="shared" si="101"/>
        <v>584248.68736433925</v>
      </c>
      <c r="BI79" s="165">
        <f t="shared" si="101"/>
        <v>400552.73190445825</v>
      </c>
      <c r="BJ79" s="165">
        <f t="shared" si="101"/>
        <v>444441.66849661892</v>
      </c>
      <c r="BK79" s="165">
        <f t="shared" ref="BK79:BP79" si="102">BJ79*BK43/BJ43</f>
        <v>744112.74199398991</v>
      </c>
      <c r="BL79" s="165">
        <f t="shared" si="102"/>
        <v>649977.53843757429</v>
      </c>
      <c r="BM79" s="165">
        <f t="shared" si="102"/>
        <v>607573.1479914604</v>
      </c>
      <c r="BN79" s="165">
        <f t="shared" si="102"/>
        <v>614981.49047664343</v>
      </c>
      <c r="BO79" s="165">
        <f t="shared" si="102"/>
        <v>606826.83591292321</v>
      </c>
      <c r="BP79" s="165">
        <f t="shared" si="102"/>
        <v>783621.75885352411</v>
      </c>
      <c r="BQ79" s="165">
        <f>BP79*BQ43/BP43</f>
        <v>807130.41161912982</v>
      </c>
      <c r="BR79" s="165">
        <f>BQ79*BR43/BQ43</f>
        <v>831344.32396770373</v>
      </c>
      <c r="BS79" s="165">
        <f>BR79*BS43/BR43</f>
        <v>856284.65368673496</v>
      </c>
      <c r="BT79" s="165">
        <f>BS79*BT43/BS43</f>
        <v>881973.19329733681</v>
      </c>
      <c r="BU79" s="165">
        <f>BT79*BU43/BT43</f>
        <v>908432.38909625716</v>
      </c>
      <c r="BV79" s="165">
        <f t="shared" ref="BV79:CD79" si="103">BU79*BV43/BU43</f>
        <v>935685.36076914473</v>
      </c>
      <c r="BW79" s="165">
        <f t="shared" si="103"/>
        <v>963755.92159221915</v>
      </c>
      <c r="BX79" s="165">
        <f t="shared" si="103"/>
        <v>992668.59923998569</v>
      </c>
      <c r="BY79" s="165">
        <f t="shared" si="103"/>
        <v>1022448.6572171852</v>
      </c>
      <c r="BZ79" s="165">
        <f t="shared" si="103"/>
        <v>1053122.1169337006</v>
      </c>
      <c r="CA79" s="165">
        <f t="shared" si="103"/>
        <v>1084715.7804417119</v>
      </c>
      <c r="CB79" s="165">
        <f t="shared" si="103"/>
        <v>1117257.2538549632</v>
      </c>
      <c r="CC79" s="165">
        <f t="shared" si="103"/>
        <v>1150774.9714706121</v>
      </c>
      <c r="CD79" s="165">
        <f t="shared" si="103"/>
        <v>1185298.2206147304</v>
      </c>
      <c r="CF79" s="165">
        <f t="shared" si="63"/>
        <v>0</v>
      </c>
      <c r="CG79" s="165">
        <f t="shared" si="64"/>
        <v>0</v>
      </c>
      <c r="CH79" s="165">
        <f t="shared" si="65"/>
        <v>0</v>
      </c>
      <c r="CI79" s="165">
        <f t="shared" si="66"/>
        <v>0</v>
      </c>
      <c r="CJ79" s="165">
        <f t="shared" si="67"/>
        <v>0</v>
      </c>
      <c r="CK79" s="165">
        <f t="shared" si="68"/>
        <v>0</v>
      </c>
      <c r="CL79" s="165">
        <f t="shared" si="69"/>
        <v>0</v>
      </c>
      <c r="CM79" s="165">
        <f t="shared" si="70"/>
        <v>0</v>
      </c>
      <c r="CN79" s="166"/>
      <c r="CO79" s="302">
        <v>584248.68736433925</v>
      </c>
      <c r="CP79" s="302">
        <v>400552.73190445825</v>
      </c>
      <c r="CQ79" s="302">
        <v>444441.66849661892</v>
      </c>
      <c r="CR79" s="302">
        <v>744112.74199398991</v>
      </c>
      <c r="CS79" s="302">
        <v>649977.53843757429</v>
      </c>
      <c r="CT79" s="302">
        <v>607573.1479914604</v>
      </c>
      <c r="CU79" s="302">
        <v>614981.49047664343</v>
      </c>
      <c r="CV79" s="302">
        <v>606826.83591292321</v>
      </c>
    </row>
    <row r="80" spans="1:100" s="165" customFormat="1">
      <c r="CO80" s="302"/>
      <c r="CP80" s="302"/>
      <c r="CQ80" s="302"/>
      <c r="CR80" s="302"/>
      <c r="CS80" s="302"/>
      <c r="CT80" s="302"/>
      <c r="CU80" s="302"/>
      <c r="CV80" s="302"/>
    </row>
    <row r="81" spans="93:100" s="165" customFormat="1">
      <c r="CO81" s="302"/>
      <c r="CP81" s="302"/>
      <c r="CQ81" s="302"/>
      <c r="CR81" s="302"/>
      <c r="CS81" s="302"/>
      <c r="CT81" s="302"/>
      <c r="CU81" s="302"/>
      <c r="CV81" s="302"/>
    </row>
    <row r="82" spans="93:100" s="165" customFormat="1">
      <c r="CO82" s="302"/>
      <c r="CP82" s="302"/>
      <c r="CQ82" s="302"/>
      <c r="CR82" s="302"/>
      <c r="CS82" s="302"/>
      <c r="CT82" s="302"/>
      <c r="CU82" s="302"/>
      <c r="CV82" s="302"/>
    </row>
    <row r="83" spans="93:100" s="165" customFormat="1">
      <c r="CO83" s="302"/>
      <c r="CP83" s="302"/>
      <c r="CQ83" s="302"/>
      <c r="CR83" s="302"/>
      <c r="CS83" s="302"/>
      <c r="CT83" s="302"/>
      <c r="CU83" s="302"/>
      <c r="CV83" s="302"/>
    </row>
    <row r="84" spans="93:100" s="165" customFormat="1">
      <c r="CO84" s="302"/>
      <c r="CP84" s="302"/>
      <c r="CQ84" s="302"/>
      <c r="CR84" s="302"/>
      <c r="CS84" s="302"/>
      <c r="CT84" s="302"/>
      <c r="CU84" s="302"/>
      <c r="CV84" s="302"/>
    </row>
    <row r="85" spans="93:100" s="165" customFormat="1">
      <c r="CO85" s="302"/>
      <c r="CP85" s="302"/>
      <c r="CQ85" s="302"/>
      <c r="CR85" s="302"/>
      <c r="CS85" s="302"/>
      <c r="CT85" s="302"/>
      <c r="CU85" s="302"/>
      <c r="CV85" s="302"/>
    </row>
    <row r="86" spans="93:100" s="165" customFormat="1">
      <c r="CO86" s="302"/>
      <c r="CP86" s="302"/>
      <c r="CQ86" s="302"/>
      <c r="CR86" s="302"/>
      <c r="CS86" s="302"/>
      <c r="CT86" s="302"/>
      <c r="CU86" s="302"/>
      <c r="CV86" s="302"/>
    </row>
    <row r="87" spans="93:100" s="165" customFormat="1">
      <c r="CO87" s="302"/>
      <c r="CP87" s="302"/>
      <c r="CQ87" s="302"/>
      <c r="CR87" s="302"/>
      <c r="CS87" s="302"/>
      <c r="CT87" s="302"/>
      <c r="CU87" s="302"/>
      <c r="CV87" s="302"/>
    </row>
    <row r="88" spans="93:100" s="165" customFormat="1">
      <c r="CO88" s="302"/>
      <c r="CP88" s="302"/>
      <c r="CQ88" s="302"/>
      <c r="CR88" s="302"/>
      <c r="CS88" s="302"/>
      <c r="CT88" s="302"/>
      <c r="CU88" s="302"/>
      <c r="CV88" s="302"/>
    </row>
    <row r="89" spans="93:100" s="165" customFormat="1">
      <c r="CO89" s="302"/>
      <c r="CP89" s="302"/>
      <c r="CQ89" s="302"/>
      <c r="CR89" s="302"/>
      <c r="CS89" s="302"/>
      <c r="CT89" s="302"/>
      <c r="CU89" s="302"/>
      <c r="CV89" s="302"/>
    </row>
    <row r="90" spans="93:100" s="165" customFormat="1">
      <c r="CO90" s="302"/>
      <c r="CP90" s="302"/>
      <c r="CQ90" s="302"/>
      <c r="CR90" s="302"/>
      <c r="CS90" s="302"/>
      <c r="CT90" s="302"/>
      <c r="CU90" s="302"/>
      <c r="CV90" s="302"/>
    </row>
    <row r="91" spans="93:100" s="165" customFormat="1">
      <c r="CO91" s="302"/>
      <c r="CP91" s="302"/>
      <c r="CQ91" s="302"/>
      <c r="CR91" s="302"/>
      <c r="CS91" s="302"/>
      <c r="CT91" s="302"/>
      <c r="CU91" s="302"/>
      <c r="CV91" s="302"/>
    </row>
    <row r="92" spans="93:100" s="165" customFormat="1">
      <c r="CO92" s="302"/>
      <c r="CP92" s="302"/>
      <c r="CQ92" s="302"/>
      <c r="CR92" s="302"/>
      <c r="CS92" s="302"/>
      <c r="CT92" s="302"/>
      <c r="CU92" s="302"/>
      <c r="CV92" s="302"/>
    </row>
    <row r="93" spans="93:100" s="165" customFormat="1">
      <c r="CO93" s="302"/>
      <c r="CP93" s="302"/>
      <c r="CQ93" s="302"/>
      <c r="CR93" s="302"/>
      <c r="CS93" s="302"/>
      <c r="CT93" s="302"/>
      <c r="CU93" s="302"/>
      <c r="CV93" s="302"/>
    </row>
    <row r="94" spans="93:100" s="165" customFormat="1">
      <c r="CO94" s="302"/>
      <c r="CP94" s="302"/>
      <c r="CQ94" s="302"/>
      <c r="CR94" s="302"/>
      <c r="CS94" s="302"/>
      <c r="CT94" s="302"/>
      <c r="CU94" s="302"/>
      <c r="CV94" s="302"/>
    </row>
    <row r="95" spans="93:100" s="165" customFormat="1">
      <c r="CO95" s="302"/>
      <c r="CP95" s="302"/>
      <c r="CQ95" s="302"/>
      <c r="CR95" s="302"/>
      <c r="CS95" s="302"/>
      <c r="CT95" s="302"/>
      <c r="CU95" s="302"/>
      <c r="CV95" s="302"/>
    </row>
    <row r="96" spans="93:100" s="165" customFormat="1">
      <c r="CO96" s="302"/>
      <c r="CP96" s="302"/>
      <c r="CQ96" s="302"/>
      <c r="CR96" s="302"/>
      <c r="CS96" s="302"/>
      <c r="CT96" s="302"/>
      <c r="CU96" s="302"/>
      <c r="CV96" s="302"/>
    </row>
    <row r="97" spans="93:100" s="165" customFormat="1">
      <c r="CO97" s="302"/>
      <c r="CP97" s="302"/>
      <c r="CQ97" s="302"/>
      <c r="CR97" s="302"/>
      <c r="CS97" s="302"/>
      <c r="CT97" s="302"/>
      <c r="CU97" s="302"/>
      <c r="CV97" s="302"/>
    </row>
    <row r="98" spans="93:100" s="165" customFormat="1">
      <c r="CO98" s="302"/>
      <c r="CP98" s="302"/>
      <c r="CQ98" s="302"/>
      <c r="CR98" s="302"/>
      <c r="CS98" s="302"/>
      <c r="CT98" s="302"/>
      <c r="CU98" s="302"/>
      <c r="CV98" s="302"/>
    </row>
    <row r="99" spans="93:100" s="165" customFormat="1">
      <c r="CO99" s="302"/>
      <c r="CP99" s="302"/>
      <c r="CQ99" s="302"/>
      <c r="CR99" s="302"/>
      <c r="CS99" s="302"/>
      <c r="CT99" s="302"/>
      <c r="CU99" s="302"/>
      <c r="CV99" s="302"/>
    </row>
    <row r="100" spans="93:100" s="165" customFormat="1">
      <c r="CO100" s="302"/>
      <c r="CP100" s="302"/>
      <c r="CQ100" s="302"/>
      <c r="CR100" s="302"/>
      <c r="CS100" s="302"/>
      <c r="CT100" s="302"/>
      <c r="CU100" s="302"/>
      <c r="CV100" s="302"/>
    </row>
    <row r="101" spans="93:100" s="165" customFormat="1">
      <c r="CO101" s="302"/>
      <c r="CP101" s="302"/>
      <c r="CQ101" s="302"/>
      <c r="CR101" s="302"/>
      <c r="CS101" s="302"/>
      <c r="CT101" s="302"/>
      <c r="CU101" s="302"/>
      <c r="CV101" s="302"/>
    </row>
    <row r="102" spans="93:100" s="165" customFormat="1">
      <c r="CO102" s="302"/>
      <c r="CP102" s="302"/>
      <c r="CQ102" s="302"/>
      <c r="CR102" s="302"/>
      <c r="CS102" s="302"/>
      <c r="CT102" s="302"/>
      <c r="CU102" s="302"/>
      <c r="CV102" s="302"/>
    </row>
    <row r="103" spans="93:100" s="165" customFormat="1">
      <c r="CO103" s="302"/>
      <c r="CP103" s="302"/>
      <c r="CQ103" s="302"/>
      <c r="CR103" s="302"/>
      <c r="CS103" s="302"/>
      <c r="CT103" s="302"/>
      <c r="CU103" s="302"/>
      <c r="CV103" s="302"/>
    </row>
    <row r="104" spans="93:100" s="165" customFormat="1">
      <c r="CO104" s="302"/>
      <c r="CP104" s="302"/>
      <c r="CQ104" s="302"/>
      <c r="CR104" s="302"/>
      <c r="CS104" s="302"/>
      <c r="CT104" s="302"/>
      <c r="CU104" s="302"/>
      <c r="CV104" s="302"/>
    </row>
    <row r="105" spans="93:100" s="165" customFormat="1">
      <c r="CO105" s="302"/>
      <c r="CP105" s="302"/>
      <c r="CQ105" s="302"/>
      <c r="CR105" s="302"/>
      <c r="CS105" s="302"/>
      <c r="CT105" s="302"/>
      <c r="CU105" s="302"/>
      <c r="CV105" s="302"/>
    </row>
    <row r="106" spans="93:100" s="165" customFormat="1">
      <c r="CO106" s="302"/>
      <c r="CP106" s="302"/>
      <c r="CQ106" s="302"/>
      <c r="CR106" s="302"/>
      <c r="CS106" s="302"/>
      <c r="CT106" s="302"/>
      <c r="CU106" s="302"/>
      <c r="CV106" s="302"/>
    </row>
    <row r="107" spans="93:100" s="165" customFormat="1">
      <c r="CO107" s="302"/>
      <c r="CP107" s="302"/>
      <c r="CQ107" s="302"/>
      <c r="CR107" s="302"/>
      <c r="CS107" s="302"/>
      <c r="CT107" s="302"/>
      <c r="CU107" s="302"/>
      <c r="CV107" s="302"/>
    </row>
    <row r="108" spans="93:100" s="165" customFormat="1">
      <c r="CO108" s="302"/>
      <c r="CP108" s="302"/>
      <c r="CQ108" s="302"/>
      <c r="CR108" s="302"/>
      <c r="CS108" s="302"/>
      <c r="CT108" s="302"/>
      <c r="CU108" s="302"/>
      <c r="CV108" s="302"/>
    </row>
    <row r="109" spans="93:100" s="165" customFormat="1">
      <c r="CO109" s="302"/>
      <c r="CP109" s="302"/>
      <c r="CQ109" s="302"/>
      <c r="CR109" s="302"/>
      <c r="CS109" s="302"/>
      <c r="CT109" s="302"/>
      <c r="CU109" s="302"/>
      <c r="CV109" s="302"/>
    </row>
    <row r="110" spans="93:100" s="165" customFormat="1">
      <c r="CO110" s="302"/>
      <c r="CP110" s="302"/>
      <c r="CQ110" s="302"/>
      <c r="CR110" s="302"/>
      <c r="CS110" s="302"/>
      <c r="CT110" s="302"/>
      <c r="CU110" s="302"/>
      <c r="CV110" s="302"/>
    </row>
    <row r="111" spans="93:100" s="165" customFormat="1">
      <c r="CO111" s="302"/>
      <c r="CP111" s="302"/>
      <c r="CQ111" s="302"/>
      <c r="CR111" s="302"/>
      <c r="CS111" s="302"/>
      <c r="CT111" s="302"/>
      <c r="CU111" s="302"/>
      <c r="CV111" s="302"/>
    </row>
    <row r="112" spans="93:100" s="165" customFormat="1">
      <c r="CO112" s="302"/>
      <c r="CP112" s="302"/>
      <c r="CQ112" s="302"/>
      <c r="CR112" s="302"/>
      <c r="CS112" s="302"/>
      <c r="CT112" s="302"/>
      <c r="CU112" s="302"/>
      <c r="CV112" s="302"/>
    </row>
    <row r="113" spans="93:100" s="165" customFormat="1">
      <c r="CO113" s="302"/>
      <c r="CP113" s="302"/>
      <c r="CQ113" s="302"/>
      <c r="CR113" s="302"/>
      <c r="CS113" s="302"/>
      <c r="CT113" s="302"/>
      <c r="CU113" s="302"/>
      <c r="CV113" s="302"/>
    </row>
    <row r="114" spans="93:100" s="165" customFormat="1">
      <c r="CO114" s="302"/>
      <c r="CP114" s="302"/>
      <c r="CQ114" s="302"/>
      <c r="CR114" s="302"/>
      <c r="CS114" s="302"/>
      <c r="CT114" s="302"/>
      <c r="CU114" s="302"/>
      <c r="CV114" s="302"/>
    </row>
    <row r="115" spans="93:100" s="165" customFormat="1">
      <c r="CO115" s="302"/>
      <c r="CP115" s="302"/>
      <c r="CQ115" s="302"/>
      <c r="CR115" s="302"/>
      <c r="CS115" s="302"/>
      <c r="CT115" s="302"/>
      <c r="CU115" s="302"/>
      <c r="CV115" s="302"/>
    </row>
    <row r="116" spans="93:100" s="165" customFormat="1">
      <c r="CO116" s="302"/>
      <c r="CP116" s="302"/>
      <c r="CQ116" s="302"/>
      <c r="CR116" s="302"/>
      <c r="CS116" s="302"/>
      <c r="CT116" s="302"/>
      <c r="CU116" s="302"/>
      <c r="CV116" s="302"/>
    </row>
    <row r="117" spans="93:100" s="165" customFormat="1">
      <c r="CO117" s="302"/>
      <c r="CP117" s="302"/>
      <c r="CQ117" s="302"/>
      <c r="CR117" s="302"/>
      <c r="CS117" s="302"/>
      <c r="CT117" s="302"/>
      <c r="CU117" s="302"/>
      <c r="CV117" s="302"/>
    </row>
    <row r="118" spans="93:100" s="165" customFormat="1">
      <c r="CO118" s="302"/>
      <c r="CP118" s="302"/>
      <c r="CQ118" s="302"/>
      <c r="CR118" s="302"/>
      <c r="CS118" s="302"/>
      <c r="CT118" s="302"/>
      <c r="CU118" s="302"/>
      <c r="CV118" s="302"/>
    </row>
    <row r="119" spans="93:100" s="165" customFormat="1">
      <c r="CO119" s="302"/>
      <c r="CP119" s="302"/>
      <c r="CQ119" s="302"/>
      <c r="CR119" s="302"/>
      <c r="CS119" s="302"/>
      <c r="CT119" s="302"/>
      <c r="CU119" s="302"/>
      <c r="CV119" s="302"/>
    </row>
    <row r="120" spans="93:100" s="165" customFormat="1">
      <c r="CO120" s="302"/>
      <c r="CP120" s="302"/>
      <c r="CQ120" s="302"/>
      <c r="CR120" s="302"/>
      <c r="CS120" s="302"/>
      <c r="CT120" s="302"/>
      <c r="CU120" s="302"/>
      <c r="CV120" s="302"/>
    </row>
    <row r="121" spans="93:100" s="165" customFormat="1">
      <c r="CO121" s="302"/>
      <c r="CP121" s="302"/>
      <c r="CQ121" s="302"/>
      <c r="CR121" s="302"/>
      <c r="CS121" s="302"/>
      <c r="CT121" s="302"/>
      <c r="CU121" s="302"/>
      <c r="CV121" s="302"/>
    </row>
    <row r="122" spans="93:100" s="165" customFormat="1">
      <c r="CO122" s="302"/>
      <c r="CP122" s="302"/>
      <c r="CQ122" s="302"/>
      <c r="CR122" s="302"/>
      <c r="CS122" s="302"/>
      <c r="CT122" s="302"/>
      <c r="CU122" s="302"/>
      <c r="CV122" s="302"/>
    </row>
    <row r="123" spans="93:100" s="165" customFormat="1">
      <c r="CO123" s="302"/>
      <c r="CP123" s="302"/>
      <c r="CQ123" s="302"/>
      <c r="CR123" s="302"/>
      <c r="CS123" s="302"/>
      <c r="CT123" s="302"/>
      <c r="CU123" s="302"/>
      <c r="CV123" s="302"/>
    </row>
    <row r="124" spans="93:100" s="165" customFormat="1">
      <c r="CO124" s="302"/>
      <c r="CP124" s="302"/>
      <c r="CQ124" s="302"/>
      <c r="CR124" s="302"/>
      <c r="CS124" s="302"/>
      <c r="CT124" s="302"/>
      <c r="CU124" s="302"/>
      <c r="CV124" s="302"/>
    </row>
    <row r="125" spans="93:100" s="165" customFormat="1">
      <c r="CO125" s="302"/>
      <c r="CP125" s="302"/>
      <c r="CQ125" s="302"/>
      <c r="CR125" s="302"/>
      <c r="CS125" s="302"/>
      <c r="CT125" s="302"/>
      <c r="CU125" s="302"/>
      <c r="CV125" s="302"/>
    </row>
    <row r="126" spans="93:100" s="165" customFormat="1">
      <c r="CO126" s="302"/>
      <c r="CP126" s="302"/>
      <c r="CQ126" s="302"/>
      <c r="CR126" s="302"/>
      <c r="CS126" s="302"/>
      <c r="CT126" s="302"/>
      <c r="CU126" s="302"/>
      <c r="CV126" s="302"/>
    </row>
    <row r="127" spans="93:100" s="165" customFormat="1">
      <c r="CO127" s="302"/>
      <c r="CP127" s="302"/>
      <c r="CQ127" s="302"/>
      <c r="CR127" s="302"/>
      <c r="CS127" s="302"/>
      <c r="CT127" s="302"/>
      <c r="CU127" s="302"/>
      <c r="CV127" s="302"/>
    </row>
    <row r="128" spans="93:100" s="165" customFormat="1">
      <c r="CO128" s="302"/>
      <c r="CP128" s="302"/>
      <c r="CQ128" s="302"/>
      <c r="CR128" s="302"/>
      <c r="CS128" s="302"/>
      <c r="CT128" s="302"/>
      <c r="CU128" s="302"/>
      <c r="CV128" s="302"/>
    </row>
    <row r="129" spans="93:100" s="165" customFormat="1">
      <c r="CO129" s="302"/>
      <c r="CP129" s="302"/>
      <c r="CQ129" s="302"/>
      <c r="CR129" s="302"/>
      <c r="CS129" s="302"/>
      <c r="CT129" s="302"/>
      <c r="CU129" s="302"/>
      <c r="CV129" s="302"/>
    </row>
    <row r="130" spans="93:100" s="165" customFormat="1">
      <c r="CO130" s="302"/>
      <c r="CP130" s="302"/>
      <c r="CQ130" s="302"/>
      <c r="CR130" s="302"/>
      <c r="CS130" s="302"/>
      <c r="CT130" s="302"/>
      <c r="CU130" s="302"/>
      <c r="CV130" s="302"/>
    </row>
    <row r="131" spans="93:100" s="165" customFormat="1">
      <c r="CO131" s="302"/>
      <c r="CP131" s="302"/>
      <c r="CQ131" s="302"/>
      <c r="CR131" s="302"/>
      <c r="CS131" s="302"/>
      <c r="CT131" s="302"/>
      <c r="CU131" s="302"/>
      <c r="CV131" s="302"/>
    </row>
    <row r="132" spans="93:100" s="165" customFormat="1">
      <c r="CO132" s="302"/>
      <c r="CP132" s="302"/>
      <c r="CQ132" s="302"/>
      <c r="CR132" s="302"/>
      <c r="CS132" s="302"/>
      <c r="CT132" s="302"/>
      <c r="CU132" s="302"/>
      <c r="CV132" s="302"/>
    </row>
    <row r="133" spans="93:100" s="165" customFormat="1">
      <c r="CO133" s="302"/>
      <c r="CP133" s="302"/>
      <c r="CQ133" s="302"/>
      <c r="CR133" s="302"/>
      <c r="CS133" s="302"/>
      <c r="CT133" s="302"/>
      <c r="CU133" s="302"/>
      <c r="CV133" s="302"/>
    </row>
    <row r="134" spans="93:100" s="165" customFormat="1">
      <c r="CO134" s="302"/>
      <c r="CP134" s="302"/>
      <c r="CQ134" s="302"/>
      <c r="CR134" s="302"/>
      <c r="CS134" s="302"/>
      <c r="CT134" s="302"/>
      <c r="CU134" s="302"/>
      <c r="CV134" s="302"/>
    </row>
    <row r="135" spans="93:100" s="165" customFormat="1">
      <c r="CO135" s="302"/>
      <c r="CP135" s="302"/>
      <c r="CQ135" s="302"/>
      <c r="CR135" s="302"/>
      <c r="CS135" s="302"/>
      <c r="CT135" s="302"/>
      <c r="CU135" s="302"/>
      <c r="CV135" s="302"/>
    </row>
    <row r="136" spans="93:100" s="165" customFormat="1">
      <c r="CO136" s="302"/>
      <c r="CP136" s="302"/>
      <c r="CQ136" s="302"/>
      <c r="CR136" s="302"/>
      <c r="CS136" s="302"/>
      <c r="CT136" s="302"/>
      <c r="CU136" s="302"/>
      <c r="CV136" s="302"/>
    </row>
    <row r="137" spans="93:100" s="165" customFormat="1">
      <c r="CO137" s="302"/>
      <c r="CP137" s="302"/>
      <c r="CQ137" s="302"/>
      <c r="CR137" s="302"/>
      <c r="CS137" s="302"/>
      <c r="CT137" s="302"/>
      <c r="CU137" s="302"/>
      <c r="CV137" s="302"/>
    </row>
    <row r="138" spans="93:100" s="165" customFormat="1">
      <c r="CO138" s="302"/>
      <c r="CP138" s="302"/>
      <c r="CQ138" s="302"/>
      <c r="CR138" s="302"/>
      <c r="CS138" s="302"/>
      <c r="CT138" s="302"/>
      <c r="CU138" s="302"/>
      <c r="CV138" s="302"/>
    </row>
    <row r="139" spans="93:100" s="165" customFormat="1">
      <c r="CO139" s="302"/>
      <c r="CP139" s="302"/>
      <c r="CQ139" s="302"/>
      <c r="CR139" s="302"/>
      <c r="CS139" s="302"/>
      <c r="CT139" s="302"/>
      <c r="CU139" s="302"/>
      <c r="CV139" s="302"/>
    </row>
    <row r="140" spans="93:100" s="165" customFormat="1">
      <c r="CO140" s="302"/>
      <c r="CP140" s="302"/>
      <c r="CQ140" s="302"/>
      <c r="CR140" s="302"/>
      <c r="CS140" s="302"/>
      <c r="CT140" s="302"/>
      <c r="CU140" s="302"/>
      <c r="CV140" s="302"/>
    </row>
    <row r="141" spans="93:100" s="165" customFormat="1">
      <c r="CO141" s="302"/>
      <c r="CP141" s="302"/>
      <c r="CQ141" s="302"/>
      <c r="CR141" s="302"/>
      <c r="CS141" s="302"/>
      <c r="CT141" s="302"/>
      <c r="CU141" s="302"/>
      <c r="CV141" s="302"/>
    </row>
    <row r="142" spans="93:100" s="165" customFormat="1">
      <c r="CO142" s="302"/>
      <c r="CP142" s="302"/>
      <c r="CQ142" s="302"/>
      <c r="CR142" s="302"/>
      <c r="CS142" s="302"/>
      <c r="CT142" s="302"/>
      <c r="CU142" s="302"/>
      <c r="CV142" s="302"/>
    </row>
    <row r="143" spans="93:100" s="165" customFormat="1">
      <c r="CO143" s="302"/>
      <c r="CP143" s="302"/>
      <c r="CQ143" s="302"/>
      <c r="CR143" s="302"/>
      <c r="CS143" s="302"/>
      <c r="CT143" s="302"/>
      <c r="CU143" s="302"/>
      <c r="CV143" s="302"/>
    </row>
    <row r="144" spans="93:100" s="165" customFormat="1">
      <c r="CO144" s="302"/>
      <c r="CP144" s="302"/>
      <c r="CQ144" s="302"/>
      <c r="CR144" s="302"/>
      <c r="CS144" s="302"/>
      <c r="CT144" s="302"/>
      <c r="CU144" s="302"/>
      <c r="CV144" s="302"/>
    </row>
    <row r="145" spans="93:100" s="165" customFormat="1">
      <c r="CO145" s="302"/>
      <c r="CP145" s="302"/>
      <c r="CQ145" s="302"/>
      <c r="CR145" s="302"/>
      <c r="CS145" s="302"/>
      <c r="CT145" s="302"/>
      <c r="CU145" s="302"/>
      <c r="CV145" s="302"/>
    </row>
    <row r="146" spans="93:100" s="165" customFormat="1">
      <c r="CO146" s="302"/>
      <c r="CP146" s="302"/>
      <c r="CQ146" s="302"/>
      <c r="CR146" s="302"/>
      <c r="CS146" s="302"/>
      <c r="CT146" s="302"/>
      <c r="CU146" s="302"/>
      <c r="CV146" s="302"/>
    </row>
    <row r="147" spans="93:100" s="165" customFormat="1">
      <c r="CO147" s="302"/>
      <c r="CP147" s="302"/>
      <c r="CQ147" s="302"/>
      <c r="CR147" s="302"/>
      <c r="CS147" s="302"/>
      <c r="CT147" s="302"/>
      <c r="CU147" s="302"/>
      <c r="CV147" s="302"/>
    </row>
    <row r="148" spans="93:100" s="165" customFormat="1">
      <c r="CO148" s="302"/>
      <c r="CP148" s="302"/>
      <c r="CQ148" s="302"/>
      <c r="CR148" s="302"/>
      <c r="CS148" s="302"/>
      <c r="CT148" s="302"/>
      <c r="CU148" s="302"/>
      <c r="CV148" s="302"/>
    </row>
    <row r="149" spans="93:100" s="165" customFormat="1">
      <c r="CO149" s="302"/>
      <c r="CP149" s="302"/>
      <c r="CQ149" s="302"/>
      <c r="CR149" s="302"/>
      <c r="CS149" s="302"/>
      <c r="CT149" s="302"/>
      <c r="CU149" s="302"/>
      <c r="CV149" s="302"/>
    </row>
    <row r="150" spans="93:100" s="165" customFormat="1">
      <c r="CO150" s="302"/>
      <c r="CP150" s="302"/>
      <c r="CQ150" s="302"/>
      <c r="CR150" s="302"/>
      <c r="CS150" s="302"/>
      <c r="CT150" s="302"/>
      <c r="CU150" s="302"/>
      <c r="CV150" s="302"/>
    </row>
    <row r="151" spans="93:100" s="165" customFormat="1">
      <c r="CO151" s="302"/>
      <c r="CP151" s="302"/>
      <c r="CQ151" s="302"/>
      <c r="CR151" s="302"/>
      <c r="CS151" s="302"/>
      <c r="CT151" s="302"/>
      <c r="CU151" s="302"/>
      <c r="CV151" s="302"/>
    </row>
    <row r="152" spans="93:100" s="165" customFormat="1">
      <c r="CO152" s="302"/>
      <c r="CP152" s="302"/>
      <c r="CQ152" s="302"/>
      <c r="CR152" s="302"/>
      <c r="CS152" s="302"/>
      <c r="CT152" s="302"/>
      <c r="CU152" s="302"/>
      <c r="CV152" s="302"/>
    </row>
    <row r="153" spans="93:100" s="165" customFormat="1">
      <c r="CO153" s="302"/>
      <c r="CP153" s="302"/>
      <c r="CQ153" s="302"/>
      <c r="CR153" s="302"/>
      <c r="CS153" s="302"/>
      <c r="CT153" s="302"/>
      <c r="CU153" s="302"/>
      <c r="CV153" s="302"/>
    </row>
    <row r="154" spans="93:100" s="165" customFormat="1">
      <c r="CO154" s="302"/>
      <c r="CP154" s="302"/>
      <c r="CQ154" s="302"/>
      <c r="CR154" s="302"/>
      <c r="CS154" s="302"/>
      <c r="CT154" s="302"/>
      <c r="CU154" s="302"/>
      <c r="CV154" s="302"/>
    </row>
    <row r="155" spans="93:100" s="165" customFormat="1">
      <c r="CO155" s="302"/>
      <c r="CP155" s="302"/>
      <c r="CQ155" s="302"/>
      <c r="CR155" s="302"/>
      <c r="CS155" s="302"/>
      <c r="CT155" s="302"/>
      <c r="CU155" s="302"/>
      <c r="CV155" s="302"/>
    </row>
    <row r="156" spans="93:100" s="165" customFormat="1">
      <c r="CO156" s="302"/>
      <c r="CP156" s="302"/>
      <c r="CQ156" s="302"/>
      <c r="CR156" s="302"/>
      <c r="CS156" s="302"/>
      <c r="CT156" s="302"/>
      <c r="CU156" s="302"/>
      <c r="CV156" s="302"/>
    </row>
    <row r="157" spans="93:100" s="165" customFormat="1">
      <c r="CO157" s="302"/>
      <c r="CP157" s="302"/>
      <c r="CQ157" s="302"/>
      <c r="CR157" s="302"/>
      <c r="CS157" s="302"/>
      <c r="CT157" s="302"/>
      <c r="CU157" s="302"/>
      <c r="CV157" s="302"/>
    </row>
    <row r="158" spans="93:100" s="165" customFormat="1">
      <c r="CO158" s="302"/>
      <c r="CP158" s="302"/>
      <c r="CQ158" s="302"/>
      <c r="CR158" s="302"/>
      <c r="CS158" s="302"/>
      <c r="CT158" s="302"/>
      <c r="CU158" s="302"/>
      <c r="CV158" s="302"/>
    </row>
    <row r="159" spans="93:100" s="165" customFormat="1">
      <c r="CO159" s="302"/>
      <c r="CP159" s="302"/>
      <c r="CQ159" s="302"/>
      <c r="CR159" s="302"/>
      <c r="CS159" s="302"/>
      <c r="CT159" s="302"/>
      <c r="CU159" s="302"/>
      <c r="CV159" s="302"/>
    </row>
    <row r="160" spans="93:100" s="165" customFormat="1">
      <c r="CO160" s="302"/>
      <c r="CP160" s="302"/>
      <c r="CQ160" s="302"/>
      <c r="CR160" s="302"/>
      <c r="CS160" s="302"/>
      <c r="CT160" s="302"/>
      <c r="CU160" s="302"/>
      <c r="CV160" s="302"/>
    </row>
    <row r="161" spans="93:100" s="165" customFormat="1">
      <c r="CO161" s="302"/>
      <c r="CP161" s="302"/>
      <c r="CQ161" s="302"/>
      <c r="CR161" s="302"/>
      <c r="CS161" s="302"/>
      <c r="CT161" s="302"/>
      <c r="CU161" s="302"/>
      <c r="CV161" s="302"/>
    </row>
    <row r="162" spans="93:100" s="165" customFormat="1">
      <c r="CO162" s="302"/>
      <c r="CP162" s="302"/>
      <c r="CQ162" s="302"/>
      <c r="CR162" s="302"/>
      <c r="CS162" s="302"/>
      <c r="CT162" s="302"/>
      <c r="CU162" s="302"/>
      <c r="CV162" s="302"/>
    </row>
    <row r="163" spans="93:100" s="165" customFormat="1">
      <c r="CO163" s="302"/>
      <c r="CP163" s="302"/>
      <c r="CQ163" s="302"/>
      <c r="CR163" s="302"/>
      <c r="CS163" s="302"/>
      <c r="CT163" s="302"/>
      <c r="CU163" s="302"/>
      <c r="CV163" s="302"/>
    </row>
    <row r="164" spans="93:100" s="165" customFormat="1">
      <c r="CO164" s="302"/>
      <c r="CP164" s="302"/>
      <c r="CQ164" s="302"/>
      <c r="CR164" s="302"/>
      <c r="CS164" s="302"/>
      <c r="CT164" s="302"/>
      <c r="CU164" s="302"/>
      <c r="CV164" s="302"/>
    </row>
    <row r="165" spans="93:100" s="165" customFormat="1">
      <c r="CO165" s="302"/>
      <c r="CP165" s="302"/>
      <c r="CQ165" s="302"/>
      <c r="CR165" s="302"/>
      <c r="CS165" s="302"/>
      <c r="CT165" s="302"/>
      <c r="CU165" s="302"/>
      <c r="CV165" s="302"/>
    </row>
    <row r="166" spans="93:100" s="165" customFormat="1">
      <c r="CO166" s="302"/>
      <c r="CP166" s="302"/>
      <c r="CQ166" s="302"/>
      <c r="CR166" s="302"/>
      <c r="CS166" s="302"/>
      <c r="CT166" s="302"/>
      <c r="CU166" s="302"/>
      <c r="CV166" s="302"/>
    </row>
    <row r="167" spans="93:100" s="165" customFormat="1">
      <c r="CO167" s="302"/>
      <c r="CP167" s="302"/>
      <c r="CQ167" s="302"/>
      <c r="CR167" s="302"/>
      <c r="CS167" s="302"/>
      <c r="CT167" s="302"/>
      <c r="CU167" s="302"/>
      <c r="CV167" s="302"/>
    </row>
    <row r="168" spans="93:100" s="165" customFormat="1">
      <c r="CO168" s="302"/>
      <c r="CP168" s="302"/>
      <c r="CQ168" s="302"/>
      <c r="CR168" s="302"/>
      <c r="CS168" s="302"/>
      <c r="CT168" s="302"/>
      <c r="CU168" s="302"/>
      <c r="CV168" s="302"/>
    </row>
    <row r="169" spans="93:100" s="165" customFormat="1">
      <c r="CO169" s="302"/>
      <c r="CP169" s="302"/>
      <c r="CQ169" s="302"/>
      <c r="CR169" s="302"/>
      <c r="CS169" s="302"/>
      <c r="CT169" s="302"/>
      <c r="CU169" s="302"/>
      <c r="CV169" s="302"/>
    </row>
    <row r="170" spans="93:100" s="165" customFormat="1">
      <c r="CO170" s="302"/>
      <c r="CP170" s="302"/>
      <c r="CQ170" s="302"/>
      <c r="CR170" s="302"/>
      <c r="CS170" s="302"/>
      <c r="CT170" s="302"/>
      <c r="CU170" s="302"/>
      <c r="CV170" s="302"/>
    </row>
    <row r="171" spans="93:100" s="165" customFormat="1">
      <c r="CO171" s="302"/>
      <c r="CP171" s="302"/>
      <c r="CQ171" s="302"/>
      <c r="CR171" s="302"/>
      <c r="CS171" s="302"/>
      <c r="CT171" s="302"/>
      <c r="CU171" s="302"/>
      <c r="CV171" s="302"/>
    </row>
    <row r="172" spans="93:100" s="165" customFormat="1">
      <c r="CO172" s="302"/>
      <c r="CP172" s="302"/>
      <c r="CQ172" s="302"/>
      <c r="CR172" s="302"/>
      <c r="CS172" s="302"/>
      <c r="CT172" s="302"/>
      <c r="CU172" s="302"/>
      <c r="CV172" s="302"/>
    </row>
    <row r="173" spans="93:100" s="165" customFormat="1">
      <c r="CO173" s="302"/>
      <c r="CP173" s="302"/>
      <c r="CQ173" s="302"/>
      <c r="CR173" s="302"/>
      <c r="CS173" s="302"/>
      <c r="CT173" s="302"/>
      <c r="CU173" s="302"/>
      <c r="CV173" s="302"/>
    </row>
    <row r="174" spans="93:100" s="165" customFormat="1">
      <c r="CO174" s="302"/>
      <c r="CP174" s="302"/>
      <c r="CQ174" s="302"/>
      <c r="CR174" s="302"/>
      <c r="CS174" s="302"/>
      <c r="CT174" s="302"/>
      <c r="CU174" s="302"/>
      <c r="CV174" s="302"/>
    </row>
    <row r="175" spans="93:100" s="165" customFormat="1">
      <c r="CO175" s="302"/>
      <c r="CP175" s="302"/>
      <c r="CQ175" s="302"/>
      <c r="CR175" s="302"/>
      <c r="CS175" s="302"/>
      <c r="CT175" s="302"/>
      <c r="CU175" s="302"/>
      <c r="CV175" s="302"/>
    </row>
    <row r="176" spans="93:100" s="165" customFormat="1">
      <c r="CO176" s="302"/>
      <c r="CP176" s="302"/>
      <c r="CQ176" s="302"/>
      <c r="CR176" s="302"/>
      <c r="CS176" s="302"/>
      <c r="CT176" s="302"/>
      <c r="CU176" s="302"/>
      <c r="CV176" s="302"/>
    </row>
    <row r="177" spans="93:100" s="165" customFormat="1">
      <c r="CO177" s="302"/>
      <c r="CP177" s="302"/>
      <c r="CQ177" s="302"/>
      <c r="CR177" s="302"/>
      <c r="CS177" s="302"/>
      <c r="CT177" s="302"/>
      <c r="CU177" s="302"/>
      <c r="CV177" s="302"/>
    </row>
    <row r="178" spans="93:100" s="165" customFormat="1">
      <c r="CO178" s="302"/>
      <c r="CP178" s="302"/>
      <c r="CQ178" s="302"/>
      <c r="CR178" s="302"/>
      <c r="CS178" s="302"/>
      <c r="CT178" s="302"/>
      <c r="CU178" s="302"/>
      <c r="CV178" s="302"/>
    </row>
    <row r="179" spans="93:100" s="165" customFormat="1">
      <c r="CO179" s="302"/>
      <c r="CP179" s="302"/>
      <c r="CQ179" s="302"/>
      <c r="CR179" s="302"/>
      <c r="CS179" s="302"/>
      <c r="CT179" s="302"/>
      <c r="CU179" s="302"/>
      <c r="CV179" s="302"/>
    </row>
    <row r="180" spans="93:100" s="165" customFormat="1">
      <c r="CO180" s="302"/>
      <c r="CP180" s="302"/>
      <c r="CQ180" s="302"/>
      <c r="CR180" s="302"/>
      <c r="CS180" s="302"/>
      <c r="CT180" s="302"/>
      <c r="CU180" s="302"/>
      <c r="CV180" s="302"/>
    </row>
    <row r="181" spans="93:100" s="165" customFormat="1">
      <c r="CO181" s="302"/>
      <c r="CP181" s="302"/>
      <c r="CQ181" s="302"/>
      <c r="CR181" s="302"/>
      <c r="CS181" s="302"/>
      <c r="CT181" s="302"/>
      <c r="CU181" s="302"/>
      <c r="CV181" s="302"/>
    </row>
    <row r="182" spans="93:100" s="165" customFormat="1">
      <c r="CO182" s="302"/>
      <c r="CP182" s="302"/>
      <c r="CQ182" s="302"/>
      <c r="CR182" s="302"/>
      <c r="CS182" s="302"/>
      <c r="CT182" s="302"/>
      <c r="CU182" s="302"/>
      <c r="CV182" s="302"/>
    </row>
    <row r="183" spans="93:100" s="165" customFormat="1">
      <c r="CO183" s="302"/>
      <c r="CP183" s="302"/>
      <c r="CQ183" s="302"/>
      <c r="CR183" s="302"/>
      <c r="CS183" s="302"/>
      <c r="CT183" s="302"/>
      <c r="CU183" s="302"/>
      <c r="CV183" s="302"/>
    </row>
    <row r="184" spans="93:100" s="165" customFormat="1">
      <c r="CO184" s="302"/>
      <c r="CP184" s="302"/>
      <c r="CQ184" s="302"/>
      <c r="CR184" s="302"/>
      <c r="CS184" s="302"/>
      <c r="CT184" s="302"/>
      <c r="CU184" s="302"/>
      <c r="CV184" s="302"/>
    </row>
    <row r="185" spans="93:100" s="165" customFormat="1">
      <c r="CO185" s="302"/>
      <c r="CP185" s="302"/>
      <c r="CQ185" s="302"/>
      <c r="CR185" s="302"/>
      <c r="CS185" s="302"/>
      <c r="CT185" s="302"/>
      <c r="CU185" s="302"/>
      <c r="CV185" s="302"/>
    </row>
    <row r="186" spans="93:100" s="165" customFormat="1">
      <c r="CO186" s="302"/>
      <c r="CP186" s="302"/>
      <c r="CQ186" s="302"/>
      <c r="CR186" s="302"/>
      <c r="CS186" s="302"/>
      <c r="CT186" s="302"/>
      <c r="CU186" s="302"/>
      <c r="CV186" s="302"/>
    </row>
    <row r="187" spans="93:100" s="165" customFormat="1">
      <c r="CO187" s="302"/>
      <c r="CP187" s="302"/>
      <c r="CQ187" s="302"/>
      <c r="CR187" s="302"/>
      <c r="CS187" s="302"/>
      <c r="CT187" s="302"/>
      <c r="CU187" s="302"/>
      <c r="CV187" s="302"/>
    </row>
    <row r="188" spans="93:100" s="165" customFormat="1">
      <c r="CO188" s="302"/>
      <c r="CP188" s="302"/>
      <c r="CQ188" s="302"/>
      <c r="CR188" s="302"/>
      <c r="CS188" s="302"/>
      <c r="CT188" s="302"/>
      <c r="CU188" s="302"/>
      <c r="CV188" s="302"/>
    </row>
    <row r="189" spans="93:100" s="165" customFormat="1">
      <c r="CO189" s="302"/>
      <c r="CP189" s="302"/>
      <c r="CQ189" s="302"/>
      <c r="CR189" s="302"/>
      <c r="CS189" s="302"/>
      <c r="CT189" s="302"/>
      <c r="CU189" s="302"/>
      <c r="CV189" s="302"/>
    </row>
    <row r="190" spans="93:100" s="165" customFormat="1">
      <c r="CO190" s="302"/>
      <c r="CP190" s="302"/>
      <c r="CQ190" s="302"/>
      <c r="CR190" s="302"/>
      <c r="CS190" s="302"/>
      <c r="CT190" s="302"/>
      <c r="CU190" s="302"/>
      <c r="CV190" s="302"/>
    </row>
    <row r="191" spans="93:100" s="165" customFormat="1">
      <c r="CO191" s="302"/>
      <c r="CP191" s="302"/>
      <c r="CQ191" s="302"/>
      <c r="CR191" s="302"/>
      <c r="CS191" s="302"/>
      <c r="CT191" s="302"/>
      <c r="CU191" s="302"/>
      <c r="CV191" s="302"/>
    </row>
    <row r="192" spans="93:100" s="165" customFormat="1">
      <c r="CO192" s="302"/>
      <c r="CP192" s="302"/>
      <c r="CQ192" s="302"/>
      <c r="CR192" s="302"/>
      <c r="CS192" s="302"/>
      <c r="CT192" s="302"/>
      <c r="CU192" s="302"/>
      <c r="CV192" s="302"/>
    </row>
    <row r="193" spans="93:100" s="165" customFormat="1">
      <c r="CO193" s="302"/>
      <c r="CP193" s="302"/>
      <c r="CQ193" s="302"/>
      <c r="CR193" s="302"/>
      <c r="CS193" s="302"/>
      <c r="CT193" s="302"/>
      <c r="CU193" s="302"/>
      <c r="CV193" s="302"/>
    </row>
    <row r="194" spans="93:100" s="165" customFormat="1">
      <c r="CO194" s="302"/>
      <c r="CP194" s="302"/>
      <c r="CQ194" s="302"/>
      <c r="CR194" s="302"/>
      <c r="CS194" s="302"/>
      <c r="CT194" s="302"/>
      <c r="CU194" s="302"/>
      <c r="CV194" s="302"/>
    </row>
    <row r="195" spans="93:100" s="165" customFormat="1">
      <c r="CO195" s="302"/>
      <c r="CP195" s="302"/>
      <c r="CQ195" s="302"/>
      <c r="CR195" s="302"/>
      <c r="CS195" s="302"/>
      <c r="CT195" s="302"/>
      <c r="CU195" s="302"/>
      <c r="CV195" s="302"/>
    </row>
    <row r="196" spans="93:100" s="165" customFormat="1">
      <c r="CO196" s="302"/>
      <c r="CP196" s="302"/>
      <c r="CQ196" s="302"/>
      <c r="CR196" s="302"/>
      <c r="CS196" s="302"/>
      <c r="CT196" s="302"/>
      <c r="CU196" s="302"/>
      <c r="CV196" s="302"/>
    </row>
    <row r="197" spans="93:100" s="165" customFormat="1">
      <c r="CO197" s="302"/>
      <c r="CP197" s="302"/>
      <c r="CQ197" s="302"/>
      <c r="CR197" s="302"/>
      <c r="CS197" s="302"/>
      <c r="CT197" s="302"/>
      <c r="CU197" s="302"/>
      <c r="CV197" s="302"/>
    </row>
    <row r="198" spans="93:100" s="165" customFormat="1">
      <c r="CO198" s="302"/>
      <c r="CP198" s="302"/>
      <c r="CQ198" s="302"/>
      <c r="CR198" s="302"/>
      <c r="CS198" s="302"/>
      <c r="CT198" s="302"/>
      <c r="CU198" s="302"/>
      <c r="CV198" s="302"/>
    </row>
    <row r="199" spans="93:100" s="165" customFormat="1">
      <c r="CO199" s="302"/>
      <c r="CP199" s="302"/>
      <c r="CQ199" s="302"/>
      <c r="CR199" s="302"/>
      <c r="CS199" s="302"/>
      <c r="CT199" s="302"/>
      <c r="CU199" s="302"/>
      <c r="CV199" s="302"/>
    </row>
    <row r="200" spans="93:100" s="165" customFormat="1">
      <c r="CO200" s="302"/>
      <c r="CP200" s="302"/>
      <c r="CQ200" s="302"/>
      <c r="CR200" s="302"/>
      <c r="CS200" s="302"/>
      <c r="CT200" s="302"/>
      <c r="CU200" s="302"/>
      <c r="CV200" s="302"/>
    </row>
    <row r="201" spans="93:100" s="165" customFormat="1">
      <c r="CO201" s="302"/>
      <c r="CP201" s="302"/>
      <c r="CQ201" s="302"/>
      <c r="CR201" s="302"/>
      <c r="CS201" s="302"/>
      <c r="CT201" s="302"/>
      <c r="CU201" s="302"/>
      <c r="CV201" s="302"/>
    </row>
    <row r="202" spans="93:100" s="165" customFormat="1">
      <c r="CO202" s="302"/>
      <c r="CP202" s="302"/>
      <c r="CQ202" s="302"/>
      <c r="CR202" s="302"/>
      <c r="CS202" s="302"/>
      <c r="CT202" s="302"/>
      <c r="CU202" s="302"/>
      <c r="CV202" s="302"/>
    </row>
    <row r="203" spans="93:100" s="165" customFormat="1">
      <c r="CO203" s="302"/>
      <c r="CP203" s="302"/>
      <c r="CQ203" s="302"/>
      <c r="CR203" s="302"/>
      <c r="CS203" s="302"/>
      <c r="CT203" s="302"/>
      <c r="CU203" s="302"/>
      <c r="CV203" s="302"/>
    </row>
    <row r="204" spans="93:100" s="165" customFormat="1">
      <c r="CO204" s="302"/>
      <c r="CP204" s="302"/>
      <c r="CQ204" s="302"/>
      <c r="CR204" s="302"/>
      <c r="CS204" s="302"/>
      <c r="CT204" s="302"/>
      <c r="CU204" s="302"/>
      <c r="CV204" s="302"/>
    </row>
    <row r="205" spans="93:100" s="165" customFormat="1">
      <c r="CO205" s="302"/>
      <c r="CP205" s="302"/>
      <c r="CQ205" s="302"/>
      <c r="CR205" s="302"/>
      <c r="CS205" s="302"/>
      <c r="CT205" s="302"/>
      <c r="CU205" s="302"/>
      <c r="CV205" s="302"/>
    </row>
    <row r="206" spans="93:100" s="165" customFormat="1">
      <c r="CO206" s="302"/>
      <c r="CP206" s="302"/>
      <c r="CQ206" s="302"/>
      <c r="CR206" s="302"/>
      <c r="CS206" s="302"/>
      <c r="CT206" s="302"/>
      <c r="CU206" s="302"/>
      <c r="CV206" s="302"/>
    </row>
    <row r="207" spans="93:100" s="165" customFormat="1">
      <c r="CO207" s="302"/>
      <c r="CP207" s="302"/>
      <c r="CQ207" s="302"/>
      <c r="CR207" s="302"/>
      <c r="CS207" s="302"/>
      <c r="CT207" s="302"/>
      <c r="CU207" s="302"/>
      <c r="CV207" s="302"/>
    </row>
    <row r="208" spans="93:100" s="165" customFormat="1">
      <c r="CO208" s="302"/>
      <c r="CP208" s="302"/>
      <c r="CQ208" s="302"/>
      <c r="CR208" s="302"/>
      <c r="CS208" s="302"/>
      <c r="CT208" s="302"/>
      <c r="CU208" s="302"/>
      <c r="CV208" s="302"/>
    </row>
    <row r="209" spans="93:100" s="165" customFormat="1">
      <c r="CO209" s="302"/>
      <c r="CP209" s="302"/>
      <c r="CQ209" s="302"/>
      <c r="CR209" s="302"/>
      <c r="CS209" s="302"/>
      <c r="CT209" s="302"/>
      <c r="CU209" s="302"/>
      <c r="CV209" s="302"/>
    </row>
    <row r="210" spans="93:100" s="165" customFormat="1">
      <c r="CO210" s="302"/>
      <c r="CP210" s="302"/>
      <c r="CQ210" s="302"/>
      <c r="CR210" s="302"/>
      <c r="CS210" s="302"/>
      <c r="CT210" s="302"/>
      <c r="CU210" s="302"/>
      <c r="CV210" s="302"/>
    </row>
    <row r="211" spans="93:100" s="165" customFormat="1">
      <c r="CO211" s="302"/>
      <c r="CP211" s="302"/>
      <c r="CQ211" s="302"/>
      <c r="CR211" s="302"/>
      <c r="CS211" s="302"/>
      <c r="CT211" s="302"/>
      <c r="CU211" s="302"/>
      <c r="CV211" s="302"/>
    </row>
    <row r="212" spans="93:100" s="165" customFormat="1">
      <c r="CO212" s="302"/>
      <c r="CP212" s="302"/>
      <c r="CQ212" s="302"/>
      <c r="CR212" s="302"/>
      <c r="CS212" s="302"/>
      <c r="CT212" s="302"/>
      <c r="CU212" s="302"/>
      <c r="CV212" s="302"/>
    </row>
    <row r="213" spans="93:100" s="165" customFormat="1">
      <c r="CO213" s="302"/>
      <c r="CP213" s="302"/>
      <c r="CQ213" s="302"/>
      <c r="CR213" s="302"/>
      <c r="CS213" s="302"/>
      <c r="CT213" s="302"/>
      <c r="CU213" s="302"/>
      <c r="CV213" s="302"/>
    </row>
    <row r="214" spans="93:100" s="165" customFormat="1">
      <c r="CO214" s="302"/>
      <c r="CP214" s="302"/>
      <c r="CQ214" s="302"/>
      <c r="CR214" s="302"/>
      <c r="CS214" s="302"/>
      <c r="CT214" s="302"/>
      <c r="CU214" s="302"/>
      <c r="CV214" s="302"/>
    </row>
    <row r="215" spans="93:100" s="165" customFormat="1">
      <c r="CO215" s="302"/>
      <c r="CP215" s="302"/>
      <c r="CQ215" s="302"/>
      <c r="CR215" s="302"/>
      <c r="CS215" s="302"/>
      <c r="CT215" s="302"/>
      <c r="CU215" s="302"/>
      <c r="CV215" s="302"/>
    </row>
    <row r="216" spans="93:100" s="165" customFormat="1">
      <c r="CO216" s="302"/>
      <c r="CP216" s="302"/>
      <c r="CQ216" s="302"/>
      <c r="CR216" s="302"/>
      <c r="CS216" s="302"/>
      <c r="CT216" s="302"/>
      <c r="CU216" s="302"/>
      <c r="CV216" s="302"/>
    </row>
    <row r="217" spans="93:100" s="165" customFormat="1">
      <c r="CO217" s="302"/>
      <c r="CP217" s="302"/>
      <c r="CQ217" s="302"/>
      <c r="CR217" s="302"/>
      <c r="CS217" s="302"/>
      <c r="CT217" s="302"/>
      <c r="CU217" s="302"/>
      <c r="CV217" s="302"/>
    </row>
    <row r="218" spans="93:100" s="165" customFormat="1">
      <c r="CO218" s="302"/>
      <c r="CP218" s="302"/>
      <c r="CQ218" s="302"/>
      <c r="CR218" s="302"/>
      <c r="CS218" s="302"/>
      <c r="CT218" s="302"/>
      <c r="CU218" s="302"/>
      <c r="CV218" s="302"/>
    </row>
    <row r="219" spans="93:100" s="165" customFormat="1">
      <c r="CO219" s="302"/>
      <c r="CP219" s="302"/>
      <c r="CQ219" s="302"/>
      <c r="CR219" s="302"/>
      <c r="CS219" s="302"/>
      <c r="CT219" s="302"/>
      <c r="CU219" s="302"/>
      <c r="CV219" s="302"/>
    </row>
    <row r="220" spans="93:100" s="165" customFormat="1">
      <c r="CO220" s="302"/>
      <c r="CP220" s="302"/>
      <c r="CQ220" s="302"/>
      <c r="CR220" s="302"/>
      <c r="CS220" s="302"/>
      <c r="CT220" s="302"/>
      <c r="CU220" s="302"/>
      <c r="CV220" s="302"/>
    </row>
    <row r="221" spans="93:100" s="165" customFormat="1">
      <c r="CO221" s="302"/>
      <c r="CP221" s="302"/>
      <c r="CQ221" s="302"/>
      <c r="CR221" s="302"/>
      <c r="CS221" s="302"/>
      <c r="CT221" s="302"/>
      <c r="CU221" s="302"/>
      <c r="CV221" s="302"/>
    </row>
    <row r="222" spans="93:100" s="165" customFormat="1">
      <c r="CO222" s="302"/>
      <c r="CP222" s="302"/>
      <c r="CQ222" s="302"/>
      <c r="CR222" s="302"/>
      <c r="CS222" s="302"/>
      <c r="CT222" s="302"/>
      <c r="CU222" s="302"/>
      <c r="CV222" s="302"/>
    </row>
    <row r="223" spans="93:100" s="165" customFormat="1">
      <c r="CO223" s="302"/>
      <c r="CP223" s="302"/>
      <c r="CQ223" s="302"/>
      <c r="CR223" s="302"/>
      <c r="CS223" s="302"/>
      <c r="CT223" s="302"/>
      <c r="CU223" s="302"/>
      <c r="CV223" s="302"/>
    </row>
    <row r="224" spans="93:100" s="165" customFormat="1">
      <c r="CO224" s="302"/>
      <c r="CP224" s="302"/>
      <c r="CQ224" s="302"/>
      <c r="CR224" s="302"/>
      <c r="CS224" s="302"/>
      <c r="CT224" s="302"/>
      <c r="CU224" s="302"/>
      <c r="CV224" s="302"/>
    </row>
    <row r="225" spans="93:100" s="165" customFormat="1">
      <c r="CO225" s="302"/>
      <c r="CP225" s="302"/>
      <c r="CQ225" s="302"/>
      <c r="CR225" s="302"/>
      <c r="CS225" s="302"/>
      <c r="CT225" s="302"/>
      <c r="CU225" s="302"/>
      <c r="CV225" s="302"/>
    </row>
    <row r="226" spans="93:100" s="165" customFormat="1">
      <c r="CO226" s="302"/>
      <c r="CP226" s="302"/>
      <c r="CQ226" s="302"/>
      <c r="CR226" s="302"/>
      <c r="CS226" s="302"/>
      <c r="CT226" s="302"/>
      <c r="CU226" s="302"/>
      <c r="CV226" s="302"/>
    </row>
    <row r="227" spans="93:100" s="165" customFormat="1">
      <c r="CO227" s="302"/>
      <c r="CP227" s="302"/>
      <c r="CQ227" s="302"/>
      <c r="CR227" s="302"/>
      <c r="CS227" s="302"/>
      <c r="CT227" s="302"/>
      <c r="CU227" s="302"/>
      <c r="CV227" s="302"/>
    </row>
    <row r="228" spans="93:100" s="165" customFormat="1">
      <c r="CO228" s="302"/>
      <c r="CP228" s="302"/>
      <c r="CQ228" s="302"/>
      <c r="CR228" s="302"/>
      <c r="CS228" s="302"/>
      <c r="CT228" s="302"/>
      <c r="CU228" s="302"/>
      <c r="CV228" s="302"/>
    </row>
    <row r="229" spans="93:100" s="165" customFormat="1">
      <c r="CO229" s="302"/>
      <c r="CP229" s="302"/>
      <c r="CQ229" s="302"/>
      <c r="CR229" s="302"/>
      <c r="CS229" s="302"/>
      <c r="CT229" s="302"/>
      <c r="CU229" s="302"/>
      <c r="CV229" s="302"/>
    </row>
    <row r="230" spans="93:100" s="165" customFormat="1">
      <c r="CO230" s="302"/>
      <c r="CP230" s="302"/>
      <c r="CQ230" s="302"/>
      <c r="CR230" s="302"/>
      <c r="CS230" s="302"/>
      <c r="CT230" s="302"/>
      <c r="CU230" s="302"/>
      <c r="CV230" s="302"/>
    </row>
    <row r="231" spans="93:100" s="165" customFormat="1">
      <c r="CO231" s="302"/>
      <c r="CP231" s="302"/>
      <c r="CQ231" s="302"/>
      <c r="CR231" s="302"/>
      <c r="CS231" s="302"/>
      <c r="CT231" s="302"/>
      <c r="CU231" s="302"/>
      <c r="CV231" s="302"/>
    </row>
    <row r="232" spans="93:100" s="165" customFormat="1">
      <c r="CO232" s="302"/>
      <c r="CP232" s="302"/>
      <c r="CQ232" s="302"/>
      <c r="CR232" s="302"/>
      <c r="CS232" s="302"/>
      <c r="CT232" s="302"/>
      <c r="CU232" s="302"/>
      <c r="CV232" s="302"/>
    </row>
  </sheetData>
  <phoneticPr fontId="104" type="noConversion"/>
  <pageMargins left="0.75" right="0.75" top="1" bottom="1" header="0.5" footer="0.5"/>
  <pageSetup orientation="portrait" horizontalDpi="1200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LOGBOOK</vt:lpstr>
      <vt:lpstr>DataInput</vt:lpstr>
      <vt:lpstr>SIM</vt:lpstr>
      <vt:lpstr>Model</vt:lpstr>
      <vt:lpstr>finsim</vt:lpstr>
      <vt:lpstr>decompositie</vt:lpstr>
      <vt:lpstr>MANUAL</vt:lpstr>
      <vt:lpstr>mamiabc</vt:lpstr>
      <vt:lpstr>rijstblok</vt:lpstr>
      <vt:lpstr>_31._OGOWN</vt:lpstr>
      <vt:lpstr>LOGBOOK!Print_Area</vt:lpstr>
      <vt:lpstr>Model!Print_Area</vt:lpstr>
      <vt:lpstr>Model!Print_Titles</vt:lpstr>
    </vt:vector>
  </TitlesOfParts>
  <Company>National Planning Office/Stuseco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Suryamodel</dc:title>
  <dc:creator>SPS/Stuseco</dc:creator>
  <cp:lastModifiedBy>hoepel.i</cp:lastModifiedBy>
  <cp:lastPrinted>2015-03-09T16:37:51Z</cp:lastPrinted>
  <dcterms:created xsi:type="dcterms:W3CDTF">2001-02-12T11:41:56Z</dcterms:created>
  <dcterms:modified xsi:type="dcterms:W3CDTF">2016-01-07T17:40:16Z</dcterms:modified>
</cp:coreProperties>
</file>